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7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shboard" sheetId="1" r:id="rId3"/>
    <sheet state="visible" name="Ativos" sheetId="2" r:id="rId4"/>
    <sheet state="visible" name="Corretoras" sheetId="3" r:id="rId5"/>
    <sheet state="visible" name="Operações-BR" sheetId="4" r:id="rId6"/>
    <sheet state="visible" name="Operações-Criptos" sheetId="5" r:id="rId7"/>
    <sheet state="visible" name="Proventos" sheetId="6" r:id="rId8"/>
    <sheet state="visible" name="Rebalancear" sheetId="7" r:id="rId9"/>
    <sheet state="visible" name="Carteira" sheetId="8" r:id="rId10"/>
    <sheet state="visible" name="Pagamentos" sheetId="9" r:id="rId11"/>
    <sheet state="hidden" name="DataCarteira" sheetId="10" r:id="rId12"/>
    <sheet state="hidden" name="Data" sheetId="11" r:id="rId1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Dados-DIRPF --&gt; dividendos de BDRs.
IRPF --&gt; Gerenciar prejuízos para o ano seguinte.</t>
      </text>
    </comment>
    <comment authorId="0" ref="I3">
      <text>
        <t xml:space="preserve">Considerar Proventos para Rentabilidade.</t>
      </text>
    </comment>
    <comment authorId="0" ref="K3">
      <text>
        <t xml:space="preserve">Considerar Proventos para Rentabilidade.</t>
      </text>
    </comment>
    <comment authorId="0" ref="V3">
      <text>
        <t xml:space="preserve">A variação percentual de preço desde o pregão anterior.</t>
      </text>
    </comment>
    <comment authorId="0" ref="W3">
      <text>
        <t xml:space="preserve">A variação percentual de preço desde o pregão anterior.</t>
      </text>
    </comment>
    <comment authorId="0" ref="K15">
      <text>
        <t xml:space="preserve">Considerar Operações para Rentabilidade.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Código do ativo.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Operação
C  -&gt;   Compra
V  -&gt;   Venda
B  -&gt;   Bonificação
A  -&gt;   Amortização 
S  -&gt;   Split (desdobramento/grupamento)
AT -&gt;  Atualização de ticker</t>
      </text>
    </comment>
    <comment authorId="0" ref="F1">
      <text>
        <t xml:space="preserve">Taxas
Custo total da nota
- todas as taxas (corretagens + impostos)
Repita a taxa que está na nota de corretagem para todas as operações realizadas no mesmo dia.
Por exemplo: ao comprar mais de um ativo no mesmo dia, insira o valor das taxas somadas, repita esse valor para todas as operações. Assim o rateio será feito automaticamente de forma proporcional para cada ativo.</t>
      </text>
    </comment>
    <comment authorId="0" ref="G1">
      <text>
        <t xml:space="preserve">IRRF 
Imposto de Renda Retida na Fonte
(Dedo Duro)</t>
      </text>
    </comment>
    <comment authorId="0" ref="H1">
      <text>
        <t xml:space="preserve">Split Ratio
- Padrão -&gt; 1
- Grupamento (x): 1 p/ 5 -&gt; 5 (1*5)
- Desdobramento (/): 1 p/ 4 -&gt; 0,25 (1/4)</t>
      </text>
    </comment>
    <comment authorId="0" ref="A74">
      <text>
        <t xml:space="preserve">Subscrição HGLG11, dia que o dinheiro saiu da conta.
Não tem nota de corretagem por ser subscrição.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Operação
C  -&gt;   Compra
V  -&gt;   Venda</t>
      </text>
    </comment>
    <comment authorId="0" ref="A74">
      <text>
        <t xml:space="preserve">Subscrição HGLG11, dia que o dinheiro saiu da conta.
Não tem nota de corretagem por ser subscrição.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R -&gt; Rendimentos de FIIs
D -&gt; Dividendos
J -&gt; Juros sobre Capital Próprio</t>
      </text>
    </comment>
    <comment authorId="0" ref="A88">
      <text>
        <t xml:space="preserve">Proventos pagos referente ao HGLG13. 
As cotas da subscrição do HGLG13 ainda não tinham sido incorporadas ao HGLG11.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4">
      <text>
        <t xml:space="preserve">Código do ativo.</t>
      </text>
    </comment>
    <comment authorId="0" ref="B4">
      <text>
        <t xml:space="preserve">Cotação do ativo
(atraso entre 15~20min)</t>
      </text>
    </comment>
    <comment authorId="0" ref="C4">
      <text>
        <t xml:space="preserve">Quantidade em estoque do ativo.</t>
      </text>
    </comment>
    <comment authorId="0" ref="D4">
      <text>
        <t xml:space="preserve">Valor de mercado.</t>
      </text>
    </comment>
    <comment authorId="0" ref="E4">
      <text>
        <t xml:space="preserve">Preço de aquisição
(considerando Taxas)</t>
      </text>
    </comment>
    <comment authorId="0" ref="F4">
      <text>
        <t xml:space="preserve">Preço Médio
(considerando Taxas)</t>
      </text>
    </comment>
    <comment authorId="0" ref="G4">
      <text>
        <t xml:space="preserve">Proventos recebidos até hoje em cada ativo.</t>
      </text>
    </comment>
    <comment authorId="0" ref="H4">
      <text>
        <t xml:space="preserve">Preço Médio
(descontado os proventos recebidos)</t>
      </text>
    </comment>
    <comment authorId="0" ref="I4">
      <text>
        <t xml:space="preserve">Lucro/Prejuízo
(considerando as taxas)</t>
      </text>
    </comment>
    <comment authorId="0" ref="J4">
      <text>
        <t xml:space="preserve">Lucro/Prejuízo
(considerando os proventos recebidos e as taxas descontadas)</t>
      </text>
    </comment>
    <comment authorId="0" ref="K4">
      <text>
        <t xml:space="preserve">Rentabilidade
</t>
      </text>
    </comment>
    <comment authorId="0" ref="L4">
      <text>
        <t xml:space="preserve">Rentabilidade
(considerando os proventos recebidos)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K1">
      <text>
        <t xml:space="preserve">Resultado líquidos c/ operações de venda.</t>
      </text>
    </comment>
  </commentList>
</comments>
</file>

<file path=xl/sharedStrings.xml><?xml version="1.0" encoding="utf-8"?>
<sst xmlns="http://schemas.openxmlformats.org/spreadsheetml/2006/main" count="540" uniqueCount="217">
  <si>
    <t>PATRIMÔNIO</t>
  </si>
  <si>
    <t>RENTABILIDADE</t>
  </si>
  <si>
    <t>PROVENTOS</t>
  </si>
  <si>
    <t>INDICADORES</t>
  </si>
  <si>
    <t>PAGAMENTOS DE PROVENTOS</t>
  </si>
  <si>
    <t>INFORMAÇÕES DOS ATIVOS EM CARTEIRA</t>
  </si>
  <si>
    <t>Considerar</t>
  </si>
  <si>
    <t>ECONOMIA</t>
  </si>
  <si>
    <t>&lt; Todos &gt;</t>
  </si>
  <si>
    <t>Data</t>
  </si>
  <si>
    <t>MAI</t>
  </si>
  <si>
    <t>Cotação</t>
  </si>
  <si>
    <t>Variação (%)</t>
  </si>
  <si>
    <t>Qtde.</t>
  </si>
  <si>
    <t>PM</t>
  </si>
  <si>
    <t>Total</t>
  </si>
  <si>
    <t>R+P+O</t>
  </si>
  <si>
    <t>CDI</t>
  </si>
  <si>
    <t>R+P</t>
  </si>
  <si>
    <t>SELIC</t>
  </si>
  <si>
    <t>Custo</t>
  </si>
  <si>
    <t>R</t>
  </si>
  <si>
    <t>ÍNDICES/BOLSAS</t>
  </si>
  <si>
    <t>Ativo</t>
  </si>
  <si>
    <t>Tipo</t>
  </si>
  <si>
    <t>Dt Pgto</t>
  </si>
  <si>
    <t>IBOV</t>
  </si>
  <si>
    <t>IFIX</t>
  </si>
  <si>
    <t>.DJI</t>
  </si>
  <si>
    <t>DOW 30</t>
  </si>
  <si>
    <t>.INX</t>
  </si>
  <si>
    <t>S&amp;P 500</t>
  </si>
  <si>
    <t>.IXIC</t>
  </si>
  <si>
    <t>NASDAQ</t>
  </si>
  <si>
    <t>Resultado</t>
  </si>
  <si>
    <t>CÂMBIO</t>
  </si>
  <si>
    <t>usdbrl</t>
  </si>
  <si>
    <t>DOLAR</t>
  </si>
  <si>
    <t>OPERAÇÕES</t>
  </si>
  <si>
    <t>EURBRL</t>
  </si>
  <si>
    <t>EURO</t>
  </si>
  <si>
    <t>GBPBRL</t>
  </si>
  <si>
    <t>LIBRA</t>
  </si>
  <si>
    <t>CRIPTOMOEDAS</t>
  </si>
  <si>
    <t>BTCUSD</t>
  </si>
  <si>
    <t>BTC</t>
  </si>
  <si>
    <t>BTCBRL</t>
  </si>
  <si>
    <t>ETHUSD</t>
  </si>
  <si>
    <t>ETH</t>
  </si>
  <si>
    <t>ETHBRL</t>
  </si>
  <si>
    <t>XRP</t>
  </si>
  <si>
    <t>BCH</t>
  </si>
  <si>
    <t>USDT</t>
  </si>
  <si>
    <t>LINK</t>
  </si>
  <si>
    <t>LTC</t>
  </si>
  <si>
    <t>RESULTADO BR</t>
  </si>
  <si>
    <t>RESULTADO USA</t>
  </si>
  <si>
    <t>Ticker</t>
  </si>
  <si>
    <t>Razão Social</t>
  </si>
  <si>
    <t>CNPJ</t>
  </si>
  <si>
    <t>Classe</t>
  </si>
  <si>
    <t>Administradora</t>
  </si>
  <si>
    <t>País</t>
  </si>
  <si>
    <t>Nota</t>
  </si>
  <si>
    <t>BCFF11</t>
  </si>
  <si>
    <t>FUNDO DE INVESTIMENTO IMOBILIÁRIO - FII BTG PACTUAL FUNDO DE FUNDOS</t>
  </si>
  <si>
    <t>11.026.627/0001-38</t>
  </si>
  <si>
    <t>FII</t>
  </si>
  <si>
    <t>BTG PACTUAL SERVIÇOS FINANCEIROS S/A DTVM</t>
  </si>
  <si>
    <t>59.281.253/0001-23</t>
  </si>
  <si>
    <t>Brasil</t>
  </si>
  <si>
    <t>GRND3</t>
  </si>
  <si>
    <t>GRENDENE S.A.</t>
  </si>
  <si>
    <t>89.850.341/0001-60</t>
  </si>
  <si>
    <t>ON</t>
  </si>
  <si>
    <t>AÇÃO</t>
  </si>
  <si>
    <t>-</t>
  </si>
  <si>
    <t>WEGE3</t>
  </si>
  <si>
    <t>WEG S.A.</t>
  </si>
  <si>
    <t>84.429.695/0001-11</t>
  </si>
  <si>
    <t>BIDI4</t>
  </si>
  <si>
    <t>BANCO INTER S.A.</t>
  </si>
  <si>
    <t>00.416.968/0001-01</t>
  </si>
  <si>
    <t>PN</t>
  </si>
  <si>
    <t>ITUB3</t>
  </si>
  <si>
    <t>ITAU UNIBANCO HOLDING S.A.</t>
  </si>
  <si>
    <t>60.872.504/0001-23</t>
  </si>
  <si>
    <t>FLRY3</t>
  </si>
  <si>
    <t>FLEURY S.A.</t>
  </si>
  <si>
    <t>60.840.055/0001-31</t>
  </si>
  <si>
    <t>EGIE3</t>
  </si>
  <si>
    <t>ENGIE BRASIL ENERGIA S.A.</t>
  </si>
  <si>
    <t>02.474.103/0001-19</t>
  </si>
  <si>
    <t>HGLG11</t>
  </si>
  <si>
    <t>CSHG LOGÍSTICA - FUNDO DE INVESTIMENTO IMOBILIÁRIO - FII</t>
  </si>
  <si>
    <t>11.728.688/0001-47</t>
  </si>
  <si>
    <t>CREDIT SUISSE HEDGING-GRIFFO CORRETORA DE VALORES S.A.</t>
  </si>
  <si>
    <t>61.809.182/0001-30</t>
  </si>
  <si>
    <t>KNRI11</t>
  </si>
  <si>
    <t>KINEA RENDA IMOBILIÁRIA - FII</t>
  </si>
  <si>
    <t>12.005.956/0001-65</t>
  </si>
  <si>
    <t>INTRAG DTVM LTDA.</t>
  </si>
  <si>
    <t>62.418.140/0001-31</t>
  </si>
  <si>
    <t>HGRE11</t>
  </si>
  <si>
    <t>CSHG REAL ESTATE - FUNDO DE INVESTIMENTO IMOBILIÁRIO - FII</t>
  </si>
  <si>
    <t>09.072.017/0001-29</t>
  </si>
  <si>
    <t>HGBS11</t>
  </si>
  <si>
    <t>HEDGE BRASIL SHOPPING FUNDO DE INVESTIMENTO IMOBILIÁRIO</t>
  </si>
  <si>
    <t>08.431.747/0001-06</t>
  </si>
  <si>
    <t>HEDGE INVESTMENTS DISTRIBUIDORA DE TÍTULOS E VALORES MOBILIÁRIOS LTDA.</t>
  </si>
  <si>
    <t>07.253.654/0001-76</t>
  </si>
  <si>
    <t>ABEV3</t>
  </si>
  <si>
    <t>AMBEV S/A</t>
  </si>
  <si>
    <t>07.526.557/0001-00</t>
  </si>
  <si>
    <t>ODPV3</t>
  </si>
  <si>
    <t>ODONTOPREV S.A.</t>
  </si>
  <si>
    <t>58.119.199/0001-51</t>
  </si>
  <si>
    <t>MGLU3</t>
  </si>
  <si>
    <t>MAGAZINE LUIZA S.A.</t>
  </si>
  <si>
    <t>47.960.950/0001-21</t>
  </si>
  <si>
    <t>RADL3</t>
  </si>
  <si>
    <t>RAIA DROGASIL S.A.</t>
  </si>
  <si>
    <t>61.585.865/0001-51</t>
  </si>
  <si>
    <t>BITCOIN</t>
  </si>
  <si>
    <t>CRIPTO</t>
  </si>
  <si>
    <t>ETHEREUM</t>
  </si>
  <si>
    <t>XPBR31</t>
  </si>
  <si>
    <t>XP INC.</t>
  </si>
  <si>
    <t>35.306.280/0001-45</t>
  </si>
  <si>
    <t>BDR</t>
  </si>
  <si>
    <t>AAPL34</t>
  </si>
  <si>
    <t>ENBR3</t>
  </si>
  <si>
    <t>IVVB11</t>
  </si>
  <si>
    <t>ETF</t>
  </si>
  <si>
    <t>Alias</t>
  </si>
  <si>
    <t>Nome Fantasia</t>
  </si>
  <si>
    <t>CLEAR</t>
  </si>
  <si>
    <t>CLEAR CORRETORA DE TITULOS E VALORES MOBILIARIOS S.A.</t>
  </si>
  <si>
    <t>15.107.963/0001-66</t>
  </si>
  <si>
    <t>Corretora</t>
  </si>
  <si>
    <t>COINEXT</t>
  </si>
  <si>
    <t>COINEXT SERVIÇOS DIGITAIS LTDA</t>
  </si>
  <si>
    <t>29.242.868/0001-80</t>
  </si>
  <si>
    <t>Exchange</t>
  </si>
  <si>
    <t>XPI</t>
  </si>
  <si>
    <t>XP INVESTIMENTOS CCTVM S/A</t>
  </si>
  <si>
    <t>XP INVESTIMENTOS CORRETORA DE CAMBIO, TITULOS E VALORES MOBILIARIOS S/A</t>
  </si>
  <si>
    <t>02.332.886/0001-04</t>
  </si>
  <si>
    <t>Op.</t>
  </si>
  <si>
    <t>Preço Uni. / Ajuste</t>
  </si>
  <si>
    <t>Taxas</t>
  </si>
  <si>
    <t>IRRF</t>
  </si>
  <si>
    <t>Split Ratio</t>
  </si>
  <si>
    <t>Rateio
Taxas</t>
  </si>
  <si>
    <t>Rateio
IRRF</t>
  </si>
  <si>
    <t>Qtde Anterior</t>
  </si>
  <si>
    <t>Qtde 
Atual</t>
  </si>
  <si>
    <t>Custo Bruto  da Operação</t>
  </si>
  <si>
    <t>Custo Líquido da Operação</t>
  </si>
  <si>
    <t>Custo Líquido Anterior</t>
  </si>
  <si>
    <t>Custo Líquido Atual</t>
  </si>
  <si>
    <t>PM
Atual</t>
  </si>
  <si>
    <t>Custo da Operação</t>
  </si>
  <si>
    <t>Ganhos/Perdas c/ Venda</t>
  </si>
  <si>
    <t>Ganhos / Perdas (%)</t>
  </si>
  <si>
    <t>C</t>
  </si>
  <si>
    <t>V</t>
  </si>
  <si>
    <t>CISÃO</t>
  </si>
  <si>
    <t>Preço</t>
  </si>
  <si>
    <t>Qtde
Anterior</t>
  </si>
  <si>
    <t>Data-Com</t>
  </si>
  <si>
    <t>Data-Pgto</t>
  </si>
  <si>
    <t>Valor Nominal</t>
  </si>
  <si>
    <t>Valor Líquido</t>
  </si>
  <si>
    <t>YoC</t>
  </si>
  <si>
    <t>J</t>
  </si>
  <si>
    <t>D</t>
  </si>
  <si>
    <t>Aporte</t>
  </si>
  <si>
    <t>Total investido</t>
  </si>
  <si>
    <t>Posição Atual</t>
  </si>
  <si>
    <t>Posição Ideal</t>
  </si>
  <si>
    <t>Ajuste de Posição</t>
  </si>
  <si>
    <t>Qtde</t>
  </si>
  <si>
    <t>Valor</t>
  </si>
  <si>
    <t>%</t>
  </si>
  <si>
    <t>Status</t>
  </si>
  <si>
    <t>Classe de ativo</t>
  </si>
  <si>
    <t>Proventos</t>
  </si>
  <si>
    <t>PM-d</t>
  </si>
  <si>
    <t>Resultado+P</t>
  </si>
  <si>
    <t>%R</t>
  </si>
  <si>
    <t>%R+d</t>
  </si>
  <si>
    <t>%Carteira</t>
  </si>
  <si>
    <t>Classe Ativo</t>
  </si>
  <si>
    <t>TOTAL</t>
  </si>
  <si>
    <t>JAN</t>
  </si>
  <si>
    <t>FEV</t>
  </si>
  <si>
    <t>MAR</t>
  </si>
  <si>
    <t>ABR</t>
  </si>
  <si>
    <t>JUN</t>
  </si>
  <si>
    <t>JUL</t>
  </si>
  <si>
    <t>AGO</t>
  </si>
  <si>
    <t>SET</t>
  </si>
  <si>
    <t>OUT</t>
  </si>
  <si>
    <t>NOV</t>
  </si>
  <si>
    <t>DEZ</t>
  </si>
  <si>
    <t>MÉDIA</t>
  </si>
  <si>
    <t>RL c/ operações</t>
  </si>
  <si>
    <t>Classe de Ativo</t>
  </si>
  <si>
    <t>Ativos BR</t>
  </si>
  <si>
    <t>Criptos</t>
  </si>
  <si>
    <t>Estados Unidos</t>
  </si>
  <si>
    <t>STOCK</t>
  </si>
  <si>
    <t>USA</t>
  </si>
  <si>
    <t>REIT</t>
  </si>
  <si>
    <t>ETF-US</t>
  </si>
  <si>
    <t>ADR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</si>
</sst>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0">
    <numFmt numFmtId="164" formatCode="mmm&quot;/&quot;yyyy"/>
    <numFmt numFmtId="165" formatCode="#,##0.00;(#,##0.00)"/>
    <numFmt numFmtId="166" formatCode="0.0"/>
    <numFmt numFmtId="167" formatCode="dd/MM/yyyy"/>
    <numFmt numFmtId="168" formatCode="[$$]#,##0.00"/>
    <numFmt numFmtId="169" formatCode="[$€]#,##0.00"/>
    <numFmt numFmtId="170" formatCode="[$£]#,##0.00"/>
    <numFmt numFmtId="171" formatCode="dd&quot;-&quot;mm&quot;-&quot;yy"/>
    <numFmt numFmtId="172" formatCode="$#,##0.00"/>
    <numFmt numFmtId="173" formatCode="#,##0.0000;(#,##0.0000)"/>
    <numFmt numFmtId="174" formatCode="dd&quot;/&quot;mm&quot;/&quot;yyyy"/>
    <numFmt numFmtId="175" formatCode="dd-mm-yy"/>
    <numFmt numFmtId="176" formatCode="0.0000000000"/>
    <numFmt numFmtId="177" formatCode="#,##0.000000000;(#,##0.000000000)"/>
    <numFmt numFmtId="178" formatCode="#,##0.00000000000;(#,##0.00000000000)"/>
    <numFmt numFmtId="179" formatCode="dd/mm/yyyy"/>
    <numFmt numFmtId="180" formatCode="d/m/yyyy"/>
    <numFmt numFmtId="181" formatCode="d/m/yy"/>
    <numFmt numFmtId="182" formatCode="d-m-yy"/>
    <numFmt numFmtId="183" formatCode="[$R$ -416]#,##0.00"/>
  </numFmts>
  <fonts count="49">
    <font>
      <sz val="10.0"/>
      <color rgb="FF000000"/>
      <name val="Arial"/>
    </font>
    <font>
      <color rgb="FFD9D9D9"/>
      <name val="Calibri"/>
    </font>
    <font>
      <sz val="11.0"/>
      <color rgb="FFD9D9D9"/>
      <name val="Calibri"/>
    </font>
    <font>
      <color rgb="FFE69138"/>
      <name val="Calibri"/>
    </font>
    <font>
      <color rgb="FF2B353E"/>
      <name val="Calibri"/>
    </font>
    <font>
      <b/>
      <sz val="15.0"/>
      <color rgb="FFFFFFFF"/>
      <name val="Calibri"/>
    </font>
    <font>
      <b/>
      <sz val="14.0"/>
      <color rgb="FFFFFFFF"/>
      <name val="Calibri"/>
    </font>
    <font/>
    <font>
      <sz val="14.0"/>
      <color rgb="FFD9D9D9"/>
      <name val="Calibri"/>
    </font>
    <font>
      <sz val="11.0"/>
      <color rgb="FFFFFFFF"/>
      <name val="Calibri"/>
    </font>
    <font>
      <color rgb="FF000000"/>
      <name val="Calibri"/>
    </font>
    <font>
      <b/>
      <sz val="11.0"/>
      <color rgb="FFFFFFFF"/>
      <name val="Calibri"/>
    </font>
    <font>
      <b/>
      <color rgb="FFD9D9D9"/>
      <name val="Calibri"/>
    </font>
    <font>
      <b/>
      <color rgb="FF000000"/>
      <name val="Calibri"/>
    </font>
    <font>
      <color rgb="FFFFFFFF"/>
      <name val="Calibri"/>
    </font>
    <font>
      <sz val="20.0"/>
      <color rgb="FFFFFFFF"/>
      <name val="Calibri"/>
    </font>
    <font>
      <sz val="15.0"/>
      <color rgb="FFFFFFFF"/>
      <name val="Calibri"/>
    </font>
    <font>
      <sz val="11.0"/>
      <color rgb="FF000000"/>
      <name val="Calibri"/>
    </font>
    <font>
      <b/>
      <color rgb="FFE69138"/>
      <name val="Calibri"/>
    </font>
    <font>
      <b/>
      <color rgb="FFFFFFFF"/>
      <name val="Calibri"/>
    </font>
    <font>
      <b/>
      <sz val="15.0"/>
      <color rgb="FFD9D9D9"/>
      <name val="Calibri"/>
    </font>
    <font>
      <sz val="13.0"/>
      <color rgb="FFFFFFFF"/>
      <name val="Calibri"/>
    </font>
    <font>
      <sz val="10.0"/>
      <color rgb="FFFFFFFF"/>
      <name val="Calibri"/>
    </font>
    <font>
      <b/>
      <sz val="15.0"/>
      <color rgb="FF000000"/>
      <name val="Calibri"/>
    </font>
    <font>
      <b/>
      <sz val="3.0"/>
      <color rgb="FF37434E"/>
      <name val="Calibri"/>
    </font>
    <font>
      <b/>
      <sz val="1.0"/>
      <color rgb="FF37434E"/>
      <name val="Calibri"/>
    </font>
    <font>
      <b/>
      <sz val="14.0"/>
      <color rgb="FFD9D9D9"/>
      <name val="Calibri"/>
    </font>
    <font>
      <sz val="14.0"/>
      <color rgb="FFFFFFFF"/>
      <name val="Calibri"/>
    </font>
    <font>
      <sz val="10.0"/>
      <color rgb="FF434343"/>
      <name val="Calibri"/>
    </font>
    <font>
      <sz val="10.0"/>
      <color rgb="FFCCCCCC"/>
      <name val="Calibri"/>
    </font>
    <font>
      <color rgb="FF434343"/>
      <name val="Calibri"/>
    </font>
    <font>
      <b/>
      <sz val="13.0"/>
      <color rgb="FFFFFFFF"/>
      <name val="Calibri"/>
    </font>
    <font>
      <b/>
      <sz val="13.0"/>
      <color rgb="FF000000"/>
      <name val="Calibri"/>
    </font>
    <font>
      <sz val="14.0"/>
      <color rgb="FFEFEFEF"/>
      <name val="Calibri"/>
    </font>
    <font>
      <sz val="16.0"/>
      <color rgb="FFFFFFFF"/>
      <name val="Calibri"/>
    </font>
    <font>
      <sz val="13.0"/>
      <color rgb="FF000000"/>
      <name val="Calibri"/>
    </font>
    <font>
      <b/>
      <sz val="16.0"/>
      <color rgb="FFFFFFFF"/>
      <name val="Calibri"/>
    </font>
    <font>
      <b/>
      <sz val="10.0"/>
      <color rgb="FFFFFFFF"/>
      <name val="Calibri"/>
    </font>
    <font>
      <b/>
      <sz val="18.0"/>
      <color rgb="FFFFFFFF"/>
      <name val="Calibri"/>
    </font>
    <font>
      <b/>
      <sz val="12.0"/>
      <color rgb="FFFFFFFF"/>
      <name val="Calibri"/>
    </font>
    <font>
      <b/>
      <sz val="10.0"/>
      <color rgb="FF000000"/>
      <name val="Calibri"/>
    </font>
    <font>
      <b/>
      <sz val="12.0"/>
      <color rgb="FF000000"/>
      <name val="Calibri"/>
    </font>
    <font>
      <b/>
      <sz val="18.0"/>
      <color rgb="FFF3F3F3"/>
      <name val="Calibri"/>
    </font>
    <font>
      <b/>
      <sz val="18.0"/>
      <color rgb="FFD9D9D9"/>
      <name val="Calibri"/>
    </font>
    <font>
      <b/>
      <sz val="13.0"/>
      <color rgb="FFD9D9D9"/>
      <name val="Calibri"/>
    </font>
    <font>
      <b/>
      <color rgb="FFFFFFFF"/>
    </font>
    <font>
      <b/>
    </font>
    <font>
      <color rgb="FFFFFFFF"/>
    </font>
    <font>
      <sz val="11.0"/>
      <color rgb="FF000000"/>
      <name val="Inconsolata"/>
    </font>
  </fonts>
  <fills count="23">
    <fill>
      <patternFill patternType="none"/>
    </fill>
    <fill>
      <patternFill patternType="lightGray"/>
    </fill>
    <fill>
      <patternFill patternType="solid">
        <fgColor rgb="FF2B353E"/>
        <bgColor rgb="FF2B353E"/>
      </patternFill>
    </fill>
    <fill>
      <patternFill patternType="solid">
        <fgColor rgb="FF0C343D"/>
        <bgColor rgb="FF0C343D"/>
      </patternFill>
    </fill>
    <fill>
      <patternFill patternType="solid">
        <fgColor rgb="FF126C81"/>
        <bgColor rgb="FF126C81"/>
      </patternFill>
    </fill>
    <fill>
      <patternFill patternType="solid">
        <fgColor rgb="FF34597A"/>
        <bgColor rgb="FF34597A"/>
      </patternFill>
    </fill>
    <fill>
      <patternFill patternType="solid">
        <fgColor rgb="FF134F5C"/>
        <bgColor rgb="FF134F5C"/>
      </patternFill>
    </fill>
    <fill>
      <patternFill patternType="solid">
        <fgColor rgb="FF007368"/>
        <bgColor rgb="FF007368"/>
      </patternFill>
    </fill>
    <fill>
      <patternFill patternType="solid">
        <fgColor rgb="FFFFF2CC"/>
        <bgColor rgb="FFFFF2CC"/>
      </patternFill>
    </fill>
    <fill>
      <patternFill patternType="solid">
        <fgColor rgb="FFB7E1CD"/>
        <bgColor rgb="FFB7E1CD"/>
      </patternFill>
    </fill>
    <fill>
      <patternFill patternType="solid">
        <fgColor rgb="FF37434E"/>
        <bgColor rgb="FF37434E"/>
      </patternFill>
    </fill>
    <fill>
      <patternFill patternType="solid">
        <fgColor rgb="FF85200C"/>
        <bgColor rgb="FF85200C"/>
      </patternFill>
    </fill>
    <fill>
      <patternFill patternType="solid">
        <fgColor rgb="FFA61C00"/>
        <bgColor rgb="FFA61C00"/>
      </patternFill>
    </fill>
    <fill>
      <patternFill patternType="solid">
        <fgColor rgb="FF5E84A7"/>
        <bgColor rgb="FF5E84A7"/>
      </patternFill>
    </fill>
    <fill>
      <patternFill patternType="solid">
        <fgColor rgb="FFE6B8AF"/>
        <bgColor rgb="FFE6B8AF"/>
      </patternFill>
    </fill>
    <fill>
      <patternFill patternType="solid">
        <fgColor rgb="FF741B47"/>
        <bgColor rgb="FF741B47"/>
      </patternFill>
    </fill>
    <fill>
      <patternFill patternType="solid">
        <fgColor rgb="FFA64D79"/>
        <bgColor rgb="FFA64D79"/>
      </patternFill>
    </fill>
    <fill>
      <patternFill patternType="solid">
        <fgColor rgb="FFBDBDBD"/>
        <bgColor rgb="FFBDBDBD"/>
      </patternFill>
    </fill>
    <fill>
      <patternFill patternType="solid">
        <fgColor rgb="FF76A5AF"/>
        <bgColor rgb="FF76A5AF"/>
      </patternFill>
    </fill>
    <fill>
      <patternFill patternType="solid">
        <fgColor rgb="FFE06666"/>
        <bgColor rgb="FFE06666"/>
      </patternFill>
    </fill>
    <fill>
      <patternFill patternType="solid">
        <fgColor rgb="FFF3F3F3"/>
        <bgColor rgb="FFF3F3F3"/>
      </patternFill>
    </fill>
    <fill>
      <patternFill patternType="solid">
        <fgColor rgb="FF222222"/>
        <bgColor rgb="FF222222"/>
      </patternFill>
    </fill>
    <fill>
      <patternFill patternType="solid">
        <fgColor rgb="FFFFFFFF"/>
        <bgColor rgb="FFFFFFFF"/>
      </patternFill>
    </fill>
  </fills>
  <borders count="19">
    <border/>
    <border>
      <bottom style="thin">
        <color rgb="FFFFFFFF"/>
      </bottom>
    </border>
    <border>
      <right style="thick">
        <color rgb="FF2B353E"/>
      </right>
      <bottom style="thin">
        <color rgb="FFFFFFFF"/>
      </bottom>
    </border>
    <border>
      <top style="thin">
        <color rgb="FFFFF2CC"/>
      </top>
      <bottom style="thin">
        <color rgb="FFFFFFFF"/>
      </bottom>
    </border>
    <border>
      <bottom style="thick">
        <color rgb="FF2B353E"/>
      </bottom>
    </border>
    <border>
      <bottom style="thin">
        <color rgb="FFB7E1CD"/>
      </bottom>
    </border>
    <border>
      <right style="dotted">
        <color rgb="FFB7B7B7"/>
      </right>
    </border>
    <border>
      <left style="dotted">
        <color rgb="FFB7B7B7"/>
      </left>
      <right style="dotted">
        <color rgb="FFB7B7B7"/>
      </right>
    </border>
    <border>
      <left style="dotted">
        <color rgb="FFB7B7B7"/>
      </left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top style="thin">
        <color rgb="FFD9D9D9"/>
      </top>
      <bottom style="thin">
        <color rgb="FFD9D9D9"/>
      </bottom>
    </border>
    <border>
      <left style="thin">
        <color rgb="FF37434E"/>
      </left>
      <right style="thin">
        <color rgb="FF37434E"/>
      </right>
      <bottom style="thin">
        <color rgb="FF37434E"/>
      </bottom>
    </border>
    <border>
      <left style="thin">
        <color rgb="FF37434E"/>
      </left>
      <right style="thin">
        <color rgb="FF37434E"/>
      </right>
      <top style="thin">
        <color rgb="FF37434E"/>
      </top>
      <bottom style="thin">
        <color rgb="FF37434E"/>
      </bottom>
    </border>
    <border>
      <left style="thin">
        <color rgb="FFD9D9D9"/>
      </left>
      <right style="thin">
        <color rgb="FFD9D9D9"/>
      </right>
      <bottom style="thin">
        <color rgb="FFD9D9D9"/>
      </bottom>
    </border>
    <border>
      <left style="thin">
        <color rgb="FFD9D9D9"/>
      </left>
      <bottom style="thin">
        <color rgb="FFD9D9D9"/>
      </bottom>
    </border>
    <border>
      <right style="thin">
        <color rgb="FF37434E"/>
      </right>
      <bottom style="thin">
        <color rgb="FF37434E"/>
      </bottom>
    </border>
    <border>
      <left style="thin">
        <color rgb="FF5E84A7"/>
      </left>
    </border>
    <border>
      <right style="thin">
        <color rgb="FF5E84A7"/>
      </right>
    </border>
    <border>
      <bottom style="thin">
        <color rgb="FF126C81"/>
      </bottom>
    </border>
  </borders>
  <cellStyleXfs count="1">
    <xf borderId="0" fillId="0" fontId="0" numFmtId="0" applyAlignment="1" applyFont="1"/>
  </cellStyleXfs>
  <cellXfs count="26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center"/>
    </xf>
    <xf borderId="0" fillId="2" fontId="2" numFmtId="0" xfId="0" applyAlignment="1" applyFont="1">
      <alignment vertical="center"/>
    </xf>
    <xf borderId="0" fillId="2" fontId="1" numFmtId="0" xfId="0" applyAlignment="1" applyFont="1">
      <alignment vertical="center"/>
    </xf>
    <xf borderId="0" fillId="2" fontId="2" numFmtId="0" xfId="0" applyAlignment="1" applyFont="1">
      <alignment horizontal="right" vertical="center"/>
    </xf>
    <xf borderId="0" fillId="2" fontId="1" numFmtId="0" xfId="0" applyAlignment="1" applyFont="1">
      <alignment horizontal="center" vertical="center"/>
    </xf>
    <xf borderId="0" fillId="2" fontId="3" numFmtId="0" xfId="0" applyAlignment="1" applyFont="1">
      <alignment vertical="center"/>
    </xf>
    <xf borderId="0" fillId="2" fontId="4" numFmtId="164" xfId="0" applyAlignment="1" applyFont="1" applyNumberFormat="1">
      <alignment horizontal="right" vertical="center"/>
    </xf>
    <xf borderId="0" fillId="2" fontId="4" numFmtId="0" xfId="0" applyAlignment="1" applyFont="1">
      <alignment horizontal="center" readingOrder="0" vertical="center"/>
    </xf>
    <xf borderId="0" fillId="2" fontId="4" numFmtId="164" xfId="0" applyAlignment="1" applyFont="1" applyNumberFormat="1">
      <alignment vertical="center"/>
    </xf>
    <xf borderId="0" fillId="2" fontId="5" numFmtId="0" xfId="0" applyAlignment="1" applyFont="1">
      <alignment horizontal="center" readingOrder="0" vertical="center"/>
    </xf>
    <xf borderId="1" fillId="3" fontId="6" numFmtId="0" xfId="0" applyAlignment="1" applyBorder="1" applyFill="1" applyFont="1">
      <alignment horizontal="center" readingOrder="0" vertical="center"/>
    </xf>
    <xf borderId="1" fillId="0" fontId="7" numFmtId="0" xfId="0" applyBorder="1" applyFont="1"/>
    <xf borderId="0" fillId="2" fontId="8" numFmtId="0" xfId="0" applyAlignment="1" applyFont="1">
      <alignment vertical="center"/>
    </xf>
    <xf borderId="1" fillId="4" fontId="6" numFmtId="0" xfId="0" applyAlignment="1" applyBorder="1" applyFill="1" applyFont="1">
      <alignment horizontal="center" readingOrder="0" vertical="center"/>
    </xf>
    <xf borderId="1" fillId="5" fontId="6" numFmtId="0" xfId="0" applyAlignment="1" applyBorder="1" applyFill="1" applyFont="1">
      <alignment horizontal="center" readingOrder="0" vertical="center"/>
    </xf>
    <xf borderId="2" fillId="0" fontId="7" numFmtId="0" xfId="0" applyBorder="1" applyFont="1"/>
    <xf borderId="0" fillId="2" fontId="6" numFmtId="0" xfId="0" applyAlignment="1" applyFont="1">
      <alignment horizontal="center" readingOrder="0" vertical="center"/>
    </xf>
    <xf borderId="0" fillId="2" fontId="6" numFmtId="10" xfId="0" applyAlignment="1" applyFont="1" applyNumberFormat="1">
      <alignment horizontal="center" vertical="center"/>
    </xf>
    <xf borderId="0" fillId="6" fontId="6" numFmtId="10" xfId="0" applyAlignment="1" applyFill="1" applyFont="1" applyNumberFormat="1">
      <alignment horizontal="center" readingOrder="0" vertical="center"/>
    </xf>
    <xf borderId="0" fillId="7" fontId="6" numFmtId="165" xfId="0" applyAlignment="1" applyFill="1" applyFont="1" applyNumberFormat="1">
      <alignment horizontal="center" readingOrder="0" vertical="center"/>
    </xf>
    <xf borderId="0" fillId="2" fontId="9" numFmtId="0" xfId="0" applyAlignment="1" applyFont="1">
      <alignment horizontal="right" readingOrder="0" vertical="center"/>
    </xf>
    <xf borderId="0" fillId="8" fontId="10" numFmtId="0" xfId="0" applyAlignment="1" applyFill="1" applyFont="1">
      <alignment readingOrder="0"/>
    </xf>
    <xf borderId="1" fillId="2" fontId="11" numFmtId="0" xfId="0" applyAlignment="1" applyBorder="1" applyFont="1">
      <alignment horizontal="center" readingOrder="0" vertical="center"/>
    </xf>
    <xf borderId="0" fillId="2" fontId="12" numFmtId="0" xfId="0" applyAlignment="1" applyFont="1">
      <alignment horizontal="center" readingOrder="0" vertical="center"/>
    </xf>
    <xf borderId="1" fillId="8" fontId="13" numFmtId="0" xfId="0" applyAlignment="1" applyBorder="1" applyFont="1">
      <alignment horizontal="center" readingOrder="0" vertical="center"/>
    </xf>
    <xf borderId="1" fillId="2" fontId="14" numFmtId="0" xfId="0" applyAlignment="1" applyBorder="1" applyFont="1">
      <alignment horizontal="right" readingOrder="0" vertical="center"/>
    </xf>
    <xf borderId="1" fillId="8" fontId="13" numFmtId="0" xfId="0" applyAlignment="1" applyBorder="1" applyFont="1">
      <alignment horizontal="left" readingOrder="0" vertical="center"/>
    </xf>
    <xf borderId="1" fillId="2" fontId="12" numFmtId="0" xfId="0" applyAlignment="1" applyBorder="1" applyFont="1">
      <alignment horizontal="center" readingOrder="0" vertical="center"/>
    </xf>
    <xf borderId="3" fillId="2" fontId="12" numFmtId="0" xfId="0" applyAlignment="1" applyBorder="1" applyFont="1">
      <alignment horizontal="center" readingOrder="0" vertical="center"/>
    </xf>
    <xf borderId="0" fillId="8" fontId="13" numFmtId="0" xfId="0" applyAlignment="1" applyFont="1">
      <alignment horizontal="center" readingOrder="0" vertical="center"/>
    </xf>
    <xf borderId="0" fillId="2" fontId="14" numFmtId="0" xfId="0" applyAlignment="1" applyFont="1">
      <alignment horizontal="right" readingOrder="0" vertical="center"/>
    </xf>
    <xf borderId="0" fillId="6" fontId="9" numFmtId="0" xfId="0" applyAlignment="1" applyFont="1">
      <alignment horizontal="right" readingOrder="0" vertical="center"/>
    </xf>
    <xf borderId="0" fillId="6" fontId="15" numFmtId="165" xfId="0" applyAlignment="1" applyFont="1" applyNumberFormat="1">
      <alignment vertical="center"/>
    </xf>
    <xf borderId="0" fillId="7" fontId="9" numFmtId="0" xfId="0" applyAlignment="1" applyFont="1">
      <alignment horizontal="right" readingOrder="0" vertical="center"/>
    </xf>
    <xf borderId="0" fillId="7" fontId="14" numFmtId="10" xfId="0" applyAlignment="1" applyFont="1" applyNumberFormat="1">
      <alignment horizontal="right" readingOrder="0" vertical="center"/>
    </xf>
    <xf borderId="0" fillId="7" fontId="16" numFmtId="165" xfId="0" applyAlignment="1" applyFont="1" applyNumberFormat="1">
      <alignment vertical="center"/>
    </xf>
    <xf borderId="1" fillId="9" fontId="17" numFmtId="0" xfId="0" applyAlignment="1" applyBorder="1" applyFill="1" applyFont="1">
      <alignment horizontal="right" readingOrder="0" vertical="center"/>
    </xf>
    <xf borderId="1" fillId="9" fontId="10" numFmtId="10" xfId="0" applyAlignment="1" applyBorder="1" applyFont="1" applyNumberFormat="1">
      <alignment horizontal="center" vertical="center"/>
    </xf>
    <xf borderId="1" fillId="9" fontId="10" numFmtId="165" xfId="0" applyAlignment="1" applyBorder="1" applyFont="1" applyNumberFormat="1">
      <alignment vertical="center"/>
    </xf>
    <xf borderId="0" fillId="10" fontId="18" numFmtId="0" xfId="0" applyAlignment="1" applyFill="1" applyFont="1">
      <alignment horizontal="right" readingOrder="0" vertical="center"/>
    </xf>
    <xf borderId="0" fillId="10" fontId="19" numFmtId="0" xfId="0" applyAlignment="1" applyFont="1">
      <alignment horizontal="right" readingOrder="0" vertical="center"/>
    </xf>
    <xf borderId="0" fillId="10" fontId="14" numFmtId="0" xfId="0" applyAlignment="1" applyFont="1">
      <alignment horizontal="right" vertical="center"/>
    </xf>
    <xf borderId="0" fillId="10" fontId="20" numFmtId="2" xfId="0" applyAlignment="1" applyFont="1" applyNumberFormat="1">
      <alignment horizontal="center" readingOrder="0" vertical="center"/>
    </xf>
    <xf borderId="0" fillId="10" fontId="12" numFmtId="165" xfId="0" applyAlignment="1" applyFont="1" applyNumberFormat="1">
      <alignment horizontal="center" readingOrder="0" vertical="center"/>
    </xf>
    <xf borderId="0" fillId="10" fontId="1" numFmtId="10" xfId="0" applyAlignment="1" applyFont="1" applyNumberFormat="1">
      <alignment horizontal="center" readingOrder="0" vertical="center"/>
    </xf>
    <xf borderId="0" fillId="2" fontId="12" numFmtId="166" xfId="0" applyAlignment="1" applyFont="1" applyNumberFormat="1">
      <alignment horizontal="center" vertical="center"/>
    </xf>
    <xf borderId="0" fillId="10" fontId="1" numFmtId="0" xfId="0" applyAlignment="1" applyFont="1">
      <alignment horizontal="center" readingOrder="0" vertical="center"/>
    </xf>
    <xf borderId="0" fillId="10" fontId="1" numFmtId="165" xfId="0" applyAlignment="1" applyFont="1" applyNumberFormat="1">
      <alignment horizontal="center" readingOrder="0" vertical="center"/>
    </xf>
    <xf borderId="0" fillId="2" fontId="1" numFmtId="10" xfId="0" applyAlignment="1" applyFont="1" applyNumberFormat="1">
      <alignment horizontal="center" readingOrder="0" vertical="center"/>
    </xf>
    <xf borderId="0" fillId="7" fontId="21" numFmtId="165" xfId="0" applyAlignment="1" applyFont="1" applyNumberFormat="1">
      <alignment vertical="center"/>
    </xf>
    <xf borderId="0" fillId="10" fontId="22" numFmtId="4" xfId="0" applyAlignment="1" applyFont="1" applyNumberFormat="1">
      <alignment horizontal="right" vertical="center"/>
    </xf>
    <xf borderId="0" fillId="2" fontId="23" numFmtId="0" xfId="0" applyAlignment="1" applyFont="1">
      <alignment horizontal="center" readingOrder="0" vertical="center"/>
    </xf>
    <xf borderId="0" fillId="6" fontId="21" numFmtId="165" xfId="0" applyAlignment="1" applyFont="1" applyNumberFormat="1">
      <alignment horizontal="right" vertical="center"/>
    </xf>
    <xf borderId="0" fillId="2" fontId="1" numFmtId="10" xfId="0" applyAlignment="1" applyFont="1" applyNumberFormat="1">
      <alignment readingOrder="0" vertical="center"/>
    </xf>
    <xf borderId="0" fillId="10" fontId="24" numFmtId="0" xfId="0" applyAlignment="1" applyFont="1">
      <alignment horizontal="right" readingOrder="0" vertical="center"/>
    </xf>
    <xf borderId="0" fillId="10" fontId="1" numFmtId="0" xfId="0" applyAlignment="1" applyFont="1">
      <alignment horizontal="center" vertical="center"/>
    </xf>
    <xf borderId="0" fillId="10" fontId="1" numFmtId="167" xfId="0" applyAlignment="1" applyFont="1" applyNumberFormat="1">
      <alignment horizontal="center" vertical="center"/>
    </xf>
    <xf borderId="0" fillId="10" fontId="14" numFmtId="2" xfId="0" applyAlignment="1" applyFont="1" applyNumberFormat="1">
      <alignment horizontal="center" vertical="center"/>
    </xf>
    <xf borderId="1" fillId="11" fontId="6" numFmtId="0" xfId="0" applyAlignment="1" applyBorder="1" applyFill="1" applyFont="1">
      <alignment horizontal="center" readingOrder="0" vertical="center"/>
    </xf>
    <xf borderId="0" fillId="12" fontId="6" numFmtId="10" xfId="0" applyAlignment="1" applyFill="1" applyFont="1" applyNumberFormat="1">
      <alignment horizontal="center" vertical="center"/>
    </xf>
    <xf borderId="0" fillId="12" fontId="9" numFmtId="0" xfId="0" applyAlignment="1" applyFont="1">
      <alignment horizontal="right" readingOrder="0" vertical="center"/>
    </xf>
    <xf borderId="0" fillId="12" fontId="21" numFmtId="165" xfId="0" applyAlignment="1" applyFont="1" applyNumberFormat="1">
      <alignment horizontal="right" vertical="center"/>
    </xf>
    <xf borderId="0" fillId="9" fontId="17" numFmtId="0" xfId="0" applyAlignment="1" applyFont="1">
      <alignment horizontal="right" readingOrder="0" vertical="center"/>
    </xf>
    <xf borderId="0" fillId="9" fontId="10" numFmtId="10" xfId="0" applyAlignment="1" applyFont="1" applyNumberFormat="1">
      <alignment horizontal="center" vertical="center"/>
    </xf>
    <xf borderId="0" fillId="9" fontId="23" numFmtId="165" xfId="0" applyAlignment="1" applyFont="1" applyNumberFormat="1">
      <alignment vertical="center"/>
    </xf>
    <xf borderId="0" fillId="2" fontId="9" numFmtId="0" xfId="0" applyAlignment="1" applyFont="1">
      <alignment horizontal="right" vertical="center"/>
    </xf>
    <xf borderId="0" fillId="2" fontId="14" numFmtId="0" xfId="0" applyAlignment="1" applyFont="1">
      <alignment horizontal="center" vertical="center"/>
    </xf>
    <xf borderId="0" fillId="2" fontId="14" numFmtId="0" xfId="0" applyAlignment="1" applyFont="1">
      <alignment vertical="center"/>
    </xf>
    <xf borderId="0" fillId="10" fontId="25" numFmtId="0" xfId="0" applyAlignment="1" applyFont="1">
      <alignment horizontal="right" readingOrder="0" vertical="center"/>
    </xf>
    <xf borderId="0" fillId="10" fontId="14" numFmtId="168" xfId="0" applyAlignment="1" applyFont="1" applyNumberFormat="1">
      <alignment horizontal="right" vertical="center"/>
    </xf>
    <xf borderId="0" fillId="10" fontId="14" numFmtId="169" xfId="0" applyAlignment="1" applyFont="1" applyNumberFormat="1">
      <alignment horizontal="right" vertical="center"/>
    </xf>
    <xf borderId="0" fillId="13" fontId="6" numFmtId="10" xfId="0" applyAlignment="1" applyFill="1" applyFont="1" applyNumberFormat="1">
      <alignment horizontal="center" vertical="center"/>
    </xf>
    <xf borderId="0" fillId="8" fontId="13" numFmtId="0" xfId="0" applyAlignment="1" applyFont="1">
      <alignment readingOrder="0"/>
    </xf>
    <xf borderId="0" fillId="10" fontId="14" numFmtId="170" xfId="0" applyAlignment="1" applyFont="1" applyNumberFormat="1">
      <alignment horizontal="right" vertical="center"/>
    </xf>
    <xf borderId="0" fillId="13" fontId="9" numFmtId="0" xfId="0" applyAlignment="1" applyFont="1">
      <alignment horizontal="right" readingOrder="0" vertical="center"/>
    </xf>
    <xf borderId="0" fillId="13" fontId="21" numFmtId="165" xfId="0" applyAlignment="1" applyFont="1" applyNumberFormat="1">
      <alignment vertical="center"/>
    </xf>
    <xf borderId="1" fillId="14" fontId="17" numFmtId="0" xfId="0" applyAlignment="1" applyBorder="1" applyFill="1" applyFont="1">
      <alignment horizontal="right" readingOrder="0" vertical="center"/>
    </xf>
    <xf borderId="1" fillId="14" fontId="10" numFmtId="10" xfId="0" applyAlignment="1" applyBorder="1" applyFont="1" applyNumberFormat="1">
      <alignment horizontal="center" vertical="center"/>
    </xf>
    <xf borderId="1" fillId="14" fontId="10" numFmtId="165" xfId="0" applyAlignment="1" applyBorder="1" applyFont="1" applyNumberFormat="1">
      <alignment vertical="center"/>
    </xf>
    <xf borderId="4" fillId="10" fontId="24" numFmtId="0" xfId="0" applyAlignment="1" applyBorder="1" applyFont="1">
      <alignment horizontal="right" readingOrder="0" vertical="center"/>
    </xf>
    <xf borderId="4" fillId="0" fontId="7" numFmtId="0" xfId="0" applyBorder="1" applyFont="1"/>
    <xf borderId="4" fillId="10" fontId="14" numFmtId="165" xfId="0" applyAlignment="1" applyBorder="1" applyFont="1" applyNumberFormat="1">
      <alignment horizontal="right" vertical="center"/>
    </xf>
    <xf borderId="1" fillId="15" fontId="6" numFmtId="0" xfId="0" applyAlignment="1" applyBorder="1" applyFill="1" applyFont="1">
      <alignment horizontal="center" readingOrder="0" vertical="center"/>
    </xf>
    <xf borderId="0" fillId="16" fontId="6" numFmtId="10" xfId="0" applyAlignment="1" applyFill="1" applyFont="1" applyNumberFormat="1">
      <alignment horizontal="center" vertical="center"/>
    </xf>
    <xf borderId="0" fillId="16" fontId="9" numFmtId="0" xfId="0" applyAlignment="1" applyFont="1">
      <alignment horizontal="right" readingOrder="0" vertical="center"/>
    </xf>
    <xf borderId="0" fillId="16" fontId="21" numFmtId="165" xfId="0" applyAlignment="1" applyFont="1" applyNumberFormat="1">
      <alignment vertical="center"/>
    </xf>
    <xf borderId="0" fillId="14" fontId="17" numFmtId="0" xfId="0" applyAlignment="1" applyFont="1">
      <alignment horizontal="right" readingOrder="0" vertical="center"/>
    </xf>
    <xf borderId="0" fillId="14" fontId="10" numFmtId="10" xfId="0" applyAlignment="1" applyFont="1" applyNumberFormat="1">
      <alignment horizontal="center" vertical="center"/>
    </xf>
    <xf borderId="0" fillId="14" fontId="23" numFmtId="165" xfId="0" applyAlignment="1" applyFont="1" applyNumberFormat="1">
      <alignment vertical="center"/>
    </xf>
    <xf borderId="1" fillId="17" fontId="7" numFmtId="0" xfId="0" applyBorder="1" applyFill="1" applyFont="1"/>
    <xf borderId="0" fillId="2" fontId="26" numFmtId="0" xfId="0" applyAlignment="1" applyFont="1">
      <alignment horizontal="center" readingOrder="0" vertical="center"/>
    </xf>
    <xf borderId="1" fillId="12" fontId="6" numFmtId="0" xfId="0" applyAlignment="1" applyBorder="1" applyFont="1">
      <alignment horizontal="center" readingOrder="0" vertical="center"/>
    </xf>
    <xf borderId="4" fillId="17" fontId="7" numFmtId="0" xfId="0" applyBorder="1" applyFont="1"/>
    <xf borderId="0" fillId="18" fontId="6" numFmtId="10" xfId="0" applyAlignment="1" applyFill="1" applyFont="1" applyNumberFormat="1">
      <alignment horizontal="center" readingOrder="0" vertical="center"/>
    </xf>
    <xf borderId="0" fillId="19" fontId="6" numFmtId="10" xfId="0" applyAlignment="1" applyFill="1" applyFont="1" applyNumberFormat="1">
      <alignment horizontal="center" vertical="center"/>
    </xf>
    <xf borderId="0" fillId="18" fontId="9" numFmtId="0" xfId="0" applyAlignment="1" applyFont="1">
      <alignment horizontal="right" readingOrder="0" vertical="center"/>
    </xf>
    <xf borderId="0" fillId="18" fontId="27" numFmtId="165" xfId="0" applyAlignment="1" applyFont="1" applyNumberFormat="1">
      <alignment horizontal="right" readingOrder="0" vertical="center"/>
    </xf>
    <xf borderId="0" fillId="19" fontId="9" numFmtId="0" xfId="0" applyAlignment="1" applyFont="1">
      <alignment horizontal="right" readingOrder="0" vertical="center"/>
    </xf>
    <xf borderId="0" fillId="19" fontId="27" numFmtId="165" xfId="0" applyAlignment="1" applyFont="1" applyNumberFormat="1">
      <alignment horizontal="right" vertical="center"/>
    </xf>
    <xf borderId="4" fillId="20" fontId="7" numFmtId="0" xfId="0" applyBorder="1" applyFill="1" applyFont="1"/>
    <xf borderId="0" fillId="2" fontId="24" numFmtId="0" xfId="0" applyAlignment="1" applyFont="1">
      <alignment horizontal="right" readingOrder="0" vertical="center"/>
    </xf>
    <xf borderId="0" fillId="2" fontId="19" numFmtId="0" xfId="0" applyAlignment="1" applyFont="1">
      <alignment horizontal="right" readingOrder="0" vertical="center"/>
    </xf>
    <xf borderId="0" fillId="2" fontId="14" numFmtId="165" xfId="0" applyAlignment="1" applyFont="1" applyNumberFormat="1">
      <alignment horizontal="right" vertical="center"/>
    </xf>
    <xf borderId="1" fillId="20" fontId="7" numFmtId="0" xfId="0" applyBorder="1" applyFont="1"/>
    <xf borderId="0" fillId="5" fontId="6" numFmtId="165" xfId="0" applyAlignment="1" applyFont="1" applyNumberFormat="1">
      <alignment horizontal="center" readingOrder="0" vertical="center"/>
    </xf>
    <xf borderId="0" fillId="5" fontId="9" numFmtId="0" xfId="0" applyAlignment="1" applyFont="1">
      <alignment horizontal="right" readingOrder="0" vertical="center"/>
    </xf>
    <xf borderId="0" fillId="5" fontId="21" numFmtId="165" xfId="0" applyAlignment="1" applyFont="1" applyNumberFormat="1">
      <alignment vertical="center"/>
    </xf>
    <xf borderId="0" fillId="2" fontId="14" numFmtId="0" xfId="0" applyAlignment="1" applyFont="1">
      <alignment horizontal="left" readingOrder="0" vertical="center"/>
    </xf>
    <xf borderId="0" fillId="2" fontId="22" numFmtId="4" xfId="0" applyAlignment="1" applyFont="1" applyNumberFormat="1">
      <alignment horizontal="center" vertical="center"/>
    </xf>
    <xf borderId="0" fillId="5" fontId="21" numFmtId="165" xfId="0" applyAlignment="1" applyFont="1" applyNumberFormat="1">
      <alignment readingOrder="0" vertical="center"/>
    </xf>
    <xf borderId="0" fillId="2" fontId="14" numFmtId="0" xfId="0" applyAlignment="1" applyFont="1">
      <alignment horizontal="right" vertical="center"/>
    </xf>
    <xf borderId="5" fillId="2" fontId="11" numFmtId="0" xfId="0" applyAlignment="1" applyBorder="1" applyFont="1">
      <alignment horizontal="center" readingOrder="0" vertical="center"/>
    </xf>
    <xf borderId="0" fillId="2" fontId="11" numFmtId="0" xfId="0" applyAlignment="1" applyFont="1">
      <alignment horizontal="center" readingOrder="0" vertical="center"/>
    </xf>
    <xf borderId="6" fillId="8" fontId="28" numFmtId="166" xfId="0" applyAlignment="1" applyBorder="1" applyFont="1" applyNumberFormat="1">
      <alignment horizontal="center" readingOrder="0" vertical="center"/>
    </xf>
    <xf borderId="7" fillId="8" fontId="28" numFmtId="0" xfId="0" applyAlignment="1" applyBorder="1" applyFont="1">
      <alignment horizontal="left" readingOrder="0" shrinkToFit="0" vertical="center" wrapText="0"/>
    </xf>
    <xf borderId="7" fillId="8" fontId="28" numFmtId="0" xfId="0" applyAlignment="1" applyBorder="1" applyFont="1">
      <alignment horizontal="center" readingOrder="0" shrinkToFit="0" vertical="center" wrapText="0"/>
    </xf>
    <xf borderId="8" fillId="8" fontId="28" numFmtId="0" xfId="0" applyAlignment="1" applyBorder="1" applyFont="1">
      <alignment horizontal="left" readingOrder="0" shrinkToFit="0" vertical="center" wrapText="0"/>
    </xf>
    <xf borderId="8" fillId="8" fontId="28" numFmtId="0" xfId="0" applyAlignment="1" applyBorder="1" applyFont="1">
      <alignment horizontal="center" readingOrder="0" shrinkToFit="0" vertical="center" wrapText="0"/>
    </xf>
    <xf borderId="7" fillId="8" fontId="28" numFmtId="49" xfId="0" applyAlignment="1" applyBorder="1" applyFont="1" applyNumberFormat="1">
      <alignment horizontal="left" readingOrder="0" vertical="center"/>
    </xf>
    <xf borderId="7" fillId="8" fontId="28" numFmtId="0" xfId="0" applyAlignment="1" applyBorder="1" applyFont="1">
      <alignment readingOrder="0" vertical="center"/>
    </xf>
    <xf borderId="7" fillId="8" fontId="28" numFmtId="0" xfId="0" applyAlignment="1" applyBorder="1" applyFont="1">
      <alignment horizontal="left" readingOrder="0" vertical="center"/>
    </xf>
    <xf borderId="6" fillId="8" fontId="28" numFmtId="0" xfId="0" applyAlignment="1" applyBorder="1" applyFont="1">
      <alignment horizontal="center" readingOrder="0" shrinkToFit="0" vertical="center" wrapText="0"/>
    </xf>
    <xf borderId="6" fillId="8" fontId="28" numFmtId="49" xfId="0" applyAlignment="1" applyBorder="1" applyFont="1" applyNumberFormat="1">
      <alignment horizontal="left" readingOrder="0" vertical="center"/>
    </xf>
    <xf borderId="0" fillId="8" fontId="28" numFmtId="49" xfId="0" applyAlignment="1" applyFont="1" applyNumberFormat="1">
      <alignment horizontal="left" readingOrder="0" vertical="center"/>
    </xf>
    <xf borderId="0" fillId="8" fontId="28" numFmtId="0" xfId="0" applyAlignment="1" applyFont="1">
      <alignment horizontal="left" readingOrder="0" shrinkToFit="0" vertical="center" wrapText="0"/>
    </xf>
    <xf borderId="6" fillId="8" fontId="28" numFmtId="0" xfId="0" applyAlignment="1" applyBorder="1" applyFont="1">
      <alignment horizontal="left" readingOrder="0" vertical="center"/>
    </xf>
    <xf borderId="0" fillId="8" fontId="28" numFmtId="0" xfId="0" applyAlignment="1" applyFont="1">
      <alignment horizontal="left" readingOrder="0" vertical="center"/>
    </xf>
    <xf borderId="6" fillId="8" fontId="28" numFmtId="0" xfId="0" applyAlignment="1" applyBorder="1" applyFont="1">
      <alignment horizontal="left" readingOrder="0" shrinkToFit="0" vertical="center" wrapText="0"/>
    </xf>
    <xf borderId="0" fillId="2" fontId="11" numFmtId="171" xfId="0" applyAlignment="1" applyFont="1" applyNumberFormat="1">
      <alignment horizontal="center" shrinkToFit="0" vertical="center" wrapText="1"/>
    </xf>
    <xf borderId="0" fillId="2" fontId="11" numFmtId="172" xfId="0" applyAlignment="1" applyFont="1" applyNumberFormat="1">
      <alignment horizontal="center" readingOrder="0" shrinkToFit="0" vertical="center" wrapText="1"/>
    </xf>
    <xf borderId="0" fillId="2" fontId="11" numFmtId="1" xfId="0" applyAlignment="1" applyFont="1" applyNumberFormat="1">
      <alignment horizontal="center" readingOrder="0" shrinkToFit="0" vertical="center" wrapText="1"/>
    </xf>
    <xf borderId="0" fillId="2" fontId="11" numFmtId="165" xfId="0" applyAlignment="1" applyFont="1" applyNumberFormat="1">
      <alignment horizontal="center" readingOrder="0" shrinkToFit="0" vertical="center" wrapText="1"/>
    </xf>
    <xf borderId="0" fillId="2" fontId="11" numFmtId="165" xfId="0" applyAlignment="1" applyFont="1" applyNumberFormat="1">
      <alignment horizontal="center" shrinkToFit="0" vertical="center" wrapText="1"/>
    </xf>
    <xf borderId="9" fillId="8" fontId="28" numFmtId="171" xfId="0" applyAlignment="1" applyBorder="1" applyFont="1" applyNumberFormat="1">
      <alignment horizontal="center" vertical="center"/>
    </xf>
    <xf borderId="9" fillId="8" fontId="28" numFmtId="0" xfId="0" applyAlignment="1" applyBorder="1" applyFont="1">
      <alignment horizontal="center" readingOrder="0" vertical="center"/>
    </xf>
    <xf borderId="9" fillId="8" fontId="28" numFmtId="166" xfId="0" applyAlignment="1" applyBorder="1" applyFont="1" applyNumberFormat="1">
      <alignment horizontal="center" vertical="center"/>
    </xf>
    <xf borderId="9" fillId="8" fontId="28" numFmtId="1" xfId="0" applyAlignment="1" applyBorder="1" applyFont="1" applyNumberFormat="1">
      <alignment horizontal="center" vertical="center"/>
    </xf>
    <xf borderId="9" fillId="8" fontId="28" numFmtId="165" xfId="0" applyAlignment="1" applyBorder="1" applyFont="1" applyNumberFormat="1">
      <alignment horizontal="center" vertical="center"/>
    </xf>
    <xf borderId="9" fillId="8" fontId="28" numFmtId="165" xfId="0" applyAlignment="1" applyBorder="1" applyFont="1" applyNumberFormat="1">
      <alignment horizontal="center" readingOrder="0" vertical="center"/>
    </xf>
    <xf borderId="9" fillId="8" fontId="28" numFmtId="0" xfId="0" applyAlignment="1" applyBorder="1" applyFont="1">
      <alignment horizontal="center" vertical="center"/>
    </xf>
    <xf borderId="10" fillId="8" fontId="28" numFmtId="165" xfId="0" applyAlignment="1" applyBorder="1" applyFont="1" applyNumberFormat="1">
      <alignment horizontal="left" readingOrder="0" vertical="center"/>
    </xf>
    <xf borderId="11" fillId="2" fontId="29" numFmtId="165" xfId="0" applyAlignment="1" applyBorder="1" applyFont="1" applyNumberFormat="1">
      <alignment horizontal="center" vertical="center"/>
    </xf>
    <xf borderId="11" fillId="2" fontId="29" numFmtId="1" xfId="0" applyAlignment="1" applyBorder="1" applyFont="1" applyNumberFormat="1">
      <alignment horizontal="center" vertical="center"/>
    </xf>
    <xf borderId="11" fillId="2" fontId="29" numFmtId="173" xfId="0" applyAlignment="1" applyBorder="1" applyFont="1" applyNumberFormat="1">
      <alignment horizontal="center" vertical="center"/>
    </xf>
    <xf borderId="11" fillId="2" fontId="29" numFmtId="10" xfId="0" applyAlignment="1" applyBorder="1" applyFont="1" applyNumberFormat="1">
      <alignment horizontal="center" vertical="center"/>
    </xf>
    <xf borderId="11" fillId="2" fontId="29" numFmtId="174" xfId="0" applyAlignment="1" applyBorder="1" applyFont="1" applyNumberFormat="1">
      <alignment horizontal="center" vertical="center"/>
    </xf>
    <xf borderId="12" fillId="2" fontId="29" numFmtId="165" xfId="0" applyAlignment="1" applyBorder="1" applyFont="1" applyNumberFormat="1">
      <alignment horizontal="center" vertical="center"/>
    </xf>
    <xf borderId="12" fillId="2" fontId="29" numFmtId="1" xfId="0" applyAlignment="1" applyBorder="1" applyFont="1" applyNumberFormat="1">
      <alignment horizontal="center" vertical="center"/>
    </xf>
    <xf borderId="12" fillId="2" fontId="29" numFmtId="173" xfId="0" applyAlignment="1" applyBorder="1" applyFont="1" applyNumberFormat="1">
      <alignment horizontal="center" vertical="center"/>
    </xf>
    <xf borderId="12" fillId="2" fontId="29" numFmtId="10" xfId="0" applyAlignment="1" applyBorder="1" applyFont="1" applyNumberFormat="1">
      <alignment horizontal="center" vertical="center"/>
    </xf>
    <xf borderId="12" fillId="2" fontId="29" numFmtId="174" xfId="0" applyAlignment="1" applyBorder="1" applyFont="1" applyNumberFormat="1">
      <alignment horizontal="center" vertical="center"/>
    </xf>
    <xf borderId="9" fillId="8" fontId="28" numFmtId="171" xfId="0" applyAlignment="1" applyBorder="1" applyFont="1" applyNumberFormat="1">
      <alignment horizontal="center" readingOrder="0" vertical="center"/>
    </xf>
    <xf borderId="9" fillId="8" fontId="28" numFmtId="166" xfId="0" applyAlignment="1" applyBorder="1" applyFont="1" applyNumberFormat="1">
      <alignment horizontal="center" readingOrder="0" vertical="center"/>
    </xf>
    <xf borderId="9" fillId="8" fontId="28" numFmtId="1" xfId="0" applyAlignment="1" applyBorder="1" applyFont="1" applyNumberFormat="1">
      <alignment horizontal="center" readingOrder="0" vertical="center"/>
    </xf>
    <xf borderId="9" fillId="8" fontId="30" numFmtId="0" xfId="0" applyAlignment="1" applyBorder="1" applyFont="1">
      <alignment horizontal="center" readingOrder="0" vertical="center"/>
    </xf>
    <xf borderId="9" fillId="8" fontId="30" numFmtId="175" xfId="0" applyAlignment="1" applyBorder="1" applyFont="1" applyNumberFormat="1">
      <alignment horizontal="center" readingOrder="0" vertical="center"/>
    </xf>
    <xf borderId="9" fillId="8" fontId="30" numFmtId="165" xfId="0" applyAlignment="1" applyBorder="1" applyFont="1" applyNumberFormat="1">
      <alignment horizontal="center" readingOrder="0" vertical="center"/>
    </xf>
    <xf borderId="9" fillId="8" fontId="28" numFmtId="175" xfId="0" applyAlignment="1" applyBorder="1" applyFont="1" applyNumberFormat="1">
      <alignment horizontal="center" readingOrder="0" vertical="center"/>
    </xf>
    <xf borderId="12" fillId="2" fontId="29" numFmtId="0" xfId="0" applyAlignment="1" applyBorder="1" applyFont="1">
      <alignment horizontal="center" readingOrder="0" vertical="center"/>
    </xf>
    <xf borderId="9" fillId="8" fontId="28" numFmtId="0" xfId="0" applyAlignment="1" applyBorder="1" applyFont="1">
      <alignment horizontal="center" vertical="center"/>
    </xf>
    <xf borderId="0" fillId="2" fontId="11" numFmtId="176" xfId="0" applyAlignment="1" applyFont="1" applyNumberFormat="1">
      <alignment horizontal="center" readingOrder="0" shrinkToFit="0" vertical="center" wrapText="1"/>
    </xf>
    <xf borderId="13" fillId="8" fontId="28" numFmtId="171" xfId="0" applyAlignment="1" applyBorder="1" applyFont="1" applyNumberFormat="1">
      <alignment horizontal="center" readingOrder="0" vertical="center"/>
    </xf>
    <xf borderId="13" fillId="8" fontId="28" numFmtId="0" xfId="0" applyAlignment="1" applyBorder="1" applyFont="1">
      <alignment horizontal="center" readingOrder="0" vertical="center"/>
    </xf>
    <xf borderId="13" fillId="8" fontId="28" numFmtId="166" xfId="0" applyAlignment="1" applyBorder="1" applyFont="1" applyNumberFormat="1">
      <alignment horizontal="center" readingOrder="0" vertical="center"/>
    </xf>
    <xf borderId="13" fillId="8" fontId="28" numFmtId="176" xfId="0" applyAlignment="1" applyBorder="1" applyFont="1" applyNumberFormat="1">
      <alignment horizontal="center" readingOrder="0" vertical="center"/>
    </xf>
    <xf borderId="13" fillId="8" fontId="28" numFmtId="165" xfId="0" applyAlignment="1" applyBorder="1" applyFont="1" applyNumberFormat="1">
      <alignment horizontal="center" readingOrder="0" vertical="center"/>
    </xf>
    <xf borderId="14" fillId="8" fontId="28" numFmtId="165" xfId="0" applyAlignment="1" applyBorder="1" applyFont="1" applyNumberFormat="1">
      <alignment horizontal="left" readingOrder="0" vertical="center"/>
    </xf>
    <xf borderId="11" fillId="2" fontId="29" numFmtId="176" xfId="0" applyAlignment="1" applyBorder="1" applyFont="1" applyNumberFormat="1">
      <alignment horizontal="center" vertical="center"/>
    </xf>
    <xf borderId="9" fillId="8" fontId="28" numFmtId="176" xfId="0" applyAlignment="1" applyBorder="1" applyFont="1" applyNumberFormat="1">
      <alignment horizontal="center" readingOrder="0" vertical="center"/>
    </xf>
    <xf borderId="12" fillId="2" fontId="29" numFmtId="176" xfId="0" applyAlignment="1" applyBorder="1" applyFont="1" applyNumberFormat="1">
      <alignment horizontal="center" vertical="center"/>
    </xf>
    <xf borderId="9" fillId="8" fontId="28" numFmtId="176" xfId="0" applyAlignment="1" applyBorder="1" applyFont="1" applyNumberFormat="1">
      <alignment horizontal="center" vertical="center"/>
    </xf>
    <xf borderId="9" fillId="8" fontId="30" numFmtId="176" xfId="0" applyAlignment="1" applyBorder="1" applyFont="1" applyNumberFormat="1">
      <alignment horizontal="center" readingOrder="0" vertical="center"/>
    </xf>
    <xf borderId="0" fillId="10" fontId="11" numFmtId="0" xfId="0" applyAlignment="1" applyFont="1">
      <alignment horizontal="center" readingOrder="0" shrinkToFit="0" vertical="center" wrapText="1"/>
    </xf>
    <xf borderId="0" fillId="10" fontId="11" numFmtId="49" xfId="0" applyAlignment="1" applyFont="1" applyNumberFormat="1">
      <alignment horizontal="center" readingOrder="0" shrinkToFit="0" vertical="center" wrapText="1"/>
    </xf>
    <xf borderId="0" fillId="10" fontId="11" numFmtId="177" xfId="0" applyAlignment="1" applyFont="1" applyNumberFormat="1">
      <alignment horizontal="center" readingOrder="0" shrinkToFit="0" vertical="center" wrapText="1"/>
    </xf>
    <xf borderId="0" fillId="10" fontId="11" numFmtId="178" xfId="0" applyAlignment="1" applyFont="1" applyNumberFormat="1">
      <alignment horizontal="center" readingOrder="0" shrinkToFit="0" vertical="center" wrapText="1"/>
    </xf>
    <xf borderId="0" fillId="10" fontId="11" numFmtId="3" xfId="0" applyAlignment="1" applyFont="1" applyNumberFormat="1">
      <alignment horizontal="center" readingOrder="0" shrinkToFit="0" vertical="center" wrapText="1"/>
    </xf>
    <xf borderId="0" fillId="10" fontId="11" numFmtId="165" xfId="0" applyAlignment="1" applyFont="1" applyNumberFormat="1">
      <alignment horizontal="center" readingOrder="0" shrinkToFit="0" vertical="center" wrapText="1"/>
    </xf>
    <xf borderId="13" fillId="8" fontId="28" numFmtId="0" xfId="0" applyAlignment="1" applyBorder="1" applyFont="1">
      <alignment horizontal="center" readingOrder="0" shrinkToFit="0" vertical="center" wrapText="0"/>
    </xf>
    <xf borderId="13" fillId="8" fontId="28" numFmtId="167" xfId="0" applyAlignment="1" applyBorder="1" applyFont="1" applyNumberFormat="1">
      <alignment horizontal="center" readingOrder="0" vertical="center"/>
    </xf>
    <xf borderId="14" fillId="8" fontId="28" numFmtId="177" xfId="0" applyAlignment="1" applyBorder="1" applyFont="1" applyNumberFormat="1">
      <alignment horizontal="center" readingOrder="0" vertical="center"/>
    </xf>
    <xf borderId="15" fillId="2" fontId="29" numFmtId="178" xfId="0" applyAlignment="1" applyBorder="1" applyFont="1" applyNumberFormat="1">
      <alignment horizontal="center" readingOrder="0" vertical="center"/>
    </xf>
    <xf borderId="11" fillId="2" fontId="29" numFmtId="3" xfId="0" applyAlignment="1" applyBorder="1" applyFont="1" applyNumberFormat="1">
      <alignment horizontal="center" readingOrder="0" vertical="center"/>
    </xf>
    <xf borderId="11" fillId="2" fontId="29" numFmtId="165" xfId="0" applyAlignment="1" applyBorder="1" applyFont="1" applyNumberFormat="1">
      <alignment horizontal="center" readingOrder="0" vertical="center"/>
    </xf>
    <xf borderId="11" fillId="2" fontId="29" numFmtId="0" xfId="0" applyAlignment="1" applyBorder="1" applyFont="1">
      <alignment horizontal="center" readingOrder="0" shrinkToFit="0" vertical="center" wrapText="0"/>
    </xf>
    <xf borderId="11" fillId="2" fontId="29" numFmtId="10" xfId="0" applyAlignment="1" applyBorder="1" applyFont="1" applyNumberFormat="1">
      <alignment horizontal="center" readingOrder="0" vertical="center"/>
    </xf>
    <xf borderId="9" fillId="8" fontId="28" numFmtId="0" xfId="0" applyAlignment="1" applyBorder="1" applyFont="1">
      <alignment horizontal="center" readingOrder="0" shrinkToFit="0" vertical="center" wrapText="0"/>
    </xf>
    <xf borderId="9" fillId="8" fontId="28" numFmtId="167" xfId="0" applyAlignment="1" applyBorder="1" applyFont="1" applyNumberFormat="1">
      <alignment horizontal="center" readingOrder="0" vertical="center"/>
    </xf>
    <xf borderId="10" fillId="8" fontId="28" numFmtId="177" xfId="0" applyAlignment="1" applyBorder="1" applyFont="1" applyNumberFormat="1">
      <alignment horizontal="center" readingOrder="0" vertical="center"/>
    </xf>
    <xf borderId="9" fillId="8" fontId="30" numFmtId="167" xfId="0" applyAlignment="1" applyBorder="1" applyFont="1" applyNumberFormat="1">
      <alignment horizontal="center" readingOrder="0" vertical="center"/>
    </xf>
    <xf borderId="10" fillId="8" fontId="30" numFmtId="177" xfId="0" applyAlignment="1" applyBorder="1" applyFont="1" applyNumberFormat="1">
      <alignment horizontal="center" readingOrder="0" vertical="center"/>
    </xf>
    <xf borderId="9" fillId="8" fontId="30" numFmtId="0" xfId="0" applyAlignment="1" applyBorder="1" applyFont="1">
      <alignment horizontal="center" vertical="center"/>
    </xf>
    <xf borderId="9" fillId="8" fontId="30" numFmtId="167" xfId="0" applyAlignment="1" applyBorder="1" applyFont="1" applyNumberFormat="1">
      <alignment horizontal="center" vertical="center"/>
    </xf>
    <xf borderId="10" fillId="8" fontId="30" numFmtId="177" xfId="0" applyAlignment="1" applyBorder="1" applyFont="1" applyNumberFormat="1">
      <alignment horizontal="center" vertical="center"/>
    </xf>
    <xf borderId="9" fillId="8" fontId="28" numFmtId="179" xfId="0" applyAlignment="1" applyBorder="1" applyFont="1" applyNumberFormat="1">
      <alignment horizontal="center" readingOrder="0" vertical="center"/>
    </xf>
    <xf borderId="9" fillId="8" fontId="28" numFmtId="180" xfId="0" applyAlignment="1" applyBorder="1" applyFont="1" applyNumberFormat="1">
      <alignment horizontal="center" readingOrder="0" vertical="center"/>
    </xf>
    <xf borderId="9" fillId="8" fontId="28" numFmtId="181" xfId="0" applyAlignment="1" applyBorder="1" applyFont="1" applyNumberFormat="1">
      <alignment horizontal="center" readingOrder="0" vertical="center"/>
    </xf>
    <xf borderId="9" fillId="8" fontId="28" numFmtId="182" xfId="0" applyAlignment="1" applyBorder="1" applyFont="1" applyNumberFormat="1">
      <alignment horizontal="center" readingOrder="0" vertical="center"/>
    </xf>
    <xf borderId="0" fillId="2" fontId="19" numFmtId="0" xfId="0" applyAlignment="1" applyFont="1">
      <alignment horizontal="center" readingOrder="0" vertical="center"/>
    </xf>
    <xf borderId="0" fillId="21" fontId="31" numFmtId="0" xfId="0" applyAlignment="1" applyFill="1" applyFont="1">
      <alignment horizontal="center" readingOrder="0" vertical="center"/>
    </xf>
    <xf borderId="0" fillId="8" fontId="32" numFmtId="183" xfId="0" applyAlignment="1" applyFont="1" applyNumberFormat="1">
      <alignment horizontal="center" readingOrder="0" vertical="center"/>
    </xf>
    <xf borderId="0" fillId="2" fontId="19" numFmtId="183" xfId="0" applyAlignment="1" applyFont="1" applyNumberFormat="1">
      <alignment horizontal="center" readingOrder="0" vertical="center"/>
    </xf>
    <xf borderId="0" fillId="2" fontId="19" numFmtId="10" xfId="0" applyAlignment="1" applyFont="1" applyNumberFormat="1">
      <alignment horizontal="center" readingOrder="0" vertical="center"/>
    </xf>
    <xf borderId="16" fillId="2" fontId="5" numFmtId="183" xfId="0" applyAlignment="1" applyBorder="1" applyFont="1" applyNumberFormat="1">
      <alignment horizontal="center" readingOrder="0" vertical="center"/>
    </xf>
    <xf borderId="17" fillId="0" fontId="7" numFmtId="0" xfId="0" applyBorder="1" applyFont="1"/>
    <xf borderId="0" fillId="2" fontId="5" numFmtId="183" xfId="0" applyAlignment="1" applyFont="1" applyNumberFormat="1">
      <alignment horizontal="center" readingOrder="0" vertical="center"/>
    </xf>
    <xf borderId="17" fillId="2" fontId="5" numFmtId="0" xfId="0" applyAlignment="1" applyBorder="1" applyFont="1">
      <alignment horizontal="center" readingOrder="0" vertical="center"/>
    </xf>
    <xf borderId="17" fillId="2" fontId="5" numFmtId="183" xfId="0" applyAlignment="1" applyBorder="1" applyFont="1" applyNumberFormat="1">
      <alignment horizontal="center" readingOrder="0" vertical="center"/>
    </xf>
    <xf borderId="0" fillId="2" fontId="33" numFmtId="0" xfId="0" applyAlignment="1" applyFont="1">
      <alignment horizontal="center" readingOrder="0" vertical="center"/>
    </xf>
    <xf borderId="0" fillId="2" fontId="33" numFmtId="165" xfId="0" applyAlignment="1" applyFont="1" applyNumberFormat="1">
      <alignment horizontal="center" vertical="center"/>
    </xf>
    <xf borderId="16" fillId="2" fontId="33" numFmtId="0" xfId="0" applyAlignment="1" applyBorder="1" applyFont="1">
      <alignment horizontal="center" readingOrder="0" vertical="center"/>
    </xf>
    <xf borderId="17" fillId="2" fontId="33" numFmtId="10" xfId="0" applyAlignment="1" applyBorder="1" applyFont="1" applyNumberFormat="1">
      <alignment horizontal="center" vertical="center"/>
    </xf>
    <xf borderId="16" fillId="2" fontId="33" numFmtId="1" xfId="0" applyAlignment="1" applyBorder="1" applyFont="1" applyNumberFormat="1">
      <alignment horizontal="center" readingOrder="0" vertical="center"/>
    </xf>
    <xf borderId="0" fillId="2" fontId="33" numFmtId="3" xfId="0" applyAlignment="1" applyFont="1" applyNumberFormat="1">
      <alignment horizontal="center" vertical="center"/>
    </xf>
    <xf borderId="0" fillId="2" fontId="33" numFmtId="0" xfId="0" applyAlignment="1" applyFont="1">
      <alignment horizontal="center" vertical="center"/>
    </xf>
    <xf borderId="0" fillId="2" fontId="34" numFmtId="165" xfId="0" applyAlignment="1" applyFont="1" applyNumberFormat="1">
      <alignment horizontal="center" readingOrder="0" vertical="center"/>
    </xf>
    <xf borderId="0" fillId="21" fontId="21" numFmtId="0" xfId="0" applyAlignment="1" applyFont="1">
      <alignment horizontal="center" readingOrder="0" vertical="center"/>
    </xf>
    <xf borderId="0" fillId="8" fontId="35" numFmtId="165" xfId="0" applyAlignment="1" applyFont="1" applyNumberFormat="1">
      <alignment horizontal="center" readingOrder="0" vertical="center"/>
    </xf>
    <xf borderId="0" fillId="2" fontId="34" numFmtId="0" xfId="0" applyAlignment="1" applyFont="1">
      <alignment horizontal="center" readingOrder="0" vertical="center"/>
    </xf>
    <xf borderId="0" fillId="2" fontId="34" numFmtId="10" xfId="0" applyAlignment="1" applyFont="1" applyNumberFormat="1">
      <alignment horizontal="center" readingOrder="0" vertical="center"/>
    </xf>
    <xf borderId="0" fillId="2" fontId="16" numFmtId="0" xfId="0" applyAlignment="1" applyFont="1">
      <alignment horizontal="center" readingOrder="0" vertical="center"/>
    </xf>
    <xf borderId="5" fillId="2" fontId="5" numFmtId="0" xfId="0" applyAlignment="1" applyBorder="1" applyFont="1">
      <alignment horizontal="center" readingOrder="0" vertical="center"/>
    </xf>
    <xf borderId="5" fillId="2" fontId="36" numFmtId="165" xfId="0" applyAlignment="1" applyBorder="1" applyFont="1" applyNumberFormat="1">
      <alignment horizontal="center" readingOrder="0" vertical="center"/>
    </xf>
    <xf borderId="5" fillId="2" fontId="36" numFmtId="0" xfId="0" applyAlignment="1" applyBorder="1" applyFont="1">
      <alignment horizontal="center" readingOrder="0" vertical="center"/>
    </xf>
    <xf borderId="5" fillId="2" fontId="36" numFmtId="10" xfId="0" applyAlignment="1" applyBorder="1" applyFont="1" applyNumberFormat="1">
      <alignment horizontal="center" readingOrder="0" vertical="center"/>
    </xf>
    <xf borderId="0" fillId="2" fontId="27" numFmtId="165" xfId="0" applyAlignment="1" applyFont="1" applyNumberFormat="1">
      <alignment horizontal="center" readingOrder="0" vertical="center"/>
    </xf>
    <xf borderId="0" fillId="2" fontId="27" numFmtId="0" xfId="0" applyAlignment="1" applyFont="1">
      <alignment horizontal="center" vertical="center"/>
    </xf>
    <xf borderId="0" fillId="2" fontId="27" numFmtId="165" xfId="0" applyAlignment="1" applyFont="1" applyNumberFormat="1">
      <alignment horizontal="center" vertical="center"/>
    </xf>
    <xf borderId="0" fillId="2" fontId="27" numFmtId="10" xfId="0" applyAlignment="1" applyFont="1" applyNumberFormat="1">
      <alignment horizontal="center" vertical="center"/>
    </xf>
    <xf borderId="0" fillId="2" fontId="37" numFmtId="0" xfId="0" applyAlignment="1" applyFont="1">
      <alignment horizontal="center" readingOrder="0" vertical="center"/>
    </xf>
    <xf borderId="0" fillId="2" fontId="38" numFmtId="0" xfId="0" applyAlignment="1" applyFont="1">
      <alignment horizontal="right" readingOrder="0" vertical="center"/>
    </xf>
    <xf borderId="0" fillId="2" fontId="39" numFmtId="164" xfId="0" applyAlignment="1" applyFont="1" applyNumberFormat="1">
      <alignment horizontal="right" readingOrder="0" vertical="center"/>
    </xf>
    <xf borderId="0" fillId="2" fontId="40" numFmtId="49" xfId="0" applyAlignment="1" applyFont="1" applyNumberFormat="1">
      <alignment horizontal="center" readingOrder="0" vertical="center"/>
    </xf>
    <xf borderId="0" fillId="2" fontId="37" numFmtId="49" xfId="0" applyAlignment="1" applyFont="1" applyNumberFormat="1">
      <alignment horizontal="center" readingOrder="0" vertical="center"/>
    </xf>
    <xf borderId="0" fillId="2" fontId="39" numFmtId="49" xfId="0" applyAlignment="1" applyFont="1" applyNumberFormat="1">
      <alignment horizontal="center" readingOrder="0" vertical="center"/>
    </xf>
    <xf borderId="0" fillId="2" fontId="41" numFmtId="49" xfId="0" applyAlignment="1" applyFont="1" applyNumberFormat="1">
      <alignment horizontal="center" readingOrder="0" vertical="center"/>
    </xf>
    <xf borderId="0" fillId="21" fontId="39" numFmtId="0" xfId="0" applyAlignment="1" applyFont="1">
      <alignment horizontal="center" readingOrder="0" vertical="center"/>
    </xf>
    <xf borderId="0" fillId="8" fontId="41" numFmtId="49" xfId="0" applyAlignment="1" applyFont="1" applyNumberFormat="1">
      <alignment horizontal="center" readingOrder="0" vertical="center"/>
    </xf>
    <xf borderId="18" fillId="2" fontId="42" numFmtId="49" xfId="0" applyAlignment="1" applyBorder="1" applyFont="1" applyNumberFormat="1">
      <alignment horizontal="center" readingOrder="0" vertical="bottom"/>
    </xf>
    <xf borderId="18" fillId="20" fontId="7" numFmtId="0" xfId="0" applyBorder="1" applyFont="1"/>
    <xf borderId="0" fillId="2" fontId="38" numFmtId="165" xfId="0" applyAlignment="1" applyFont="1" applyNumberFormat="1">
      <alignment horizontal="center" readingOrder="0" vertical="center"/>
    </xf>
    <xf borderId="0" fillId="2" fontId="43" numFmtId="0" xfId="0" applyAlignment="1" applyFont="1">
      <alignment horizontal="right" readingOrder="0" vertical="center"/>
    </xf>
    <xf borderId="0" fillId="2" fontId="42" numFmtId="49" xfId="0" applyAlignment="1" applyFont="1" applyNumberFormat="1">
      <alignment horizontal="center" readingOrder="0" vertical="center"/>
    </xf>
    <xf borderId="0" fillId="2" fontId="42" numFmtId="0" xfId="0" applyAlignment="1" applyFont="1">
      <alignment horizontal="right" readingOrder="0" vertical="center"/>
    </xf>
    <xf borderId="0" fillId="2" fontId="44" numFmtId="4" xfId="0" applyAlignment="1" applyFont="1" applyNumberFormat="1">
      <alignment horizontal="center" readingOrder="0" vertical="center"/>
    </xf>
    <xf borderId="0" fillId="2" fontId="37" numFmtId="166" xfId="0" applyAlignment="1" applyFont="1" applyNumberFormat="1">
      <alignment horizontal="center" readingOrder="0" vertical="center"/>
    </xf>
    <xf borderId="0" fillId="21" fontId="45" numFmtId="0" xfId="0" applyAlignment="1" applyFont="1">
      <alignment horizontal="center"/>
    </xf>
    <xf borderId="0" fillId="21" fontId="45" numFmtId="165" xfId="0" applyAlignment="1" applyFont="1" applyNumberFormat="1">
      <alignment horizontal="center"/>
    </xf>
    <xf borderId="0" fillId="21" fontId="45" numFmtId="0" xfId="0" applyAlignment="1" applyFont="1">
      <alignment horizontal="center" readingOrder="0"/>
    </xf>
    <xf borderId="0" fillId="0" fontId="46" numFmtId="166" xfId="0" applyAlignment="1" applyFont="1" applyNumberFormat="1">
      <alignment horizontal="center"/>
    </xf>
    <xf borderId="0" fillId="0" fontId="7" numFmtId="165" xfId="0" applyAlignment="1" applyFont="1" applyNumberFormat="1">
      <alignment horizontal="center"/>
    </xf>
    <xf borderId="0" fillId="0" fontId="7" numFmtId="0" xfId="0" applyAlignment="1" applyFont="1">
      <alignment horizontal="center"/>
    </xf>
    <xf borderId="0" fillId="0" fontId="7" numFmtId="10" xfId="0" applyAlignment="1" applyFont="1" applyNumberFormat="1">
      <alignment horizontal="center"/>
    </xf>
    <xf borderId="0" fillId="0" fontId="7" numFmtId="0" xfId="0" applyAlignment="1" applyFont="1">
      <alignment horizontal="center"/>
    </xf>
    <xf borderId="0" fillId="0" fontId="46" numFmtId="0" xfId="0" applyAlignment="1" applyFont="1">
      <alignment horizontal="center"/>
    </xf>
    <xf borderId="0" fillId="0" fontId="46" numFmtId="0" xfId="0" applyAlignment="1" applyFont="1">
      <alignment horizontal="center" readingOrder="0"/>
    </xf>
    <xf borderId="0" fillId="5" fontId="47" numFmtId="0" xfId="0" applyAlignment="1" applyFont="1">
      <alignment horizontal="left" readingOrder="0"/>
    </xf>
    <xf borderId="0" fillId="0" fontId="7" numFmtId="0" xfId="0" applyAlignment="1" applyFont="1">
      <alignment readingOrder="0"/>
    </xf>
    <xf borderId="0" fillId="0" fontId="7" numFmtId="0" xfId="0" applyAlignment="1" applyFont="1">
      <alignment horizontal="left" readingOrder="0"/>
    </xf>
    <xf borderId="0" fillId="0" fontId="7" numFmtId="0" xfId="0" applyAlignment="1" applyFont="1">
      <alignment horizontal="left"/>
    </xf>
    <xf borderId="0" fillId="0" fontId="7" numFmtId="1" xfId="0" applyAlignment="1" applyFont="1" applyNumberFormat="1">
      <alignment readingOrder="0"/>
    </xf>
    <xf borderId="0" fillId="22" fontId="48" numFmtId="0" xfId="0" applyFill="1" applyFont="1"/>
    <xf borderId="0" fillId="0" fontId="7" numFmtId="166" xfId="0" applyFont="1" applyNumberFormat="1"/>
  </cellXfs>
  <cellStyles count="1">
    <cellStyle xfId="0" name="Normal" builtinId="0"/>
  </cellStyles>
  <dxfs count="30">
    <dxf>
      <font>
        <color rgb="FF37434E"/>
      </font>
      <fill>
        <patternFill patternType="solid">
          <fgColor rgb="FF37434E"/>
          <bgColor rgb="FF37434E"/>
        </patternFill>
      </fill>
      <border/>
    </dxf>
    <dxf>
      <font>
        <color rgb="FFFFFFFF"/>
      </font>
      <fill>
        <patternFill patternType="solid">
          <fgColor rgb="FF6AA84F"/>
          <bgColor rgb="FF6AA84F"/>
        </patternFill>
      </fill>
      <border/>
    </dxf>
    <dxf>
      <font>
        <color rgb="FFFFFFFF"/>
      </font>
      <fill>
        <patternFill patternType="solid">
          <fgColor rgb="FFE69138"/>
          <bgColor rgb="FFE69138"/>
        </patternFill>
      </fill>
      <border/>
    </dxf>
    <dxf>
      <font>
        <color rgb="FFFFFFFF"/>
      </font>
      <fill>
        <patternFill patternType="solid">
          <fgColor rgb="FF45818E"/>
          <bgColor rgb="FF45818E"/>
        </patternFill>
      </fill>
      <border/>
    </dxf>
    <dxf>
      <font>
        <color rgb="FFFFFFFF"/>
      </font>
      <fill>
        <patternFill patternType="solid">
          <fgColor rgb="FF674EA7"/>
          <bgColor rgb="FF674EA7"/>
        </patternFill>
      </fill>
      <border/>
    </dxf>
    <dxf>
      <font>
        <color rgb="FFFFFFFF"/>
      </font>
      <fill>
        <patternFill patternType="solid">
          <fgColor rgb="FF2B353E"/>
          <bgColor rgb="FF2B353E"/>
        </patternFill>
      </fill>
      <border/>
    </dxf>
    <dxf>
      <font>
        <color rgb="FFEA9999"/>
      </font>
      <fill>
        <patternFill patternType="solid">
          <fgColor rgb="FF37434E"/>
          <bgColor rgb="FF37434E"/>
        </patternFill>
      </fill>
      <border/>
    </dxf>
    <dxf>
      <font>
        <color rgb="FF9FC5E8"/>
      </font>
      <fill>
        <patternFill patternType="solid">
          <fgColor rgb="FF37434E"/>
          <bgColor rgb="FF37434E"/>
        </patternFill>
      </fill>
      <border/>
    </dxf>
    <dxf>
      <font/>
      <fill>
        <patternFill patternType="none"/>
      </fill>
      <border/>
    </dxf>
    <dxf>
      <font>
        <color rgb="FF000000"/>
      </font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FFE599"/>
          <bgColor rgb="FFFFE599"/>
        </patternFill>
      </fill>
      <border/>
    </dxf>
    <dxf>
      <font/>
      <fill>
        <patternFill patternType="solid">
          <fgColor rgb="FFA4C2F4"/>
          <bgColor rgb="FFA4C2F4"/>
        </patternFill>
      </fill>
      <border/>
    </dxf>
    <dxf>
      <font>
        <color rgb="FFFFFFFF"/>
      </font>
      <fill>
        <patternFill patternType="solid">
          <fgColor rgb="FF1C4587"/>
          <bgColor rgb="FF1C4587"/>
        </patternFill>
      </fill>
      <border/>
    </dxf>
    <dxf>
      <font>
        <color rgb="FFFFFFFF"/>
      </font>
      <fill>
        <patternFill patternType="solid">
          <fgColor rgb="FFA64D79"/>
          <bgColor rgb="FFA64D79"/>
        </patternFill>
      </fill>
      <border/>
    </dxf>
    <dxf>
      <font>
        <color rgb="FFB7E1CD"/>
      </font>
      <fill>
        <patternFill patternType="solid">
          <fgColor rgb="FF2B353E"/>
          <bgColor rgb="FF2B353E"/>
        </patternFill>
      </fill>
      <border/>
    </dxf>
    <dxf>
      <font>
        <color rgb="FFE06666"/>
      </font>
      <fill>
        <patternFill patternType="solid">
          <fgColor rgb="FF2B353E"/>
          <bgColor rgb="FF2B353E"/>
        </patternFill>
      </fill>
      <border/>
    </dxf>
    <dxf>
      <font>
        <color rgb="FF000000"/>
      </font>
      <fill>
        <patternFill patternType="solid">
          <fgColor rgb="FFF1C232"/>
          <bgColor rgb="FFF1C232"/>
        </patternFill>
      </fill>
      <border/>
    </dxf>
    <dxf>
      <font>
        <color rgb="FFFFFFFF"/>
      </font>
      <fill>
        <patternFill patternType="solid">
          <fgColor rgb="FF741B47"/>
          <bgColor rgb="FF741B47"/>
        </patternFill>
      </fill>
      <border/>
    </dxf>
    <dxf>
      <font>
        <color rgb="FFFFFFFF"/>
      </font>
      <fill>
        <patternFill patternType="solid">
          <fgColor rgb="FF073763"/>
          <bgColor rgb="FF073763"/>
        </patternFill>
      </fill>
      <border/>
    </dxf>
    <dxf>
      <font>
        <color rgb="FF37434E"/>
      </font>
      <fill>
        <patternFill patternType="solid">
          <fgColor rgb="FF2B353E"/>
          <bgColor rgb="FF2B353E"/>
        </patternFill>
      </fill>
      <border/>
    </dxf>
    <dxf>
      <font>
        <color rgb="FFF9CB9C"/>
      </font>
      <fill>
        <patternFill patternType="solid">
          <fgColor rgb="FF2B353E"/>
          <bgColor rgb="FF2B353E"/>
        </patternFill>
      </fill>
      <border/>
    </dxf>
    <dxf>
      <font>
        <color rgb="FFEA9999"/>
      </font>
      <fill>
        <patternFill patternType="solid">
          <fgColor rgb="FF2B353E"/>
          <bgColor rgb="FF2B353E"/>
        </patternFill>
      </fill>
      <border/>
    </dxf>
    <dxf>
      <font/>
      <fill>
        <patternFill patternType="solid">
          <fgColor rgb="FF2B353E"/>
          <bgColor rgb="FF2B353E"/>
        </patternFill>
      </fill>
      <border/>
    </dxf>
    <dxf>
      <font>
        <color rgb="FFB6D7A8"/>
      </font>
      <fill>
        <patternFill patternType="none"/>
      </fill>
      <border/>
    </dxf>
    <dxf>
      <font>
        <color rgb="FFF4CCCC"/>
      </font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>
        <color rgb="FF2B353E"/>
      </font>
      <fill>
        <patternFill patternType="solid">
          <fgColor rgb="FF2B353E"/>
          <bgColor rgb="FF2B353E"/>
        </patternFill>
      </fill>
      <border/>
    </dxf>
    <dxf>
      <font>
        <color rgb="FFD9D9D9"/>
      </font>
      <fill>
        <patternFill patternType="none"/>
      </fill>
      <border/>
    </dxf>
  </dxfs>
  <tableStyles count="3">
    <tableStyle count="3" pivot="0" name="Carteira-style">
      <tableStyleElement dxfId="25" type="headerRow"/>
      <tableStyleElement dxfId="26" type="firstRowStripe"/>
      <tableStyleElement dxfId="27" type="secondRowStripe"/>
    </tableStyle>
    <tableStyle count="2" pivot="0" name="Carteira-style 2">
      <tableStyleElement dxfId="27" type="firstRowStripe"/>
      <tableStyleElement dxfId="26" type="secondRowStripe"/>
    </tableStyle>
    <tableStyle count="2" pivot="0" name="DataCarteira-style">
      <tableStyleElement dxfId="26" type="firstRowStripe"/>
      <tableStyleElement dxfId="27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N10" displayName="Table_1" id="1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Carteira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11:A100" displayName="Table_2" id="2">
  <tableColumns count="1">
    <tableColumn name="Column1" id="1"/>
  </tableColumns>
  <tableStyleInfo name="Carteira-style 2" showColumnStripes="0" showFirstColumn="1" showLastColumn="1" showRowStripes="1"/>
</table>
</file>

<file path=xl/tables/table3.xml><?xml version="1.0" encoding="utf-8"?>
<table xmlns="http://schemas.openxmlformats.org/spreadsheetml/2006/main" headerRowCount="0" ref="A2:K200" displayName="Table_3" id="3">
  <tableColumns count="11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</tableColumns>
  <tableStyleInfo name="DataCarteira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5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6.vml"/><Relationship Id="rId6" Type="http://schemas.openxmlformats.org/officeDocument/2006/relationships/table" Target="../tables/table1.xml"/><Relationship Id="rId7" Type="http://schemas.openxmlformats.org/officeDocument/2006/relationships/table" Target="../tables/table2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7.vml"/><Relationship Id="rId5" Type="http://schemas.openxmlformats.org/officeDocument/2006/relationships/table" Target="../tables/table3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B5394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3.14"/>
    <col customWidth="1" min="2" max="2" width="9.71"/>
    <col customWidth="1" min="3" max="3" width="23.43"/>
    <col customWidth="1" min="4" max="4" width="3.14"/>
    <col customWidth="1" min="5" max="5" width="9.71"/>
    <col customWidth="1" min="6" max="6" width="7.71"/>
    <col customWidth="1" min="7" max="7" width="15.86"/>
    <col customWidth="1" min="8" max="8" width="3.14"/>
    <col customWidth="1" min="9" max="9" width="9.71"/>
    <col customWidth="1" min="10" max="10" width="7.71"/>
    <col customWidth="1" min="11" max="11" width="16.43"/>
    <col customWidth="1" min="12" max="12" width="3.14"/>
    <col customWidth="1" min="13" max="13" width="2.43"/>
    <col customWidth="1" min="14" max="14" width="8.0"/>
    <col customWidth="1" min="15" max="15" width="12.86"/>
    <col customWidth="1" min="16" max="16" width="3.14"/>
    <col customWidth="1" min="17" max="17" width="10.86"/>
    <col customWidth="1" min="18" max="18" width="4.71"/>
    <col customWidth="1" min="19" max="20" width="12.29"/>
    <col customWidth="1" min="21" max="21" width="3.14"/>
    <col customWidth="1" min="22" max="26" width="10.86"/>
    <col customWidth="1" min="27" max="27" width="3.14"/>
  </cols>
  <sheetData>
    <row r="1" ht="19.5" customHeight="1">
      <c r="A1" s="1"/>
      <c r="B1" s="2"/>
      <c r="C1" s="3"/>
      <c r="D1" s="3"/>
      <c r="E1" s="2"/>
      <c r="F1" s="3"/>
      <c r="G1" s="3"/>
      <c r="H1" s="3"/>
      <c r="I1" s="4"/>
      <c r="J1" s="5"/>
      <c r="K1" s="3"/>
      <c r="L1" s="3"/>
      <c r="M1" s="6"/>
      <c r="N1" s="3"/>
      <c r="O1" s="3"/>
      <c r="P1" s="3"/>
      <c r="Q1" s="7">
        <f>DATEVALUE(CONCATENATE(S3,"/",T3))</f>
        <v>44317</v>
      </c>
      <c r="R1" s="8" t="str">
        <f>IFS($S$3="JAN","FEV",$S$3="FEV","MAR",$S$3="MAR","ABR",$S$3="ABR","MAI",$S$3="MAI","JUN",$S$3="JUN","JUL",$S$3="JUL","AGO",$S$3="AGO","SET",$S$3="SET","OUT",$S$3="OUT","NOV",$S$3="NOV","DEZ",$S$3="DEZ","JAN")</f>
        <v>JUN</v>
      </c>
      <c r="S1" s="9">
        <f>IFS(S3="DEZ",DATEVALUE(CONCATENATE(R1,"/",T1)),S3&lt;&gt;"DEZ",DATEVALUE(CONCATENATE(R1,"/",T3)))</f>
        <v>44348</v>
      </c>
      <c r="T1" s="8">
        <f>IF(S3="DEZ",T3+1,T3)</f>
        <v>2021</v>
      </c>
      <c r="U1" s="3"/>
      <c r="V1" s="3"/>
      <c r="W1" s="3"/>
      <c r="X1" s="3"/>
      <c r="Y1" s="3"/>
      <c r="Z1" s="3"/>
      <c r="AA1" s="3"/>
    </row>
    <row r="2" ht="19.5" customHeight="1">
      <c r="A2" s="10"/>
      <c r="B2" s="11" t="s">
        <v>0</v>
      </c>
      <c r="C2" s="12"/>
      <c r="D2" s="13"/>
      <c r="E2" s="11" t="s">
        <v>1</v>
      </c>
      <c r="F2" s="12"/>
      <c r="G2" s="12"/>
      <c r="H2" s="13"/>
      <c r="I2" s="14" t="s">
        <v>2</v>
      </c>
      <c r="J2" s="12"/>
      <c r="K2" s="12"/>
      <c r="L2" s="3"/>
      <c r="M2" s="15" t="s">
        <v>3</v>
      </c>
      <c r="N2" s="12"/>
      <c r="O2" s="12"/>
      <c r="P2" s="10"/>
      <c r="Q2" s="15" t="s">
        <v>4</v>
      </c>
      <c r="R2" s="12"/>
      <c r="S2" s="12"/>
      <c r="T2" s="12"/>
      <c r="U2" s="10"/>
      <c r="V2" s="15" t="s">
        <v>5</v>
      </c>
      <c r="W2" s="12"/>
      <c r="X2" s="12"/>
      <c r="Y2" s="12"/>
      <c r="Z2" s="16"/>
      <c r="AA2" s="17"/>
    </row>
    <row r="3" ht="19.5" customHeight="1">
      <c r="A3" s="18"/>
      <c r="B3" s="19">
        <f>IFERROR(IFS(AND(K3,K15),(C4+K12+K24)/C6-1,AND(K3=FALSE,K15=FALSE),C4/C6-1,K3,(C4+K12)/C6-1,K15,(C4+K24)/C6-1),0)</f>
        <v>0.1052607493</v>
      </c>
      <c r="D3" s="3"/>
      <c r="E3" s="20">
        <f>IFS(AND(K3,K15),G6+K12+K24,AND(K3=FALSE,K15=FALSE),G6,K3,G6+K12,K15,G6+K24)</f>
        <v>6965.509458</v>
      </c>
      <c r="H3" s="3"/>
      <c r="I3" s="21" t="s">
        <v>6</v>
      </c>
      <c r="K3" s="22" t="b">
        <v>1</v>
      </c>
      <c r="L3" s="3"/>
      <c r="M3" s="23" t="s">
        <v>7</v>
      </c>
      <c r="N3" s="12"/>
      <c r="O3" s="12"/>
      <c r="P3" s="24"/>
      <c r="Q3" s="25" t="s">
        <v>8</v>
      </c>
      <c r="R3" s="26" t="s">
        <v>9</v>
      </c>
      <c r="S3" s="25" t="s">
        <v>10</v>
      </c>
      <c r="T3" s="27">
        <v>2021.0</v>
      </c>
      <c r="U3" s="24"/>
      <c r="V3" s="28" t="s">
        <v>11</v>
      </c>
      <c r="W3" s="29" t="s">
        <v>12</v>
      </c>
      <c r="X3" s="30" t="s">
        <v>8</v>
      </c>
      <c r="Y3" s="29" t="s">
        <v>13</v>
      </c>
      <c r="Z3" s="29" t="s">
        <v>14</v>
      </c>
      <c r="AA3" s="24"/>
    </row>
    <row r="4" ht="19.5" customHeight="1">
      <c r="A4" s="31"/>
      <c r="B4" s="32" t="s">
        <v>15</v>
      </c>
      <c r="C4" s="33">
        <f>C10+C16+C22+C28+F10+F16+F22+F28+J28</f>
        <v>66644.86349</v>
      </c>
      <c r="D4" s="3"/>
      <c r="E4" s="34" t="s">
        <v>16</v>
      </c>
      <c r="F4" s="35">
        <f>IFERROR(G4/C6,0)</f>
        <v>0.06748147774</v>
      </c>
      <c r="G4" s="36">
        <f>C4-C6+K12+K24</f>
        <v>4465.509458</v>
      </c>
      <c r="H4" s="3"/>
      <c r="I4" s="37" t="str">
        <f>Data!$A3</f>
        <v>AÇÃO</v>
      </c>
      <c r="J4" s="38">
        <f t="shared" ref="J4:J11" si="1">IFERROR(K4/$K$12,0)</f>
        <v>0.5697128339</v>
      </c>
      <c r="K4" s="39">
        <f>SUMIFS(Proventos!H:H,Proventos!J:J,I4)</f>
        <v>3700</v>
      </c>
      <c r="L4" s="3"/>
      <c r="M4" s="40"/>
      <c r="N4" s="41" t="s">
        <v>17</v>
      </c>
      <c r="O4" s="42" t="str">
        <f>IFERROR(__xludf.DUMMYFUNCTION("VLOOKUP(N4,IMPORTHTML(""https://economia.uol.com.br/cotacoes"",""table"",7),2,0)"),"+10,65%")</f>
        <v>+10,65%</v>
      </c>
      <c r="P4" s="24"/>
      <c r="Q4" s="43">
        <f>IFERROR(SUM(T7:T38),0)</f>
        <v>501</v>
      </c>
      <c r="U4" s="24"/>
      <c r="V4" s="44">
        <f>IFERROR(VLOOKUP(X4,DataCarteira!A:B,2,),"")</f>
        <v>79.19</v>
      </c>
      <c r="W4" s="45">
        <f>IFERROR(__xludf.DUMMYFUNCTION("IFERROR(GOOGLEFINANCE(X4,""changepct"")/100,"""")
"),-0.0342)</f>
        <v>-0.0342</v>
      </c>
      <c r="X4" s="46" t="str">
        <f>IFERROR(__xludf.DUMMYFUNCTION("IFERROR(IF(X3=Data!A2,SORT(FILTER(DataCarteira!A2:A38,DataCarteira!C2:C38&gt;0),1,TRUE,2,FALSE),SORT(FILTER(DataCarteira!A2:A38,DataCarteira!C2:C38&gt;0,DataCarteira!I2:I38=X3),1,TRUE,2,FALSE)),"""")"),"AAPL34")</f>
        <v>AAPL34</v>
      </c>
      <c r="Y4" s="47">
        <f>IFERROR(VLOOKUP(X4,DataCarteira!$A$2:$K38,3,),)</f>
        <v>100</v>
      </c>
      <c r="Z4" s="48">
        <f>IFERROR(VLOOKUP(X4,DataCarteira!$A$2:$K38,6,),)</f>
        <v>75</v>
      </c>
      <c r="AA4" s="49"/>
    </row>
    <row r="5" ht="19.5" customHeight="1">
      <c r="A5" s="31"/>
      <c r="B5" s="12"/>
      <c r="C5" s="12"/>
      <c r="D5" s="3"/>
      <c r="E5" s="34" t="s">
        <v>18</v>
      </c>
      <c r="F5" s="35">
        <f>IFERROR(G5/C6,0)</f>
        <v>0.1052607493</v>
      </c>
      <c r="G5" s="50">
        <f>G6+K12</f>
        <v>6965.509458</v>
      </c>
      <c r="H5" s="3"/>
      <c r="I5" s="37" t="str">
        <f>Data!$A4</f>
        <v>FII</v>
      </c>
      <c r="J5" s="38">
        <f t="shared" si="1"/>
        <v>0.4302871661</v>
      </c>
      <c r="K5" s="39">
        <f>SUMIFS(Proventos!H:H,Proventos!J:J,I5)</f>
        <v>2794.5</v>
      </c>
      <c r="L5" s="3"/>
      <c r="M5" s="40"/>
      <c r="N5" s="41" t="s">
        <v>19</v>
      </c>
      <c r="O5" s="51" t="str">
        <f>IFERROR(__xludf.DUMMYFUNCTION("VLOOKUP(N5,IMPORTHTML(""https://economia.uol.com.br/cotacoes"",""table"",7),2,0)"),"+10,75%")</f>
        <v>+10,75%</v>
      </c>
      <c r="P5" s="52"/>
      <c r="Q5" s="12"/>
      <c r="R5" s="12"/>
      <c r="S5" s="12"/>
      <c r="T5" s="12"/>
      <c r="U5" s="52"/>
      <c r="V5" s="44">
        <f>IFERROR(VLOOKUP(X5,DataCarteira!A:B,2,),"")</f>
        <v>13.38</v>
      </c>
      <c r="W5" s="45">
        <f>IFERROR(__xludf.DUMMYFUNCTION("IFERROR(GOOGLEFINANCE(X5,""changepct"")/100,"""")
"),-0.0395)</f>
        <v>-0.0395</v>
      </c>
      <c r="X5" s="46" t="str">
        <f>IFERROR(__xludf.DUMMYFUNCTION("""COMPUTED_VALUE"""),"ABEV3")</f>
        <v>ABEV3</v>
      </c>
      <c r="Y5" s="47">
        <f>IFERROR(VLOOKUP(X5,DataCarteira!$A$2:$K38,3,),)</f>
        <v>100</v>
      </c>
      <c r="Z5" s="48">
        <f>IFERROR(VLOOKUP(X5,DataCarteira!$A$2:$K38,6,),)</f>
        <v>15</v>
      </c>
      <c r="AA5" s="49"/>
    </row>
    <row r="6" ht="19.5" customHeight="1">
      <c r="A6" s="3"/>
      <c r="B6" s="32" t="s">
        <v>20</v>
      </c>
      <c r="C6" s="53">
        <f>C11+C17+C23+C29+F11+F17+F23+F29+J29</f>
        <v>66173.85403</v>
      </c>
      <c r="D6" s="3"/>
      <c r="E6" s="34" t="s">
        <v>21</v>
      </c>
      <c r="F6" s="35">
        <f>IFERROR(G6/C6,0)</f>
        <v>0.007117757684</v>
      </c>
      <c r="G6" s="50">
        <f>C4-C6</f>
        <v>471.009458</v>
      </c>
      <c r="H6" s="3"/>
      <c r="I6" s="37" t="str">
        <f>Data!$A5</f>
        <v>ETF</v>
      </c>
      <c r="J6" s="38">
        <f t="shared" si="1"/>
        <v>0</v>
      </c>
      <c r="K6" s="39">
        <f>SUMIFS(Proventos!H:H,Proventos!J:J,I6)</f>
        <v>0</v>
      </c>
      <c r="L6" s="3"/>
      <c r="M6" s="23" t="s">
        <v>22</v>
      </c>
      <c r="N6" s="12"/>
      <c r="O6" s="12"/>
      <c r="P6" s="3"/>
      <c r="Q6" s="28" t="s">
        <v>23</v>
      </c>
      <c r="R6" s="28" t="s">
        <v>24</v>
      </c>
      <c r="S6" s="28" t="s">
        <v>25</v>
      </c>
      <c r="T6" s="28" t="s">
        <v>15</v>
      </c>
      <c r="U6" s="3"/>
      <c r="V6" s="44">
        <f>IFERROR(VLOOKUP(X6,DataCarteira!A:B,2,),"")</f>
        <v>196844.2027</v>
      </c>
      <c r="W6" s="45" t="str">
        <f>IFERROR(__xludf.DUMMYFUNCTION("IFERROR(GOOGLEFINANCE(X6,""changepct"")/100,"""")
"),"")</f>
        <v/>
      </c>
      <c r="X6" s="46" t="str">
        <f>IFERROR(__xludf.DUMMYFUNCTION("""COMPUTED_VALUE"""),"BTCBRL")</f>
        <v>BTCBRL</v>
      </c>
      <c r="Y6" s="47">
        <f>IFERROR(VLOOKUP(X6,DataCarteira!$A$2:$K38,3,),)</f>
        <v>0.02187317</v>
      </c>
      <c r="Z6" s="48">
        <f>IFERROR(VLOOKUP(X6,DataCarteira!$A$2:$K38,6,),)</f>
        <v>260855.5255</v>
      </c>
      <c r="AA6" s="49"/>
    </row>
    <row r="7" ht="19.5" customHeight="1">
      <c r="A7" s="3"/>
      <c r="B7" s="2"/>
      <c r="C7" s="54"/>
      <c r="D7" s="3"/>
      <c r="E7" s="2"/>
      <c r="F7" s="3"/>
      <c r="G7" s="3"/>
      <c r="H7" s="3"/>
      <c r="I7" s="37" t="str">
        <f>B26</f>
        <v>BDR</v>
      </c>
      <c r="J7" s="38">
        <f t="shared" si="1"/>
        <v>0</v>
      </c>
      <c r="K7" s="39">
        <f>SUMIFS(Proventos!H:H,Proventos!J:J,I7)</f>
        <v>0</v>
      </c>
      <c r="L7" s="3"/>
      <c r="M7" s="55"/>
      <c r="N7" s="41" t="s">
        <v>26</v>
      </c>
      <c r="O7" s="51">
        <f>IFERROR(__xludf.DUMMYFUNCTION("IFERROR(VLOOKUP(N7,COTACAO,5,0),GOOGLEFINANCE(N7))"),113663.13)</f>
        <v>113663.13</v>
      </c>
      <c r="P7" s="3"/>
      <c r="Q7" s="56" t="str">
        <f>IFERROR(__xludf.DUMMYFUNCTION("IFERROR(IF(Q3=Data!$A$2,FILTER(Proventos!$A$2:$A38,Proventos!$D$2:$D38&gt;=$Q$1,Proventos!$D$2:$D38&lt;$S$1),FILTER(Proventos!$A$2:$A38,Proventos!$D$2:$D38&gt;=$Q$1,Proventos!$D$2:$D38&lt;$S$1,Proventos!$J$2:$J38=$Q$3)),"""")"),"ODPV3")</f>
        <v>ODPV3</v>
      </c>
      <c r="R7" s="56" t="str">
        <f>IFERROR(__xludf.DUMMYFUNCTION("IFERROR(IF(Q3=Data!$A$2,FILTER(Proventos!$B$2:$B38,Proventos!$D$2:$D38&gt;=$Q$1,Proventos!$D$2:$D38&lt;$S$1),FILTER(Proventos!$B$2:$B38,Proventos!$D$2:$D38&gt;=$Q$1,Proventos!$D$2:$D38&lt;$S$1,Proventos!$J$2:$J38=$Q$3)),"""")"),"D")</f>
        <v>D</v>
      </c>
      <c r="S7" s="57">
        <f>IFERROR(__xludf.DUMMYFUNCTION("IFERROR(IF(Q3=Data!$A$2,FILTER(Proventos!$D$2:$D38,Proventos!$D$2:$D38&gt;=$Q$1,Proventos!$D$2:$D38&lt;$S$1),FILTER(Proventos!$D$2:$D38,Proventos!$D$2:$D38&gt;=$Q$1,Proventos!$D$2:$D38&lt;$S$1,Proventos!$J$2:$J38=$Q$3)),"""")"),44321.0)</f>
        <v>44321</v>
      </c>
      <c r="T7" s="58">
        <f>IFERROR(__xludf.DUMMYFUNCTION("IFERROR(IF(Q3=Data!$A$2,FILTER(Proventos!$H$2:$H38,Proventos!$D$2:$D38&gt;=$Q$1,Proventos!$D$2:$D38&lt;$S$1),FILTER(Proventos!$H$2:$H38,Proventos!$D$2:$D38&gt;=$Q$1,Proventos!$D$2:$D38&lt;$S$1,Proventos!$J$2:$J38=$Q$3)),"""")"),384.0)</f>
        <v>384</v>
      </c>
      <c r="U7" s="3"/>
      <c r="V7" s="44">
        <f>IFERROR(VLOOKUP(X7,DataCarteira!A:B,2,),"")</f>
        <v>13049.39473</v>
      </c>
      <c r="W7" s="45" t="str">
        <f>IFERROR(__xludf.DUMMYFUNCTION("IFERROR(GOOGLEFINANCE(X7,""changepct"")/100,"""")
"),"")</f>
        <v/>
      </c>
      <c r="X7" s="46" t="str">
        <f>IFERROR(__xludf.DUMMYFUNCTION("""COMPUTED_VALUE"""),"ETHBRL")</f>
        <v>ETHBRL</v>
      </c>
      <c r="Y7" s="47">
        <f>IFERROR(VLOOKUP(X7,DataCarteira!$A$2:$K38,3,),)</f>
        <v>0.07688148</v>
      </c>
      <c r="Z7" s="48">
        <f>IFERROR(VLOOKUP(X7,DataCarteira!$A$2:$K38,6,),)</f>
        <v>17469.96516</v>
      </c>
      <c r="AA7" s="49"/>
    </row>
    <row r="8" ht="19.5" customHeight="1">
      <c r="A8" s="10"/>
      <c r="B8" s="59" t="str">
        <f>Data!A3</f>
        <v>AÇÃO</v>
      </c>
      <c r="C8" s="12"/>
      <c r="D8" s="13"/>
      <c r="E8" s="59" t="str">
        <f>Data!A7</f>
        <v>STOCK</v>
      </c>
      <c r="F8" s="12"/>
      <c r="G8" s="12"/>
      <c r="H8" s="3"/>
      <c r="I8" s="37" t="str">
        <f>Data!$A7</f>
        <v>STOCK</v>
      </c>
      <c r="J8" s="38">
        <f t="shared" si="1"/>
        <v>0</v>
      </c>
      <c r="K8" s="39">
        <f>SUMIFS(Proventos!H:H,Proventos!J:J,I8)</f>
        <v>0</v>
      </c>
      <c r="L8" s="3"/>
      <c r="M8" s="55"/>
      <c r="N8" s="41" t="s">
        <v>27</v>
      </c>
      <c r="O8" s="51">
        <f>IFERROR(__xludf.DUMMYFUNCTION("IFERROR(VLOOKUP(N8,COTACAO,5,0),GOOGLEFINANCE(N8))"),2724.42)</f>
        <v>2724.42</v>
      </c>
      <c r="P8" s="3"/>
      <c r="Q8" s="56" t="str">
        <f>IFERROR(__xludf.DUMMYFUNCTION("""COMPUTED_VALUE"""),"HGBS11")</f>
        <v>HGBS11</v>
      </c>
      <c r="R8" s="56" t="str">
        <f>IFERROR(__xludf.DUMMYFUNCTION("""COMPUTED_VALUE"""),"R")</f>
        <v>R</v>
      </c>
      <c r="S8" s="57">
        <f>IFERROR(__xludf.DUMMYFUNCTION("""COMPUTED_VALUE"""),44331.0)</f>
        <v>44331</v>
      </c>
      <c r="T8" s="58">
        <f>IFERROR(__xludf.DUMMYFUNCTION("""COMPUTED_VALUE"""),117.0)</f>
        <v>117</v>
      </c>
      <c r="U8" s="3"/>
      <c r="V8" s="44">
        <f>IFERROR(VLOOKUP(X8,DataCarteira!A:B,2,),"")</f>
        <v>163.7</v>
      </c>
      <c r="W8" s="45">
        <f>IFERROR(__xludf.DUMMYFUNCTION("IFERROR(GOOGLEFINANCE(X8,""changepct"")/100,"""")
"),-5.0E-4)</f>
        <v>-0.0005</v>
      </c>
      <c r="X8" s="46" t="str">
        <f>IFERROR(__xludf.DUMMYFUNCTION("""COMPUTED_VALUE"""),"HGBS11")</f>
        <v>HGBS11</v>
      </c>
      <c r="Y8" s="47">
        <f>IFERROR(VLOOKUP(X8,DataCarteira!$A$2:$K38,3,),)</f>
        <v>50</v>
      </c>
      <c r="Z8" s="48">
        <f>IFERROR(VLOOKUP(X8,DataCarteira!$A$2:$K38,6,),)</f>
        <v>170</v>
      </c>
      <c r="AA8" s="49"/>
    </row>
    <row r="9" ht="19.5" customHeight="1">
      <c r="A9" s="18"/>
      <c r="B9" s="60">
        <f>IFERROR(IFS(AND(K3,K15),(C10+K4+K16)/C11-1,AND(K3=FALSE,K15=FALSE),C10/C11-1,K3,(C10+K4)/C11-1,K15,(C10+K16)/C11-1),0)</f>
        <v>0.32516</v>
      </c>
      <c r="D9" s="3"/>
      <c r="E9" s="60">
        <f>IFERROR(IFS(AND(K3,K15),(F10+K8+K20)/F11-1,AND(K3=FALSE,K15=FALSE),F10/F11-1,K3,(F10+K8)/F11-1,K15,(F10+K20)/F11-1),0)</f>
        <v>0</v>
      </c>
      <c r="H9" s="3"/>
      <c r="I9" s="37" t="str">
        <f>Data!$A8</f>
        <v>REIT</v>
      </c>
      <c r="J9" s="38">
        <f t="shared" si="1"/>
        <v>0</v>
      </c>
      <c r="K9" s="39">
        <f>SUMIFS(Proventos!H:H,Proventos!J:J,I9)</f>
        <v>0</v>
      </c>
      <c r="L9" s="3"/>
      <c r="M9" s="55" t="s">
        <v>28</v>
      </c>
      <c r="N9" s="41" t="s">
        <v>29</v>
      </c>
      <c r="O9" s="51">
        <f>IFERROR(__xludf.DUMMYFUNCTION("IFERROR(VLOOKUP(M9,COTACAO,5,0),GOOGLEFINANCE(M9))"),33174.07)</f>
        <v>33174.07</v>
      </c>
      <c r="P9" s="3"/>
      <c r="Q9" s="56"/>
      <c r="R9" s="56"/>
      <c r="S9" s="57"/>
      <c r="T9" s="58"/>
      <c r="U9" s="3"/>
      <c r="V9" s="44">
        <f>IFERROR(VLOOKUP(X9,DataCarteira!A:B,2,),"")</f>
        <v>161.05</v>
      </c>
      <c r="W9" s="45">
        <f>IFERROR(__xludf.DUMMYFUNCTION("IFERROR(GOOGLEFINANCE(X9,""changepct"")/100,"""")
"),-0.0028000000000000004)</f>
        <v>-0.0028</v>
      </c>
      <c r="X9" s="46" t="str">
        <f>IFERROR(__xludf.DUMMYFUNCTION("""COMPUTED_VALUE"""),"HGLG11")</f>
        <v>HGLG11</v>
      </c>
      <c r="Y9" s="47">
        <f>IFERROR(VLOOKUP(X9,DataCarteira!$A$2:$K38,3,),)</f>
        <v>100</v>
      </c>
      <c r="Z9" s="48">
        <f>IFERROR(VLOOKUP(X9,DataCarteira!$A$2:$K38,6,),)</f>
        <v>150</v>
      </c>
      <c r="AA9" s="49"/>
    </row>
    <row r="10" ht="19.5" customHeight="1">
      <c r="A10" s="31"/>
      <c r="B10" s="61" t="s">
        <v>15</v>
      </c>
      <c r="C10" s="62">
        <f>SUMIF(DataCarteira!$I:$I,Data!A3,DataCarteira!$D:$D)</f>
        <v>12864.5</v>
      </c>
      <c r="D10" s="3"/>
      <c r="E10" s="61" t="s">
        <v>15</v>
      </c>
      <c r="F10" s="62">
        <f>SUMIF(DataCarteira!$I:$I,Data!A7,DataCarteira!$D:$D)</f>
        <v>0</v>
      </c>
      <c r="H10" s="3"/>
      <c r="I10" s="37" t="str">
        <f>Data!$A9</f>
        <v>ETF-US</v>
      </c>
      <c r="J10" s="38">
        <f t="shared" si="1"/>
        <v>0</v>
      </c>
      <c r="K10" s="39">
        <f>SUMIFS(Proventos!H:H,Proventos!J:J,I10)</f>
        <v>0</v>
      </c>
      <c r="L10" s="3"/>
      <c r="M10" s="55" t="s">
        <v>30</v>
      </c>
      <c r="N10" s="41" t="s">
        <v>31</v>
      </c>
      <c r="O10" s="51">
        <f>IFERROR(__xludf.DUMMYFUNCTION("IFERROR(VLOOKUP(M10,COTACAO,5,0),GOOGLEFINANCE(M10))"),4259.52)</f>
        <v>4259.52</v>
      </c>
      <c r="P10" s="3"/>
      <c r="Q10" s="56"/>
      <c r="R10" s="56"/>
      <c r="S10" s="57"/>
      <c r="T10" s="58"/>
      <c r="U10" s="3"/>
      <c r="V10" s="44">
        <f>IFERROR(VLOOKUP(X10,DataCarteira!A:B,2,),"")</f>
        <v>130.1</v>
      </c>
      <c r="W10" s="45">
        <f>IFERROR(__xludf.DUMMYFUNCTION("IFERROR(GOOGLEFINANCE(X10,""changepct"")/100,"""")
"),-0.0015)</f>
        <v>-0.0015</v>
      </c>
      <c r="X10" s="46" t="str">
        <f>IFERROR(__xludf.DUMMYFUNCTION("""COMPUTED_VALUE"""),"KNRI11")</f>
        <v>KNRI11</v>
      </c>
      <c r="Y10" s="47">
        <f>IFERROR(VLOOKUP(X10,DataCarteira!$A$2:$K38,3,),)</f>
        <v>125</v>
      </c>
      <c r="Z10" s="48">
        <f>IFERROR(VLOOKUP(X10,DataCarteira!$A$2:$K38,6,),)</f>
        <v>125</v>
      </c>
      <c r="AA10" s="49"/>
    </row>
    <row r="11" ht="19.5" customHeight="1">
      <c r="A11" s="31"/>
      <c r="B11" s="61" t="s">
        <v>20</v>
      </c>
      <c r="C11" s="62">
        <f>SUMIF(DataCarteira!$I:$I,B8,DataCarteira!$E:$E)</f>
        <v>12500</v>
      </c>
      <c r="D11" s="3"/>
      <c r="E11" s="61" t="s">
        <v>20</v>
      </c>
      <c r="F11" s="62">
        <f>SUMIF(DataCarteira!$I:$I,E8,DataCarteira!$E:$E)</f>
        <v>0</v>
      </c>
      <c r="H11" s="3"/>
      <c r="I11" s="37" t="str">
        <f>E26</f>
        <v>ADR</v>
      </c>
      <c r="J11" s="38">
        <f t="shared" si="1"/>
        <v>0</v>
      </c>
      <c r="K11" s="39">
        <f>SUMIFS(Proventos!H:H,Proventos!J:J,I11)</f>
        <v>0</v>
      </c>
      <c r="L11" s="3"/>
      <c r="M11" s="55" t="s">
        <v>32</v>
      </c>
      <c r="N11" s="41" t="s">
        <v>33</v>
      </c>
      <c r="O11" s="51">
        <f>IFERROR(__xludf.DUMMYFUNCTION("IFERROR(VLOOKUP(M11,COTACAO,5,0),GOOGLEFINANCE(M11))"),13129.96)</f>
        <v>13129.96</v>
      </c>
      <c r="P11" s="3"/>
      <c r="Q11" s="56"/>
      <c r="R11" s="56"/>
      <c r="S11" s="57"/>
      <c r="T11" s="58"/>
      <c r="U11" s="3"/>
      <c r="V11" s="44">
        <f>IFERROR(VLOOKUP(X11,DataCarteira!A:B,2,),"")</f>
        <v>12.19</v>
      </c>
      <c r="W11" s="45">
        <f>IFERROR(__xludf.DUMMYFUNCTION("IFERROR(GOOGLEFINANCE(X11,""changepct"")/100,"""")
"),0.0083)</f>
        <v>0.0083</v>
      </c>
      <c r="X11" s="46" t="str">
        <f>IFERROR(__xludf.DUMMYFUNCTION("""COMPUTED_VALUE"""),"ODPV3")</f>
        <v>ODPV3</v>
      </c>
      <c r="Y11" s="47">
        <f>IFERROR(VLOOKUP(X11,DataCarteira!$A$2:$K38,3,),)</f>
        <v>150</v>
      </c>
      <c r="Z11" s="48">
        <f>IFERROR(VLOOKUP(X11,DataCarteira!$A$2:$K38,6,),)</f>
        <v>15</v>
      </c>
      <c r="AA11" s="49"/>
    </row>
    <row r="12" ht="19.5" customHeight="1">
      <c r="A12" s="31"/>
      <c r="B12" s="61" t="s">
        <v>34</v>
      </c>
      <c r="C12" s="62">
        <f>C10-C11</f>
        <v>364.5</v>
      </c>
      <c r="D12" s="3"/>
      <c r="E12" s="61" t="s">
        <v>34</v>
      </c>
      <c r="F12" s="62">
        <f>F10-F11</f>
        <v>0</v>
      </c>
      <c r="H12" s="3"/>
      <c r="I12" s="63" t="s">
        <v>34</v>
      </c>
      <c r="J12" s="64">
        <f t="shared" ref="J12:K12" si="2">sum(J4:J11)</f>
        <v>1</v>
      </c>
      <c r="K12" s="65">
        <f t="shared" si="2"/>
        <v>6494.5</v>
      </c>
      <c r="L12" s="3"/>
      <c r="M12" s="23" t="s">
        <v>35</v>
      </c>
      <c r="N12" s="12"/>
      <c r="O12" s="12"/>
      <c r="P12" s="3"/>
      <c r="Q12" s="56"/>
      <c r="R12" s="56"/>
      <c r="S12" s="57"/>
      <c r="T12" s="58"/>
      <c r="U12" s="3"/>
      <c r="V12" s="44">
        <f>IFERROR(VLOOKUP(X12,DataCarteira!A:B,2,),"")</f>
        <v>22.36</v>
      </c>
      <c r="W12" s="45">
        <f>IFERROR(__xludf.DUMMYFUNCTION("IFERROR(GOOGLEFINANCE(X12,""changepct"")/100,"""")
"),-0.029500000000000002)</f>
        <v>-0.0295</v>
      </c>
      <c r="X12" s="46" t="str">
        <f>IFERROR(__xludf.DUMMYFUNCTION("""COMPUTED_VALUE"""),"RADL3")</f>
        <v>RADL3</v>
      </c>
      <c r="Y12" s="47">
        <f>IFERROR(VLOOKUP(X12,DataCarteira!$A$2:$K38,3,),)</f>
        <v>150</v>
      </c>
      <c r="Z12" s="48">
        <f>IFERROR(VLOOKUP(X12,DataCarteira!$A$2:$K38,6,),)</f>
        <v>25</v>
      </c>
      <c r="AA12" s="49"/>
    </row>
    <row r="13" ht="19.5" customHeight="1">
      <c r="A13" s="3"/>
      <c r="B13" s="2"/>
      <c r="C13" s="3"/>
      <c r="D13" s="3"/>
      <c r="E13" s="2"/>
      <c r="F13" s="3"/>
      <c r="G13" s="3"/>
      <c r="H13" s="3"/>
      <c r="I13" s="66"/>
      <c r="J13" s="67"/>
      <c r="K13" s="68"/>
      <c r="L13" s="3"/>
      <c r="M13" s="69" t="s">
        <v>36</v>
      </c>
      <c r="N13" s="41" t="s">
        <v>37</v>
      </c>
      <c r="O13" s="70">
        <f>IFERROR(__xludf.DUMMYFUNCTION("GOOGLEFINANCE(""usdbrl"")"),5.0115)</f>
        <v>5.0115</v>
      </c>
      <c r="P13" s="3"/>
      <c r="Q13" s="56"/>
      <c r="R13" s="56"/>
      <c r="S13" s="57"/>
      <c r="T13" s="58"/>
      <c r="U13" s="3"/>
      <c r="V13" s="44">
        <f>IFERROR(VLOOKUP(X13,DataCarteira!A:B,2,),"")</f>
        <v>31.72</v>
      </c>
      <c r="W13" s="45">
        <f>IFERROR(__xludf.DUMMYFUNCTION("IFERROR(GOOGLEFINANCE(X13,""changepct"")/100,"""")
"),-0.0291)</f>
        <v>-0.0291</v>
      </c>
      <c r="X13" s="46" t="str">
        <f>IFERROR(__xludf.DUMMYFUNCTION("""COMPUTED_VALUE"""),"WEGE3")</f>
        <v>WEGE3</v>
      </c>
      <c r="Y13" s="47">
        <f>IFERROR(VLOOKUP(X13,DataCarteira!$A$2:$K38,3,),)</f>
        <v>200</v>
      </c>
      <c r="Z13" s="48">
        <f>IFERROR(VLOOKUP(X13,DataCarteira!$A$2:$K38,6,),)</f>
        <v>25</v>
      </c>
      <c r="AA13" s="49"/>
    </row>
    <row r="14" ht="19.5" customHeight="1">
      <c r="A14" s="10"/>
      <c r="B14" s="15" t="str">
        <f>Data!A4</f>
        <v>FII</v>
      </c>
      <c r="C14" s="12"/>
      <c r="D14" s="13"/>
      <c r="E14" s="15" t="str">
        <f>Data!A8</f>
        <v>REIT</v>
      </c>
      <c r="F14" s="12"/>
      <c r="G14" s="12"/>
      <c r="H14" s="3"/>
      <c r="I14" s="59" t="s">
        <v>38</v>
      </c>
      <c r="J14" s="12"/>
      <c r="K14" s="12"/>
      <c r="L14" s="3"/>
      <c r="M14" s="69" t="s">
        <v>39</v>
      </c>
      <c r="N14" s="41" t="s">
        <v>40</v>
      </c>
      <c r="O14" s="71">
        <f>IFERROR(__xludf.DUMMYFUNCTION("GOOGLEFINANCE(""EURBRL"")"),5.506109992000001)</f>
        <v>5.506109992</v>
      </c>
      <c r="P14" s="3"/>
      <c r="Q14" s="56"/>
      <c r="R14" s="56"/>
      <c r="S14" s="57"/>
      <c r="T14" s="58"/>
      <c r="U14" s="3"/>
      <c r="V14" s="44" t="str">
        <f>IFERROR(VLOOKUP(X14,DataCarteira!A:B,2,),"")</f>
        <v/>
      </c>
      <c r="W14" s="45" t="str">
        <f>IFERROR(__xludf.DUMMYFUNCTION("IFERROR(GOOGLEFINANCE(X14,""changepct"")/100,"""")
"),"")</f>
        <v/>
      </c>
      <c r="X14" s="46"/>
      <c r="Y14" s="47" t="str">
        <f>IFERROR(VLOOKUP(X14,DataCarteira!$A$2:$K38,3,),)</f>
        <v/>
      </c>
      <c r="Z14" s="48" t="str">
        <f>IFERROR(VLOOKUP(X14,DataCarteira!$A$2:$K38,6,),)</f>
        <v/>
      </c>
      <c r="AA14" s="49"/>
    </row>
    <row r="15" ht="19.5" customHeight="1">
      <c r="A15" s="18"/>
      <c r="B15" s="72">
        <f>IFERROR(IFS(AND(K3,K15),(C16+K5+K17)/C17-1,AND(K3=FALSE,K15=FALSE),C16/C17-1,K3,(C16+K5)/C17-1,K15,(C16+K17)/C17-1),0)</f>
        <v>0.1079105431</v>
      </c>
      <c r="D15" s="3"/>
      <c r="E15" s="72">
        <f>IFERROR(IFS(AND(K3,K15),(F16+K9+K21)/F17-1,AND(K3=FALSE,K15=FALSE),F16/F17-1,K3,(F16+K9)/F17-1,K15,(F16+K21)/F17-1),0)</f>
        <v>0</v>
      </c>
      <c r="H15" s="3"/>
      <c r="I15" s="21" t="s">
        <v>6</v>
      </c>
      <c r="K15" s="73" t="b">
        <v>0</v>
      </c>
      <c r="L15" s="3"/>
      <c r="M15" s="69" t="s">
        <v>41</v>
      </c>
      <c r="N15" s="41" t="s">
        <v>42</v>
      </c>
      <c r="O15" s="74">
        <f>IFERROR(__xludf.DUMMYFUNCTION("GOOGLEFINANCE(""GBPBRL"")"),6.5573879999999996)</f>
        <v>6.557388</v>
      </c>
      <c r="P15" s="3"/>
      <c r="Q15" s="56"/>
      <c r="R15" s="56"/>
      <c r="S15" s="57"/>
      <c r="T15" s="58"/>
      <c r="U15" s="3"/>
      <c r="V15" s="44" t="str">
        <f>IFERROR(VLOOKUP(X15,DataCarteira!A:B,2,),"")</f>
        <v/>
      </c>
      <c r="W15" s="45" t="str">
        <f>IFERROR(__xludf.DUMMYFUNCTION("IFERROR(GOOGLEFINANCE(X15,""changepct"")/100,"""")
"),"")</f>
        <v/>
      </c>
      <c r="X15" s="46"/>
      <c r="Y15" s="47" t="str">
        <f>IFERROR(VLOOKUP(X15,DataCarteira!$A$2:$K38,3,),)</f>
        <v/>
      </c>
      <c r="Z15" s="48" t="str">
        <f>IFERROR(VLOOKUP(X15,DataCarteira!$A$2:$K38,6,),)</f>
        <v/>
      </c>
      <c r="AA15" s="49"/>
    </row>
    <row r="16" ht="19.5" customHeight="1">
      <c r="A16" s="31"/>
      <c r="B16" s="75" t="s">
        <v>15</v>
      </c>
      <c r="C16" s="76">
        <f>SUMIF(DataCarteira!$I:$I,Data!A4,DataCarteira!$D:$D)</f>
        <v>40552.5</v>
      </c>
      <c r="D16" s="3"/>
      <c r="E16" s="75" t="s">
        <v>15</v>
      </c>
      <c r="F16" s="76">
        <f>SUMIF(DataCarteira!$I:$I,Data!A8,DataCarteira!$D:$D)</f>
        <v>0</v>
      </c>
      <c r="H16" s="3"/>
      <c r="I16" s="77" t="str">
        <f>Data!$A3</f>
        <v>AÇÃO</v>
      </c>
      <c r="J16" s="78">
        <f t="shared" ref="J16:J23" si="3">IFERROR(K16/$K$24,0)</f>
        <v>2</v>
      </c>
      <c r="K16" s="79">
        <f>SUMIF('Operações-BR'!$V$2:V38,"="&amp;I16,'Operações-BR'!$T$2:T38)</f>
        <v>-5000</v>
      </c>
      <c r="L16" s="3"/>
      <c r="M16" s="23" t="s">
        <v>43</v>
      </c>
      <c r="N16" s="12"/>
      <c r="O16" s="12"/>
      <c r="P16" s="3"/>
      <c r="Q16" s="56"/>
      <c r="R16" s="56"/>
      <c r="S16" s="57"/>
      <c r="T16" s="58"/>
      <c r="U16" s="3"/>
      <c r="V16" s="44" t="str">
        <f>IFERROR(VLOOKUP(X16,DataCarteira!A:B,2,),"")</f>
        <v/>
      </c>
      <c r="W16" s="45" t="str">
        <f>IFERROR(__xludf.DUMMYFUNCTION("IFERROR(GOOGLEFINANCE(X16,""changepct"")/100,"""")
"),"")</f>
        <v/>
      </c>
      <c r="X16" s="46"/>
      <c r="Y16" s="47" t="str">
        <f>IFERROR(VLOOKUP(X16,DataCarteira!$A$2:$K38,3,),)</f>
        <v/>
      </c>
      <c r="Z16" s="48" t="str">
        <f>IFERROR(VLOOKUP(X16,DataCarteira!$A$2:$K38,6,),)</f>
        <v/>
      </c>
      <c r="AA16" s="49"/>
    </row>
    <row r="17" ht="19.5" customHeight="1">
      <c r="A17" s="31"/>
      <c r="B17" s="75" t="s">
        <v>20</v>
      </c>
      <c r="C17" s="76">
        <f>SUMIF(DataCarteira!$I:$I,B14,DataCarteira!$E:$E)</f>
        <v>39125</v>
      </c>
      <c r="D17" s="3"/>
      <c r="E17" s="75" t="s">
        <v>20</v>
      </c>
      <c r="F17" s="76">
        <f>SUMIF(DataCarteira!$I:$I,E14,DataCarteira!$E:$E)</f>
        <v>0</v>
      </c>
      <c r="H17" s="3"/>
      <c r="I17" s="77" t="str">
        <f>Data!$A4</f>
        <v>FII</v>
      </c>
      <c r="J17" s="78">
        <f t="shared" si="3"/>
        <v>-1</v>
      </c>
      <c r="K17" s="79">
        <f>SUMIF('Operações-BR'!$V$2:V38,"="&amp;I17,'Operações-BR'!$T$2:T38)</f>
        <v>2500</v>
      </c>
      <c r="L17" s="3"/>
      <c r="M17" s="55" t="s">
        <v>44</v>
      </c>
      <c r="N17" s="41" t="s">
        <v>45</v>
      </c>
      <c r="O17" s="70">
        <f>IFERROR(__xludf.DUMMYFUNCTION("GOOGLEFINANCE(M17)"),39278.5)</f>
        <v>39278.5</v>
      </c>
      <c r="P17" s="3"/>
      <c r="Q17" s="56"/>
      <c r="R17" s="56"/>
      <c r="S17" s="57"/>
      <c r="T17" s="58"/>
      <c r="U17" s="3"/>
      <c r="V17" s="44" t="str">
        <f>IFERROR(VLOOKUP(X17,DataCarteira!A:B,2,),"")</f>
        <v/>
      </c>
      <c r="W17" s="45" t="str">
        <f>IFERROR(__xludf.DUMMYFUNCTION("IFERROR(GOOGLEFINANCE(X17,""changepct"")/100,"""")
"),"")</f>
        <v/>
      </c>
      <c r="X17" s="46"/>
      <c r="Y17" s="47" t="str">
        <f>IFERROR(VLOOKUP(X17,DataCarteira!$A$2:$K38,3,),)</f>
        <v/>
      </c>
      <c r="Z17" s="48" t="str">
        <f>IFERROR(VLOOKUP(X17,DataCarteira!$A$2:$K38,6,),)</f>
        <v/>
      </c>
      <c r="AA17" s="49"/>
    </row>
    <row r="18" ht="19.5" customHeight="1">
      <c r="A18" s="31"/>
      <c r="B18" s="75" t="s">
        <v>34</v>
      </c>
      <c r="C18" s="76">
        <f>C16-C17</f>
        <v>1427.5</v>
      </c>
      <c r="D18" s="3"/>
      <c r="E18" s="75" t="s">
        <v>34</v>
      </c>
      <c r="F18" s="76">
        <f>F16-F17</f>
        <v>0</v>
      </c>
      <c r="H18" s="3"/>
      <c r="I18" s="77" t="str">
        <f>Data!$A5</f>
        <v>ETF</v>
      </c>
      <c r="J18" s="78">
        <f t="shared" si="3"/>
        <v>0</v>
      </c>
      <c r="K18" s="79">
        <f>SUMIF('Operações-BR'!$V$2:V38,"="&amp;I18,'Operações-BR'!$T$2:T38)</f>
        <v>0</v>
      </c>
      <c r="L18" s="3"/>
      <c r="M18" s="80" t="s">
        <v>46</v>
      </c>
      <c r="N18" s="81"/>
      <c r="O18" s="82">
        <f>IFERROR(__xludf.DUMMYFUNCTION("GOOGLEFINANCE(M18)"),196844.20270000002)</f>
        <v>196844.2027</v>
      </c>
      <c r="P18" s="3"/>
      <c r="Q18" s="56"/>
      <c r="R18" s="56"/>
      <c r="S18" s="57"/>
      <c r="T18" s="58"/>
      <c r="U18" s="3"/>
      <c r="V18" s="44" t="str">
        <f>IFERROR(VLOOKUP(X18,DataCarteira!A:B,2,),"")</f>
        <v/>
      </c>
      <c r="W18" s="45" t="str">
        <f>IFERROR(__xludf.DUMMYFUNCTION("IFERROR(GOOGLEFINANCE(X18,""changepct"")/100,"""")
"),"")</f>
        <v/>
      </c>
      <c r="X18" s="46"/>
      <c r="Y18" s="47" t="str">
        <f>IFERROR(VLOOKUP(X18,DataCarteira!$A$2:$K38,3,),)</f>
        <v/>
      </c>
      <c r="Z18" s="48" t="str">
        <f>IFERROR(VLOOKUP(X18,DataCarteira!$A$2:$K38,6,),)</f>
        <v/>
      </c>
      <c r="AA18" s="49"/>
    </row>
    <row r="19" ht="19.5" customHeight="1">
      <c r="A19" s="3"/>
      <c r="B19" s="2"/>
      <c r="C19" s="3"/>
      <c r="D19" s="3"/>
      <c r="E19" s="2"/>
      <c r="F19" s="3"/>
      <c r="G19" s="3"/>
      <c r="H19" s="3"/>
      <c r="I19" s="77" t="str">
        <f>B26</f>
        <v>BDR</v>
      </c>
      <c r="J19" s="78">
        <f t="shared" si="3"/>
        <v>0</v>
      </c>
      <c r="K19" s="79">
        <f>SUMIF('Operações-BR'!$V$2:V38,"="&amp;I19,'Operações-BR'!$T$2:T38)</f>
        <v>0</v>
      </c>
      <c r="L19" s="3"/>
      <c r="M19" s="55" t="s">
        <v>47</v>
      </c>
      <c r="N19" s="41" t="s">
        <v>48</v>
      </c>
      <c r="O19" s="70">
        <f>IFERROR(__xludf.DUMMYFUNCTION("GOOGLEFINANCE(M19)"),2603.89)</f>
        <v>2603.89</v>
      </c>
      <c r="P19" s="3"/>
      <c r="Q19" s="56"/>
      <c r="R19" s="56"/>
      <c r="S19" s="57"/>
      <c r="T19" s="58"/>
      <c r="U19" s="3"/>
      <c r="V19" s="44" t="str">
        <f>IFERROR(VLOOKUP(X19,DataCarteira!A:B,2,),"")</f>
        <v/>
      </c>
      <c r="W19" s="45" t="str">
        <f>IFERROR(__xludf.DUMMYFUNCTION("IFERROR(GOOGLEFINANCE(X19,""changepct"")/100,"""")
"),"")</f>
        <v/>
      </c>
      <c r="X19" s="46"/>
      <c r="Y19" s="47" t="str">
        <f>IFERROR(VLOOKUP(X19,DataCarteira!$A$2:$K38,3,),)</f>
        <v/>
      </c>
      <c r="Z19" s="48" t="str">
        <f>IFERROR(VLOOKUP(X19,DataCarteira!$A$2:$K38,6,),)</f>
        <v/>
      </c>
      <c r="AA19" s="49"/>
    </row>
    <row r="20" ht="19.5" customHeight="1">
      <c r="A20" s="3"/>
      <c r="B20" s="83" t="str">
        <f>Data!A5</f>
        <v>ETF</v>
      </c>
      <c r="C20" s="12"/>
      <c r="D20" s="13"/>
      <c r="E20" s="83" t="str">
        <f>Data!A9</f>
        <v>ETF-US</v>
      </c>
      <c r="F20" s="12"/>
      <c r="G20" s="12"/>
      <c r="H20" s="3"/>
      <c r="I20" s="77" t="str">
        <f>Data!$A7</f>
        <v>STOCK</v>
      </c>
      <c r="J20" s="78">
        <f t="shared" si="3"/>
        <v>0</v>
      </c>
      <c r="K20" s="79">
        <f>SUMIF('Operações-BR'!$V$2:V38,"="&amp;I20,'Operações-BR'!$T$2:T38)</f>
        <v>0</v>
      </c>
      <c r="L20" s="3"/>
      <c r="M20" s="80" t="s">
        <v>49</v>
      </c>
      <c r="N20" s="81"/>
      <c r="O20" s="82">
        <f>IFERROR(__xludf.DUMMYFUNCTION("GOOGLEFINANCE(M20)"),13049.394730000002)</f>
        <v>13049.39473</v>
      </c>
      <c r="P20" s="3"/>
      <c r="Q20" s="56"/>
      <c r="R20" s="56"/>
      <c r="S20" s="57"/>
      <c r="T20" s="58"/>
      <c r="U20" s="3"/>
      <c r="V20" s="44" t="str">
        <f>IFERROR(VLOOKUP(X20,DataCarteira!A:B,2,),"")</f>
        <v/>
      </c>
      <c r="W20" s="45" t="str">
        <f>IFERROR(__xludf.DUMMYFUNCTION("IFERROR(GOOGLEFINANCE(X20,""changepct"")/100,"""")
"),"")</f>
        <v/>
      </c>
      <c r="X20" s="46"/>
      <c r="Y20" s="47" t="str">
        <f>IFERROR(VLOOKUP(X20,DataCarteira!$A$2:$K38,3,),)</f>
        <v/>
      </c>
      <c r="Z20" s="48" t="str">
        <f>IFERROR(VLOOKUP(X20,DataCarteira!$A$2:$K38,6,),)</f>
        <v/>
      </c>
      <c r="AA20" s="49"/>
    </row>
    <row r="21" ht="19.5" customHeight="1">
      <c r="A21" s="3"/>
      <c r="B21" s="84">
        <f>IFERROR(IFS(AND(K3,K15),(C22+K6+K18)/C23-1,AND(K3=FALSE,K15=FALSE),C22/C23-1,K3,(C22+K6)/C23-1,K15,(C22+K18)/C23-1),0)</f>
        <v>0</v>
      </c>
      <c r="D21" s="3"/>
      <c r="E21" s="84">
        <f>IFERROR(IFS(AND(K3,K15),(F22+K10+K22)/F23-1,AND(K3=FALSE,K15=FALSE),F22/F23-1,K3,(F22+K10)/F23-1,K15,(F22+K22)/F23-1),0)</f>
        <v>0</v>
      </c>
      <c r="H21" s="3"/>
      <c r="I21" s="77" t="str">
        <f>Data!$A8</f>
        <v>REIT</v>
      </c>
      <c r="J21" s="78">
        <f t="shared" si="3"/>
        <v>0</v>
      </c>
      <c r="K21" s="79">
        <f>SUMIF('Operações-BR'!$V$2:V38,"="&amp;I21,'Operações-BR'!$T$2:T38)</f>
        <v>0</v>
      </c>
      <c r="L21" s="3"/>
      <c r="M21" s="55"/>
      <c r="N21" s="41" t="s">
        <v>50</v>
      </c>
      <c r="O21" s="70"/>
      <c r="P21" s="3"/>
      <c r="Q21" s="56"/>
      <c r="R21" s="56"/>
      <c r="S21" s="57"/>
      <c r="T21" s="58"/>
      <c r="U21" s="3"/>
      <c r="V21" s="44" t="str">
        <f>IFERROR(VLOOKUP(X21,DataCarteira!A:B,2,),"")</f>
        <v/>
      </c>
      <c r="W21" s="45" t="str">
        <f>IFERROR(__xludf.DUMMYFUNCTION("IFERROR(GOOGLEFINANCE(X21,""changepct"")/100,"""")
"),"")</f>
        <v/>
      </c>
      <c r="X21" s="46"/>
      <c r="Y21" s="47" t="str">
        <f>IFERROR(VLOOKUP(X21,DataCarteira!$A$2:$K38,3,),)</f>
        <v/>
      </c>
      <c r="Z21" s="48" t="str">
        <f>IFERROR(VLOOKUP(X21,DataCarteira!$A$2:$K38,6,),)</f>
        <v/>
      </c>
      <c r="AA21" s="49"/>
    </row>
    <row r="22" ht="19.5" customHeight="1">
      <c r="A22" s="3"/>
      <c r="B22" s="85" t="s">
        <v>15</v>
      </c>
      <c r="C22" s="86">
        <f>SUMIF(DataCarteira!$I:$I,Data!A5,DataCarteira!$D:$D)</f>
        <v>0</v>
      </c>
      <c r="D22" s="3"/>
      <c r="E22" s="85" t="s">
        <v>15</v>
      </c>
      <c r="F22" s="86">
        <f>SUMIF(DataCarteira!$I:$I,Data!A9,DataCarteira!$D:$D)</f>
        <v>0</v>
      </c>
      <c r="H22" s="3"/>
      <c r="I22" s="77" t="str">
        <f>Data!$A9</f>
        <v>ETF-US</v>
      </c>
      <c r="J22" s="78">
        <f t="shared" si="3"/>
        <v>0</v>
      </c>
      <c r="K22" s="79">
        <f>SUMIF('Operações-BR'!$V$2:V38,"="&amp;I22,'Operações-BR'!$T$2:T38)</f>
        <v>0</v>
      </c>
      <c r="L22" s="3"/>
      <c r="M22" s="80"/>
      <c r="N22" s="81"/>
      <c r="O22" s="82"/>
      <c r="P22" s="3"/>
      <c r="Q22" s="56"/>
      <c r="R22" s="56"/>
      <c r="S22" s="57"/>
      <c r="T22" s="58"/>
      <c r="U22" s="3"/>
      <c r="V22" s="44" t="str">
        <f>IFERROR(VLOOKUP(X22,DataCarteira!A:B,2,),"")</f>
        <v/>
      </c>
      <c r="W22" s="45" t="str">
        <f>IFERROR(__xludf.DUMMYFUNCTION("IFERROR(GOOGLEFINANCE(X22,""changepct"")/100,"""")
"),"")</f>
        <v/>
      </c>
      <c r="X22" s="46"/>
      <c r="Y22" s="47" t="str">
        <f>IFERROR(VLOOKUP(X22,DataCarteira!$A$2:$K38,3,),)</f>
        <v/>
      </c>
      <c r="Z22" s="48" t="str">
        <f>IFERROR(VLOOKUP(X22,DataCarteira!$A$2:$K38,6,),)</f>
        <v/>
      </c>
      <c r="AA22" s="49"/>
    </row>
    <row r="23" ht="19.5" customHeight="1">
      <c r="A23" s="3"/>
      <c r="B23" s="85" t="s">
        <v>20</v>
      </c>
      <c r="C23" s="86">
        <f>SUMIF(DataCarteira!$I:$I,B20,DataCarteira!$E:$E)</f>
        <v>0</v>
      </c>
      <c r="D23" s="3"/>
      <c r="E23" s="85" t="s">
        <v>20</v>
      </c>
      <c r="F23" s="86">
        <f>SUMIF(DataCarteira!$I:$I,E20,DataCarteira!$E:$E)</f>
        <v>0</v>
      </c>
      <c r="H23" s="3"/>
      <c r="I23" s="77" t="str">
        <f>E26</f>
        <v>ADR</v>
      </c>
      <c r="J23" s="78">
        <f t="shared" si="3"/>
        <v>0</v>
      </c>
      <c r="K23" s="79">
        <f>SUMIF('Operações-BR'!$V$2:V38,"="&amp;I23,'Operações-BR'!$T$2:T38)</f>
        <v>0</v>
      </c>
      <c r="L23" s="3"/>
      <c r="M23" s="55"/>
      <c r="N23" s="41" t="s">
        <v>51</v>
      </c>
      <c r="O23" s="70"/>
      <c r="P23" s="3"/>
      <c r="Q23" s="56"/>
      <c r="R23" s="56"/>
      <c r="S23" s="57"/>
      <c r="T23" s="58"/>
      <c r="U23" s="3"/>
      <c r="V23" s="44" t="str">
        <f>IFERROR(VLOOKUP(X23,DataCarteira!A:B,2,),"")</f>
        <v/>
      </c>
      <c r="W23" s="45" t="str">
        <f>IFERROR(__xludf.DUMMYFUNCTION("IFERROR(GOOGLEFINANCE(X23,""changepct"")/100,"""")
"),"")</f>
        <v/>
      </c>
      <c r="X23" s="46"/>
      <c r="Y23" s="47" t="str">
        <f>IFERROR(VLOOKUP(X23,DataCarteira!$A$2:$K38,3,),)</f>
        <v/>
      </c>
      <c r="Z23" s="48" t="str">
        <f>IFERROR(VLOOKUP(X23,DataCarteira!$A$2:$K38,6,),)</f>
        <v/>
      </c>
      <c r="AA23" s="49"/>
    </row>
    <row r="24" ht="19.5" customHeight="1">
      <c r="A24" s="3"/>
      <c r="B24" s="85" t="s">
        <v>34</v>
      </c>
      <c r="C24" s="86">
        <f>C22-C23</f>
        <v>0</v>
      </c>
      <c r="D24" s="3"/>
      <c r="E24" s="85" t="s">
        <v>34</v>
      </c>
      <c r="F24" s="86">
        <f>F22-F23</f>
        <v>0</v>
      </c>
      <c r="H24" s="3"/>
      <c r="I24" s="87" t="s">
        <v>34</v>
      </c>
      <c r="J24" s="88">
        <f t="shared" ref="J24:K24" si="4">sum(J16:J23)</f>
        <v>1</v>
      </c>
      <c r="K24" s="89">
        <f t="shared" si="4"/>
        <v>-2500</v>
      </c>
      <c r="L24" s="3"/>
      <c r="M24" s="80"/>
      <c r="N24" s="81"/>
      <c r="O24" s="82"/>
      <c r="P24" s="3"/>
      <c r="Q24" s="56"/>
      <c r="R24" s="56"/>
      <c r="S24" s="57"/>
      <c r="T24" s="58"/>
      <c r="U24" s="3"/>
      <c r="V24" s="44" t="str">
        <f>IFERROR(VLOOKUP(X24,DataCarteira!A:B,2,),"")</f>
        <v/>
      </c>
      <c r="W24" s="45" t="str">
        <f>IFERROR(__xludf.DUMMYFUNCTION("IFERROR(GOOGLEFINANCE(X24,""changepct"")/100,"""")
"),"")</f>
        <v/>
      </c>
      <c r="X24" s="46"/>
      <c r="Y24" s="47" t="str">
        <f>IFERROR(VLOOKUP(X24,DataCarteira!$A$2:$K38,3,),)</f>
        <v/>
      </c>
      <c r="Z24" s="48" t="str">
        <f>IFERROR(VLOOKUP(X24,DataCarteira!$A$2:$K38,6,),)</f>
        <v/>
      </c>
      <c r="AA24" s="49"/>
    </row>
    <row r="25" ht="19.5" customHeight="1">
      <c r="A25" s="3"/>
      <c r="B25" s="2"/>
      <c r="C25" s="3"/>
      <c r="D25" s="3"/>
      <c r="E25" s="2"/>
      <c r="F25" s="3"/>
      <c r="G25" s="3"/>
      <c r="H25" s="3"/>
      <c r="I25" s="66"/>
      <c r="J25" s="67"/>
      <c r="K25" s="68"/>
      <c r="L25" s="3"/>
      <c r="M25" s="55"/>
      <c r="N25" s="41" t="s">
        <v>52</v>
      </c>
      <c r="O25" s="70"/>
      <c r="P25" s="3"/>
      <c r="Q25" s="56"/>
      <c r="R25" s="56"/>
      <c r="S25" s="57"/>
      <c r="T25" s="58"/>
      <c r="U25" s="3"/>
      <c r="V25" s="44" t="str">
        <f>IFERROR(VLOOKUP(X25,DataCarteira!A:B,2,),"")</f>
        <v/>
      </c>
      <c r="W25" s="45" t="str">
        <f>IFERROR(__xludf.DUMMYFUNCTION("IFERROR(GOOGLEFINANCE(X25,""changepct"")/100,"""")
"),"")</f>
        <v/>
      </c>
      <c r="X25" s="46"/>
      <c r="Y25" s="47" t="str">
        <f>IFERROR(VLOOKUP(X25,DataCarteira!$A$2:$K38,3,),)</f>
        <v/>
      </c>
      <c r="Z25" s="48" t="str">
        <f>IFERROR(VLOOKUP(X25,DataCarteira!$A$2:$K38,6,),)</f>
        <v/>
      </c>
      <c r="AA25" s="49"/>
    </row>
    <row r="26" ht="19.5" customHeight="1">
      <c r="A26" s="3"/>
      <c r="B26" s="14" t="str">
        <f>Data!A6</f>
        <v>BDR</v>
      </c>
      <c r="C26" s="90"/>
      <c r="D26" s="91"/>
      <c r="E26" s="14" t="str">
        <f>Data!A10</f>
        <v>ADR</v>
      </c>
      <c r="F26" s="90"/>
      <c r="G26" s="12"/>
      <c r="H26" s="3"/>
      <c r="I26" s="92" t="str">
        <f>Data!A11</f>
        <v>CRIPTO</v>
      </c>
      <c r="J26" s="90"/>
      <c r="K26" s="90"/>
      <c r="L26" s="3"/>
      <c r="M26" s="80"/>
      <c r="N26" s="93"/>
      <c r="O26" s="82"/>
      <c r="P26" s="3"/>
      <c r="Q26" s="56"/>
      <c r="R26" s="56"/>
      <c r="S26" s="57"/>
      <c r="T26" s="58"/>
      <c r="U26" s="3"/>
      <c r="V26" s="44" t="str">
        <f>IFERROR(VLOOKUP(X26,DataCarteira!A:B,2,),"")</f>
        <v/>
      </c>
      <c r="W26" s="45" t="str">
        <f>IFERROR(__xludf.DUMMYFUNCTION("IFERROR(GOOGLEFINANCE(X26,""changepct"")/100,"""")
"),"")</f>
        <v/>
      </c>
      <c r="X26" s="46"/>
      <c r="Y26" s="47" t="str">
        <f>IFERROR(VLOOKUP(X26,DataCarteira!$A$2:$K38,3,),)</f>
        <v/>
      </c>
      <c r="Z26" s="48" t="str">
        <f>IFERROR(VLOOKUP(X26,DataCarteira!$A$2:$K38,6,),)</f>
        <v/>
      </c>
      <c r="AA26" s="49"/>
    </row>
    <row r="27" ht="19.5" customHeight="1">
      <c r="A27" s="3"/>
      <c r="B27" s="94">
        <f>IFERROR(IFS(AND(K3,K15),(C28+K7+K19)/C29-1,AND(K3=FALSE,K15=FALSE),C28/C29-1,K3,(C28+K7)/C29-1,K15,(C28+K19)/C29-1),0)</f>
        <v>0.05586666667</v>
      </c>
      <c r="D27" s="91"/>
      <c r="E27" s="94">
        <f>IFERROR(IFS(AND(K3,K15),(F28+K11+K23)/F29-1,AND(K3=FALSE,K15=FALSE),F28/F29-1,K3,(F28+K11)/F29-1,K15,(F28+K23)/F29-1),0)</f>
        <v>0</v>
      </c>
      <c r="H27" s="3"/>
      <c r="I27" s="95">
        <f>J28/J29-1</f>
        <v>-0.2468472938</v>
      </c>
      <c r="L27" s="3"/>
      <c r="M27" s="55"/>
      <c r="N27" s="41" t="s">
        <v>53</v>
      </c>
      <c r="O27" s="70"/>
      <c r="P27" s="3"/>
      <c r="Q27" s="56"/>
      <c r="R27" s="56"/>
      <c r="S27" s="57"/>
      <c r="T27" s="58"/>
      <c r="U27" s="3"/>
      <c r="V27" s="44" t="str">
        <f>IFERROR(VLOOKUP(X27,DataCarteira!A:B,2,),"")</f>
        <v/>
      </c>
      <c r="W27" s="45" t="str">
        <f>IFERROR(__xludf.DUMMYFUNCTION("IFERROR(GOOGLEFINANCE(X27,""changepct"")/100,"""")
"),"")</f>
        <v/>
      </c>
      <c r="X27" s="46"/>
      <c r="Y27" s="47" t="str">
        <f>IFERROR(VLOOKUP(X27,DataCarteira!$A$2:$K38,3,),)</f>
        <v/>
      </c>
      <c r="Z27" s="48" t="str">
        <f>IFERROR(VLOOKUP(X27,DataCarteira!$A$2:$K38,6,),)</f>
        <v/>
      </c>
      <c r="AA27" s="49"/>
    </row>
    <row r="28" ht="19.5" customHeight="1">
      <c r="A28" s="3"/>
      <c r="B28" s="96" t="s">
        <v>15</v>
      </c>
      <c r="C28" s="97">
        <f>SUMIF(DataCarteira!$I:$I,Data!A6,DataCarteira!$D:$D)</f>
        <v>7919</v>
      </c>
      <c r="D28" s="91"/>
      <c r="E28" s="96" t="s">
        <v>15</v>
      </c>
      <c r="F28" s="97">
        <f>SUMIF(DataCarteira!$I:$I,Data!A10,DataCarteira!$D:$D)</f>
        <v>0</v>
      </c>
      <c r="H28" s="3"/>
      <c r="I28" s="98" t="s">
        <v>15</v>
      </c>
      <c r="J28" s="99">
        <f>SUMIF(DataCarteira!$I:$I,Data!A11,DataCarteira!$D:$D)</f>
        <v>5308.863489</v>
      </c>
      <c r="L28" s="3"/>
      <c r="M28" s="80"/>
      <c r="N28" s="100"/>
      <c r="O28" s="82"/>
      <c r="P28" s="3"/>
      <c r="Q28" s="56"/>
      <c r="R28" s="56"/>
      <c r="S28" s="57"/>
      <c r="T28" s="58"/>
      <c r="U28" s="3"/>
      <c r="V28" s="44" t="str">
        <f>IFERROR(VLOOKUP(X28,DataCarteira!A:B,2,),"")</f>
        <v/>
      </c>
      <c r="W28" s="45" t="str">
        <f>IFERROR(__xludf.DUMMYFUNCTION("IFERROR(GOOGLEFINANCE(X28,""changepct"")/100,"""")
"),"")</f>
        <v/>
      </c>
      <c r="X28" s="46"/>
      <c r="Y28" s="47" t="str">
        <f>IFERROR(VLOOKUP(X28,DataCarteira!$A$2:$K38,3,),)</f>
        <v/>
      </c>
      <c r="Z28" s="48" t="str">
        <f>IFERROR(VLOOKUP(X28,DataCarteira!$A$2:$K38,6,),)</f>
        <v/>
      </c>
      <c r="AA28" s="49"/>
    </row>
    <row r="29" ht="19.5" customHeight="1">
      <c r="A29" s="3"/>
      <c r="B29" s="96" t="s">
        <v>20</v>
      </c>
      <c r="C29" s="97">
        <f>SUMIF(DataCarteira!$I:$I,B26,DataCarteira!$E:$E)</f>
        <v>7500</v>
      </c>
      <c r="D29" s="91"/>
      <c r="E29" s="96" t="s">
        <v>20</v>
      </c>
      <c r="F29" s="97">
        <f>SUMIF(DataCarteira!$I:$I,E26,DataCarteira!$E:$E)</f>
        <v>0</v>
      </c>
      <c r="H29" s="3"/>
      <c r="I29" s="98" t="s">
        <v>20</v>
      </c>
      <c r="J29" s="99">
        <f>SUMIF(DataCarteira!$I:$I,I26,DataCarteira!$E:$E)</f>
        <v>7048.854031</v>
      </c>
      <c r="L29" s="3"/>
      <c r="M29" s="55"/>
      <c r="N29" s="41" t="s">
        <v>54</v>
      </c>
      <c r="O29" s="70"/>
      <c r="P29" s="3"/>
      <c r="Q29" s="56"/>
      <c r="R29" s="56"/>
      <c r="S29" s="57"/>
      <c r="T29" s="58"/>
      <c r="U29" s="3"/>
      <c r="V29" s="44" t="str">
        <f>IFERROR(VLOOKUP(X29,DataCarteira!A:B,2,),"")</f>
        <v/>
      </c>
      <c r="W29" s="45" t="str">
        <f>IFERROR(__xludf.DUMMYFUNCTION("IFERROR(GOOGLEFINANCE(X29,""changepct"")/100,"""")
"),"")</f>
        <v/>
      </c>
      <c r="X29" s="46"/>
      <c r="Y29" s="47" t="str">
        <f>IFERROR(VLOOKUP(X29,DataCarteira!$A$2:$K38,3,),)</f>
        <v/>
      </c>
      <c r="Z29" s="48" t="str">
        <f>IFERROR(VLOOKUP(X29,DataCarteira!$A$2:$K38,6,),)</f>
        <v/>
      </c>
      <c r="AA29" s="49"/>
    </row>
    <row r="30" ht="19.5" customHeight="1">
      <c r="A30" s="3"/>
      <c r="B30" s="96" t="s">
        <v>34</v>
      </c>
      <c r="C30" s="97">
        <f>C28-C29</f>
        <v>419</v>
      </c>
      <c r="D30" s="91"/>
      <c r="E30" s="96" t="s">
        <v>34</v>
      </c>
      <c r="F30" s="97">
        <f>F28-F29</f>
        <v>0</v>
      </c>
      <c r="H30" s="3"/>
      <c r="I30" s="98" t="s">
        <v>34</v>
      </c>
      <c r="J30" s="99">
        <f>J28-J29</f>
        <v>-1739.990542</v>
      </c>
      <c r="L30" s="3"/>
      <c r="M30" s="80"/>
      <c r="N30" s="100"/>
      <c r="O30" s="82"/>
      <c r="P30" s="3"/>
      <c r="Q30" s="56"/>
      <c r="R30" s="56"/>
      <c r="S30" s="57"/>
      <c r="T30" s="58"/>
      <c r="U30" s="3"/>
      <c r="V30" s="44" t="str">
        <f>IFERROR(VLOOKUP(X30,DataCarteira!A:B,2,),"")</f>
        <v/>
      </c>
      <c r="W30" s="45" t="str">
        <f>IFERROR(__xludf.DUMMYFUNCTION("IFERROR(GOOGLEFINANCE(X30,""changepct"")/100,"""")
"),"")</f>
        <v/>
      </c>
      <c r="X30" s="46"/>
      <c r="Y30" s="47" t="str">
        <f>IFERROR(VLOOKUP(X30,DataCarteira!$A$2:$K38,3,),)</f>
        <v/>
      </c>
      <c r="Z30" s="48" t="str">
        <f>IFERROR(VLOOKUP(X30,DataCarteira!$A$2:$K38,6,),)</f>
        <v/>
      </c>
      <c r="AA30" s="49"/>
    </row>
    <row r="31" ht="19.5" customHeight="1">
      <c r="A31" s="3"/>
      <c r="B31" s="2"/>
      <c r="C31" s="3"/>
      <c r="D31" s="3"/>
      <c r="E31" s="2"/>
      <c r="F31" s="3"/>
      <c r="G31" s="3"/>
      <c r="H31" s="3"/>
      <c r="I31" s="66"/>
      <c r="J31" s="67"/>
      <c r="K31" s="68"/>
      <c r="L31" s="3"/>
      <c r="M31" s="101"/>
      <c r="N31" s="102"/>
      <c r="O31" s="103"/>
      <c r="P31" s="3"/>
      <c r="Q31" s="56"/>
      <c r="R31" s="56"/>
      <c r="S31" s="57"/>
      <c r="T31" s="58"/>
      <c r="U31" s="3"/>
      <c r="V31" s="44" t="str">
        <f>IFERROR(VLOOKUP(X31,DataCarteira!A:B,2,),"")</f>
        <v/>
      </c>
      <c r="W31" s="45" t="str">
        <f>IFERROR(__xludf.DUMMYFUNCTION("IFERROR(GOOGLEFINANCE(X31,""changepct"")/100,"""")
"),"")</f>
        <v/>
      </c>
      <c r="X31" s="46"/>
      <c r="Y31" s="47" t="str">
        <f>IFERROR(VLOOKUP(X31,DataCarteira!$A$2:$K38,3,),)</f>
        <v/>
      </c>
      <c r="Z31" s="48" t="str">
        <f>IFERROR(VLOOKUP(X31,DataCarteira!$A$2:$K38,6,),)</f>
        <v/>
      </c>
      <c r="AA31" s="49"/>
    </row>
    <row r="32" ht="19.5" customHeight="1">
      <c r="A32" s="3"/>
      <c r="B32" s="14" t="s">
        <v>55</v>
      </c>
      <c r="C32" s="104"/>
      <c r="D32" s="91"/>
      <c r="E32" s="14" t="s">
        <v>56</v>
      </c>
      <c r="F32" s="104"/>
      <c r="G32" s="12"/>
      <c r="H32" s="3"/>
      <c r="I32" s="66"/>
      <c r="J32" s="67"/>
      <c r="K32" s="68"/>
      <c r="L32" s="3"/>
      <c r="M32" s="101"/>
      <c r="O32" s="103"/>
      <c r="P32" s="3"/>
      <c r="Q32" s="56"/>
      <c r="R32" s="56"/>
      <c r="S32" s="57"/>
      <c r="T32" s="58"/>
      <c r="U32" s="3"/>
      <c r="V32" s="44" t="str">
        <f>IFERROR(VLOOKUP(X32,DataCarteira!A:B,2,),"")</f>
        <v/>
      </c>
      <c r="W32" s="45" t="str">
        <f>IFERROR(__xludf.DUMMYFUNCTION("IFERROR(GOOGLEFINANCE(X32,""changepct"")/100,"""")
"),"")</f>
        <v/>
      </c>
      <c r="X32" s="46"/>
      <c r="Y32" s="47" t="str">
        <f>IFERROR(VLOOKUP(X32,DataCarteira!$A$2:$K38,3,),)</f>
        <v/>
      </c>
      <c r="Z32" s="48" t="str">
        <f>IFERROR(VLOOKUP(X32,DataCarteira!$A$2:$K38,6,),)</f>
        <v/>
      </c>
      <c r="AA32" s="49"/>
    </row>
    <row r="33" ht="19.5" customHeight="1">
      <c r="A33" s="3"/>
      <c r="B33" s="105">
        <f>sum(C34:C36)</f>
        <v>1792</v>
      </c>
      <c r="D33" s="68"/>
      <c r="E33" s="105">
        <f>sum(F34:G36)</f>
        <v>0</v>
      </c>
      <c r="H33" s="3"/>
      <c r="I33" s="66"/>
      <c r="J33" s="67"/>
      <c r="K33" s="68"/>
      <c r="L33" s="3"/>
      <c r="M33" s="101"/>
      <c r="N33" s="102"/>
      <c r="O33" s="103"/>
      <c r="P33" s="3"/>
      <c r="Q33" s="56"/>
      <c r="R33" s="56"/>
      <c r="S33" s="57"/>
      <c r="T33" s="58"/>
      <c r="U33" s="3"/>
      <c r="V33" s="44" t="str">
        <f>IFERROR(VLOOKUP(X33,DataCarteira!A:B,2,),"")</f>
        <v/>
      </c>
      <c r="W33" s="45" t="str">
        <f>IFERROR(__xludf.DUMMYFUNCTION("IFERROR(GOOGLEFINANCE(X33,""changepct"")/100,"""")
"),"")</f>
        <v/>
      </c>
      <c r="X33" s="46"/>
      <c r="Y33" s="47" t="str">
        <f>IFERROR(VLOOKUP(X33,DataCarteira!$A$2:$K38,3,),)</f>
        <v/>
      </c>
      <c r="Z33" s="48" t="str">
        <f>IFERROR(VLOOKUP(X33,DataCarteira!$A$2:$K38,6,),)</f>
        <v/>
      </c>
      <c r="AA33" s="49"/>
    </row>
    <row r="34" ht="19.5" customHeight="1">
      <c r="A34" s="3"/>
      <c r="B34" s="106" t="str">
        <f>B8</f>
        <v>AÇÃO</v>
      </c>
      <c r="C34" s="107">
        <f>C12</f>
        <v>364.5</v>
      </c>
      <c r="D34" s="68"/>
      <c r="E34" s="106" t="str">
        <f>E8</f>
        <v>STOCK</v>
      </c>
      <c r="F34" s="107">
        <f>F12</f>
        <v>0</v>
      </c>
      <c r="H34" s="3"/>
      <c r="I34" s="66"/>
      <c r="J34" s="67"/>
      <c r="K34" s="68"/>
      <c r="L34" s="3"/>
      <c r="M34" s="101"/>
      <c r="N34" s="108"/>
      <c r="O34" s="109"/>
      <c r="P34" s="3"/>
      <c r="Q34" s="56"/>
      <c r="R34" s="56"/>
      <c r="S34" s="57"/>
      <c r="T34" s="58"/>
      <c r="U34" s="3"/>
      <c r="V34" s="44" t="str">
        <f>IFERROR(VLOOKUP(X34,DataCarteira!A:B,2,),"")</f>
        <v/>
      </c>
      <c r="W34" s="45" t="str">
        <f>IFERROR(__xludf.DUMMYFUNCTION("IFERROR(GOOGLEFINANCE(X34,""changepct"")/100,"""")
"),"")</f>
        <v/>
      </c>
      <c r="X34" s="46"/>
      <c r="Y34" s="47" t="str">
        <f>IFERROR(VLOOKUP(X34,DataCarteira!$A$2:$K38,3,),)</f>
        <v/>
      </c>
      <c r="Z34" s="48" t="str">
        <f>IFERROR(VLOOKUP(X34,DataCarteira!$A$2:$K38,6,),)</f>
        <v/>
      </c>
      <c r="AA34" s="49"/>
    </row>
    <row r="35" ht="19.5" customHeight="1">
      <c r="A35" s="3"/>
      <c r="B35" s="106" t="str">
        <f>B14</f>
        <v>FII</v>
      </c>
      <c r="C35" s="107">
        <f>C18</f>
        <v>1427.5</v>
      </c>
      <c r="D35" s="68"/>
      <c r="E35" s="106" t="str">
        <f>E14</f>
        <v>REIT</v>
      </c>
      <c r="F35" s="107">
        <f>F18</f>
        <v>0</v>
      </c>
      <c r="H35" s="3"/>
      <c r="I35" s="66"/>
      <c r="J35" s="67"/>
      <c r="K35" s="68"/>
      <c r="L35" s="3"/>
      <c r="M35" s="101"/>
      <c r="N35" s="102"/>
      <c r="O35" s="103"/>
      <c r="P35" s="3"/>
      <c r="Q35" s="56"/>
      <c r="R35" s="56"/>
      <c r="S35" s="57"/>
      <c r="T35" s="58"/>
      <c r="U35" s="3"/>
      <c r="V35" s="44" t="str">
        <f>IFERROR(VLOOKUP(X35,DataCarteira!A:B,2,),"")</f>
        <v/>
      </c>
      <c r="W35" s="45" t="str">
        <f>IFERROR(__xludf.DUMMYFUNCTION("IFERROR(GOOGLEFINANCE(X35,""changepct"")/100,"""")
"),"")</f>
        <v/>
      </c>
      <c r="X35" s="46"/>
      <c r="Y35" s="47" t="str">
        <f>IFERROR(VLOOKUP(X35,DataCarteira!$A$2:$K38,3,),)</f>
        <v/>
      </c>
      <c r="Z35" s="48" t="str">
        <f>IFERROR(VLOOKUP(X35,DataCarteira!$A$2:$K38,6,),)</f>
        <v/>
      </c>
      <c r="AA35" s="49"/>
    </row>
    <row r="36" ht="19.5" customHeight="1">
      <c r="A36" s="3"/>
      <c r="B36" s="106" t="str">
        <f>B20</f>
        <v>ETF</v>
      </c>
      <c r="C36" s="107">
        <f>C24</f>
        <v>0</v>
      </c>
      <c r="D36" s="68"/>
      <c r="E36" s="106" t="str">
        <f>E20</f>
        <v>ETF-US</v>
      </c>
      <c r="F36" s="107">
        <f>F24</f>
        <v>0</v>
      </c>
      <c r="H36" s="3"/>
      <c r="I36" s="66"/>
      <c r="J36" s="67"/>
      <c r="K36" s="68"/>
      <c r="L36" s="3"/>
      <c r="M36" s="101"/>
      <c r="O36" s="103"/>
      <c r="P36" s="3"/>
      <c r="Q36" s="56"/>
      <c r="R36" s="56"/>
      <c r="S36" s="57"/>
      <c r="T36" s="58"/>
      <c r="U36" s="3"/>
      <c r="V36" s="44" t="str">
        <f>IFERROR(VLOOKUP(X36,DataCarteira!A:B,2,),"")</f>
        <v/>
      </c>
      <c r="W36" s="45" t="str">
        <f>IFERROR(__xludf.DUMMYFUNCTION("IFERROR(GOOGLEFINANCE(X36,""changepct"")/100,"""")
"),"")</f>
        <v/>
      </c>
      <c r="X36" s="46"/>
      <c r="Y36" s="47" t="str">
        <f>IFERROR(VLOOKUP(X36,DataCarteira!$A$2:$K38,3,),)</f>
        <v/>
      </c>
      <c r="Z36" s="48" t="str">
        <f>IFERROR(VLOOKUP(X36,DataCarteira!$A$2:$K38,6,),)</f>
        <v/>
      </c>
      <c r="AA36" s="49"/>
    </row>
    <row r="37" ht="19.5" customHeight="1">
      <c r="A37" s="3"/>
      <c r="B37" s="106" t="str">
        <f>B26</f>
        <v>BDR</v>
      </c>
      <c r="C37" s="107">
        <f>C30</f>
        <v>419</v>
      </c>
      <c r="D37" s="68"/>
      <c r="E37" s="106" t="str">
        <f>E26</f>
        <v>ADR</v>
      </c>
      <c r="F37" s="110">
        <f>F30</f>
        <v>0</v>
      </c>
      <c r="H37" s="3"/>
      <c r="I37" s="66"/>
      <c r="J37" s="67"/>
      <c r="K37" s="68"/>
      <c r="L37" s="3"/>
      <c r="M37" s="101"/>
      <c r="N37" s="108"/>
      <c r="O37" s="109"/>
      <c r="P37" s="3"/>
      <c r="Q37" s="56"/>
      <c r="R37" s="56"/>
      <c r="S37" s="57"/>
      <c r="T37" s="58"/>
      <c r="U37" s="3"/>
      <c r="V37" s="44" t="str">
        <f>IFERROR(VLOOKUP(X37,DataCarteira!A:B,2,),"")</f>
        <v/>
      </c>
      <c r="W37" s="45" t="str">
        <f>IFERROR(__xludf.DUMMYFUNCTION("IFERROR(GOOGLEFINANCE(X37,""changepct"")/100,"""")
"),"")</f>
        <v/>
      </c>
      <c r="X37" s="46"/>
      <c r="Y37" s="47" t="str">
        <f>IFERROR(VLOOKUP(X37,DataCarteira!$A$2:$K38,3,),)</f>
        <v/>
      </c>
      <c r="Z37" s="48" t="str">
        <f>IFERROR(VLOOKUP(X37,DataCarteira!$A$2:$K38,6,),)</f>
        <v/>
      </c>
      <c r="AA37" s="49"/>
    </row>
    <row r="38" ht="19.5" customHeight="1">
      <c r="A38" s="3"/>
      <c r="B38" s="2"/>
      <c r="C38" s="3"/>
      <c r="D38" s="3"/>
      <c r="E38" s="2"/>
      <c r="F38" s="3"/>
      <c r="G38" s="3"/>
      <c r="H38" s="3"/>
      <c r="I38" s="66"/>
      <c r="J38" s="111"/>
      <c r="K38" s="111"/>
      <c r="L38" s="3"/>
      <c r="M38" s="6"/>
      <c r="N38" s="3"/>
      <c r="O38" s="109"/>
      <c r="P38" s="109"/>
      <c r="Q38" s="109"/>
      <c r="R38" s="109"/>
      <c r="S38" s="109"/>
      <c r="T38" s="109"/>
      <c r="U38" s="109"/>
      <c r="V38" s="109"/>
      <c r="W38" s="109"/>
      <c r="X38" s="109"/>
      <c r="Y38" s="109"/>
      <c r="Z38" s="109"/>
      <c r="AA38" s="109"/>
    </row>
  </sheetData>
  <mergeCells count="68">
    <mergeCell ref="F17:G17"/>
    <mergeCell ref="F24:G24"/>
    <mergeCell ref="F29:G29"/>
    <mergeCell ref="E26:G26"/>
    <mergeCell ref="I26:K26"/>
    <mergeCell ref="F16:G16"/>
    <mergeCell ref="N17:N18"/>
    <mergeCell ref="N19:N20"/>
    <mergeCell ref="B20:C20"/>
    <mergeCell ref="N21:N22"/>
    <mergeCell ref="N23:N24"/>
    <mergeCell ref="N25:N26"/>
    <mergeCell ref="N29:N30"/>
    <mergeCell ref="N31:N32"/>
    <mergeCell ref="N35:N36"/>
    <mergeCell ref="B27:C27"/>
    <mergeCell ref="E27:G27"/>
    <mergeCell ref="I27:K27"/>
    <mergeCell ref="N27:N28"/>
    <mergeCell ref="J28:K28"/>
    <mergeCell ref="J29:K29"/>
    <mergeCell ref="J30:K30"/>
    <mergeCell ref="F35:G35"/>
    <mergeCell ref="F36:G36"/>
    <mergeCell ref="F37:G37"/>
    <mergeCell ref="F28:G28"/>
    <mergeCell ref="F30:G30"/>
    <mergeCell ref="B32:C32"/>
    <mergeCell ref="E32:G32"/>
    <mergeCell ref="B33:C33"/>
    <mergeCell ref="E33:G33"/>
    <mergeCell ref="F34:G34"/>
    <mergeCell ref="B2:C2"/>
    <mergeCell ref="E2:G2"/>
    <mergeCell ref="I2:K2"/>
    <mergeCell ref="M2:O2"/>
    <mergeCell ref="Q2:T2"/>
    <mergeCell ref="V2:Z2"/>
    <mergeCell ref="B3:C3"/>
    <mergeCell ref="M3:O3"/>
    <mergeCell ref="E3:G3"/>
    <mergeCell ref="I3:J3"/>
    <mergeCell ref="B4:B5"/>
    <mergeCell ref="C4:C5"/>
    <mergeCell ref="Q4:T5"/>
    <mergeCell ref="M6:O6"/>
    <mergeCell ref="E8:G8"/>
    <mergeCell ref="B8:C8"/>
    <mergeCell ref="B9:C9"/>
    <mergeCell ref="E9:G9"/>
    <mergeCell ref="F10:G10"/>
    <mergeCell ref="F11:G11"/>
    <mergeCell ref="F12:G12"/>
    <mergeCell ref="M12:O12"/>
    <mergeCell ref="B14:C14"/>
    <mergeCell ref="E14:G14"/>
    <mergeCell ref="I14:K14"/>
    <mergeCell ref="B15:C15"/>
    <mergeCell ref="E15:G15"/>
    <mergeCell ref="I15:J15"/>
    <mergeCell ref="M16:O16"/>
    <mergeCell ref="E20:G20"/>
    <mergeCell ref="E21:G21"/>
    <mergeCell ref="F18:G18"/>
    <mergeCell ref="F22:G22"/>
    <mergeCell ref="F23:G23"/>
    <mergeCell ref="B21:C21"/>
    <mergeCell ref="B26:C26"/>
  </mergeCells>
  <conditionalFormatting sqref="T1 T3 T6:T37">
    <cfRule type="cellIs" dxfId="0" priority="1" operator="lessThanOrEqual">
      <formula>0</formula>
    </cfRule>
  </conditionalFormatting>
  <conditionalFormatting sqref="R7:R37">
    <cfRule type="cellIs" dxfId="1" priority="2" operator="equal">
      <formula>"R"</formula>
    </cfRule>
  </conditionalFormatting>
  <conditionalFormatting sqref="R7:R37">
    <cfRule type="cellIs" dxfId="2" priority="3" operator="equal">
      <formula>"J"</formula>
    </cfRule>
  </conditionalFormatting>
  <conditionalFormatting sqref="R7:R37">
    <cfRule type="cellIs" dxfId="3" priority="4" operator="equal">
      <formula>"B"</formula>
    </cfRule>
  </conditionalFormatting>
  <conditionalFormatting sqref="R7:R37">
    <cfRule type="cellIs" dxfId="4" priority="5" operator="equal">
      <formula>"A"</formula>
    </cfRule>
  </conditionalFormatting>
  <conditionalFormatting sqref="R7:R37">
    <cfRule type="cellIs" dxfId="5" priority="6" operator="greaterThanOrEqual">
      <formula>"D"</formula>
    </cfRule>
  </conditionalFormatting>
  <conditionalFormatting sqref="T7:T37">
    <cfRule type="colorScale" priority="7">
      <colorScale>
        <cfvo type="min"/>
        <cfvo type="max"/>
        <color rgb="FF9FC5E8"/>
        <color rgb="FF073763"/>
      </colorScale>
    </cfRule>
  </conditionalFormatting>
  <conditionalFormatting sqref="W4:W37 Y4:AA37">
    <cfRule type="cellIs" dxfId="6" priority="8" operator="lessThan">
      <formula>0</formula>
    </cfRule>
  </conditionalFormatting>
  <conditionalFormatting sqref="W4:W38">
    <cfRule type="cellIs" dxfId="7" priority="9" operator="greaterThan">
      <formula>0</formula>
    </cfRule>
  </conditionalFormatting>
  <dataValidations>
    <dataValidation type="list" allowBlank="1" showErrorMessage="1" sqref="S3">
      <formula1>"JAN,FEV,MAR,ABR,MAI,JUN,JUL,AGO,SET,OUT,NOV,DEZ"</formula1>
    </dataValidation>
    <dataValidation type="list" allowBlank="1" showErrorMessage="1" sqref="Q3 X3">
      <formula1>Data!$A$2:$A$1001</formula1>
    </dataValidation>
    <dataValidation type="list" allowBlank="1" showErrorMessage="1" sqref="T3">
      <formula1>Pagamentos!$B$7:$B38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1C232"/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0.57"/>
    <col customWidth="1" min="2" max="2" width="68.43"/>
    <col customWidth="1" min="3" max="3" width="18.0"/>
    <col customWidth="1" min="4" max="4" width="7.71"/>
    <col customWidth="1" min="5" max="5" width="15.71"/>
    <col customWidth="1" min="6" max="6" width="72.14"/>
    <col customWidth="1" min="7" max="7" width="18.0"/>
    <col customWidth="1" min="8" max="8" width="15.71"/>
    <col customWidth="1" min="9" max="9" width="5.43"/>
  </cols>
  <sheetData>
    <row r="1" ht="27.0" customHeight="1">
      <c r="A1" s="112" t="s">
        <v>57</v>
      </c>
      <c r="B1" s="113" t="s">
        <v>58</v>
      </c>
      <c r="C1" s="113" t="s">
        <v>59</v>
      </c>
      <c r="D1" s="113" t="s">
        <v>24</v>
      </c>
      <c r="E1" s="113" t="s">
        <v>60</v>
      </c>
      <c r="F1" s="113" t="s">
        <v>61</v>
      </c>
      <c r="G1" s="113" t="s">
        <v>59</v>
      </c>
      <c r="H1" s="113" t="s">
        <v>62</v>
      </c>
      <c r="I1" s="113" t="s">
        <v>63</v>
      </c>
    </row>
    <row r="2" ht="18.0" customHeight="1">
      <c r="A2" s="114" t="s">
        <v>64</v>
      </c>
      <c r="B2" s="115" t="s">
        <v>65</v>
      </c>
      <c r="C2" s="115" t="s">
        <v>66</v>
      </c>
      <c r="D2" s="116"/>
      <c r="E2" s="116" t="s">
        <v>67</v>
      </c>
      <c r="F2" s="115" t="s">
        <v>68</v>
      </c>
      <c r="G2" s="115" t="s">
        <v>69</v>
      </c>
      <c r="H2" s="117" t="s">
        <v>70</v>
      </c>
      <c r="I2" s="118">
        <v>0.0</v>
      </c>
    </row>
    <row r="3" ht="18.0" customHeight="1">
      <c r="A3" s="114" t="s">
        <v>71</v>
      </c>
      <c r="B3" s="119" t="s">
        <v>72</v>
      </c>
      <c r="C3" s="115" t="s">
        <v>73</v>
      </c>
      <c r="D3" s="116" t="s">
        <v>74</v>
      </c>
      <c r="E3" s="116" t="s">
        <v>75</v>
      </c>
      <c r="F3" s="120" t="s">
        <v>76</v>
      </c>
      <c r="G3" s="120" t="s">
        <v>76</v>
      </c>
      <c r="H3" s="117" t="s">
        <v>70</v>
      </c>
      <c r="I3" s="118">
        <v>6.0</v>
      </c>
    </row>
    <row r="4" ht="18.0" customHeight="1">
      <c r="A4" s="114" t="s">
        <v>77</v>
      </c>
      <c r="B4" s="121" t="s">
        <v>78</v>
      </c>
      <c r="C4" s="115" t="s">
        <v>79</v>
      </c>
      <c r="D4" s="116" t="s">
        <v>74</v>
      </c>
      <c r="E4" s="116" t="s">
        <v>75</v>
      </c>
      <c r="F4" s="120" t="s">
        <v>76</v>
      </c>
      <c r="G4" s="120" t="s">
        <v>76</v>
      </c>
      <c r="H4" s="117" t="s">
        <v>70</v>
      </c>
      <c r="I4" s="118">
        <v>10.0</v>
      </c>
    </row>
    <row r="5" ht="18.0" customHeight="1">
      <c r="A5" s="114" t="s">
        <v>80</v>
      </c>
      <c r="B5" s="115" t="s">
        <v>81</v>
      </c>
      <c r="C5" s="115" t="s">
        <v>82</v>
      </c>
      <c r="D5" s="116" t="s">
        <v>83</v>
      </c>
      <c r="E5" s="116" t="s">
        <v>75</v>
      </c>
      <c r="F5" s="120" t="s">
        <v>76</v>
      </c>
      <c r="G5" s="120" t="s">
        <v>76</v>
      </c>
      <c r="H5" s="117" t="s">
        <v>70</v>
      </c>
      <c r="I5" s="118">
        <v>0.0</v>
      </c>
    </row>
    <row r="6" ht="18.0" customHeight="1">
      <c r="A6" s="114" t="s">
        <v>84</v>
      </c>
      <c r="B6" s="115" t="s">
        <v>85</v>
      </c>
      <c r="C6" s="115" t="s">
        <v>86</v>
      </c>
      <c r="D6" s="116" t="s">
        <v>74</v>
      </c>
      <c r="E6" s="116" t="s">
        <v>75</v>
      </c>
      <c r="F6" s="120" t="s">
        <v>76</v>
      </c>
      <c r="G6" s="120" t="s">
        <v>76</v>
      </c>
      <c r="H6" s="117" t="s">
        <v>70</v>
      </c>
      <c r="I6" s="118">
        <v>9.0</v>
      </c>
    </row>
    <row r="7" ht="18.0" customHeight="1">
      <c r="A7" s="114" t="s">
        <v>87</v>
      </c>
      <c r="B7" s="115" t="s">
        <v>88</v>
      </c>
      <c r="C7" s="115" t="s">
        <v>89</v>
      </c>
      <c r="D7" s="116" t="s">
        <v>74</v>
      </c>
      <c r="E7" s="116" t="s">
        <v>75</v>
      </c>
      <c r="F7" s="120" t="s">
        <v>76</v>
      </c>
      <c r="G7" s="120" t="s">
        <v>76</v>
      </c>
      <c r="H7" s="117" t="s">
        <v>70</v>
      </c>
      <c r="I7" s="118">
        <v>8.0</v>
      </c>
    </row>
    <row r="8" ht="18.0" customHeight="1">
      <c r="A8" s="114" t="s">
        <v>90</v>
      </c>
      <c r="B8" s="115" t="s">
        <v>91</v>
      </c>
      <c r="C8" s="115" t="s">
        <v>92</v>
      </c>
      <c r="D8" s="116" t="s">
        <v>74</v>
      </c>
      <c r="E8" s="116" t="s">
        <v>75</v>
      </c>
      <c r="F8" s="120" t="s">
        <v>76</v>
      </c>
      <c r="G8" s="120" t="s">
        <v>76</v>
      </c>
      <c r="H8" s="117" t="s">
        <v>70</v>
      </c>
      <c r="I8" s="118">
        <v>10.0</v>
      </c>
    </row>
    <row r="9" ht="18.0" customHeight="1">
      <c r="A9" s="114" t="s">
        <v>93</v>
      </c>
      <c r="B9" s="115" t="s">
        <v>94</v>
      </c>
      <c r="C9" s="115" t="s">
        <v>95</v>
      </c>
      <c r="D9" s="116"/>
      <c r="E9" s="116" t="s">
        <v>67</v>
      </c>
      <c r="F9" s="115" t="s">
        <v>96</v>
      </c>
      <c r="G9" s="115" t="s">
        <v>97</v>
      </c>
      <c r="H9" s="117" t="s">
        <v>70</v>
      </c>
      <c r="I9" s="118">
        <v>10.0</v>
      </c>
    </row>
    <row r="10" ht="18.0" customHeight="1">
      <c r="A10" s="114" t="s">
        <v>98</v>
      </c>
      <c r="B10" s="115" t="s">
        <v>99</v>
      </c>
      <c r="C10" s="115" t="s">
        <v>100</v>
      </c>
      <c r="D10" s="116"/>
      <c r="E10" s="116" t="s">
        <v>67</v>
      </c>
      <c r="F10" s="115" t="s">
        <v>101</v>
      </c>
      <c r="G10" s="115" t="s">
        <v>102</v>
      </c>
      <c r="H10" s="117" t="s">
        <v>70</v>
      </c>
      <c r="I10" s="118">
        <v>10.0</v>
      </c>
    </row>
    <row r="11" ht="18.0" customHeight="1">
      <c r="A11" s="114" t="s">
        <v>103</v>
      </c>
      <c r="B11" s="115" t="s">
        <v>104</v>
      </c>
      <c r="C11" s="115" t="s">
        <v>105</v>
      </c>
      <c r="D11" s="116"/>
      <c r="E11" s="116" t="s">
        <v>67</v>
      </c>
      <c r="F11" s="115" t="s">
        <v>96</v>
      </c>
      <c r="G11" s="115" t="s">
        <v>97</v>
      </c>
      <c r="H11" s="117" t="s">
        <v>70</v>
      </c>
      <c r="I11" s="118">
        <v>10.0</v>
      </c>
    </row>
    <row r="12" ht="18.0" customHeight="1">
      <c r="A12" s="114" t="s">
        <v>106</v>
      </c>
      <c r="B12" s="115" t="s">
        <v>107</v>
      </c>
      <c r="C12" s="115" t="s">
        <v>108</v>
      </c>
      <c r="D12" s="116"/>
      <c r="E12" s="116" t="s">
        <v>67</v>
      </c>
      <c r="F12" s="115" t="s">
        <v>109</v>
      </c>
      <c r="G12" s="115" t="s">
        <v>110</v>
      </c>
      <c r="H12" s="117" t="s">
        <v>70</v>
      </c>
      <c r="I12" s="118">
        <v>8.0</v>
      </c>
    </row>
    <row r="13" ht="18.0" customHeight="1">
      <c r="A13" s="114" t="s">
        <v>111</v>
      </c>
      <c r="B13" s="115" t="s">
        <v>112</v>
      </c>
      <c r="C13" s="115" t="s">
        <v>113</v>
      </c>
      <c r="D13" s="116" t="s">
        <v>74</v>
      </c>
      <c r="E13" s="116" t="s">
        <v>75</v>
      </c>
      <c r="F13" s="115" t="s">
        <v>76</v>
      </c>
      <c r="G13" s="115" t="s">
        <v>76</v>
      </c>
      <c r="H13" s="117" t="s">
        <v>70</v>
      </c>
      <c r="I13" s="118">
        <v>8.0</v>
      </c>
    </row>
    <row r="14" ht="18.0" customHeight="1">
      <c r="A14" s="114" t="s">
        <v>114</v>
      </c>
      <c r="B14" s="115" t="s">
        <v>115</v>
      </c>
      <c r="C14" s="115" t="s">
        <v>116</v>
      </c>
      <c r="D14" s="116" t="s">
        <v>74</v>
      </c>
      <c r="E14" s="116" t="s">
        <v>75</v>
      </c>
      <c r="F14" s="115" t="s">
        <v>76</v>
      </c>
      <c r="G14" s="115" t="s">
        <v>76</v>
      </c>
      <c r="H14" s="117" t="s">
        <v>70</v>
      </c>
      <c r="I14" s="118">
        <v>6.0</v>
      </c>
    </row>
    <row r="15" ht="18.0" customHeight="1">
      <c r="A15" s="114" t="s">
        <v>117</v>
      </c>
      <c r="B15" s="115" t="s">
        <v>118</v>
      </c>
      <c r="C15" s="115" t="s">
        <v>119</v>
      </c>
      <c r="D15" s="116" t="s">
        <v>74</v>
      </c>
      <c r="E15" s="116" t="s">
        <v>75</v>
      </c>
      <c r="F15" s="115" t="s">
        <v>76</v>
      </c>
      <c r="G15" s="115" t="s">
        <v>76</v>
      </c>
      <c r="H15" s="117" t="s">
        <v>70</v>
      </c>
      <c r="I15" s="118">
        <v>0.0</v>
      </c>
    </row>
    <row r="16" ht="18.0" customHeight="1">
      <c r="A16" s="114" t="s">
        <v>120</v>
      </c>
      <c r="B16" s="115" t="s">
        <v>121</v>
      </c>
      <c r="C16" s="115" t="s">
        <v>122</v>
      </c>
      <c r="D16" s="116" t="s">
        <v>74</v>
      </c>
      <c r="E16" s="116" t="s">
        <v>75</v>
      </c>
      <c r="F16" s="115" t="s">
        <v>76</v>
      </c>
      <c r="G16" s="115" t="s">
        <v>76</v>
      </c>
      <c r="H16" s="117" t="s">
        <v>70</v>
      </c>
      <c r="I16" s="118">
        <v>7.0</v>
      </c>
    </row>
    <row r="17" ht="18.0" customHeight="1">
      <c r="A17" s="122" t="s">
        <v>46</v>
      </c>
      <c r="B17" s="115" t="s">
        <v>123</v>
      </c>
      <c r="C17" s="115"/>
      <c r="D17" s="116"/>
      <c r="E17" s="116" t="s">
        <v>124</v>
      </c>
      <c r="F17" s="115"/>
      <c r="G17" s="115"/>
      <c r="H17" s="117" t="s">
        <v>70</v>
      </c>
      <c r="I17" s="118">
        <v>1.0</v>
      </c>
    </row>
    <row r="18" ht="18.0" customHeight="1">
      <c r="A18" s="122" t="s">
        <v>49</v>
      </c>
      <c r="B18" s="115" t="s">
        <v>125</v>
      </c>
      <c r="C18" s="115"/>
      <c r="D18" s="116"/>
      <c r="E18" s="116" t="s">
        <v>124</v>
      </c>
      <c r="F18" s="115"/>
      <c r="G18" s="115"/>
      <c r="H18" s="117" t="s">
        <v>70</v>
      </c>
      <c r="I18" s="118">
        <v>1.0</v>
      </c>
    </row>
    <row r="19" ht="18.0" customHeight="1">
      <c r="A19" s="122" t="s">
        <v>126</v>
      </c>
      <c r="B19" s="115" t="s">
        <v>127</v>
      </c>
      <c r="C19" s="115" t="s">
        <v>128</v>
      </c>
      <c r="D19" s="116"/>
      <c r="E19" s="116" t="s">
        <v>129</v>
      </c>
      <c r="F19" s="115"/>
      <c r="G19" s="115"/>
      <c r="H19" s="117" t="s">
        <v>70</v>
      </c>
      <c r="I19" s="118">
        <v>0.0</v>
      </c>
    </row>
    <row r="20" ht="18.0" customHeight="1">
      <c r="A20" s="122" t="s">
        <v>130</v>
      </c>
      <c r="B20" s="115"/>
      <c r="C20" s="115"/>
      <c r="D20" s="116"/>
      <c r="E20" s="116" t="s">
        <v>129</v>
      </c>
      <c r="F20" s="115"/>
      <c r="G20" s="115"/>
      <c r="H20" s="117" t="s">
        <v>70</v>
      </c>
      <c r="I20" s="118">
        <v>0.0</v>
      </c>
    </row>
    <row r="21" ht="18.0" customHeight="1">
      <c r="A21" s="122" t="s">
        <v>131</v>
      </c>
      <c r="B21" s="115"/>
      <c r="C21" s="115"/>
      <c r="D21" s="116" t="s">
        <v>74</v>
      </c>
      <c r="E21" s="116" t="s">
        <v>75</v>
      </c>
      <c r="F21" s="115"/>
      <c r="G21" s="115"/>
      <c r="H21" s="117" t="s">
        <v>70</v>
      </c>
      <c r="I21" s="118">
        <v>0.0</v>
      </c>
    </row>
    <row r="22" ht="18.0" customHeight="1">
      <c r="A22" s="122" t="s">
        <v>132</v>
      </c>
      <c r="B22" s="115"/>
      <c r="C22" s="115"/>
      <c r="D22" s="116"/>
      <c r="E22" s="116" t="s">
        <v>133</v>
      </c>
      <c r="F22" s="115"/>
      <c r="G22" s="115"/>
      <c r="H22" s="117" t="s">
        <v>70</v>
      </c>
      <c r="I22" s="118">
        <v>0.0</v>
      </c>
    </row>
    <row r="23" ht="18.0" customHeight="1">
      <c r="A23" s="122"/>
      <c r="B23" s="115"/>
      <c r="C23" s="115"/>
      <c r="D23" s="116"/>
      <c r="E23" s="116"/>
      <c r="F23" s="115"/>
      <c r="G23" s="115"/>
      <c r="H23" s="117"/>
      <c r="I23" s="118"/>
    </row>
    <row r="24" ht="18.0" customHeight="1">
      <c r="A24" s="122"/>
      <c r="B24" s="115"/>
      <c r="C24" s="115"/>
      <c r="D24" s="116"/>
      <c r="E24" s="116"/>
      <c r="F24" s="115"/>
      <c r="G24" s="115"/>
      <c r="H24" s="117"/>
      <c r="I24" s="118"/>
    </row>
    <row r="25" ht="18.0" customHeight="1">
      <c r="A25" s="122"/>
      <c r="B25" s="115"/>
      <c r="C25" s="115"/>
      <c r="D25" s="116"/>
      <c r="E25" s="116"/>
      <c r="F25" s="115"/>
      <c r="G25" s="115"/>
      <c r="H25" s="117"/>
      <c r="I25" s="118"/>
    </row>
    <row r="26" ht="18.0" customHeight="1">
      <c r="A26" s="122"/>
      <c r="B26" s="115"/>
      <c r="C26" s="115"/>
      <c r="D26" s="116"/>
      <c r="E26" s="116"/>
      <c r="F26" s="115"/>
      <c r="G26" s="115"/>
      <c r="H26" s="117"/>
      <c r="I26" s="118"/>
    </row>
    <row r="27" ht="18.0" customHeight="1">
      <c r="A27" s="122"/>
      <c r="B27" s="115"/>
      <c r="C27" s="115"/>
      <c r="D27" s="116"/>
      <c r="E27" s="116"/>
      <c r="F27" s="115"/>
      <c r="G27" s="115"/>
      <c r="H27" s="117"/>
      <c r="I27" s="118"/>
    </row>
    <row r="28" ht="18.0" customHeight="1">
      <c r="A28" s="122"/>
      <c r="B28" s="115"/>
      <c r="C28" s="115"/>
      <c r="D28" s="116"/>
      <c r="E28" s="116"/>
      <c r="F28" s="115"/>
      <c r="G28" s="115"/>
      <c r="H28" s="117"/>
      <c r="I28" s="118"/>
    </row>
    <row r="29" ht="18.0" customHeight="1">
      <c r="A29" s="122"/>
      <c r="B29" s="115"/>
      <c r="C29" s="115"/>
      <c r="D29" s="116"/>
      <c r="E29" s="116"/>
      <c r="F29" s="115"/>
      <c r="G29" s="115"/>
      <c r="H29" s="117"/>
      <c r="I29" s="118"/>
    </row>
    <row r="30" ht="18.0" customHeight="1">
      <c r="A30" s="122"/>
      <c r="B30" s="115"/>
      <c r="C30" s="115"/>
      <c r="D30" s="116"/>
      <c r="E30" s="116"/>
      <c r="F30" s="115"/>
      <c r="G30" s="115"/>
      <c r="H30" s="117"/>
      <c r="I30" s="118"/>
    </row>
    <row r="31" ht="18.0" customHeight="1">
      <c r="A31" s="122"/>
      <c r="B31" s="115"/>
      <c r="C31" s="115"/>
      <c r="D31" s="116"/>
      <c r="E31" s="116"/>
      <c r="F31" s="115"/>
      <c r="G31" s="115"/>
      <c r="H31" s="117"/>
      <c r="I31" s="118"/>
    </row>
    <row r="32" ht="18.0" customHeight="1">
      <c r="A32" s="122"/>
      <c r="B32" s="115"/>
      <c r="C32" s="115"/>
      <c r="D32" s="116"/>
      <c r="E32" s="116"/>
      <c r="F32" s="115"/>
      <c r="G32" s="115"/>
      <c r="H32" s="117"/>
      <c r="I32" s="118"/>
    </row>
    <row r="33" ht="18.0" customHeight="1">
      <c r="A33" s="122"/>
      <c r="B33" s="115"/>
      <c r="C33" s="115"/>
      <c r="D33" s="116"/>
      <c r="E33" s="116"/>
      <c r="F33" s="115"/>
      <c r="G33" s="115"/>
      <c r="H33" s="117"/>
      <c r="I33" s="118"/>
    </row>
    <row r="34" ht="18.0" customHeight="1">
      <c r="A34" s="122"/>
      <c r="B34" s="115"/>
      <c r="C34" s="115"/>
      <c r="D34" s="116"/>
      <c r="E34" s="116"/>
      <c r="F34" s="115"/>
      <c r="G34" s="115"/>
      <c r="H34" s="117"/>
      <c r="I34" s="118"/>
    </row>
    <row r="35" ht="18.0" customHeight="1">
      <c r="A35" s="122"/>
      <c r="B35" s="115"/>
      <c r="C35" s="115"/>
      <c r="D35" s="116"/>
      <c r="E35" s="116"/>
      <c r="F35" s="115"/>
      <c r="G35" s="115"/>
      <c r="H35" s="117"/>
      <c r="I35" s="118"/>
    </row>
    <row r="36" ht="18.0" customHeight="1">
      <c r="A36" s="122"/>
      <c r="B36" s="115"/>
      <c r="C36" s="115"/>
      <c r="D36" s="116"/>
      <c r="E36" s="116"/>
      <c r="F36" s="115"/>
      <c r="G36" s="115"/>
      <c r="H36" s="117"/>
      <c r="I36" s="118"/>
    </row>
    <row r="37" ht="18.0" customHeight="1">
      <c r="A37" s="122"/>
      <c r="B37" s="115"/>
      <c r="C37" s="115"/>
      <c r="D37" s="116"/>
      <c r="E37" s="116"/>
      <c r="F37" s="115"/>
      <c r="G37" s="115"/>
      <c r="H37" s="117"/>
      <c r="I37" s="118"/>
    </row>
    <row r="38" ht="18.0" customHeight="1">
      <c r="A38" s="122"/>
      <c r="B38" s="115"/>
      <c r="C38" s="115"/>
      <c r="D38" s="116"/>
      <c r="E38" s="116"/>
      <c r="F38" s="115"/>
      <c r="G38" s="115"/>
      <c r="H38" s="117"/>
      <c r="I38" s="118"/>
    </row>
    <row r="39" ht="18.0" customHeight="1">
      <c r="A39" s="122"/>
      <c r="B39" s="115"/>
      <c r="C39" s="115"/>
      <c r="D39" s="116"/>
      <c r="E39" s="116"/>
      <c r="F39" s="115"/>
      <c r="G39" s="115"/>
      <c r="H39" s="117"/>
      <c r="I39" s="118"/>
    </row>
    <row r="40" ht="18.0" customHeight="1">
      <c r="A40" s="122"/>
      <c r="B40" s="115"/>
      <c r="C40" s="115"/>
      <c r="D40" s="116"/>
      <c r="E40" s="116"/>
      <c r="F40" s="115"/>
      <c r="G40" s="115"/>
      <c r="H40" s="117"/>
      <c r="I40" s="118"/>
    </row>
    <row r="41" ht="18.0" customHeight="1">
      <c r="A41" s="122"/>
      <c r="B41" s="115"/>
      <c r="C41" s="115"/>
      <c r="D41" s="116"/>
      <c r="E41" s="116"/>
      <c r="F41" s="115"/>
      <c r="G41" s="115"/>
      <c r="H41" s="117"/>
      <c r="I41" s="118"/>
    </row>
    <row r="42" ht="18.0" customHeight="1">
      <c r="A42" s="122"/>
      <c r="B42" s="115"/>
      <c r="C42" s="115"/>
      <c r="D42" s="116"/>
      <c r="E42" s="116"/>
      <c r="F42" s="115"/>
      <c r="G42" s="115"/>
      <c r="H42" s="117"/>
      <c r="I42" s="118"/>
    </row>
    <row r="43" ht="18.0" customHeight="1">
      <c r="A43" s="122"/>
      <c r="B43" s="115"/>
      <c r="C43" s="115"/>
      <c r="D43" s="116"/>
      <c r="E43" s="116"/>
      <c r="F43" s="115"/>
      <c r="G43" s="115"/>
      <c r="H43" s="117"/>
      <c r="I43" s="118"/>
    </row>
    <row r="44" ht="18.0" customHeight="1">
      <c r="A44" s="122"/>
      <c r="B44" s="115"/>
      <c r="C44" s="115"/>
      <c r="D44" s="116"/>
      <c r="E44" s="116"/>
      <c r="F44" s="115"/>
      <c r="G44" s="115"/>
      <c r="H44" s="117"/>
      <c r="I44" s="118"/>
    </row>
    <row r="45" ht="18.0" customHeight="1">
      <c r="A45" s="122"/>
      <c r="B45" s="115"/>
      <c r="C45" s="115"/>
      <c r="D45" s="116"/>
      <c r="E45" s="116"/>
      <c r="F45" s="115"/>
      <c r="G45" s="115"/>
      <c r="H45" s="117"/>
      <c r="I45" s="118"/>
    </row>
    <row r="46" ht="18.0" customHeight="1">
      <c r="A46" s="122"/>
      <c r="B46" s="115"/>
      <c r="C46" s="115"/>
      <c r="D46" s="116"/>
      <c r="E46" s="116"/>
      <c r="F46" s="115"/>
      <c r="G46" s="115"/>
      <c r="H46" s="117"/>
      <c r="I46" s="118"/>
    </row>
    <row r="47" ht="18.0" customHeight="1">
      <c r="A47" s="122"/>
      <c r="B47" s="115"/>
      <c r="C47" s="115"/>
      <c r="D47" s="116"/>
      <c r="E47" s="116"/>
      <c r="F47" s="115"/>
      <c r="G47" s="115"/>
      <c r="H47" s="117"/>
      <c r="I47" s="118"/>
    </row>
    <row r="48" ht="18.0" customHeight="1">
      <c r="A48" s="122"/>
      <c r="B48" s="115"/>
      <c r="C48" s="115"/>
      <c r="D48" s="116"/>
      <c r="E48" s="116"/>
      <c r="F48" s="115"/>
      <c r="G48" s="115"/>
      <c r="H48" s="117"/>
      <c r="I48" s="118"/>
    </row>
    <row r="49" ht="18.0" customHeight="1">
      <c r="A49" s="122"/>
      <c r="B49" s="115"/>
      <c r="C49" s="115"/>
      <c r="D49" s="116"/>
      <c r="E49" s="116"/>
      <c r="F49" s="115"/>
      <c r="G49" s="115"/>
      <c r="H49" s="117"/>
      <c r="I49" s="118"/>
    </row>
    <row r="50" ht="18.0" customHeight="1">
      <c r="A50" s="122"/>
      <c r="B50" s="115"/>
      <c r="C50" s="115"/>
      <c r="D50" s="116"/>
      <c r="E50" s="116"/>
      <c r="F50" s="115"/>
      <c r="G50" s="115"/>
      <c r="H50" s="117"/>
      <c r="I50" s="118"/>
    </row>
    <row r="51" ht="18.0" customHeight="1">
      <c r="A51" s="122"/>
      <c r="B51" s="115"/>
      <c r="C51" s="115"/>
      <c r="D51" s="116"/>
      <c r="E51" s="116"/>
      <c r="F51" s="115"/>
      <c r="G51" s="115"/>
      <c r="H51" s="117"/>
      <c r="I51" s="118"/>
    </row>
    <row r="52" ht="18.0" customHeight="1">
      <c r="A52" s="122"/>
      <c r="B52" s="115"/>
      <c r="C52" s="115"/>
      <c r="D52" s="116"/>
      <c r="E52" s="116"/>
      <c r="F52" s="115"/>
      <c r="G52" s="115"/>
      <c r="H52" s="117"/>
      <c r="I52" s="118"/>
    </row>
    <row r="53" ht="18.0" customHeight="1">
      <c r="A53" s="122"/>
      <c r="B53" s="115"/>
      <c r="C53" s="115"/>
      <c r="D53" s="116"/>
      <c r="E53" s="116"/>
      <c r="F53" s="115"/>
      <c r="G53" s="115"/>
      <c r="H53" s="117"/>
      <c r="I53" s="118"/>
    </row>
    <row r="54" ht="18.0" customHeight="1">
      <c r="A54" s="122"/>
      <c r="B54" s="115"/>
      <c r="C54" s="115"/>
      <c r="D54" s="116"/>
      <c r="E54" s="116"/>
      <c r="F54" s="115"/>
      <c r="G54" s="115"/>
      <c r="H54" s="117"/>
      <c r="I54" s="118"/>
    </row>
    <row r="55" ht="18.0" customHeight="1">
      <c r="A55" s="122"/>
      <c r="B55" s="115"/>
      <c r="C55" s="115"/>
      <c r="D55" s="116"/>
      <c r="E55" s="116"/>
      <c r="F55" s="115"/>
      <c r="G55" s="115"/>
      <c r="H55" s="117"/>
      <c r="I55" s="118"/>
    </row>
    <row r="56" ht="18.0" customHeight="1">
      <c r="A56" s="122"/>
      <c r="B56" s="115"/>
      <c r="C56" s="115"/>
      <c r="D56" s="116"/>
      <c r="E56" s="116"/>
      <c r="F56" s="115"/>
      <c r="G56" s="115"/>
      <c r="H56" s="117"/>
      <c r="I56" s="118"/>
    </row>
    <row r="57" ht="18.0" customHeight="1">
      <c r="A57" s="122"/>
      <c r="B57" s="115"/>
      <c r="C57" s="115"/>
      <c r="D57" s="116"/>
      <c r="E57" s="116"/>
      <c r="F57" s="115"/>
      <c r="G57" s="115"/>
      <c r="H57" s="117"/>
      <c r="I57" s="118"/>
    </row>
    <row r="58" ht="18.0" customHeight="1">
      <c r="A58" s="122"/>
      <c r="B58" s="115"/>
      <c r="C58" s="115"/>
      <c r="D58" s="116"/>
      <c r="E58" s="116"/>
      <c r="F58" s="115"/>
      <c r="G58" s="115"/>
      <c r="H58" s="117"/>
      <c r="I58" s="118"/>
    </row>
    <row r="59" ht="18.0" customHeight="1">
      <c r="A59" s="122"/>
      <c r="B59" s="115"/>
      <c r="C59" s="115"/>
      <c r="D59" s="116"/>
      <c r="E59" s="116"/>
      <c r="F59" s="115"/>
      <c r="G59" s="115"/>
      <c r="H59" s="117"/>
      <c r="I59" s="118"/>
    </row>
    <row r="60" ht="18.0" customHeight="1">
      <c r="A60" s="122"/>
      <c r="B60" s="115"/>
      <c r="C60" s="115"/>
      <c r="D60" s="116"/>
      <c r="E60" s="116"/>
      <c r="F60" s="115"/>
      <c r="G60" s="115"/>
      <c r="H60" s="117"/>
      <c r="I60" s="118"/>
    </row>
    <row r="61" ht="18.0" customHeight="1">
      <c r="A61" s="122"/>
      <c r="B61" s="115"/>
      <c r="C61" s="115"/>
      <c r="D61" s="116"/>
      <c r="E61" s="116"/>
      <c r="F61" s="115"/>
      <c r="G61" s="115"/>
      <c r="H61" s="117"/>
      <c r="I61" s="118"/>
    </row>
    <row r="62" ht="18.0" customHeight="1">
      <c r="A62" s="122"/>
      <c r="B62" s="115"/>
      <c r="C62" s="115"/>
      <c r="D62" s="116"/>
      <c r="E62" s="116"/>
      <c r="F62" s="115"/>
      <c r="G62" s="115"/>
      <c r="H62" s="117"/>
      <c r="I62" s="118"/>
    </row>
    <row r="63" ht="18.0" customHeight="1">
      <c r="A63" s="122"/>
      <c r="B63" s="115"/>
      <c r="C63" s="115"/>
      <c r="D63" s="116"/>
      <c r="E63" s="116"/>
      <c r="F63" s="115"/>
      <c r="G63" s="115"/>
      <c r="H63" s="117"/>
      <c r="I63" s="118"/>
    </row>
    <row r="64" ht="18.0" customHeight="1">
      <c r="A64" s="122"/>
      <c r="B64" s="115"/>
      <c r="C64" s="115"/>
      <c r="D64" s="116"/>
      <c r="E64" s="116"/>
      <c r="F64" s="115"/>
      <c r="G64" s="115"/>
      <c r="H64" s="117"/>
      <c r="I64" s="118"/>
    </row>
    <row r="65" ht="18.0" customHeight="1">
      <c r="A65" s="122"/>
      <c r="B65" s="115"/>
      <c r="C65" s="115"/>
      <c r="D65" s="116"/>
      <c r="E65" s="116"/>
      <c r="F65" s="115"/>
      <c r="G65" s="115"/>
      <c r="H65" s="117"/>
      <c r="I65" s="118"/>
    </row>
    <row r="66" ht="18.0" customHeight="1">
      <c r="A66" s="122"/>
      <c r="B66" s="115"/>
      <c r="C66" s="115"/>
      <c r="D66" s="116"/>
      <c r="E66" s="116"/>
      <c r="F66" s="115"/>
      <c r="G66" s="115"/>
      <c r="H66" s="117"/>
      <c r="I66" s="118"/>
    </row>
    <row r="67" ht="18.0" customHeight="1">
      <c r="A67" s="122"/>
      <c r="B67" s="115"/>
      <c r="C67" s="115"/>
      <c r="D67" s="116"/>
      <c r="E67" s="116"/>
      <c r="F67" s="115"/>
      <c r="G67" s="115"/>
      <c r="H67" s="117"/>
      <c r="I67" s="118"/>
    </row>
    <row r="68" ht="18.0" customHeight="1">
      <c r="A68" s="122"/>
      <c r="B68" s="115"/>
      <c r="C68" s="115"/>
      <c r="D68" s="116"/>
      <c r="E68" s="116"/>
      <c r="F68" s="115"/>
      <c r="G68" s="115"/>
      <c r="H68" s="117"/>
      <c r="I68" s="118"/>
    </row>
    <row r="69" ht="18.0" customHeight="1">
      <c r="A69" s="122"/>
      <c r="B69" s="115"/>
      <c r="C69" s="115"/>
      <c r="D69" s="116"/>
      <c r="E69" s="116"/>
      <c r="F69" s="115"/>
      <c r="G69" s="115"/>
      <c r="H69" s="117"/>
      <c r="I69" s="118"/>
    </row>
    <row r="70" ht="18.0" customHeight="1">
      <c r="A70" s="122"/>
      <c r="B70" s="115"/>
      <c r="C70" s="115"/>
      <c r="D70" s="116"/>
      <c r="E70" s="116"/>
      <c r="F70" s="115"/>
      <c r="G70" s="115"/>
      <c r="H70" s="117"/>
      <c r="I70" s="118"/>
    </row>
    <row r="71" ht="18.0" customHeight="1">
      <c r="A71" s="122"/>
      <c r="B71" s="115"/>
      <c r="C71" s="115"/>
      <c r="D71" s="116"/>
      <c r="E71" s="116"/>
      <c r="F71" s="115"/>
      <c r="G71" s="115"/>
      <c r="H71" s="117"/>
      <c r="I71" s="118"/>
    </row>
    <row r="72" ht="18.0" customHeight="1">
      <c r="A72" s="122"/>
      <c r="B72" s="115"/>
      <c r="C72" s="115"/>
      <c r="D72" s="116"/>
      <c r="E72" s="116"/>
      <c r="F72" s="115"/>
      <c r="G72" s="115"/>
      <c r="H72" s="117"/>
      <c r="I72" s="118"/>
    </row>
    <row r="73" ht="18.0" customHeight="1">
      <c r="A73" s="122"/>
      <c r="B73" s="115"/>
      <c r="C73" s="115"/>
      <c r="D73" s="116"/>
      <c r="E73" s="116"/>
      <c r="F73" s="115"/>
      <c r="G73" s="115"/>
      <c r="H73" s="117"/>
      <c r="I73" s="118"/>
    </row>
    <row r="74" ht="18.0" customHeight="1">
      <c r="A74" s="122"/>
      <c r="B74" s="115"/>
      <c r="C74" s="115"/>
      <c r="D74" s="116"/>
      <c r="E74" s="116"/>
      <c r="F74" s="115"/>
      <c r="G74" s="115"/>
      <c r="H74" s="117"/>
      <c r="I74" s="118"/>
    </row>
    <row r="75" ht="18.0" customHeight="1">
      <c r="A75" s="122"/>
      <c r="B75" s="115"/>
      <c r="C75" s="115"/>
      <c r="D75" s="116"/>
      <c r="E75" s="116"/>
      <c r="F75" s="115"/>
      <c r="G75" s="115"/>
      <c r="H75" s="117"/>
      <c r="I75" s="118"/>
    </row>
    <row r="76" ht="18.0" customHeight="1">
      <c r="A76" s="122"/>
      <c r="B76" s="115"/>
      <c r="C76" s="115"/>
      <c r="D76" s="116"/>
      <c r="E76" s="116"/>
      <c r="F76" s="115"/>
      <c r="G76" s="115"/>
      <c r="H76" s="117"/>
      <c r="I76" s="118"/>
    </row>
    <row r="77" ht="18.0" customHeight="1">
      <c r="A77" s="122"/>
      <c r="B77" s="115"/>
      <c r="C77" s="115"/>
      <c r="D77" s="116"/>
      <c r="E77" s="116"/>
      <c r="F77" s="115"/>
      <c r="G77" s="115"/>
      <c r="H77" s="117"/>
      <c r="I77" s="118"/>
    </row>
    <row r="78" ht="18.0" customHeight="1">
      <c r="A78" s="122"/>
      <c r="B78" s="115"/>
      <c r="C78" s="115"/>
      <c r="D78" s="116"/>
      <c r="E78" s="116"/>
      <c r="F78" s="115"/>
      <c r="G78" s="115"/>
      <c r="H78" s="117"/>
      <c r="I78" s="118"/>
    </row>
    <row r="79" ht="18.0" customHeight="1">
      <c r="A79" s="122"/>
      <c r="B79" s="115"/>
      <c r="C79" s="115"/>
      <c r="D79" s="116"/>
      <c r="E79" s="116"/>
      <c r="F79" s="115"/>
      <c r="G79" s="115"/>
      <c r="H79" s="117"/>
      <c r="I79" s="118"/>
    </row>
    <row r="80" ht="18.0" customHeight="1">
      <c r="A80" s="122"/>
      <c r="B80" s="115"/>
      <c r="C80" s="115"/>
      <c r="D80" s="116"/>
      <c r="E80" s="116"/>
      <c r="F80" s="115"/>
      <c r="G80" s="115"/>
      <c r="H80" s="117"/>
      <c r="I80" s="118"/>
    </row>
    <row r="81" ht="18.0" customHeight="1">
      <c r="A81" s="122"/>
      <c r="B81" s="115"/>
      <c r="C81" s="115"/>
      <c r="D81" s="116"/>
      <c r="E81" s="116"/>
      <c r="F81" s="115"/>
      <c r="G81" s="115"/>
      <c r="H81" s="117"/>
      <c r="I81" s="118"/>
    </row>
    <row r="82" ht="18.0" customHeight="1">
      <c r="A82" s="122"/>
      <c r="B82" s="115"/>
      <c r="C82" s="115"/>
      <c r="D82" s="116"/>
      <c r="E82" s="116"/>
      <c r="F82" s="115"/>
      <c r="G82" s="115"/>
      <c r="H82" s="117"/>
      <c r="I82" s="118"/>
    </row>
    <row r="83" ht="18.0" customHeight="1">
      <c r="A83" s="122"/>
      <c r="B83" s="115"/>
      <c r="C83" s="115"/>
      <c r="D83" s="116"/>
      <c r="E83" s="116"/>
      <c r="F83" s="115"/>
      <c r="G83" s="115"/>
      <c r="H83" s="117"/>
      <c r="I83" s="118"/>
    </row>
    <row r="84" ht="18.0" customHeight="1">
      <c r="A84" s="122"/>
      <c r="B84" s="115"/>
      <c r="C84" s="115"/>
      <c r="D84" s="116"/>
      <c r="E84" s="116"/>
      <c r="F84" s="115"/>
      <c r="G84" s="115"/>
      <c r="H84" s="117"/>
      <c r="I84" s="118"/>
    </row>
    <row r="85" ht="18.0" customHeight="1">
      <c r="A85" s="122"/>
      <c r="B85" s="115"/>
      <c r="C85" s="115"/>
      <c r="D85" s="116"/>
      <c r="E85" s="116"/>
      <c r="F85" s="115"/>
      <c r="G85" s="115"/>
      <c r="H85" s="117"/>
      <c r="I85" s="118"/>
    </row>
    <row r="86" ht="18.0" customHeight="1">
      <c r="A86" s="122"/>
      <c r="B86" s="115"/>
      <c r="C86" s="115"/>
      <c r="D86" s="116"/>
      <c r="E86" s="116"/>
      <c r="F86" s="115"/>
      <c r="G86" s="115"/>
      <c r="H86" s="117"/>
      <c r="I86" s="118"/>
    </row>
    <row r="87" ht="18.0" customHeight="1">
      <c r="A87" s="122"/>
      <c r="B87" s="115"/>
      <c r="C87" s="115"/>
      <c r="D87" s="116"/>
      <c r="E87" s="116"/>
      <c r="F87" s="115"/>
      <c r="G87" s="115"/>
      <c r="H87" s="117"/>
      <c r="I87" s="118"/>
    </row>
    <row r="88" ht="18.0" customHeight="1">
      <c r="A88" s="122"/>
      <c r="B88" s="115"/>
      <c r="C88" s="115"/>
      <c r="D88" s="116"/>
      <c r="E88" s="116"/>
      <c r="F88" s="115"/>
      <c r="G88" s="115"/>
      <c r="H88" s="117"/>
      <c r="I88" s="118"/>
    </row>
    <row r="89" ht="18.0" customHeight="1">
      <c r="A89" s="122"/>
      <c r="B89" s="115"/>
      <c r="C89" s="115"/>
      <c r="D89" s="116"/>
      <c r="E89" s="116"/>
      <c r="F89" s="115"/>
      <c r="G89" s="115"/>
      <c r="H89" s="117"/>
      <c r="I89" s="118"/>
    </row>
    <row r="90" ht="18.0" customHeight="1">
      <c r="A90" s="122"/>
      <c r="B90" s="115"/>
      <c r="C90" s="115"/>
      <c r="D90" s="116"/>
      <c r="E90" s="116"/>
      <c r="F90" s="115"/>
      <c r="G90" s="115"/>
      <c r="H90" s="117"/>
      <c r="I90" s="118"/>
    </row>
    <row r="91" ht="18.0" customHeight="1">
      <c r="A91" s="122"/>
      <c r="B91" s="115"/>
      <c r="C91" s="115"/>
      <c r="D91" s="116"/>
      <c r="E91" s="116"/>
      <c r="F91" s="115"/>
      <c r="G91" s="115"/>
      <c r="H91" s="117"/>
      <c r="I91" s="118"/>
    </row>
    <row r="92" ht="18.0" customHeight="1">
      <c r="A92" s="122"/>
      <c r="B92" s="115"/>
      <c r="C92" s="115"/>
      <c r="D92" s="116"/>
      <c r="E92" s="116"/>
      <c r="F92" s="115"/>
      <c r="G92" s="115"/>
      <c r="H92" s="117"/>
      <c r="I92" s="118"/>
    </row>
    <row r="93" ht="18.0" customHeight="1">
      <c r="A93" s="122"/>
      <c r="B93" s="115"/>
      <c r="C93" s="115"/>
      <c r="D93" s="116"/>
      <c r="E93" s="116"/>
      <c r="F93" s="115"/>
      <c r="G93" s="115"/>
      <c r="H93" s="117"/>
      <c r="I93" s="118"/>
    </row>
    <row r="94" ht="18.0" customHeight="1">
      <c r="A94" s="122"/>
      <c r="B94" s="115"/>
      <c r="C94" s="115"/>
      <c r="D94" s="116"/>
      <c r="E94" s="116"/>
      <c r="F94" s="115"/>
      <c r="G94" s="115"/>
      <c r="H94" s="117"/>
      <c r="I94" s="118"/>
    </row>
    <row r="95" ht="18.0" customHeight="1">
      <c r="A95" s="122"/>
      <c r="B95" s="115"/>
      <c r="C95" s="115"/>
      <c r="D95" s="116"/>
      <c r="E95" s="116"/>
      <c r="F95" s="115"/>
      <c r="G95" s="115"/>
      <c r="H95" s="117"/>
      <c r="I95" s="118"/>
    </row>
    <row r="96" ht="18.0" customHeight="1">
      <c r="A96" s="122"/>
      <c r="B96" s="115"/>
      <c r="C96" s="115"/>
      <c r="D96" s="116"/>
      <c r="E96" s="116"/>
      <c r="F96" s="115"/>
      <c r="G96" s="115"/>
      <c r="H96" s="117"/>
      <c r="I96" s="118"/>
    </row>
    <row r="97" ht="18.0" customHeight="1">
      <c r="A97" s="122"/>
      <c r="B97" s="115"/>
      <c r="C97" s="115"/>
      <c r="D97" s="116"/>
      <c r="E97" s="116"/>
      <c r="F97" s="115"/>
      <c r="G97" s="115"/>
      <c r="H97" s="117"/>
      <c r="I97" s="118"/>
    </row>
    <row r="98" ht="18.0" customHeight="1">
      <c r="A98" s="122"/>
      <c r="B98" s="115"/>
      <c r="C98" s="115"/>
      <c r="D98" s="116"/>
      <c r="E98" s="116"/>
      <c r="F98" s="115"/>
      <c r="G98" s="115"/>
      <c r="H98" s="117"/>
      <c r="I98" s="118"/>
    </row>
    <row r="99" ht="18.0" customHeight="1">
      <c r="A99" s="122"/>
      <c r="B99" s="115"/>
      <c r="C99" s="115"/>
      <c r="D99" s="116"/>
      <c r="E99" s="116"/>
      <c r="F99" s="115"/>
      <c r="G99" s="115"/>
      <c r="H99" s="117"/>
      <c r="I99" s="118"/>
    </row>
    <row r="100" ht="18.0" customHeight="1">
      <c r="A100" s="122"/>
      <c r="B100" s="115"/>
      <c r="C100" s="115"/>
      <c r="D100" s="116"/>
      <c r="E100" s="116"/>
      <c r="F100" s="115"/>
      <c r="G100" s="115"/>
      <c r="H100" s="117"/>
      <c r="I100" s="118"/>
    </row>
  </sheetData>
  <conditionalFormatting sqref="B2 C2:E100 F2:G2 H2:I100 B9:B13 F9:G100">
    <cfRule type="cellIs" dxfId="9" priority="1" operator="equal">
      <formula>"R"</formula>
    </cfRule>
  </conditionalFormatting>
  <conditionalFormatting sqref="B2 C2:E100 F2:G2 H2:I100 B9:B13 F9:G100">
    <cfRule type="cellIs" dxfId="10" priority="2" operator="equal">
      <formula>"J"</formula>
    </cfRule>
  </conditionalFormatting>
  <conditionalFormatting sqref="B2 C2:E100 F2:G2 H2:I100 B9:B13 F9:G100">
    <cfRule type="cellIs" dxfId="11" priority="3" operator="equal">
      <formula>"D"</formula>
    </cfRule>
  </conditionalFormatting>
  <dataValidations>
    <dataValidation type="list" allowBlank="1" showErrorMessage="1" sqref="H2:H100">
      <formula1>Data!$E$2:$E$3</formula1>
    </dataValidation>
    <dataValidation type="list" allowBlank="1" showErrorMessage="1" sqref="E2:E100">
      <formula1>Data!$A$3:$A100</formula1>
    </dataValidation>
    <dataValidation type="list" allowBlank="1" showInputMessage="1" showErrorMessage="1" prompt="Clique e insira um valor de lista de itens" sqref="D2:D100">
      <formula1>"ON,PN,UNIT"</formula1>
    </dataValidation>
  </dataValidation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1C232"/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3.57"/>
    <col customWidth="1" min="2" max="2" width="33.14"/>
    <col customWidth="1" min="3" max="3" width="73.71"/>
    <col customWidth="1" min="4" max="4" width="18.0"/>
    <col customWidth="1" min="5" max="6" width="15.71"/>
  </cols>
  <sheetData>
    <row r="1" ht="27.0" customHeight="1">
      <c r="A1" s="113" t="s">
        <v>134</v>
      </c>
      <c r="B1" s="113" t="s">
        <v>135</v>
      </c>
      <c r="C1" s="113" t="s">
        <v>58</v>
      </c>
      <c r="D1" s="113" t="s">
        <v>59</v>
      </c>
      <c r="E1" s="113" t="s">
        <v>62</v>
      </c>
      <c r="F1" s="113" t="s">
        <v>24</v>
      </c>
    </row>
    <row r="2" ht="18.0" customHeight="1">
      <c r="A2" s="123" t="s">
        <v>136</v>
      </c>
      <c r="B2" s="124" t="s">
        <v>136</v>
      </c>
      <c r="C2" s="119" t="s">
        <v>137</v>
      </c>
      <c r="D2" s="115" t="s">
        <v>138</v>
      </c>
      <c r="E2" s="117" t="s">
        <v>70</v>
      </c>
      <c r="F2" s="125" t="s">
        <v>139</v>
      </c>
    </row>
    <row r="3" ht="18.0" customHeight="1">
      <c r="A3" s="126" t="s">
        <v>140</v>
      </c>
      <c r="B3" s="127" t="s">
        <v>140</v>
      </c>
      <c r="C3" s="121" t="s">
        <v>141</v>
      </c>
      <c r="D3" s="115" t="s">
        <v>142</v>
      </c>
      <c r="E3" s="117" t="s">
        <v>70</v>
      </c>
      <c r="F3" s="125" t="s">
        <v>143</v>
      </c>
    </row>
    <row r="4" ht="18.0" customHeight="1">
      <c r="A4" s="128" t="s">
        <v>144</v>
      </c>
      <c r="B4" s="125" t="s">
        <v>145</v>
      </c>
      <c r="C4" s="115" t="s">
        <v>146</v>
      </c>
      <c r="D4" s="115" t="s">
        <v>147</v>
      </c>
      <c r="E4" s="117" t="s">
        <v>70</v>
      </c>
      <c r="F4" s="125" t="s">
        <v>139</v>
      </c>
    </row>
    <row r="5" ht="18.0" customHeight="1">
      <c r="A5" s="128"/>
      <c r="B5" s="125"/>
      <c r="C5" s="115"/>
      <c r="D5" s="115"/>
      <c r="E5" s="117"/>
      <c r="F5" s="125"/>
    </row>
    <row r="6" ht="18.0" customHeight="1">
      <c r="A6" s="128"/>
      <c r="B6" s="125"/>
      <c r="C6" s="115"/>
      <c r="D6" s="115"/>
      <c r="E6" s="117"/>
      <c r="F6" s="125"/>
    </row>
    <row r="7" ht="18.0" customHeight="1">
      <c r="A7" s="128"/>
      <c r="B7" s="125"/>
      <c r="C7" s="115"/>
      <c r="D7" s="115"/>
      <c r="E7" s="117"/>
      <c r="F7" s="125"/>
    </row>
    <row r="8" ht="18.0" customHeight="1">
      <c r="A8" s="128"/>
      <c r="B8" s="125"/>
      <c r="C8" s="115"/>
      <c r="D8" s="115"/>
      <c r="E8" s="117"/>
      <c r="F8" s="125"/>
    </row>
    <row r="9" ht="18.0" customHeight="1">
      <c r="A9" s="128"/>
      <c r="B9" s="125"/>
      <c r="C9" s="115"/>
      <c r="D9" s="115"/>
      <c r="E9" s="117"/>
      <c r="F9" s="125"/>
    </row>
    <row r="10" ht="18.0" customHeight="1">
      <c r="A10" s="128"/>
      <c r="B10" s="125"/>
      <c r="C10" s="115"/>
      <c r="D10" s="115"/>
      <c r="E10" s="117"/>
      <c r="F10" s="125"/>
    </row>
  </sheetData>
  <conditionalFormatting sqref="A2:C2 D2:F10 A9:C10">
    <cfRule type="cellIs" dxfId="9" priority="1" operator="equal">
      <formula>"R"</formula>
    </cfRule>
  </conditionalFormatting>
  <conditionalFormatting sqref="A2:C2 D2:F10 A9:C10">
    <cfRule type="cellIs" dxfId="10" priority="2" operator="equal">
      <formula>"J"</formula>
    </cfRule>
  </conditionalFormatting>
  <conditionalFormatting sqref="A2:C2 D2:F10 A9:C10">
    <cfRule type="cellIs" dxfId="11" priority="3" operator="equal">
      <formula>"D"</formula>
    </cfRule>
  </conditionalFormatting>
  <dataValidations>
    <dataValidation type="list" allowBlank="1" showErrorMessage="1" sqref="E2:E10">
      <formula1>Data!$E$2:$E$3</formula1>
    </dataValidation>
    <dataValidation type="list" allowBlank="1" showErrorMessage="1" sqref="F2:F10">
      <formula1>"Corretora,Exchange"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1C232"/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0.71"/>
    <col customWidth="1" min="2" max="2" width="5.0"/>
    <col customWidth="1" min="3" max="3" width="11.29"/>
    <col customWidth="1" min="4" max="4" width="7.57"/>
    <col customWidth="1" min="5" max="5" width="13.0"/>
    <col customWidth="1" min="6" max="8" width="7.57"/>
    <col customWidth="1" min="9" max="9" width="10.86"/>
    <col customWidth="1" min="10" max="11" width="7.29"/>
    <col customWidth="1" min="12" max="13" width="12.29"/>
    <col customWidth="1" min="14" max="17" width="14.29"/>
    <col customWidth="1" min="18" max="18" width="12.29"/>
    <col customWidth="1" min="19" max="19" width="14.29"/>
    <col customWidth="1" min="20" max="20" width="16.29"/>
    <col customWidth="1" min="21" max="21" width="10.29"/>
    <col customWidth="1" min="22" max="22" width="7.29"/>
  </cols>
  <sheetData>
    <row r="1">
      <c r="A1" s="129" t="s">
        <v>9</v>
      </c>
      <c r="B1" s="129" t="s">
        <v>148</v>
      </c>
      <c r="C1" s="130" t="s">
        <v>57</v>
      </c>
      <c r="D1" s="131" t="s">
        <v>13</v>
      </c>
      <c r="E1" s="132" t="s">
        <v>149</v>
      </c>
      <c r="F1" s="133" t="s">
        <v>150</v>
      </c>
      <c r="G1" s="132" t="s">
        <v>151</v>
      </c>
      <c r="H1" s="132" t="s">
        <v>152</v>
      </c>
      <c r="I1" s="132" t="s">
        <v>139</v>
      </c>
      <c r="J1" s="132" t="s">
        <v>153</v>
      </c>
      <c r="K1" s="131" t="s">
        <v>154</v>
      </c>
      <c r="L1" s="131" t="s">
        <v>155</v>
      </c>
      <c r="M1" s="131" t="s">
        <v>156</v>
      </c>
      <c r="N1" s="132" t="s">
        <v>157</v>
      </c>
      <c r="O1" s="132" t="s">
        <v>158</v>
      </c>
      <c r="P1" s="132" t="s">
        <v>159</v>
      </c>
      <c r="Q1" s="132" t="s">
        <v>160</v>
      </c>
      <c r="R1" s="132" t="s">
        <v>161</v>
      </c>
      <c r="S1" s="132" t="s">
        <v>162</v>
      </c>
      <c r="T1" s="133" t="s">
        <v>163</v>
      </c>
      <c r="U1" s="130" t="s">
        <v>164</v>
      </c>
      <c r="V1" s="130" t="s">
        <v>60</v>
      </c>
    </row>
    <row r="2" ht="21.0" customHeight="1">
      <c r="A2" s="134">
        <v>43831.0</v>
      </c>
      <c r="B2" s="135" t="s">
        <v>165</v>
      </c>
      <c r="C2" s="136" t="s">
        <v>111</v>
      </c>
      <c r="D2" s="137">
        <v>100.0</v>
      </c>
      <c r="E2" s="138">
        <v>15.0</v>
      </c>
      <c r="F2" s="138">
        <v>0.0</v>
      </c>
      <c r="G2" s="139">
        <v>0.0</v>
      </c>
      <c r="H2" s="140">
        <v>1.0</v>
      </c>
      <c r="I2" s="141" t="s">
        <v>136</v>
      </c>
      <c r="J2" s="142">
        <f>IFERROR(__xludf.DUMMYFUNCTION("IF(ISBLANK(A2),IFERROR(1/0),IF(COUNT(FILTER(F:F,A:A=A2))&gt;1,TRUNC(N2*F2/SUM(FILTER(N:N,A:A=A2)),3),F2))"),0.0)</f>
        <v>0</v>
      </c>
      <c r="K2" s="142">
        <f>IFERROR(__xludf.DUMMYFUNCTION("IF(ISBLANK(A2),IFERROR(1/0),IF(COUNT(FILTER(G:G,((A:A=A2)*(B:B=""V""))))&gt;1,TRUNC(N2*G2/SUM(FILTER(N:N,((A:A=A2)*(B:B=""V"")))),3),G2))"),0.0)</f>
        <v>0</v>
      </c>
      <c r="L2" s="143">
        <f>IFERROR(__xludf.DUMMYFUNCTION("if($C2="""","""",iferror(if(row()&lt;&gt;2,INDEX(arrayformula(filter($M1:$M$2,$C1:$C$2&lt;&gt;"""",row($C1:$C$2)=max(if($C1:$C$2=C2,row($C1:$C$2),0)))) ,1),0),0))"),0.0)</f>
        <v>0</v>
      </c>
      <c r="M2" s="143">
        <f t="shared" ref="M2:M2000" si="1">if(C2="","",IFS(B2="C",L2+D2,B2="B",L2+D2,B2="A",L2,B2="V",L2-D2,B2="S",L2*H2,B2="AT",L2-D2))</f>
        <v>100</v>
      </c>
      <c r="N2" s="142">
        <f t="shared" ref="N2:N2000" si="2">IFS(C2="","",B2="C",E2*D2,B2="V",E2*D2,B2="A",E2,B2="B",E2*D2,B2="AT",E2*D2,B2="S",E2*D2)</f>
        <v>1500</v>
      </c>
      <c r="O2" s="142">
        <f t="shared" ref="O2:O134" si="3">IF(ISBLANK(A2),IFERROR(1/0),IFS(B2="C",N2+J2,B2="V",N2-J2,B2="A",N2-J2,B2="B",N2+J2,B2="AT",N2-J2,B2="S",N2-J2))</f>
        <v>1500</v>
      </c>
      <c r="P2" s="142">
        <f>IFERROR(__xludf.DUMMYFUNCTION("if(C2="""","""",iferror(if(row()&lt;&gt;2,INDEX(arrayformula(filter($Q1:$Q$2,$C1:$C$2&lt;&gt;"""",row($C1:$C$2)=max(if($C1:$C$2=C2,row($C1:$C$2),0)))) ,1),0),0))"),0.0)</f>
        <v>0</v>
      </c>
      <c r="Q2" s="142">
        <f t="shared" ref="Q2:Q134" si="4">if(C2="","",if(B2="C",P2+O2,if(B2="V",if(P2&lt;=0,"Erro. s/ qtde.",P2-S2),if(B2="AT",if(P2&lt;=0,"Erro. s/ qtde.",P2-S2),if(B2="B",P2+O2,if(B2="A",P2-O2,if(B2="S",P2,"Error")))))))</f>
        <v>1500</v>
      </c>
      <c r="R2" s="144">
        <f t="shared" ref="R2:R134" si="5">IFERROR(IF(M2=0,0,Q2/M2),)</f>
        <v>15</v>
      </c>
      <c r="S2" s="142" t="str">
        <f t="shared" ref="S2:S134" si="6">if(C2="","",if(B2="V",if(L2=0,0,D2/L2*P2),""))</f>
        <v/>
      </c>
      <c r="T2" s="142" t="str">
        <f t="shared" ref="T2:T2000" si="7">if(C2="","",if(B2="V",O2-S2,""))</f>
        <v/>
      </c>
      <c r="U2" s="145" t="str">
        <f t="shared" ref="U2:U2000" si="8">if(C2="","",if(B2="V",(O2-S2)/S2,""))</f>
        <v/>
      </c>
      <c r="V2" s="146" t="str">
        <f>IFERROR(VLOOKUP(C2,Ativos!$A$1:$G2000,5,),)</f>
        <v>AÇÃO</v>
      </c>
    </row>
    <row r="3" ht="21.0" customHeight="1">
      <c r="A3" s="134">
        <v>43862.0</v>
      </c>
      <c r="B3" s="135" t="s">
        <v>165</v>
      </c>
      <c r="C3" s="136" t="s">
        <v>90</v>
      </c>
      <c r="D3" s="137">
        <v>200.0</v>
      </c>
      <c r="E3" s="138">
        <v>35.0</v>
      </c>
      <c r="F3" s="138">
        <v>0.0</v>
      </c>
      <c r="G3" s="139">
        <v>0.0</v>
      </c>
      <c r="H3" s="140">
        <v>1.0</v>
      </c>
      <c r="I3" s="141" t="s">
        <v>136</v>
      </c>
      <c r="J3" s="147">
        <f>IFERROR(__xludf.DUMMYFUNCTION("IF(ISBLANK(A3),IFERROR(1/0),IF(COUNT(FILTER(F:F,A:A=A3))&gt;1,TRUNC(N3*F3/SUM(FILTER(N:N,A:A=A3)),3),F3))"),0.0)</f>
        <v>0</v>
      </c>
      <c r="K3" s="147">
        <f>IFERROR(__xludf.DUMMYFUNCTION("IF(ISBLANK(A3),IFERROR(1/0),IF(COUNT(FILTER(G:G,((A:A=A3)*(B:B=""V""))))&gt;1,TRUNC(N3*G3/SUM(FILTER(N:N,((A:A=A3)*(B:B=""V"")))),3),G3))"),0.0)</f>
        <v>0</v>
      </c>
      <c r="L3" s="148">
        <f>IFERROR(__xludf.DUMMYFUNCTION("if($C3="""","""",iferror(if(row()&lt;&gt;2,INDEX(arrayformula(filter($M$2:$M2,$C$2:$C2&lt;&gt;"""",row($C$2:$C2)=max(if($C$2:$C2=C3,row($C$2:$C2),0)))) ,1),0),0))"),0.0)</f>
        <v>0</v>
      </c>
      <c r="M3" s="148">
        <f t="shared" si="1"/>
        <v>200</v>
      </c>
      <c r="N3" s="147">
        <f t="shared" si="2"/>
        <v>7000</v>
      </c>
      <c r="O3" s="147">
        <f t="shared" si="3"/>
        <v>7000</v>
      </c>
      <c r="P3" s="147">
        <f>IFERROR(__xludf.DUMMYFUNCTION("if(C3="""","""",iferror(if(row()&lt;&gt;2,INDEX(arrayformula(filter($Q2:$Q$2,$C2:$C$2&lt;&gt;"""",row($C2:$C$2)=max(if($C2:$C$2=C3,row($C2:$C$2),0)))) ,1),0),0))"),0.0)</f>
        <v>0</v>
      </c>
      <c r="Q3" s="147">
        <f t="shared" si="4"/>
        <v>7000</v>
      </c>
      <c r="R3" s="149">
        <f t="shared" si="5"/>
        <v>35</v>
      </c>
      <c r="S3" s="147" t="str">
        <f t="shared" si="6"/>
        <v/>
      </c>
      <c r="T3" s="147" t="str">
        <f t="shared" si="7"/>
        <v/>
      </c>
      <c r="U3" s="150" t="str">
        <f t="shared" si="8"/>
        <v/>
      </c>
      <c r="V3" s="151" t="str">
        <f>IFERROR(VLOOKUP(C3,Ativos!$A$1:$G2000,5,),)</f>
        <v>AÇÃO</v>
      </c>
    </row>
    <row r="4" ht="21.0" customHeight="1">
      <c r="A4" s="134">
        <v>43891.0</v>
      </c>
      <c r="B4" s="135" t="s">
        <v>165</v>
      </c>
      <c r="C4" s="136" t="s">
        <v>106</v>
      </c>
      <c r="D4" s="137">
        <v>150.0</v>
      </c>
      <c r="E4" s="138">
        <v>170.0</v>
      </c>
      <c r="F4" s="138">
        <v>0.0</v>
      </c>
      <c r="G4" s="139">
        <v>0.0</v>
      </c>
      <c r="H4" s="140">
        <v>1.0</v>
      </c>
      <c r="I4" s="141" t="s">
        <v>144</v>
      </c>
      <c r="J4" s="147">
        <f>IFERROR(__xludf.DUMMYFUNCTION("IF(ISBLANK(A4),IFERROR(1/0),IF(COUNT(FILTER(F:F,A:A=A4))&gt;1,TRUNC(N4*F4/SUM(FILTER(N:N,A:A=A4)),3),F4))"),0.0)</f>
        <v>0</v>
      </c>
      <c r="K4" s="147">
        <f>IFERROR(__xludf.DUMMYFUNCTION("IF(ISBLANK(A4),IFERROR(1/0),IF(COUNT(FILTER(G:G,((A:A=A4)*(B:B=""V""))))&gt;1,TRUNC(N4*G4/SUM(FILTER(N:N,((A:A=A4)*(B:B=""V"")))),3),G4))"),0.0)</f>
        <v>0</v>
      </c>
      <c r="L4" s="148">
        <f>IFERROR(__xludf.DUMMYFUNCTION("if($C4="""","""",iferror(if(row()&lt;&gt;2,INDEX(arrayformula(filter($M$2:$M3,$C$2:$C3&lt;&gt;"""",row($C$2:$C3)=max(if($C$2:$C3=C4,row($C$2:$C3),0)))) ,1),0),0))"),0.0)</f>
        <v>0</v>
      </c>
      <c r="M4" s="148">
        <f t="shared" si="1"/>
        <v>150</v>
      </c>
      <c r="N4" s="147">
        <f t="shared" si="2"/>
        <v>25500</v>
      </c>
      <c r="O4" s="147">
        <f t="shared" si="3"/>
        <v>25500</v>
      </c>
      <c r="P4" s="147">
        <f>IFERROR(__xludf.DUMMYFUNCTION("if(C4="""","""",iferror(if(row()&lt;&gt;2,INDEX(arrayformula(filter($Q$2:$Q3,$C$2:$C3&lt;&gt;"""",row($C$2:$C3)=max(if($C$2:$C3=C4,row($C$2:$C3),0)))) ,1),0),0))"),0.0)</f>
        <v>0</v>
      </c>
      <c r="Q4" s="147">
        <f t="shared" si="4"/>
        <v>25500</v>
      </c>
      <c r="R4" s="149">
        <f t="shared" si="5"/>
        <v>170</v>
      </c>
      <c r="S4" s="147" t="str">
        <f t="shared" si="6"/>
        <v/>
      </c>
      <c r="T4" s="147" t="str">
        <f t="shared" si="7"/>
        <v/>
      </c>
      <c r="U4" s="150" t="str">
        <f t="shared" si="8"/>
        <v/>
      </c>
      <c r="V4" s="151" t="str">
        <f>IFERROR(VLOOKUP(C4,Ativos!$A$1:$G2000,5,),)</f>
        <v>FII</v>
      </c>
    </row>
    <row r="5" ht="21.0" customHeight="1">
      <c r="A5" s="134">
        <v>43891.0</v>
      </c>
      <c r="B5" s="135" t="s">
        <v>165</v>
      </c>
      <c r="C5" s="136" t="s">
        <v>93</v>
      </c>
      <c r="D5" s="137">
        <v>100.0</v>
      </c>
      <c r="E5" s="138">
        <v>150.0</v>
      </c>
      <c r="F5" s="138">
        <v>0.0</v>
      </c>
      <c r="G5" s="139">
        <v>0.0</v>
      </c>
      <c r="H5" s="140">
        <v>1.0</v>
      </c>
      <c r="I5" s="141" t="s">
        <v>144</v>
      </c>
      <c r="J5" s="147">
        <f>IFERROR(__xludf.DUMMYFUNCTION("IF(ISBLANK(A5),IFERROR(1/0),IF(COUNT(FILTER(F:F,A:A=A5))&gt;1,TRUNC(N5*F5/SUM(FILTER(N:N,A:A=A5)),3),F5))"),0.0)</f>
        <v>0</v>
      </c>
      <c r="K5" s="147">
        <f>IFERROR(__xludf.DUMMYFUNCTION("IF(ISBLANK(A5),IFERROR(1/0),IF(COUNT(FILTER(G:G,((A:A=A5)*(B:B=""V""))))&gt;1,TRUNC(N5*G5/SUM(FILTER(N:N,((A:A=A5)*(B:B=""V"")))),3),G5))"),0.0)</f>
        <v>0</v>
      </c>
      <c r="L5" s="148">
        <f>IFERROR(__xludf.DUMMYFUNCTION("if($C5="""","""",iferror(if(row()&lt;&gt;2,INDEX(arrayformula(filter($M$2:$M4,$C$2:$C4&lt;&gt;"""",row($C$2:$C4)=max(if($C$2:$C4=C5,row($C$2:$C4),0)))) ,1),0),0))"),0.0)</f>
        <v>0</v>
      </c>
      <c r="M5" s="148">
        <f t="shared" si="1"/>
        <v>100</v>
      </c>
      <c r="N5" s="147">
        <f t="shared" si="2"/>
        <v>15000</v>
      </c>
      <c r="O5" s="147">
        <f t="shared" si="3"/>
        <v>15000</v>
      </c>
      <c r="P5" s="147">
        <f>IFERROR(__xludf.DUMMYFUNCTION("if(C5="""","""",iferror(if(row()&lt;&gt;2,INDEX(arrayformula(filter($Q$2:$Q4,$C$2:$C4&lt;&gt;"""",row($C$2:$C4)=max(if($C$2:$C4=C5,row($C$2:$C4),0)))) ,1),0),0))"),0.0)</f>
        <v>0</v>
      </c>
      <c r="Q5" s="147">
        <f t="shared" si="4"/>
        <v>15000</v>
      </c>
      <c r="R5" s="149">
        <f t="shared" si="5"/>
        <v>150</v>
      </c>
      <c r="S5" s="147" t="str">
        <f t="shared" si="6"/>
        <v/>
      </c>
      <c r="T5" s="147" t="str">
        <f t="shared" si="7"/>
        <v/>
      </c>
      <c r="U5" s="150" t="str">
        <f t="shared" si="8"/>
        <v/>
      </c>
      <c r="V5" s="151" t="str">
        <f>IFERROR(VLOOKUP(C5,Ativos!$A$1:$G2000,5,),)</f>
        <v>FII</v>
      </c>
    </row>
    <row r="6" ht="21.0" customHeight="1">
      <c r="A6" s="134">
        <v>43922.0</v>
      </c>
      <c r="B6" s="135" t="s">
        <v>165</v>
      </c>
      <c r="C6" s="136" t="s">
        <v>130</v>
      </c>
      <c r="D6" s="137">
        <v>100.0</v>
      </c>
      <c r="E6" s="138">
        <v>75.0</v>
      </c>
      <c r="F6" s="138">
        <v>0.0</v>
      </c>
      <c r="G6" s="139">
        <v>0.0</v>
      </c>
      <c r="H6" s="140">
        <v>1.0</v>
      </c>
      <c r="I6" s="141" t="s">
        <v>136</v>
      </c>
      <c r="J6" s="147">
        <f>IFERROR(__xludf.DUMMYFUNCTION("IF(ISBLANK(A6),IFERROR(1/0),IF(COUNT(FILTER(F:F,A:A=A6))&gt;1,TRUNC(N6*F6/SUM(FILTER(N:N,A:A=A6)),3),F6))"),0.0)</f>
        <v>0</v>
      </c>
      <c r="K6" s="147">
        <f>IFERROR(__xludf.DUMMYFUNCTION("IF(ISBLANK(A6),IFERROR(1/0),IF(COUNT(FILTER(G:G,((A:A=A6)*(B:B=""V""))))&gt;1,TRUNC(N6*G6/SUM(FILTER(N:N,((A:A=A6)*(B:B=""V"")))),3),G6))"),0.0)</f>
        <v>0</v>
      </c>
      <c r="L6" s="148">
        <f>IFERROR(__xludf.DUMMYFUNCTION("if($C6="""","""",iferror(if(row()&lt;&gt;2,INDEX(arrayformula(filter($M$2:$M5,$C$2:$C5&lt;&gt;"""",row($C$2:$C5)=max(if($C$2:$C5=C6,row($C$2:$C5),0)))) ,1),0),0))"),0.0)</f>
        <v>0</v>
      </c>
      <c r="M6" s="148">
        <f t="shared" si="1"/>
        <v>100</v>
      </c>
      <c r="N6" s="147">
        <f t="shared" si="2"/>
        <v>7500</v>
      </c>
      <c r="O6" s="147">
        <f t="shared" si="3"/>
        <v>7500</v>
      </c>
      <c r="P6" s="147">
        <f>IFERROR(__xludf.DUMMYFUNCTION("if(C6="""","""",iferror(if(row()&lt;&gt;2,INDEX(arrayformula(filter($Q$2:$Q5,$C$2:$C5&lt;&gt;"""",row($C$2:$C5)=max(if($C$2:$C5=C6,row($C$2:$C5),0)))) ,1),0),0))"),0.0)</f>
        <v>0</v>
      </c>
      <c r="Q6" s="147">
        <f t="shared" si="4"/>
        <v>7500</v>
      </c>
      <c r="R6" s="149">
        <f t="shared" si="5"/>
        <v>75</v>
      </c>
      <c r="S6" s="147" t="str">
        <f t="shared" si="6"/>
        <v/>
      </c>
      <c r="T6" s="147" t="str">
        <f t="shared" si="7"/>
        <v/>
      </c>
      <c r="U6" s="150" t="str">
        <f t="shared" si="8"/>
        <v/>
      </c>
      <c r="V6" s="151" t="str">
        <f>IFERROR(VLOOKUP(C6,Ativos!$A$1:$G2000,5,),)</f>
        <v>BDR</v>
      </c>
    </row>
    <row r="7" ht="21.0" customHeight="1">
      <c r="A7" s="134">
        <v>44197.0</v>
      </c>
      <c r="B7" s="135" t="s">
        <v>165</v>
      </c>
      <c r="C7" s="136" t="s">
        <v>77</v>
      </c>
      <c r="D7" s="137">
        <v>200.0</v>
      </c>
      <c r="E7" s="138">
        <v>25.0</v>
      </c>
      <c r="F7" s="138">
        <v>0.0</v>
      </c>
      <c r="G7" s="139">
        <v>0.0</v>
      </c>
      <c r="H7" s="140">
        <v>1.0</v>
      </c>
      <c r="I7" s="141" t="s">
        <v>136</v>
      </c>
      <c r="J7" s="147">
        <f>IFERROR(__xludf.DUMMYFUNCTION("IF(ISBLANK(A7),IFERROR(1/0),IF(COUNT(FILTER(F:F,A:A=A7))&gt;1,TRUNC(N7*F7/SUM(FILTER(N:N,A:A=A7)),3),F7))"),0.0)</f>
        <v>0</v>
      </c>
      <c r="K7" s="147">
        <f>IFERROR(__xludf.DUMMYFUNCTION("IF(ISBLANK(A7),IFERROR(1/0),IF(COUNT(FILTER(G:G,((A:A=A7)*(B:B=""V""))))&gt;1,TRUNC(N7*G7/SUM(FILTER(N:N,((A:A=A7)*(B:B=""V"")))),3),G7))"),0.0)</f>
        <v>0</v>
      </c>
      <c r="L7" s="148">
        <f>IFERROR(__xludf.DUMMYFUNCTION("if($C7="""","""",iferror(if(row()&lt;&gt;2,INDEX(arrayformula(filter($M$2:$M6,$C$2:$C6&lt;&gt;"""",row($C$2:$C6)=max(if($C$2:$C6=C7,row($C$2:$C6),0)))) ,1),0),0))"),0.0)</f>
        <v>0</v>
      </c>
      <c r="M7" s="148">
        <f t="shared" si="1"/>
        <v>200</v>
      </c>
      <c r="N7" s="147">
        <f t="shared" si="2"/>
        <v>5000</v>
      </c>
      <c r="O7" s="147">
        <f t="shared" si="3"/>
        <v>5000</v>
      </c>
      <c r="P7" s="147">
        <f>IFERROR(__xludf.DUMMYFUNCTION("if(C7="""","""",iferror(if(row()&lt;&gt;2,INDEX(arrayformula(filter($Q$2:$Q6,$C$2:$C6&lt;&gt;"""",row($C$2:$C6)=max(if($C$2:$C6=C7,row($C$2:$C6),0)))) ,1),0),0))"),0.0)</f>
        <v>0</v>
      </c>
      <c r="Q7" s="147">
        <f t="shared" si="4"/>
        <v>5000</v>
      </c>
      <c r="R7" s="149">
        <f t="shared" si="5"/>
        <v>25</v>
      </c>
      <c r="S7" s="147" t="str">
        <f t="shared" si="6"/>
        <v/>
      </c>
      <c r="T7" s="147" t="str">
        <f t="shared" si="7"/>
        <v/>
      </c>
      <c r="U7" s="150" t="str">
        <f t="shared" si="8"/>
        <v/>
      </c>
      <c r="V7" s="151" t="str">
        <f>IFERROR(VLOOKUP(C7,Ativos!$A$1:$G2000,5,),)</f>
        <v>AÇÃO</v>
      </c>
    </row>
    <row r="8" ht="21.0" customHeight="1">
      <c r="A8" s="134">
        <v>44228.0</v>
      </c>
      <c r="B8" s="135" t="s">
        <v>165</v>
      </c>
      <c r="C8" s="136" t="s">
        <v>114</v>
      </c>
      <c r="D8" s="137">
        <v>150.0</v>
      </c>
      <c r="E8" s="138">
        <v>15.0</v>
      </c>
      <c r="F8" s="138">
        <v>0.0</v>
      </c>
      <c r="G8" s="139">
        <v>0.0</v>
      </c>
      <c r="H8" s="140">
        <v>1.0</v>
      </c>
      <c r="I8" s="141" t="s">
        <v>136</v>
      </c>
      <c r="J8" s="147">
        <f>IFERROR(__xludf.DUMMYFUNCTION("IF(ISBLANK(A8),IFERROR(1/0),IF(COUNT(FILTER(F:F,A:A=A8))&gt;1,TRUNC(N8*F8/SUM(FILTER(N:N,A:A=A8)),3),F8))"),0.0)</f>
        <v>0</v>
      </c>
      <c r="K8" s="147">
        <f>IFERROR(__xludf.DUMMYFUNCTION("IF(ISBLANK(A8),IFERROR(1/0),IF(COUNT(FILTER(G:G,((A:A=A8)*(B:B=""V""))))&gt;1,TRUNC(N8*G8/SUM(FILTER(N:N,((A:A=A8)*(B:B=""V"")))),3),G8))"),0.0)</f>
        <v>0</v>
      </c>
      <c r="L8" s="148">
        <f>IFERROR(__xludf.DUMMYFUNCTION("if($C8="""","""",iferror(if(row()&lt;&gt;2,INDEX(arrayformula(filter($M$2:$M7,$C$2:$C7&lt;&gt;"""",row($C$2:$C7)=max(if($C$2:$C7=C8,row($C$2:$C7),0)))) ,1),0),0))"),0.0)</f>
        <v>0</v>
      </c>
      <c r="M8" s="148">
        <f t="shared" si="1"/>
        <v>150</v>
      </c>
      <c r="N8" s="147">
        <f t="shared" si="2"/>
        <v>2250</v>
      </c>
      <c r="O8" s="147">
        <f t="shared" si="3"/>
        <v>2250</v>
      </c>
      <c r="P8" s="147">
        <f>IFERROR(__xludf.DUMMYFUNCTION("if(C8="""","""",iferror(if(row()&lt;&gt;2,INDEX(arrayformula(filter($Q$2:$Q7,$C$2:$C7&lt;&gt;"""",row($C$2:$C7)=max(if($C$2:$C7=C8,row($C$2:$C7),0)))) ,1),0),0))"),0.0)</f>
        <v>0</v>
      </c>
      <c r="Q8" s="147">
        <f t="shared" si="4"/>
        <v>2250</v>
      </c>
      <c r="R8" s="149">
        <f t="shared" si="5"/>
        <v>15</v>
      </c>
      <c r="S8" s="147" t="str">
        <f t="shared" si="6"/>
        <v/>
      </c>
      <c r="T8" s="147" t="str">
        <f t="shared" si="7"/>
        <v/>
      </c>
      <c r="U8" s="150" t="str">
        <f t="shared" si="8"/>
        <v/>
      </c>
      <c r="V8" s="151" t="str">
        <f>IFERROR(VLOOKUP(C8,Ativos!$A$1:$G2000,5,),)</f>
        <v>AÇÃO</v>
      </c>
    </row>
    <row r="9" ht="21.0" customHeight="1">
      <c r="A9" s="134">
        <v>44256.0</v>
      </c>
      <c r="B9" s="135" t="s">
        <v>165</v>
      </c>
      <c r="C9" s="136" t="s">
        <v>98</v>
      </c>
      <c r="D9" s="137">
        <v>125.0</v>
      </c>
      <c r="E9" s="138">
        <v>125.0</v>
      </c>
      <c r="F9" s="138">
        <v>0.0</v>
      </c>
      <c r="G9" s="139">
        <v>0.0</v>
      </c>
      <c r="H9" s="140">
        <v>1.0</v>
      </c>
      <c r="I9" s="141" t="s">
        <v>144</v>
      </c>
      <c r="J9" s="147">
        <f>IFERROR(__xludf.DUMMYFUNCTION("IF(ISBLANK(A9),IFERROR(1/0),IF(COUNT(FILTER(F:F,A:A=A9))&gt;1,TRUNC(N9*F9/SUM(FILTER(N:N,A:A=A9)),3),F9))"),0.0)</f>
        <v>0</v>
      </c>
      <c r="K9" s="147">
        <f>IFERROR(__xludf.DUMMYFUNCTION("IF(ISBLANK(A9),IFERROR(1/0),IF(COUNT(FILTER(G:G,((A:A=A9)*(B:B=""V""))))&gt;1,TRUNC(N9*G9/SUM(FILTER(N:N,((A:A=A9)*(B:B=""V"")))),3),G9))"),0.0)</f>
        <v>0</v>
      </c>
      <c r="L9" s="148">
        <f>IFERROR(__xludf.DUMMYFUNCTION("if($C9="""","""",iferror(if(row()&lt;&gt;2,INDEX(arrayformula(filter($M$2:$M8,$C$2:$C8&lt;&gt;"""",row($C$2:$C8)=max(if($C$2:$C8=C9,row($C$2:$C8),0)))) ,1),0),0))"),0.0)</f>
        <v>0</v>
      </c>
      <c r="M9" s="148">
        <f t="shared" si="1"/>
        <v>125</v>
      </c>
      <c r="N9" s="147">
        <f t="shared" si="2"/>
        <v>15625</v>
      </c>
      <c r="O9" s="147">
        <f t="shared" si="3"/>
        <v>15625</v>
      </c>
      <c r="P9" s="147">
        <f>IFERROR(__xludf.DUMMYFUNCTION("if(C9="""","""",iferror(if(row()&lt;&gt;2,INDEX(arrayformula(filter($Q$2:$Q8,$C$2:$C8&lt;&gt;"""",row($C$2:$C8)=max(if($C$2:$C8=C9,row($C$2:$C8),0)))) ,1),0),0))"),0.0)</f>
        <v>0</v>
      </c>
      <c r="Q9" s="147">
        <f t="shared" si="4"/>
        <v>15625</v>
      </c>
      <c r="R9" s="149">
        <f t="shared" si="5"/>
        <v>125</v>
      </c>
      <c r="S9" s="147" t="str">
        <f t="shared" si="6"/>
        <v/>
      </c>
      <c r="T9" s="147" t="str">
        <f t="shared" si="7"/>
        <v/>
      </c>
      <c r="U9" s="150" t="str">
        <f t="shared" si="8"/>
        <v/>
      </c>
      <c r="V9" s="151" t="str">
        <f>IFERROR(VLOOKUP(C9,Ativos!$A$1:$G2000,5,),)</f>
        <v>FII</v>
      </c>
    </row>
    <row r="10" ht="21.0" customHeight="1">
      <c r="A10" s="134">
        <v>44287.0</v>
      </c>
      <c r="B10" s="135" t="s">
        <v>165</v>
      </c>
      <c r="C10" s="136" t="s">
        <v>120</v>
      </c>
      <c r="D10" s="137">
        <v>150.0</v>
      </c>
      <c r="E10" s="138">
        <v>25.0</v>
      </c>
      <c r="F10" s="138">
        <v>0.0</v>
      </c>
      <c r="G10" s="139">
        <v>0.0</v>
      </c>
      <c r="H10" s="140">
        <v>1.0</v>
      </c>
      <c r="I10" s="141" t="s">
        <v>136</v>
      </c>
      <c r="J10" s="147">
        <f>IFERROR(__xludf.DUMMYFUNCTION("IF(ISBLANK(A10),IFERROR(1/0),IF(COUNT(FILTER(F:F,A:A=A10))&gt;1,TRUNC(N10*F10/SUM(FILTER(N:N,A:A=A10)),3),F10))"),0.0)</f>
        <v>0</v>
      </c>
      <c r="K10" s="147">
        <f>IFERROR(__xludf.DUMMYFUNCTION("IF(ISBLANK(A10),IFERROR(1/0),IF(COUNT(FILTER(G:G,((A:A=A10)*(B:B=""V""))))&gt;1,TRUNC(N10*G10/SUM(FILTER(N:N,((A:A=A10)*(B:B=""V"")))),3),G10))"),0.0)</f>
        <v>0</v>
      </c>
      <c r="L10" s="148">
        <f>IFERROR(__xludf.DUMMYFUNCTION("if($C10="""","""",iferror(if(row()&lt;&gt;2,INDEX(arrayformula(filter($M$2:$M9,$C$2:$C9&lt;&gt;"""",row($C$2:$C9)=max(if($C$2:$C9=C10,row($C$2:$C9),0)))) ,1),0),0))"),0.0)</f>
        <v>0</v>
      </c>
      <c r="M10" s="148">
        <f t="shared" si="1"/>
        <v>150</v>
      </c>
      <c r="N10" s="147">
        <f t="shared" si="2"/>
        <v>3750</v>
      </c>
      <c r="O10" s="147">
        <f t="shared" si="3"/>
        <v>3750</v>
      </c>
      <c r="P10" s="147">
        <f>IFERROR(__xludf.DUMMYFUNCTION("if(C10="""","""",iferror(if(row()&lt;&gt;2,INDEX(arrayformula(filter($Q$2:$Q9,$C$2:$C9&lt;&gt;"""",row($C$2:$C9)=max(if($C$2:$C9=C10,row($C$2:$C9),0)))) ,1),0),0))"),0.0)</f>
        <v>0</v>
      </c>
      <c r="Q10" s="147">
        <f t="shared" si="4"/>
        <v>3750</v>
      </c>
      <c r="R10" s="149">
        <f t="shared" si="5"/>
        <v>25</v>
      </c>
      <c r="S10" s="147" t="str">
        <f t="shared" si="6"/>
        <v/>
      </c>
      <c r="T10" s="147" t="str">
        <f t="shared" si="7"/>
        <v/>
      </c>
      <c r="U10" s="150" t="str">
        <f t="shared" si="8"/>
        <v/>
      </c>
      <c r="V10" s="151" t="str">
        <f>IFERROR(VLOOKUP(C10,Ativos!$A$1:$G2000,5,),)</f>
        <v>AÇÃO</v>
      </c>
    </row>
    <row r="11" ht="21.0" customHeight="1">
      <c r="A11" s="134">
        <v>44317.0</v>
      </c>
      <c r="B11" s="135" t="s">
        <v>166</v>
      </c>
      <c r="C11" s="136" t="s">
        <v>106</v>
      </c>
      <c r="D11" s="137">
        <v>100.0</v>
      </c>
      <c r="E11" s="138">
        <v>195.0</v>
      </c>
      <c r="F11" s="138">
        <v>0.0</v>
      </c>
      <c r="G11" s="139">
        <v>0.0</v>
      </c>
      <c r="H11" s="140">
        <v>1.0</v>
      </c>
      <c r="I11" s="141" t="s">
        <v>144</v>
      </c>
      <c r="J11" s="147">
        <f>IFERROR(__xludf.DUMMYFUNCTION("IF(ISBLANK(A11),IFERROR(1/0),IF(COUNT(FILTER(F:F,A:A=A11))&gt;1,TRUNC(N11*F11/SUM(FILTER(N:N,A:A=A11)),3),F11))"),0.0)</f>
        <v>0</v>
      </c>
      <c r="K11" s="147">
        <f>IFERROR(__xludf.DUMMYFUNCTION("IF(ISBLANK(A11),IFERROR(1/0),IF(COUNT(FILTER(G:G,((A:A=A11)*(B:B=""V""))))&gt;1,TRUNC(N11*G11/SUM(FILTER(N:N,((A:A=A11)*(B:B=""V"")))),3),G11))"),0.0)</f>
        <v>0</v>
      </c>
      <c r="L11" s="148">
        <f>IFERROR(__xludf.DUMMYFUNCTION("if($C11="""","""",iferror(if(row()&lt;&gt;2,INDEX(arrayformula(filter($M$2:$M10,$C$2:$C10&lt;&gt;"""",row($C$2:$C10)=max(if($C$2:$C10=C11,row($C$2:$C10),0)))) ,1),0),0))"),150.0)</f>
        <v>150</v>
      </c>
      <c r="M11" s="148">
        <f t="shared" si="1"/>
        <v>50</v>
      </c>
      <c r="N11" s="147">
        <f t="shared" si="2"/>
        <v>19500</v>
      </c>
      <c r="O11" s="147">
        <f t="shared" si="3"/>
        <v>19500</v>
      </c>
      <c r="P11" s="147">
        <f>IFERROR(__xludf.DUMMYFUNCTION("if(C11="""","""",iferror(if(row()&lt;&gt;2,INDEX(arrayformula(filter($Q$2:$Q10,$C$2:$C10&lt;&gt;"""",row($C$2:$C10)=max(if($C$2:$C10=C11,row($C$2:$C10),0)))) ,1),0),0))"),25500.0)</f>
        <v>25500</v>
      </c>
      <c r="Q11" s="147">
        <f t="shared" si="4"/>
        <v>8500</v>
      </c>
      <c r="R11" s="149">
        <f t="shared" si="5"/>
        <v>170</v>
      </c>
      <c r="S11" s="147">
        <f t="shared" si="6"/>
        <v>17000</v>
      </c>
      <c r="T11" s="147">
        <f t="shared" si="7"/>
        <v>2500</v>
      </c>
      <c r="U11" s="150">
        <f t="shared" si="8"/>
        <v>0.1470588235</v>
      </c>
      <c r="V11" s="151" t="str">
        <f>IFERROR(VLOOKUP(C11,Ativos!$A$1:$G2000,5,),)</f>
        <v>FII</v>
      </c>
    </row>
    <row r="12" ht="21.0" customHeight="1">
      <c r="A12" s="134">
        <v>44317.0</v>
      </c>
      <c r="B12" s="135" t="s">
        <v>166</v>
      </c>
      <c r="C12" s="136" t="s">
        <v>90</v>
      </c>
      <c r="D12" s="137">
        <v>200.0</v>
      </c>
      <c r="E12" s="138">
        <v>10.0</v>
      </c>
      <c r="F12" s="138">
        <v>0.0</v>
      </c>
      <c r="G12" s="139">
        <v>0.0</v>
      </c>
      <c r="H12" s="140">
        <v>1.0</v>
      </c>
      <c r="I12" s="141" t="s">
        <v>144</v>
      </c>
      <c r="J12" s="147">
        <f>IFERROR(__xludf.DUMMYFUNCTION("IF(ISBLANK(A12),IFERROR(1/0),IF(COUNT(FILTER(F:F,A:A=A12))&gt;1,TRUNC(N12*F12/SUM(FILTER(N:N,A:A=A12)),3),F12))"),0.0)</f>
        <v>0</v>
      </c>
      <c r="K12" s="147">
        <f>IFERROR(__xludf.DUMMYFUNCTION("IF(ISBLANK(A12),IFERROR(1/0),IF(COUNT(FILTER(G:G,((A:A=A12)*(B:B=""V""))))&gt;1,TRUNC(N12*G12/SUM(FILTER(N:N,((A:A=A12)*(B:B=""V"")))),3),G12))"),0.0)</f>
        <v>0</v>
      </c>
      <c r="L12" s="148">
        <f>IFERROR(__xludf.DUMMYFUNCTION("if($C12="""","""",iferror(if(row()&lt;&gt;2,INDEX(arrayformula(filter($M$2:$M11,$C$2:$C11&lt;&gt;"""",row($C$2:$C11)=max(if($C$2:$C11=C12,row($C$2:$C11),0)))) ,1),0),0))"),200.0)</f>
        <v>200</v>
      </c>
      <c r="M12" s="148">
        <f t="shared" si="1"/>
        <v>0</v>
      </c>
      <c r="N12" s="147">
        <f t="shared" si="2"/>
        <v>2000</v>
      </c>
      <c r="O12" s="147">
        <f t="shared" si="3"/>
        <v>2000</v>
      </c>
      <c r="P12" s="147">
        <f>IFERROR(__xludf.DUMMYFUNCTION("if(C12="""","""",iferror(if(row()&lt;&gt;2,INDEX(arrayformula(filter($Q$2:$Q11,$C$2:$C11&lt;&gt;"""",row($C$2:$C11)=max(if($C$2:$C11=C12,row($C$2:$C11),0)))) ,1),0),0))"),7000.0)</f>
        <v>7000</v>
      </c>
      <c r="Q12" s="147">
        <f t="shared" si="4"/>
        <v>0</v>
      </c>
      <c r="R12" s="149">
        <f t="shared" si="5"/>
        <v>0</v>
      </c>
      <c r="S12" s="147">
        <f t="shared" si="6"/>
        <v>7000</v>
      </c>
      <c r="T12" s="147">
        <f t="shared" si="7"/>
        <v>-5000</v>
      </c>
      <c r="U12" s="150">
        <f t="shared" si="8"/>
        <v>-0.7142857143</v>
      </c>
      <c r="V12" s="151" t="str">
        <f>IFERROR(VLOOKUP(C12,Ativos!$A$1:$G2000,5,),)</f>
        <v>AÇÃO</v>
      </c>
    </row>
    <row r="13" ht="21.0" customHeight="1">
      <c r="A13" s="134"/>
      <c r="B13" s="135"/>
      <c r="C13" s="136"/>
      <c r="D13" s="137"/>
      <c r="E13" s="138"/>
      <c r="F13" s="138"/>
      <c r="G13" s="139"/>
      <c r="H13" s="140"/>
      <c r="I13" s="141"/>
      <c r="J13" s="147" t="str">
        <f>IFERROR(__xludf.DUMMYFUNCTION("IF(ISBLANK(A13),IFERROR(1/0),IF(COUNT(FILTER(F:F,A:A=A13))&gt;1,TRUNC(N13*F13/SUM(FILTER(N:N,A:A=A13)),3),F13))"),"")</f>
        <v/>
      </c>
      <c r="K13" s="147" t="str">
        <f>IFERROR(__xludf.DUMMYFUNCTION("IF(ISBLANK(A13),IFERROR(1/0),IF(COUNT(FILTER(G:G,((A:A=A13)*(B:B=""V""))))&gt;1,TRUNC(N13*G13/SUM(FILTER(N:N,((A:A=A13)*(B:B=""V"")))),3),G13))"),"")</f>
        <v/>
      </c>
      <c r="L13" s="148" t="str">
        <f>IFERROR(__xludf.DUMMYFUNCTION("if($C13="""","""",iferror(if(row()&lt;&gt;2,INDEX(arrayformula(filter($M$2:$M12,$C$2:$C12&lt;&gt;"""",row($C$2:$C12)=max(if($C$2:$C12=C13,row($C$2:$C12),0)))) ,1),0),0))"),"")</f>
        <v/>
      </c>
      <c r="M13" s="148" t="str">
        <f t="shared" si="1"/>
        <v/>
      </c>
      <c r="N13" s="147" t="str">
        <f t="shared" si="2"/>
        <v/>
      </c>
      <c r="O13" s="147" t="str">
        <f t="shared" si="3"/>
        <v/>
      </c>
      <c r="P13" s="147" t="str">
        <f>IFERROR(__xludf.DUMMYFUNCTION("if(C13="""","""",iferror(if(row()&lt;&gt;2,INDEX(arrayformula(filter($Q$2:$Q12,$C$2:$C12&lt;&gt;"""",row($C$2:$C12)=max(if($C$2:$C12=C13,row($C$2:$C12),0)))) ,1),0),0))"),"")</f>
        <v/>
      </c>
      <c r="Q13" s="147" t="str">
        <f t="shared" si="4"/>
        <v/>
      </c>
      <c r="R13" s="149" t="str">
        <f t="shared" si="5"/>
        <v/>
      </c>
      <c r="S13" s="147" t="str">
        <f t="shared" si="6"/>
        <v/>
      </c>
      <c r="T13" s="147" t="str">
        <f t="shared" si="7"/>
        <v/>
      </c>
      <c r="U13" s="150" t="str">
        <f t="shared" si="8"/>
        <v/>
      </c>
      <c r="V13" s="151" t="str">
        <f>IFERROR(VLOOKUP(C13,Ativos!$A$1:$G2000,5,),)</f>
        <v/>
      </c>
    </row>
    <row r="14" ht="21.0" customHeight="1">
      <c r="A14" s="134"/>
      <c r="B14" s="135"/>
      <c r="C14" s="136"/>
      <c r="D14" s="137"/>
      <c r="E14" s="138"/>
      <c r="F14" s="138"/>
      <c r="G14" s="139"/>
      <c r="H14" s="140"/>
      <c r="I14" s="141"/>
      <c r="J14" s="147" t="str">
        <f>IFERROR(__xludf.DUMMYFUNCTION("IF(ISBLANK(A14),IFERROR(1/0),IF(COUNT(FILTER(F:F,A:A=A14))&gt;1,TRUNC(N14*F14/SUM(FILTER(N:N,A:A=A14)),3),F14))"),"")</f>
        <v/>
      </c>
      <c r="K14" s="147" t="str">
        <f>IFERROR(__xludf.DUMMYFUNCTION("IF(ISBLANK(A14),IFERROR(1/0),IF(COUNT(FILTER(G:G,((A:A=A14)*(B:B=""V""))))&gt;1,TRUNC(N14*G14/SUM(FILTER(N:N,((A:A=A14)*(B:B=""V"")))),3),G14))"),"")</f>
        <v/>
      </c>
      <c r="L14" s="148" t="str">
        <f>IFERROR(__xludf.DUMMYFUNCTION("if($C14="""","""",iferror(if(row()&lt;&gt;2,INDEX(arrayformula(filter($M$2:$M13,$C$2:$C13&lt;&gt;"""",row($C$2:$C13)=max(if($C$2:$C13=C14,row($C$2:$C13),0)))) ,1),0),0))"),"")</f>
        <v/>
      </c>
      <c r="M14" s="148" t="str">
        <f t="shared" si="1"/>
        <v/>
      </c>
      <c r="N14" s="147" t="str">
        <f t="shared" si="2"/>
        <v/>
      </c>
      <c r="O14" s="147" t="str">
        <f t="shared" si="3"/>
        <v/>
      </c>
      <c r="P14" s="147" t="str">
        <f>IFERROR(__xludf.DUMMYFUNCTION("if(C14="""","""",iferror(if(row()&lt;&gt;2,INDEX(arrayformula(filter($Q$2:$Q13,$C$2:$C13&lt;&gt;"""",row($C$2:$C13)=max(if($C$2:$C13=C14,row($C$2:$C13),0)))) ,1),0),0))"),"")</f>
        <v/>
      </c>
      <c r="Q14" s="147" t="str">
        <f t="shared" si="4"/>
        <v/>
      </c>
      <c r="R14" s="149" t="str">
        <f t="shared" si="5"/>
        <v/>
      </c>
      <c r="S14" s="147" t="str">
        <f t="shared" si="6"/>
        <v/>
      </c>
      <c r="T14" s="147" t="str">
        <f t="shared" si="7"/>
        <v/>
      </c>
      <c r="U14" s="150" t="str">
        <f t="shared" si="8"/>
        <v/>
      </c>
      <c r="V14" s="151" t="str">
        <f>IFERROR(VLOOKUP(C14,Ativos!$A$1:$G2000,5,),)</f>
        <v/>
      </c>
    </row>
    <row r="15" ht="21.0" customHeight="1">
      <c r="A15" s="134"/>
      <c r="B15" s="135"/>
      <c r="C15" s="136"/>
      <c r="D15" s="137"/>
      <c r="E15" s="138"/>
      <c r="F15" s="138"/>
      <c r="G15" s="139"/>
      <c r="H15" s="140"/>
      <c r="I15" s="141"/>
      <c r="J15" s="147" t="str">
        <f>IFERROR(__xludf.DUMMYFUNCTION("IF(ISBLANK(A15),IFERROR(1/0),IF(COUNT(FILTER(F:F,A:A=A15))&gt;1,TRUNC(N15*F15/SUM(FILTER(N:N,A:A=A15)),3),F15))"),"")</f>
        <v/>
      </c>
      <c r="K15" s="147" t="str">
        <f>IFERROR(__xludf.DUMMYFUNCTION("IF(ISBLANK(A15),IFERROR(1/0),IF(COUNT(FILTER(G:G,((A:A=A15)*(B:B=""V""))))&gt;1,TRUNC(N15*G15/SUM(FILTER(N:N,((A:A=A15)*(B:B=""V"")))),3),G15))"),"")</f>
        <v/>
      </c>
      <c r="L15" s="148" t="str">
        <f>IFERROR(__xludf.DUMMYFUNCTION("if($C15="""","""",iferror(if(row()&lt;&gt;2,INDEX(arrayformula(filter($M$2:$M14,$C$2:$C14&lt;&gt;"""",row($C$2:$C14)=max(if($C$2:$C14=C15,row($C$2:$C14),0)))) ,1),0),0))"),"")</f>
        <v/>
      </c>
      <c r="M15" s="148" t="str">
        <f t="shared" si="1"/>
        <v/>
      </c>
      <c r="N15" s="147" t="str">
        <f t="shared" si="2"/>
        <v/>
      </c>
      <c r="O15" s="147" t="str">
        <f t="shared" si="3"/>
        <v/>
      </c>
      <c r="P15" s="147" t="str">
        <f>IFERROR(__xludf.DUMMYFUNCTION("if(C15="""","""",iferror(if(row()&lt;&gt;2,INDEX(arrayformula(filter($Q$2:$Q14,$C$2:$C14&lt;&gt;"""",row($C$2:$C14)=max(if($C$2:$C14=C15,row($C$2:$C14),0)))) ,1),0),0))"),"")</f>
        <v/>
      </c>
      <c r="Q15" s="147" t="str">
        <f t="shared" si="4"/>
        <v/>
      </c>
      <c r="R15" s="149" t="str">
        <f t="shared" si="5"/>
        <v/>
      </c>
      <c r="S15" s="147" t="str">
        <f t="shared" si="6"/>
        <v/>
      </c>
      <c r="T15" s="147" t="str">
        <f t="shared" si="7"/>
        <v/>
      </c>
      <c r="U15" s="150" t="str">
        <f t="shared" si="8"/>
        <v/>
      </c>
      <c r="V15" s="151" t="str">
        <f>IFERROR(VLOOKUP(C15,Ativos!$A$1:$G2000,5,),)</f>
        <v/>
      </c>
    </row>
    <row r="16" ht="21.0" customHeight="1">
      <c r="A16" s="134"/>
      <c r="B16" s="135"/>
      <c r="C16" s="136"/>
      <c r="D16" s="137"/>
      <c r="E16" s="138"/>
      <c r="F16" s="138"/>
      <c r="G16" s="139"/>
      <c r="H16" s="140"/>
      <c r="I16" s="141"/>
      <c r="J16" s="147" t="str">
        <f>IFERROR(__xludf.DUMMYFUNCTION("IF(ISBLANK(A16),IFERROR(1/0),IF(COUNT(FILTER(F:F,A:A=A16))&gt;1,TRUNC(N16*F16/SUM(FILTER(N:N,A:A=A16)),3),F16))"),"")</f>
        <v/>
      </c>
      <c r="K16" s="147" t="str">
        <f>IFERROR(__xludf.DUMMYFUNCTION("IF(ISBLANK(A16),IFERROR(1/0),IF(COUNT(FILTER(G:G,((A:A=A16)*(B:B=""V""))))&gt;1,TRUNC(N16*G16/SUM(FILTER(N:N,((A:A=A16)*(B:B=""V"")))),3),G16))"),"")</f>
        <v/>
      </c>
      <c r="L16" s="148" t="str">
        <f>IFERROR(__xludf.DUMMYFUNCTION("if($C16="""","""",iferror(if(row()&lt;&gt;2,INDEX(arrayformula(filter($M$2:$M15,$C$2:$C15&lt;&gt;"""",row($C$2:$C15)=max(if($C$2:$C15=C16,row($C$2:$C15),0)))) ,1),0),0))"),"")</f>
        <v/>
      </c>
      <c r="M16" s="148" t="str">
        <f t="shared" si="1"/>
        <v/>
      </c>
      <c r="N16" s="147" t="str">
        <f t="shared" si="2"/>
        <v/>
      </c>
      <c r="O16" s="147" t="str">
        <f t="shared" si="3"/>
        <v/>
      </c>
      <c r="P16" s="147" t="str">
        <f>IFERROR(__xludf.DUMMYFUNCTION("if(C16="""","""",iferror(if(row()&lt;&gt;2,INDEX(arrayformula(filter($Q$2:$Q15,$C$2:$C15&lt;&gt;"""",row($C$2:$C15)=max(if($C$2:$C15=C16,row($C$2:$C15),0)))) ,1),0),0))"),"")</f>
        <v/>
      </c>
      <c r="Q16" s="147" t="str">
        <f t="shared" si="4"/>
        <v/>
      </c>
      <c r="R16" s="149" t="str">
        <f t="shared" si="5"/>
        <v/>
      </c>
      <c r="S16" s="147" t="str">
        <f t="shared" si="6"/>
        <v/>
      </c>
      <c r="T16" s="147" t="str">
        <f t="shared" si="7"/>
        <v/>
      </c>
      <c r="U16" s="150" t="str">
        <f t="shared" si="8"/>
        <v/>
      </c>
      <c r="V16" s="151" t="str">
        <f>IFERROR(VLOOKUP(C16,Ativos!$A$1:$G2000,5,),)</f>
        <v/>
      </c>
    </row>
    <row r="17" ht="21.0" customHeight="1">
      <c r="A17" s="134"/>
      <c r="B17" s="135"/>
      <c r="C17" s="136"/>
      <c r="D17" s="137"/>
      <c r="E17" s="138"/>
      <c r="F17" s="138"/>
      <c r="G17" s="139"/>
      <c r="H17" s="140"/>
      <c r="I17" s="141"/>
      <c r="J17" s="147" t="str">
        <f>IFERROR(__xludf.DUMMYFUNCTION("IF(ISBLANK(A17),IFERROR(1/0),IF(COUNT(FILTER(F:F,A:A=A17))&gt;1,TRUNC(N17*F17/SUM(FILTER(N:N,A:A=A17)),3),F17))"),"")</f>
        <v/>
      </c>
      <c r="K17" s="147" t="str">
        <f>IFERROR(__xludf.DUMMYFUNCTION("IF(ISBLANK(A17),IFERROR(1/0),IF(COUNT(FILTER(G:G,((A:A=A17)*(B:B=""V""))))&gt;1,TRUNC(N17*G17/SUM(FILTER(N:N,((A:A=A17)*(B:B=""V"")))),3),G17))"),"")</f>
        <v/>
      </c>
      <c r="L17" s="148" t="str">
        <f>IFERROR(__xludf.DUMMYFUNCTION("if($C17="""","""",iferror(if(row()&lt;&gt;2,INDEX(arrayformula(filter($M$2:$M16,$C$2:$C16&lt;&gt;"""",row($C$2:$C16)=max(if($C$2:$C16=C17,row($C$2:$C16),0)))) ,1),0),0))"),"")</f>
        <v/>
      </c>
      <c r="M17" s="148" t="str">
        <f t="shared" si="1"/>
        <v/>
      </c>
      <c r="N17" s="147" t="str">
        <f t="shared" si="2"/>
        <v/>
      </c>
      <c r="O17" s="147" t="str">
        <f t="shared" si="3"/>
        <v/>
      </c>
      <c r="P17" s="147" t="str">
        <f>IFERROR(__xludf.DUMMYFUNCTION("if(C17="""","""",iferror(if(row()&lt;&gt;2,INDEX(arrayformula(filter($Q$2:$Q16,$C$2:$C16&lt;&gt;"""",row($C$2:$C16)=max(if($C$2:$C16=C17,row($C$2:$C16),0)))) ,1),0),0))"),"")</f>
        <v/>
      </c>
      <c r="Q17" s="147" t="str">
        <f t="shared" si="4"/>
        <v/>
      </c>
      <c r="R17" s="149" t="str">
        <f t="shared" si="5"/>
        <v/>
      </c>
      <c r="S17" s="147" t="str">
        <f t="shared" si="6"/>
        <v/>
      </c>
      <c r="T17" s="147" t="str">
        <f t="shared" si="7"/>
        <v/>
      </c>
      <c r="U17" s="150" t="str">
        <f t="shared" si="8"/>
        <v/>
      </c>
      <c r="V17" s="151" t="str">
        <f>IFERROR(VLOOKUP(C17,Ativos!$A$1:$G2000,5,),)</f>
        <v/>
      </c>
    </row>
    <row r="18" ht="21.0" customHeight="1">
      <c r="A18" s="134"/>
      <c r="B18" s="135"/>
      <c r="C18" s="136"/>
      <c r="D18" s="137"/>
      <c r="E18" s="138"/>
      <c r="F18" s="138"/>
      <c r="G18" s="139"/>
      <c r="H18" s="140"/>
      <c r="I18" s="141"/>
      <c r="J18" s="147" t="str">
        <f>IFERROR(__xludf.DUMMYFUNCTION("IF(ISBLANK(A18),IFERROR(1/0),IF(COUNT(FILTER(F:F,A:A=A18))&gt;1,TRUNC(N18*F18/SUM(FILTER(N:N,A:A=A18)),3),F18))"),"")</f>
        <v/>
      </c>
      <c r="K18" s="147" t="str">
        <f>IFERROR(__xludf.DUMMYFUNCTION("IF(ISBLANK(A18),IFERROR(1/0),IF(COUNT(FILTER(G:G,((A:A=A18)*(B:B=""V""))))&gt;1,TRUNC(N18*G18/SUM(FILTER(N:N,((A:A=A18)*(B:B=""V"")))),3),G18))"),"")</f>
        <v/>
      </c>
      <c r="L18" s="148" t="str">
        <f>IFERROR(__xludf.DUMMYFUNCTION("if($C18="""","""",iferror(if(row()&lt;&gt;2,INDEX(arrayformula(filter($M$2:$M17,$C$2:$C17&lt;&gt;"""",row($C$2:$C17)=max(if($C$2:$C17=C18,row($C$2:$C17),0)))) ,1),0),0))"),"")</f>
        <v/>
      </c>
      <c r="M18" s="148" t="str">
        <f t="shared" si="1"/>
        <v/>
      </c>
      <c r="N18" s="147" t="str">
        <f t="shared" si="2"/>
        <v/>
      </c>
      <c r="O18" s="147" t="str">
        <f t="shared" si="3"/>
        <v/>
      </c>
      <c r="P18" s="147" t="str">
        <f>IFERROR(__xludf.DUMMYFUNCTION("if(C18="""","""",iferror(if(row()&lt;&gt;2,INDEX(arrayformula(filter($Q$2:$Q17,$C$2:$C17&lt;&gt;"""",row($C$2:$C17)=max(if($C$2:$C17=C18,row($C$2:$C17),0)))) ,1),0),0))"),"")</f>
        <v/>
      </c>
      <c r="Q18" s="147" t="str">
        <f t="shared" si="4"/>
        <v/>
      </c>
      <c r="R18" s="149" t="str">
        <f t="shared" si="5"/>
        <v/>
      </c>
      <c r="S18" s="147" t="str">
        <f t="shared" si="6"/>
        <v/>
      </c>
      <c r="T18" s="147" t="str">
        <f t="shared" si="7"/>
        <v/>
      </c>
      <c r="U18" s="150" t="str">
        <f t="shared" si="8"/>
        <v/>
      </c>
      <c r="V18" s="151" t="str">
        <f>IFERROR(VLOOKUP(C18,Ativos!$A$1:$G2000,5,),)</f>
        <v/>
      </c>
    </row>
    <row r="19" ht="21.0" customHeight="1">
      <c r="A19" s="134"/>
      <c r="B19" s="135"/>
      <c r="C19" s="136"/>
      <c r="D19" s="137"/>
      <c r="E19" s="138"/>
      <c r="F19" s="138"/>
      <c r="G19" s="139"/>
      <c r="H19" s="140"/>
      <c r="I19" s="141"/>
      <c r="J19" s="147" t="str">
        <f>IFERROR(__xludf.DUMMYFUNCTION("IF(ISBLANK(A19),IFERROR(1/0),IF(COUNT(FILTER(F:F,A:A=A19))&gt;1,TRUNC(N19*F19/SUM(FILTER(N:N,A:A=A19)),3),F19))"),"")</f>
        <v/>
      </c>
      <c r="K19" s="147" t="str">
        <f>IFERROR(__xludf.DUMMYFUNCTION("IF(ISBLANK(A19),IFERROR(1/0),IF(COUNT(FILTER(G:G,((A:A=A19)*(B:B=""V""))))&gt;1,TRUNC(N19*G19/SUM(FILTER(N:N,((A:A=A19)*(B:B=""V"")))),3),G19))"),"")</f>
        <v/>
      </c>
      <c r="L19" s="148" t="str">
        <f>IFERROR(__xludf.DUMMYFUNCTION("if($C19="""","""",iferror(if(row()&lt;&gt;2,INDEX(arrayformula(filter($M$2:$M18,$C$2:$C18&lt;&gt;"""",row($C$2:$C18)=max(if($C$2:$C18=C19,row($C$2:$C18),0)))) ,1),0),0))"),"")</f>
        <v/>
      </c>
      <c r="M19" s="148" t="str">
        <f t="shared" si="1"/>
        <v/>
      </c>
      <c r="N19" s="147" t="str">
        <f t="shared" si="2"/>
        <v/>
      </c>
      <c r="O19" s="147" t="str">
        <f t="shared" si="3"/>
        <v/>
      </c>
      <c r="P19" s="147" t="str">
        <f>IFERROR(__xludf.DUMMYFUNCTION("if(C19="""","""",iferror(if(row()&lt;&gt;2,INDEX(arrayformula(filter($Q$2:$Q18,$C$2:$C18&lt;&gt;"""",row($C$2:$C18)=max(if($C$2:$C18=C19,row($C$2:$C18),0)))) ,1),0),0))"),"")</f>
        <v/>
      </c>
      <c r="Q19" s="147" t="str">
        <f t="shared" si="4"/>
        <v/>
      </c>
      <c r="R19" s="149" t="str">
        <f t="shared" si="5"/>
        <v/>
      </c>
      <c r="S19" s="147" t="str">
        <f t="shared" si="6"/>
        <v/>
      </c>
      <c r="T19" s="147" t="str">
        <f t="shared" si="7"/>
        <v/>
      </c>
      <c r="U19" s="150" t="str">
        <f t="shared" si="8"/>
        <v/>
      </c>
      <c r="V19" s="151" t="str">
        <f>IFERROR(VLOOKUP(C19,Ativos!$A$1:$G2000,5,),)</f>
        <v/>
      </c>
    </row>
    <row r="20" ht="21.0" customHeight="1">
      <c r="A20" s="134"/>
      <c r="B20" s="135"/>
      <c r="C20" s="136"/>
      <c r="D20" s="137"/>
      <c r="E20" s="138"/>
      <c r="F20" s="138"/>
      <c r="G20" s="139"/>
      <c r="H20" s="140"/>
      <c r="I20" s="141"/>
      <c r="J20" s="147" t="str">
        <f>IFERROR(__xludf.DUMMYFUNCTION("IF(ISBLANK(A20),IFERROR(1/0),IF(COUNT(FILTER(F:F,A:A=A20))&gt;1,TRUNC(N20*F20/SUM(FILTER(N:N,A:A=A20)),3),F20))"),"")</f>
        <v/>
      </c>
      <c r="K20" s="147" t="str">
        <f>IFERROR(__xludf.DUMMYFUNCTION("IF(ISBLANK(A20),IFERROR(1/0),IF(COUNT(FILTER(G:G,((A:A=A20)*(B:B=""V""))))&gt;1,TRUNC(N20*G20/SUM(FILTER(N:N,((A:A=A20)*(B:B=""V"")))),3),G20))"),"")</f>
        <v/>
      </c>
      <c r="L20" s="148" t="str">
        <f>IFERROR(__xludf.DUMMYFUNCTION("if($C20="""","""",iferror(if(row()&lt;&gt;2,INDEX(arrayformula(filter($M$2:$M19,$C$2:$C19&lt;&gt;"""",row($C$2:$C19)=max(if($C$2:$C19=C20,row($C$2:$C19),0)))) ,1),0),0))"),"")</f>
        <v/>
      </c>
      <c r="M20" s="148" t="str">
        <f t="shared" si="1"/>
        <v/>
      </c>
      <c r="N20" s="147" t="str">
        <f t="shared" si="2"/>
        <v/>
      </c>
      <c r="O20" s="147" t="str">
        <f t="shared" si="3"/>
        <v/>
      </c>
      <c r="P20" s="147" t="str">
        <f>IFERROR(__xludf.DUMMYFUNCTION("if(C20="""","""",iferror(if(row()&lt;&gt;2,INDEX(arrayformula(filter($Q$2:$Q19,$C$2:$C19&lt;&gt;"""",row($C$2:$C19)=max(if($C$2:$C19=C20,row($C$2:$C19),0)))) ,1),0),0))"),"")</f>
        <v/>
      </c>
      <c r="Q20" s="147" t="str">
        <f t="shared" si="4"/>
        <v/>
      </c>
      <c r="R20" s="149" t="str">
        <f t="shared" si="5"/>
        <v/>
      </c>
      <c r="S20" s="147" t="str">
        <f t="shared" si="6"/>
        <v/>
      </c>
      <c r="T20" s="147" t="str">
        <f t="shared" si="7"/>
        <v/>
      </c>
      <c r="U20" s="150" t="str">
        <f t="shared" si="8"/>
        <v/>
      </c>
      <c r="V20" s="151" t="str">
        <f>IFERROR(VLOOKUP(C20,Ativos!$A$1:$G2000,5,),)</f>
        <v/>
      </c>
    </row>
    <row r="21" ht="21.0" customHeight="1">
      <c r="A21" s="134"/>
      <c r="B21" s="135"/>
      <c r="C21" s="136"/>
      <c r="D21" s="137"/>
      <c r="E21" s="138"/>
      <c r="F21" s="138"/>
      <c r="G21" s="139"/>
      <c r="H21" s="140"/>
      <c r="I21" s="141"/>
      <c r="J21" s="147" t="str">
        <f>IFERROR(__xludf.DUMMYFUNCTION("IF(ISBLANK(A21),IFERROR(1/0),IF(COUNT(FILTER(F:F,A:A=A21))&gt;1,TRUNC(N21*F21/SUM(FILTER(N:N,A:A=A21)),3),F21))"),"")</f>
        <v/>
      </c>
      <c r="K21" s="147" t="str">
        <f>IFERROR(__xludf.DUMMYFUNCTION("IF(ISBLANK(A21),IFERROR(1/0),IF(COUNT(FILTER(G:G,((A:A=A21)*(B:B=""V""))))&gt;1,TRUNC(N21*G21/SUM(FILTER(N:N,((A:A=A21)*(B:B=""V"")))),3),G21))"),"")</f>
        <v/>
      </c>
      <c r="L21" s="148" t="str">
        <f>IFERROR(__xludf.DUMMYFUNCTION("if($C21="""","""",iferror(if(row()&lt;&gt;2,INDEX(arrayformula(filter($M$2:$M20,$C$2:$C20&lt;&gt;"""",row($C$2:$C20)=max(if($C$2:$C20=C21,row($C$2:$C20),0)))) ,1),0),0))"),"")</f>
        <v/>
      </c>
      <c r="M21" s="148" t="str">
        <f t="shared" si="1"/>
        <v/>
      </c>
      <c r="N21" s="147" t="str">
        <f t="shared" si="2"/>
        <v/>
      </c>
      <c r="O21" s="147" t="str">
        <f t="shared" si="3"/>
        <v/>
      </c>
      <c r="P21" s="147" t="str">
        <f>IFERROR(__xludf.DUMMYFUNCTION("if(C21="""","""",iferror(if(row()&lt;&gt;2,INDEX(arrayformula(filter($Q$2:$Q20,$C$2:$C20&lt;&gt;"""",row($C$2:$C20)=max(if($C$2:$C20=C21,row($C$2:$C20),0)))) ,1),0),0))"),"")</f>
        <v/>
      </c>
      <c r="Q21" s="147" t="str">
        <f t="shared" si="4"/>
        <v/>
      </c>
      <c r="R21" s="149" t="str">
        <f t="shared" si="5"/>
        <v/>
      </c>
      <c r="S21" s="147" t="str">
        <f t="shared" si="6"/>
        <v/>
      </c>
      <c r="T21" s="147" t="str">
        <f t="shared" si="7"/>
        <v/>
      </c>
      <c r="U21" s="150" t="str">
        <f t="shared" si="8"/>
        <v/>
      </c>
      <c r="V21" s="151" t="str">
        <f>IFERROR(VLOOKUP(C21,Ativos!$A$1:$G2000,5,),)</f>
        <v/>
      </c>
    </row>
    <row r="22" ht="21.0" customHeight="1">
      <c r="A22" s="134"/>
      <c r="B22" s="135"/>
      <c r="C22" s="136"/>
      <c r="D22" s="137"/>
      <c r="E22" s="138"/>
      <c r="F22" s="138"/>
      <c r="G22" s="139"/>
      <c r="H22" s="140"/>
      <c r="I22" s="141"/>
      <c r="J22" s="147" t="str">
        <f>IFERROR(__xludf.DUMMYFUNCTION("IF(ISBLANK(A22),IFERROR(1/0),IF(COUNT(FILTER(F:F,A:A=A22))&gt;1,TRUNC(N22*F22/SUM(FILTER(N:N,A:A=A22)),3),F22))"),"")</f>
        <v/>
      </c>
      <c r="K22" s="147" t="str">
        <f>IFERROR(__xludf.DUMMYFUNCTION("IF(ISBLANK(A22),IFERROR(1/0),IF(COUNT(FILTER(G:G,((A:A=A22)*(B:B=""V""))))&gt;1,TRUNC(N22*G22/SUM(FILTER(N:N,((A:A=A22)*(B:B=""V"")))),3),G22))"),"")</f>
        <v/>
      </c>
      <c r="L22" s="148" t="str">
        <f>IFERROR(__xludf.DUMMYFUNCTION("if($C22="""","""",iferror(if(row()&lt;&gt;2,INDEX(arrayformula(filter($M$2:$M21,$C$2:$C21&lt;&gt;"""",row($C$2:$C21)=max(if($C$2:$C21=C22,row($C$2:$C21),0)))) ,1),0),0))"),"")</f>
        <v/>
      </c>
      <c r="M22" s="148" t="str">
        <f t="shared" si="1"/>
        <v/>
      </c>
      <c r="N22" s="147" t="str">
        <f t="shared" si="2"/>
        <v/>
      </c>
      <c r="O22" s="147" t="str">
        <f t="shared" si="3"/>
        <v/>
      </c>
      <c r="P22" s="147" t="str">
        <f>IFERROR(__xludf.DUMMYFUNCTION("if(C22="""","""",iferror(if(row()&lt;&gt;2,INDEX(arrayformula(filter($Q$2:$Q21,$C$2:$C21&lt;&gt;"""",row($C$2:$C21)=max(if($C$2:$C21=C22,row($C$2:$C21),0)))) ,1),0),0))"),"")</f>
        <v/>
      </c>
      <c r="Q22" s="147" t="str">
        <f t="shared" si="4"/>
        <v/>
      </c>
      <c r="R22" s="149" t="str">
        <f t="shared" si="5"/>
        <v/>
      </c>
      <c r="S22" s="147" t="str">
        <f t="shared" si="6"/>
        <v/>
      </c>
      <c r="T22" s="147" t="str">
        <f t="shared" si="7"/>
        <v/>
      </c>
      <c r="U22" s="150" t="str">
        <f t="shared" si="8"/>
        <v/>
      </c>
      <c r="V22" s="151" t="str">
        <f>IFERROR(VLOOKUP(C22,Ativos!$A$1:$G2000,5,),)</f>
        <v/>
      </c>
    </row>
    <row r="23" ht="21.0" customHeight="1">
      <c r="A23" s="134"/>
      <c r="B23" s="135"/>
      <c r="C23" s="136"/>
      <c r="D23" s="137"/>
      <c r="E23" s="138"/>
      <c r="F23" s="138"/>
      <c r="G23" s="139"/>
      <c r="H23" s="140"/>
      <c r="I23" s="141"/>
      <c r="J23" s="147" t="str">
        <f>IFERROR(__xludf.DUMMYFUNCTION("IF(ISBLANK(A23),IFERROR(1/0),IF(COUNT(FILTER(F:F,A:A=A23))&gt;1,TRUNC(N23*F23/SUM(FILTER(N:N,A:A=A23)),3),F23))"),"")</f>
        <v/>
      </c>
      <c r="K23" s="147" t="str">
        <f>IFERROR(__xludf.DUMMYFUNCTION("IF(ISBLANK(A23),IFERROR(1/0),IF(COUNT(FILTER(G:G,((A:A=A23)*(B:B=""V""))))&gt;1,TRUNC(N23*G23/SUM(FILTER(N:N,((A:A=A23)*(B:B=""V"")))),3),G23))"),"")</f>
        <v/>
      </c>
      <c r="L23" s="148" t="str">
        <f>IFERROR(__xludf.DUMMYFUNCTION("if($C23="""","""",iferror(if(row()&lt;&gt;2,INDEX(arrayformula(filter($M$2:$M22,$C$2:$C22&lt;&gt;"""",row($C$2:$C22)=max(if($C$2:$C22=C23,row($C$2:$C22),0)))) ,1),0),0))"),"")</f>
        <v/>
      </c>
      <c r="M23" s="148" t="str">
        <f t="shared" si="1"/>
        <v/>
      </c>
      <c r="N23" s="147" t="str">
        <f t="shared" si="2"/>
        <v/>
      </c>
      <c r="O23" s="147" t="str">
        <f t="shared" si="3"/>
        <v/>
      </c>
      <c r="P23" s="147" t="str">
        <f>IFERROR(__xludf.DUMMYFUNCTION("if(C23="""","""",iferror(if(row()&lt;&gt;2,INDEX(arrayformula(filter($Q$2:$Q22,$C$2:$C22&lt;&gt;"""",row($C$2:$C22)=max(if($C$2:$C22=C23,row($C$2:$C22),0)))) ,1),0),0))"),"")</f>
        <v/>
      </c>
      <c r="Q23" s="147" t="str">
        <f t="shared" si="4"/>
        <v/>
      </c>
      <c r="R23" s="149" t="str">
        <f t="shared" si="5"/>
        <v/>
      </c>
      <c r="S23" s="147" t="str">
        <f t="shared" si="6"/>
        <v/>
      </c>
      <c r="T23" s="147" t="str">
        <f t="shared" si="7"/>
        <v/>
      </c>
      <c r="U23" s="150" t="str">
        <f t="shared" si="8"/>
        <v/>
      </c>
      <c r="V23" s="151" t="str">
        <f>IFERROR(VLOOKUP(C23,Ativos!$A$1:$G2000,5,),)</f>
        <v/>
      </c>
    </row>
    <row r="24" ht="21.0" customHeight="1">
      <c r="A24" s="134"/>
      <c r="B24" s="135"/>
      <c r="C24" s="136"/>
      <c r="D24" s="137"/>
      <c r="E24" s="138"/>
      <c r="F24" s="138"/>
      <c r="G24" s="139"/>
      <c r="H24" s="140"/>
      <c r="I24" s="141"/>
      <c r="J24" s="147" t="str">
        <f>IFERROR(__xludf.DUMMYFUNCTION("IF(ISBLANK(A24),IFERROR(1/0),IF(COUNT(FILTER(F:F,A:A=A24))&gt;1,TRUNC(N24*F24/SUM(FILTER(N:N,A:A=A24)),3),F24))"),"")</f>
        <v/>
      </c>
      <c r="K24" s="147" t="str">
        <f>IFERROR(__xludf.DUMMYFUNCTION("IF(ISBLANK(A24),IFERROR(1/0),IF(COUNT(FILTER(G:G,((A:A=A24)*(B:B=""V""))))&gt;1,TRUNC(N24*G24/SUM(FILTER(N:N,((A:A=A24)*(B:B=""V"")))),3),G24))"),"")</f>
        <v/>
      </c>
      <c r="L24" s="148" t="str">
        <f>IFERROR(__xludf.DUMMYFUNCTION("if($C24="""","""",iferror(if(row()&lt;&gt;2,INDEX(arrayformula(filter($M$2:$M23,$C$2:$C23&lt;&gt;"""",row($C$2:$C23)=max(if($C$2:$C23=C24,row($C$2:$C23),0)))) ,1),0),0))"),"")</f>
        <v/>
      </c>
      <c r="M24" s="148" t="str">
        <f t="shared" si="1"/>
        <v/>
      </c>
      <c r="N24" s="147" t="str">
        <f t="shared" si="2"/>
        <v/>
      </c>
      <c r="O24" s="147" t="str">
        <f t="shared" si="3"/>
        <v/>
      </c>
      <c r="P24" s="147" t="str">
        <f>IFERROR(__xludf.DUMMYFUNCTION("if(C24="""","""",iferror(if(row()&lt;&gt;2,INDEX(arrayformula(filter($Q$2:$Q23,$C$2:$C23&lt;&gt;"""",row($C$2:$C23)=max(if($C$2:$C23=C24,row($C$2:$C23),0)))) ,1),0),0))"),"")</f>
        <v/>
      </c>
      <c r="Q24" s="147" t="str">
        <f t="shared" si="4"/>
        <v/>
      </c>
      <c r="R24" s="149" t="str">
        <f t="shared" si="5"/>
        <v/>
      </c>
      <c r="S24" s="147" t="str">
        <f t="shared" si="6"/>
        <v/>
      </c>
      <c r="T24" s="147" t="str">
        <f t="shared" si="7"/>
        <v/>
      </c>
      <c r="U24" s="150" t="str">
        <f t="shared" si="8"/>
        <v/>
      </c>
      <c r="V24" s="151" t="str">
        <f>IFERROR(VLOOKUP(C24,Ativos!$A$1:$G2000,5,),)</f>
        <v/>
      </c>
    </row>
    <row r="25" ht="21.0" customHeight="1">
      <c r="A25" s="134"/>
      <c r="B25" s="135"/>
      <c r="C25" s="136"/>
      <c r="D25" s="137"/>
      <c r="E25" s="138"/>
      <c r="F25" s="138"/>
      <c r="G25" s="139"/>
      <c r="H25" s="140"/>
      <c r="I25" s="141"/>
      <c r="J25" s="147" t="str">
        <f>IFERROR(__xludf.DUMMYFUNCTION("IF(ISBLANK(A25),IFERROR(1/0),IF(COUNT(FILTER(F:F,A:A=A25))&gt;1,TRUNC(N25*F25/SUM(FILTER(N:N,A:A=A25)),3),F25))"),"")</f>
        <v/>
      </c>
      <c r="K25" s="147" t="str">
        <f>IFERROR(__xludf.DUMMYFUNCTION("IF(ISBLANK(A25),IFERROR(1/0),IF(COUNT(FILTER(G:G,((A:A=A25)*(B:B=""V""))))&gt;1,TRUNC(N25*G25/SUM(FILTER(N:N,((A:A=A25)*(B:B=""V"")))),3),G25))"),"")</f>
        <v/>
      </c>
      <c r="L25" s="148" t="str">
        <f>IFERROR(__xludf.DUMMYFUNCTION("if($C25="""","""",iferror(if(row()&lt;&gt;2,INDEX(arrayformula(filter($M$2:$M24,$C$2:$C24&lt;&gt;"""",row($C$2:$C24)=max(if($C$2:$C24=C25,row($C$2:$C24),0)))) ,1),0),0))"),"")</f>
        <v/>
      </c>
      <c r="M25" s="148" t="str">
        <f t="shared" si="1"/>
        <v/>
      </c>
      <c r="N25" s="147" t="str">
        <f t="shared" si="2"/>
        <v/>
      </c>
      <c r="O25" s="147" t="str">
        <f t="shared" si="3"/>
        <v/>
      </c>
      <c r="P25" s="147" t="str">
        <f>IFERROR(__xludf.DUMMYFUNCTION("if(C25="""","""",iferror(if(row()&lt;&gt;2,INDEX(arrayformula(filter($Q$2:$Q24,$C$2:$C24&lt;&gt;"""",row($C$2:$C24)=max(if($C$2:$C24=C25,row($C$2:$C24),0)))) ,1),0),0))"),"")</f>
        <v/>
      </c>
      <c r="Q25" s="147" t="str">
        <f t="shared" si="4"/>
        <v/>
      </c>
      <c r="R25" s="149" t="str">
        <f t="shared" si="5"/>
        <v/>
      </c>
      <c r="S25" s="147" t="str">
        <f t="shared" si="6"/>
        <v/>
      </c>
      <c r="T25" s="147" t="str">
        <f t="shared" si="7"/>
        <v/>
      </c>
      <c r="U25" s="150" t="str">
        <f t="shared" si="8"/>
        <v/>
      </c>
      <c r="V25" s="151" t="str">
        <f>IFERROR(VLOOKUP(C25,Ativos!$A$1:$G2000,5,),)</f>
        <v/>
      </c>
    </row>
    <row r="26" ht="21.0" customHeight="1">
      <c r="A26" s="134"/>
      <c r="B26" s="135"/>
      <c r="C26" s="136"/>
      <c r="D26" s="137"/>
      <c r="E26" s="138"/>
      <c r="F26" s="138"/>
      <c r="G26" s="139"/>
      <c r="H26" s="140"/>
      <c r="I26" s="141"/>
      <c r="J26" s="147" t="str">
        <f>IFERROR(__xludf.DUMMYFUNCTION("IF(ISBLANK(A26),IFERROR(1/0),IF(COUNT(FILTER(F:F,A:A=A26))&gt;1,TRUNC(N26*F26/SUM(FILTER(N:N,A:A=A26)),3),F26))"),"")</f>
        <v/>
      </c>
      <c r="K26" s="147" t="str">
        <f>IFERROR(__xludf.DUMMYFUNCTION("IF(ISBLANK(A26),IFERROR(1/0),IF(COUNT(FILTER(G:G,((A:A=A26)*(B:B=""V""))))&gt;1,TRUNC(N26*G26/SUM(FILTER(N:N,((A:A=A26)*(B:B=""V"")))),3),G26))"),"")</f>
        <v/>
      </c>
      <c r="L26" s="148" t="str">
        <f>IFERROR(__xludf.DUMMYFUNCTION("if($C26="""","""",iferror(if(row()&lt;&gt;2,INDEX(arrayformula(filter($M$2:$M25,$C$2:$C25&lt;&gt;"""",row($C$2:$C25)=max(if($C$2:$C25=C26,row($C$2:$C25),0)))) ,1),0),0))"),"")</f>
        <v/>
      </c>
      <c r="M26" s="148" t="str">
        <f t="shared" si="1"/>
        <v/>
      </c>
      <c r="N26" s="147" t="str">
        <f t="shared" si="2"/>
        <v/>
      </c>
      <c r="O26" s="147" t="str">
        <f t="shared" si="3"/>
        <v/>
      </c>
      <c r="P26" s="147" t="str">
        <f>IFERROR(__xludf.DUMMYFUNCTION("if(C26="""","""",iferror(if(row()&lt;&gt;2,INDEX(arrayformula(filter($Q$2:$Q25,$C$2:$C25&lt;&gt;"""",row($C$2:$C25)=max(if($C$2:$C25=C26,row($C$2:$C25),0)))) ,1),0),0))"),"")</f>
        <v/>
      </c>
      <c r="Q26" s="147" t="str">
        <f t="shared" si="4"/>
        <v/>
      </c>
      <c r="R26" s="149" t="str">
        <f t="shared" si="5"/>
        <v/>
      </c>
      <c r="S26" s="147" t="str">
        <f t="shared" si="6"/>
        <v/>
      </c>
      <c r="T26" s="147" t="str">
        <f t="shared" si="7"/>
        <v/>
      </c>
      <c r="U26" s="150" t="str">
        <f t="shared" si="8"/>
        <v/>
      </c>
      <c r="V26" s="151" t="str">
        <f>IFERROR(VLOOKUP(C26,Ativos!$A$1:$G2000,5,),)</f>
        <v/>
      </c>
    </row>
    <row r="27" ht="21.0" customHeight="1">
      <c r="A27" s="134"/>
      <c r="B27" s="135"/>
      <c r="C27" s="136"/>
      <c r="D27" s="137"/>
      <c r="E27" s="138"/>
      <c r="F27" s="138"/>
      <c r="G27" s="139"/>
      <c r="H27" s="140"/>
      <c r="I27" s="141"/>
      <c r="J27" s="147" t="str">
        <f>IFERROR(__xludf.DUMMYFUNCTION("IF(ISBLANK(A27),IFERROR(1/0),IF(COUNT(FILTER(F:F,A:A=A27))&gt;1,TRUNC(N27*F27/SUM(FILTER(N:N,A:A=A27)),3),F27))"),"")</f>
        <v/>
      </c>
      <c r="K27" s="147" t="str">
        <f>IFERROR(__xludf.DUMMYFUNCTION("IF(ISBLANK(A27),IFERROR(1/0),IF(COUNT(FILTER(G:G,((A:A=A27)*(B:B=""V""))))&gt;1,TRUNC(N27*G27/SUM(FILTER(N:N,((A:A=A27)*(B:B=""V"")))),3),G27))"),"")</f>
        <v/>
      </c>
      <c r="L27" s="148" t="str">
        <f>IFERROR(__xludf.DUMMYFUNCTION("if($C27="""","""",iferror(if(row()&lt;&gt;2,INDEX(arrayformula(filter($M$2:$M26,$C$2:$C26&lt;&gt;"""",row($C$2:$C26)=max(if($C$2:$C26=C27,row($C$2:$C26),0)))) ,1),0),0))"),"")</f>
        <v/>
      </c>
      <c r="M27" s="148" t="str">
        <f t="shared" si="1"/>
        <v/>
      </c>
      <c r="N27" s="147" t="str">
        <f t="shared" si="2"/>
        <v/>
      </c>
      <c r="O27" s="147" t="str">
        <f t="shared" si="3"/>
        <v/>
      </c>
      <c r="P27" s="147" t="str">
        <f>IFERROR(__xludf.DUMMYFUNCTION("if(C27="""","""",iferror(if(row()&lt;&gt;2,INDEX(arrayformula(filter($Q$2:$Q26,$C$2:$C26&lt;&gt;"""",row($C$2:$C26)=max(if($C$2:$C26=C27,row($C$2:$C26),0)))) ,1),0),0))"),"")</f>
        <v/>
      </c>
      <c r="Q27" s="147" t="str">
        <f t="shared" si="4"/>
        <v/>
      </c>
      <c r="R27" s="149" t="str">
        <f t="shared" si="5"/>
        <v/>
      </c>
      <c r="S27" s="147" t="str">
        <f t="shared" si="6"/>
        <v/>
      </c>
      <c r="T27" s="147" t="str">
        <f t="shared" si="7"/>
        <v/>
      </c>
      <c r="U27" s="150" t="str">
        <f t="shared" si="8"/>
        <v/>
      </c>
      <c r="V27" s="151" t="str">
        <f>IFERROR(VLOOKUP(C27,Ativos!$A$1:$G2000,5,),)</f>
        <v/>
      </c>
    </row>
    <row r="28" ht="21.0" customHeight="1">
      <c r="A28" s="134"/>
      <c r="B28" s="135"/>
      <c r="C28" s="136"/>
      <c r="D28" s="137"/>
      <c r="E28" s="138"/>
      <c r="F28" s="138"/>
      <c r="G28" s="139"/>
      <c r="H28" s="140"/>
      <c r="I28" s="141"/>
      <c r="J28" s="147" t="str">
        <f>IFERROR(__xludf.DUMMYFUNCTION("IF(ISBLANK(A28),IFERROR(1/0),IF(COUNT(FILTER(F:F,A:A=A28))&gt;1,TRUNC(N28*F28/SUM(FILTER(N:N,A:A=A28)),3),F28))"),"")</f>
        <v/>
      </c>
      <c r="K28" s="147" t="str">
        <f>IFERROR(__xludf.DUMMYFUNCTION("IF(ISBLANK(A28),IFERROR(1/0),IF(COUNT(FILTER(G:G,((A:A=A28)*(B:B=""V""))))&gt;1,TRUNC(N28*G28/SUM(FILTER(N:N,((A:A=A28)*(B:B=""V"")))),3),G28))"),"")</f>
        <v/>
      </c>
      <c r="L28" s="148" t="str">
        <f>IFERROR(__xludf.DUMMYFUNCTION("if($C28="""","""",iferror(if(row()&lt;&gt;2,INDEX(arrayformula(filter($M$2:$M27,$C$2:$C27&lt;&gt;"""",row($C$2:$C27)=max(if($C$2:$C27=C28,row($C$2:$C27),0)))) ,1),0),0))"),"")</f>
        <v/>
      </c>
      <c r="M28" s="148" t="str">
        <f t="shared" si="1"/>
        <v/>
      </c>
      <c r="N28" s="147" t="str">
        <f t="shared" si="2"/>
        <v/>
      </c>
      <c r="O28" s="147" t="str">
        <f t="shared" si="3"/>
        <v/>
      </c>
      <c r="P28" s="147" t="str">
        <f>IFERROR(__xludf.DUMMYFUNCTION("if(C28="""","""",iferror(if(row()&lt;&gt;2,INDEX(arrayformula(filter($Q$2:$Q27,$C$2:$C27&lt;&gt;"""",row($C$2:$C27)=max(if($C$2:$C27=C28,row($C$2:$C27),0)))) ,1),0),0))"),"")</f>
        <v/>
      </c>
      <c r="Q28" s="147" t="str">
        <f t="shared" si="4"/>
        <v/>
      </c>
      <c r="R28" s="149" t="str">
        <f t="shared" si="5"/>
        <v/>
      </c>
      <c r="S28" s="147" t="str">
        <f t="shared" si="6"/>
        <v/>
      </c>
      <c r="T28" s="147" t="str">
        <f t="shared" si="7"/>
        <v/>
      </c>
      <c r="U28" s="150" t="str">
        <f t="shared" si="8"/>
        <v/>
      </c>
      <c r="V28" s="151" t="str">
        <f>IFERROR(VLOOKUP(C28,Ativos!$A$1:$G2000,5,),)</f>
        <v/>
      </c>
    </row>
    <row r="29" ht="21.0" customHeight="1">
      <c r="A29" s="134"/>
      <c r="B29" s="135"/>
      <c r="C29" s="136"/>
      <c r="D29" s="137"/>
      <c r="E29" s="138"/>
      <c r="F29" s="138"/>
      <c r="G29" s="139"/>
      <c r="H29" s="140"/>
      <c r="I29" s="141"/>
      <c r="J29" s="147" t="str">
        <f>IFERROR(__xludf.DUMMYFUNCTION("IF(ISBLANK(A29),IFERROR(1/0),IF(COUNT(FILTER(F:F,A:A=A29))&gt;1,TRUNC(N29*F29/SUM(FILTER(N:N,A:A=A29)),3),F29))"),"")</f>
        <v/>
      </c>
      <c r="K29" s="147" t="str">
        <f>IFERROR(__xludf.DUMMYFUNCTION("IF(ISBLANK(A29),IFERROR(1/0),IF(COUNT(FILTER(G:G,((A:A=A29)*(B:B=""V""))))&gt;1,TRUNC(N29*G29/SUM(FILTER(N:N,((A:A=A29)*(B:B=""V"")))),3),G29))"),"")</f>
        <v/>
      </c>
      <c r="L29" s="148" t="str">
        <f>IFERROR(__xludf.DUMMYFUNCTION("if($C29="""","""",iferror(if(row()&lt;&gt;2,INDEX(arrayformula(filter($M$2:$M28,$C$2:$C28&lt;&gt;"""",row($C$2:$C28)=max(if($C$2:$C28=C29,row($C$2:$C28),0)))) ,1),0),0))"),"")</f>
        <v/>
      </c>
      <c r="M29" s="148" t="str">
        <f t="shared" si="1"/>
        <v/>
      </c>
      <c r="N29" s="147" t="str">
        <f t="shared" si="2"/>
        <v/>
      </c>
      <c r="O29" s="147" t="str">
        <f t="shared" si="3"/>
        <v/>
      </c>
      <c r="P29" s="147" t="str">
        <f>IFERROR(__xludf.DUMMYFUNCTION("if(C29="""","""",iferror(if(row()&lt;&gt;2,INDEX(arrayformula(filter($Q$2:$Q28,$C$2:$C28&lt;&gt;"""",row($C$2:$C28)=max(if($C$2:$C28=C29,row($C$2:$C28),0)))) ,1),0),0))"),"")</f>
        <v/>
      </c>
      <c r="Q29" s="147" t="str">
        <f t="shared" si="4"/>
        <v/>
      </c>
      <c r="R29" s="149" t="str">
        <f t="shared" si="5"/>
        <v/>
      </c>
      <c r="S29" s="147" t="str">
        <f t="shared" si="6"/>
        <v/>
      </c>
      <c r="T29" s="147" t="str">
        <f t="shared" si="7"/>
        <v/>
      </c>
      <c r="U29" s="150" t="str">
        <f t="shared" si="8"/>
        <v/>
      </c>
      <c r="V29" s="151" t="str">
        <f>IFERROR(VLOOKUP(C29,Ativos!$A$1:$G2000,5,),)</f>
        <v/>
      </c>
    </row>
    <row r="30" ht="21.0" customHeight="1">
      <c r="A30" s="134"/>
      <c r="B30" s="135"/>
      <c r="C30" s="136"/>
      <c r="D30" s="137"/>
      <c r="E30" s="138"/>
      <c r="F30" s="138"/>
      <c r="G30" s="139"/>
      <c r="H30" s="140"/>
      <c r="I30" s="141"/>
      <c r="J30" s="147" t="str">
        <f>IFERROR(__xludf.DUMMYFUNCTION("IF(ISBLANK(A30),IFERROR(1/0),IF(COUNT(FILTER(F:F,A:A=A30))&gt;1,TRUNC(N30*F30/SUM(FILTER(N:N,A:A=A30)),3),F30))"),"")</f>
        <v/>
      </c>
      <c r="K30" s="147" t="str">
        <f>IFERROR(__xludf.DUMMYFUNCTION("IF(ISBLANK(A30),IFERROR(1/0),IF(COUNT(FILTER(G:G,((A:A=A30)*(B:B=""V""))))&gt;1,TRUNC(N30*G30/SUM(FILTER(N:N,((A:A=A30)*(B:B=""V"")))),3),G30))"),"")</f>
        <v/>
      </c>
      <c r="L30" s="148" t="str">
        <f>IFERROR(__xludf.DUMMYFUNCTION("if($C30="""","""",iferror(if(row()&lt;&gt;2,INDEX(arrayformula(filter($M$2:$M29,$C$2:$C29&lt;&gt;"""",row($C$2:$C29)=max(if($C$2:$C29=C30,row($C$2:$C29),0)))) ,1),0),0))"),"")</f>
        <v/>
      </c>
      <c r="M30" s="148" t="str">
        <f t="shared" si="1"/>
        <v/>
      </c>
      <c r="N30" s="147" t="str">
        <f t="shared" si="2"/>
        <v/>
      </c>
      <c r="O30" s="147" t="str">
        <f t="shared" si="3"/>
        <v/>
      </c>
      <c r="P30" s="147" t="str">
        <f>IFERROR(__xludf.DUMMYFUNCTION("if(C30="""","""",iferror(if(row()&lt;&gt;2,INDEX(arrayformula(filter($Q$2:$Q29,$C$2:$C29&lt;&gt;"""",row($C$2:$C29)=max(if($C$2:$C29=C30,row($C$2:$C29),0)))) ,1),0),0))"),"")</f>
        <v/>
      </c>
      <c r="Q30" s="147" t="str">
        <f t="shared" si="4"/>
        <v/>
      </c>
      <c r="R30" s="149" t="str">
        <f t="shared" si="5"/>
        <v/>
      </c>
      <c r="S30" s="147" t="str">
        <f t="shared" si="6"/>
        <v/>
      </c>
      <c r="T30" s="147" t="str">
        <f t="shared" si="7"/>
        <v/>
      </c>
      <c r="U30" s="150" t="str">
        <f t="shared" si="8"/>
        <v/>
      </c>
      <c r="V30" s="151" t="str">
        <f>IFERROR(VLOOKUP(C30,Ativos!$A$1:$G2000,5,),)</f>
        <v/>
      </c>
    </row>
    <row r="31" ht="21.0" customHeight="1">
      <c r="A31" s="134"/>
      <c r="B31" s="135"/>
      <c r="C31" s="136"/>
      <c r="D31" s="137"/>
      <c r="E31" s="138"/>
      <c r="F31" s="138"/>
      <c r="G31" s="139"/>
      <c r="H31" s="140"/>
      <c r="I31" s="141"/>
      <c r="J31" s="147" t="str">
        <f>IFERROR(__xludf.DUMMYFUNCTION("IF(ISBLANK(A31),IFERROR(1/0),IF(COUNT(FILTER(F:F,A:A=A31))&gt;1,TRUNC(N31*F31/SUM(FILTER(N:N,A:A=A31)),3),F31))"),"")</f>
        <v/>
      </c>
      <c r="K31" s="147" t="str">
        <f>IFERROR(__xludf.DUMMYFUNCTION("IF(ISBLANK(A31),IFERROR(1/0),IF(COUNT(FILTER(G:G,((A:A=A31)*(B:B=""V""))))&gt;1,TRUNC(N31*G31/SUM(FILTER(N:N,((A:A=A31)*(B:B=""V"")))),3),G31))"),"")</f>
        <v/>
      </c>
      <c r="L31" s="148" t="str">
        <f>IFERROR(__xludf.DUMMYFUNCTION("if($C31="""","""",iferror(if(row()&lt;&gt;2,INDEX(arrayformula(filter($M$2:$M30,$C$2:$C30&lt;&gt;"""",row($C$2:$C30)=max(if($C$2:$C30=C31,row($C$2:$C30),0)))) ,1),0),0))"),"")</f>
        <v/>
      </c>
      <c r="M31" s="148" t="str">
        <f t="shared" si="1"/>
        <v/>
      </c>
      <c r="N31" s="147" t="str">
        <f t="shared" si="2"/>
        <v/>
      </c>
      <c r="O31" s="147" t="str">
        <f t="shared" si="3"/>
        <v/>
      </c>
      <c r="P31" s="147" t="str">
        <f>IFERROR(__xludf.DUMMYFUNCTION("if(C31="""","""",iferror(if(row()&lt;&gt;2,INDEX(arrayformula(filter($Q$2:$Q30,$C$2:$C30&lt;&gt;"""",row($C$2:$C30)=max(if($C$2:$C30=C31,row($C$2:$C30),0)))) ,1),0),0))"),"")</f>
        <v/>
      </c>
      <c r="Q31" s="147" t="str">
        <f t="shared" si="4"/>
        <v/>
      </c>
      <c r="R31" s="149" t="str">
        <f t="shared" si="5"/>
        <v/>
      </c>
      <c r="S31" s="147" t="str">
        <f t="shared" si="6"/>
        <v/>
      </c>
      <c r="T31" s="147" t="str">
        <f t="shared" si="7"/>
        <v/>
      </c>
      <c r="U31" s="150" t="str">
        <f t="shared" si="8"/>
        <v/>
      </c>
      <c r="V31" s="151" t="str">
        <f>IFERROR(VLOOKUP(C31,Ativos!$A$1:$G2000,5,),)</f>
        <v/>
      </c>
    </row>
    <row r="32" ht="21.0" customHeight="1">
      <c r="A32" s="134"/>
      <c r="B32" s="135"/>
      <c r="C32" s="136"/>
      <c r="D32" s="137"/>
      <c r="E32" s="138"/>
      <c r="F32" s="138"/>
      <c r="G32" s="139"/>
      <c r="H32" s="140"/>
      <c r="I32" s="141"/>
      <c r="J32" s="147" t="str">
        <f>IFERROR(__xludf.DUMMYFUNCTION("IF(ISBLANK(A32),IFERROR(1/0),IF(COUNT(FILTER(F:F,A:A=A32))&gt;1,TRUNC(N32*F32/SUM(FILTER(N:N,A:A=A32)),3),F32))"),"")</f>
        <v/>
      </c>
      <c r="K32" s="147" t="str">
        <f>IFERROR(__xludf.DUMMYFUNCTION("IF(ISBLANK(A32),IFERROR(1/0),IF(COUNT(FILTER(G:G,((A:A=A32)*(B:B=""V""))))&gt;1,TRUNC(N32*G32/SUM(FILTER(N:N,((A:A=A32)*(B:B=""V"")))),3),G32))"),"")</f>
        <v/>
      </c>
      <c r="L32" s="148" t="str">
        <f>IFERROR(__xludf.DUMMYFUNCTION("if($C32="""","""",iferror(if(row()&lt;&gt;2,INDEX(arrayformula(filter($M$2:$M31,$C$2:$C31&lt;&gt;"""",row($C$2:$C31)=max(if($C$2:$C31=C32,row($C$2:$C31),0)))) ,1),0),0))"),"")</f>
        <v/>
      </c>
      <c r="M32" s="148" t="str">
        <f t="shared" si="1"/>
        <v/>
      </c>
      <c r="N32" s="147" t="str">
        <f t="shared" si="2"/>
        <v/>
      </c>
      <c r="O32" s="147" t="str">
        <f t="shared" si="3"/>
        <v/>
      </c>
      <c r="P32" s="147" t="str">
        <f>IFERROR(__xludf.DUMMYFUNCTION("if(C32="""","""",iferror(if(row()&lt;&gt;2,INDEX(arrayformula(filter($Q$2:$Q31,$C$2:$C31&lt;&gt;"""",row($C$2:$C31)=max(if($C$2:$C31=C32,row($C$2:$C31),0)))) ,1),0),0))"),"")</f>
        <v/>
      </c>
      <c r="Q32" s="147" t="str">
        <f t="shared" si="4"/>
        <v/>
      </c>
      <c r="R32" s="149" t="str">
        <f t="shared" si="5"/>
        <v/>
      </c>
      <c r="S32" s="147" t="str">
        <f t="shared" si="6"/>
        <v/>
      </c>
      <c r="T32" s="147" t="str">
        <f t="shared" si="7"/>
        <v/>
      </c>
      <c r="U32" s="150" t="str">
        <f t="shared" si="8"/>
        <v/>
      </c>
      <c r="V32" s="151" t="str">
        <f>IFERROR(VLOOKUP(C32,Ativos!$A$1:$G2000,5,),)</f>
        <v/>
      </c>
    </row>
    <row r="33" ht="21.0" customHeight="1">
      <c r="A33" s="134"/>
      <c r="B33" s="135"/>
      <c r="C33" s="136"/>
      <c r="D33" s="137"/>
      <c r="E33" s="138"/>
      <c r="F33" s="138"/>
      <c r="G33" s="139"/>
      <c r="H33" s="140"/>
      <c r="I33" s="141"/>
      <c r="J33" s="147" t="str">
        <f>IFERROR(__xludf.DUMMYFUNCTION("IF(ISBLANK(A33),IFERROR(1/0),IF(COUNT(FILTER(F:F,A:A=A33))&gt;1,TRUNC(N33*F33/SUM(FILTER(N:N,A:A=A33)),3),F33))"),"")</f>
        <v/>
      </c>
      <c r="K33" s="147" t="str">
        <f>IFERROR(__xludf.DUMMYFUNCTION("IF(ISBLANK(A33),IFERROR(1/0),IF(COUNT(FILTER(G:G,((A:A=A33)*(B:B=""V""))))&gt;1,TRUNC(N33*G33/SUM(FILTER(N:N,((A:A=A33)*(B:B=""V"")))),3),G33))"),"")</f>
        <v/>
      </c>
      <c r="L33" s="148" t="str">
        <f>IFERROR(__xludf.DUMMYFUNCTION("if($C33="""","""",iferror(if(row()&lt;&gt;2,INDEX(arrayformula(filter($M$2:$M32,$C$2:$C32&lt;&gt;"""",row($C$2:$C32)=max(if($C$2:$C32=C33,row($C$2:$C32),0)))) ,1),0),0))"),"")</f>
        <v/>
      </c>
      <c r="M33" s="148" t="str">
        <f t="shared" si="1"/>
        <v/>
      </c>
      <c r="N33" s="147" t="str">
        <f t="shared" si="2"/>
        <v/>
      </c>
      <c r="O33" s="147" t="str">
        <f t="shared" si="3"/>
        <v/>
      </c>
      <c r="P33" s="147" t="str">
        <f>IFERROR(__xludf.DUMMYFUNCTION("if(C33="""","""",iferror(if(row()&lt;&gt;2,INDEX(arrayformula(filter($Q$2:$Q32,$C$2:$C32&lt;&gt;"""",row($C$2:$C32)=max(if($C$2:$C32=C33,row($C$2:$C32),0)))) ,1),0),0))"),"")</f>
        <v/>
      </c>
      <c r="Q33" s="147" t="str">
        <f t="shared" si="4"/>
        <v/>
      </c>
      <c r="R33" s="149" t="str">
        <f t="shared" si="5"/>
        <v/>
      </c>
      <c r="S33" s="147" t="str">
        <f t="shared" si="6"/>
        <v/>
      </c>
      <c r="T33" s="147" t="str">
        <f t="shared" si="7"/>
        <v/>
      </c>
      <c r="U33" s="150" t="str">
        <f t="shared" si="8"/>
        <v/>
      </c>
      <c r="V33" s="151" t="str">
        <f>IFERROR(VLOOKUP(C33,Ativos!$A$1:$G2000,5,),)</f>
        <v/>
      </c>
    </row>
    <row r="34" ht="21.0" customHeight="1">
      <c r="A34" s="134"/>
      <c r="B34" s="135"/>
      <c r="C34" s="136"/>
      <c r="D34" s="137"/>
      <c r="E34" s="138"/>
      <c r="F34" s="138"/>
      <c r="G34" s="139"/>
      <c r="H34" s="140"/>
      <c r="I34" s="141"/>
      <c r="J34" s="147" t="str">
        <f>IFERROR(__xludf.DUMMYFUNCTION("IF(ISBLANK(A34),IFERROR(1/0),IF(COUNT(FILTER(F:F,A:A=A34))&gt;1,TRUNC(N34*F34/SUM(FILTER(N:N,A:A=A34)),3),F34))"),"")</f>
        <v/>
      </c>
      <c r="K34" s="147" t="str">
        <f>IFERROR(__xludf.DUMMYFUNCTION("IF(ISBLANK(A34),IFERROR(1/0),IF(COUNT(FILTER(G:G,((A:A=A34)*(B:B=""V""))))&gt;1,TRUNC(N34*G34/SUM(FILTER(N:N,((A:A=A34)*(B:B=""V"")))),3),G34))"),"")</f>
        <v/>
      </c>
      <c r="L34" s="148" t="str">
        <f>IFERROR(__xludf.DUMMYFUNCTION("if($C34="""","""",iferror(if(row()&lt;&gt;2,INDEX(arrayformula(filter($M$2:$M33,$C$2:$C33&lt;&gt;"""",row($C$2:$C33)=max(if($C$2:$C33=C34,row($C$2:$C33),0)))) ,1),0),0))"),"")</f>
        <v/>
      </c>
      <c r="M34" s="148" t="str">
        <f t="shared" si="1"/>
        <v/>
      </c>
      <c r="N34" s="147" t="str">
        <f t="shared" si="2"/>
        <v/>
      </c>
      <c r="O34" s="147" t="str">
        <f t="shared" si="3"/>
        <v/>
      </c>
      <c r="P34" s="147" t="str">
        <f>IFERROR(__xludf.DUMMYFUNCTION("if(C34="""","""",iferror(if(row()&lt;&gt;2,INDEX(arrayformula(filter($Q$2:$Q33,$C$2:$C33&lt;&gt;"""",row($C$2:$C33)=max(if($C$2:$C33=C34,row($C$2:$C33),0)))) ,1),0),0))"),"")</f>
        <v/>
      </c>
      <c r="Q34" s="147" t="str">
        <f t="shared" si="4"/>
        <v/>
      </c>
      <c r="R34" s="149" t="str">
        <f t="shared" si="5"/>
        <v/>
      </c>
      <c r="S34" s="147" t="str">
        <f t="shared" si="6"/>
        <v/>
      </c>
      <c r="T34" s="147" t="str">
        <f t="shared" si="7"/>
        <v/>
      </c>
      <c r="U34" s="150" t="str">
        <f t="shared" si="8"/>
        <v/>
      </c>
      <c r="V34" s="151" t="str">
        <f>IFERROR(VLOOKUP(C34,Ativos!$A$1:$G2000,5,),)</f>
        <v/>
      </c>
    </row>
    <row r="35" ht="21.0" customHeight="1">
      <c r="A35" s="134"/>
      <c r="B35" s="135"/>
      <c r="C35" s="136"/>
      <c r="D35" s="137"/>
      <c r="E35" s="138"/>
      <c r="F35" s="138"/>
      <c r="G35" s="139"/>
      <c r="H35" s="140"/>
      <c r="I35" s="141"/>
      <c r="J35" s="147" t="str">
        <f>IFERROR(__xludf.DUMMYFUNCTION("IF(ISBLANK(A35),IFERROR(1/0),IF(COUNT(FILTER(F:F,A:A=A35))&gt;1,TRUNC(N35*F35/SUM(FILTER(N:N,A:A=A35)),3),F35))"),"")</f>
        <v/>
      </c>
      <c r="K35" s="147" t="str">
        <f>IFERROR(__xludf.DUMMYFUNCTION("IF(ISBLANK(A35),IFERROR(1/0),IF(COUNT(FILTER(G:G,((A:A=A35)*(B:B=""V""))))&gt;1,TRUNC(N35*G35/SUM(FILTER(N:N,((A:A=A35)*(B:B=""V"")))),3),G35))"),"")</f>
        <v/>
      </c>
      <c r="L35" s="148" t="str">
        <f>IFERROR(__xludf.DUMMYFUNCTION("if($C35="""","""",iferror(if(row()&lt;&gt;2,INDEX(arrayformula(filter($M$2:$M34,$C$2:$C34&lt;&gt;"""",row($C$2:$C34)=max(if($C$2:$C34=C35,row($C$2:$C34),0)))) ,1),0),0))"),"")</f>
        <v/>
      </c>
      <c r="M35" s="148" t="str">
        <f t="shared" si="1"/>
        <v/>
      </c>
      <c r="N35" s="147" t="str">
        <f t="shared" si="2"/>
        <v/>
      </c>
      <c r="O35" s="147" t="str">
        <f t="shared" si="3"/>
        <v/>
      </c>
      <c r="P35" s="147" t="str">
        <f>IFERROR(__xludf.DUMMYFUNCTION("if(C35="""","""",iferror(if(row()&lt;&gt;2,INDEX(arrayformula(filter($Q$2:$Q34,$C$2:$C34&lt;&gt;"""",row($C$2:$C34)=max(if($C$2:$C34=C35,row($C$2:$C34),0)))) ,1),0),0))"),"")</f>
        <v/>
      </c>
      <c r="Q35" s="147" t="str">
        <f t="shared" si="4"/>
        <v/>
      </c>
      <c r="R35" s="149" t="str">
        <f t="shared" si="5"/>
        <v/>
      </c>
      <c r="S35" s="147" t="str">
        <f t="shared" si="6"/>
        <v/>
      </c>
      <c r="T35" s="147" t="str">
        <f t="shared" si="7"/>
        <v/>
      </c>
      <c r="U35" s="150" t="str">
        <f t="shared" si="8"/>
        <v/>
      </c>
      <c r="V35" s="151" t="str">
        <f>IFERROR(VLOOKUP(C35,Ativos!$A$1:$G2000,5,),)</f>
        <v/>
      </c>
    </row>
    <row r="36" ht="21.0" customHeight="1">
      <c r="A36" s="134"/>
      <c r="B36" s="135"/>
      <c r="C36" s="136"/>
      <c r="D36" s="137"/>
      <c r="E36" s="138"/>
      <c r="F36" s="138"/>
      <c r="G36" s="139"/>
      <c r="H36" s="140"/>
      <c r="I36" s="141"/>
      <c r="J36" s="147" t="str">
        <f>IFERROR(__xludf.DUMMYFUNCTION("IF(ISBLANK(A36),IFERROR(1/0),IF(COUNT(FILTER(F:F,A:A=A36))&gt;1,TRUNC(N36*F36/SUM(FILTER(N:N,A:A=A36)),3),F36))"),"")</f>
        <v/>
      </c>
      <c r="K36" s="147" t="str">
        <f>IFERROR(__xludf.DUMMYFUNCTION("IF(ISBLANK(A36),IFERROR(1/0),IF(COUNT(FILTER(G:G,((A:A=A36)*(B:B=""V""))))&gt;1,TRUNC(N36*G36/SUM(FILTER(N:N,((A:A=A36)*(B:B=""V"")))),3),G36))"),"")</f>
        <v/>
      </c>
      <c r="L36" s="148" t="str">
        <f>IFERROR(__xludf.DUMMYFUNCTION("if($C36="""","""",iferror(if(row()&lt;&gt;2,INDEX(arrayformula(filter($M$2:$M35,$C$2:$C35&lt;&gt;"""",row($C$2:$C35)=max(if($C$2:$C35=C36,row($C$2:$C35),0)))) ,1),0),0))"),"")</f>
        <v/>
      </c>
      <c r="M36" s="148" t="str">
        <f t="shared" si="1"/>
        <v/>
      </c>
      <c r="N36" s="147" t="str">
        <f t="shared" si="2"/>
        <v/>
      </c>
      <c r="O36" s="147" t="str">
        <f t="shared" si="3"/>
        <v/>
      </c>
      <c r="P36" s="147" t="str">
        <f>IFERROR(__xludf.DUMMYFUNCTION("if(C36="""","""",iferror(if(row()&lt;&gt;2,INDEX(arrayformula(filter($Q$2:$Q35,$C$2:$C35&lt;&gt;"""",row($C$2:$C35)=max(if($C$2:$C35=C36,row($C$2:$C35),0)))) ,1),0),0))"),"")</f>
        <v/>
      </c>
      <c r="Q36" s="147" t="str">
        <f t="shared" si="4"/>
        <v/>
      </c>
      <c r="R36" s="149" t="str">
        <f t="shared" si="5"/>
        <v/>
      </c>
      <c r="S36" s="147" t="str">
        <f t="shared" si="6"/>
        <v/>
      </c>
      <c r="T36" s="147" t="str">
        <f t="shared" si="7"/>
        <v/>
      </c>
      <c r="U36" s="150" t="str">
        <f t="shared" si="8"/>
        <v/>
      </c>
      <c r="V36" s="151" t="str">
        <f>IFERROR(VLOOKUP(C36,Ativos!$A$1:$G2000,5,),)</f>
        <v/>
      </c>
    </row>
    <row r="37" ht="21.0" customHeight="1">
      <c r="A37" s="134"/>
      <c r="B37" s="135"/>
      <c r="C37" s="136"/>
      <c r="D37" s="137"/>
      <c r="E37" s="138"/>
      <c r="F37" s="138"/>
      <c r="G37" s="139"/>
      <c r="H37" s="140"/>
      <c r="I37" s="141"/>
      <c r="J37" s="147" t="str">
        <f>IFERROR(__xludf.DUMMYFUNCTION("IF(ISBLANK(A37),IFERROR(1/0),IF(COUNT(FILTER(F:F,A:A=A37))&gt;1,TRUNC(N37*F37/SUM(FILTER(N:N,A:A=A37)),3),F37))"),"")</f>
        <v/>
      </c>
      <c r="K37" s="147" t="str">
        <f>IFERROR(__xludf.DUMMYFUNCTION("IF(ISBLANK(A37),IFERROR(1/0),IF(COUNT(FILTER(G:G,((A:A=A37)*(B:B=""V""))))&gt;1,TRUNC(N37*G37/SUM(FILTER(N:N,((A:A=A37)*(B:B=""V"")))),3),G37))"),"")</f>
        <v/>
      </c>
      <c r="L37" s="148" t="str">
        <f>IFERROR(__xludf.DUMMYFUNCTION("if($C37="""","""",iferror(if(row()&lt;&gt;2,INDEX(arrayformula(filter($M$2:$M36,$C$2:$C36&lt;&gt;"""",row($C$2:$C36)=max(if($C$2:$C36=C37,row($C$2:$C36),0)))) ,1),0),0))"),"")</f>
        <v/>
      </c>
      <c r="M37" s="148" t="str">
        <f t="shared" si="1"/>
        <v/>
      </c>
      <c r="N37" s="147" t="str">
        <f t="shared" si="2"/>
        <v/>
      </c>
      <c r="O37" s="147" t="str">
        <f t="shared" si="3"/>
        <v/>
      </c>
      <c r="P37" s="147" t="str">
        <f>IFERROR(__xludf.DUMMYFUNCTION("if(C37="""","""",iferror(if(row()&lt;&gt;2,INDEX(arrayformula(filter($Q$2:$Q36,$C$2:$C36&lt;&gt;"""",row($C$2:$C36)=max(if($C$2:$C36=C37,row($C$2:$C36),0)))) ,1),0),0))"),"")</f>
        <v/>
      </c>
      <c r="Q37" s="147" t="str">
        <f t="shared" si="4"/>
        <v/>
      </c>
      <c r="R37" s="149" t="str">
        <f t="shared" si="5"/>
        <v/>
      </c>
      <c r="S37" s="147" t="str">
        <f t="shared" si="6"/>
        <v/>
      </c>
      <c r="T37" s="147" t="str">
        <f t="shared" si="7"/>
        <v/>
      </c>
      <c r="U37" s="150" t="str">
        <f t="shared" si="8"/>
        <v/>
      </c>
      <c r="V37" s="151" t="str">
        <f>IFERROR(VLOOKUP(C37,Ativos!$A$1:$G2000,5,),)</f>
        <v/>
      </c>
    </row>
    <row r="38" ht="21.0" customHeight="1">
      <c r="A38" s="134"/>
      <c r="B38" s="135"/>
      <c r="C38" s="136"/>
      <c r="D38" s="137"/>
      <c r="E38" s="138"/>
      <c r="F38" s="138"/>
      <c r="G38" s="139"/>
      <c r="H38" s="140"/>
      <c r="I38" s="141"/>
      <c r="J38" s="147" t="str">
        <f>IFERROR(__xludf.DUMMYFUNCTION("IF(ISBLANK(A38),IFERROR(1/0),IF(COUNT(FILTER(F:F,A:A=A38))&gt;1,TRUNC(N38*F38/SUM(FILTER(N:N,A:A=A38)),3),F38))"),"")</f>
        <v/>
      </c>
      <c r="K38" s="147" t="str">
        <f>IFERROR(__xludf.DUMMYFUNCTION("IF(ISBLANK(A38),IFERROR(1/0),IF(COUNT(FILTER(G:G,((A:A=A38)*(B:B=""V""))))&gt;1,TRUNC(N38*G38/SUM(FILTER(N:N,((A:A=A38)*(B:B=""V"")))),3),G38))"),"")</f>
        <v/>
      </c>
      <c r="L38" s="148" t="str">
        <f>IFERROR(__xludf.DUMMYFUNCTION("if($C38="""","""",iferror(if(row()&lt;&gt;2,INDEX(arrayformula(filter($M$2:$M37,$C$2:$C37&lt;&gt;"""",row($C$2:$C37)=max(if($C$2:$C37=C38,row($C$2:$C37),0)))) ,1),0),0))"),"")</f>
        <v/>
      </c>
      <c r="M38" s="148" t="str">
        <f t="shared" si="1"/>
        <v/>
      </c>
      <c r="N38" s="147" t="str">
        <f t="shared" si="2"/>
        <v/>
      </c>
      <c r="O38" s="147" t="str">
        <f t="shared" si="3"/>
        <v/>
      </c>
      <c r="P38" s="147" t="str">
        <f>IFERROR(__xludf.DUMMYFUNCTION("if(C38="""","""",iferror(if(row()&lt;&gt;2,INDEX(arrayformula(filter($Q$2:$Q37,$C$2:$C37&lt;&gt;"""",row($C$2:$C37)=max(if($C$2:$C37=C38,row($C$2:$C37),0)))) ,1),0),0))"),"")</f>
        <v/>
      </c>
      <c r="Q38" s="147" t="str">
        <f t="shared" si="4"/>
        <v/>
      </c>
      <c r="R38" s="149" t="str">
        <f t="shared" si="5"/>
        <v/>
      </c>
      <c r="S38" s="147" t="str">
        <f t="shared" si="6"/>
        <v/>
      </c>
      <c r="T38" s="147" t="str">
        <f t="shared" si="7"/>
        <v/>
      </c>
      <c r="U38" s="150" t="str">
        <f t="shared" si="8"/>
        <v/>
      </c>
      <c r="V38" s="151" t="str">
        <f>IFERROR(VLOOKUP(C38,Ativos!$A$1:$G2000,5,),)</f>
        <v/>
      </c>
    </row>
    <row r="39" ht="21.0" customHeight="1">
      <c r="A39" s="134"/>
      <c r="B39" s="135"/>
      <c r="C39" s="136"/>
      <c r="D39" s="137"/>
      <c r="E39" s="138"/>
      <c r="F39" s="138"/>
      <c r="G39" s="139"/>
      <c r="H39" s="140"/>
      <c r="I39" s="141"/>
      <c r="J39" s="147" t="str">
        <f>IFERROR(__xludf.DUMMYFUNCTION("IF(ISBLANK(A39),IFERROR(1/0),IF(COUNT(FILTER(F:F,A:A=A39))&gt;1,TRUNC(N39*F39/SUM(FILTER(N:N,A:A=A39)),3),F39))"),"")</f>
        <v/>
      </c>
      <c r="K39" s="147" t="str">
        <f>IFERROR(__xludf.DUMMYFUNCTION("IF(ISBLANK(A39),IFERROR(1/0),IF(COUNT(FILTER(G:G,((A:A=A39)*(B:B=""V""))))&gt;1,TRUNC(N39*G39/SUM(FILTER(N:N,((A:A=A39)*(B:B=""V"")))),3),G39))"),"")</f>
        <v/>
      </c>
      <c r="L39" s="148" t="str">
        <f>IFERROR(__xludf.DUMMYFUNCTION("if($C39="""","""",iferror(if(row()&lt;&gt;2,INDEX(arrayformula(filter($M$2:$M38,$C$2:$C38&lt;&gt;"""",row($C$2:$C38)=max(if($C$2:$C38=C39,row($C$2:$C38),0)))) ,1),0),0))"),"")</f>
        <v/>
      </c>
      <c r="M39" s="148" t="str">
        <f t="shared" si="1"/>
        <v/>
      </c>
      <c r="N39" s="147" t="str">
        <f t="shared" si="2"/>
        <v/>
      </c>
      <c r="O39" s="147" t="str">
        <f t="shared" si="3"/>
        <v/>
      </c>
      <c r="P39" s="147" t="str">
        <f>IFERROR(__xludf.DUMMYFUNCTION("if(C39="""","""",iferror(if(row()&lt;&gt;2,INDEX(arrayformula(filter($Q$2:$Q38,$C$2:$C38&lt;&gt;"""",row($C$2:$C38)=max(if($C$2:$C38=C39,row($C$2:$C38),0)))) ,1),0),0))"),"")</f>
        <v/>
      </c>
      <c r="Q39" s="147" t="str">
        <f t="shared" si="4"/>
        <v/>
      </c>
      <c r="R39" s="149" t="str">
        <f t="shared" si="5"/>
        <v/>
      </c>
      <c r="S39" s="147" t="str">
        <f t="shared" si="6"/>
        <v/>
      </c>
      <c r="T39" s="147" t="str">
        <f t="shared" si="7"/>
        <v/>
      </c>
      <c r="U39" s="150" t="str">
        <f t="shared" si="8"/>
        <v/>
      </c>
      <c r="V39" s="151" t="str">
        <f>IFERROR(VLOOKUP(C39,Ativos!$A$1:$G2000,5,),)</f>
        <v/>
      </c>
    </row>
    <row r="40" ht="21.0" customHeight="1">
      <c r="A40" s="134"/>
      <c r="B40" s="135"/>
      <c r="C40" s="136"/>
      <c r="D40" s="137"/>
      <c r="E40" s="138"/>
      <c r="F40" s="138"/>
      <c r="G40" s="139"/>
      <c r="H40" s="140"/>
      <c r="I40" s="141"/>
      <c r="J40" s="147" t="str">
        <f>IFERROR(__xludf.DUMMYFUNCTION("IF(ISBLANK(A40),IFERROR(1/0),IF(COUNT(FILTER(F:F,A:A=A40))&gt;1,TRUNC(N40*F40/SUM(FILTER(N:N,A:A=A40)),3),F40))"),"")</f>
        <v/>
      </c>
      <c r="K40" s="147" t="str">
        <f>IFERROR(__xludf.DUMMYFUNCTION("IF(ISBLANK(A40),IFERROR(1/0),IF(COUNT(FILTER(G:G,((A:A=A40)*(B:B=""V""))))&gt;1,TRUNC(N40*G40/SUM(FILTER(N:N,((A:A=A40)*(B:B=""V"")))),3),G40))"),"")</f>
        <v/>
      </c>
      <c r="L40" s="148" t="str">
        <f>IFERROR(__xludf.DUMMYFUNCTION("if($C40="""","""",iferror(if(row()&lt;&gt;2,INDEX(arrayformula(filter($M$2:$M39,$C$2:$C39&lt;&gt;"""",row($C$2:$C39)=max(if($C$2:$C39=C40,row($C$2:$C39),0)))) ,1),0),0))"),"")</f>
        <v/>
      </c>
      <c r="M40" s="148" t="str">
        <f t="shared" si="1"/>
        <v/>
      </c>
      <c r="N40" s="147" t="str">
        <f t="shared" si="2"/>
        <v/>
      </c>
      <c r="O40" s="147" t="str">
        <f t="shared" si="3"/>
        <v/>
      </c>
      <c r="P40" s="147" t="str">
        <f>IFERROR(__xludf.DUMMYFUNCTION("if(C40="""","""",iferror(if(row()&lt;&gt;2,INDEX(arrayformula(filter($Q$2:$Q39,$C$2:$C39&lt;&gt;"""",row($C$2:$C39)=max(if($C$2:$C39=C40,row($C$2:$C39),0)))) ,1),0),0))"),"")</f>
        <v/>
      </c>
      <c r="Q40" s="147" t="str">
        <f t="shared" si="4"/>
        <v/>
      </c>
      <c r="R40" s="149" t="str">
        <f t="shared" si="5"/>
        <v/>
      </c>
      <c r="S40" s="147" t="str">
        <f t="shared" si="6"/>
        <v/>
      </c>
      <c r="T40" s="147" t="str">
        <f t="shared" si="7"/>
        <v/>
      </c>
      <c r="U40" s="150" t="str">
        <f t="shared" si="8"/>
        <v/>
      </c>
      <c r="V40" s="151" t="str">
        <f>IFERROR(VLOOKUP(C40,Ativos!$A$1:$G2000,5,),)</f>
        <v/>
      </c>
    </row>
    <row r="41" ht="21.0" customHeight="1">
      <c r="A41" s="134"/>
      <c r="B41" s="135"/>
      <c r="C41" s="136"/>
      <c r="D41" s="137"/>
      <c r="E41" s="138"/>
      <c r="F41" s="138"/>
      <c r="G41" s="139"/>
      <c r="H41" s="140"/>
      <c r="I41" s="141"/>
      <c r="J41" s="147" t="str">
        <f>IFERROR(__xludf.DUMMYFUNCTION("IF(ISBLANK(A41),IFERROR(1/0),IF(COUNT(FILTER(F:F,A:A=A41))&gt;1,TRUNC(N41*F41/SUM(FILTER(N:N,A:A=A41)),3),F41))"),"")</f>
        <v/>
      </c>
      <c r="K41" s="147" t="str">
        <f>IFERROR(__xludf.DUMMYFUNCTION("IF(ISBLANK(A41),IFERROR(1/0),IF(COUNT(FILTER(G:G,((A:A=A41)*(B:B=""V""))))&gt;1,TRUNC(N41*G41/SUM(FILTER(N:N,((A:A=A41)*(B:B=""V"")))),3),G41))"),"")</f>
        <v/>
      </c>
      <c r="L41" s="148" t="str">
        <f>IFERROR(__xludf.DUMMYFUNCTION("if($C41="""","""",iferror(if(row()&lt;&gt;2,INDEX(arrayformula(filter($M$2:$M40,$C$2:$C40&lt;&gt;"""",row($C$2:$C40)=max(if($C$2:$C40=C41,row($C$2:$C40),0)))) ,1),0),0))"),"")</f>
        <v/>
      </c>
      <c r="M41" s="148" t="str">
        <f t="shared" si="1"/>
        <v/>
      </c>
      <c r="N41" s="147" t="str">
        <f t="shared" si="2"/>
        <v/>
      </c>
      <c r="O41" s="147" t="str">
        <f t="shared" si="3"/>
        <v/>
      </c>
      <c r="P41" s="147" t="str">
        <f>IFERROR(__xludf.DUMMYFUNCTION("if(C41="""","""",iferror(if(row()&lt;&gt;2,INDEX(arrayformula(filter($Q$2:$Q40,$C$2:$C40&lt;&gt;"""",row($C$2:$C40)=max(if($C$2:$C40=C41,row($C$2:$C40),0)))) ,1),0),0))"),"")</f>
        <v/>
      </c>
      <c r="Q41" s="147" t="str">
        <f t="shared" si="4"/>
        <v/>
      </c>
      <c r="R41" s="149" t="str">
        <f t="shared" si="5"/>
        <v/>
      </c>
      <c r="S41" s="147" t="str">
        <f t="shared" si="6"/>
        <v/>
      </c>
      <c r="T41" s="147" t="str">
        <f t="shared" si="7"/>
        <v/>
      </c>
      <c r="U41" s="150" t="str">
        <f t="shared" si="8"/>
        <v/>
      </c>
      <c r="V41" s="151" t="str">
        <f>IFERROR(VLOOKUP(C41,Ativos!$A$1:$G2000,5,),)</f>
        <v/>
      </c>
    </row>
    <row r="42" ht="21.0" customHeight="1">
      <c r="A42" s="134"/>
      <c r="B42" s="135"/>
      <c r="C42" s="136"/>
      <c r="D42" s="137"/>
      <c r="E42" s="138"/>
      <c r="F42" s="138"/>
      <c r="G42" s="139"/>
      <c r="H42" s="140"/>
      <c r="I42" s="141"/>
      <c r="J42" s="147" t="str">
        <f>IFERROR(__xludf.DUMMYFUNCTION("IF(ISBLANK(A42),IFERROR(1/0),IF(COUNT(FILTER(F:F,A:A=A42))&gt;1,TRUNC(N42*F42/SUM(FILTER(N:N,A:A=A42)),3),F42))"),"")</f>
        <v/>
      </c>
      <c r="K42" s="147" t="str">
        <f>IFERROR(__xludf.DUMMYFUNCTION("IF(ISBLANK(A42),IFERROR(1/0),IF(COUNT(FILTER(G:G,((A:A=A42)*(B:B=""V""))))&gt;1,TRUNC(N42*G42/SUM(FILTER(N:N,((A:A=A42)*(B:B=""V"")))),3),G42))"),"")</f>
        <v/>
      </c>
      <c r="L42" s="148" t="str">
        <f>IFERROR(__xludf.DUMMYFUNCTION("if($C42="""","""",iferror(if(row()&lt;&gt;2,INDEX(arrayformula(filter($M$2:$M41,$C$2:$C41&lt;&gt;"""",row($C$2:$C41)=max(if($C$2:$C41=C42,row($C$2:$C41),0)))) ,1),0),0))"),"")</f>
        <v/>
      </c>
      <c r="M42" s="148" t="str">
        <f t="shared" si="1"/>
        <v/>
      </c>
      <c r="N42" s="147" t="str">
        <f t="shared" si="2"/>
        <v/>
      </c>
      <c r="O42" s="147" t="str">
        <f t="shared" si="3"/>
        <v/>
      </c>
      <c r="P42" s="147" t="str">
        <f>IFERROR(__xludf.DUMMYFUNCTION("if(C42="""","""",iferror(if(row()&lt;&gt;2,INDEX(arrayformula(filter($Q$2:$Q41,$C$2:$C41&lt;&gt;"""",row($C$2:$C41)=max(if($C$2:$C41=C42,row($C$2:$C41),0)))) ,1),0),0))"),"")</f>
        <v/>
      </c>
      <c r="Q42" s="147" t="str">
        <f t="shared" si="4"/>
        <v/>
      </c>
      <c r="R42" s="149" t="str">
        <f t="shared" si="5"/>
        <v/>
      </c>
      <c r="S42" s="147" t="str">
        <f t="shared" si="6"/>
        <v/>
      </c>
      <c r="T42" s="147" t="str">
        <f t="shared" si="7"/>
        <v/>
      </c>
      <c r="U42" s="150" t="str">
        <f t="shared" si="8"/>
        <v/>
      </c>
      <c r="V42" s="151" t="str">
        <f>IFERROR(VLOOKUP(C42,Ativos!$A$1:$G2000,5,),)</f>
        <v/>
      </c>
    </row>
    <row r="43" ht="21.0" customHeight="1">
      <c r="A43" s="134"/>
      <c r="B43" s="135"/>
      <c r="C43" s="136"/>
      <c r="D43" s="137"/>
      <c r="E43" s="138"/>
      <c r="F43" s="138"/>
      <c r="G43" s="139"/>
      <c r="H43" s="140"/>
      <c r="I43" s="141"/>
      <c r="J43" s="147" t="str">
        <f>IFERROR(__xludf.DUMMYFUNCTION("IF(ISBLANK(A43),IFERROR(1/0),IF(COUNT(FILTER(F:F,A:A=A43))&gt;1,TRUNC(N43*F43/SUM(FILTER(N:N,A:A=A43)),3),F43))"),"")</f>
        <v/>
      </c>
      <c r="K43" s="147" t="str">
        <f>IFERROR(__xludf.DUMMYFUNCTION("IF(ISBLANK(A43),IFERROR(1/0),IF(COUNT(FILTER(G:G,((A:A=A43)*(B:B=""V""))))&gt;1,TRUNC(N43*G43/SUM(FILTER(N:N,((A:A=A43)*(B:B=""V"")))),3),G43))"),"")</f>
        <v/>
      </c>
      <c r="L43" s="148" t="str">
        <f>IFERROR(__xludf.DUMMYFUNCTION("if($C43="""","""",iferror(if(row()&lt;&gt;2,INDEX(arrayformula(filter($M$2:$M42,$C$2:$C42&lt;&gt;"""",row($C$2:$C42)=max(if($C$2:$C42=C43,row($C$2:$C42),0)))) ,1),0),0))"),"")</f>
        <v/>
      </c>
      <c r="M43" s="148" t="str">
        <f t="shared" si="1"/>
        <v/>
      </c>
      <c r="N43" s="147" t="str">
        <f t="shared" si="2"/>
        <v/>
      </c>
      <c r="O43" s="147" t="str">
        <f t="shared" si="3"/>
        <v/>
      </c>
      <c r="P43" s="147" t="str">
        <f>IFERROR(__xludf.DUMMYFUNCTION("if(C43="""","""",iferror(if(row()&lt;&gt;2,INDEX(arrayformula(filter($Q$2:$Q42,$C$2:$C42&lt;&gt;"""",row($C$2:$C42)=max(if($C$2:$C42=C43,row($C$2:$C42),0)))) ,1),0),0))"),"")</f>
        <v/>
      </c>
      <c r="Q43" s="147" t="str">
        <f t="shared" si="4"/>
        <v/>
      </c>
      <c r="R43" s="149" t="str">
        <f t="shared" si="5"/>
        <v/>
      </c>
      <c r="S43" s="147" t="str">
        <f t="shared" si="6"/>
        <v/>
      </c>
      <c r="T43" s="147" t="str">
        <f t="shared" si="7"/>
        <v/>
      </c>
      <c r="U43" s="150" t="str">
        <f t="shared" si="8"/>
        <v/>
      </c>
      <c r="V43" s="151" t="str">
        <f>IFERROR(VLOOKUP(C43,Ativos!$A$1:$G2000,5,),)</f>
        <v/>
      </c>
    </row>
    <row r="44" ht="21.0" customHeight="1">
      <c r="A44" s="134"/>
      <c r="B44" s="135"/>
      <c r="C44" s="136"/>
      <c r="D44" s="137"/>
      <c r="E44" s="138"/>
      <c r="F44" s="138"/>
      <c r="G44" s="139"/>
      <c r="H44" s="140"/>
      <c r="I44" s="141"/>
      <c r="J44" s="147" t="str">
        <f>IFERROR(__xludf.DUMMYFUNCTION("IF(ISBLANK(A44),IFERROR(1/0),IF(COUNT(FILTER(F:F,A:A=A44))&gt;1,TRUNC(N44*F44/SUM(FILTER(N:N,A:A=A44)),3),F44))"),"")</f>
        <v/>
      </c>
      <c r="K44" s="147" t="str">
        <f>IFERROR(__xludf.DUMMYFUNCTION("IF(ISBLANK(A44),IFERROR(1/0),IF(COUNT(FILTER(G:G,((A:A=A44)*(B:B=""V""))))&gt;1,TRUNC(N44*G44/SUM(FILTER(N:N,((A:A=A44)*(B:B=""V"")))),3),G44))"),"")</f>
        <v/>
      </c>
      <c r="L44" s="148" t="str">
        <f>IFERROR(__xludf.DUMMYFUNCTION("if($C44="""","""",iferror(if(row()&lt;&gt;2,INDEX(arrayformula(filter($M$2:$M43,$C$2:$C43&lt;&gt;"""",row($C$2:$C43)=max(if($C$2:$C43=C44,row($C$2:$C43),0)))) ,1),0),0))"),"")</f>
        <v/>
      </c>
      <c r="M44" s="148" t="str">
        <f t="shared" si="1"/>
        <v/>
      </c>
      <c r="N44" s="147" t="str">
        <f t="shared" si="2"/>
        <v/>
      </c>
      <c r="O44" s="147" t="str">
        <f t="shared" si="3"/>
        <v/>
      </c>
      <c r="P44" s="147" t="str">
        <f>IFERROR(__xludf.DUMMYFUNCTION("if(C44="""","""",iferror(if(row()&lt;&gt;2,INDEX(arrayformula(filter($Q$2:$Q43,$C$2:$C43&lt;&gt;"""",row($C$2:$C43)=max(if($C$2:$C43=C44,row($C$2:$C43),0)))) ,1),0),0))"),"")</f>
        <v/>
      </c>
      <c r="Q44" s="147" t="str">
        <f t="shared" si="4"/>
        <v/>
      </c>
      <c r="R44" s="149" t="str">
        <f t="shared" si="5"/>
        <v/>
      </c>
      <c r="S44" s="147" t="str">
        <f t="shared" si="6"/>
        <v/>
      </c>
      <c r="T44" s="147" t="str">
        <f t="shared" si="7"/>
        <v/>
      </c>
      <c r="U44" s="150" t="str">
        <f t="shared" si="8"/>
        <v/>
      </c>
      <c r="V44" s="151" t="str">
        <f>IFERROR(VLOOKUP(C44,Ativos!$A$1:$G2000,5,),)</f>
        <v/>
      </c>
    </row>
    <row r="45" ht="21.0" customHeight="1">
      <c r="A45" s="134"/>
      <c r="B45" s="135"/>
      <c r="C45" s="136"/>
      <c r="D45" s="137"/>
      <c r="E45" s="138"/>
      <c r="F45" s="138"/>
      <c r="G45" s="139"/>
      <c r="H45" s="140"/>
      <c r="I45" s="141"/>
      <c r="J45" s="147" t="str">
        <f>IFERROR(__xludf.DUMMYFUNCTION("IF(ISBLANK(A45),IFERROR(1/0),IF(COUNT(FILTER(F:F,A:A=A45))&gt;1,TRUNC(N45*F45/SUM(FILTER(N:N,A:A=A45)),3),F45))"),"")</f>
        <v/>
      </c>
      <c r="K45" s="147" t="str">
        <f>IFERROR(__xludf.DUMMYFUNCTION("IF(ISBLANK(A45),IFERROR(1/0),IF(COUNT(FILTER(G:G,((A:A=A45)*(B:B=""V""))))&gt;1,TRUNC(N45*G45/SUM(FILTER(N:N,((A:A=A45)*(B:B=""V"")))),3),G45))"),"")</f>
        <v/>
      </c>
      <c r="L45" s="148" t="str">
        <f>IFERROR(__xludf.DUMMYFUNCTION("if($C45="""","""",iferror(if(row()&lt;&gt;2,INDEX(arrayformula(filter($M$2:$M44,$C$2:$C44&lt;&gt;"""",row($C$2:$C44)=max(if($C$2:$C44=C45,row($C$2:$C44),0)))) ,1),0),0))"),"")</f>
        <v/>
      </c>
      <c r="M45" s="148" t="str">
        <f t="shared" si="1"/>
        <v/>
      </c>
      <c r="N45" s="147" t="str">
        <f t="shared" si="2"/>
        <v/>
      </c>
      <c r="O45" s="147" t="str">
        <f t="shared" si="3"/>
        <v/>
      </c>
      <c r="P45" s="147" t="str">
        <f>IFERROR(__xludf.DUMMYFUNCTION("if(C45="""","""",iferror(if(row()&lt;&gt;2,INDEX(arrayformula(filter($Q$2:$Q44,$C$2:$C44&lt;&gt;"""",row($C$2:$C44)=max(if($C$2:$C44=C45,row($C$2:$C44),0)))) ,1),0),0))"),"")</f>
        <v/>
      </c>
      <c r="Q45" s="147" t="str">
        <f t="shared" si="4"/>
        <v/>
      </c>
      <c r="R45" s="149" t="str">
        <f t="shared" si="5"/>
        <v/>
      </c>
      <c r="S45" s="147" t="str">
        <f t="shared" si="6"/>
        <v/>
      </c>
      <c r="T45" s="147" t="str">
        <f t="shared" si="7"/>
        <v/>
      </c>
      <c r="U45" s="150" t="str">
        <f t="shared" si="8"/>
        <v/>
      </c>
      <c r="V45" s="151" t="str">
        <f>IFERROR(VLOOKUP(C45,Ativos!$A$1:$G2000,5,),)</f>
        <v/>
      </c>
    </row>
    <row r="46" ht="21.0" customHeight="1">
      <c r="A46" s="134"/>
      <c r="B46" s="135"/>
      <c r="C46" s="136"/>
      <c r="D46" s="137"/>
      <c r="E46" s="138"/>
      <c r="F46" s="138"/>
      <c r="G46" s="139"/>
      <c r="H46" s="140"/>
      <c r="I46" s="141"/>
      <c r="J46" s="147" t="str">
        <f>IFERROR(__xludf.DUMMYFUNCTION("IF(ISBLANK(A46),IFERROR(1/0),IF(COUNT(FILTER(F:F,A:A=A46))&gt;1,TRUNC(N46*F46/SUM(FILTER(N:N,A:A=A46)),3),F46))"),"")</f>
        <v/>
      </c>
      <c r="K46" s="147" t="str">
        <f>IFERROR(__xludf.DUMMYFUNCTION("IF(ISBLANK(A46),IFERROR(1/0),IF(COUNT(FILTER(G:G,((A:A=A46)*(B:B=""V""))))&gt;1,TRUNC(N46*G46/SUM(FILTER(N:N,((A:A=A46)*(B:B=""V"")))),3),G46))"),"")</f>
        <v/>
      </c>
      <c r="L46" s="148" t="str">
        <f>IFERROR(__xludf.DUMMYFUNCTION("if($C46="""","""",iferror(if(row()&lt;&gt;2,INDEX(arrayformula(filter($M$2:$M45,$C$2:$C45&lt;&gt;"""",row($C$2:$C45)=max(if($C$2:$C45=C46,row($C$2:$C45),0)))) ,1),0),0))"),"")</f>
        <v/>
      </c>
      <c r="M46" s="148" t="str">
        <f t="shared" si="1"/>
        <v/>
      </c>
      <c r="N46" s="147" t="str">
        <f t="shared" si="2"/>
        <v/>
      </c>
      <c r="O46" s="147" t="str">
        <f t="shared" si="3"/>
        <v/>
      </c>
      <c r="P46" s="147" t="str">
        <f>IFERROR(__xludf.DUMMYFUNCTION("if(C46="""","""",iferror(if(row()&lt;&gt;2,INDEX(arrayformula(filter($Q$2:$Q45,$C$2:$C45&lt;&gt;"""",row($C$2:$C45)=max(if($C$2:$C45=C46,row($C$2:$C45),0)))) ,1),0),0))"),"")</f>
        <v/>
      </c>
      <c r="Q46" s="147" t="str">
        <f t="shared" si="4"/>
        <v/>
      </c>
      <c r="R46" s="149" t="str">
        <f t="shared" si="5"/>
        <v/>
      </c>
      <c r="S46" s="147" t="str">
        <f t="shared" si="6"/>
        <v/>
      </c>
      <c r="T46" s="147" t="str">
        <f t="shared" si="7"/>
        <v/>
      </c>
      <c r="U46" s="150" t="str">
        <f t="shared" si="8"/>
        <v/>
      </c>
      <c r="V46" s="151" t="str">
        <f>IFERROR(VLOOKUP(C46,Ativos!$A$1:$G2000,5,),)</f>
        <v/>
      </c>
    </row>
    <row r="47" ht="21.0" customHeight="1">
      <c r="A47" s="134"/>
      <c r="B47" s="135"/>
      <c r="C47" s="136"/>
      <c r="D47" s="137"/>
      <c r="E47" s="138"/>
      <c r="F47" s="138"/>
      <c r="G47" s="139"/>
      <c r="H47" s="140"/>
      <c r="I47" s="141"/>
      <c r="J47" s="147" t="str">
        <f>IFERROR(__xludf.DUMMYFUNCTION("IF(ISBLANK(A47),IFERROR(1/0),IF(COUNT(FILTER(F:F,A:A=A47))&gt;1,TRUNC(N47*F47/SUM(FILTER(N:N,A:A=A47)),3),F47))"),"")</f>
        <v/>
      </c>
      <c r="K47" s="147" t="str">
        <f>IFERROR(__xludf.DUMMYFUNCTION("IF(ISBLANK(A47),IFERROR(1/0),IF(COUNT(FILTER(G:G,((A:A=A47)*(B:B=""V""))))&gt;1,TRUNC(N47*G47/SUM(FILTER(N:N,((A:A=A47)*(B:B=""V"")))),3),G47))"),"")</f>
        <v/>
      </c>
      <c r="L47" s="148" t="str">
        <f>IFERROR(__xludf.DUMMYFUNCTION("if($C47="""","""",iferror(if(row()&lt;&gt;2,INDEX(arrayformula(filter($M$2:$M46,$C$2:$C46&lt;&gt;"""",row($C$2:$C46)=max(if($C$2:$C46=C47,row($C$2:$C46),0)))) ,1),0),0))"),"")</f>
        <v/>
      </c>
      <c r="M47" s="148" t="str">
        <f t="shared" si="1"/>
        <v/>
      </c>
      <c r="N47" s="147" t="str">
        <f t="shared" si="2"/>
        <v/>
      </c>
      <c r="O47" s="147" t="str">
        <f t="shared" si="3"/>
        <v/>
      </c>
      <c r="P47" s="147" t="str">
        <f>IFERROR(__xludf.DUMMYFUNCTION("if(C47="""","""",iferror(if(row()&lt;&gt;2,INDEX(arrayformula(filter($Q$2:$Q46,$C$2:$C46&lt;&gt;"""",row($C$2:$C46)=max(if($C$2:$C46=C47,row($C$2:$C46),0)))) ,1),0),0))"),"")</f>
        <v/>
      </c>
      <c r="Q47" s="147" t="str">
        <f t="shared" si="4"/>
        <v/>
      </c>
      <c r="R47" s="149" t="str">
        <f t="shared" si="5"/>
        <v/>
      </c>
      <c r="S47" s="147" t="str">
        <f t="shared" si="6"/>
        <v/>
      </c>
      <c r="T47" s="147" t="str">
        <f t="shared" si="7"/>
        <v/>
      </c>
      <c r="U47" s="150" t="str">
        <f t="shared" si="8"/>
        <v/>
      </c>
      <c r="V47" s="151" t="str">
        <f>IFERROR(VLOOKUP(C47,Ativos!$A$1:$G2000,5,),)</f>
        <v/>
      </c>
    </row>
    <row r="48" ht="21.0" customHeight="1">
      <c r="A48" s="134"/>
      <c r="B48" s="135"/>
      <c r="C48" s="136"/>
      <c r="D48" s="137"/>
      <c r="E48" s="138"/>
      <c r="F48" s="138"/>
      <c r="G48" s="139"/>
      <c r="H48" s="140"/>
      <c r="I48" s="141"/>
      <c r="J48" s="147" t="str">
        <f>IFERROR(__xludf.DUMMYFUNCTION("IF(ISBLANK(A48),IFERROR(1/0),IF(COUNT(FILTER(F:F,A:A=A48))&gt;1,TRUNC(N48*F48/SUM(FILTER(N:N,A:A=A48)),3),F48))"),"")</f>
        <v/>
      </c>
      <c r="K48" s="147" t="str">
        <f>IFERROR(__xludf.DUMMYFUNCTION("IF(ISBLANK(A48),IFERROR(1/0),IF(COUNT(FILTER(G:G,((A:A=A48)*(B:B=""V""))))&gt;1,TRUNC(N48*G48/SUM(FILTER(N:N,((A:A=A48)*(B:B=""V"")))),3),G48))"),"")</f>
        <v/>
      </c>
      <c r="L48" s="148" t="str">
        <f>IFERROR(__xludf.DUMMYFUNCTION("if($C48="""","""",iferror(if(row()&lt;&gt;2,INDEX(arrayformula(filter($M$2:$M47,$C$2:$C47&lt;&gt;"""",row($C$2:$C47)=max(if($C$2:$C47=C48,row($C$2:$C47),0)))) ,1),0),0))"),"")</f>
        <v/>
      </c>
      <c r="M48" s="148" t="str">
        <f t="shared" si="1"/>
        <v/>
      </c>
      <c r="N48" s="147" t="str">
        <f t="shared" si="2"/>
        <v/>
      </c>
      <c r="O48" s="147" t="str">
        <f t="shared" si="3"/>
        <v/>
      </c>
      <c r="P48" s="147" t="str">
        <f>IFERROR(__xludf.DUMMYFUNCTION("if(C48="""","""",iferror(if(row()&lt;&gt;2,INDEX(arrayformula(filter($Q$2:$Q47,$C$2:$C47&lt;&gt;"""",row($C$2:$C47)=max(if($C$2:$C47=C48,row($C$2:$C47),0)))) ,1),0),0))"),"")</f>
        <v/>
      </c>
      <c r="Q48" s="147" t="str">
        <f t="shared" si="4"/>
        <v/>
      </c>
      <c r="R48" s="149" t="str">
        <f t="shared" si="5"/>
        <v/>
      </c>
      <c r="S48" s="147" t="str">
        <f t="shared" si="6"/>
        <v/>
      </c>
      <c r="T48" s="147" t="str">
        <f t="shared" si="7"/>
        <v/>
      </c>
      <c r="U48" s="150" t="str">
        <f t="shared" si="8"/>
        <v/>
      </c>
      <c r="V48" s="151" t="str">
        <f>IFERROR(VLOOKUP(C48,Ativos!$A$1:$G2000,5,),)</f>
        <v/>
      </c>
    </row>
    <row r="49" ht="21.0" customHeight="1">
      <c r="A49" s="152"/>
      <c r="B49" s="135"/>
      <c r="C49" s="153"/>
      <c r="D49" s="154"/>
      <c r="E49" s="139"/>
      <c r="F49" s="139"/>
      <c r="G49" s="139"/>
      <c r="H49" s="135"/>
      <c r="I49" s="141"/>
      <c r="J49" s="147" t="str">
        <f>IFERROR(__xludf.DUMMYFUNCTION("IF(ISBLANK(A49),IFERROR(1/0),IF(COUNT(FILTER(F:F,A:A=A49))&gt;1,TRUNC(N49*F49/SUM(FILTER(N:N,A:A=A49)),3),F49))"),"")</f>
        <v/>
      </c>
      <c r="K49" s="147" t="str">
        <f>IFERROR(__xludf.DUMMYFUNCTION("IF(ISBLANK(A49),IFERROR(1/0),IF(COUNT(FILTER(G:G,((A:A=A49)*(B:B=""V""))))&gt;1,TRUNC(N49*G49/SUM(FILTER(N:N,((A:A=A49)*(B:B=""V"")))),3),G49))"),"")</f>
        <v/>
      </c>
      <c r="L49" s="148" t="str">
        <f>IFERROR(__xludf.DUMMYFUNCTION("if($C49="""","""",iferror(if(row()&lt;&gt;2,INDEX(arrayformula(filter($M$2:$M48,$C$2:$C48&lt;&gt;"""",row($C$2:$C48)=max(if($C$2:$C48=C49,row($C$2:$C48),0)))) ,1),0),0))"),"")</f>
        <v/>
      </c>
      <c r="M49" s="148" t="str">
        <f t="shared" si="1"/>
        <v/>
      </c>
      <c r="N49" s="147" t="str">
        <f t="shared" si="2"/>
        <v/>
      </c>
      <c r="O49" s="147" t="str">
        <f t="shared" si="3"/>
        <v/>
      </c>
      <c r="P49" s="147" t="str">
        <f>IFERROR(__xludf.DUMMYFUNCTION("if(C49="""","""",iferror(if(row()&lt;&gt;2,INDEX(arrayformula(filter($Q$2:$Q48,$C$2:$C48&lt;&gt;"""",row($C$2:$C48)=max(if($C$2:$C48=C49,row($C$2:$C48),0)))) ,1),0),0))"),"")</f>
        <v/>
      </c>
      <c r="Q49" s="147" t="str">
        <f t="shared" si="4"/>
        <v/>
      </c>
      <c r="R49" s="149" t="str">
        <f t="shared" si="5"/>
        <v/>
      </c>
      <c r="S49" s="147" t="str">
        <f t="shared" si="6"/>
        <v/>
      </c>
      <c r="T49" s="147" t="str">
        <f t="shared" si="7"/>
        <v/>
      </c>
      <c r="U49" s="150" t="str">
        <f t="shared" si="8"/>
        <v/>
      </c>
      <c r="V49" s="151" t="str">
        <f>IFERROR(VLOOKUP(C49,Ativos!$A$1:$G2000,5,),)</f>
        <v/>
      </c>
    </row>
    <row r="50" ht="21.0" customHeight="1">
      <c r="A50" s="152"/>
      <c r="B50" s="135"/>
      <c r="C50" s="155"/>
      <c r="D50" s="154"/>
      <c r="E50" s="139"/>
      <c r="F50" s="139"/>
      <c r="G50" s="139"/>
      <c r="H50" s="135"/>
      <c r="I50" s="141"/>
      <c r="J50" s="147" t="str">
        <f>IFERROR(__xludf.DUMMYFUNCTION("IF(ISBLANK(A50),IFERROR(1/0),IF(COUNT(FILTER(F:F,A:A=A50))&gt;1,TRUNC(N50*F50/SUM(FILTER(N:N,A:A=A50)),3),F50))"),"")</f>
        <v/>
      </c>
      <c r="K50" s="147" t="str">
        <f>IFERROR(__xludf.DUMMYFUNCTION("IF(ISBLANK(A50),IFERROR(1/0),IF(COUNT(FILTER(G:G,((A:A=A50)*(B:B=""V""))))&gt;1,TRUNC(N50*G50/SUM(FILTER(N:N,((A:A=A50)*(B:B=""V"")))),3),G50))"),"")</f>
        <v/>
      </c>
      <c r="L50" s="148" t="str">
        <f>IFERROR(__xludf.DUMMYFUNCTION("if($C50="""","""",iferror(if(row()&lt;&gt;2,INDEX(arrayformula(filter($M$2:$M49,$C$2:$C49&lt;&gt;"""",row($C$2:$C49)=max(if($C$2:$C49=C50,row($C$2:$C49),0)))) ,1),0),0))"),"")</f>
        <v/>
      </c>
      <c r="M50" s="148" t="str">
        <f t="shared" si="1"/>
        <v/>
      </c>
      <c r="N50" s="147" t="str">
        <f t="shared" si="2"/>
        <v/>
      </c>
      <c r="O50" s="147" t="str">
        <f t="shared" si="3"/>
        <v/>
      </c>
      <c r="P50" s="147" t="str">
        <f>IFERROR(__xludf.DUMMYFUNCTION("if(C50="""","""",iferror(if(row()&lt;&gt;2,INDEX(arrayformula(filter($Q$2:$Q49,$C$2:$C49&lt;&gt;"""",row($C$2:$C49)=max(if($C$2:$C49=C50,row($C$2:$C49),0)))) ,1),0),0))"),"")</f>
        <v/>
      </c>
      <c r="Q50" s="147" t="str">
        <f t="shared" si="4"/>
        <v/>
      </c>
      <c r="R50" s="149" t="str">
        <f t="shared" si="5"/>
        <v/>
      </c>
      <c r="S50" s="147" t="str">
        <f t="shared" si="6"/>
        <v/>
      </c>
      <c r="T50" s="147" t="str">
        <f t="shared" si="7"/>
        <v/>
      </c>
      <c r="U50" s="150" t="str">
        <f t="shared" si="8"/>
        <v/>
      </c>
      <c r="V50" s="151" t="str">
        <f>IFERROR(VLOOKUP(C50,Ativos!$A$1:$G2000,5,),)</f>
        <v/>
      </c>
    </row>
    <row r="51" ht="21.0" customHeight="1">
      <c r="A51" s="152"/>
      <c r="B51" s="135"/>
      <c r="C51" s="155"/>
      <c r="D51" s="154"/>
      <c r="E51" s="139"/>
      <c r="F51" s="139"/>
      <c r="G51" s="139"/>
      <c r="H51" s="135"/>
      <c r="I51" s="141"/>
      <c r="J51" s="147" t="str">
        <f>IFERROR(__xludf.DUMMYFUNCTION("IF(ISBLANK(A51),IFERROR(1/0),IF(COUNT(FILTER(F:F,A:A=A51))&gt;1,TRUNC(N51*F51/SUM(FILTER(N:N,A:A=A51)),3),F51))"),"")</f>
        <v/>
      </c>
      <c r="K51" s="147" t="str">
        <f>IFERROR(__xludf.DUMMYFUNCTION("IF(ISBLANK(A51),IFERROR(1/0),IF(COUNT(FILTER(G:G,((A:A=A51)*(B:B=""V""))))&gt;1,TRUNC(N51*G51/SUM(FILTER(N:N,((A:A=A51)*(B:B=""V"")))),3),G51))"),"")</f>
        <v/>
      </c>
      <c r="L51" s="148" t="str">
        <f>IFERROR(__xludf.DUMMYFUNCTION("if($C51="""","""",iferror(if(row()&lt;&gt;2,INDEX(arrayformula(filter($M$2:$M50,$C$2:$C50&lt;&gt;"""",row($C$2:$C50)=max(if($C$2:$C50=C51,row($C$2:$C50),0)))) ,1),0),0))"),"")</f>
        <v/>
      </c>
      <c r="M51" s="148" t="str">
        <f t="shared" si="1"/>
        <v/>
      </c>
      <c r="N51" s="147" t="str">
        <f t="shared" si="2"/>
        <v/>
      </c>
      <c r="O51" s="147" t="str">
        <f t="shared" si="3"/>
        <v/>
      </c>
      <c r="P51" s="147" t="str">
        <f>IFERROR(__xludf.DUMMYFUNCTION("if(C51="""","""",iferror(if(row()&lt;&gt;2,INDEX(arrayformula(filter($Q$2:$Q50,$C$2:$C50&lt;&gt;"""",row($C$2:$C50)=max(if($C$2:$C50=C51,row($C$2:$C50),0)))) ,1),0),0))"),"")</f>
        <v/>
      </c>
      <c r="Q51" s="147" t="str">
        <f t="shared" si="4"/>
        <v/>
      </c>
      <c r="R51" s="149" t="str">
        <f t="shared" si="5"/>
        <v/>
      </c>
      <c r="S51" s="147" t="str">
        <f t="shared" si="6"/>
        <v/>
      </c>
      <c r="T51" s="147" t="str">
        <f t="shared" si="7"/>
        <v/>
      </c>
      <c r="U51" s="150" t="str">
        <f t="shared" si="8"/>
        <v/>
      </c>
      <c r="V51" s="151" t="str">
        <f>IFERROR(VLOOKUP(C51,Ativos!$A$1:$G2000,5,),)</f>
        <v/>
      </c>
    </row>
    <row r="52" ht="21.0" customHeight="1">
      <c r="A52" s="156"/>
      <c r="B52" s="135"/>
      <c r="C52" s="155"/>
      <c r="D52" s="155"/>
      <c r="E52" s="157"/>
      <c r="F52" s="157"/>
      <c r="G52" s="139"/>
      <c r="H52" s="155"/>
      <c r="I52" s="141"/>
      <c r="J52" s="147" t="str">
        <f>IFERROR(__xludf.DUMMYFUNCTION("IF(ISBLANK(A52),IFERROR(1/0),IF(COUNT(FILTER(F:F,A:A=A52))&gt;1,TRUNC(N52*F52/SUM(FILTER(N:N,A:A=A52)),3),F52))"),"")</f>
        <v/>
      </c>
      <c r="K52" s="147" t="str">
        <f>IFERROR(__xludf.DUMMYFUNCTION("IF(ISBLANK(A52),IFERROR(1/0),IF(COUNT(FILTER(G:G,((A:A=A52)*(B:B=""V""))))&gt;1,TRUNC(N52*G52/SUM(FILTER(N:N,((A:A=A52)*(B:B=""V"")))),3),G52))"),"")</f>
        <v/>
      </c>
      <c r="L52" s="148" t="str">
        <f>IFERROR(__xludf.DUMMYFUNCTION("if($C52="""","""",iferror(if(row()&lt;&gt;2,INDEX(arrayformula(filter($M$2:$M51,$C$2:$C51&lt;&gt;"""",row($C$2:$C51)=max(if($C$2:$C51=C52,row($C$2:$C51),0)))) ,1),0),0))"),"")</f>
        <v/>
      </c>
      <c r="M52" s="148" t="str">
        <f t="shared" si="1"/>
        <v/>
      </c>
      <c r="N52" s="147" t="str">
        <f t="shared" si="2"/>
        <v/>
      </c>
      <c r="O52" s="147" t="str">
        <f t="shared" si="3"/>
        <v/>
      </c>
      <c r="P52" s="147" t="str">
        <f>IFERROR(__xludf.DUMMYFUNCTION("if(C52="""","""",iferror(if(row()&lt;&gt;2,INDEX(arrayformula(filter($Q$2:$Q51,$C$2:$C51&lt;&gt;"""",row($C$2:$C51)=max(if($C$2:$C51=C52,row($C$2:$C51),0)))) ,1),0),0))"),"")</f>
        <v/>
      </c>
      <c r="Q52" s="147" t="str">
        <f t="shared" si="4"/>
        <v/>
      </c>
      <c r="R52" s="149" t="str">
        <f t="shared" si="5"/>
        <v/>
      </c>
      <c r="S52" s="147" t="str">
        <f t="shared" si="6"/>
        <v/>
      </c>
      <c r="T52" s="147" t="str">
        <f t="shared" si="7"/>
        <v/>
      </c>
      <c r="U52" s="150" t="str">
        <f t="shared" si="8"/>
        <v/>
      </c>
      <c r="V52" s="151" t="str">
        <f>IFERROR(VLOOKUP(C52,Ativos!$A$1:$G2000,5,),)</f>
        <v/>
      </c>
    </row>
    <row r="53" ht="21.0" customHeight="1">
      <c r="A53" s="152"/>
      <c r="B53" s="135"/>
      <c r="C53" s="153"/>
      <c r="D53" s="154"/>
      <c r="E53" s="139"/>
      <c r="F53" s="139"/>
      <c r="G53" s="139"/>
      <c r="H53" s="135"/>
      <c r="I53" s="141"/>
      <c r="J53" s="147" t="str">
        <f>IFERROR(__xludf.DUMMYFUNCTION("IF(ISBLANK(A53),IFERROR(1/0),IF(COUNT(FILTER(F:F,A:A=A53))&gt;1,TRUNC(N53*F53/SUM(FILTER(N:N,A:A=A53)),3),F53))"),"")</f>
        <v/>
      </c>
      <c r="K53" s="147" t="str">
        <f>IFERROR(__xludf.DUMMYFUNCTION("IF(ISBLANK(A53),IFERROR(1/0),IF(COUNT(FILTER(G:G,((A:A=A53)*(B:B=""V""))))&gt;1,TRUNC(N53*G53/SUM(FILTER(N:N,((A:A=A53)*(B:B=""V"")))),3),G53))"),"")</f>
        <v/>
      </c>
      <c r="L53" s="148" t="str">
        <f>IFERROR(__xludf.DUMMYFUNCTION("if($C53="""","""",iferror(if(row()&lt;&gt;2,INDEX(arrayformula(filter($M$2:$M52,$C$2:$C52&lt;&gt;"""",row($C$2:$C52)=max(if($C$2:$C52=C53,row($C$2:$C52),0)))) ,1),0),0))"),"")</f>
        <v/>
      </c>
      <c r="M53" s="148" t="str">
        <f t="shared" si="1"/>
        <v/>
      </c>
      <c r="N53" s="147" t="str">
        <f t="shared" si="2"/>
        <v/>
      </c>
      <c r="O53" s="147" t="str">
        <f t="shared" si="3"/>
        <v/>
      </c>
      <c r="P53" s="147" t="str">
        <f>IFERROR(__xludf.DUMMYFUNCTION("if(C53="""","""",iferror(if(row()&lt;&gt;2,INDEX(arrayformula(filter($Q$2:$Q52,$C$2:$C52&lt;&gt;"""",row($C$2:$C52)=max(if($C$2:$C52=C53,row($C$2:$C52),0)))) ,1),0),0))"),"")</f>
        <v/>
      </c>
      <c r="Q53" s="147" t="str">
        <f t="shared" si="4"/>
        <v/>
      </c>
      <c r="R53" s="149" t="str">
        <f t="shared" si="5"/>
        <v/>
      </c>
      <c r="S53" s="147" t="str">
        <f t="shared" si="6"/>
        <v/>
      </c>
      <c r="T53" s="147" t="str">
        <f t="shared" si="7"/>
        <v/>
      </c>
      <c r="U53" s="150" t="str">
        <f t="shared" si="8"/>
        <v/>
      </c>
      <c r="V53" s="151" t="str">
        <f>IFERROR(VLOOKUP(C53,Ativos!$A$1:$G2000,5,),)</f>
        <v/>
      </c>
    </row>
    <row r="54" ht="21.0" customHeight="1">
      <c r="A54" s="152"/>
      <c r="B54" s="135"/>
      <c r="C54" s="153"/>
      <c r="D54" s="154"/>
      <c r="E54" s="139"/>
      <c r="F54" s="139"/>
      <c r="G54" s="139"/>
      <c r="H54" s="135"/>
      <c r="I54" s="141"/>
      <c r="J54" s="147" t="str">
        <f>IFERROR(__xludf.DUMMYFUNCTION("IF(ISBLANK(A54),IFERROR(1/0),IF(COUNT(FILTER(F:F,A:A=A54))&gt;1,TRUNC(N54*F54/SUM(FILTER(N:N,A:A=A54)),3),F54))"),"")</f>
        <v/>
      </c>
      <c r="K54" s="147" t="str">
        <f>IFERROR(__xludf.DUMMYFUNCTION("IF(ISBLANK(A54),IFERROR(1/0),IF(COUNT(FILTER(G:G,((A:A=A54)*(B:B=""V""))))&gt;1,TRUNC(N54*G54/SUM(FILTER(N:N,((A:A=A54)*(B:B=""V"")))),3),G54))"),"")</f>
        <v/>
      </c>
      <c r="L54" s="148" t="str">
        <f>IFERROR(__xludf.DUMMYFUNCTION("if($C54="""","""",iferror(if(row()&lt;&gt;2,INDEX(arrayformula(filter($M$2:$M53,$C$2:$C53&lt;&gt;"""",row($C$2:$C53)=max(if($C$2:$C53=C54,row($C$2:$C53),0)))) ,1),0),0))"),"")</f>
        <v/>
      </c>
      <c r="M54" s="148" t="str">
        <f t="shared" si="1"/>
        <v/>
      </c>
      <c r="N54" s="147" t="str">
        <f t="shared" si="2"/>
        <v/>
      </c>
      <c r="O54" s="147" t="str">
        <f t="shared" si="3"/>
        <v/>
      </c>
      <c r="P54" s="147" t="str">
        <f>IFERROR(__xludf.DUMMYFUNCTION("if(C54="""","""",iferror(if(row()&lt;&gt;2,INDEX(arrayformula(filter($Q$2:$Q53,$C$2:$C53&lt;&gt;"""",row($C$2:$C53)=max(if($C$2:$C53=C54,row($C$2:$C53),0)))) ,1),0),0))"),"")</f>
        <v/>
      </c>
      <c r="Q54" s="147" t="str">
        <f t="shared" si="4"/>
        <v/>
      </c>
      <c r="R54" s="149" t="str">
        <f t="shared" si="5"/>
        <v/>
      </c>
      <c r="S54" s="147" t="str">
        <f t="shared" si="6"/>
        <v/>
      </c>
      <c r="T54" s="147" t="str">
        <f t="shared" si="7"/>
        <v/>
      </c>
      <c r="U54" s="150" t="str">
        <f t="shared" si="8"/>
        <v/>
      </c>
      <c r="V54" s="151" t="str">
        <f>IFERROR(VLOOKUP(C54,Ativos!$A$1:$G2000,5,),)</f>
        <v/>
      </c>
    </row>
    <row r="55" ht="21.0" customHeight="1">
      <c r="A55" s="152"/>
      <c r="B55" s="135"/>
      <c r="C55" s="155"/>
      <c r="D55" s="154"/>
      <c r="E55" s="139"/>
      <c r="F55" s="139"/>
      <c r="G55" s="139"/>
      <c r="H55" s="135"/>
      <c r="I55" s="141"/>
      <c r="J55" s="147" t="str">
        <f>IFERROR(__xludf.DUMMYFUNCTION("IF(ISBLANK(A55),IFERROR(1/0),IF(COUNT(FILTER(F:F,A:A=A55))&gt;1,TRUNC(N55*F55/SUM(FILTER(N:N,A:A=A55)),3),F55))"),"")</f>
        <v/>
      </c>
      <c r="K55" s="147" t="str">
        <f>IFERROR(__xludf.DUMMYFUNCTION("IF(ISBLANK(A55),IFERROR(1/0),IF(COUNT(FILTER(G:G,((A:A=A55)*(B:B=""V""))))&gt;1,TRUNC(N55*G55/SUM(FILTER(N:N,((A:A=A55)*(B:B=""V"")))),3),G55))"),"")</f>
        <v/>
      </c>
      <c r="L55" s="148" t="str">
        <f>IFERROR(__xludf.DUMMYFUNCTION("if($C55="""","""",iferror(if(row()&lt;&gt;2,INDEX(arrayformula(filter($M$2:$M54,$C$2:$C54&lt;&gt;"""",row($C$2:$C54)=max(if($C$2:$C54=C55,row($C$2:$C54),0)))) ,1),0),0))"),"")</f>
        <v/>
      </c>
      <c r="M55" s="148" t="str">
        <f t="shared" si="1"/>
        <v/>
      </c>
      <c r="N55" s="147" t="str">
        <f t="shared" si="2"/>
        <v/>
      </c>
      <c r="O55" s="147" t="str">
        <f t="shared" si="3"/>
        <v/>
      </c>
      <c r="P55" s="147" t="str">
        <f>IFERROR(__xludf.DUMMYFUNCTION("if(C55="""","""",iferror(if(row()&lt;&gt;2,INDEX(arrayformula(filter($Q$2:$Q54,$C$2:$C54&lt;&gt;"""",row($C$2:$C54)=max(if($C$2:$C54=C55,row($C$2:$C54),0)))) ,1),0),0))"),"")</f>
        <v/>
      </c>
      <c r="Q55" s="147" t="str">
        <f t="shared" si="4"/>
        <v/>
      </c>
      <c r="R55" s="149" t="str">
        <f t="shared" si="5"/>
        <v/>
      </c>
      <c r="S55" s="147" t="str">
        <f t="shared" si="6"/>
        <v/>
      </c>
      <c r="T55" s="147" t="str">
        <f t="shared" si="7"/>
        <v/>
      </c>
      <c r="U55" s="150" t="str">
        <f t="shared" si="8"/>
        <v/>
      </c>
      <c r="V55" s="151" t="str">
        <f>IFERROR(VLOOKUP(C55,Ativos!$A$1:$G2000,5,),)</f>
        <v/>
      </c>
    </row>
    <row r="56" ht="21.0" customHeight="1">
      <c r="A56" s="156"/>
      <c r="B56" s="135"/>
      <c r="C56" s="155"/>
      <c r="D56" s="155"/>
      <c r="E56" s="157"/>
      <c r="F56" s="157"/>
      <c r="G56" s="139"/>
      <c r="H56" s="155"/>
      <c r="I56" s="141"/>
      <c r="J56" s="147" t="str">
        <f>IFERROR(__xludf.DUMMYFUNCTION("IF(ISBLANK(A56),IFERROR(1/0),IF(COUNT(FILTER(F:F,A:A=A56))&gt;1,TRUNC(N56*F56/SUM(FILTER(N:N,A:A=A56)),3),F56))"),"")</f>
        <v/>
      </c>
      <c r="K56" s="147" t="str">
        <f>IFERROR(__xludf.DUMMYFUNCTION("IF(ISBLANK(A56),IFERROR(1/0),IF(COUNT(FILTER(G:G,((A:A=A56)*(B:B=""V""))))&gt;1,TRUNC(N56*G56/SUM(FILTER(N:N,((A:A=A56)*(B:B=""V"")))),3),G56))"),"")</f>
        <v/>
      </c>
      <c r="L56" s="148" t="str">
        <f>IFERROR(__xludf.DUMMYFUNCTION("if($C56="""","""",iferror(if(row()&lt;&gt;2,INDEX(arrayformula(filter($M$2:$M55,$C$2:$C55&lt;&gt;"""",row($C$2:$C55)=max(if($C$2:$C55=C56,row($C$2:$C55),0)))) ,1),0),0))"),"")</f>
        <v/>
      </c>
      <c r="M56" s="148" t="str">
        <f t="shared" si="1"/>
        <v/>
      </c>
      <c r="N56" s="147" t="str">
        <f t="shared" si="2"/>
        <v/>
      </c>
      <c r="O56" s="147" t="str">
        <f t="shared" si="3"/>
        <v/>
      </c>
      <c r="P56" s="147" t="str">
        <f>IFERROR(__xludf.DUMMYFUNCTION("if(C56="""","""",iferror(if(row()&lt;&gt;2,INDEX(arrayformula(filter($Q$2:$Q55,$C$2:$C55&lt;&gt;"""",row($C$2:$C55)=max(if($C$2:$C55=C56,row($C$2:$C55),0)))) ,1),0),0))"),"")</f>
        <v/>
      </c>
      <c r="Q56" s="147" t="str">
        <f t="shared" si="4"/>
        <v/>
      </c>
      <c r="R56" s="149" t="str">
        <f t="shared" si="5"/>
        <v/>
      </c>
      <c r="S56" s="147" t="str">
        <f t="shared" si="6"/>
        <v/>
      </c>
      <c r="T56" s="147" t="str">
        <f t="shared" si="7"/>
        <v/>
      </c>
      <c r="U56" s="150" t="str">
        <f t="shared" si="8"/>
        <v/>
      </c>
      <c r="V56" s="151" t="str">
        <f>IFERROR(VLOOKUP(C56,Ativos!$A$1:$G2000,5,),)</f>
        <v/>
      </c>
    </row>
    <row r="57" ht="21.0" customHeight="1">
      <c r="A57" s="152"/>
      <c r="B57" s="135"/>
      <c r="C57" s="153"/>
      <c r="D57" s="154"/>
      <c r="E57" s="139"/>
      <c r="F57" s="139"/>
      <c r="G57" s="139"/>
      <c r="H57" s="135"/>
      <c r="I57" s="141"/>
      <c r="J57" s="147" t="str">
        <f>IFERROR(__xludf.DUMMYFUNCTION("IF(ISBLANK(A57),IFERROR(1/0),IF(COUNT(FILTER(F:F,A:A=A57))&gt;1,TRUNC(N57*F57/SUM(FILTER(N:N,A:A=A57)),3),F57))"),"")</f>
        <v/>
      </c>
      <c r="K57" s="147" t="str">
        <f>IFERROR(__xludf.DUMMYFUNCTION("IF(ISBLANK(A57),IFERROR(1/0),IF(COUNT(FILTER(G:G,((A:A=A57)*(B:B=""V""))))&gt;1,TRUNC(N57*G57/SUM(FILTER(N:N,((A:A=A57)*(B:B=""V"")))),3),G57))"),"")</f>
        <v/>
      </c>
      <c r="L57" s="148" t="str">
        <f>IFERROR(__xludf.DUMMYFUNCTION("if($C57="""","""",iferror(if(row()&lt;&gt;2,INDEX(arrayformula(filter($M$2:$M56,$C$2:$C56&lt;&gt;"""",row($C$2:$C56)=max(if($C$2:$C56=C57,row($C$2:$C56),0)))) ,1),0),0))"),"")</f>
        <v/>
      </c>
      <c r="M57" s="148" t="str">
        <f t="shared" si="1"/>
        <v/>
      </c>
      <c r="N57" s="147" t="str">
        <f t="shared" si="2"/>
        <v/>
      </c>
      <c r="O57" s="147" t="str">
        <f t="shared" si="3"/>
        <v/>
      </c>
      <c r="P57" s="147" t="str">
        <f>IFERROR(__xludf.DUMMYFUNCTION("if(C57="""","""",iferror(if(row()&lt;&gt;2,INDEX(arrayformula(filter($Q$2:$Q56,$C$2:$C56&lt;&gt;"""",row($C$2:$C56)=max(if($C$2:$C56=C57,row($C$2:$C56),0)))) ,1),0),0))"),"")</f>
        <v/>
      </c>
      <c r="Q57" s="147" t="str">
        <f t="shared" si="4"/>
        <v/>
      </c>
      <c r="R57" s="149" t="str">
        <f t="shared" si="5"/>
        <v/>
      </c>
      <c r="S57" s="147" t="str">
        <f t="shared" si="6"/>
        <v/>
      </c>
      <c r="T57" s="147" t="str">
        <f t="shared" si="7"/>
        <v/>
      </c>
      <c r="U57" s="150" t="str">
        <f t="shared" si="8"/>
        <v/>
      </c>
      <c r="V57" s="151" t="str">
        <f>IFERROR(VLOOKUP(C57,Ativos!$A$1:$G2000,5,),)</f>
        <v/>
      </c>
    </row>
    <row r="58" ht="21.0" customHeight="1">
      <c r="A58" s="152"/>
      <c r="B58" s="135"/>
      <c r="C58" s="153"/>
      <c r="D58" s="154"/>
      <c r="E58" s="139"/>
      <c r="F58" s="139"/>
      <c r="G58" s="139"/>
      <c r="H58" s="135"/>
      <c r="I58" s="141"/>
      <c r="J58" s="147" t="str">
        <f>IFERROR(__xludf.DUMMYFUNCTION("IF(ISBLANK(A58),IFERROR(1/0),IF(COUNT(FILTER(F:F,A:A=A58))&gt;1,TRUNC(N58*F58/SUM(FILTER(N:N,A:A=A58)),3),F58))"),"")</f>
        <v/>
      </c>
      <c r="K58" s="147" t="str">
        <f>IFERROR(__xludf.DUMMYFUNCTION("IF(ISBLANK(A58),IFERROR(1/0),IF(COUNT(FILTER(G:G,((A:A=A58)*(B:B=""V""))))&gt;1,TRUNC(N58*G58/SUM(FILTER(N:N,((A:A=A58)*(B:B=""V"")))),3),G58))"),"")</f>
        <v/>
      </c>
      <c r="L58" s="148" t="str">
        <f>IFERROR(__xludf.DUMMYFUNCTION("if($C58="""","""",iferror(if(row()&lt;&gt;2,INDEX(arrayformula(filter($M$2:$M57,$C$2:$C57&lt;&gt;"""",row($C$2:$C57)=max(if($C$2:$C57=C58,row($C$2:$C57),0)))) ,1),0),0))"),"")</f>
        <v/>
      </c>
      <c r="M58" s="148" t="str">
        <f t="shared" si="1"/>
        <v/>
      </c>
      <c r="N58" s="147" t="str">
        <f t="shared" si="2"/>
        <v/>
      </c>
      <c r="O58" s="147" t="str">
        <f t="shared" si="3"/>
        <v/>
      </c>
      <c r="P58" s="147" t="str">
        <f>IFERROR(__xludf.DUMMYFUNCTION("if(C58="""","""",iferror(if(row()&lt;&gt;2,INDEX(arrayformula(filter($Q$2:$Q57,$C$2:$C57&lt;&gt;"""",row($C$2:$C57)=max(if($C$2:$C57=C58,row($C$2:$C57),0)))) ,1),0),0))"),"")</f>
        <v/>
      </c>
      <c r="Q58" s="147" t="str">
        <f t="shared" si="4"/>
        <v/>
      </c>
      <c r="R58" s="149" t="str">
        <f t="shared" si="5"/>
        <v/>
      </c>
      <c r="S58" s="147" t="str">
        <f t="shared" si="6"/>
        <v/>
      </c>
      <c r="T58" s="147" t="str">
        <f t="shared" si="7"/>
        <v/>
      </c>
      <c r="U58" s="150" t="str">
        <f t="shared" si="8"/>
        <v/>
      </c>
      <c r="V58" s="151" t="str">
        <f>IFERROR(VLOOKUP(C58,Ativos!$A$1:$G2000,5,),)</f>
        <v/>
      </c>
    </row>
    <row r="59" ht="21.0" customHeight="1">
      <c r="A59" s="152"/>
      <c r="B59" s="135"/>
      <c r="C59" s="155"/>
      <c r="D59" s="154"/>
      <c r="E59" s="139"/>
      <c r="F59" s="139"/>
      <c r="G59" s="139"/>
      <c r="H59" s="135"/>
      <c r="I59" s="141"/>
      <c r="J59" s="147" t="str">
        <f>IFERROR(__xludf.DUMMYFUNCTION("IF(ISBLANK(A59),IFERROR(1/0),IF(COUNT(FILTER(F:F,A:A=A59))&gt;1,TRUNC(N59*F59/SUM(FILTER(N:N,A:A=A59)),3),F59))"),"")</f>
        <v/>
      </c>
      <c r="K59" s="147" t="str">
        <f>IFERROR(__xludf.DUMMYFUNCTION("IF(ISBLANK(A59),IFERROR(1/0),IF(COUNT(FILTER(G:G,((A:A=A59)*(B:B=""V""))))&gt;1,TRUNC(N59*G59/SUM(FILTER(N:N,((A:A=A59)*(B:B=""V"")))),3),G59))"),"")</f>
        <v/>
      </c>
      <c r="L59" s="148" t="str">
        <f>IFERROR(__xludf.DUMMYFUNCTION("if($C59="""","""",iferror(if(row()&lt;&gt;2,INDEX(arrayformula(filter($M$2:$M58,$C$2:$C58&lt;&gt;"""",row($C$2:$C58)=max(if($C$2:$C58=C59,row($C$2:$C58),0)))) ,1),0),0))"),"")</f>
        <v/>
      </c>
      <c r="M59" s="148" t="str">
        <f t="shared" si="1"/>
        <v/>
      </c>
      <c r="N59" s="147" t="str">
        <f t="shared" si="2"/>
        <v/>
      </c>
      <c r="O59" s="147" t="str">
        <f t="shared" si="3"/>
        <v/>
      </c>
      <c r="P59" s="147" t="str">
        <f>IFERROR(__xludf.DUMMYFUNCTION("if(C59="""","""",iferror(if(row()&lt;&gt;2,INDEX(arrayformula(filter($Q$2:$Q58,$C$2:$C58&lt;&gt;"""",row($C$2:$C58)=max(if($C$2:$C58=C59,row($C$2:$C58),0)))) ,1),0),0))"),"")</f>
        <v/>
      </c>
      <c r="Q59" s="147" t="str">
        <f t="shared" si="4"/>
        <v/>
      </c>
      <c r="R59" s="149" t="str">
        <f t="shared" si="5"/>
        <v/>
      </c>
      <c r="S59" s="147" t="str">
        <f t="shared" si="6"/>
        <v/>
      </c>
      <c r="T59" s="147" t="str">
        <f t="shared" si="7"/>
        <v/>
      </c>
      <c r="U59" s="150" t="str">
        <f t="shared" si="8"/>
        <v/>
      </c>
      <c r="V59" s="151" t="str">
        <f>IFERROR(VLOOKUP(C59,Ativos!$A$1:$G2000,5,),)</f>
        <v/>
      </c>
    </row>
    <row r="60" ht="21.0" customHeight="1">
      <c r="A60" s="156"/>
      <c r="B60" s="135"/>
      <c r="C60" s="155"/>
      <c r="D60" s="155"/>
      <c r="E60" s="157"/>
      <c r="F60" s="157"/>
      <c r="G60" s="139"/>
      <c r="H60" s="155"/>
      <c r="I60" s="141"/>
      <c r="J60" s="147" t="str">
        <f>IFERROR(__xludf.DUMMYFUNCTION("IF(ISBLANK(A60),IFERROR(1/0),IF(COUNT(FILTER(F:F,A:A=A60))&gt;1,TRUNC(N60*F60/SUM(FILTER(N:N,A:A=A60)),3),F60))"),"")</f>
        <v/>
      </c>
      <c r="K60" s="147" t="str">
        <f>IFERROR(__xludf.DUMMYFUNCTION("IF(ISBLANK(A60),IFERROR(1/0),IF(COUNT(FILTER(G:G,((A:A=A60)*(B:B=""V""))))&gt;1,TRUNC(N60*G60/SUM(FILTER(N:N,((A:A=A60)*(B:B=""V"")))),3),G60))"),"")</f>
        <v/>
      </c>
      <c r="L60" s="148" t="str">
        <f>IFERROR(__xludf.DUMMYFUNCTION("if($C60="""","""",iferror(if(row()&lt;&gt;2,INDEX(arrayformula(filter($M$2:$M59,$C$2:$C59&lt;&gt;"""",row($C$2:$C59)=max(if($C$2:$C59=C60,row($C$2:$C59),0)))) ,1),0),0))"),"")</f>
        <v/>
      </c>
      <c r="M60" s="148" t="str">
        <f t="shared" si="1"/>
        <v/>
      </c>
      <c r="N60" s="147" t="str">
        <f t="shared" si="2"/>
        <v/>
      </c>
      <c r="O60" s="147" t="str">
        <f t="shared" si="3"/>
        <v/>
      </c>
      <c r="P60" s="147" t="str">
        <f>IFERROR(__xludf.DUMMYFUNCTION("if(C60="""","""",iferror(if(row()&lt;&gt;2,INDEX(arrayformula(filter($Q$2:$Q59,$C$2:$C59&lt;&gt;"""",row($C$2:$C59)=max(if($C$2:$C59=C60,row($C$2:$C59),0)))) ,1),0),0))"),"")</f>
        <v/>
      </c>
      <c r="Q60" s="147" t="str">
        <f t="shared" si="4"/>
        <v/>
      </c>
      <c r="R60" s="149" t="str">
        <f t="shared" si="5"/>
        <v/>
      </c>
      <c r="S60" s="147" t="str">
        <f t="shared" si="6"/>
        <v/>
      </c>
      <c r="T60" s="147" t="str">
        <f t="shared" si="7"/>
        <v/>
      </c>
      <c r="U60" s="150" t="str">
        <f t="shared" si="8"/>
        <v/>
      </c>
      <c r="V60" s="151" t="str">
        <f>IFERROR(VLOOKUP(C60,Ativos!$A$1:$G2000,5,),)</f>
        <v/>
      </c>
    </row>
    <row r="61" ht="21.0" customHeight="1">
      <c r="A61" s="152"/>
      <c r="B61" s="135"/>
      <c r="C61" s="153"/>
      <c r="D61" s="154"/>
      <c r="E61" s="139"/>
      <c r="F61" s="139"/>
      <c r="G61" s="139"/>
      <c r="H61" s="135"/>
      <c r="I61" s="141"/>
      <c r="J61" s="147" t="str">
        <f>IFERROR(__xludf.DUMMYFUNCTION("IF(ISBLANK(A61),IFERROR(1/0),IF(COUNT(FILTER(F:F,A:A=A61))&gt;1,TRUNC(N61*F61/SUM(FILTER(N:N,A:A=A61)),3),F61))"),"")</f>
        <v/>
      </c>
      <c r="K61" s="147" t="str">
        <f>IFERROR(__xludf.DUMMYFUNCTION("IF(ISBLANK(A61),IFERROR(1/0),IF(COUNT(FILTER(G:G,((A:A=A61)*(B:B=""V""))))&gt;1,TRUNC(N61*G61/SUM(FILTER(N:N,((A:A=A61)*(B:B=""V"")))),3),G61))"),"")</f>
        <v/>
      </c>
      <c r="L61" s="148" t="str">
        <f>IFERROR(__xludf.DUMMYFUNCTION("if($C61="""","""",iferror(if(row()&lt;&gt;2,INDEX(arrayformula(filter($M$2:$M60,$C$2:$C60&lt;&gt;"""",row($C$2:$C60)=max(if($C$2:$C60=C61,row($C$2:$C60),0)))) ,1),0),0))"),"")</f>
        <v/>
      </c>
      <c r="M61" s="148" t="str">
        <f t="shared" si="1"/>
        <v/>
      </c>
      <c r="N61" s="147" t="str">
        <f t="shared" si="2"/>
        <v/>
      </c>
      <c r="O61" s="147" t="str">
        <f t="shared" si="3"/>
        <v/>
      </c>
      <c r="P61" s="147" t="str">
        <f>IFERROR(__xludf.DUMMYFUNCTION("if(C61="""","""",iferror(if(row()&lt;&gt;2,INDEX(arrayformula(filter($Q$2:$Q60,$C$2:$C60&lt;&gt;"""",row($C$2:$C60)=max(if($C$2:$C60=C61,row($C$2:$C60),0)))) ,1),0),0))"),"")</f>
        <v/>
      </c>
      <c r="Q61" s="147" t="str">
        <f t="shared" si="4"/>
        <v/>
      </c>
      <c r="R61" s="149" t="str">
        <f t="shared" si="5"/>
        <v/>
      </c>
      <c r="S61" s="147" t="str">
        <f t="shared" si="6"/>
        <v/>
      </c>
      <c r="T61" s="147" t="str">
        <f t="shared" si="7"/>
        <v/>
      </c>
      <c r="U61" s="150" t="str">
        <f t="shared" si="8"/>
        <v/>
      </c>
      <c r="V61" s="151" t="str">
        <f>IFERROR(VLOOKUP(C61,Ativos!$A$1:$G2000,5,),)</f>
        <v/>
      </c>
    </row>
    <row r="62" ht="21.0" customHeight="1">
      <c r="A62" s="152"/>
      <c r="B62" s="135"/>
      <c r="C62" s="153"/>
      <c r="D62" s="154"/>
      <c r="E62" s="139"/>
      <c r="F62" s="139"/>
      <c r="G62" s="139"/>
      <c r="H62" s="135"/>
      <c r="I62" s="141"/>
      <c r="J62" s="147" t="str">
        <f>IFERROR(__xludf.DUMMYFUNCTION("IF(ISBLANK(A62),IFERROR(1/0),IF(COUNT(FILTER(F:F,A:A=A62))&gt;1,TRUNC(N62*F62/SUM(FILTER(N:N,A:A=A62)),3),F62))"),"")</f>
        <v/>
      </c>
      <c r="K62" s="147" t="str">
        <f>IFERROR(__xludf.DUMMYFUNCTION("IF(ISBLANK(A62),IFERROR(1/0),IF(COUNT(FILTER(G:G,((A:A=A62)*(B:B=""V""))))&gt;1,TRUNC(N62*G62/SUM(FILTER(N:N,((A:A=A62)*(B:B=""V"")))),3),G62))"),"")</f>
        <v/>
      </c>
      <c r="L62" s="148" t="str">
        <f>IFERROR(__xludf.DUMMYFUNCTION("if($C62="""","""",iferror(if(row()&lt;&gt;2,INDEX(arrayformula(filter($M$2:$M61,$C$2:$C61&lt;&gt;"""",row($C$2:$C61)=max(if($C$2:$C61=C62,row($C$2:$C61),0)))) ,1),0),0))"),"")</f>
        <v/>
      </c>
      <c r="M62" s="148" t="str">
        <f t="shared" si="1"/>
        <v/>
      </c>
      <c r="N62" s="147" t="str">
        <f t="shared" si="2"/>
        <v/>
      </c>
      <c r="O62" s="147" t="str">
        <f t="shared" si="3"/>
        <v/>
      </c>
      <c r="P62" s="147" t="str">
        <f>IFERROR(__xludf.DUMMYFUNCTION("if(C62="""","""",iferror(if(row()&lt;&gt;2,INDEX(arrayformula(filter($Q$2:$Q61,$C$2:$C61&lt;&gt;"""",row($C$2:$C61)=max(if($C$2:$C61=C62,row($C$2:$C61),0)))) ,1),0),0))"),"")</f>
        <v/>
      </c>
      <c r="Q62" s="147" t="str">
        <f t="shared" si="4"/>
        <v/>
      </c>
      <c r="R62" s="149" t="str">
        <f t="shared" si="5"/>
        <v/>
      </c>
      <c r="S62" s="147" t="str">
        <f t="shared" si="6"/>
        <v/>
      </c>
      <c r="T62" s="147" t="str">
        <f t="shared" si="7"/>
        <v/>
      </c>
      <c r="U62" s="150" t="str">
        <f t="shared" si="8"/>
        <v/>
      </c>
      <c r="V62" s="151" t="str">
        <f>IFERROR(VLOOKUP(C62,Ativos!$A$1:$G2000,5,),)</f>
        <v/>
      </c>
    </row>
    <row r="63" ht="21.0" customHeight="1">
      <c r="A63" s="152"/>
      <c r="B63" s="135"/>
      <c r="C63" s="155"/>
      <c r="D63" s="154"/>
      <c r="E63" s="139"/>
      <c r="F63" s="139"/>
      <c r="G63" s="139"/>
      <c r="H63" s="135"/>
      <c r="I63" s="141"/>
      <c r="J63" s="147" t="str">
        <f>IFERROR(__xludf.DUMMYFUNCTION("IF(ISBLANK(A63),IFERROR(1/0),IF(COUNT(FILTER(F:F,A:A=A63))&gt;1,TRUNC(N63*F63/SUM(FILTER(N:N,A:A=A63)),3),F63))"),"")</f>
        <v/>
      </c>
      <c r="K63" s="147" t="str">
        <f>IFERROR(__xludf.DUMMYFUNCTION("IF(ISBLANK(A63),IFERROR(1/0),IF(COUNT(FILTER(G:G,((A:A=A63)*(B:B=""V""))))&gt;1,TRUNC(N63*G63/SUM(FILTER(N:N,((A:A=A63)*(B:B=""V"")))),3),G63))"),"")</f>
        <v/>
      </c>
      <c r="L63" s="148" t="str">
        <f>IFERROR(__xludf.DUMMYFUNCTION("if($C63="""","""",iferror(if(row()&lt;&gt;2,INDEX(arrayformula(filter($M$2:$M62,$C$2:$C62&lt;&gt;"""",row($C$2:$C62)=max(if($C$2:$C62=C63,row($C$2:$C62),0)))) ,1),0),0))"),"")</f>
        <v/>
      </c>
      <c r="M63" s="148" t="str">
        <f t="shared" si="1"/>
        <v/>
      </c>
      <c r="N63" s="147" t="str">
        <f t="shared" si="2"/>
        <v/>
      </c>
      <c r="O63" s="147" t="str">
        <f t="shared" si="3"/>
        <v/>
      </c>
      <c r="P63" s="147" t="str">
        <f>IFERROR(__xludf.DUMMYFUNCTION("if(C63="""","""",iferror(if(row()&lt;&gt;2,INDEX(arrayformula(filter($Q$2:$Q62,$C$2:$C62&lt;&gt;"""",row($C$2:$C62)=max(if($C$2:$C62=C63,row($C$2:$C62),0)))) ,1),0),0))"),"")</f>
        <v/>
      </c>
      <c r="Q63" s="147" t="str">
        <f t="shared" si="4"/>
        <v/>
      </c>
      <c r="R63" s="149" t="str">
        <f t="shared" si="5"/>
        <v/>
      </c>
      <c r="S63" s="147" t="str">
        <f t="shared" si="6"/>
        <v/>
      </c>
      <c r="T63" s="147" t="str">
        <f t="shared" si="7"/>
        <v/>
      </c>
      <c r="U63" s="150" t="str">
        <f t="shared" si="8"/>
        <v/>
      </c>
      <c r="V63" s="151" t="str">
        <f>IFERROR(VLOOKUP(C63,Ativos!$A$1:$G2000,5,),)</f>
        <v/>
      </c>
    </row>
    <row r="64" ht="21.0" customHeight="1">
      <c r="A64" s="156"/>
      <c r="B64" s="135"/>
      <c r="C64" s="155"/>
      <c r="D64" s="155"/>
      <c r="E64" s="157"/>
      <c r="F64" s="157"/>
      <c r="G64" s="139"/>
      <c r="H64" s="155"/>
      <c r="I64" s="141"/>
      <c r="J64" s="147" t="str">
        <f>IFERROR(__xludf.DUMMYFUNCTION("IF(ISBLANK(A64),IFERROR(1/0),IF(COUNT(FILTER(F:F,A:A=A64))&gt;1,TRUNC(N64*F64/SUM(FILTER(N:N,A:A=A64)),3),F64))"),"")</f>
        <v/>
      </c>
      <c r="K64" s="147" t="str">
        <f>IFERROR(__xludf.DUMMYFUNCTION("IF(ISBLANK(A64),IFERROR(1/0),IF(COUNT(FILTER(G:G,((A:A=A64)*(B:B=""V""))))&gt;1,TRUNC(N64*G64/SUM(FILTER(N:N,((A:A=A64)*(B:B=""V"")))),3),G64))"),"")</f>
        <v/>
      </c>
      <c r="L64" s="148" t="str">
        <f>IFERROR(__xludf.DUMMYFUNCTION("if($C64="""","""",iferror(if(row()&lt;&gt;2,INDEX(arrayformula(filter($M$2:$M63,$C$2:$C63&lt;&gt;"""",row($C$2:$C63)=max(if($C$2:$C63=C64,row($C$2:$C63),0)))) ,1),0),0))"),"")</f>
        <v/>
      </c>
      <c r="M64" s="148" t="str">
        <f t="shared" si="1"/>
        <v/>
      </c>
      <c r="N64" s="147" t="str">
        <f t="shared" si="2"/>
        <v/>
      </c>
      <c r="O64" s="147" t="str">
        <f t="shared" si="3"/>
        <v/>
      </c>
      <c r="P64" s="147" t="str">
        <f>IFERROR(__xludf.DUMMYFUNCTION("if(C64="""","""",iferror(if(row()&lt;&gt;2,INDEX(arrayformula(filter($Q$2:$Q63,$C$2:$C63&lt;&gt;"""",row($C$2:$C63)=max(if($C$2:$C63=C64,row($C$2:$C63),0)))) ,1),0),0))"),"")</f>
        <v/>
      </c>
      <c r="Q64" s="147" t="str">
        <f t="shared" si="4"/>
        <v/>
      </c>
      <c r="R64" s="149" t="str">
        <f t="shared" si="5"/>
        <v/>
      </c>
      <c r="S64" s="147" t="str">
        <f t="shared" si="6"/>
        <v/>
      </c>
      <c r="T64" s="147" t="str">
        <f t="shared" si="7"/>
        <v/>
      </c>
      <c r="U64" s="150" t="str">
        <f t="shared" si="8"/>
        <v/>
      </c>
      <c r="V64" s="151" t="str">
        <f>IFERROR(VLOOKUP(C64,Ativos!$A$1:$G2000,5,),)</f>
        <v/>
      </c>
    </row>
    <row r="65" ht="21.0" customHeight="1">
      <c r="A65" s="152"/>
      <c r="B65" s="135"/>
      <c r="C65" s="153"/>
      <c r="D65" s="154"/>
      <c r="E65" s="139"/>
      <c r="F65" s="139"/>
      <c r="G65" s="139"/>
      <c r="H65" s="135"/>
      <c r="I65" s="141"/>
      <c r="J65" s="147" t="str">
        <f>IFERROR(__xludf.DUMMYFUNCTION("IF(ISBLANK(A65),IFERROR(1/0),IF(COUNT(FILTER(F:F,A:A=A65))&gt;1,TRUNC(N65*F65/SUM(FILTER(N:N,A:A=A65)),3),F65))"),"")</f>
        <v/>
      </c>
      <c r="K65" s="147" t="str">
        <f>IFERROR(__xludf.DUMMYFUNCTION("IF(ISBLANK(A65),IFERROR(1/0),IF(COUNT(FILTER(G:G,((A:A=A65)*(B:B=""V""))))&gt;1,TRUNC(N65*G65/SUM(FILTER(N:N,((A:A=A65)*(B:B=""V"")))),3),G65))"),"")</f>
        <v/>
      </c>
      <c r="L65" s="148" t="str">
        <f>IFERROR(__xludf.DUMMYFUNCTION("if($C65="""","""",iferror(if(row()&lt;&gt;2,INDEX(arrayformula(filter($M$2:$M64,$C$2:$C64&lt;&gt;"""",row($C$2:$C64)=max(if($C$2:$C64=C65,row($C$2:$C64),0)))) ,1),0),0))"),"")</f>
        <v/>
      </c>
      <c r="M65" s="148" t="str">
        <f t="shared" si="1"/>
        <v/>
      </c>
      <c r="N65" s="147" t="str">
        <f t="shared" si="2"/>
        <v/>
      </c>
      <c r="O65" s="147" t="str">
        <f t="shared" si="3"/>
        <v/>
      </c>
      <c r="P65" s="147" t="str">
        <f>IFERROR(__xludf.DUMMYFUNCTION("if(C65="""","""",iferror(if(row()&lt;&gt;2,INDEX(arrayformula(filter($Q$2:$Q64,$C$2:$C64&lt;&gt;"""",row($C$2:$C64)=max(if($C$2:$C64=C65,row($C$2:$C64),0)))) ,1),0),0))"),"")</f>
        <v/>
      </c>
      <c r="Q65" s="147" t="str">
        <f t="shared" si="4"/>
        <v/>
      </c>
      <c r="R65" s="149" t="str">
        <f t="shared" si="5"/>
        <v/>
      </c>
      <c r="S65" s="147" t="str">
        <f t="shared" si="6"/>
        <v/>
      </c>
      <c r="T65" s="147" t="str">
        <f t="shared" si="7"/>
        <v/>
      </c>
      <c r="U65" s="150" t="str">
        <f t="shared" si="8"/>
        <v/>
      </c>
      <c r="V65" s="151" t="str">
        <f>IFERROR(VLOOKUP(C65,Ativos!$A$1:$G2000,5,),)</f>
        <v/>
      </c>
    </row>
    <row r="66" ht="21.0" customHeight="1">
      <c r="A66" s="152"/>
      <c r="B66" s="135"/>
      <c r="C66" s="153"/>
      <c r="D66" s="154"/>
      <c r="E66" s="139"/>
      <c r="F66" s="139"/>
      <c r="G66" s="139"/>
      <c r="H66" s="135"/>
      <c r="I66" s="141"/>
      <c r="J66" s="147" t="str">
        <f>IFERROR(__xludf.DUMMYFUNCTION("IF(ISBLANK(A66),IFERROR(1/0),IF(COUNT(FILTER(F:F,A:A=A66))&gt;1,TRUNC(N66*F66/SUM(FILTER(N:N,A:A=A66)),3),F66))"),"")</f>
        <v/>
      </c>
      <c r="K66" s="147" t="str">
        <f>IFERROR(__xludf.DUMMYFUNCTION("IF(ISBLANK(A66),IFERROR(1/0),IF(COUNT(FILTER(G:G,((A:A=A66)*(B:B=""V""))))&gt;1,TRUNC(N66*G66/SUM(FILTER(N:N,((A:A=A66)*(B:B=""V"")))),3),G66))"),"")</f>
        <v/>
      </c>
      <c r="L66" s="148" t="str">
        <f>IFERROR(__xludf.DUMMYFUNCTION("if($C66="""","""",iferror(if(row()&lt;&gt;2,INDEX(arrayformula(filter($M$2:$M65,$C$2:$C65&lt;&gt;"""",row($C$2:$C65)=max(if($C$2:$C65=C66,row($C$2:$C65),0)))) ,1),0),0))"),"")</f>
        <v/>
      </c>
      <c r="M66" s="148" t="str">
        <f t="shared" si="1"/>
        <v/>
      </c>
      <c r="N66" s="147" t="str">
        <f t="shared" si="2"/>
        <v/>
      </c>
      <c r="O66" s="147" t="str">
        <f t="shared" si="3"/>
        <v/>
      </c>
      <c r="P66" s="147" t="str">
        <f>IFERROR(__xludf.DUMMYFUNCTION("if(C66="""","""",iferror(if(row()&lt;&gt;2,INDEX(arrayformula(filter($Q$2:$Q65,$C$2:$C65&lt;&gt;"""",row($C$2:$C65)=max(if($C$2:$C65=C66,row($C$2:$C65),0)))) ,1),0),0))"),"")</f>
        <v/>
      </c>
      <c r="Q66" s="147" t="str">
        <f t="shared" si="4"/>
        <v/>
      </c>
      <c r="R66" s="149" t="str">
        <f t="shared" si="5"/>
        <v/>
      </c>
      <c r="S66" s="147" t="str">
        <f t="shared" si="6"/>
        <v/>
      </c>
      <c r="T66" s="147" t="str">
        <f t="shared" si="7"/>
        <v/>
      </c>
      <c r="U66" s="150" t="str">
        <f t="shared" si="8"/>
        <v/>
      </c>
      <c r="V66" s="151" t="str">
        <f>IFERROR(VLOOKUP(C66,Ativos!$A$1:$G2000,5,),)</f>
        <v/>
      </c>
    </row>
    <row r="67" ht="21.0" customHeight="1">
      <c r="A67" s="156"/>
      <c r="B67" s="135"/>
      <c r="C67" s="155"/>
      <c r="D67" s="155"/>
      <c r="E67" s="157"/>
      <c r="F67" s="157"/>
      <c r="G67" s="139"/>
      <c r="H67" s="155"/>
      <c r="I67" s="141"/>
      <c r="J67" s="147" t="str">
        <f>IFERROR(__xludf.DUMMYFUNCTION("IF(ISBLANK(A67),IFERROR(1/0),IF(COUNT(FILTER(F:F,A:A=A67))&gt;1,TRUNC(N67*F67/SUM(FILTER(N:N,A:A=A67)),3),F67))"),"")</f>
        <v/>
      </c>
      <c r="K67" s="147" t="str">
        <f>IFERROR(__xludf.DUMMYFUNCTION("IF(ISBLANK(A67),IFERROR(1/0),IF(COUNT(FILTER(G:G,((A:A=A67)*(B:B=""V""))))&gt;1,TRUNC(N67*G67/SUM(FILTER(N:N,((A:A=A67)*(B:B=""V"")))),3),G67))"),"")</f>
        <v/>
      </c>
      <c r="L67" s="148" t="str">
        <f>IFERROR(__xludf.DUMMYFUNCTION("if($C67="""","""",iferror(if(row()&lt;&gt;2,INDEX(arrayformula(filter($M$2:$M66,$C$2:$C66&lt;&gt;"""",row($C$2:$C66)=max(if($C$2:$C66=C67,row($C$2:$C66),0)))) ,1),0),0))"),"")</f>
        <v/>
      </c>
      <c r="M67" s="148" t="str">
        <f t="shared" si="1"/>
        <v/>
      </c>
      <c r="N67" s="147" t="str">
        <f t="shared" si="2"/>
        <v/>
      </c>
      <c r="O67" s="147" t="str">
        <f t="shared" si="3"/>
        <v/>
      </c>
      <c r="P67" s="147" t="str">
        <f>IFERROR(__xludf.DUMMYFUNCTION("if(C67="""","""",iferror(if(row()&lt;&gt;2,INDEX(arrayformula(filter($Q$2:$Q66,$C$2:$C66&lt;&gt;"""",row($C$2:$C66)=max(if($C$2:$C66=C67,row($C$2:$C66),0)))) ,1),0),0))"),"")</f>
        <v/>
      </c>
      <c r="Q67" s="147" t="str">
        <f t="shared" si="4"/>
        <v/>
      </c>
      <c r="R67" s="149" t="str">
        <f t="shared" si="5"/>
        <v/>
      </c>
      <c r="S67" s="147" t="str">
        <f t="shared" si="6"/>
        <v/>
      </c>
      <c r="T67" s="147" t="str">
        <f t="shared" si="7"/>
        <v/>
      </c>
      <c r="U67" s="150" t="str">
        <f t="shared" si="8"/>
        <v/>
      </c>
      <c r="V67" s="151" t="str">
        <f>IFERROR(VLOOKUP(C67,Ativos!$A$1:$G2000,5,),)</f>
        <v/>
      </c>
    </row>
    <row r="68" ht="21.0" customHeight="1">
      <c r="A68" s="156"/>
      <c r="B68" s="135"/>
      <c r="C68" s="155"/>
      <c r="D68" s="155"/>
      <c r="E68" s="157"/>
      <c r="F68" s="157"/>
      <c r="G68" s="139"/>
      <c r="H68" s="155"/>
      <c r="I68" s="141"/>
      <c r="J68" s="147" t="str">
        <f>IFERROR(__xludf.DUMMYFUNCTION("IF(ISBLANK(A68),IFERROR(1/0),IF(COUNT(FILTER(F:F,A:A=A68))&gt;1,TRUNC(N68*F68/SUM(FILTER(N:N,A:A=A68)),3),F68))"),"")</f>
        <v/>
      </c>
      <c r="K68" s="147" t="str">
        <f>IFERROR(__xludf.DUMMYFUNCTION("IF(ISBLANK(A68),IFERROR(1/0),IF(COUNT(FILTER(G:G,((A:A=A68)*(B:B=""V""))))&gt;1,TRUNC(N68*G68/SUM(FILTER(N:N,((A:A=A68)*(B:B=""V"")))),3),G68))"),"")</f>
        <v/>
      </c>
      <c r="L68" s="148" t="str">
        <f>IFERROR(__xludf.DUMMYFUNCTION("if($C68="""","""",iferror(if(row()&lt;&gt;2,INDEX(arrayformula(filter($M$2:$M67,$C$2:$C67&lt;&gt;"""",row($C$2:$C67)=max(if($C$2:$C67=C68,row($C$2:$C67),0)))) ,1),0),0))"),"")</f>
        <v/>
      </c>
      <c r="M68" s="148" t="str">
        <f t="shared" si="1"/>
        <v/>
      </c>
      <c r="N68" s="147" t="str">
        <f t="shared" si="2"/>
        <v/>
      </c>
      <c r="O68" s="147" t="str">
        <f t="shared" si="3"/>
        <v/>
      </c>
      <c r="P68" s="147" t="str">
        <f>IFERROR(__xludf.DUMMYFUNCTION("if(C68="""","""",iferror(if(row()&lt;&gt;2,INDEX(arrayformula(filter($Q$2:$Q67,$C$2:$C67&lt;&gt;"""",row($C$2:$C67)=max(if($C$2:$C67=C68,row($C$2:$C67),0)))) ,1),0),0))"),"")</f>
        <v/>
      </c>
      <c r="Q68" s="147" t="str">
        <f t="shared" si="4"/>
        <v/>
      </c>
      <c r="R68" s="149" t="str">
        <f t="shared" si="5"/>
        <v/>
      </c>
      <c r="S68" s="147" t="str">
        <f t="shared" si="6"/>
        <v/>
      </c>
      <c r="T68" s="147" t="str">
        <f t="shared" si="7"/>
        <v/>
      </c>
      <c r="U68" s="150" t="str">
        <f t="shared" si="8"/>
        <v/>
      </c>
      <c r="V68" s="151" t="str">
        <f>IFERROR(VLOOKUP(C68,Ativos!$A$1:$G2000,5,),)</f>
        <v/>
      </c>
    </row>
    <row r="69" ht="21.0" customHeight="1">
      <c r="A69" s="152"/>
      <c r="B69" s="135"/>
      <c r="C69" s="153"/>
      <c r="D69" s="154"/>
      <c r="E69" s="139"/>
      <c r="F69" s="139"/>
      <c r="G69" s="139"/>
      <c r="H69" s="135"/>
      <c r="I69" s="141"/>
      <c r="J69" s="147" t="str">
        <f>IFERROR(__xludf.DUMMYFUNCTION("IF(ISBLANK(A69),IFERROR(1/0),IF(COUNT(FILTER(F:F,A:A=A69))&gt;1,TRUNC(N69*F69/SUM(FILTER(N:N,A:A=A69)),3),F69))"),"")</f>
        <v/>
      </c>
      <c r="K69" s="147" t="str">
        <f>IFERROR(__xludf.DUMMYFUNCTION("IF(ISBLANK(A69),IFERROR(1/0),IF(COUNT(FILTER(G:G,((A:A=A69)*(B:B=""V""))))&gt;1,TRUNC(N69*G69/SUM(FILTER(N:N,((A:A=A69)*(B:B=""V"")))),3),G69))"),"")</f>
        <v/>
      </c>
      <c r="L69" s="148" t="str">
        <f>IFERROR(__xludf.DUMMYFUNCTION("if($C69="""","""",iferror(if(row()&lt;&gt;2,INDEX(arrayformula(filter($M$2:$M68,$C$2:$C68&lt;&gt;"""",row($C$2:$C68)=max(if($C$2:$C68=C69,row($C$2:$C68),0)))) ,1),0),0))"),"")</f>
        <v/>
      </c>
      <c r="M69" s="148" t="str">
        <f t="shared" si="1"/>
        <v/>
      </c>
      <c r="N69" s="147" t="str">
        <f t="shared" si="2"/>
        <v/>
      </c>
      <c r="O69" s="147" t="str">
        <f t="shared" si="3"/>
        <v/>
      </c>
      <c r="P69" s="147" t="str">
        <f>IFERROR(__xludf.DUMMYFUNCTION("if(C69="""","""",iferror(if(row()&lt;&gt;2,INDEX(arrayformula(filter($Q$2:$Q68,$C$2:$C68&lt;&gt;"""",row($C$2:$C68)=max(if($C$2:$C68=C69,row($C$2:$C68),0)))) ,1),0),0))"),"")</f>
        <v/>
      </c>
      <c r="Q69" s="147" t="str">
        <f t="shared" si="4"/>
        <v/>
      </c>
      <c r="R69" s="149" t="str">
        <f t="shared" si="5"/>
        <v/>
      </c>
      <c r="S69" s="147" t="str">
        <f t="shared" si="6"/>
        <v/>
      </c>
      <c r="T69" s="147" t="str">
        <f t="shared" si="7"/>
        <v/>
      </c>
      <c r="U69" s="150" t="str">
        <f t="shared" si="8"/>
        <v/>
      </c>
      <c r="V69" s="151" t="str">
        <f>IFERROR(VLOOKUP(C69,Ativos!$A$1:$G2000,5,),)</f>
        <v/>
      </c>
    </row>
    <row r="70" ht="21.0" customHeight="1">
      <c r="A70" s="152"/>
      <c r="B70" s="135"/>
      <c r="C70" s="153"/>
      <c r="D70" s="154"/>
      <c r="E70" s="139"/>
      <c r="F70" s="139"/>
      <c r="G70" s="139"/>
      <c r="H70" s="135"/>
      <c r="I70" s="141"/>
      <c r="J70" s="147" t="str">
        <f>IFERROR(__xludf.DUMMYFUNCTION("IF(ISBLANK(A70),IFERROR(1/0),IF(COUNT(FILTER(F:F,A:A=A70))&gt;1,TRUNC(N70*F70/SUM(FILTER(N:N,A:A=A70)),3),F70))"),"")</f>
        <v/>
      </c>
      <c r="K70" s="147" t="str">
        <f>IFERROR(__xludf.DUMMYFUNCTION("IF(ISBLANK(A70),IFERROR(1/0),IF(COUNT(FILTER(G:G,((A:A=A70)*(B:B=""V""))))&gt;1,TRUNC(N70*G70/SUM(FILTER(N:N,((A:A=A70)*(B:B=""V"")))),3),G70))"),"")</f>
        <v/>
      </c>
      <c r="L70" s="148" t="str">
        <f>IFERROR(__xludf.DUMMYFUNCTION("if($C70="""","""",iferror(if(row()&lt;&gt;2,INDEX(arrayformula(filter($M$2:$M69,$C$2:$C69&lt;&gt;"""",row($C$2:$C69)=max(if($C$2:$C69=C70,row($C$2:$C69),0)))) ,1),0),0))"),"")</f>
        <v/>
      </c>
      <c r="M70" s="148" t="str">
        <f t="shared" si="1"/>
        <v/>
      </c>
      <c r="N70" s="147" t="str">
        <f t="shared" si="2"/>
        <v/>
      </c>
      <c r="O70" s="147" t="str">
        <f t="shared" si="3"/>
        <v/>
      </c>
      <c r="P70" s="147" t="str">
        <f>IFERROR(__xludf.DUMMYFUNCTION("if(C70="""","""",iferror(if(row()&lt;&gt;2,INDEX(arrayformula(filter($Q$2:$Q69,$C$2:$C69&lt;&gt;"""",row($C$2:$C69)=max(if($C$2:$C69=C70,row($C$2:$C69),0)))) ,1),0),0))"),"")</f>
        <v/>
      </c>
      <c r="Q70" s="147" t="str">
        <f t="shared" si="4"/>
        <v/>
      </c>
      <c r="R70" s="149" t="str">
        <f t="shared" si="5"/>
        <v/>
      </c>
      <c r="S70" s="147" t="str">
        <f t="shared" si="6"/>
        <v/>
      </c>
      <c r="T70" s="147" t="str">
        <f t="shared" si="7"/>
        <v/>
      </c>
      <c r="U70" s="150" t="str">
        <f t="shared" si="8"/>
        <v/>
      </c>
      <c r="V70" s="151" t="str">
        <f>IFERROR(VLOOKUP(C70,Ativos!$A$1:$G2000,5,),)</f>
        <v/>
      </c>
    </row>
    <row r="71" ht="21.0" customHeight="1">
      <c r="A71" s="152"/>
      <c r="B71" s="135"/>
      <c r="C71" s="155"/>
      <c r="D71" s="154"/>
      <c r="E71" s="139"/>
      <c r="F71" s="139"/>
      <c r="G71" s="139"/>
      <c r="H71" s="135"/>
      <c r="I71" s="141"/>
      <c r="J71" s="147" t="str">
        <f>IFERROR(__xludf.DUMMYFUNCTION("IF(ISBLANK(A71),IFERROR(1/0),IF(COUNT(FILTER(F:F,A:A=A71))&gt;1,TRUNC(N71*F71/SUM(FILTER(N:N,A:A=A71)),3),F71))"),"")</f>
        <v/>
      </c>
      <c r="K71" s="147" t="str">
        <f>IFERROR(__xludf.DUMMYFUNCTION("IF(ISBLANK(A71),IFERROR(1/0),IF(COUNT(FILTER(G:G,((A:A=A71)*(B:B=""V""))))&gt;1,TRUNC(N71*G71/SUM(FILTER(N:N,((A:A=A71)*(B:B=""V"")))),3),G71))"),"")</f>
        <v/>
      </c>
      <c r="L71" s="148" t="str">
        <f>IFERROR(__xludf.DUMMYFUNCTION("if($C71="""","""",iferror(if(row()&lt;&gt;2,INDEX(arrayformula(filter($M$2:$M70,$C$2:$C70&lt;&gt;"""",row($C$2:$C70)=max(if($C$2:$C70=C71,row($C$2:$C70),0)))) ,1),0),0))"),"")</f>
        <v/>
      </c>
      <c r="M71" s="148" t="str">
        <f t="shared" si="1"/>
        <v/>
      </c>
      <c r="N71" s="147" t="str">
        <f t="shared" si="2"/>
        <v/>
      </c>
      <c r="O71" s="147" t="str">
        <f t="shared" si="3"/>
        <v/>
      </c>
      <c r="P71" s="147" t="str">
        <f>IFERROR(__xludf.DUMMYFUNCTION("if(C71="""","""",iferror(if(row()&lt;&gt;2,INDEX(arrayformula(filter($Q$2:$Q70,$C$2:$C70&lt;&gt;"""",row($C$2:$C70)=max(if($C$2:$C70=C71,row($C$2:$C70),0)))) ,1),0),0))"),"")</f>
        <v/>
      </c>
      <c r="Q71" s="147" t="str">
        <f t="shared" si="4"/>
        <v/>
      </c>
      <c r="R71" s="149" t="str">
        <f t="shared" si="5"/>
        <v/>
      </c>
      <c r="S71" s="147" t="str">
        <f t="shared" si="6"/>
        <v/>
      </c>
      <c r="T71" s="147" t="str">
        <f t="shared" si="7"/>
        <v/>
      </c>
      <c r="U71" s="150" t="str">
        <f t="shared" si="8"/>
        <v/>
      </c>
      <c r="V71" s="151" t="str">
        <f>IFERROR(VLOOKUP(C71,Ativos!$A$1:$G2000,5,),)</f>
        <v/>
      </c>
    </row>
    <row r="72" ht="21.0" customHeight="1">
      <c r="A72" s="156"/>
      <c r="B72" s="135"/>
      <c r="C72" s="155"/>
      <c r="D72" s="155"/>
      <c r="E72" s="157"/>
      <c r="F72" s="157"/>
      <c r="G72" s="139"/>
      <c r="H72" s="155"/>
      <c r="I72" s="141"/>
      <c r="J72" s="147" t="str">
        <f>IFERROR(__xludf.DUMMYFUNCTION("IF(ISBLANK(A72),IFERROR(1/0),IF(COUNT(FILTER(F:F,A:A=A72))&gt;1,TRUNC(N72*F72/SUM(FILTER(N:N,A:A=A72)),3),F72))"),"")</f>
        <v/>
      </c>
      <c r="K72" s="147" t="str">
        <f>IFERROR(__xludf.DUMMYFUNCTION("IF(ISBLANK(A72),IFERROR(1/0),IF(COUNT(FILTER(G:G,((A:A=A72)*(B:B=""V""))))&gt;1,TRUNC(N72*G72/SUM(FILTER(N:N,((A:A=A72)*(B:B=""V"")))),3),G72))"),"")</f>
        <v/>
      </c>
      <c r="L72" s="148" t="str">
        <f>IFERROR(__xludf.DUMMYFUNCTION("if($C72="""","""",iferror(if(row()&lt;&gt;2,INDEX(arrayformula(filter($M$2:$M71,$C$2:$C71&lt;&gt;"""",row($C$2:$C71)=max(if($C$2:$C71=C72,row($C$2:$C71),0)))) ,1),0),0))"),"")</f>
        <v/>
      </c>
      <c r="M72" s="148" t="str">
        <f t="shared" si="1"/>
        <v/>
      </c>
      <c r="N72" s="147" t="str">
        <f t="shared" si="2"/>
        <v/>
      </c>
      <c r="O72" s="147" t="str">
        <f t="shared" si="3"/>
        <v/>
      </c>
      <c r="P72" s="147" t="str">
        <f>IFERROR(__xludf.DUMMYFUNCTION("if(C72="""","""",iferror(if(row()&lt;&gt;2,INDEX(arrayformula(filter($Q$2:$Q71,$C$2:$C71&lt;&gt;"""",row($C$2:$C71)=max(if($C$2:$C71=C72,row($C$2:$C71),0)))) ,1),0),0))"),"")</f>
        <v/>
      </c>
      <c r="Q72" s="147" t="str">
        <f t="shared" si="4"/>
        <v/>
      </c>
      <c r="R72" s="149" t="str">
        <f t="shared" si="5"/>
        <v/>
      </c>
      <c r="S72" s="147" t="str">
        <f t="shared" si="6"/>
        <v/>
      </c>
      <c r="T72" s="147" t="str">
        <f t="shared" si="7"/>
        <v/>
      </c>
      <c r="U72" s="150" t="str">
        <f t="shared" si="8"/>
        <v/>
      </c>
      <c r="V72" s="151" t="str">
        <f>IFERROR(VLOOKUP(C72,Ativos!$A$1:$G2000,5,),)</f>
        <v/>
      </c>
    </row>
    <row r="73" ht="21.0" customHeight="1">
      <c r="A73" s="152"/>
      <c r="B73" s="135"/>
      <c r="C73" s="153"/>
      <c r="D73" s="154"/>
      <c r="E73" s="139"/>
      <c r="F73" s="139"/>
      <c r="G73" s="139"/>
      <c r="H73" s="135"/>
      <c r="I73" s="141"/>
      <c r="J73" s="147" t="str">
        <f>IFERROR(__xludf.DUMMYFUNCTION("IF(ISBLANK(A73),IFERROR(1/0),IF(COUNT(FILTER(F:F,A:A=A73))&gt;1,TRUNC(N73*F73/SUM(FILTER(N:N,A:A=A73)),3),F73))"),"")</f>
        <v/>
      </c>
      <c r="K73" s="147" t="str">
        <f>IFERROR(__xludf.DUMMYFUNCTION("IF(ISBLANK(A73),IFERROR(1/0),IF(COUNT(FILTER(G:G,((A:A=A73)*(B:B=""V""))))&gt;1,TRUNC(N73*G73/SUM(FILTER(N:N,((A:A=A73)*(B:B=""V"")))),3),G73))"),"")</f>
        <v/>
      </c>
      <c r="L73" s="148" t="str">
        <f>IFERROR(__xludf.DUMMYFUNCTION("if($C73="""","""",iferror(if(row()&lt;&gt;2,INDEX(arrayformula(filter($M$2:$M72,$C$2:$C72&lt;&gt;"""",row($C$2:$C72)=max(if($C$2:$C72=C73,row($C$2:$C72),0)))) ,1),0),0))"),"")</f>
        <v/>
      </c>
      <c r="M73" s="148" t="str">
        <f t="shared" si="1"/>
        <v/>
      </c>
      <c r="N73" s="147" t="str">
        <f t="shared" si="2"/>
        <v/>
      </c>
      <c r="O73" s="147" t="str">
        <f t="shared" si="3"/>
        <v/>
      </c>
      <c r="P73" s="147" t="str">
        <f>IFERROR(__xludf.DUMMYFUNCTION("if(C73="""","""",iferror(if(row()&lt;&gt;2,INDEX(arrayformula(filter($Q$2:$Q72,$C$2:$C72&lt;&gt;"""",row($C$2:$C72)=max(if($C$2:$C72=C73,row($C$2:$C72),0)))) ,1),0),0))"),"")</f>
        <v/>
      </c>
      <c r="Q73" s="147" t="str">
        <f t="shared" si="4"/>
        <v/>
      </c>
      <c r="R73" s="149" t="str">
        <f t="shared" si="5"/>
        <v/>
      </c>
      <c r="S73" s="147" t="str">
        <f t="shared" si="6"/>
        <v/>
      </c>
      <c r="T73" s="147" t="str">
        <f t="shared" si="7"/>
        <v/>
      </c>
      <c r="U73" s="150" t="str">
        <f t="shared" si="8"/>
        <v/>
      </c>
      <c r="V73" s="151" t="str">
        <f>IFERROR(VLOOKUP(C73,Ativos!$A$1:$G2000,5,),)</f>
        <v/>
      </c>
    </row>
    <row r="74" ht="21.0" customHeight="1">
      <c r="A74" s="152"/>
      <c r="B74" s="135"/>
      <c r="C74" s="153"/>
      <c r="D74" s="154"/>
      <c r="E74" s="139"/>
      <c r="F74" s="139"/>
      <c r="G74" s="139"/>
      <c r="H74" s="135"/>
      <c r="I74" s="141"/>
      <c r="J74" s="147" t="str">
        <f>IFERROR(__xludf.DUMMYFUNCTION("IF(ISBLANK(A74),IFERROR(1/0),IF(COUNT(FILTER(F:F,A:A=A74))&gt;1,TRUNC(N74*F74/SUM(FILTER(N:N,A:A=A74)),3),F74))"),"")</f>
        <v/>
      </c>
      <c r="K74" s="147" t="str">
        <f>IFERROR(__xludf.DUMMYFUNCTION("IF(ISBLANK(A74),IFERROR(1/0),IF(COUNT(FILTER(G:G,((A:A=A74)*(B:B=""V""))))&gt;1,TRUNC(N74*G74/SUM(FILTER(N:N,((A:A=A74)*(B:B=""V"")))),3),G74))"),"")</f>
        <v/>
      </c>
      <c r="L74" s="148" t="str">
        <f>IFERROR(__xludf.DUMMYFUNCTION("if($C74="""","""",iferror(if(row()&lt;&gt;2,INDEX(arrayformula(filter($M$2:$M73,$C$2:$C73&lt;&gt;"""",row($C$2:$C73)=max(if($C$2:$C73=C74,row($C$2:$C73),0)))) ,1),0),0))"),"")</f>
        <v/>
      </c>
      <c r="M74" s="148" t="str">
        <f t="shared" si="1"/>
        <v/>
      </c>
      <c r="N74" s="147" t="str">
        <f t="shared" si="2"/>
        <v/>
      </c>
      <c r="O74" s="147" t="str">
        <f t="shared" si="3"/>
        <v/>
      </c>
      <c r="P74" s="147" t="str">
        <f>IFERROR(__xludf.DUMMYFUNCTION("if(C74="""","""",iferror(if(row()&lt;&gt;2,INDEX(arrayformula(filter($Q$2:$Q73,$C$2:$C73&lt;&gt;"""",row($C$2:$C73)=max(if($C$2:$C73=C74,row($C$2:$C73),0)))) ,1),0),0))"),"")</f>
        <v/>
      </c>
      <c r="Q74" s="147" t="str">
        <f t="shared" si="4"/>
        <v/>
      </c>
      <c r="R74" s="149" t="str">
        <f t="shared" si="5"/>
        <v/>
      </c>
      <c r="S74" s="147" t="str">
        <f t="shared" si="6"/>
        <v/>
      </c>
      <c r="T74" s="147" t="str">
        <f t="shared" si="7"/>
        <v/>
      </c>
      <c r="U74" s="150" t="str">
        <f t="shared" si="8"/>
        <v/>
      </c>
      <c r="V74" s="151" t="str">
        <f>IFERROR(VLOOKUP(C74,Ativos!$A$1:$G2000,5,),)</f>
        <v/>
      </c>
    </row>
    <row r="75" ht="21.0" customHeight="1">
      <c r="A75" s="152"/>
      <c r="B75" s="135"/>
      <c r="C75" s="153"/>
      <c r="D75" s="154"/>
      <c r="E75" s="139"/>
      <c r="F75" s="139"/>
      <c r="G75" s="139"/>
      <c r="H75" s="135"/>
      <c r="I75" s="141"/>
      <c r="J75" s="147" t="str">
        <f>IFERROR(__xludf.DUMMYFUNCTION("IF(ISBLANK(A75),IFERROR(1/0),IF(COUNT(FILTER(F:F,A:A=A75))&gt;1,TRUNC(N75*F75/SUM(FILTER(N:N,A:A=A75)),3),F75))"),"")</f>
        <v/>
      </c>
      <c r="K75" s="147" t="str">
        <f>IFERROR(__xludf.DUMMYFUNCTION("IF(ISBLANK(A75),IFERROR(1/0),IF(COUNT(FILTER(G:G,((A:A=A75)*(B:B=""V""))))&gt;1,TRUNC(N75*G75/SUM(FILTER(N:N,((A:A=A75)*(B:B=""V"")))),3),G75))"),"")</f>
        <v/>
      </c>
      <c r="L75" s="148" t="str">
        <f>IFERROR(__xludf.DUMMYFUNCTION("if($C75="""","""",iferror(if(row()&lt;&gt;2,INDEX(arrayformula(filter($M$2:$M74,$C$2:$C74&lt;&gt;"""",row($C$2:$C74)=max(if($C$2:$C74=C75,row($C$2:$C74),0)))) ,1),0),0))"),"")</f>
        <v/>
      </c>
      <c r="M75" s="148" t="str">
        <f t="shared" si="1"/>
        <v/>
      </c>
      <c r="N75" s="147" t="str">
        <f t="shared" si="2"/>
        <v/>
      </c>
      <c r="O75" s="147" t="str">
        <f t="shared" si="3"/>
        <v/>
      </c>
      <c r="P75" s="147" t="str">
        <f>IFERROR(__xludf.DUMMYFUNCTION("if(C75="""","""",iferror(if(row()&lt;&gt;2,INDEX(arrayformula(filter($Q$2:$Q74,$C$2:$C74&lt;&gt;"""",row($C$2:$C74)=max(if($C$2:$C74=C75,row($C$2:$C74),0)))) ,1),0),0))"),"")</f>
        <v/>
      </c>
      <c r="Q75" s="147" t="str">
        <f t="shared" si="4"/>
        <v/>
      </c>
      <c r="R75" s="149" t="str">
        <f t="shared" si="5"/>
        <v/>
      </c>
      <c r="S75" s="147" t="str">
        <f t="shared" si="6"/>
        <v/>
      </c>
      <c r="T75" s="147" t="str">
        <f t="shared" si="7"/>
        <v/>
      </c>
      <c r="U75" s="150" t="str">
        <f t="shared" si="8"/>
        <v/>
      </c>
      <c r="V75" s="151" t="str">
        <f>IFERROR(VLOOKUP(C75,Ativos!$A$1:$G2000,5,),)</f>
        <v/>
      </c>
    </row>
    <row r="76" ht="21.0" customHeight="1">
      <c r="A76" s="152"/>
      <c r="B76" s="135"/>
      <c r="C76" s="153"/>
      <c r="D76" s="154"/>
      <c r="E76" s="139"/>
      <c r="F76" s="139"/>
      <c r="G76" s="139"/>
      <c r="H76" s="135"/>
      <c r="I76" s="141"/>
      <c r="J76" s="147" t="str">
        <f>IFERROR(__xludf.DUMMYFUNCTION("IF(ISBLANK(A76),IFERROR(1/0),IF(COUNT(FILTER(F:F,A:A=A76))&gt;1,TRUNC(N76*F76/SUM(FILTER(N:N,A:A=A76)),3),F76))"),"")</f>
        <v/>
      </c>
      <c r="K76" s="147" t="str">
        <f>IFERROR(__xludf.DUMMYFUNCTION("IF(ISBLANK(A76),IFERROR(1/0),IF(COUNT(FILTER(G:G,((A:A=A76)*(B:B=""V""))))&gt;1,TRUNC(N76*G76/SUM(FILTER(N:N,((A:A=A76)*(B:B=""V"")))),3),G76))"),"")</f>
        <v/>
      </c>
      <c r="L76" s="148" t="str">
        <f>IFERROR(__xludf.DUMMYFUNCTION("if($C76="""","""",iferror(if(row()&lt;&gt;2,INDEX(arrayformula(filter($M$2:$M75,$C$2:$C75&lt;&gt;"""",row($C$2:$C75)=max(if($C$2:$C75=C76,row($C$2:$C75),0)))) ,1),0),0))"),"")</f>
        <v/>
      </c>
      <c r="M76" s="148" t="str">
        <f t="shared" si="1"/>
        <v/>
      </c>
      <c r="N76" s="147" t="str">
        <f t="shared" si="2"/>
        <v/>
      </c>
      <c r="O76" s="147" t="str">
        <f t="shared" si="3"/>
        <v/>
      </c>
      <c r="P76" s="147" t="str">
        <f>IFERROR(__xludf.DUMMYFUNCTION("if(C76="""","""",iferror(if(row()&lt;&gt;2,INDEX(arrayformula(filter($Q$2:$Q75,$C$2:$C75&lt;&gt;"""",row($C$2:$C75)=max(if($C$2:$C75=C76,row($C$2:$C75),0)))) ,1),0),0))"),"")</f>
        <v/>
      </c>
      <c r="Q76" s="147" t="str">
        <f t="shared" si="4"/>
        <v/>
      </c>
      <c r="R76" s="149" t="str">
        <f t="shared" si="5"/>
        <v/>
      </c>
      <c r="S76" s="147" t="str">
        <f t="shared" si="6"/>
        <v/>
      </c>
      <c r="T76" s="147" t="str">
        <f t="shared" si="7"/>
        <v/>
      </c>
      <c r="U76" s="150" t="str">
        <f t="shared" si="8"/>
        <v/>
      </c>
      <c r="V76" s="151" t="str">
        <f>IFERROR(VLOOKUP(C76,Ativos!$A$1:$G2000,5,),)</f>
        <v/>
      </c>
    </row>
    <row r="77" ht="21.0" customHeight="1">
      <c r="A77" s="152"/>
      <c r="B77" s="135"/>
      <c r="C77" s="153"/>
      <c r="D77" s="154"/>
      <c r="E77" s="139"/>
      <c r="F77" s="139"/>
      <c r="G77" s="139"/>
      <c r="H77" s="135"/>
      <c r="I77" s="141"/>
      <c r="J77" s="147" t="str">
        <f>IFERROR(__xludf.DUMMYFUNCTION("IF(ISBLANK(A77),IFERROR(1/0),IF(COUNT(FILTER(F:F,A:A=A77))&gt;1,TRUNC(N77*F77/SUM(FILTER(N:N,A:A=A77)),3),F77))"),"")</f>
        <v/>
      </c>
      <c r="K77" s="147" t="str">
        <f>IFERROR(__xludf.DUMMYFUNCTION("IF(ISBLANK(A77),IFERROR(1/0),IF(COUNT(FILTER(G:G,((A:A=A77)*(B:B=""V""))))&gt;1,TRUNC(N77*G77/SUM(FILTER(N:N,((A:A=A77)*(B:B=""V"")))),3),G77))"),"")</f>
        <v/>
      </c>
      <c r="L77" s="148" t="str">
        <f>IFERROR(__xludf.DUMMYFUNCTION("if($C77="""","""",iferror(if(row()&lt;&gt;2,INDEX(arrayformula(filter($M$2:$M76,$C$2:$C76&lt;&gt;"""",row($C$2:$C76)=max(if($C$2:$C76=C77,row($C$2:$C76),0)))) ,1),0),0))"),"")</f>
        <v/>
      </c>
      <c r="M77" s="148" t="str">
        <f t="shared" si="1"/>
        <v/>
      </c>
      <c r="N77" s="147" t="str">
        <f t="shared" si="2"/>
        <v/>
      </c>
      <c r="O77" s="147" t="str">
        <f t="shared" si="3"/>
        <v/>
      </c>
      <c r="P77" s="147" t="str">
        <f>IFERROR(__xludf.DUMMYFUNCTION("if(C77="""","""",iferror(if(row()&lt;&gt;2,INDEX(arrayformula(filter($Q$2:$Q76,$C$2:$C76&lt;&gt;"""",row($C$2:$C76)=max(if($C$2:$C76=C77,row($C$2:$C76),0)))) ,1),0),0))"),"")</f>
        <v/>
      </c>
      <c r="Q77" s="147" t="str">
        <f t="shared" si="4"/>
        <v/>
      </c>
      <c r="R77" s="149" t="str">
        <f t="shared" si="5"/>
        <v/>
      </c>
      <c r="S77" s="147" t="str">
        <f t="shared" si="6"/>
        <v/>
      </c>
      <c r="T77" s="147" t="str">
        <f t="shared" si="7"/>
        <v/>
      </c>
      <c r="U77" s="150" t="str">
        <f t="shared" si="8"/>
        <v/>
      </c>
      <c r="V77" s="151" t="str">
        <f>IFERROR(VLOOKUP(C77,Ativos!$A$1:$G2000,5,),)</f>
        <v/>
      </c>
    </row>
    <row r="78" ht="21.0" customHeight="1">
      <c r="A78" s="152"/>
      <c r="B78" s="135"/>
      <c r="C78" s="153"/>
      <c r="D78" s="154"/>
      <c r="E78" s="139"/>
      <c r="F78" s="139"/>
      <c r="G78" s="139"/>
      <c r="H78" s="135"/>
      <c r="I78" s="141"/>
      <c r="J78" s="147" t="str">
        <f>IFERROR(__xludf.DUMMYFUNCTION("IF(ISBLANK(A78),IFERROR(1/0),IF(COUNT(FILTER(F:F,A:A=A78))&gt;1,TRUNC(N78*F78/SUM(FILTER(N:N,A:A=A78)),3),F78))"),"")</f>
        <v/>
      </c>
      <c r="K78" s="147" t="str">
        <f>IFERROR(__xludf.DUMMYFUNCTION("IF(ISBLANK(A78),IFERROR(1/0),IF(COUNT(FILTER(G:G,((A:A=A78)*(B:B=""V""))))&gt;1,TRUNC(N78*G78/SUM(FILTER(N:N,((A:A=A78)*(B:B=""V"")))),3),G78))"),"")</f>
        <v/>
      </c>
      <c r="L78" s="148" t="str">
        <f>IFERROR(__xludf.DUMMYFUNCTION("if($C78="""","""",iferror(if(row()&lt;&gt;2,INDEX(arrayformula(filter($M$2:$M77,$C$2:$C77&lt;&gt;"""",row($C$2:$C77)=max(if($C$2:$C77=C78,row($C$2:$C77),0)))) ,1),0),0))"),"")</f>
        <v/>
      </c>
      <c r="M78" s="148" t="str">
        <f t="shared" si="1"/>
        <v/>
      </c>
      <c r="N78" s="147" t="str">
        <f t="shared" si="2"/>
        <v/>
      </c>
      <c r="O78" s="147" t="str">
        <f t="shared" si="3"/>
        <v/>
      </c>
      <c r="P78" s="147" t="str">
        <f>IFERROR(__xludf.DUMMYFUNCTION("if(C78="""","""",iferror(if(row()&lt;&gt;2,INDEX(arrayformula(filter($Q$2:$Q77,$C$2:$C77&lt;&gt;"""",row($C$2:$C77)=max(if($C$2:$C77=C78,row($C$2:$C77),0)))) ,1),0),0))"),"")</f>
        <v/>
      </c>
      <c r="Q78" s="147" t="str">
        <f t="shared" si="4"/>
        <v/>
      </c>
      <c r="R78" s="149" t="str">
        <f t="shared" si="5"/>
        <v/>
      </c>
      <c r="S78" s="147" t="str">
        <f t="shared" si="6"/>
        <v/>
      </c>
      <c r="T78" s="147" t="str">
        <f t="shared" si="7"/>
        <v/>
      </c>
      <c r="U78" s="150" t="str">
        <f t="shared" si="8"/>
        <v/>
      </c>
      <c r="V78" s="151" t="str">
        <f>IFERROR(VLOOKUP(C78,Ativos!$A$1:$G2000,5,),)</f>
        <v/>
      </c>
    </row>
    <row r="79" ht="21.0" customHeight="1">
      <c r="A79" s="152"/>
      <c r="B79" s="135"/>
      <c r="C79" s="153"/>
      <c r="D79" s="154"/>
      <c r="E79" s="139"/>
      <c r="F79" s="139"/>
      <c r="G79" s="139"/>
      <c r="H79" s="135"/>
      <c r="I79" s="141"/>
      <c r="J79" s="147" t="str">
        <f>IFERROR(__xludf.DUMMYFUNCTION("IF(ISBLANK(A79),IFERROR(1/0),IF(COUNT(FILTER(F:F,A:A=A79))&gt;1,TRUNC(N79*F79/SUM(FILTER(N:N,A:A=A79)),3),F79))"),"")</f>
        <v/>
      </c>
      <c r="K79" s="147" t="str">
        <f>IFERROR(__xludf.DUMMYFUNCTION("IF(ISBLANK(A79),IFERROR(1/0),IF(COUNT(FILTER(G:G,((A:A=A79)*(B:B=""V""))))&gt;1,TRUNC(N79*G79/SUM(FILTER(N:N,((A:A=A79)*(B:B=""V"")))),3),G79))"),"")</f>
        <v/>
      </c>
      <c r="L79" s="148" t="str">
        <f>IFERROR(__xludf.DUMMYFUNCTION("if($C79="""","""",iferror(if(row()&lt;&gt;2,INDEX(arrayformula(filter($M$2:$M78,$C$2:$C78&lt;&gt;"""",row($C$2:$C78)=max(if($C$2:$C78=C79,row($C$2:$C78),0)))) ,1),0),0))"),"")</f>
        <v/>
      </c>
      <c r="M79" s="148" t="str">
        <f t="shared" si="1"/>
        <v/>
      </c>
      <c r="N79" s="147" t="str">
        <f t="shared" si="2"/>
        <v/>
      </c>
      <c r="O79" s="147" t="str">
        <f t="shared" si="3"/>
        <v/>
      </c>
      <c r="P79" s="147" t="str">
        <f>IFERROR(__xludf.DUMMYFUNCTION("if(C79="""","""",iferror(if(row()&lt;&gt;2,INDEX(arrayformula(filter($Q$2:$Q78,$C$2:$C78&lt;&gt;"""",row($C$2:$C78)=max(if($C$2:$C78=C79,row($C$2:$C78),0)))) ,1),0),0))"),"")</f>
        <v/>
      </c>
      <c r="Q79" s="147" t="str">
        <f t="shared" si="4"/>
        <v/>
      </c>
      <c r="R79" s="149" t="str">
        <f t="shared" si="5"/>
        <v/>
      </c>
      <c r="S79" s="147" t="str">
        <f t="shared" si="6"/>
        <v/>
      </c>
      <c r="T79" s="147" t="str">
        <f t="shared" si="7"/>
        <v/>
      </c>
      <c r="U79" s="150" t="str">
        <f t="shared" si="8"/>
        <v/>
      </c>
      <c r="V79" s="151" t="str">
        <f>IFERROR(VLOOKUP(C79,Ativos!$A$1:$G2000,5,),)</f>
        <v/>
      </c>
    </row>
    <row r="80" ht="21.0" customHeight="1">
      <c r="A80" s="152"/>
      <c r="B80" s="135"/>
      <c r="C80" s="153"/>
      <c r="D80" s="154"/>
      <c r="E80" s="139"/>
      <c r="F80" s="139"/>
      <c r="G80" s="139"/>
      <c r="H80" s="135"/>
      <c r="I80" s="141"/>
      <c r="J80" s="147" t="str">
        <f>IFERROR(__xludf.DUMMYFUNCTION("IF(ISBLANK(A80),IFERROR(1/0),IF(COUNT(FILTER(F:F,A:A=A80))&gt;1,TRUNC(N80*F80/SUM(FILTER(N:N,A:A=A80)),3),F80))"),"")</f>
        <v/>
      </c>
      <c r="K80" s="147" t="str">
        <f>IFERROR(__xludf.DUMMYFUNCTION("IF(ISBLANK(A80),IFERROR(1/0),IF(COUNT(FILTER(G:G,((A:A=A80)*(B:B=""V""))))&gt;1,TRUNC(N80*G80/SUM(FILTER(N:N,((A:A=A80)*(B:B=""V"")))),3),G80))"),"")</f>
        <v/>
      </c>
      <c r="L80" s="148" t="str">
        <f>IFERROR(__xludf.DUMMYFUNCTION("if($C80="""","""",iferror(if(row()&lt;&gt;2,INDEX(arrayformula(filter($M$2:$M79,$C$2:$C79&lt;&gt;"""",row($C$2:$C79)=max(if($C$2:$C79=C80,row($C$2:$C79),0)))) ,1),0),0))"),"")</f>
        <v/>
      </c>
      <c r="M80" s="148" t="str">
        <f t="shared" si="1"/>
        <v/>
      </c>
      <c r="N80" s="147" t="str">
        <f t="shared" si="2"/>
        <v/>
      </c>
      <c r="O80" s="147" t="str">
        <f t="shared" si="3"/>
        <v/>
      </c>
      <c r="P80" s="147" t="str">
        <f>IFERROR(__xludf.DUMMYFUNCTION("if(C80="""","""",iferror(if(row()&lt;&gt;2,INDEX(arrayformula(filter($Q$2:$Q79,$C$2:$C79&lt;&gt;"""",row($C$2:$C79)=max(if($C$2:$C79=C80,row($C$2:$C79),0)))) ,1),0),0))"),"")</f>
        <v/>
      </c>
      <c r="Q80" s="147" t="str">
        <f t="shared" si="4"/>
        <v/>
      </c>
      <c r="R80" s="149" t="str">
        <f t="shared" si="5"/>
        <v/>
      </c>
      <c r="S80" s="147" t="str">
        <f t="shared" si="6"/>
        <v/>
      </c>
      <c r="T80" s="147" t="str">
        <f t="shared" si="7"/>
        <v/>
      </c>
      <c r="U80" s="150" t="str">
        <f t="shared" si="8"/>
        <v/>
      </c>
      <c r="V80" s="151" t="str">
        <f>IFERROR(VLOOKUP(C80,Ativos!$A$1:$G2000,5,),)</f>
        <v/>
      </c>
    </row>
    <row r="81" ht="21.0" customHeight="1">
      <c r="A81" s="152"/>
      <c r="B81" s="135"/>
      <c r="C81" s="153"/>
      <c r="D81" s="154"/>
      <c r="E81" s="139"/>
      <c r="F81" s="139"/>
      <c r="G81" s="139"/>
      <c r="H81" s="135"/>
      <c r="I81" s="141"/>
      <c r="J81" s="147" t="str">
        <f>IFERROR(__xludf.DUMMYFUNCTION("IF(ISBLANK(A81),IFERROR(1/0),IF(COUNT(FILTER(F:F,A:A=A81))&gt;1,TRUNC(N81*F81/SUM(FILTER(N:N,A:A=A81)),3),F81))"),"")</f>
        <v/>
      </c>
      <c r="K81" s="147" t="str">
        <f>IFERROR(__xludf.DUMMYFUNCTION("IF(ISBLANK(A81),IFERROR(1/0),IF(COUNT(FILTER(G:G,((A:A=A81)*(B:B=""V""))))&gt;1,TRUNC(N81*G81/SUM(FILTER(N:N,((A:A=A81)*(B:B=""V"")))),3),G81))"),"")</f>
        <v/>
      </c>
      <c r="L81" s="148" t="str">
        <f>IFERROR(__xludf.DUMMYFUNCTION("if($C81="""","""",iferror(if(row()&lt;&gt;2,INDEX(arrayformula(filter($M$2:$M80,$C$2:$C80&lt;&gt;"""",row($C$2:$C80)=max(if($C$2:$C80=C81,row($C$2:$C80),0)))) ,1),0),0))"),"")</f>
        <v/>
      </c>
      <c r="M81" s="148" t="str">
        <f t="shared" si="1"/>
        <v/>
      </c>
      <c r="N81" s="147" t="str">
        <f t="shared" si="2"/>
        <v/>
      </c>
      <c r="O81" s="147" t="str">
        <f t="shared" si="3"/>
        <v/>
      </c>
      <c r="P81" s="147" t="str">
        <f>IFERROR(__xludf.DUMMYFUNCTION("if(C81="""","""",iferror(if(row()&lt;&gt;2,INDEX(arrayformula(filter($Q$2:$Q80,$C$2:$C80&lt;&gt;"""",row($C$2:$C80)=max(if($C$2:$C80=C81,row($C$2:$C80),0)))) ,1),0),0))"),"")</f>
        <v/>
      </c>
      <c r="Q81" s="147" t="str">
        <f t="shared" si="4"/>
        <v/>
      </c>
      <c r="R81" s="149" t="str">
        <f t="shared" si="5"/>
        <v/>
      </c>
      <c r="S81" s="147" t="str">
        <f t="shared" si="6"/>
        <v/>
      </c>
      <c r="T81" s="147" t="str">
        <f t="shared" si="7"/>
        <v/>
      </c>
      <c r="U81" s="150" t="str">
        <f t="shared" si="8"/>
        <v/>
      </c>
      <c r="V81" s="151" t="str">
        <f>IFERROR(VLOOKUP(C81,Ativos!$A$1:$G2000,5,),)</f>
        <v/>
      </c>
    </row>
    <row r="82" ht="21.0" customHeight="1">
      <c r="A82" s="152"/>
      <c r="B82" s="135"/>
      <c r="C82" s="153"/>
      <c r="D82" s="154"/>
      <c r="E82" s="139"/>
      <c r="F82" s="139"/>
      <c r="G82" s="139"/>
      <c r="H82" s="135"/>
      <c r="I82" s="141"/>
      <c r="J82" s="147" t="str">
        <f>IFERROR(__xludf.DUMMYFUNCTION("IF(ISBLANK(A82),IFERROR(1/0),IF(COUNT(FILTER(F:F,A:A=A82))&gt;1,TRUNC(N82*F82/SUM(FILTER(N:N,A:A=A82)),3),F82))"),"")</f>
        <v/>
      </c>
      <c r="K82" s="147" t="str">
        <f>IFERROR(__xludf.DUMMYFUNCTION("IF(ISBLANK(A82),IFERROR(1/0),IF(COUNT(FILTER(G:G,((A:A=A82)*(B:B=""V""))))&gt;1,TRUNC(N82*G82/SUM(FILTER(N:N,((A:A=A82)*(B:B=""V"")))),3),G82))"),"")</f>
        <v/>
      </c>
      <c r="L82" s="148" t="str">
        <f>IFERROR(__xludf.DUMMYFUNCTION("if($C82="""","""",iferror(if(row()&lt;&gt;2,INDEX(arrayformula(filter($M$2:$M81,$C$2:$C81&lt;&gt;"""",row($C$2:$C81)=max(if($C$2:$C81=C82,row($C$2:$C81),0)))) ,1),0),0))"),"")</f>
        <v/>
      </c>
      <c r="M82" s="148" t="str">
        <f t="shared" si="1"/>
        <v/>
      </c>
      <c r="N82" s="147" t="str">
        <f t="shared" si="2"/>
        <v/>
      </c>
      <c r="O82" s="147" t="str">
        <f t="shared" si="3"/>
        <v/>
      </c>
      <c r="P82" s="147" t="str">
        <f>IFERROR(__xludf.DUMMYFUNCTION("if(C82="""","""",iferror(if(row()&lt;&gt;2,INDEX(arrayformula(filter($Q$2:$Q81,$C$2:$C81&lt;&gt;"""",row($C$2:$C81)=max(if($C$2:$C81=C82,row($C$2:$C81),0)))) ,1),0),0))"),"")</f>
        <v/>
      </c>
      <c r="Q82" s="147" t="str">
        <f t="shared" si="4"/>
        <v/>
      </c>
      <c r="R82" s="149" t="str">
        <f t="shared" si="5"/>
        <v/>
      </c>
      <c r="S82" s="147" t="str">
        <f t="shared" si="6"/>
        <v/>
      </c>
      <c r="T82" s="147" t="str">
        <f t="shared" si="7"/>
        <v/>
      </c>
      <c r="U82" s="150" t="str">
        <f t="shared" si="8"/>
        <v/>
      </c>
      <c r="V82" s="151" t="str">
        <f>IFERROR(VLOOKUP(C82,Ativos!$A$1:$G2000,5,),)</f>
        <v/>
      </c>
    </row>
    <row r="83" ht="21.0" customHeight="1">
      <c r="A83" s="152"/>
      <c r="B83" s="135"/>
      <c r="C83" s="153"/>
      <c r="D83" s="154"/>
      <c r="E83" s="139"/>
      <c r="F83" s="139"/>
      <c r="G83" s="139"/>
      <c r="H83" s="135"/>
      <c r="I83" s="141"/>
      <c r="J83" s="147" t="str">
        <f>IFERROR(__xludf.DUMMYFUNCTION("IF(ISBLANK(A83),IFERROR(1/0),IF(COUNT(FILTER(F:F,A:A=A83))&gt;1,TRUNC(N83*F83/SUM(FILTER(N:N,A:A=A83)),3),F83))"),"")</f>
        <v/>
      </c>
      <c r="K83" s="147" t="str">
        <f>IFERROR(__xludf.DUMMYFUNCTION("IF(ISBLANK(A83),IFERROR(1/0),IF(COUNT(FILTER(G:G,((A:A=A83)*(B:B=""V""))))&gt;1,TRUNC(N83*G83/SUM(FILTER(N:N,((A:A=A83)*(B:B=""V"")))),3),G83))"),"")</f>
        <v/>
      </c>
      <c r="L83" s="148" t="str">
        <f>IFERROR(__xludf.DUMMYFUNCTION("if($C83="""","""",iferror(if(row()&lt;&gt;2,INDEX(arrayformula(filter($M$2:$M82,$C$2:$C82&lt;&gt;"""",row($C$2:$C82)=max(if($C$2:$C82=C83,row($C$2:$C82),0)))) ,1),0),0))"),"")</f>
        <v/>
      </c>
      <c r="M83" s="148" t="str">
        <f t="shared" si="1"/>
        <v/>
      </c>
      <c r="N83" s="147" t="str">
        <f t="shared" si="2"/>
        <v/>
      </c>
      <c r="O83" s="147" t="str">
        <f t="shared" si="3"/>
        <v/>
      </c>
      <c r="P83" s="147" t="str">
        <f>IFERROR(__xludf.DUMMYFUNCTION("if(C83="""","""",iferror(if(row()&lt;&gt;2,INDEX(arrayformula(filter($Q$2:$Q82,$C$2:$C82&lt;&gt;"""",row($C$2:$C82)=max(if($C$2:$C82=C83,row($C$2:$C82),0)))) ,1),0),0))"),"")</f>
        <v/>
      </c>
      <c r="Q83" s="147" t="str">
        <f t="shared" si="4"/>
        <v/>
      </c>
      <c r="R83" s="149" t="str">
        <f t="shared" si="5"/>
        <v/>
      </c>
      <c r="S83" s="147" t="str">
        <f t="shared" si="6"/>
        <v/>
      </c>
      <c r="T83" s="147" t="str">
        <f t="shared" si="7"/>
        <v/>
      </c>
      <c r="U83" s="150" t="str">
        <f t="shared" si="8"/>
        <v/>
      </c>
      <c r="V83" s="151" t="str">
        <f>IFERROR(VLOOKUP(C83,Ativos!$A$1:$G2000,5,),)</f>
        <v/>
      </c>
    </row>
    <row r="84" ht="21.0" customHeight="1">
      <c r="A84" s="152"/>
      <c r="B84" s="135"/>
      <c r="C84" s="153"/>
      <c r="D84" s="154"/>
      <c r="E84" s="139"/>
      <c r="F84" s="139"/>
      <c r="G84" s="139"/>
      <c r="H84" s="135"/>
      <c r="I84" s="141"/>
      <c r="J84" s="147" t="str">
        <f>IFERROR(__xludf.DUMMYFUNCTION("IF(ISBLANK(A84),IFERROR(1/0),IF(COUNT(FILTER(F:F,A:A=A84))&gt;1,TRUNC(N84*F84/SUM(FILTER(N:N,A:A=A84)),3),F84))"),"")</f>
        <v/>
      </c>
      <c r="K84" s="147" t="str">
        <f>IFERROR(__xludf.DUMMYFUNCTION("IF(ISBLANK(A84),IFERROR(1/0),IF(COUNT(FILTER(G:G,((A:A=A84)*(B:B=""V""))))&gt;1,TRUNC(N84*G84/SUM(FILTER(N:N,((A:A=A84)*(B:B=""V"")))),3),G84))"),"")</f>
        <v/>
      </c>
      <c r="L84" s="148" t="str">
        <f>IFERROR(__xludf.DUMMYFUNCTION("if($C84="""","""",iferror(if(row()&lt;&gt;2,INDEX(arrayformula(filter($M$2:$M83,$C$2:$C83&lt;&gt;"""",row($C$2:$C83)=max(if($C$2:$C83=C84,row($C$2:$C83),0)))) ,1),0),0))"),"")</f>
        <v/>
      </c>
      <c r="M84" s="148" t="str">
        <f t="shared" si="1"/>
        <v/>
      </c>
      <c r="N84" s="147" t="str">
        <f t="shared" si="2"/>
        <v/>
      </c>
      <c r="O84" s="147" t="str">
        <f t="shared" si="3"/>
        <v/>
      </c>
      <c r="P84" s="147" t="str">
        <f>IFERROR(__xludf.DUMMYFUNCTION("if(C84="""","""",iferror(if(row()&lt;&gt;2,INDEX(arrayformula(filter($Q$2:$Q83,$C$2:$C83&lt;&gt;"""",row($C$2:$C83)=max(if($C$2:$C83=C84,row($C$2:$C83),0)))) ,1),0),0))"),"")</f>
        <v/>
      </c>
      <c r="Q84" s="147" t="str">
        <f t="shared" si="4"/>
        <v/>
      </c>
      <c r="R84" s="149" t="str">
        <f t="shared" si="5"/>
        <v/>
      </c>
      <c r="S84" s="147" t="str">
        <f t="shared" si="6"/>
        <v/>
      </c>
      <c r="T84" s="147" t="str">
        <f t="shared" si="7"/>
        <v/>
      </c>
      <c r="U84" s="150" t="str">
        <f t="shared" si="8"/>
        <v/>
      </c>
      <c r="V84" s="151" t="str">
        <f>IFERROR(VLOOKUP(C84,Ativos!$A$1:$G2000,5,),)</f>
        <v/>
      </c>
    </row>
    <row r="85" ht="21.0" customHeight="1">
      <c r="A85" s="152"/>
      <c r="B85" s="135"/>
      <c r="C85" s="153"/>
      <c r="D85" s="154"/>
      <c r="E85" s="139"/>
      <c r="F85" s="139"/>
      <c r="G85" s="139"/>
      <c r="H85" s="135"/>
      <c r="I85" s="141"/>
      <c r="J85" s="147" t="str">
        <f>IFERROR(__xludf.DUMMYFUNCTION("IF(ISBLANK(A85),IFERROR(1/0),IF(COUNT(FILTER(F:F,A:A=A85))&gt;1,TRUNC(N85*F85/SUM(FILTER(N:N,A:A=A85)),3),F85))"),"")</f>
        <v/>
      </c>
      <c r="K85" s="147" t="str">
        <f>IFERROR(__xludf.DUMMYFUNCTION("IF(ISBLANK(A85),IFERROR(1/0),IF(COUNT(FILTER(G:G,((A:A=A85)*(B:B=""V""))))&gt;1,TRUNC(N85*G85/SUM(FILTER(N:N,((A:A=A85)*(B:B=""V"")))),3),G85))"),"")</f>
        <v/>
      </c>
      <c r="L85" s="148" t="str">
        <f>IFERROR(__xludf.DUMMYFUNCTION("if($C85="""","""",iferror(if(row()&lt;&gt;2,INDEX(arrayformula(filter($M$2:$M84,$C$2:$C84&lt;&gt;"""",row($C$2:$C84)=max(if($C$2:$C84=C85,row($C$2:$C84),0)))) ,1),0),0))"),"")</f>
        <v/>
      </c>
      <c r="M85" s="148" t="str">
        <f t="shared" si="1"/>
        <v/>
      </c>
      <c r="N85" s="147" t="str">
        <f t="shared" si="2"/>
        <v/>
      </c>
      <c r="O85" s="147" t="str">
        <f t="shared" si="3"/>
        <v/>
      </c>
      <c r="P85" s="147" t="str">
        <f>IFERROR(__xludf.DUMMYFUNCTION("if(C85="""","""",iferror(if(row()&lt;&gt;2,INDEX(arrayformula(filter($Q$2:$Q84,$C$2:$C84&lt;&gt;"""",row($C$2:$C84)=max(if($C$2:$C84=C85,row($C$2:$C84),0)))) ,1),0),0))"),"")</f>
        <v/>
      </c>
      <c r="Q85" s="147" t="str">
        <f t="shared" si="4"/>
        <v/>
      </c>
      <c r="R85" s="149" t="str">
        <f t="shared" si="5"/>
        <v/>
      </c>
      <c r="S85" s="147" t="str">
        <f t="shared" si="6"/>
        <v/>
      </c>
      <c r="T85" s="147" t="str">
        <f t="shared" si="7"/>
        <v/>
      </c>
      <c r="U85" s="150" t="str">
        <f t="shared" si="8"/>
        <v/>
      </c>
      <c r="V85" s="151" t="str">
        <f>IFERROR(VLOOKUP(C85,Ativos!$A$1:$G2000,5,),)</f>
        <v/>
      </c>
    </row>
    <row r="86" ht="21.0" customHeight="1">
      <c r="A86" s="152"/>
      <c r="B86" s="135"/>
      <c r="C86" s="153"/>
      <c r="D86" s="154"/>
      <c r="E86" s="139"/>
      <c r="F86" s="139"/>
      <c r="G86" s="139"/>
      <c r="H86" s="135"/>
      <c r="I86" s="141"/>
      <c r="J86" s="147" t="str">
        <f>IFERROR(__xludf.DUMMYFUNCTION("IF(ISBLANK(A86),IFERROR(1/0),IF(COUNT(FILTER(F:F,A:A=A86))&gt;1,TRUNC(N86*F86/SUM(FILTER(N:N,A:A=A86)),3),F86))"),"")</f>
        <v/>
      </c>
      <c r="K86" s="147" t="str">
        <f>IFERROR(__xludf.DUMMYFUNCTION("IF(ISBLANK(A86),IFERROR(1/0),IF(COUNT(FILTER(G:G,((A:A=A86)*(B:B=""V""))))&gt;1,TRUNC(N86*G86/SUM(FILTER(N:N,((A:A=A86)*(B:B=""V"")))),3),G86))"),"")</f>
        <v/>
      </c>
      <c r="L86" s="148" t="str">
        <f>IFERROR(__xludf.DUMMYFUNCTION("if($C86="""","""",iferror(if(row()&lt;&gt;2,INDEX(arrayformula(filter($M$2:$M85,$C$2:$C85&lt;&gt;"""",row($C$2:$C85)=max(if($C$2:$C85=C86,row($C$2:$C85),0)))) ,1),0),0))"),"")</f>
        <v/>
      </c>
      <c r="M86" s="148" t="str">
        <f t="shared" si="1"/>
        <v/>
      </c>
      <c r="N86" s="147" t="str">
        <f t="shared" si="2"/>
        <v/>
      </c>
      <c r="O86" s="147" t="str">
        <f t="shared" si="3"/>
        <v/>
      </c>
      <c r="P86" s="147" t="str">
        <f>IFERROR(__xludf.DUMMYFUNCTION("if(C86="""","""",iferror(if(row()&lt;&gt;2,INDEX(arrayformula(filter($Q$2:$Q85,$C$2:$C85&lt;&gt;"""",row($C$2:$C85)=max(if($C$2:$C85=C86,row($C$2:$C85),0)))) ,1),0),0))"),"")</f>
        <v/>
      </c>
      <c r="Q86" s="147" t="str">
        <f t="shared" si="4"/>
        <v/>
      </c>
      <c r="R86" s="149" t="str">
        <f t="shared" si="5"/>
        <v/>
      </c>
      <c r="S86" s="147" t="str">
        <f t="shared" si="6"/>
        <v/>
      </c>
      <c r="T86" s="147" t="str">
        <f t="shared" si="7"/>
        <v/>
      </c>
      <c r="U86" s="150" t="str">
        <f t="shared" si="8"/>
        <v/>
      </c>
      <c r="V86" s="151" t="str">
        <f>IFERROR(VLOOKUP(C86,Ativos!$A$1:$G2000,5,),)</f>
        <v/>
      </c>
    </row>
    <row r="87" ht="21.0" customHeight="1">
      <c r="A87" s="152"/>
      <c r="B87" s="135"/>
      <c r="C87" s="153"/>
      <c r="D87" s="154"/>
      <c r="E87" s="139"/>
      <c r="F87" s="139"/>
      <c r="G87" s="139"/>
      <c r="H87" s="135"/>
      <c r="I87" s="141"/>
      <c r="J87" s="147" t="str">
        <f>IFERROR(__xludf.DUMMYFUNCTION("IF(ISBLANK(A87),IFERROR(1/0),IF(COUNT(FILTER(F:F,A:A=A87))&gt;1,TRUNC(N87*F87/SUM(FILTER(N:N,A:A=A87)),3),F87))"),"")</f>
        <v/>
      </c>
      <c r="K87" s="147" t="str">
        <f>IFERROR(__xludf.DUMMYFUNCTION("IF(ISBLANK(A87),IFERROR(1/0),IF(COUNT(FILTER(G:G,((A:A=A87)*(B:B=""V""))))&gt;1,TRUNC(N87*G87/SUM(FILTER(N:N,((A:A=A87)*(B:B=""V"")))),3),G87))"),"")</f>
        <v/>
      </c>
      <c r="L87" s="148" t="str">
        <f>IFERROR(__xludf.DUMMYFUNCTION("if($C87="""","""",iferror(if(row()&lt;&gt;2,INDEX(arrayformula(filter($M$2:$M86,$C$2:$C86&lt;&gt;"""",row($C$2:$C86)=max(if($C$2:$C86=C87,row($C$2:$C86),0)))) ,1),0),0))"),"")</f>
        <v/>
      </c>
      <c r="M87" s="148" t="str">
        <f t="shared" si="1"/>
        <v/>
      </c>
      <c r="N87" s="147" t="str">
        <f t="shared" si="2"/>
        <v/>
      </c>
      <c r="O87" s="147" t="str">
        <f t="shared" si="3"/>
        <v/>
      </c>
      <c r="P87" s="147" t="str">
        <f>IFERROR(__xludf.DUMMYFUNCTION("if(C87="""","""",iferror(if(row()&lt;&gt;2,INDEX(arrayformula(filter($Q$2:$Q86,$C$2:$C86&lt;&gt;"""",row($C$2:$C86)=max(if($C$2:$C86=C87,row($C$2:$C86),0)))) ,1),0),0))"),"")</f>
        <v/>
      </c>
      <c r="Q87" s="147" t="str">
        <f t="shared" si="4"/>
        <v/>
      </c>
      <c r="R87" s="149" t="str">
        <f t="shared" si="5"/>
        <v/>
      </c>
      <c r="S87" s="147" t="str">
        <f t="shared" si="6"/>
        <v/>
      </c>
      <c r="T87" s="147" t="str">
        <f t="shared" si="7"/>
        <v/>
      </c>
      <c r="U87" s="150" t="str">
        <f t="shared" si="8"/>
        <v/>
      </c>
      <c r="V87" s="151" t="str">
        <f>IFERROR(VLOOKUP(C87,Ativos!$A$1:$G2000,5,),)</f>
        <v/>
      </c>
    </row>
    <row r="88" ht="21.0" customHeight="1">
      <c r="A88" s="152"/>
      <c r="B88" s="135"/>
      <c r="C88" s="153"/>
      <c r="D88" s="154"/>
      <c r="E88" s="139"/>
      <c r="F88" s="139"/>
      <c r="G88" s="139"/>
      <c r="H88" s="135"/>
      <c r="I88" s="141"/>
      <c r="J88" s="147" t="str">
        <f>IFERROR(__xludf.DUMMYFUNCTION("IF(ISBLANK(A88),IFERROR(1/0),IF(COUNT(FILTER(F:F,A:A=A88))&gt;1,TRUNC(N88*F88/SUM(FILTER(N:N,A:A=A88)),3),F88))"),"")</f>
        <v/>
      </c>
      <c r="K88" s="147" t="str">
        <f>IFERROR(__xludf.DUMMYFUNCTION("IF(ISBLANK(A88),IFERROR(1/0),IF(COUNT(FILTER(G:G,((A:A=A88)*(B:B=""V""))))&gt;1,TRUNC(N88*G88/SUM(FILTER(N:N,((A:A=A88)*(B:B=""V"")))),3),G88))"),"")</f>
        <v/>
      </c>
      <c r="L88" s="148" t="str">
        <f>IFERROR(__xludf.DUMMYFUNCTION("if($C88="""","""",iferror(if(row()&lt;&gt;2,INDEX(arrayformula(filter($M$2:$M87,$C$2:$C87&lt;&gt;"""",row($C$2:$C87)=max(if($C$2:$C87=C88,row($C$2:$C87),0)))) ,1),0),0))"),"")</f>
        <v/>
      </c>
      <c r="M88" s="148" t="str">
        <f t="shared" si="1"/>
        <v/>
      </c>
      <c r="N88" s="147" t="str">
        <f t="shared" si="2"/>
        <v/>
      </c>
      <c r="O88" s="147" t="str">
        <f t="shared" si="3"/>
        <v/>
      </c>
      <c r="P88" s="147" t="str">
        <f>IFERROR(__xludf.DUMMYFUNCTION("if(C88="""","""",iferror(if(row()&lt;&gt;2,INDEX(arrayformula(filter($Q$2:$Q87,$C$2:$C87&lt;&gt;"""",row($C$2:$C87)=max(if($C$2:$C87=C88,row($C$2:$C87),0)))) ,1),0),0))"),"")</f>
        <v/>
      </c>
      <c r="Q88" s="147" t="str">
        <f t="shared" si="4"/>
        <v/>
      </c>
      <c r="R88" s="149" t="str">
        <f t="shared" si="5"/>
        <v/>
      </c>
      <c r="S88" s="147" t="str">
        <f t="shared" si="6"/>
        <v/>
      </c>
      <c r="T88" s="147" t="str">
        <f t="shared" si="7"/>
        <v/>
      </c>
      <c r="U88" s="150" t="str">
        <f t="shared" si="8"/>
        <v/>
      </c>
      <c r="V88" s="151" t="str">
        <f>IFERROR(VLOOKUP(C88,Ativos!$A$1:$G2000,5,),)</f>
        <v/>
      </c>
    </row>
    <row r="89" ht="21.0" customHeight="1">
      <c r="A89" s="152"/>
      <c r="B89" s="135"/>
      <c r="C89" s="153"/>
      <c r="D89" s="154"/>
      <c r="E89" s="139"/>
      <c r="F89" s="139"/>
      <c r="G89" s="139"/>
      <c r="H89" s="135"/>
      <c r="I89" s="141"/>
      <c r="J89" s="147" t="str">
        <f>IFERROR(__xludf.DUMMYFUNCTION("IF(ISBLANK(A89),IFERROR(1/0),IF(COUNT(FILTER(F:F,A:A=A89))&gt;1,TRUNC(N89*F89/SUM(FILTER(N:N,A:A=A89)),3),F89))"),"")</f>
        <v/>
      </c>
      <c r="K89" s="147" t="str">
        <f>IFERROR(__xludf.DUMMYFUNCTION("IF(ISBLANK(A89),IFERROR(1/0),IF(COUNT(FILTER(G:G,((A:A=A89)*(B:B=""V""))))&gt;1,TRUNC(N89*G89/SUM(FILTER(N:N,((A:A=A89)*(B:B=""V"")))),3),G89))"),"")</f>
        <v/>
      </c>
      <c r="L89" s="148" t="str">
        <f>IFERROR(__xludf.DUMMYFUNCTION("if($C89="""","""",iferror(if(row()&lt;&gt;2,INDEX(arrayformula(filter($M$2:$M88,$C$2:$C88&lt;&gt;"""",row($C$2:$C88)=max(if($C$2:$C88=C89,row($C$2:$C88),0)))) ,1),0),0))"),"")</f>
        <v/>
      </c>
      <c r="M89" s="148" t="str">
        <f t="shared" si="1"/>
        <v/>
      </c>
      <c r="N89" s="147" t="str">
        <f t="shared" si="2"/>
        <v/>
      </c>
      <c r="O89" s="147" t="str">
        <f t="shared" si="3"/>
        <v/>
      </c>
      <c r="P89" s="147" t="str">
        <f>IFERROR(__xludf.DUMMYFUNCTION("if(C89="""","""",iferror(if(row()&lt;&gt;2,INDEX(arrayformula(filter($Q$2:$Q88,$C$2:$C88&lt;&gt;"""",row($C$2:$C88)=max(if($C$2:$C88=C89,row($C$2:$C88),0)))) ,1),0),0))"),"")</f>
        <v/>
      </c>
      <c r="Q89" s="147" t="str">
        <f t="shared" si="4"/>
        <v/>
      </c>
      <c r="R89" s="149" t="str">
        <f t="shared" si="5"/>
        <v/>
      </c>
      <c r="S89" s="147" t="str">
        <f t="shared" si="6"/>
        <v/>
      </c>
      <c r="T89" s="147" t="str">
        <f t="shared" si="7"/>
        <v/>
      </c>
      <c r="U89" s="150" t="str">
        <f t="shared" si="8"/>
        <v/>
      </c>
      <c r="V89" s="151" t="str">
        <f>IFERROR(VLOOKUP(C89,Ativos!$A$1:$G2000,5,),)</f>
        <v/>
      </c>
    </row>
    <row r="90" ht="21.0" customHeight="1">
      <c r="A90" s="152"/>
      <c r="B90" s="135"/>
      <c r="C90" s="153"/>
      <c r="D90" s="154"/>
      <c r="E90" s="139"/>
      <c r="F90" s="139"/>
      <c r="G90" s="139"/>
      <c r="H90" s="135"/>
      <c r="I90" s="141"/>
      <c r="J90" s="147" t="str">
        <f>IFERROR(__xludf.DUMMYFUNCTION("IF(ISBLANK(A90),IFERROR(1/0),IF(COUNT(FILTER(F:F,A:A=A90))&gt;1,TRUNC(N90*F90/SUM(FILTER(N:N,A:A=A90)),3),F90))"),"")</f>
        <v/>
      </c>
      <c r="K90" s="147" t="str">
        <f>IFERROR(__xludf.DUMMYFUNCTION("IF(ISBLANK(A90),IFERROR(1/0),IF(COUNT(FILTER(G:G,((A:A=A90)*(B:B=""V""))))&gt;1,TRUNC(N90*G90/SUM(FILTER(N:N,((A:A=A90)*(B:B=""V"")))),3),G90))"),"")</f>
        <v/>
      </c>
      <c r="L90" s="148" t="str">
        <f>IFERROR(__xludf.DUMMYFUNCTION("if($C90="""","""",iferror(if(row()&lt;&gt;2,INDEX(arrayformula(filter($M$2:$M89,$C$2:$C89&lt;&gt;"""",row($C$2:$C89)=max(if($C$2:$C89=C90,row($C$2:$C89),0)))) ,1),0),0))"),"")</f>
        <v/>
      </c>
      <c r="M90" s="148" t="str">
        <f t="shared" si="1"/>
        <v/>
      </c>
      <c r="N90" s="147" t="str">
        <f t="shared" si="2"/>
        <v/>
      </c>
      <c r="O90" s="147" t="str">
        <f t="shared" si="3"/>
        <v/>
      </c>
      <c r="P90" s="147" t="str">
        <f>IFERROR(__xludf.DUMMYFUNCTION("if(C90="""","""",iferror(if(row()&lt;&gt;2,INDEX(arrayformula(filter($Q$2:$Q89,$C$2:$C89&lt;&gt;"""",row($C$2:$C89)=max(if($C$2:$C89=C90,row($C$2:$C89),0)))) ,1),0),0))"),"")</f>
        <v/>
      </c>
      <c r="Q90" s="147" t="str">
        <f t="shared" si="4"/>
        <v/>
      </c>
      <c r="R90" s="149" t="str">
        <f t="shared" si="5"/>
        <v/>
      </c>
      <c r="S90" s="147" t="str">
        <f t="shared" si="6"/>
        <v/>
      </c>
      <c r="T90" s="147" t="str">
        <f t="shared" si="7"/>
        <v/>
      </c>
      <c r="U90" s="150" t="str">
        <f t="shared" si="8"/>
        <v/>
      </c>
      <c r="V90" s="151" t="str">
        <f>IFERROR(VLOOKUP(C90,Ativos!$A$1:$G2000,5,),)</f>
        <v/>
      </c>
    </row>
    <row r="91" ht="21.0" customHeight="1">
      <c r="A91" s="152"/>
      <c r="B91" s="135"/>
      <c r="C91" s="153"/>
      <c r="D91" s="154"/>
      <c r="E91" s="139"/>
      <c r="F91" s="139"/>
      <c r="G91" s="139"/>
      <c r="H91" s="135"/>
      <c r="I91" s="141"/>
      <c r="J91" s="147" t="str">
        <f>IFERROR(__xludf.DUMMYFUNCTION("IF(ISBLANK(A91),IFERROR(1/0),IF(COUNT(FILTER(F:F,A:A=A91))&gt;1,TRUNC(N91*F91/SUM(FILTER(N:N,A:A=A91)),3),F91))"),"")</f>
        <v/>
      </c>
      <c r="K91" s="147" t="str">
        <f>IFERROR(__xludf.DUMMYFUNCTION("IF(ISBLANK(A91),IFERROR(1/0),IF(COUNT(FILTER(G:G,((A:A=A91)*(B:B=""V""))))&gt;1,TRUNC(N91*G91/SUM(FILTER(N:N,((A:A=A91)*(B:B=""V"")))),3),G91))"),"")</f>
        <v/>
      </c>
      <c r="L91" s="148" t="str">
        <f>IFERROR(__xludf.DUMMYFUNCTION("if($C91="""","""",iferror(if(row()&lt;&gt;2,INDEX(arrayformula(filter($M$2:$M90,$C$2:$C90&lt;&gt;"""",row($C$2:$C90)=max(if($C$2:$C90=C91,row($C$2:$C90),0)))) ,1),0),0))"),"")</f>
        <v/>
      </c>
      <c r="M91" s="148" t="str">
        <f t="shared" si="1"/>
        <v/>
      </c>
      <c r="N91" s="147" t="str">
        <f t="shared" si="2"/>
        <v/>
      </c>
      <c r="O91" s="147" t="str">
        <f t="shared" si="3"/>
        <v/>
      </c>
      <c r="P91" s="147" t="str">
        <f>IFERROR(__xludf.DUMMYFUNCTION("if(C91="""","""",iferror(if(row()&lt;&gt;2,INDEX(arrayformula(filter($Q$2:$Q90,$C$2:$C90&lt;&gt;"""",row($C$2:$C90)=max(if($C$2:$C90=C91,row($C$2:$C90),0)))) ,1),0),0))"),"")</f>
        <v/>
      </c>
      <c r="Q91" s="147" t="str">
        <f t="shared" si="4"/>
        <v/>
      </c>
      <c r="R91" s="149" t="str">
        <f t="shared" si="5"/>
        <v/>
      </c>
      <c r="S91" s="147" t="str">
        <f t="shared" si="6"/>
        <v/>
      </c>
      <c r="T91" s="147" t="str">
        <f t="shared" si="7"/>
        <v/>
      </c>
      <c r="U91" s="150" t="str">
        <f t="shared" si="8"/>
        <v/>
      </c>
      <c r="V91" s="151" t="str">
        <f>IFERROR(VLOOKUP(C91,Ativos!$A$1:$G2000,5,),)</f>
        <v/>
      </c>
    </row>
    <row r="92" ht="21.0" customHeight="1">
      <c r="A92" s="152"/>
      <c r="B92" s="135"/>
      <c r="C92" s="153"/>
      <c r="D92" s="154"/>
      <c r="E92" s="139"/>
      <c r="F92" s="139"/>
      <c r="G92" s="139"/>
      <c r="H92" s="135"/>
      <c r="I92" s="141"/>
      <c r="J92" s="147" t="str">
        <f>IFERROR(__xludf.DUMMYFUNCTION("IF(ISBLANK(A92),IFERROR(1/0),IF(COUNT(FILTER(F:F,A:A=A92))&gt;1,TRUNC(N92*F92/SUM(FILTER(N:N,A:A=A92)),3),F92))"),"")</f>
        <v/>
      </c>
      <c r="K92" s="147" t="str">
        <f>IFERROR(__xludf.DUMMYFUNCTION("IF(ISBLANK(A92),IFERROR(1/0),IF(COUNT(FILTER(G:G,((A:A=A92)*(B:B=""V""))))&gt;1,TRUNC(N92*G92/SUM(FILTER(N:N,((A:A=A92)*(B:B=""V"")))),3),G92))"),"")</f>
        <v/>
      </c>
      <c r="L92" s="148" t="str">
        <f>IFERROR(__xludf.DUMMYFUNCTION("if($C92="""","""",iferror(if(row()&lt;&gt;2,INDEX(arrayformula(filter($M$2:$M91,$C$2:$C91&lt;&gt;"""",row($C$2:$C91)=max(if($C$2:$C91=C92,row($C$2:$C91),0)))) ,1),0),0))"),"")</f>
        <v/>
      </c>
      <c r="M92" s="148" t="str">
        <f t="shared" si="1"/>
        <v/>
      </c>
      <c r="N92" s="147" t="str">
        <f t="shared" si="2"/>
        <v/>
      </c>
      <c r="O92" s="147" t="str">
        <f t="shared" si="3"/>
        <v/>
      </c>
      <c r="P92" s="147" t="str">
        <f>IFERROR(__xludf.DUMMYFUNCTION("if(C92="""","""",iferror(if(row()&lt;&gt;2,INDEX(arrayformula(filter($Q$2:$Q91,$C$2:$C91&lt;&gt;"""",row($C$2:$C91)=max(if($C$2:$C91=C92,row($C$2:$C91),0)))) ,1),0),0))"),"")</f>
        <v/>
      </c>
      <c r="Q92" s="147" t="str">
        <f t="shared" si="4"/>
        <v/>
      </c>
      <c r="R92" s="149" t="str">
        <f t="shared" si="5"/>
        <v/>
      </c>
      <c r="S92" s="147" t="str">
        <f t="shared" si="6"/>
        <v/>
      </c>
      <c r="T92" s="147" t="str">
        <f t="shared" si="7"/>
        <v/>
      </c>
      <c r="U92" s="150" t="str">
        <f t="shared" si="8"/>
        <v/>
      </c>
      <c r="V92" s="151" t="str">
        <f>IFERROR(VLOOKUP(C92,Ativos!$A$1:$G2000,5,),)</f>
        <v/>
      </c>
    </row>
    <row r="93" ht="21.0" customHeight="1">
      <c r="A93" s="152"/>
      <c r="B93" s="135"/>
      <c r="C93" s="153"/>
      <c r="D93" s="154"/>
      <c r="E93" s="139"/>
      <c r="F93" s="139"/>
      <c r="G93" s="139"/>
      <c r="H93" s="135"/>
      <c r="I93" s="141"/>
      <c r="J93" s="147" t="str">
        <f>IFERROR(__xludf.DUMMYFUNCTION("IF(ISBLANK(A93),IFERROR(1/0),IF(COUNT(FILTER(F:F,A:A=A93))&gt;1,TRUNC(N93*F93/SUM(FILTER(N:N,A:A=A93)),3),F93))"),"")</f>
        <v/>
      </c>
      <c r="K93" s="147" t="str">
        <f>IFERROR(__xludf.DUMMYFUNCTION("IF(ISBLANK(A93),IFERROR(1/0),IF(COUNT(FILTER(G:G,((A:A=A93)*(B:B=""V""))))&gt;1,TRUNC(N93*G93/SUM(FILTER(N:N,((A:A=A93)*(B:B=""V"")))),3),G93))"),"")</f>
        <v/>
      </c>
      <c r="L93" s="148" t="str">
        <f>IFERROR(__xludf.DUMMYFUNCTION("if($C93="""","""",iferror(if(row()&lt;&gt;2,INDEX(arrayformula(filter($M$2:$M92,$C$2:$C92&lt;&gt;"""",row($C$2:$C92)=max(if($C$2:$C92=C93,row($C$2:$C92),0)))) ,1),0),0))"),"")</f>
        <v/>
      </c>
      <c r="M93" s="148" t="str">
        <f t="shared" si="1"/>
        <v/>
      </c>
      <c r="N93" s="147" t="str">
        <f t="shared" si="2"/>
        <v/>
      </c>
      <c r="O93" s="147" t="str">
        <f t="shared" si="3"/>
        <v/>
      </c>
      <c r="P93" s="147" t="str">
        <f>IFERROR(__xludf.DUMMYFUNCTION("if(C93="""","""",iferror(if(row()&lt;&gt;2,INDEX(arrayformula(filter($Q$2:$Q92,$C$2:$C92&lt;&gt;"""",row($C$2:$C92)=max(if($C$2:$C92=C93,row($C$2:$C92),0)))) ,1),0),0))"),"")</f>
        <v/>
      </c>
      <c r="Q93" s="147" t="str">
        <f t="shared" si="4"/>
        <v/>
      </c>
      <c r="R93" s="149" t="str">
        <f t="shared" si="5"/>
        <v/>
      </c>
      <c r="S93" s="147" t="str">
        <f t="shared" si="6"/>
        <v/>
      </c>
      <c r="T93" s="147" t="str">
        <f t="shared" si="7"/>
        <v/>
      </c>
      <c r="U93" s="150" t="str">
        <f t="shared" si="8"/>
        <v/>
      </c>
      <c r="V93" s="151" t="str">
        <f>IFERROR(VLOOKUP(C93,Ativos!$A$1:$G2000,5,),)</f>
        <v/>
      </c>
    </row>
    <row r="94" ht="21.0" customHeight="1">
      <c r="A94" s="152"/>
      <c r="B94" s="135"/>
      <c r="C94" s="153"/>
      <c r="D94" s="154"/>
      <c r="E94" s="139"/>
      <c r="F94" s="139"/>
      <c r="G94" s="139"/>
      <c r="H94" s="135"/>
      <c r="I94" s="141"/>
      <c r="J94" s="147" t="str">
        <f>IFERROR(__xludf.DUMMYFUNCTION("IF(ISBLANK(A94),IFERROR(1/0),IF(COUNT(FILTER(F:F,A:A=A94))&gt;1,TRUNC(N94*F94/SUM(FILTER(N:N,A:A=A94)),3),F94))"),"")</f>
        <v/>
      </c>
      <c r="K94" s="147" t="str">
        <f>IFERROR(__xludf.DUMMYFUNCTION("IF(ISBLANK(A94),IFERROR(1/0),IF(COUNT(FILTER(G:G,((A:A=A94)*(B:B=""V""))))&gt;1,TRUNC(N94*G94/SUM(FILTER(N:N,((A:A=A94)*(B:B=""V"")))),3),G94))"),"")</f>
        <v/>
      </c>
      <c r="L94" s="148" t="str">
        <f>IFERROR(__xludf.DUMMYFUNCTION("if($C94="""","""",iferror(if(row()&lt;&gt;2,INDEX(arrayformula(filter($M$2:$M93,$C$2:$C93&lt;&gt;"""",row($C$2:$C93)=max(if($C$2:$C93=C94,row($C$2:$C93),0)))) ,1),0),0))"),"")</f>
        <v/>
      </c>
      <c r="M94" s="148" t="str">
        <f t="shared" si="1"/>
        <v/>
      </c>
      <c r="N94" s="147" t="str">
        <f t="shared" si="2"/>
        <v/>
      </c>
      <c r="O94" s="147" t="str">
        <f t="shared" si="3"/>
        <v/>
      </c>
      <c r="P94" s="147" t="str">
        <f>IFERROR(__xludf.DUMMYFUNCTION("if(C94="""","""",iferror(if(row()&lt;&gt;2,INDEX(arrayformula(filter($Q$2:$Q93,$C$2:$C93&lt;&gt;"""",row($C$2:$C93)=max(if($C$2:$C93=C94,row($C$2:$C93),0)))) ,1),0),0))"),"")</f>
        <v/>
      </c>
      <c r="Q94" s="147" t="str">
        <f t="shared" si="4"/>
        <v/>
      </c>
      <c r="R94" s="149" t="str">
        <f t="shared" si="5"/>
        <v/>
      </c>
      <c r="S94" s="147" t="str">
        <f t="shared" si="6"/>
        <v/>
      </c>
      <c r="T94" s="147" t="str">
        <f t="shared" si="7"/>
        <v/>
      </c>
      <c r="U94" s="150" t="str">
        <f t="shared" si="8"/>
        <v/>
      </c>
      <c r="V94" s="151" t="str">
        <f>IFERROR(VLOOKUP(C94,Ativos!$A$1:$G2000,5,),)</f>
        <v/>
      </c>
    </row>
    <row r="95" ht="21.0" customHeight="1">
      <c r="A95" s="152"/>
      <c r="B95" s="135"/>
      <c r="C95" s="153"/>
      <c r="D95" s="154"/>
      <c r="E95" s="139"/>
      <c r="F95" s="139"/>
      <c r="G95" s="139"/>
      <c r="H95" s="135"/>
      <c r="I95" s="141"/>
      <c r="J95" s="147" t="str">
        <f>IFERROR(__xludf.DUMMYFUNCTION("IF(ISBLANK(A95),IFERROR(1/0),IF(COUNT(FILTER(F:F,A:A=A95))&gt;1,TRUNC(N95*F95/SUM(FILTER(N:N,A:A=A95)),3),F95))"),"")</f>
        <v/>
      </c>
      <c r="K95" s="147" t="str">
        <f>IFERROR(__xludf.DUMMYFUNCTION("IF(ISBLANK(A95),IFERROR(1/0),IF(COUNT(FILTER(G:G,((A:A=A95)*(B:B=""V""))))&gt;1,TRUNC(N95*G95/SUM(FILTER(N:N,((A:A=A95)*(B:B=""V"")))),3),G95))"),"")</f>
        <v/>
      </c>
      <c r="L95" s="148" t="str">
        <f>IFERROR(__xludf.DUMMYFUNCTION("if($C95="""","""",iferror(if(row()&lt;&gt;2,INDEX(arrayformula(filter($M$2:$M94,$C$2:$C94&lt;&gt;"""",row($C$2:$C94)=max(if($C$2:$C94=C95,row($C$2:$C94),0)))) ,1),0),0))"),"")</f>
        <v/>
      </c>
      <c r="M95" s="148" t="str">
        <f t="shared" si="1"/>
        <v/>
      </c>
      <c r="N95" s="147" t="str">
        <f t="shared" si="2"/>
        <v/>
      </c>
      <c r="O95" s="147" t="str">
        <f t="shared" si="3"/>
        <v/>
      </c>
      <c r="P95" s="147" t="str">
        <f>IFERROR(__xludf.DUMMYFUNCTION("if(C95="""","""",iferror(if(row()&lt;&gt;2,INDEX(arrayformula(filter($Q$2:$Q94,$C$2:$C94&lt;&gt;"""",row($C$2:$C94)=max(if($C$2:$C94=C95,row($C$2:$C94),0)))) ,1),0),0))"),"")</f>
        <v/>
      </c>
      <c r="Q95" s="147" t="str">
        <f t="shared" si="4"/>
        <v/>
      </c>
      <c r="R95" s="149" t="str">
        <f t="shared" si="5"/>
        <v/>
      </c>
      <c r="S95" s="147" t="str">
        <f t="shared" si="6"/>
        <v/>
      </c>
      <c r="T95" s="147" t="str">
        <f t="shared" si="7"/>
        <v/>
      </c>
      <c r="U95" s="150" t="str">
        <f t="shared" si="8"/>
        <v/>
      </c>
      <c r="V95" s="151" t="str">
        <f>IFERROR(VLOOKUP(C95,Ativos!$A$1:$G2000,5,),)</f>
        <v/>
      </c>
    </row>
    <row r="96" ht="21.0" customHeight="1">
      <c r="A96" s="152"/>
      <c r="B96" s="135"/>
      <c r="C96" s="153"/>
      <c r="D96" s="154"/>
      <c r="E96" s="139"/>
      <c r="F96" s="139"/>
      <c r="G96" s="139"/>
      <c r="H96" s="135"/>
      <c r="I96" s="141"/>
      <c r="J96" s="147" t="str">
        <f>IFERROR(__xludf.DUMMYFUNCTION("IF(ISBLANK(A96),IFERROR(1/0),IF(COUNT(FILTER(F:F,A:A=A96))&gt;1,TRUNC(N96*F96/SUM(FILTER(N:N,A:A=A96)),3),F96))"),"")</f>
        <v/>
      </c>
      <c r="K96" s="147" t="str">
        <f>IFERROR(__xludf.DUMMYFUNCTION("IF(ISBLANK(A96),IFERROR(1/0),IF(COUNT(FILTER(G:G,((A:A=A96)*(B:B=""V""))))&gt;1,TRUNC(N96*G96/SUM(FILTER(N:N,((A:A=A96)*(B:B=""V"")))),3),G96))"),"")</f>
        <v/>
      </c>
      <c r="L96" s="148" t="str">
        <f>IFERROR(__xludf.DUMMYFUNCTION("if($C96="""","""",iferror(if(row()&lt;&gt;2,INDEX(arrayformula(filter($M$2:$M95,$C$2:$C95&lt;&gt;"""",row($C$2:$C95)=max(if($C$2:$C95=C96,row($C$2:$C95),0)))) ,1),0),0))"),"")</f>
        <v/>
      </c>
      <c r="M96" s="148" t="str">
        <f t="shared" si="1"/>
        <v/>
      </c>
      <c r="N96" s="147" t="str">
        <f t="shared" si="2"/>
        <v/>
      </c>
      <c r="O96" s="147" t="str">
        <f t="shared" si="3"/>
        <v/>
      </c>
      <c r="P96" s="147" t="str">
        <f>IFERROR(__xludf.DUMMYFUNCTION("if(C96="""","""",iferror(if(row()&lt;&gt;2,INDEX(arrayformula(filter($Q$2:$Q95,$C$2:$C95&lt;&gt;"""",row($C$2:$C95)=max(if($C$2:$C95=C96,row($C$2:$C95),0)))) ,1),0),0))"),"")</f>
        <v/>
      </c>
      <c r="Q96" s="147" t="str">
        <f t="shared" si="4"/>
        <v/>
      </c>
      <c r="R96" s="149" t="str">
        <f t="shared" si="5"/>
        <v/>
      </c>
      <c r="S96" s="147" t="str">
        <f t="shared" si="6"/>
        <v/>
      </c>
      <c r="T96" s="147" t="str">
        <f t="shared" si="7"/>
        <v/>
      </c>
      <c r="U96" s="150" t="str">
        <f t="shared" si="8"/>
        <v/>
      </c>
      <c r="V96" s="151" t="str">
        <f>IFERROR(VLOOKUP(C96,Ativos!$A$1:$G2000,5,),)</f>
        <v/>
      </c>
    </row>
    <row r="97" ht="21.0" customHeight="1">
      <c r="A97" s="152"/>
      <c r="B97" s="135"/>
      <c r="C97" s="153"/>
      <c r="D97" s="154"/>
      <c r="E97" s="139"/>
      <c r="F97" s="139"/>
      <c r="G97" s="139"/>
      <c r="H97" s="135"/>
      <c r="I97" s="141"/>
      <c r="J97" s="147" t="str">
        <f>IFERROR(__xludf.DUMMYFUNCTION("IF(ISBLANK(A97),IFERROR(1/0),IF(COUNT(FILTER(F:F,A:A=A97))&gt;1,TRUNC(N97*F97/SUM(FILTER(N:N,A:A=A97)),3),F97))"),"")</f>
        <v/>
      </c>
      <c r="K97" s="147" t="str">
        <f>IFERROR(__xludf.DUMMYFUNCTION("IF(ISBLANK(A97),IFERROR(1/0),IF(COUNT(FILTER(G:G,((A:A=A97)*(B:B=""V""))))&gt;1,TRUNC(N97*G97/SUM(FILTER(N:N,((A:A=A97)*(B:B=""V"")))),3),G97))"),"")</f>
        <v/>
      </c>
      <c r="L97" s="148" t="str">
        <f>IFERROR(__xludf.DUMMYFUNCTION("if($C97="""","""",iferror(if(row()&lt;&gt;2,INDEX(arrayformula(filter($M$2:$M96,$C$2:$C96&lt;&gt;"""",row($C$2:$C96)=max(if($C$2:$C96=C97,row($C$2:$C96),0)))) ,1),0),0))"),"")</f>
        <v/>
      </c>
      <c r="M97" s="148" t="str">
        <f t="shared" si="1"/>
        <v/>
      </c>
      <c r="N97" s="147" t="str">
        <f t="shared" si="2"/>
        <v/>
      </c>
      <c r="O97" s="147" t="str">
        <f t="shared" si="3"/>
        <v/>
      </c>
      <c r="P97" s="147" t="str">
        <f>IFERROR(__xludf.DUMMYFUNCTION("if(C97="""","""",iferror(if(row()&lt;&gt;2,INDEX(arrayformula(filter($Q$2:$Q96,$C$2:$C96&lt;&gt;"""",row($C$2:$C96)=max(if($C$2:$C96=C97,row($C$2:$C96),0)))) ,1),0),0))"),"")</f>
        <v/>
      </c>
      <c r="Q97" s="147" t="str">
        <f t="shared" si="4"/>
        <v/>
      </c>
      <c r="R97" s="149" t="str">
        <f t="shared" si="5"/>
        <v/>
      </c>
      <c r="S97" s="147" t="str">
        <f t="shared" si="6"/>
        <v/>
      </c>
      <c r="T97" s="147" t="str">
        <f t="shared" si="7"/>
        <v/>
      </c>
      <c r="U97" s="150" t="str">
        <f t="shared" si="8"/>
        <v/>
      </c>
      <c r="V97" s="151" t="str">
        <f>IFERROR(VLOOKUP(C97,Ativos!$A$1:$G2000,5,),)</f>
        <v/>
      </c>
    </row>
    <row r="98" ht="21.0" customHeight="1">
      <c r="A98" s="152"/>
      <c r="B98" s="135"/>
      <c r="C98" s="153"/>
      <c r="D98" s="154"/>
      <c r="E98" s="139"/>
      <c r="F98" s="139"/>
      <c r="G98" s="139"/>
      <c r="H98" s="135"/>
      <c r="I98" s="141"/>
      <c r="J98" s="147" t="str">
        <f>IFERROR(__xludf.DUMMYFUNCTION("IF(ISBLANK(A98),IFERROR(1/0),IF(COUNT(FILTER(F:F,A:A=A98))&gt;1,TRUNC(N98*F98/SUM(FILTER(N:N,A:A=A98)),3),F98))"),"")</f>
        <v/>
      </c>
      <c r="K98" s="147" t="str">
        <f>IFERROR(__xludf.DUMMYFUNCTION("IF(ISBLANK(A98),IFERROR(1/0),IF(COUNT(FILTER(G:G,((A:A=A98)*(B:B=""V""))))&gt;1,TRUNC(N98*G98/SUM(FILTER(N:N,((A:A=A98)*(B:B=""V"")))),3),G98))"),"")</f>
        <v/>
      </c>
      <c r="L98" s="148" t="str">
        <f>IFERROR(__xludf.DUMMYFUNCTION("if($C98="""","""",iferror(if(row()&lt;&gt;2,INDEX(arrayformula(filter($M$2:$M97,$C$2:$C97&lt;&gt;"""",row($C$2:$C97)=max(if($C$2:$C97=C98,row($C$2:$C97),0)))) ,1),0),0))"),"")</f>
        <v/>
      </c>
      <c r="M98" s="148" t="str">
        <f t="shared" si="1"/>
        <v/>
      </c>
      <c r="N98" s="147" t="str">
        <f t="shared" si="2"/>
        <v/>
      </c>
      <c r="O98" s="147" t="str">
        <f t="shared" si="3"/>
        <v/>
      </c>
      <c r="P98" s="147" t="str">
        <f>IFERROR(__xludf.DUMMYFUNCTION("if(C98="""","""",iferror(if(row()&lt;&gt;2,INDEX(arrayformula(filter($Q$2:$Q97,$C$2:$C97&lt;&gt;"""",row($C$2:$C97)=max(if($C$2:$C97=C98,row($C$2:$C97),0)))) ,1),0),0))"),"")</f>
        <v/>
      </c>
      <c r="Q98" s="147" t="str">
        <f t="shared" si="4"/>
        <v/>
      </c>
      <c r="R98" s="149" t="str">
        <f t="shared" si="5"/>
        <v/>
      </c>
      <c r="S98" s="147" t="str">
        <f t="shared" si="6"/>
        <v/>
      </c>
      <c r="T98" s="147" t="str">
        <f t="shared" si="7"/>
        <v/>
      </c>
      <c r="U98" s="150" t="str">
        <f t="shared" si="8"/>
        <v/>
      </c>
      <c r="V98" s="151" t="str">
        <f>IFERROR(VLOOKUP(C98,Ativos!$A$1:$G2000,5,),)</f>
        <v/>
      </c>
    </row>
    <row r="99" ht="21.0" customHeight="1">
      <c r="A99" s="152"/>
      <c r="B99" s="135"/>
      <c r="C99" s="153"/>
      <c r="D99" s="154"/>
      <c r="E99" s="139"/>
      <c r="F99" s="139"/>
      <c r="G99" s="139"/>
      <c r="H99" s="135"/>
      <c r="I99" s="141"/>
      <c r="J99" s="147" t="str">
        <f>IFERROR(__xludf.DUMMYFUNCTION("IF(ISBLANK(A99),IFERROR(1/0),IF(COUNT(FILTER(F:F,A:A=A99))&gt;1,TRUNC(N99*F99/SUM(FILTER(N:N,A:A=A99)),3),F99))"),"")</f>
        <v/>
      </c>
      <c r="K99" s="147" t="str">
        <f>IFERROR(__xludf.DUMMYFUNCTION("IF(ISBLANK(A99),IFERROR(1/0),IF(COUNT(FILTER(G:G,((A:A=A99)*(B:B=""V""))))&gt;1,TRUNC(N99*G99/SUM(FILTER(N:N,((A:A=A99)*(B:B=""V"")))),3),G99))"),"")</f>
        <v/>
      </c>
      <c r="L99" s="148" t="str">
        <f>IFERROR(__xludf.DUMMYFUNCTION("if($C99="""","""",iferror(if(row()&lt;&gt;2,INDEX(arrayformula(filter($M$2:$M98,$C$2:$C98&lt;&gt;"""",row($C$2:$C98)=max(if($C$2:$C98=C99,row($C$2:$C98),0)))) ,1),0),0))"),"")</f>
        <v/>
      </c>
      <c r="M99" s="148" t="str">
        <f t="shared" si="1"/>
        <v/>
      </c>
      <c r="N99" s="147" t="str">
        <f t="shared" si="2"/>
        <v/>
      </c>
      <c r="O99" s="147" t="str">
        <f t="shared" si="3"/>
        <v/>
      </c>
      <c r="P99" s="147" t="str">
        <f>IFERROR(__xludf.DUMMYFUNCTION("if(C99="""","""",iferror(if(row()&lt;&gt;2,INDEX(arrayformula(filter($Q$2:$Q98,$C$2:$C98&lt;&gt;"""",row($C$2:$C98)=max(if($C$2:$C98=C99,row($C$2:$C98),0)))) ,1),0),0))"),"")</f>
        <v/>
      </c>
      <c r="Q99" s="147" t="str">
        <f t="shared" si="4"/>
        <v/>
      </c>
      <c r="R99" s="149" t="str">
        <f t="shared" si="5"/>
        <v/>
      </c>
      <c r="S99" s="147" t="str">
        <f t="shared" si="6"/>
        <v/>
      </c>
      <c r="T99" s="147" t="str">
        <f t="shared" si="7"/>
        <v/>
      </c>
      <c r="U99" s="150" t="str">
        <f t="shared" si="8"/>
        <v/>
      </c>
      <c r="V99" s="151" t="str">
        <f>IFERROR(VLOOKUP(C99,Ativos!$A$1:$G2000,5,),)</f>
        <v/>
      </c>
    </row>
    <row r="100" ht="21.0" customHeight="1">
      <c r="A100" s="152"/>
      <c r="B100" s="135"/>
      <c r="C100" s="153"/>
      <c r="D100" s="154"/>
      <c r="E100" s="139"/>
      <c r="F100" s="139"/>
      <c r="G100" s="139"/>
      <c r="H100" s="135"/>
      <c r="I100" s="141"/>
      <c r="J100" s="147" t="str">
        <f>IFERROR(__xludf.DUMMYFUNCTION("IF(ISBLANK(A100),IFERROR(1/0),IF(COUNT(FILTER(F:F,A:A=A100))&gt;1,TRUNC(N100*F100/SUM(FILTER(N:N,A:A=A100)),3),F100))"),"")</f>
        <v/>
      </c>
      <c r="K100" s="147" t="str">
        <f>IFERROR(__xludf.DUMMYFUNCTION("IF(ISBLANK(A100),IFERROR(1/0),IF(COUNT(FILTER(G:G,((A:A=A100)*(B:B=""V""))))&gt;1,TRUNC(N100*G100/SUM(FILTER(N:N,((A:A=A100)*(B:B=""V"")))),3),G100))"),"")</f>
        <v/>
      </c>
      <c r="L100" s="148" t="str">
        <f>IFERROR(__xludf.DUMMYFUNCTION("if($C100="""","""",iferror(if(row()&lt;&gt;2,INDEX(arrayformula(filter($M$2:$M99,$C$2:$C99&lt;&gt;"""",row($C$2:$C99)=max(if($C$2:$C99=C100,row($C$2:$C99),0)))) ,1),0),0))"),"")</f>
        <v/>
      </c>
      <c r="M100" s="148" t="str">
        <f t="shared" si="1"/>
        <v/>
      </c>
      <c r="N100" s="147" t="str">
        <f t="shared" si="2"/>
        <v/>
      </c>
      <c r="O100" s="147" t="str">
        <f t="shared" si="3"/>
        <v/>
      </c>
      <c r="P100" s="147" t="str">
        <f>IFERROR(__xludf.DUMMYFUNCTION("if(C100="""","""",iferror(if(row()&lt;&gt;2,INDEX(arrayformula(filter($Q$2:$Q99,$C$2:$C99&lt;&gt;"""",row($C$2:$C99)=max(if($C$2:$C99=C100,row($C$2:$C99),0)))) ,1),0),0))"),"")</f>
        <v/>
      </c>
      <c r="Q100" s="147" t="str">
        <f t="shared" si="4"/>
        <v/>
      </c>
      <c r="R100" s="149" t="str">
        <f t="shared" si="5"/>
        <v/>
      </c>
      <c r="S100" s="147" t="str">
        <f t="shared" si="6"/>
        <v/>
      </c>
      <c r="T100" s="147" t="str">
        <f t="shared" si="7"/>
        <v/>
      </c>
      <c r="U100" s="150" t="str">
        <f t="shared" si="8"/>
        <v/>
      </c>
      <c r="V100" s="151" t="str">
        <f>IFERROR(VLOOKUP(C100,Ativos!$A$1:$G2000,5,),)</f>
        <v/>
      </c>
    </row>
    <row r="101" ht="21.0" customHeight="1">
      <c r="A101" s="152"/>
      <c r="B101" s="135"/>
      <c r="C101" s="153"/>
      <c r="D101" s="154"/>
      <c r="E101" s="139"/>
      <c r="F101" s="139"/>
      <c r="G101" s="139"/>
      <c r="H101" s="135"/>
      <c r="I101" s="141"/>
      <c r="J101" s="147" t="str">
        <f>IFERROR(__xludf.DUMMYFUNCTION("IF(ISBLANK(A101),IFERROR(1/0),IF(COUNT(FILTER(F:F,A:A=A101))&gt;1,TRUNC(N101*F101/SUM(FILTER(N:N,A:A=A101)),3),F101))"),"")</f>
        <v/>
      </c>
      <c r="K101" s="147" t="str">
        <f>IFERROR(__xludf.DUMMYFUNCTION("IF(ISBLANK(A101),IFERROR(1/0),IF(COUNT(FILTER(G:G,((A:A=A101)*(B:B=""V""))))&gt;1,TRUNC(N101*G101/SUM(FILTER(N:N,((A:A=A101)*(B:B=""V"")))),3),G101))"),"")</f>
        <v/>
      </c>
      <c r="L101" s="148" t="str">
        <f>IFERROR(__xludf.DUMMYFUNCTION("if($C101="""","""",iferror(if(row()&lt;&gt;2,INDEX(arrayformula(filter($M$2:$M100,$C$2:$C100&lt;&gt;"""",row($C$2:$C100)=max(if($C$2:$C100=C101,row($C$2:$C100),0)))) ,1),0),0))"),"")</f>
        <v/>
      </c>
      <c r="M101" s="148" t="str">
        <f t="shared" si="1"/>
        <v/>
      </c>
      <c r="N101" s="147" t="str">
        <f t="shared" si="2"/>
        <v/>
      </c>
      <c r="O101" s="147" t="str">
        <f t="shared" si="3"/>
        <v/>
      </c>
      <c r="P101" s="147" t="str">
        <f>IFERROR(__xludf.DUMMYFUNCTION("if(C101="""","""",iferror(if(row()&lt;&gt;2,INDEX(arrayformula(filter($Q$2:$Q100,$C$2:$C100&lt;&gt;"""",row($C$2:$C100)=max(if($C$2:$C100=C101,row($C$2:$C100),0)))) ,1),0),0))"),"")</f>
        <v/>
      </c>
      <c r="Q101" s="147" t="str">
        <f t="shared" si="4"/>
        <v/>
      </c>
      <c r="R101" s="149" t="str">
        <f t="shared" si="5"/>
        <v/>
      </c>
      <c r="S101" s="147" t="str">
        <f t="shared" si="6"/>
        <v/>
      </c>
      <c r="T101" s="147" t="str">
        <f t="shared" si="7"/>
        <v/>
      </c>
      <c r="U101" s="150" t="str">
        <f t="shared" si="8"/>
        <v/>
      </c>
      <c r="V101" s="151" t="str">
        <f>IFERROR(VLOOKUP(C101,Ativos!$A$1:$G2000,5,),)</f>
        <v/>
      </c>
    </row>
    <row r="102" ht="21.0" customHeight="1">
      <c r="A102" s="152"/>
      <c r="B102" s="135"/>
      <c r="C102" s="153"/>
      <c r="D102" s="154"/>
      <c r="E102" s="139"/>
      <c r="F102" s="139"/>
      <c r="G102" s="139"/>
      <c r="H102" s="135"/>
      <c r="I102" s="141"/>
      <c r="J102" s="147" t="str">
        <f>IFERROR(__xludf.DUMMYFUNCTION("IF(ISBLANK(A102),IFERROR(1/0),IF(COUNT(FILTER(F:F,A:A=A102))&gt;1,TRUNC(N102*F102/SUM(FILTER(N:N,A:A=A102)),3),F102))"),"")</f>
        <v/>
      </c>
      <c r="K102" s="147" t="str">
        <f>IFERROR(__xludf.DUMMYFUNCTION("IF(ISBLANK(A102),IFERROR(1/0),IF(COUNT(FILTER(G:G,((A:A=A102)*(B:B=""V""))))&gt;1,TRUNC(N102*G102/SUM(FILTER(N:N,((A:A=A102)*(B:B=""V"")))),3),G102))"),"")</f>
        <v/>
      </c>
      <c r="L102" s="148" t="str">
        <f>IFERROR(__xludf.DUMMYFUNCTION("if($C102="""","""",iferror(if(row()&lt;&gt;2,INDEX(arrayformula(filter($M$2:$M101,$C$2:$C101&lt;&gt;"""",row($C$2:$C101)=max(if($C$2:$C101=C102,row($C$2:$C101),0)))) ,1),0),0))"),"")</f>
        <v/>
      </c>
      <c r="M102" s="148" t="str">
        <f t="shared" si="1"/>
        <v/>
      </c>
      <c r="N102" s="147" t="str">
        <f t="shared" si="2"/>
        <v/>
      </c>
      <c r="O102" s="147" t="str">
        <f t="shared" si="3"/>
        <v/>
      </c>
      <c r="P102" s="147" t="str">
        <f>IFERROR(__xludf.DUMMYFUNCTION("if(C102="""","""",iferror(if(row()&lt;&gt;2,INDEX(arrayformula(filter($Q$2:$Q101,$C$2:$C101&lt;&gt;"""",row($C$2:$C101)=max(if($C$2:$C101=C102,row($C$2:$C101),0)))) ,1),0),0))"),"")</f>
        <v/>
      </c>
      <c r="Q102" s="147" t="str">
        <f t="shared" si="4"/>
        <v/>
      </c>
      <c r="R102" s="147" t="str">
        <f t="shared" si="5"/>
        <v/>
      </c>
      <c r="S102" s="147" t="str">
        <f t="shared" si="6"/>
        <v/>
      </c>
      <c r="T102" s="147" t="str">
        <f t="shared" si="7"/>
        <v/>
      </c>
      <c r="U102" s="150" t="str">
        <f t="shared" si="8"/>
        <v/>
      </c>
      <c r="V102" s="151" t="str">
        <f>IFERROR(VLOOKUP(C102,Ativos!$A$1:$G2000,5,),)</f>
        <v/>
      </c>
    </row>
    <row r="103" ht="21.0" customHeight="1">
      <c r="A103" s="152"/>
      <c r="B103" s="135"/>
      <c r="C103" s="153"/>
      <c r="D103" s="154"/>
      <c r="E103" s="139"/>
      <c r="F103" s="139"/>
      <c r="G103" s="139"/>
      <c r="H103" s="135"/>
      <c r="I103" s="141"/>
      <c r="J103" s="147" t="str">
        <f>IFERROR(__xludf.DUMMYFUNCTION("IF(ISBLANK(A103),IFERROR(1/0),IF(COUNT(FILTER(F:F,A:A=A103))&gt;1,TRUNC(N103*F103/SUM(FILTER(N:N,A:A=A103)),3),F103))"),"")</f>
        <v/>
      </c>
      <c r="K103" s="147" t="str">
        <f>IFERROR(__xludf.DUMMYFUNCTION("IF(ISBLANK(A103),IFERROR(1/0),IF(COUNT(FILTER(G:G,((A:A=A103)*(B:B=""V""))))&gt;1,TRUNC(N103*G103/SUM(FILTER(N:N,((A:A=A103)*(B:B=""V"")))),3),G103))"),"")</f>
        <v/>
      </c>
      <c r="L103" s="148" t="str">
        <f>IFERROR(__xludf.DUMMYFUNCTION("if($C103="""","""",iferror(if(row()&lt;&gt;2,INDEX(arrayformula(filter($M$2:$M102,$C$2:$C102&lt;&gt;"""",row($C$2:$C102)=max(if($C$2:$C102=C103,row($C$2:$C102),0)))) ,1),0),0))"),"")</f>
        <v/>
      </c>
      <c r="M103" s="148" t="str">
        <f t="shared" si="1"/>
        <v/>
      </c>
      <c r="N103" s="147" t="str">
        <f t="shared" si="2"/>
        <v/>
      </c>
      <c r="O103" s="147" t="str">
        <f t="shared" si="3"/>
        <v/>
      </c>
      <c r="P103" s="147" t="str">
        <f>IFERROR(__xludf.DUMMYFUNCTION("if(C103="""","""",iferror(if(row()&lt;&gt;2,INDEX(arrayformula(filter($Q$2:$Q102,$C$2:$C102&lt;&gt;"""",row($C$2:$C102)=max(if($C$2:$C102=C103,row($C$2:$C102),0)))) ,1),0),0))"),"")</f>
        <v/>
      </c>
      <c r="Q103" s="147" t="str">
        <f t="shared" si="4"/>
        <v/>
      </c>
      <c r="R103" s="147" t="str">
        <f t="shared" si="5"/>
        <v/>
      </c>
      <c r="S103" s="147" t="str">
        <f t="shared" si="6"/>
        <v/>
      </c>
      <c r="T103" s="147" t="str">
        <f t="shared" si="7"/>
        <v/>
      </c>
      <c r="U103" s="150" t="str">
        <f t="shared" si="8"/>
        <v/>
      </c>
      <c r="V103" s="151" t="str">
        <f>IFERROR(VLOOKUP(C103,Ativos!$A$1:$G2000,5,),)</f>
        <v/>
      </c>
    </row>
    <row r="104" ht="21.0" customHeight="1">
      <c r="A104" s="152"/>
      <c r="B104" s="135"/>
      <c r="C104" s="153"/>
      <c r="D104" s="154"/>
      <c r="E104" s="139"/>
      <c r="F104" s="139"/>
      <c r="G104" s="139"/>
      <c r="H104" s="135"/>
      <c r="I104" s="141"/>
      <c r="J104" s="147" t="str">
        <f>IFERROR(__xludf.DUMMYFUNCTION("IF(ISBLANK(A104),IFERROR(1/0),IF(COUNT(FILTER(F:F,A:A=A104))&gt;1,TRUNC(N104*F104/SUM(FILTER(N:N,A:A=A104)),3),F104))"),"")</f>
        <v/>
      </c>
      <c r="K104" s="147" t="str">
        <f>IFERROR(__xludf.DUMMYFUNCTION("IF(ISBLANK(A104),IFERROR(1/0),IF(COUNT(FILTER(G:G,((A:A=A104)*(B:B=""V""))))&gt;1,TRUNC(N104*G104/SUM(FILTER(N:N,((A:A=A104)*(B:B=""V"")))),3),G104))"),"")</f>
        <v/>
      </c>
      <c r="L104" s="148" t="str">
        <f>IFERROR(__xludf.DUMMYFUNCTION("if($C104="""","""",iferror(if(row()&lt;&gt;2,INDEX(arrayformula(filter($M$2:$M103,$C$2:$C103&lt;&gt;"""",row($C$2:$C103)=max(if($C$2:$C103=C104,row($C$2:$C103),0)))) ,1),0),0))"),"")</f>
        <v/>
      </c>
      <c r="M104" s="148" t="str">
        <f t="shared" si="1"/>
        <v/>
      </c>
      <c r="N104" s="147" t="str">
        <f t="shared" si="2"/>
        <v/>
      </c>
      <c r="O104" s="147" t="str">
        <f t="shared" si="3"/>
        <v/>
      </c>
      <c r="P104" s="147" t="str">
        <f>IFERROR(__xludf.DUMMYFUNCTION("if(C104="""","""",iferror(if(row()&lt;&gt;2,INDEX(arrayformula(filter($Q$2:$Q103,$C$2:$C103&lt;&gt;"""",row($C$2:$C103)=max(if($C$2:$C103=C104,row($C$2:$C103),0)))) ,1),0),0))"),"")</f>
        <v/>
      </c>
      <c r="Q104" s="147" t="str">
        <f t="shared" si="4"/>
        <v/>
      </c>
      <c r="R104" s="147" t="str">
        <f t="shared" si="5"/>
        <v/>
      </c>
      <c r="S104" s="147" t="str">
        <f t="shared" si="6"/>
        <v/>
      </c>
      <c r="T104" s="147" t="str">
        <f t="shared" si="7"/>
        <v/>
      </c>
      <c r="U104" s="150" t="str">
        <f t="shared" si="8"/>
        <v/>
      </c>
      <c r="V104" s="151" t="str">
        <f>IFERROR(VLOOKUP(C104,Ativos!$A$1:$G2000,5,),)</f>
        <v/>
      </c>
    </row>
    <row r="105" ht="21.0" customHeight="1">
      <c r="A105" s="152"/>
      <c r="B105" s="135"/>
      <c r="C105" s="153"/>
      <c r="D105" s="154"/>
      <c r="E105" s="139"/>
      <c r="F105" s="139"/>
      <c r="G105" s="139"/>
      <c r="H105" s="135"/>
      <c r="I105" s="141"/>
      <c r="J105" s="147" t="str">
        <f>IFERROR(__xludf.DUMMYFUNCTION("IF(ISBLANK(A105),IFERROR(1/0),IF(COUNT(FILTER(F:F,A:A=A105))&gt;1,TRUNC(N105*F105/SUM(FILTER(N:N,A:A=A105)),3),F105))"),"")</f>
        <v/>
      </c>
      <c r="K105" s="147" t="str">
        <f>IFERROR(__xludf.DUMMYFUNCTION("IF(ISBLANK(A105),IFERROR(1/0),IF(COUNT(FILTER(G:G,((A:A=A105)*(B:B=""V""))))&gt;1,TRUNC(N105*G105/SUM(FILTER(N:N,((A:A=A105)*(B:B=""V"")))),3),G105))"),"")</f>
        <v/>
      </c>
      <c r="L105" s="148" t="str">
        <f>IFERROR(__xludf.DUMMYFUNCTION("if($C105="""","""",iferror(if(row()&lt;&gt;2,INDEX(arrayformula(filter($M$2:$M104,$C$2:$C104&lt;&gt;"""",row($C$2:$C104)=max(if($C$2:$C104=C105,row($C$2:$C104),0)))) ,1),0),0))"),"")</f>
        <v/>
      </c>
      <c r="M105" s="148" t="str">
        <f t="shared" si="1"/>
        <v/>
      </c>
      <c r="N105" s="147" t="str">
        <f t="shared" si="2"/>
        <v/>
      </c>
      <c r="O105" s="147" t="str">
        <f t="shared" si="3"/>
        <v/>
      </c>
      <c r="P105" s="147" t="str">
        <f>IFERROR(__xludf.DUMMYFUNCTION("if(C105="""","""",iferror(if(row()&lt;&gt;2,INDEX(arrayformula(filter($Q$2:$Q104,$C$2:$C104&lt;&gt;"""",row($C$2:$C104)=max(if($C$2:$C104=C105,row($C$2:$C104),0)))) ,1),0),0))"),"")</f>
        <v/>
      </c>
      <c r="Q105" s="147" t="str">
        <f t="shared" si="4"/>
        <v/>
      </c>
      <c r="R105" s="147" t="str">
        <f t="shared" si="5"/>
        <v/>
      </c>
      <c r="S105" s="147" t="str">
        <f t="shared" si="6"/>
        <v/>
      </c>
      <c r="T105" s="147" t="str">
        <f t="shared" si="7"/>
        <v/>
      </c>
      <c r="U105" s="150" t="str">
        <f t="shared" si="8"/>
        <v/>
      </c>
      <c r="V105" s="151" t="str">
        <f>IFERROR(VLOOKUP(C105,Ativos!$A$1:$G2000,5,),)</f>
        <v/>
      </c>
    </row>
    <row r="106" ht="21.0" customHeight="1">
      <c r="A106" s="152"/>
      <c r="B106" s="135"/>
      <c r="C106" s="153"/>
      <c r="D106" s="154"/>
      <c r="E106" s="139"/>
      <c r="F106" s="139"/>
      <c r="G106" s="139"/>
      <c r="H106" s="135"/>
      <c r="I106" s="141"/>
      <c r="J106" s="147" t="str">
        <f>IFERROR(__xludf.DUMMYFUNCTION("IF(ISBLANK(A106),IFERROR(1/0),IF(COUNT(FILTER(F:F,A:A=A106))&gt;1,TRUNC(N106*F106/SUM(FILTER(N:N,A:A=A106)),3),F106))"),"")</f>
        <v/>
      </c>
      <c r="K106" s="147" t="str">
        <f>IFERROR(__xludf.DUMMYFUNCTION("IF(ISBLANK(A106),IFERROR(1/0),IF(B106&lt;&gt;""V"",0,IF(COUNT(FILTER(G:G,((A:A=A106)*(B:B=""V""))))&gt;1,TRUNC(N106*G106/SUM(FILTER(N:N,((A:A=A106)*(B:B=""V"")))),3),G106)))"),"")</f>
        <v/>
      </c>
      <c r="L106" s="148" t="str">
        <f>IFERROR(__xludf.DUMMYFUNCTION("if($C106="""","""",iferror(if(row()&lt;&gt;2,INDEX(arrayformula(filter($M$2:$M105,$C$2:$C105&lt;&gt;"""",row($C$2:$C105)=max(if($C$2:$C105=C106,row($C$2:$C105),0)))) ,1),0),0))"),"")</f>
        <v/>
      </c>
      <c r="M106" s="148" t="str">
        <f t="shared" si="1"/>
        <v/>
      </c>
      <c r="N106" s="147" t="str">
        <f t="shared" si="2"/>
        <v/>
      </c>
      <c r="O106" s="147" t="str">
        <f t="shared" si="3"/>
        <v/>
      </c>
      <c r="P106" s="147" t="str">
        <f>IFERROR(__xludf.DUMMYFUNCTION("if(C106="""","""",iferror(if(row()&lt;&gt;2,INDEX(arrayformula(filter($Q$2:$Q105,$C$2:$C105&lt;&gt;"""",row($C$2:$C105)=max(if($C$2:$C105=C106,row($C$2:$C105),0)))) ,1),0),0))"),"")</f>
        <v/>
      </c>
      <c r="Q106" s="147" t="str">
        <f t="shared" si="4"/>
        <v/>
      </c>
      <c r="R106" s="147" t="str">
        <f t="shared" si="5"/>
        <v/>
      </c>
      <c r="S106" s="147" t="str">
        <f t="shared" si="6"/>
        <v/>
      </c>
      <c r="T106" s="147" t="str">
        <f t="shared" si="7"/>
        <v/>
      </c>
      <c r="U106" s="150" t="str">
        <f t="shared" si="8"/>
        <v/>
      </c>
      <c r="V106" s="151" t="str">
        <f>IFERROR(VLOOKUP(C106,Ativos!$A$1:$G2000,5,),)</f>
        <v/>
      </c>
    </row>
    <row r="107" ht="21.0" customHeight="1">
      <c r="A107" s="152"/>
      <c r="B107" s="135"/>
      <c r="C107" s="153"/>
      <c r="D107" s="154"/>
      <c r="E107" s="139"/>
      <c r="F107" s="139"/>
      <c r="G107" s="139"/>
      <c r="H107" s="135"/>
      <c r="I107" s="141"/>
      <c r="J107" s="147" t="str">
        <f>IFERROR(__xludf.DUMMYFUNCTION("IF(ISBLANK(A107),IFERROR(1/0),IF(COUNT(FILTER(F:F,A:A=A107))&gt;1,TRUNC(N107*F107/SUM(FILTER(N:N,A:A=A107)),3),F107))"),"")</f>
        <v/>
      </c>
      <c r="K107" s="147" t="str">
        <f>IFERROR(__xludf.DUMMYFUNCTION("IF(ISBLANK(A107),IFERROR(1/0),IF(B107&lt;&gt;""V"",0,IF(COUNT(FILTER(G:G,((A:A=A107)*(B:B=""V""))))&gt;1,TRUNC(N107*G107/SUM(FILTER(N:N,((A:A=A107)*(B:B=""V"")))),3),G107)))"),"")</f>
        <v/>
      </c>
      <c r="L107" s="148" t="str">
        <f>IFERROR(__xludf.DUMMYFUNCTION("if($C107="""","""",iferror(if(row()&lt;&gt;2,INDEX(arrayformula(filter($M$2:$M106,$C$2:$C106&lt;&gt;"""",row($C$2:$C106)=max(if($C$2:$C106=C107,row($C$2:$C106),0)))) ,1),0),0))"),"")</f>
        <v/>
      </c>
      <c r="M107" s="148" t="str">
        <f t="shared" si="1"/>
        <v/>
      </c>
      <c r="N107" s="147" t="str">
        <f t="shared" si="2"/>
        <v/>
      </c>
      <c r="O107" s="147" t="str">
        <f t="shared" si="3"/>
        <v/>
      </c>
      <c r="P107" s="147" t="str">
        <f>IFERROR(__xludf.DUMMYFUNCTION("if(C107="""","""",iferror(if(row()&lt;&gt;2,INDEX(arrayformula(filter($Q$2:$Q106,$C$2:$C106&lt;&gt;"""",row($C$2:$C106)=max(if($C$2:$C106=C107,row($C$2:$C106),0)))) ,1),0),0))"),"")</f>
        <v/>
      </c>
      <c r="Q107" s="147" t="str">
        <f t="shared" si="4"/>
        <v/>
      </c>
      <c r="R107" s="147" t="str">
        <f t="shared" si="5"/>
        <v/>
      </c>
      <c r="S107" s="147" t="str">
        <f t="shared" si="6"/>
        <v/>
      </c>
      <c r="T107" s="147" t="str">
        <f t="shared" si="7"/>
        <v/>
      </c>
      <c r="U107" s="150" t="str">
        <f t="shared" si="8"/>
        <v/>
      </c>
      <c r="V107" s="151" t="str">
        <f>IFERROR(VLOOKUP(C107,Ativos!$A$1:$G2000,5,),)</f>
        <v/>
      </c>
    </row>
    <row r="108" ht="21.0" customHeight="1">
      <c r="A108" s="158"/>
      <c r="B108" s="135"/>
      <c r="C108" s="153"/>
      <c r="D108" s="154"/>
      <c r="E108" s="139"/>
      <c r="F108" s="139"/>
      <c r="G108" s="139"/>
      <c r="H108" s="135"/>
      <c r="I108" s="141"/>
      <c r="J108" s="147" t="str">
        <f>IFERROR(__xludf.DUMMYFUNCTION("IF(ISBLANK(A108),IFERROR(1/0),IF(COUNT(FILTER(F:F,A:A=A108))&gt;1,TRUNC(N108*F108/SUM(FILTER(N:N,A:A=A108)),3),F108))"),"")</f>
        <v/>
      </c>
      <c r="K108" s="147" t="str">
        <f>IFERROR(__xludf.DUMMYFUNCTION("IF(ISBLANK(A108),IFERROR(1/0),IF(B108&lt;&gt;""V"",0,IF(COUNT(FILTER(G:G,((A:A=A108)*(B:B=""V""))))&gt;1,TRUNC(N108*G108/SUM(FILTER(N:N,((A:A=A108)*(B:B=""V"")))),3),G108)))"),"")</f>
        <v/>
      </c>
      <c r="L108" s="148" t="str">
        <f>IFERROR(__xludf.DUMMYFUNCTION("if($C108="""","""",iferror(if(row()&lt;&gt;2,INDEX(arrayformula(filter($M$2:$M107,$C$2:$C107&lt;&gt;"""",row($C$2:$C107)=max(if($C$2:$C107=C108,row($C$2:$C107),0)))) ,1),0),0))"),"")</f>
        <v/>
      </c>
      <c r="M108" s="148" t="str">
        <f t="shared" si="1"/>
        <v/>
      </c>
      <c r="N108" s="147" t="str">
        <f t="shared" si="2"/>
        <v/>
      </c>
      <c r="O108" s="147" t="str">
        <f t="shared" si="3"/>
        <v/>
      </c>
      <c r="P108" s="147" t="str">
        <f>IFERROR(__xludf.DUMMYFUNCTION("if(C108="""","""",iferror(if(row()&lt;&gt;2,INDEX(arrayformula(filter($Q$2:$Q107,$C$2:$C107&lt;&gt;"""",row($C$2:$C107)=max(if($C$2:$C107=C108,row($C$2:$C107),0)))) ,1),0),0))"),"")</f>
        <v/>
      </c>
      <c r="Q108" s="147" t="str">
        <f t="shared" si="4"/>
        <v/>
      </c>
      <c r="R108" s="147" t="str">
        <f t="shared" si="5"/>
        <v/>
      </c>
      <c r="S108" s="147" t="str">
        <f t="shared" si="6"/>
        <v/>
      </c>
      <c r="T108" s="147" t="str">
        <f t="shared" si="7"/>
        <v/>
      </c>
      <c r="U108" s="150" t="str">
        <f t="shared" si="8"/>
        <v/>
      </c>
      <c r="V108" s="151" t="str">
        <f>IFERROR(VLOOKUP(C108,Ativos!$A$1:$G2000,5,),)</f>
        <v/>
      </c>
    </row>
    <row r="109" ht="21.0" customHeight="1">
      <c r="A109" s="158"/>
      <c r="B109" s="135"/>
      <c r="C109" s="153"/>
      <c r="D109" s="154"/>
      <c r="E109" s="139"/>
      <c r="F109" s="139"/>
      <c r="G109" s="139"/>
      <c r="H109" s="135"/>
      <c r="I109" s="141"/>
      <c r="J109" s="147" t="str">
        <f>IFERROR(__xludf.DUMMYFUNCTION("IF(ISBLANK(A109),IFERROR(1/0),IF(COUNT(FILTER(F:F,A:A=A109))&gt;1,TRUNC(N109*F109/SUM(FILTER(N:N,A:A=A109)),3),F109))"),"")</f>
        <v/>
      </c>
      <c r="K109" s="147" t="str">
        <f>IFERROR(__xludf.DUMMYFUNCTION("IF(ISBLANK(A109),IFERROR(1/0),IF(COUNT(FILTER(G:G,((A:A=A109)*(B:B=""V""))))&gt;1,TRUNC(N109*G109/SUM(FILTER(N:N,((A:A=A109)*(B:B=""V"")))),3),G109))"),"")</f>
        <v/>
      </c>
      <c r="L109" s="148" t="str">
        <f>IFERROR(__xludf.DUMMYFUNCTION("if($C109="""","""",iferror(if(row()&lt;&gt;2,INDEX(arrayformula(filter($M$2:$M108,$C$2:$C108&lt;&gt;"""",row($C$2:$C108)=max(if($C$2:$C108=C109,row($C$2:$C108),0)))) ,1),0),0))"),"")</f>
        <v/>
      </c>
      <c r="M109" s="148" t="str">
        <f t="shared" si="1"/>
        <v/>
      </c>
      <c r="N109" s="147" t="str">
        <f t="shared" si="2"/>
        <v/>
      </c>
      <c r="O109" s="147" t="str">
        <f t="shared" si="3"/>
        <v/>
      </c>
      <c r="P109" s="147" t="str">
        <f>IFERROR(__xludf.DUMMYFUNCTION("if(C109="""","""",iferror(if(row()&lt;&gt;2,INDEX(arrayformula(filter($Q$2:$Q108,$C$2:$C108&lt;&gt;"""",row($C$2:$C108)=max(if($C$2:$C108=C109,row($C$2:$C108),0)))) ,1),0),0))"),"")</f>
        <v/>
      </c>
      <c r="Q109" s="147" t="str">
        <f t="shared" si="4"/>
        <v/>
      </c>
      <c r="R109" s="147" t="str">
        <f t="shared" si="5"/>
        <v/>
      </c>
      <c r="S109" s="147" t="str">
        <f t="shared" si="6"/>
        <v/>
      </c>
      <c r="T109" s="147" t="str">
        <f t="shared" si="7"/>
        <v/>
      </c>
      <c r="U109" s="150" t="str">
        <f t="shared" si="8"/>
        <v/>
      </c>
      <c r="V109" s="151" t="str">
        <f>IFERROR(VLOOKUP(C109,Ativos!$A$1:$G2000,5,),)</f>
        <v/>
      </c>
    </row>
    <row r="110" ht="21.0" customHeight="1">
      <c r="A110" s="158"/>
      <c r="B110" s="135"/>
      <c r="C110" s="153"/>
      <c r="D110" s="154"/>
      <c r="E110" s="139"/>
      <c r="F110" s="139"/>
      <c r="G110" s="139"/>
      <c r="H110" s="135"/>
      <c r="I110" s="141"/>
      <c r="J110" s="147" t="str">
        <f>IFERROR(__xludf.DUMMYFUNCTION("IF(ISBLANK(A110),IFERROR(1/0),IF(COUNT(FILTER(F:F,A:A=A110))&gt;1,TRUNC(N110*F110/SUM(FILTER(N:N,A:A=A110)),3),F110))"),"")</f>
        <v/>
      </c>
      <c r="K110" s="147" t="str">
        <f>IFERROR(__xludf.DUMMYFUNCTION("IF(ISBLANK(A110),IFERROR(1/0),IF(COUNT(FILTER(G:G,((A:A=A110)*(B:B=""V""))))&gt;1,TRUNC(N110*G110/SUM(FILTER(N:N,((A:A=A110)*(B:B=""V"")))),3),G110))"),"")</f>
        <v/>
      </c>
      <c r="L110" s="148" t="str">
        <f>IFERROR(__xludf.DUMMYFUNCTION("if($C110="""","""",iferror(if(row()&lt;&gt;2,INDEX(arrayformula(filter($M$2:$M109,$C$2:$C109&lt;&gt;"""",row($C$2:$C109)=max(if($C$2:$C109=C110,row($C$2:$C109),0)))) ,1),0),0))"),"")</f>
        <v/>
      </c>
      <c r="M110" s="148" t="str">
        <f t="shared" si="1"/>
        <v/>
      </c>
      <c r="N110" s="147" t="str">
        <f t="shared" si="2"/>
        <v/>
      </c>
      <c r="O110" s="147" t="str">
        <f t="shared" si="3"/>
        <v/>
      </c>
      <c r="P110" s="147" t="str">
        <f>IFERROR(__xludf.DUMMYFUNCTION("if(C110="""","""",iferror(if(row()&lt;&gt;2,INDEX(arrayformula(filter($Q$2:$Q109,$C$2:$C109&lt;&gt;"""",row($C$2:$C109)=max(if($C$2:$C109=C110,row($C$2:$C109),0)))) ,1),0),0))"),"")</f>
        <v/>
      </c>
      <c r="Q110" s="147" t="str">
        <f t="shared" si="4"/>
        <v/>
      </c>
      <c r="R110" s="147" t="str">
        <f t="shared" si="5"/>
        <v/>
      </c>
      <c r="S110" s="147" t="str">
        <f t="shared" si="6"/>
        <v/>
      </c>
      <c r="T110" s="147" t="str">
        <f t="shared" si="7"/>
        <v/>
      </c>
      <c r="U110" s="150" t="str">
        <f t="shared" si="8"/>
        <v/>
      </c>
      <c r="V110" s="151" t="str">
        <f>IFERROR(VLOOKUP(C110,Ativos!$A$1:$G2000,5,),)</f>
        <v/>
      </c>
    </row>
    <row r="111" ht="21.0" customHeight="1">
      <c r="A111" s="158"/>
      <c r="B111" s="135"/>
      <c r="C111" s="153"/>
      <c r="D111" s="154"/>
      <c r="E111" s="139"/>
      <c r="F111" s="139"/>
      <c r="G111" s="139"/>
      <c r="H111" s="135"/>
      <c r="I111" s="141"/>
      <c r="J111" s="147" t="str">
        <f>IFERROR(__xludf.DUMMYFUNCTION("IF(ISBLANK(A111),IFERROR(1/0),IF(COUNT(FILTER(F:F,A:A=A111))&gt;1,TRUNC(N111*F111/SUM(FILTER(N:N,A:A=A111)),3),F111))"),"")</f>
        <v/>
      </c>
      <c r="K111" s="147" t="str">
        <f>IFERROR(__xludf.DUMMYFUNCTION("IF(ISBLANK(A111),IFERROR(1/0),IF(COUNT(FILTER(G:G,((A:A=A111)*(B:B=""V""))))&gt;1,TRUNC(N111*G111/SUM(FILTER(N:N,((A:A=A111)*(B:B=""V"")))),3),G111))"),"")</f>
        <v/>
      </c>
      <c r="L111" s="148" t="str">
        <f>IFERROR(__xludf.DUMMYFUNCTION("if($C111="""","""",iferror(if(row()&lt;&gt;2,INDEX(arrayformula(filter($M$2:$M110,$C$2:$C110&lt;&gt;"""",row($C$2:$C110)=max(if($C$2:$C110=C111,row($C$2:$C110),0)))) ,1),0),0))"),"")</f>
        <v/>
      </c>
      <c r="M111" s="148" t="str">
        <f t="shared" si="1"/>
        <v/>
      </c>
      <c r="N111" s="147" t="str">
        <f t="shared" si="2"/>
        <v/>
      </c>
      <c r="O111" s="147" t="str">
        <f t="shared" si="3"/>
        <v/>
      </c>
      <c r="P111" s="147" t="str">
        <f>IFERROR(__xludf.DUMMYFUNCTION("if(C111="""","""",iferror(if(row()&lt;&gt;2,INDEX(arrayformula(filter($Q$2:$Q110,$C$2:$C110&lt;&gt;"""",row($C$2:$C110)=max(if($C$2:$C110=C111,row($C$2:$C110),0)))) ,1),0),0))"),"")</f>
        <v/>
      </c>
      <c r="Q111" s="147" t="str">
        <f t="shared" si="4"/>
        <v/>
      </c>
      <c r="R111" s="147" t="str">
        <f t="shared" si="5"/>
        <v/>
      </c>
      <c r="S111" s="147" t="str">
        <f t="shared" si="6"/>
        <v/>
      </c>
      <c r="T111" s="147" t="str">
        <f t="shared" si="7"/>
        <v/>
      </c>
      <c r="U111" s="150" t="str">
        <f t="shared" si="8"/>
        <v/>
      </c>
      <c r="V111" s="151" t="str">
        <f>IFERROR(VLOOKUP(C111,Ativos!$A$1:$G2000,5,),)</f>
        <v/>
      </c>
    </row>
    <row r="112" ht="21.0" customHeight="1">
      <c r="A112" s="158"/>
      <c r="B112" s="135"/>
      <c r="C112" s="153"/>
      <c r="D112" s="154"/>
      <c r="E112" s="139"/>
      <c r="F112" s="139"/>
      <c r="G112" s="139"/>
      <c r="H112" s="135"/>
      <c r="I112" s="141"/>
      <c r="J112" s="147" t="str">
        <f>IFERROR(__xludf.DUMMYFUNCTION("IF(ISBLANK(A112),IFERROR(1/0),IF(COUNT(FILTER(F:F,A:A=A112))&gt;1,TRUNC(N112*F112/SUM(FILTER(N:N,A:A=A112)),3),F112))"),"")</f>
        <v/>
      </c>
      <c r="K112" s="147" t="str">
        <f>IFERROR(__xludf.DUMMYFUNCTION("IF(ISBLANK(A112),IFERROR(1/0),IF(COUNT(FILTER(G:G,((A:A=A112)*(B:B=""V""))))&gt;1,TRUNC(N112*G112/SUM(FILTER(N:N,((A:A=A112)*(B:B=""V"")))),3),G112))"),"")</f>
        <v/>
      </c>
      <c r="L112" s="148" t="str">
        <f>IFERROR(__xludf.DUMMYFUNCTION("if($C112="""","""",iferror(if(row()&lt;&gt;2,INDEX(arrayformula(filter($M$2:$M111,$C$2:$C111&lt;&gt;"""",row($C$2:$C111)=max(if($C$2:$C111=C112,row($C$2:$C111),0)))) ,1),0),0))"),"")</f>
        <v/>
      </c>
      <c r="M112" s="148" t="str">
        <f t="shared" si="1"/>
        <v/>
      </c>
      <c r="N112" s="147" t="str">
        <f t="shared" si="2"/>
        <v/>
      </c>
      <c r="O112" s="147" t="str">
        <f t="shared" si="3"/>
        <v/>
      </c>
      <c r="P112" s="147" t="str">
        <f>IFERROR(__xludf.DUMMYFUNCTION("if(C112="""","""",iferror(if(row()&lt;&gt;2,INDEX(arrayformula(filter($Q$2:$Q111,$C$2:$C111&lt;&gt;"""",row($C$2:$C111)=max(if($C$2:$C111=C112,row($C$2:$C111),0)))) ,1),0),0))"),"")</f>
        <v/>
      </c>
      <c r="Q112" s="147" t="str">
        <f t="shared" si="4"/>
        <v/>
      </c>
      <c r="R112" s="147" t="str">
        <f t="shared" si="5"/>
        <v/>
      </c>
      <c r="S112" s="147" t="str">
        <f t="shared" si="6"/>
        <v/>
      </c>
      <c r="T112" s="147" t="str">
        <f t="shared" si="7"/>
        <v/>
      </c>
      <c r="U112" s="150" t="str">
        <f t="shared" si="8"/>
        <v/>
      </c>
      <c r="V112" s="151" t="str">
        <f>IFERROR(VLOOKUP(C112,Ativos!$A$1:$G2000,5,),)</f>
        <v/>
      </c>
    </row>
    <row r="113" ht="21.0" customHeight="1">
      <c r="A113" s="158"/>
      <c r="B113" s="135"/>
      <c r="C113" s="153"/>
      <c r="D113" s="154"/>
      <c r="E113" s="139"/>
      <c r="F113" s="139"/>
      <c r="G113" s="139"/>
      <c r="H113" s="135"/>
      <c r="I113" s="141"/>
      <c r="J113" s="147" t="str">
        <f>IFERROR(__xludf.DUMMYFUNCTION("IF(ISBLANK(A113),IFERROR(1/0),IF(COUNT(FILTER(F:F,A:A=A113))&gt;1,TRUNC(N113*F113/SUM(FILTER(N:N,A:A=A113)),3),F113))"),"")</f>
        <v/>
      </c>
      <c r="K113" s="147" t="str">
        <f>IFERROR(__xludf.DUMMYFUNCTION("IF(ISBLANK(A113),IFERROR(1/0),IF(COUNT(FILTER(G:G,((A:A=A113)*(B:B=""V""))))&gt;1,TRUNC(N113*G113/SUM(FILTER(N:N,((A:A=A113)*(B:B=""V"")))),3),G113))"),"")</f>
        <v/>
      </c>
      <c r="L113" s="148" t="str">
        <f>IFERROR(__xludf.DUMMYFUNCTION("if($C113="""","""",iferror(if(row()&lt;&gt;2,INDEX(arrayformula(filter($M$2:$M112,$C$2:$C112&lt;&gt;"""",row($C$2:$C112)=max(if($C$2:$C112=C113,row($C$2:$C112),0)))) ,1),0),0))"),"")</f>
        <v/>
      </c>
      <c r="M113" s="148" t="str">
        <f t="shared" si="1"/>
        <v/>
      </c>
      <c r="N113" s="147" t="str">
        <f t="shared" si="2"/>
        <v/>
      </c>
      <c r="O113" s="147" t="str">
        <f t="shared" si="3"/>
        <v/>
      </c>
      <c r="P113" s="147" t="str">
        <f>IFERROR(__xludf.DUMMYFUNCTION("if(C113="""","""",iferror(if(row()&lt;&gt;2,INDEX(arrayformula(filter($Q$2:$Q112,$C$2:$C112&lt;&gt;"""",row($C$2:$C112)=max(if($C$2:$C112=C113,row($C$2:$C112),0)))) ,1),0),0))"),"")</f>
        <v/>
      </c>
      <c r="Q113" s="147" t="str">
        <f t="shared" si="4"/>
        <v/>
      </c>
      <c r="R113" s="147" t="str">
        <f t="shared" si="5"/>
        <v/>
      </c>
      <c r="S113" s="147" t="str">
        <f t="shared" si="6"/>
        <v/>
      </c>
      <c r="T113" s="147" t="str">
        <f t="shared" si="7"/>
        <v/>
      </c>
      <c r="U113" s="150" t="str">
        <f t="shared" si="8"/>
        <v/>
      </c>
      <c r="V113" s="151" t="str">
        <f>IFERROR(VLOOKUP(C113,Ativos!$A$1:$G2000,5,),)</f>
        <v/>
      </c>
    </row>
    <row r="114" ht="21.0" customHeight="1">
      <c r="A114" s="158"/>
      <c r="B114" s="135"/>
      <c r="C114" s="153"/>
      <c r="D114" s="154"/>
      <c r="E114" s="139"/>
      <c r="F114" s="139"/>
      <c r="G114" s="139"/>
      <c r="H114" s="135"/>
      <c r="I114" s="141"/>
      <c r="J114" s="147" t="str">
        <f>IFERROR(__xludf.DUMMYFUNCTION("IF(ISBLANK(A114),IFERROR(1/0),IF(COUNT(FILTER(F:F,A:A=A114))&gt;1,TRUNC(N114*F114/SUM(FILTER(N:N,A:A=A114)),3),F114))"),"")</f>
        <v/>
      </c>
      <c r="K114" s="147" t="str">
        <f>IFERROR(__xludf.DUMMYFUNCTION("IF(ISBLANK(A114),IFERROR(1/0),IF(COUNT(FILTER(G:G,((A:A=A114)*(B:B=""V""))))&gt;1,TRUNC(N114*G114/SUM(FILTER(N:N,((A:A=A114)*(B:B=""V"")))),3),G114))"),"")</f>
        <v/>
      </c>
      <c r="L114" s="148" t="str">
        <f>IFERROR(__xludf.DUMMYFUNCTION("if($C114="""","""",iferror(if(row()&lt;&gt;2,INDEX(arrayformula(filter($M$2:$M113,$C$2:$C113&lt;&gt;"""",row($C$2:$C113)=max(if($C$2:$C113=C114,row($C$2:$C113),0)))) ,1),0),0))"),"")</f>
        <v/>
      </c>
      <c r="M114" s="148" t="str">
        <f t="shared" si="1"/>
        <v/>
      </c>
      <c r="N114" s="147" t="str">
        <f t="shared" si="2"/>
        <v/>
      </c>
      <c r="O114" s="147" t="str">
        <f t="shared" si="3"/>
        <v/>
      </c>
      <c r="P114" s="147" t="str">
        <f>IFERROR(__xludf.DUMMYFUNCTION("if(C114="""","""",iferror(if(row()&lt;&gt;2,INDEX(arrayformula(filter($Q$2:$Q113,$C$2:$C113&lt;&gt;"""",row($C$2:$C113)=max(if($C$2:$C113=C114,row($C$2:$C113),0)))) ,1),0),0))"),"")</f>
        <v/>
      </c>
      <c r="Q114" s="147" t="str">
        <f t="shared" si="4"/>
        <v/>
      </c>
      <c r="R114" s="147" t="str">
        <f t="shared" si="5"/>
        <v/>
      </c>
      <c r="S114" s="147" t="str">
        <f t="shared" si="6"/>
        <v/>
      </c>
      <c r="T114" s="147" t="str">
        <f t="shared" si="7"/>
        <v/>
      </c>
      <c r="U114" s="150" t="str">
        <f t="shared" si="8"/>
        <v/>
      </c>
      <c r="V114" s="151" t="str">
        <f>IFERROR(VLOOKUP(C114,Ativos!$A$1:$G2000,5,),)</f>
        <v/>
      </c>
    </row>
    <row r="115" ht="21.0" customHeight="1">
      <c r="A115" s="158"/>
      <c r="B115" s="135"/>
      <c r="C115" s="153"/>
      <c r="D115" s="154"/>
      <c r="E115" s="139"/>
      <c r="F115" s="139"/>
      <c r="G115" s="139"/>
      <c r="H115" s="135"/>
      <c r="I115" s="141"/>
      <c r="J115" s="147" t="str">
        <f>IFERROR(__xludf.DUMMYFUNCTION("IF(ISBLANK(A115),IFERROR(1/0),IF(COUNT(FILTER(F:F,A:A=A115))&gt;1,TRUNC(N115*F115/SUM(FILTER(N:N,A:A=A115)),3),F115))"),"")</f>
        <v/>
      </c>
      <c r="K115" s="147" t="str">
        <f>IFERROR(__xludf.DUMMYFUNCTION("IF(ISBLANK(A115),IFERROR(1/0),IF(COUNT(FILTER(G:G,((A:A=A115)*(B:B=""V""))))&gt;1,TRUNC(N115*G115/SUM(FILTER(N:N,((A:A=A115)*(B:B=""V"")))),3),G115))"),"")</f>
        <v/>
      </c>
      <c r="L115" s="148" t="str">
        <f>IFERROR(__xludf.DUMMYFUNCTION("if($C115="""","""",iferror(if(row()&lt;&gt;2,INDEX(arrayformula(filter($M$2:$M114,$C$2:$C114&lt;&gt;"""",row($C$2:$C114)=max(if($C$2:$C114=C115,row($C$2:$C114),0)))) ,1),0),0))"),"")</f>
        <v/>
      </c>
      <c r="M115" s="148" t="str">
        <f t="shared" si="1"/>
        <v/>
      </c>
      <c r="N115" s="147" t="str">
        <f t="shared" si="2"/>
        <v/>
      </c>
      <c r="O115" s="147" t="str">
        <f t="shared" si="3"/>
        <v/>
      </c>
      <c r="P115" s="147" t="str">
        <f>IFERROR(__xludf.DUMMYFUNCTION("if(C115="""","""",iferror(if(row()&lt;&gt;2,INDEX(arrayformula(filter($Q$2:$Q114,$C$2:$C114&lt;&gt;"""",row($C$2:$C114)=max(if($C$2:$C114=C115,row($C$2:$C114),0)))) ,1),0),0))"),"")</f>
        <v/>
      </c>
      <c r="Q115" s="147" t="str">
        <f t="shared" si="4"/>
        <v/>
      </c>
      <c r="R115" s="147" t="str">
        <f t="shared" si="5"/>
        <v/>
      </c>
      <c r="S115" s="147" t="str">
        <f t="shared" si="6"/>
        <v/>
      </c>
      <c r="T115" s="147" t="str">
        <f t="shared" si="7"/>
        <v/>
      </c>
      <c r="U115" s="150" t="str">
        <f t="shared" si="8"/>
        <v/>
      </c>
      <c r="V115" s="151" t="str">
        <f>IFERROR(VLOOKUP(C115,Ativos!$A$1:$G2000,5,),)</f>
        <v/>
      </c>
    </row>
    <row r="116" ht="21.0" customHeight="1">
      <c r="A116" s="158"/>
      <c r="B116" s="135"/>
      <c r="C116" s="153"/>
      <c r="D116" s="154"/>
      <c r="E116" s="139"/>
      <c r="F116" s="139"/>
      <c r="G116" s="139"/>
      <c r="H116" s="135"/>
      <c r="I116" s="141"/>
      <c r="J116" s="147" t="str">
        <f>IFERROR(__xludf.DUMMYFUNCTION("IF(ISBLANK(A116),IFERROR(1/0),IF(COUNT(FILTER(F:F,A:A=A116))&gt;1,TRUNC(N116*F116/SUM(FILTER(N:N,A:A=A116)),3),F116))"),"")</f>
        <v/>
      </c>
      <c r="K116" s="147" t="str">
        <f>IFERROR(__xludf.DUMMYFUNCTION("IF(ISBLANK(A116),IFERROR(1/0),IF(COUNT(FILTER(G:G,((A:A=A116)*(B:B=""V""))))&gt;1,TRUNC(N116*G116/SUM(FILTER(N:N,((A:A=A116)*(B:B=""V"")))),3),G116))"),"")</f>
        <v/>
      </c>
      <c r="L116" s="148" t="str">
        <f>IFERROR(__xludf.DUMMYFUNCTION("if($C116="""","""",iferror(if(row()&lt;&gt;2,INDEX(arrayformula(filter($M$2:$M115,$C$2:$C115&lt;&gt;"""",row($C$2:$C115)=max(if($C$2:$C115=C116,row($C$2:$C115),0)))) ,1),0),0))"),"")</f>
        <v/>
      </c>
      <c r="M116" s="148" t="str">
        <f t="shared" si="1"/>
        <v/>
      </c>
      <c r="N116" s="147" t="str">
        <f t="shared" si="2"/>
        <v/>
      </c>
      <c r="O116" s="147" t="str">
        <f t="shared" si="3"/>
        <v/>
      </c>
      <c r="P116" s="147" t="str">
        <f>IFERROR(__xludf.DUMMYFUNCTION("if(C116="""","""",iferror(if(row()&lt;&gt;2,INDEX(arrayformula(filter($Q$2:$Q115,$C$2:$C115&lt;&gt;"""",row($C$2:$C115)=max(if($C$2:$C115=C116,row($C$2:$C115),0)))) ,1),0),0))"),"")</f>
        <v/>
      </c>
      <c r="Q116" s="147" t="str">
        <f t="shared" si="4"/>
        <v/>
      </c>
      <c r="R116" s="147" t="str">
        <f t="shared" si="5"/>
        <v/>
      </c>
      <c r="S116" s="147" t="str">
        <f t="shared" si="6"/>
        <v/>
      </c>
      <c r="T116" s="147" t="str">
        <f t="shared" si="7"/>
        <v/>
      </c>
      <c r="U116" s="150" t="str">
        <f t="shared" si="8"/>
        <v/>
      </c>
      <c r="V116" s="151" t="str">
        <f>IFERROR(VLOOKUP(C116,Ativos!$A$1:$G2000,5,),)</f>
        <v/>
      </c>
    </row>
    <row r="117" ht="21.0" customHeight="1">
      <c r="A117" s="158"/>
      <c r="B117" s="135"/>
      <c r="C117" s="153"/>
      <c r="D117" s="154"/>
      <c r="E117" s="139"/>
      <c r="F117" s="139"/>
      <c r="G117" s="139"/>
      <c r="H117" s="135"/>
      <c r="I117" s="141"/>
      <c r="J117" s="147" t="str">
        <f>IFERROR(__xludf.DUMMYFUNCTION("IF(ISBLANK(A117),IFERROR(1/0),IF(COUNT(FILTER(F:F,A:A=A117))&gt;1,TRUNC(N117*F117/SUM(FILTER(N:N,A:A=A117)),3),F117))"),"")</f>
        <v/>
      </c>
      <c r="K117" s="147" t="str">
        <f>IFERROR(__xludf.DUMMYFUNCTION("IF(ISBLANK(A117),IFERROR(1/0),IF(COUNT(FILTER(G:G,((A:A=A117)*(B:B=""V""))))&gt;1,TRUNC(N117*G117/SUM(FILTER(N:N,((A:A=A117)*(B:B=""V"")))),3),G117))"),"")</f>
        <v/>
      </c>
      <c r="L117" s="148" t="str">
        <f>IFERROR(__xludf.DUMMYFUNCTION("if($C117="""","""",iferror(if(row()&lt;&gt;2,INDEX(arrayformula(filter($M$2:$M116,$C$2:$C116&lt;&gt;"""",row($C$2:$C116)=max(if($C$2:$C116=C117,row($C$2:$C116),0)))) ,1),0),0))"),"")</f>
        <v/>
      </c>
      <c r="M117" s="148" t="str">
        <f t="shared" si="1"/>
        <v/>
      </c>
      <c r="N117" s="147" t="str">
        <f t="shared" si="2"/>
        <v/>
      </c>
      <c r="O117" s="147" t="str">
        <f t="shared" si="3"/>
        <v/>
      </c>
      <c r="P117" s="147" t="str">
        <f>IFERROR(__xludf.DUMMYFUNCTION("if(C117="""","""",iferror(if(row()&lt;&gt;2,INDEX(arrayformula(filter($Q$2:$Q116,$C$2:$C116&lt;&gt;"""",row($C$2:$C116)=max(if($C$2:$C116=C117,row($C$2:$C116),0)))) ,1),0),0))"),"")</f>
        <v/>
      </c>
      <c r="Q117" s="147" t="str">
        <f t="shared" si="4"/>
        <v/>
      </c>
      <c r="R117" s="147" t="str">
        <f t="shared" si="5"/>
        <v/>
      </c>
      <c r="S117" s="147" t="str">
        <f t="shared" si="6"/>
        <v/>
      </c>
      <c r="T117" s="147" t="str">
        <f t="shared" si="7"/>
        <v/>
      </c>
      <c r="U117" s="150" t="str">
        <f t="shared" si="8"/>
        <v/>
      </c>
      <c r="V117" s="151" t="str">
        <f>IFERROR(VLOOKUP(C117,Ativos!$A$1:$G2000,5,),)</f>
        <v/>
      </c>
    </row>
    <row r="118" ht="21.0" customHeight="1">
      <c r="A118" s="158"/>
      <c r="B118" s="135"/>
      <c r="C118" s="153"/>
      <c r="D118" s="154"/>
      <c r="E118" s="139"/>
      <c r="F118" s="139"/>
      <c r="G118" s="139"/>
      <c r="H118" s="135"/>
      <c r="I118" s="141"/>
      <c r="J118" s="147" t="str">
        <f>IFERROR(__xludf.DUMMYFUNCTION("IF(ISBLANK(A118),IFERROR(1/0),IF(COUNT(FILTER(F:F,A:A=A118))&gt;1,TRUNC(N118*F118/SUM(FILTER(N:N,A:A=A118)),3),F118))"),"")</f>
        <v/>
      </c>
      <c r="K118" s="147" t="str">
        <f>IFERROR(__xludf.DUMMYFUNCTION("IF(ISBLANK(A118),IFERROR(1/0),IF(COUNT(FILTER(G:G,((A:A=A118)*(B:B=""V""))))&gt;1,TRUNC(N118*G118/SUM(FILTER(N:N,((A:A=A118)*(B:B=""V"")))),3),G118))"),"")</f>
        <v/>
      </c>
      <c r="L118" s="148" t="str">
        <f>IFERROR(__xludf.DUMMYFUNCTION("if($C118="""","""",iferror(if(row()&lt;&gt;2,INDEX(arrayformula(filter($M$2:$M117,$C$2:$C117&lt;&gt;"""",row($C$2:$C117)=max(if($C$2:$C117=C118,row($C$2:$C117),0)))) ,1),0),0))"),"")</f>
        <v/>
      </c>
      <c r="M118" s="148" t="str">
        <f t="shared" si="1"/>
        <v/>
      </c>
      <c r="N118" s="147" t="str">
        <f t="shared" si="2"/>
        <v/>
      </c>
      <c r="O118" s="147" t="str">
        <f t="shared" si="3"/>
        <v/>
      </c>
      <c r="P118" s="147" t="str">
        <f>IFERROR(__xludf.DUMMYFUNCTION("if(C118="""","""",iferror(if(row()&lt;&gt;2,INDEX(arrayformula(filter($Q$2:$Q117,$C$2:$C117&lt;&gt;"""",row($C$2:$C117)=max(if($C$2:$C117=C118,row($C$2:$C117),0)))) ,1),0),0))"),"")</f>
        <v/>
      </c>
      <c r="Q118" s="147" t="str">
        <f t="shared" si="4"/>
        <v/>
      </c>
      <c r="R118" s="147" t="str">
        <f t="shared" si="5"/>
        <v/>
      </c>
      <c r="S118" s="147" t="str">
        <f t="shared" si="6"/>
        <v/>
      </c>
      <c r="T118" s="147" t="str">
        <f t="shared" si="7"/>
        <v/>
      </c>
      <c r="U118" s="150" t="str">
        <f t="shared" si="8"/>
        <v/>
      </c>
      <c r="V118" s="151" t="str">
        <f>IFERROR(VLOOKUP(C118,Ativos!$A$1:$G2000,5,),)</f>
        <v/>
      </c>
    </row>
    <row r="119" ht="21.0" customHeight="1">
      <c r="A119" s="152"/>
      <c r="B119" s="135"/>
      <c r="C119" s="153"/>
      <c r="D119" s="154"/>
      <c r="E119" s="139"/>
      <c r="F119" s="139"/>
      <c r="G119" s="139"/>
      <c r="H119" s="135"/>
      <c r="I119" s="141"/>
      <c r="J119" s="147" t="str">
        <f>IFERROR(__xludf.DUMMYFUNCTION("IF(ISBLANK(A119),IFERROR(1/0),IF(COUNT(FILTER(F:F,A:A=A119))&gt;1,TRUNC(N119*F119/SUM(FILTER(N:N,A:A=A119)),3),F119))"),"")</f>
        <v/>
      </c>
      <c r="K119" s="147" t="str">
        <f>IFERROR(__xludf.DUMMYFUNCTION("IF(ISBLANK(A119),IFERROR(1/0),IF(COUNT(FILTER(G:G,((A:A=A119)*(B:B=""V""))))&gt;1,TRUNC(N119*G119/SUM(FILTER(N:N,((A:A=A119)*(B:B=""V"")))),3),G119))"),"")</f>
        <v/>
      </c>
      <c r="L119" s="148" t="str">
        <f>IFERROR(__xludf.DUMMYFUNCTION("if($C119="""","""",iferror(if(row()&lt;&gt;2,INDEX(arrayformula(filter($M$2:$M118,$C$2:$C118&lt;&gt;"""",row($C$2:$C118)=max(if($C$2:$C118=C119,row($C$2:$C118),0)))) ,1),0),0))"),"")</f>
        <v/>
      </c>
      <c r="M119" s="148" t="str">
        <f t="shared" si="1"/>
        <v/>
      </c>
      <c r="N119" s="147" t="str">
        <f t="shared" si="2"/>
        <v/>
      </c>
      <c r="O119" s="147" t="str">
        <f t="shared" si="3"/>
        <v/>
      </c>
      <c r="P119" s="147" t="str">
        <f>IFERROR(__xludf.DUMMYFUNCTION("if(C119="""","""",iferror(if(row()&lt;&gt;2,INDEX(arrayformula(filter($Q$2:$Q118,$C$2:$C118&lt;&gt;"""",row($C$2:$C118)=max(if($C$2:$C118=C119,row($C$2:$C118),0)))) ,1),0),0))"),"")</f>
        <v/>
      </c>
      <c r="Q119" s="147" t="str">
        <f t="shared" si="4"/>
        <v/>
      </c>
      <c r="R119" s="147" t="str">
        <f t="shared" si="5"/>
        <v/>
      </c>
      <c r="S119" s="147" t="str">
        <f t="shared" si="6"/>
        <v/>
      </c>
      <c r="T119" s="147" t="str">
        <f t="shared" si="7"/>
        <v/>
      </c>
      <c r="U119" s="150" t="str">
        <f t="shared" si="8"/>
        <v/>
      </c>
      <c r="V119" s="151" t="str">
        <f>IFERROR(VLOOKUP(C119,Ativos!$A$1:$G2000,5,),)</f>
        <v/>
      </c>
    </row>
    <row r="120" ht="21.0" customHeight="1">
      <c r="A120" s="152"/>
      <c r="B120" s="135"/>
      <c r="C120" s="153"/>
      <c r="D120" s="154"/>
      <c r="E120" s="139"/>
      <c r="F120" s="139"/>
      <c r="G120" s="139"/>
      <c r="H120" s="135"/>
      <c r="I120" s="141"/>
      <c r="J120" s="147" t="str">
        <f>IFERROR(__xludf.DUMMYFUNCTION("IF(ISBLANK(A120),IFERROR(1/0),IF(COUNT(FILTER(F:F,A:A=A120))&gt;1,TRUNC(N120*F120/SUM(FILTER(N:N,A:A=A120)),3),F120))"),"")</f>
        <v/>
      </c>
      <c r="K120" s="147" t="str">
        <f>IFERROR(__xludf.DUMMYFUNCTION("IF(ISBLANK(A120),IFERROR(1/0),IF(COUNT(FILTER(G:G,((A:A=A120)*(B:B=""V""))))&gt;1,TRUNC(N120*G120/SUM(FILTER(N:N,((A:A=A120)*(B:B=""V"")))),3),G120))"),"")</f>
        <v/>
      </c>
      <c r="L120" s="148" t="str">
        <f>IFERROR(__xludf.DUMMYFUNCTION("if($C120="""","""",iferror(if(row()&lt;&gt;2,INDEX(arrayformula(filter($M$2:$M119,$C$2:$C119&lt;&gt;"""",row($C$2:$C119)=max(if($C$2:$C119=C120,row($C$2:$C119),0)))) ,1),0),0))"),"")</f>
        <v/>
      </c>
      <c r="M120" s="148" t="str">
        <f t="shared" si="1"/>
        <v/>
      </c>
      <c r="N120" s="147" t="str">
        <f t="shared" si="2"/>
        <v/>
      </c>
      <c r="O120" s="147" t="str">
        <f t="shared" si="3"/>
        <v/>
      </c>
      <c r="P120" s="147" t="str">
        <f>IFERROR(__xludf.DUMMYFUNCTION("if(C120="""","""",iferror(if(row()&lt;&gt;2,INDEX(arrayformula(filter($Q$2:$Q119,$C$2:$C119&lt;&gt;"""",row($C$2:$C119)=max(if($C$2:$C119=C120,row($C$2:$C119),0)))) ,1),0),0))"),"")</f>
        <v/>
      </c>
      <c r="Q120" s="147" t="str">
        <f t="shared" si="4"/>
        <v/>
      </c>
      <c r="R120" s="147" t="str">
        <f t="shared" si="5"/>
        <v/>
      </c>
      <c r="S120" s="147" t="str">
        <f t="shared" si="6"/>
        <v/>
      </c>
      <c r="T120" s="147" t="str">
        <f t="shared" si="7"/>
        <v/>
      </c>
      <c r="U120" s="150" t="str">
        <f t="shared" si="8"/>
        <v/>
      </c>
      <c r="V120" s="151" t="str">
        <f>IFERROR(VLOOKUP(C120,Ativos!$A$1:$G2000,5,),)</f>
        <v/>
      </c>
    </row>
    <row r="121" ht="21.0" customHeight="1">
      <c r="A121" s="152"/>
      <c r="B121" s="135"/>
      <c r="C121" s="153"/>
      <c r="D121" s="154"/>
      <c r="E121" s="139"/>
      <c r="F121" s="139"/>
      <c r="G121" s="139"/>
      <c r="H121" s="135"/>
      <c r="I121" s="141"/>
      <c r="J121" s="147" t="str">
        <f>IFERROR(__xludf.DUMMYFUNCTION("IF(ISBLANK(A121),IFERROR(1/0),IF(COUNT(FILTER(F:F,A:A=A121))&gt;1,TRUNC(N121*F121/SUM(FILTER(N:N,A:A=A121)),3),F121))"),"")</f>
        <v/>
      </c>
      <c r="K121" s="147" t="str">
        <f>IFERROR(__xludf.DUMMYFUNCTION("IF(ISBLANK(A121),IFERROR(1/0),IF(COUNT(FILTER(G:G,((A:A=A121)*(B:B=""V""))))&gt;1,TRUNC(N121*G121/SUM(FILTER(N:N,((A:A=A121)*(B:B=""V"")))),3),G121))"),"")</f>
        <v/>
      </c>
      <c r="L121" s="148" t="str">
        <f>IFERROR(__xludf.DUMMYFUNCTION("if($C121="""","""",iferror(if(row()&lt;&gt;2,INDEX(arrayformula(filter($M$2:$M120,$C$2:$C120&lt;&gt;"""",row($C$2:$C120)=max(if($C$2:$C120=C121,row($C$2:$C120),0)))) ,1),0),0))"),"")</f>
        <v/>
      </c>
      <c r="M121" s="148" t="str">
        <f t="shared" si="1"/>
        <v/>
      </c>
      <c r="N121" s="147" t="str">
        <f t="shared" si="2"/>
        <v/>
      </c>
      <c r="O121" s="147" t="str">
        <f t="shared" si="3"/>
        <v/>
      </c>
      <c r="P121" s="147" t="str">
        <f>IFERROR(__xludf.DUMMYFUNCTION("if(C121="""","""",iferror(if(row()&lt;&gt;2,INDEX(arrayformula(filter($Q$2:$Q120,$C$2:$C120&lt;&gt;"""",row($C$2:$C120)=max(if($C$2:$C120=C121,row($C$2:$C120),0)))) ,1),0),0))"),"")</f>
        <v/>
      </c>
      <c r="Q121" s="147" t="str">
        <f t="shared" si="4"/>
        <v/>
      </c>
      <c r="R121" s="147" t="str">
        <f t="shared" si="5"/>
        <v/>
      </c>
      <c r="S121" s="147" t="str">
        <f t="shared" si="6"/>
        <v/>
      </c>
      <c r="T121" s="147" t="str">
        <f t="shared" si="7"/>
        <v/>
      </c>
      <c r="U121" s="150" t="str">
        <f t="shared" si="8"/>
        <v/>
      </c>
      <c r="V121" s="151" t="str">
        <f>IFERROR(VLOOKUP(C121,Ativos!$A$1:$G2000,5,),)</f>
        <v/>
      </c>
    </row>
    <row r="122" ht="21.0" customHeight="1">
      <c r="A122" s="152"/>
      <c r="B122" s="135"/>
      <c r="C122" s="153"/>
      <c r="D122" s="154"/>
      <c r="E122" s="139"/>
      <c r="F122" s="139"/>
      <c r="G122" s="139"/>
      <c r="H122" s="135"/>
      <c r="I122" s="141"/>
      <c r="J122" s="147" t="str">
        <f>IFERROR(__xludf.DUMMYFUNCTION("IF(ISBLANK(A122),IFERROR(1/0),IF(COUNT(FILTER(F:F,A:A=A122))&gt;1,TRUNC(N122*F122/SUM(FILTER(N:N,A:A=A122)),3),F122))"),"")</f>
        <v/>
      </c>
      <c r="K122" s="147" t="str">
        <f>IFERROR(__xludf.DUMMYFUNCTION("IF(ISBLANK(A122),IFERROR(1/0),IF(COUNT(FILTER(G:G,((A:A=A122)*(B:B=""V""))))&gt;1,TRUNC(N122*G122/SUM(FILTER(N:N,((A:A=A122)*(B:B=""V"")))),3),G122))"),"")</f>
        <v/>
      </c>
      <c r="L122" s="148" t="str">
        <f>IFERROR(__xludf.DUMMYFUNCTION("if($C122="""","""",iferror(if(row()&lt;&gt;2,INDEX(arrayformula(filter($M$2:$M121,$C$2:$C121&lt;&gt;"""",row($C$2:$C121)=max(if($C$2:$C121=C122,row($C$2:$C121),0)))) ,1),0),0))"),"")</f>
        <v/>
      </c>
      <c r="M122" s="148" t="str">
        <f t="shared" si="1"/>
        <v/>
      </c>
      <c r="N122" s="147" t="str">
        <f t="shared" si="2"/>
        <v/>
      </c>
      <c r="O122" s="147" t="str">
        <f t="shared" si="3"/>
        <v/>
      </c>
      <c r="P122" s="147" t="str">
        <f>IFERROR(__xludf.DUMMYFUNCTION("if(C122="""","""",iferror(if(row()&lt;&gt;2,INDEX(arrayformula(filter($Q$2:$Q121,$C$2:$C121&lt;&gt;"""",row($C$2:$C121)=max(if($C$2:$C121=C122,row($C$2:$C121),0)))) ,1),0),0))"),"")</f>
        <v/>
      </c>
      <c r="Q122" s="147" t="str">
        <f t="shared" si="4"/>
        <v/>
      </c>
      <c r="R122" s="147" t="str">
        <f t="shared" si="5"/>
        <v/>
      </c>
      <c r="S122" s="147" t="str">
        <f t="shared" si="6"/>
        <v/>
      </c>
      <c r="T122" s="147" t="str">
        <f t="shared" si="7"/>
        <v/>
      </c>
      <c r="U122" s="150" t="str">
        <f t="shared" si="8"/>
        <v/>
      </c>
      <c r="V122" s="151" t="str">
        <f>IFERROR(VLOOKUP(C122,Ativos!$A$1:$G2000,5,),)</f>
        <v/>
      </c>
    </row>
    <row r="123" ht="21.0" customHeight="1">
      <c r="A123" s="152"/>
      <c r="B123" s="135"/>
      <c r="C123" s="153"/>
      <c r="D123" s="154"/>
      <c r="E123" s="139"/>
      <c r="F123" s="139"/>
      <c r="G123" s="139"/>
      <c r="H123" s="135"/>
      <c r="I123" s="141"/>
      <c r="J123" s="147" t="str">
        <f>IFERROR(__xludf.DUMMYFUNCTION("IF(ISBLANK(A123),IFERROR(1/0),IF(COUNT(FILTER(F:F,A:A=A123))&gt;1,TRUNC(N123*F123/SUM(FILTER(N:N,A:A=A123)),3),F123))"),"")</f>
        <v/>
      </c>
      <c r="K123" s="147" t="str">
        <f>IFERROR(__xludf.DUMMYFUNCTION("IF(ISBLANK(A123),IFERROR(1/0),IF(COUNT(FILTER(G:G,((A:A=A123)*(B:B=""V""))))&gt;1,TRUNC(N123*G123/SUM(FILTER(N:N,((A:A=A123)*(B:B=""V"")))),3),G123))"),"")</f>
        <v/>
      </c>
      <c r="L123" s="148" t="str">
        <f>IFERROR(__xludf.DUMMYFUNCTION("if($C123="""","""",iferror(if(row()&lt;&gt;2,INDEX(arrayformula(filter($M$2:$M122,$C$2:$C122&lt;&gt;"""",row($C$2:$C122)=max(if($C$2:$C122=C123,row($C$2:$C122),0)))) ,1),0),0))"),"")</f>
        <v/>
      </c>
      <c r="M123" s="148" t="str">
        <f t="shared" si="1"/>
        <v/>
      </c>
      <c r="N123" s="147" t="str">
        <f t="shared" si="2"/>
        <v/>
      </c>
      <c r="O123" s="147" t="str">
        <f t="shared" si="3"/>
        <v/>
      </c>
      <c r="P123" s="147" t="str">
        <f>IFERROR(__xludf.DUMMYFUNCTION("if(C123="""","""",iferror(if(row()&lt;&gt;2,INDEX(arrayformula(filter($Q$2:$Q122,$C$2:$C122&lt;&gt;"""",row($C$2:$C122)=max(if($C$2:$C122=C123,row($C$2:$C122),0)))) ,1),0),0))"),"")</f>
        <v/>
      </c>
      <c r="Q123" s="147" t="str">
        <f t="shared" si="4"/>
        <v/>
      </c>
      <c r="R123" s="147" t="str">
        <f t="shared" si="5"/>
        <v/>
      </c>
      <c r="S123" s="147" t="str">
        <f t="shared" si="6"/>
        <v/>
      </c>
      <c r="T123" s="147" t="str">
        <f t="shared" si="7"/>
        <v/>
      </c>
      <c r="U123" s="150" t="str">
        <f t="shared" si="8"/>
        <v/>
      </c>
      <c r="V123" s="151" t="str">
        <f>IFERROR(VLOOKUP(C123,Ativos!$A$1:$G2000,5,),)</f>
        <v/>
      </c>
    </row>
    <row r="124" ht="21.0" customHeight="1">
      <c r="A124" s="152"/>
      <c r="B124" s="135"/>
      <c r="C124" s="153"/>
      <c r="D124" s="154"/>
      <c r="E124" s="139"/>
      <c r="F124" s="139"/>
      <c r="G124" s="139"/>
      <c r="H124" s="135"/>
      <c r="I124" s="141"/>
      <c r="J124" s="147" t="str">
        <f>IFERROR(__xludf.DUMMYFUNCTION("IF(ISBLANK(A124),IFERROR(1/0),IF(COUNT(FILTER(F:F,A:A=A124))&gt;1,TRUNC(N124*F124/SUM(FILTER(N:N,A:A=A124)),3),F124))"),"")</f>
        <v/>
      </c>
      <c r="K124" s="147" t="str">
        <f>IFERROR(__xludf.DUMMYFUNCTION("IF(ISBLANK(A124),IFERROR(1/0),IF(COUNT(FILTER(G:G,((A:A=A124)*(B:B=""V""))))&gt;1,TRUNC(N124*G124/SUM(FILTER(N:N,((A:A=A124)*(B:B=""V"")))),3),G124))"),"")</f>
        <v/>
      </c>
      <c r="L124" s="148" t="str">
        <f>IFERROR(__xludf.DUMMYFUNCTION("if($C124="""","""",iferror(if(row()&lt;&gt;2,INDEX(arrayformula(filter($M$2:$M123,$C$2:$C123&lt;&gt;"""",row($C$2:$C123)=max(if($C$2:$C123=C124,row($C$2:$C123),0)))) ,1),0),0))"),"")</f>
        <v/>
      </c>
      <c r="M124" s="148" t="str">
        <f t="shared" si="1"/>
        <v/>
      </c>
      <c r="N124" s="147" t="str">
        <f t="shared" si="2"/>
        <v/>
      </c>
      <c r="O124" s="147" t="str">
        <f t="shared" si="3"/>
        <v/>
      </c>
      <c r="P124" s="147" t="str">
        <f>IFERROR(__xludf.DUMMYFUNCTION("if(C124="""","""",iferror(if(row()&lt;&gt;2,INDEX(arrayformula(filter($Q$2:$Q123,$C$2:$C123&lt;&gt;"""",row($C$2:$C123)=max(if($C$2:$C123=C124,row($C$2:$C123),0)))) ,1),0),0))"),"")</f>
        <v/>
      </c>
      <c r="Q124" s="147" t="str">
        <f t="shared" si="4"/>
        <v/>
      </c>
      <c r="R124" s="147" t="str">
        <f t="shared" si="5"/>
        <v/>
      </c>
      <c r="S124" s="147" t="str">
        <f t="shared" si="6"/>
        <v/>
      </c>
      <c r="T124" s="147" t="str">
        <f t="shared" si="7"/>
        <v/>
      </c>
      <c r="U124" s="150" t="str">
        <f t="shared" si="8"/>
        <v/>
      </c>
      <c r="V124" s="151" t="str">
        <f>IFERROR(VLOOKUP(C124,Ativos!$A$1:$G2000,5,),)</f>
        <v/>
      </c>
    </row>
    <row r="125" ht="21.0" customHeight="1">
      <c r="A125" s="152"/>
      <c r="B125" s="135"/>
      <c r="C125" s="153"/>
      <c r="D125" s="154"/>
      <c r="E125" s="139"/>
      <c r="F125" s="139"/>
      <c r="G125" s="139"/>
      <c r="H125" s="135"/>
      <c r="I125" s="141"/>
      <c r="J125" s="147" t="str">
        <f>IFERROR(__xludf.DUMMYFUNCTION("IF(ISBLANK(A125),IFERROR(1/0),IF(COUNT(FILTER(F:F,A:A=A125))&gt;1,TRUNC(N125*F125/SUM(FILTER(N:N,A:A=A125)),3),F125))"),"")</f>
        <v/>
      </c>
      <c r="K125" s="147" t="str">
        <f>IFERROR(__xludf.DUMMYFUNCTION("IF(ISBLANK(A125),IFERROR(1/0),IF(COUNT(FILTER(G:G,((A:A=A125)*(B:B=""V""))))&gt;1,TRUNC(N125*G125/SUM(FILTER(N:N,((A:A=A125)*(B:B=""V"")))),3),G125))"),"")</f>
        <v/>
      </c>
      <c r="L125" s="148" t="str">
        <f>IFERROR(__xludf.DUMMYFUNCTION("if($C125="""","""",iferror(if(row()&lt;&gt;2,INDEX(arrayformula(filter($M$2:$M124,$C$2:$C124&lt;&gt;"""",row($C$2:$C124)=max(if($C$2:$C124=C125,row($C$2:$C124),0)))) ,1),0),0))"),"")</f>
        <v/>
      </c>
      <c r="M125" s="148" t="str">
        <f t="shared" si="1"/>
        <v/>
      </c>
      <c r="N125" s="147" t="str">
        <f t="shared" si="2"/>
        <v/>
      </c>
      <c r="O125" s="147" t="str">
        <f t="shared" si="3"/>
        <v/>
      </c>
      <c r="P125" s="147" t="str">
        <f>IFERROR(__xludf.DUMMYFUNCTION("if(C125="""","""",iferror(if(row()&lt;&gt;2,INDEX(arrayformula(filter($Q$2:$Q124,$C$2:$C124&lt;&gt;"""",row($C$2:$C124)=max(if($C$2:$C124=C125,row($C$2:$C124),0)))) ,1),0),0))"),"")</f>
        <v/>
      </c>
      <c r="Q125" s="147" t="str">
        <f t="shared" si="4"/>
        <v/>
      </c>
      <c r="R125" s="147" t="str">
        <f t="shared" si="5"/>
        <v/>
      </c>
      <c r="S125" s="147" t="str">
        <f t="shared" si="6"/>
        <v/>
      </c>
      <c r="T125" s="147" t="str">
        <f t="shared" si="7"/>
        <v/>
      </c>
      <c r="U125" s="150" t="str">
        <f t="shared" si="8"/>
        <v/>
      </c>
      <c r="V125" s="151" t="str">
        <f>IFERROR(VLOOKUP(C125,Ativos!$A$1:$G2000,5,),)</f>
        <v/>
      </c>
    </row>
    <row r="126" ht="21.0" customHeight="1">
      <c r="A126" s="152"/>
      <c r="B126" s="135"/>
      <c r="C126" s="153"/>
      <c r="D126" s="154"/>
      <c r="E126" s="139"/>
      <c r="F126" s="139"/>
      <c r="G126" s="139"/>
      <c r="H126" s="135"/>
      <c r="I126" s="141"/>
      <c r="J126" s="147" t="str">
        <f>IFERROR(__xludf.DUMMYFUNCTION("IF(ISBLANK(A126),IFERROR(1/0),IF(COUNT(FILTER(F:F,A:A=A126))&gt;1,TRUNC(N126*F126/SUM(FILTER(N:N,A:A=A126)),3),F126))"),"")</f>
        <v/>
      </c>
      <c r="K126" s="147" t="str">
        <f>IFERROR(__xludf.DUMMYFUNCTION("IF(ISBLANK(A126),IFERROR(1/0),IF(COUNT(FILTER(G:G,((A:A=A126)*(B:B=""V""))))&gt;1,TRUNC(N126*G126/SUM(FILTER(N:N,((A:A=A126)*(B:B=""V"")))),3),G126))"),"")</f>
        <v/>
      </c>
      <c r="L126" s="148" t="str">
        <f>IFERROR(__xludf.DUMMYFUNCTION("if($C126="""","""",iferror(if(row()&lt;&gt;2,INDEX(arrayformula(filter($M$2:$M125,$C$2:$C125&lt;&gt;"""",row($C$2:$C125)=max(if($C$2:$C125=C126,row($C$2:$C125),0)))) ,1),0),0))"),"")</f>
        <v/>
      </c>
      <c r="M126" s="148" t="str">
        <f t="shared" si="1"/>
        <v/>
      </c>
      <c r="N126" s="147" t="str">
        <f t="shared" si="2"/>
        <v/>
      </c>
      <c r="O126" s="147" t="str">
        <f t="shared" si="3"/>
        <v/>
      </c>
      <c r="P126" s="147" t="str">
        <f>IFERROR(__xludf.DUMMYFUNCTION("if(C126="""","""",iferror(if(row()&lt;&gt;2,INDEX(arrayformula(filter($Q$2:$Q125,$C$2:$C125&lt;&gt;"""",row($C$2:$C125)=max(if($C$2:$C125=C126,row($C$2:$C125),0)))) ,1),0),0))"),"")</f>
        <v/>
      </c>
      <c r="Q126" s="147" t="str">
        <f t="shared" si="4"/>
        <v/>
      </c>
      <c r="R126" s="147" t="str">
        <f t="shared" si="5"/>
        <v/>
      </c>
      <c r="S126" s="147" t="str">
        <f t="shared" si="6"/>
        <v/>
      </c>
      <c r="T126" s="147" t="str">
        <f t="shared" si="7"/>
        <v/>
      </c>
      <c r="U126" s="150" t="str">
        <f t="shared" si="8"/>
        <v/>
      </c>
      <c r="V126" s="151" t="str">
        <f>IFERROR(VLOOKUP(C126,Ativos!$A$1:$G2000,5,),)</f>
        <v/>
      </c>
    </row>
    <row r="127" ht="21.0" customHeight="1">
      <c r="A127" s="152"/>
      <c r="B127" s="135"/>
      <c r="C127" s="153"/>
      <c r="D127" s="154"/>
      <c r="E127" s="139"/>
      <c r="F127" s="139"/>
      <c r="G127" s="139"/>
      <c r="H127" s="135"/>
      <c r="I127" s="141"/>
      <c r="J127" s="147" t="str">
        <f>IFERROR(__xludf.DUMMYFUNCTION("IF(ISBLANK(A127),IFERROR(1/0),IF(COUNT(FILTER(F:F,A:A=A127))&gt;1,TRUNC(N127*F127/SUM(FILTER(N:N,A:A=A127)),3),F127))"),"")</f>
        <v/>
      </c>
      <c r="K127" s="147" t="str">
        <f>IFERROR(__xludf.DUMMYFUNCTION("IF(ISBLANK(A127),IFERROR(1/0),IF(COUNT(FILTER(G:G,((A:A=A127)*(B:B=""V""))))&gt;1,TRUNC(N127*G127/SUM(FILTER(N:N,((A:A=A127)*(B:B=""V"")))),3),G127))"),"")</f>
        <v/>
      </c>
      <c r="L127" s="148" t="str">
        <f>IFERROR(__xludf.DUMMYFUNCTION("if($C127="""","""",iferror(if(row()&lt;&gt;2,INDEX(arrayformula(filter($M$2:$M126,$C$2:$C126&lt;&gt;"""",row($C$2:$C126)=max(if($C$2:$C126=C127,row($C$2:$C126),0)))) ,1),0),0))"),"")</f>
        <v/>
      </c>
      <c r="M127" s="148" t="str">
        <f t="shared" si="1"/>
        <v/>
      </c>
      <c r="N127" s="147" t="str">
        <f t="shared" si="2"/>
        <v/>
      </c>
      <c r="O127" s="147" t="str">
        <f t="shared" si="3"/>
        <v/>
      </c>
      <c r="P127" s="147" t="str">
        <f>IFERROR(__xludf.DUMMYFUNCTION("if(C127="""","""",iferror(if(row()&lt;&gt;2,INDEX(arrayformula(filter($Q$2:$Q126,$C$2:$C126&lt;&gt;"""",row($C$2:$C126)=max(if($C$2:$C126=C127,row($C$2:$C126),0)))) ,1),0),0))"),"")</f>
        <v/>
      </c>
      <c r="Q127" s="147" t="str">
        <f t="shared" si="4"/>
        <v/>
      </c>
      <c r="R127" s="147" t="str">
        <f t="shared" si="5"/>
        <v/>
      </c>
      <c r="S127" s="147" t="str">
        <f t="shared" si="6"/>
        <v/>
      </c>
      <c r="T127" s="147" t="str">
        <f t="shared" si="7"/>
        <v/>
      </c>
      <c r="U127" s="150" t="str">
        <f t="shared" si="8"/>
        <v/>
      </c>
      <c r="V127" s="151" t="str">
        <f>IFERROR(VLOOKUP(C127,Ativos!$A$1:$G2000,5,),)</f>
        <v/>
      </c>
    </row>
    <row r="128" ht="21.0" customHeight="1">
      <c r="A128" s="152"/>
      <c r="B128" s="135"/>
      <c r="C128" s="153"/>
      <c r="D128" s="154"/>
      <c r="E128" s="139"/>
      <c r="F128" s="139"/>
      <c r="G128" s="139"/>
      <c r="H128" s="135"/>
      <c r="I128" s="141"/>
      <c r="J128" s="147" t="str">
        <f>IFERROR(__xludf.DUMMYFUNCTION("IF(ISBLANK(A128),IFERROR(1/0),IF(COUNT(FILTER(F:F,A:A=A128))&gt;1,TRUNC(N128*F128/SUM(FILTER(N:N,A:A=A128)),3),F128))"),"")</f>
        <v/>
      </c>
      <c r="K128" s="147" t="str">
        <f>IFERROR(__xludf.DUMMYFUNCTION("IF(ISBLANK(A128),IFERROR(1/0),IF(COUNT(FILTER(G:G,((A:A=A128)*(B:B=""V""))))&gt;1,TRUNC(N128*G128/SUM(FILTER(N:N,((A:A=A128)*(B:B=""V"")))),3),G128))"),"")</f>
        <v/>
      </c>
      <c r="L128" s="148" t="str">
        <f>IFERROR(__xludf.DUMMYFUNCTION("if($C128="""","""",iferror(if(row()&lt;&gt;2,INDEX(arrayformula(filter($M$2:$M127,$C$2:$C127&lt;&gt;"""",row($C$2:$C127)=max(if($C$2:$C127=C128,row($C$2:$C127),0)))) ,1),0),0))"),"")</f>
        <v/>
      </c>
      <c r="M128" s="148" t="str">
        <f t="shared" si="1"/>
        <v/>
      </c>
      <c r="N128" s="147" t="str">
        <f t="shared" si="2"/>
        <v/>
      </c>
      <c r="O128" s="147" t="str">
        <f t="shared" si="3"/>
        <v/>
      </c>
      <c r="P128" s="147" t="str">
        <f>IFERROR(__xludf.DUMMYFUNCTION("if(C128="""","""",iferror(if(row()&lt;&gt;2,INDEX(arrayformula(filter($Q$2:$Q127,$C$2:$C127&lt;&gt;"""",row($C$2:$C127)=max(if($C$2:$C127=C128,row($C$2:$C127),0)))) ,1),0),0))"),"")</f>
        <v/>
      </c>
      <c r="Q128" s="147" t="str">
        <f t="shared" si="4"/>
        <v/>
      </c>
      <c r="R128" s="147" t="str">
        <f t="shared" si="5"/>
        <v/>
      </c>
      <c r="S128" s="147" t="str">
        <f t="shared" si="6"/>
        <v/>
      </c>
      <c r="T128" s="147" t="str">
        <f t="shared" si="7"/>
        <v/>
      </c>
      <c r="U128" s="150" t="str">
        <f t="shared" si="8"/>
        <v/>
      </c>
      <c r="V128" s="151" t="str">
        <f>IFERROR(VLOOKUP(C128,Ativos!$A$1:$G2000,5,),)</f>
        <v/>
      </c>
    </row>
    <row r="129" ht="21.0" customHeight="1">
      <c r="A129" s="152"/>
      <c r="B129" s="135"/>
      <c r="C129" s="153"/>
      <c r="D129" s="154"/>
      <c r="E129" s="139"/>
      <c r="F129" s="139"/>
      <c r="G129" s="139"/>
      <c r="H129" s="135"/>
      <c r="I129" s="141"/>
      <c r="J129" s="147" t="str">
        <f>IFERROR(__xludf.DUMMYFUNCTION("IF(ISBLANK(A129),IFERROR(1/0),IF(COUNT(FILTER(F:F,A:A=A129))&gt;1,TRUNC(N129*F129/SUM(FILTER(N:N,A:A=A129)),3),F129))"),"")</f>
        <v/>
      </c>
      <c r="K129" s="147" t="str">
        <f>IFERROR(__xludf.DUMMYFUNCTION("IF(ISBLANK(A129),IFERROR(1/0),IF(COUNT(FILTER(G:G,((A:A=A129)*(B:B=""V""))))&gt;1,TRUNC(N129*G129/SUM(FILTER(N:N,((A:A=A129)*(B:B=""V"")))),3),G129))"),"")</f>
        <v/>
      </c>
      <c r="L129" s="148" t="str">
        <f>IFERROR(__xludf.DUMMYFUNCTION("if($C129="""","""",iferror(if(row()&lt;&gt;2,INDEX(arrayformula(filter($M$2:$M128,$C$2:$C128&lt;&gt;"""",row($C$2:$C128)=max(if($C$2:$C128=C129,row($C$2:$C128),0)))) ,1),0),0))"),"")</f>
        <v/>
      </c>
      <c r="M129" s="148" t="str">
        <f t="shared" si="1"/>
        <v/>
      </c>
      <c r="N129" s="147" t="str">
        <f t="shared" si="2"/>
        <v/>
      </c>
      <c r="O129" s="147" t="str">
        <f t="shared" si="3"/>
        <v/>
      </c>
      <c r="P129" s="147" t="str">
        <f>IFERROR(__xludf.DUMMYFUNCTION("if(C129="""","""",iferror(if(row()&lt;&gt;2,INDEX(arrayformula(filter($Q$2:$Q128,$C$2:$C128&lt;&gt;"""",row($C$2:$C128)=max(if($C$2:$C128=C129,row($C$2:$C128),0)))) ,1),0),0))"),"")</f>
        <v/>
      </c>
      <c r="Q129" s="147" t="str">
        <f t="shared" si="4"/>
        <v/>
      </c>
      <c r="R129" s="147" t="str">
        <f t="shared" si="5"/>
        <v/>
      </c>
      <c r="S129" s="147" t="str">
        <f t="shared" si="6"/>
        <v/>
      </c>
      <c r="T129" s="147" t="str">
        <f t="shared" si="7"/>
        <v/>
      </c>
      <c r="U129" s="150" t="str">
        <f t="shared" si="8"/>
        <v/>
      </c>
      <c r="V129" s="151" t="str">
        <f>IFERROR(VLOOKUP(C129,Ativos!$A$1:$G2000,5,),)</f>
        <v/>
      </c>
    </row>
    <row r="130" ht="21.0" customHeight="1">
      <c r="A130" s="152"/>
      <c r="B130" s="135"/>
      <c r="C130" s="153"/>
      <c r="D130" s="154"/>
      <c r="E130" s="139"/>
      <c r="F130" s="139"/>
      <c r="G130" s="139"/>
      <c r="H130" s="135"/>
      <c r="I130" s="141"/>
      <c r="J130" s="147" t="str">
        <f>IFERROR(__xludf.DUMMYFUNCTION("IF(ISBLANK(A130),IFERROR(1/0),IF(COUNT(FILTER(F:F,A:A=A130))&gt;1,TRUNC(N130*F130/SUM(FILTER(N:N,A:A=A130)),3),F130))"),"")</f>
        <v/>
      </c>
      <c r="K130" s="147" t="str">
        <f>IFERROR(__xludf.DUMMYFUNCTION("IF(ISBLANK(A130),IFERROR(1/0),IF(COUNT(FILTER(G:G,((A:A=A130)*(B:B=""V""))))&gt;1,TRUNC(N130*G130/SUM(FILTER(N:N,((A:A=A130)*(B:B=""V"")))),3),G130))"),"")</f>
        <v/>
      </c>
      <c r="L130" s="148" t="str">
        <f>IFERROR(__xludf.DUMMYFUNCTION("if($C130="""","""",iferror(if(row()&lt;&gt;2,INDEX(arrayformula(filter($M$2:$M129,$C$2:$C129&lt;&gt;"""",row($C$2:$C129)=max(if($C$2:$C129=C130,row($C$2:$C129),0)))) ,1),0),0))"),"")</f>
        <v/>
      </c>
      <c r="M130" s="148" t="str">
        <f t="shared" si="1"/>
        <v/>
      </c>
      <c r="N130" s="147" t="str">
        <f t="shared" si="2"/>
        <v/>
      </c>
      <c r="O130" s="147" t="str">
        <f t="shared" si="3"/>
        <v/>
      </c>
      <c r="P130" s="147" t="str">
        <f>IFERROR(__xludf.DUMMYFUNCTION("if(C130="""","""",iferror(if(row()&lt;&gt;2,INDEX(arrayformula(filter($Q$2:$Q129,$C$2:$C129&lt;&gt;"""",row($C$2:$C129)=max(if($C$2:$C129=C130,row($C$2:$C129),0)))) ,1),0),0))"),"")</f>
        <v/>
      </c>
      <c r="Q130" s="147" t="str">
        <f t="shared" si="4"/>
        <v/>
      </c>
      <c r="R130" s="147" t="str">
        <f t="shared" si="5"/>
        <v/>
      </c>
      <c r="S130" s="147" t="str">
        <f t="shared" si="6"/>
        <v/>
      </c>
      <c r="T130" s="147" t="str">
        <f t="shared" si="7"/>
        <v/>
      </c>
      <c r="U130" s="150" t="str">
        <f t="shared" si="8"/>
        <v/>
      </c>
      <c r="V130" s="151" t="str">
        <f>IFERROR(VLOOKUP(C130,Ativos!$A$1:$G2000,5,),)</f>
        <v/>
      </c>
    </row>
    <row r="131" ht="21.0" customHeight="1">
      <c r="A131" s="152"/>
      <c r="B131" s="135"/>
      <c r="C131" s="153"/>
      <c r="D131" s="154"/>
      <c r="E131" s="139"/>
      <c r="F131" s="139"/>
      <c r="G131" s="139"/>
      <c r="H131" s="135"/>
      <c r="I131" s="141"/>
      <c r="J131" s="147" t="str">
        <f>IFERROR(__xludf.DUMMYFUNCTION("IF(ISBLANK(A131),IFERROR(1/0),IF(COUNT(FILTER(F:F,A:A=A131))&gt;1,TRUNC(N131*F131/SUM(FILTER(N:N,A:A=A131)),3),F131))"),"")</f>
        <v/>
      </c>
      <c r="K131" s="147" t="str">
        <f>IFERROR(__xludf.DUMMYFUNCTION("IF(ISBLANK(A131),IFERROR(1/0),IF(COUNT(FILTER(G:G,((A:A=A131)*(B:B=""V""))))&gt;1,TRUNC(N131*G131/SUM(FILTER(N:N,((A:A=A131)*(B:B=""V"")))),3),G131))"),"")</f>
        <v/>
      </c>
      <c r="L131" s="148" t="str">
        <f>IFERROR(__xludf.DUMMYFUNCTION("if($C131="""","""",iferror(if(row()&lt;&gt;2,INDEX(arrayformula(filter($M$2:$M130,$C$2:$C130&lt;&gt;"""",row($C$2:$C130)=max(if($C$2:$C130=C131,row($C$2:$C130),0)))) ,1),0),0))"),"")</f>
        <v/>
      </c>
      <c r="M131" s="148" t="str">
        <f t="shared" si="1"/>
        <v/>
      </c>
      <c r="N131" s="147" t="str">
        <f t="shared" si="2"/>
        <v/>
      </c>
      <c r="O131" s="147" t="str">
        <f t="shared" si="3"/>
        <v/>
      </c>
      <c r="P131" s="147" t="str">
        <f>IFERROR(__xludf.DUMMYFUNCTION("if(C131="""","""",iferror(if(row()&lt;&gt;2,INDEX(arrayformula(filter($Q$2:$Q130,$C$2:$C130&lt;&gt;"""",row($C$2:$C130)=max(if($C$2:$C130=C131,row($C$2:$C130),0)))) ,1),0),0))"),"")</f>
        <v/>
      </c>
      <c r="Q131" s="147" t="str">
        <f t="shared" si="4"/>
        <v/>
      </c>
      <c r="R131" s="147" t="str">
        <f t="shared" si="5"/>
        <v/>
      </c>
      <c r="S131" s="147" t="str">
        <f t="shared" si="6"/>
        <v/>
      </c>
      <c r="T131" s="147" t="str">
        <f t="shared" si="7"/>
        <v/>
      </c>
      <c r="U131" s="150" t="str">
        <f t="shared" si="8"/>
        <v/>
      </c>
      <c r="V131" s="151" t="str">
        <f>IFERROR(VLOOKUP(C131,Ativos!$A$1:$G2000,5,),)</f>
        <v/>
      </c>
    </row>
    <row r="132" ht="21.0" customHeight="1">
      <c r="A132" s="152"/>
      <c r="B132" s="135"/>
      <c r="C132" s="153"/>
      <c r="D132" s="154"/>
      <c r="E132" s="139"/>
      <c r="F132" s="139"/>
      <c r="G132" s="139"/>
      <c r="H132" s="135"/>
      <c r="I132" s="141"/>
      <c r="J132" s="147" t="str">
        <f>IFERROR(__xludf.DUMMYFUNCTION("IF(ISBLANK(A132),IFERROR(1/0),IF(COUNT(FILTER(F:F,A:A=A132))&gt;1,TRUNC(N132*F132/SUM(FILTER(N:N,A:A=A132)),3),F132))"),"")</f>
        <v/>
      </c>
      <c r="K132" s="147" t="str">
        <f>IFERROR(__xludf.DUMMYFUNCTION("IF(ISBLANK(A132),IFERROR(1/0),IF(COUNT(FILTER(G:G,((A:A=A132)*(B:B=""V""))))&gt;1,TRUNC(N132*G132/SUM(FILTER(N:N,((A:A=A132)*(B:B=""V"")))),3),G132))"),"")</f>
        <v/>
      </c>
      <c r="L132" s="148" t="str">
        <f>IFERROR(__xludf.DUMMYFUNCTION("if($C132="""","""",iferror(if(row()&lt;&gt;2,INDEX(arrayformula(filter($M$2:$M131,$C$2:$C131&lt;&gt;"""",row($C$2:$C131)=max(if($C$2:$C131=C132,row($C$2:$C131),0)))) ,1),0),0))"),"")</f>
        <v/>
      </c>
      <c r="M132" s="148" t="str">
        <f t="shared" si="1"/>
        <v/>
      </c>
      <c r="N132" s="147" t="str">
        <f t="shared" si="2"/>
        <v/>
      </c>
      <c r="O132" s="147" t="str">
        <f t="shared" si="3"/>
        <v/>
      </c>
      <c r="P132" s="147" t="str">
        <f>IFERROR(__xludf.DUMMYFUNCTION("if(C132="""","""",iferror(if(row()&lt;&gt;2,INDEX(arrayformula(filter($Q$2:$Q131,$C$2:$C131&lt;&gt;"""",row($C$2:$C131)=max(if($C$2:$C131=C132,row($C$2:$C131),0)))) ,1),0),0))"),"")</f>
        <v/>
      </c>
      <c r="Q132" s="147" t="str">
        <f t="shared" si="4"/>
        <v/>
      </c>
      <c r="R132" s="147" t="str">
        <f t="shared" si="5"/>
        <v/>
      </c>
      <c r="S132" s="147" t="str">
        <f t="shared" si="6"/>
        <v/>
      </c>
      <c r="T132" s="147" t="str">
        <f t="shared" si="7"/>
        <v/>
      </c>
      <c r="U132" s="150" t="str">
        <f t="shared" si="8"/>
        <v/>
      </c>
      <c r="V132" s="159" t="s">
        <v>167</v>
      </c>
    </row>
    <row r="133" ht="21.0" customHeight="1">
      <c r="A133" s="152"/>
      <c r="B133" s="135"/>
      <c r="C133" s="153"/>
      <c r="D133" s="154"/>
      <c r="E133" s="139"/>
      <c r="F133" s="139"/>
      <c r="G133" s="139"/>
      <c r="H133" s="135"/>
      <c r="I133" s="141"/>
      <c r="J133" s="147" t="str">
        <f>IFERROR(__xludf.DUMMYFUNCTION("IF(ISBLANK(A133),IFERROR(1/0),IF(COUNT(FILTER(F:F,A:A=A133))&gt;1,TRUNC(N133*F133/SUM(FILTER(N:N,A:A=A133)),3),F133))"),"")</f>
        <v/>
      </c>
      <c r="K133" s="147" t="str">
        <f>IFERROR(__xludf.DUMMYFUNCTION("IF(ISBLANK(A133),IFERROR(1/0),IF(COUNT(FILTER(G:G,((A:A=A133)*(B:B=""V""))))&gt;1,TRUNC(N133*G133/SUM(FILTER(N:N,((A:A=A133)*(B:B=""V"")))),3),G133))"),"")</f>
        <v/>
      </c>
      <c r="L133" s="148" t="str">
        <f>IFERROR(__xludf.DUMMYFUNCTION("if($C133="""","""",iferror(if(row()&lt;&gt;2,INDEX(arrayformula(filter($M$2:$M132,$C$2:$C132&lt;&gt;"""",row($C$2:$C132)=max(if($C$2:$C132=C133,row($C$2:$C132),0)))) ,1),0),0))"),"")</f>
        <v/>
      </c>
      <c r="M133" s="148" t="str">
        <f t="shared" si="1"/>
        <v/>
      </c>
      <c r="N133" s="147" t="str">
        <f t="shared" si="2"/>
        <v/>
      </c>
      <c r="O133" s="147" t="str">
        <f t="shared" si="3"/>
        <v/>
      </c>
      <c r="P133" s="147" t="str">
        <f>IFERROR(__xludf.DUMMYFUNCTION("if(C133="""","""",iferror(if(row()&lt;&gt;2,INDEX(arrayformula(filter($Q$2:$Q132,$C$2:$C132&lt;&gt;"""",row($C$2:$C132)=max(if($C$2:$C132=C133,row($C$2:$C132),0)))) ,1),0),0))"),"")</f>
        <v/>
      </c>
      <c r="Q133" s="147" t="str">
        <f t="shared" si="4"/>
        <v/>
      </c>
      <c r="R133" s="147" t="str">
        <f t="shared" si="5"/>
        <v/>
      </c>
      <c r="S133" s="147" t="str">
        <f t="shared" si="6"/>
        <v/>
      </c>
      <c r="T133" s="147" t="str">
        <f t="shared" si="7"/>
        <v/>
      </c>
      <c r="U133" s="150" t="str">
        <f t="shared" si="8"/>
        <v/>
      </c>
      <c r="V133" s="151" t="str">
        <f>IFERROR(VLOOKUP(C133,Ativos!$A$1:$G2000,5,),)</f>
        <v/>
      </c>
    </row>
    <row r="134" ht="21.0" customHeight="1">
      <c r="A134" s="152"/>
      <c r="B134" s="135"/>
      <c r="C134" s="153"/>
      <c r="D134" s="154"/>
      <c r="E134" s="139"/>
      <c r="F134" s="139"/>
      <c r="G134" s="139"/>
      <c r="H134" s="135"/>
      <c r="I134" s="141"/>
      <c r="J134" s="147" t="str">
        <f>IFERROR(__xludf.DUMMYFUNCTION("IF(ISBLANK(A134),IFERROR(1/0),IF(COUNT(FILTER(F:F,A:A=A134))&gt;1,TRUNC(N134*F134/SUM(FILTER(N:N,A:A=A134)),3),F134))"),"")</f>
        <v/>
      </c>
      <c r="K134" s="147" t="str">
        <f>IFERROR(__xludf.DUMMYFUNCTION("IF(ISBLANK(A134),IFERROR(1/0),IF(COUNT(FILTER(G:G,((A:A=A134)*(B:B=""V""))))&gt;1,TRUNC(N134*G134/SUM(FILTER(N:N,((A:A=A134)*(B:B=""V"")))),3),G134))"),"")</f>
        <v/>
      </c>
      <c r="L134" s="148" t="str">
        <f>IFERROR(__xludf.DUMMYFUNCTION("if($C134="""","""",iferror(if(row()&lt;&gt;2,INDEX(arrayformula(filter($M$2:$M133,$C$2:$C133&lt;&gt;"""",row($C$2:$C133)=max(if($C$2:$C133=C134,row($C$2:$C133),0)))) ,1),0),0))"),"")</f>
        <v/>
      </c>
      <c r="M134" s="148" t="str">
        <f t="shared" si="1"/>
        <v/>
      </c>
      <c r="N134" s="147" t="str">
        <f t="shared" si="2"/>
        <v/>
      </c>
      <c r="O134" s="147" t="str">
        <f t="shared" si="3"/>
        <v/>
      </c>
      <c r="P134" s="147" t="str">
        <f>IFERROR(__xludf.DUMMYFUNCTION("if(C134="""","""",iferror(if(row()&lt;&gt;2,INDEX(arrayformula(filter($Q$2:$Q133,$C$2:$C133&lt;&gt;"""",row($C$2:$C133)=max(if($C$2:$C133=C134,row($C$2:$C133),0)))) ,1),0),0))"),"")</f>
        <v/>
      </c>
      <c r="Q134" s="147" t="str">
        <f t="shared" si="4"/>
        <v/>
      </c>
      <c r="R134" s="147" t="str">
        <f t="shared" si="5"/>
        <v/>
      </c>
      <c r="S134" s="147" t="str">
        <f t="shared" si="6"/>
        <v/>
      </c>
      <c r="T134" s="147" t="str">
        <f t="shared" si="7"/>
        <v/>
      </c>
      <c r="U134" s="150" t="str">
        <f t="shared" si="8"/>
        <v/>
      </c>
      <c r="V134" s="151" t="str">
        <f>IFERROR(VLOOKUP(C134,Ativos!$A$1:$G2000,5,),)</f>
        <v/>
      </c>
    </row>
    <row r="135" ht="21.0" customHeight="1">
      <c r="A135" s="152"/>
      <c r="B135" s="135"/>
      <c r="C135" s="153"/>
      <c r="D135" s="154"/>
      <c r="E135" s="139"/>
      <c r="F135" s="139"/>
      <c r="G135" s="139"/>
      <c r="H135" s="135"/>
      <c r="I135" s="141"/>
      <c r="J135" s="147" t="str">
        <f>IFERROR(__xludf.DUMMYFUNCTION("IF(ISBLANK(A135),IFERROR(1/0),IF(COUNT(FILTER(F:F,A:A=A135))&gt;1,TRUNC(N135*F135/SUM(FILTER(N:N,A:A=A135)),3),F135))"),"")</f>
        <v/>
      </c>
      <c r="K135" s="147" t="str">
        <f>IFERROR(__xludf.DUMMYFUNCTION("IF(ISBLANK(A135),IFERROR(1/0),IF(COUNT(FILTER(G:G,((A:A=A135)*(B:B=""V""))))&gt;1,TRUNC(N135*G135/SUM(FILTER(N:N,((A:A=A135)*(B:B=""V"")))),3),G135))"),"")</f>
        <v/>
      </c>
      <c r="L135" s="148" t="str">
        <f>IFERROR(__xludf.DUMMYFUNCTION("if($C135="""","""",iferror(if(row()&lt;&gt;2,INDEX(arrayformula(filter($M$2:$M134,$C$2:$C134&lt;&gt;"""",row($C$2:$C134)=max(if($C$2:$C134=C135,row($C$2:$C134),0)))) ,1),0),0))"),"")</f>
        <v/>
      </c>
      <c r="M135" s="148" t="str">
        <f t="shared" si="1"/>
        <v/>
      </c>
      <c r="N135" s="147" t="str">
        <f t="shared" si="2"/>
        <v/>
      </c>
      <c r="O135" s="147" t="str">
        <f t="shared" ref="O135:O137" si="9">IF(ISBLANK(A135),IFERROR(1/0),IFS(B135="C",N135+J135,B135="V",N135-J135,B135="A",N135-J135,B135="B",N135+J135,B135="AT",N135-J135,B135="S",N135-J135))</f>
        <v/>
      </c>
      <c r="P135" s="147" t="str">
        <f>IFERROR(__xludf.DUMMYFUNCTION("if(C135="""","""",iferror(if(row()&lt;&gt;2,INDEX(arrayformula(filter($Q$2:$Q134,$C$2:$C134&lt;&gt;"""",row($C$2:$C134)=max(if($C$2:$C134=C135,row($C$2:$C134),0)))) ,1),0),0))"),"")</f>
        <v/>
      </c>
      <c r="Q135" s="147" t="str">
        <f t="shared" ref="Q135:Q137" si="10">if(C135="","",if(B135="C",P135+O135,if(B135="V",if(P135&lt;=0,"Erro. s/ qtde.",P135-S135),if(B135="AT",if(P135&lt;=0,"Erro. s/ qtde.",P135-S135),if(B135="B",P135+O135,if(B135="A",P135-O135,if(B135="S",P135,"Error")))))))</f>
        <v/>
      </c>
      <c r="R135" s="147" t="str">
        <f t="shared" ref="R135:R137" si="11">IFERROR(IF(M135=0,0,Q135/M135),)</f>
        <v/>
      </c>
      <c r="S135" s="147" t="str">
        <f t="shared" ref="S135:S137" si="12">if(C135="","",if(B135="V",if(L135=0,0,D135/L135*P135),""))</f>
        <v/>
      </c>
      <c r="T135" s="147" t="str">
        <f t="shared" si="7"/>
        <v/>
      </c>
      <c r="U135" s="150" t="str">
        <f t="shared" si="8"/>
        <v/>
      </c>
      <c r="V135" s="151" t="str">
        <f>IFERROR(VLOOKUP(C135,Ativos!$A$1:$G2000,5,),)</f>
        <v/>
      </c>
    </row>
    <row r="136" ht="21.0" customHeight="1">
      <c r="A136" s="152"/>
      <c r="B136" s="135"/>
      <c r="C136" s="153"/>
      <c r="D136" s="154"/>
      <c r="E136" s="139"/>
      <c r="F136" s="139"/>
      <c r="G136" s="139"/>
      <c r="H136" s="135"/>
      <c r="I136" s="141"/>
      <c r="J136" s="147" t="str">
        <f>IFERROR(__xludf.DUMMYFUNCTION("IF(ISBLANK(A136),IFERROR(1/0),IF(COUNT(FILTER(F:F,A:A=A136))&gt;1,TRUNC(N136*F136/SUM(FILTER(N:N,A:A=A136)),3),F136))"),"")</f>
        <v/>
      </c>
      <c r="K136" s="147" t="str">
        <f>IFERROR(__xludf.DUMMYFUNCTION("IF(ISBLANK(A136),IFERROR(1/0),IF(COUNT(FILTER(G:G,((A:A=A136)*(B:B=""V""))))&gt;1,TRUNC(N136*G136/SUM(FILTER(N:N,((A:A=A136)*(B:B=""V"")))),3),G136))"),"")</f>
        <v/>
      </c>
      <c r="L136" s="148" t="str">
        <f>IFERROR(__xludf.DUMMYFUNCTION("if($C136="""","""",iferror(if(row()&lt;&gt;2,INDEX(arrayformula(filter($M$2:$M135,$C$2:$C135&lt;&gt;"""",row($C$2:$C135)=max(if($C$2:$C135=C136,row($C$2:$C135),0)))) ,1),0),0))"),"")</f>
        <v/>
      </c>
      <c r="M136" s="148" t="str">
        <f t="shared" si="1"/>
        <v/>
      </c>
      <c r="N136" s="147" t="str">
        <f t="shared" si="2"/>
        <v/>
      </c>
      <c r="O136" s="147" t="str">
        <f t="shared" si="9"/>
        <v/>
      </c>
      <c r="P136" s="147" t="str">
        <f>IFERROR(__xludf.DUMMYFUNCTION("if(C136="""","""",iferror(if(row()&lt;&gt;2,INDEX(arrayformula(filter($Q$2:$Q135,$C$2:$C135&lt;&gt;"""",row($C$2:$C135)=max(if($C$2:$C135=C136,row($C$2:$C135),0)))) ,1),0),0))"),"")</f>
        <v/>
      </c>
      <c r="Q136" s="147" t="str">
        <f t="shared" si="10"/>
        <v/>
      </c>
      <c r="R136" s="147" t="str">
        <f t="shared" si="11"/>
        <v/>
      </c>
      <c r="S136" s="147" t="str">
        <f t="shared" si="12"/>
        <v/>
      </c>
      <c r="T136" s="147" t="str">
        <f t="shared" si="7"/>
        <v/>
      </c>
      <c r="U136" s="150" t="str">
        <f t="shared" si="8"/>
        <v/>
      </c>
      <c r="V136" s="151" t="str">
        <f>IFERROR(VLOOKUP(C136,Ativos!$A$1:$G2000,5,),)</f>
        <v/>
      </c>
    </row>
    <row r="137" ht="21.0" customHeight="1">
      <c r="A137" s="152"/>
      <c r="B137" s="135"/>
      <c r="C137" s="153"/>
      <c r="D137" s="154"/>
      <c r="E137" s="139"/>
      <c r="F137" s="139"/>
      <c r="G137" s="139"/>
      <c r="H137" s="135"/>
      <c r="I137" s="141"/>
      <c r="J137" s="147" t="str">
        <f>IFERROR(__xludf.DUMMYFUNCTION("IF(ISBLANK(A137),IFERROR(1/0),IF(COUNT(FILTER(F:F,A:A=A137))&gt;1,TRUNC(N137*F137/SUM(FILTER(N:N,A:A=A137)),3),F137))"),"")</f>
        <v/>
      </c>
      <c r="K137" s="147" t="str">
        <f>IFERROR(__xludf.DUMMYFUNCTION("IF(ISBLANK(A137),IFERROR(1/0),IF(COUNT(FILTER(G:G,((A:A=A137)*(B:B=""V""))))&gt;1,TRUNC(N137*G137/SUM(FILTER(N:N,((A:A=A137)*(B:B=""V"")))),3),G137))"),"")</f>
        <v/>
      </c>
      <c r="L137" s="148" t="str">
        <f>IFERROR(__xludf.DUMMYFUNCTION("if($C137="""","""",iferror(if(row()&lt;&gt;2,INDEX(arrayformula(filter($M$2:$M136,$C$2:$C136&lt;&gt;"""",row($C$2:$C136)=max(if($C$2:$C136=C137,row($C$2:$C136),0)))) ,1),0),0))"),"")</f>
        <v/>
      </c>
      <c r="M137" s="148" t="str">
        <f t="shared" si="1"/>
        <v/>
      </c>
      <c r="N137" s="147" t="str">
        <f t="shared" si="2"/>
        <v/>
      </c>
      <c r="O137" s="147" t="str">
        <f t="shared" si="9"/>
        <v/>
      </c>
      <c r="P137" s="147" t="str">
        <f>IFERROR(__xludf.DUMMYFUNCTION("if(C137="""","""",iferror(if(row()&lt;&gt;2,INDEX(arrayformula(filter($Q$2:$Q136,$C$2:$C136&lt;&gt;"""",row($C$2:$C136)=max(if($C$2:$C136=C137,row($C$2:$C136),0)))) ,1),0),0))"),"")</f>
        <v/>
      </c>
      <c r="Q137" s="147" t="str">
        <f t="shared" si="10"/>
        <v/>
      </c>
      <c r="R137" s="147" t="str">
        <f t="shared" si="11"/>
        <v/>
      </c>
      <c r="S137" s="147" t="str">
        <f t="shared" si="12"/>
        <v/>
      </c>
      <c r="T137" s="147" t="str">
        <f t="shared" si="7"/>
        <v/>
      </c>
      <c r="U137" s="150" t="str">
        <f t="shared" si="8"/>
        <v/>
      </c>
      <c r="V137" s="151" t="str">
        <f>IFERROR(VLOOKUP(C137,Ativos!$A$1:$G2000,5,),)</f>
        <v/>
      </c>
    </row>
    <row r="138" ht="21.0" customHeight="1">
      <c r="A138" s="152"/>
      <c r="B138" s="135"/>
      <c r="C138" s="153"/>
      <c r="D138" s="154"/>
      <c r="E138" s="139"/>
      <c r="F138" s="139"/>
      <c r="G138" s="139"/>
      <c r="H138" s="135"/>
      <c r="I138" s="141"/>
      <c r="J138" s="147" t="str">
        <f>IFERROR(__xludf.DUMMYFUNCTION("IF(ISBLANK(A138),IFERROR(1/0),IF(COUNT(FILTER(F:F,A:A=A138))&gt;1,TRUNC(N138*F138/SUM(FILTER(N:N,A:A=A138)),3),F138))"),"")</f>
        <v/>
      </c>
      <c r="K138" s="147" t="str">
        <f>IFERROR(__xludf.DUMMYFUNCTION("IF(ISBLANK(A138),IFERROR(1/0),IF(COUNT(FILTER(G:G,((A:A=A138)*(B:B=""V""))))&gt;1,TRUNC(N138*G138/SUM(FILTER(N:N,((A:A=A138)*(B:B=""V"")))),3),G138))"),"")</f>
        <v/>
      </c>
      <c r="L138" s="148" t="str">
        <f>IFERROR(__xludf.DUMMYFUNCTION("if($C138="""","""",iferror(if(row()&lt;&gt;2,INDEX(arrayformula(filter($M$2:$M137,$C$2:$C137&lt;&gt;"""",row($C$2:$C137)=max(if($C$2:$C137=C138,row($C$2:$C137),0)))) ,1),0),0))"),"")</f>
        <v/>
      </c>
      <c r="M138" s="148" t="str">
        <f t="shared" si="1"/>
        <v/>
      </c>
      <c r="N138" s="147" t="str">
        <f t="shared" si="2"/>
        <v/>
      </c>
      <c r="O138" s="147" t="str">
        <f t="shared" ref="O138:O139" si="13">IF(ISBLANK(A138),IFERROR(1/0),IFS(B138="C",N138+J138,B138="V",N138-J138,B138="A",N138-J138,B138="B",N138+J138,B138="AT",N138-J138,B138="S",N138-J138))</f>
        <v/>
      </c>
      <c r="P138" s="147" t="str">
        <f>IFERROR(__xludf.DUMMYFUNCTION("if(C138="""","""",iferror(if(row()&lt;&gt;2,INDEX(arrayformula(filter($Q$2:$Q137,$C$2:$C137&lt;&gt;"""",row($C$2:$C137)=max(if($C$2:$C137=C138,row($C$2:$C137),0)))) ,1),0),0))"),"")</f>
        <v/>
      </c>
      <c r="Q138" s="147" t="str">
        <f t="shared" ref="Q138:Q139" si="14">if(C138="","",if(B138="C",P138+O138,if(B138="V",if(P138&lt;=0,"Erro. s/ qtde.",P138-S138),if(B138="AT",if(P138&lt;=0,"Erro. s/ qtde.",P138-S138),if(B138="B",P138+O138,if(B138="A",P138-O138,if(B138="S",P138,"Error")))))))</f>
        <v/>
      </c>
      <c r="R138" s="147" t="str">
        <f t="shared" ref="R138:R139" si="15">IFERROR(IF(M138=0,0,Q138/M138),)</f>
        <v/>
      </c>
      <c r="S138" s="147" t="str">
        <f t="shared" ref="S138:S139" si="16">if(C138="","",if(B138="V",if(L138=0,0,D138/L138*P138),""))</f>
        <v/>
      </c>
      <c r="T138" s="147" t="str">
        <f t="shared" si="7"/>
        <v/>
      </c>
      <c r="U138" s="150" t="str">
        <f t="shared" si="8"/>
        <v/>
      </c>
      <c r="V138" s="151" t="str">
        <f>IFERROR(VLOOKUP(C138,Ativos!$A$1:$G2000,5,),)</f>
        <v/>
      </c>
    </row>
    <row r="139" ht="21.0" customHeight="1">
      <c r="A139" s="152"/>
      <c r="B139" s="135"/>
      <c r="C139" s="153"/>
      <c r="D139" s="154"/>
      <c r="E139" s="139"/>
      <c r="F139" s="139"/>
      <c r="G139" s="139"/>
      <c r="H139" s="135"/>
      <c r="I139" s="141"/>
      <c r="J139" s="147" t="str">
        <f>IFERROR(__xludf.DUMMYFUNCTION("IF(ISBLANK(A139),IFERROR(1/0),IF(COUNT(FILTER(F:F,A:A=A139))&gt;1,TRUNC(N139*F139/SUM(FILTER(N:N,A:A=A139)),3),F139))"),"")</f>
        <v/>
      </c>
      <c r="K139" s="147" t="str">
        <f>IFERROR(__xludf.DUMMYFUNCTION("IF(ISBLANK(A139),IFERROR(1/0),IF(COUNT(FILTER(G:G,((A:A=A139)*(B:B=""V""))))&gt;1,TRUNC(N139*G139/SUM(FILTER(N:N,((A:A=A139)*(B:B=""V"")))),3),G139))"),"")</f>
        <v/>
      </c>
      <c r="L139" s="148" t="str">
        <f>IFERROR(__xludf.DUMMYFUNCTION("if($C139="""","""",iferror(if(row()&lt;&gt;2,INDEX(arrayformula(filter($M$2:$M138,$C$2:$C138&lt;&gt;"""",row($C$2:$C138)=max(if($C$2:$C138=C139,row($C$2:$C138),0)))) ,1),0),0))"),"")</f>
        <v/>
      </c>
      <c r="M139" s="148" t="str">
        <f t="shared" si="1"/>
        <v/>
      </c>
      <c r="N139" s="147" t="str">
        <f t="shared" si="2"/>
        <v/>
      </c>
      <c r="O139" s="147" t="str">
        <f t="shared" si="13"/>
        <v/>
      </c>
      <c r="P139" s="147" t="str">
        <f>IFERROR(__xludf.DUMMYFUNCTION("if(C139="""","""",iferror(if(row()&lt;&gt;2,INDEX(arrayformula(filter($Q$2:$Q138,$C$2:$C138&lt;&gt;"""",row($C$2:$C138)=max(if($C$2:$C138=C139,row($C$2:$C138),0)))) ,1),0),0))"),"")</f>
        <v/>
      </c>
      <c r="Q139" s="147" t="str">
        <f t="shared" si="14"/>
        <v/>
      </c>
      <c r="R139" s="147" t="str">
        <f t="shared" si="15"/>
        <v/>
      </c>
      <c r="S139" s="147" t="str">
        <f t="shared" si="16"/>
        <v/>
      </c>
      <c r="T139" s="147" t="str">
        <f t="shared" si="7"/>
        <v/>
      </c>
      <c r="U139" s="150" t="str">
        <f t="shared" si="8"/>
        <v/>
      </c>
      <c r="V139" s="151" t="str">
        <f>IFERROR(VLOOKUP(C139,Ativos!$A$1:$G2000,5,),)</f>
        <v/>
      </c>
    </row>
    <row r="140" ht="21.0" customHeight="1">
      <c r="A140" s="152"/>
      <c r="B140" s="135"/>
      <c r="C140" s="153"/>
      <c r="D140" s="154"/>
      <c r="E140" s="139"/>
      <c r="F140" s="139"/>
      <c r="G140" s="139"/>
      <c r="H140" s="135"/>
      <c r="I140" s="141"/>
      <c r="J140" s="147" t="str">
        <f>IFERROR(__xludf.DUMMYFUNCTION("IF(ISBLANK(A140),IFERROR(1/0),IF(COUNT(FILTER(F:F,A:A=A140))&gt;1,TRUNC(N140*F140/SUM(FILTER(N:N,A:A=A140)),3),F140))"),"")</f>
        <v/>
      </c>
      <c r="K140" s="147" t="str">
        <f>IFERROR(__xludf.DUMMYFUNCTION("IF(ISBLANK(A140),IFERROR(1/0),IF(COUNT(FILTER(G:G,((A:A=A140)*(B:B=""V""))))&gt;1,TRUNC(N140*G140/SUM(FILTER(N:N,((A:A=A140)*(B:B=""V"")))),3),G140))"),"")</f>
        <v/>
      </c>
      <c r="L140" s="148" t="str">
        <f>IFERROR(__xludf.DUMMYFUNCTION("if($C140="""","""",iferror(if(row()&lt;&gt;2,INDEX(arrayformula(filter($M$2:$M139,$C$2:$C139&lt;&gt;"""",row($C$2:$C139)=max(if($C$2:$C139=C140,row($C$2:$C139),0)))) ,1),0),0))"),"")</f>
        <v/>
      </c>
      <c r="M140" s="148" t="str">
        <f t="shared" si="1"/>
        <v/>
      </c>
      <c r="N140" s="147" t="str">
        <f t="shared" si="2"/>
        <v/>
      </c>
      <c r="O140" s="147" t="str">
        <f t="shared" ref="O140:O146" si="17">IF(ISBLANK(A140),IFERROR(1/0),IFS(B140="C",N140+J140,B140="V",N140-J140,B140="A",N140-J140,B140="B",N140+J140,B140="AT",N140-J140,B140="S",N140-J140))</f>
        <v/>
      </c>
      <c r="P140" s="147" t="str">
        <f>IFERROR(__xludf.DUMMYFUNCTION("if(C140="""","""",iferror(if(row()&lt;&gt;2,INDEX(arrayformula(filter($Q$2:$Q139,$C$2:$C139&lt;&gt;"""",row($C$2:$C139)=max(if($C$2:$C139=C140,row($C$2:$C139),0)))) ,1),0),0))"),"")</f>
        <v/>
      </c>
      <c r="Q140" s="147" t="str">
        <f t="shared" ref="Q140:Q146" si="18">if(C140="","",if(B140="C",P140+O140,if(B140="V",if(P140&lt;=0,"Erro. s/ qtde.",P140-S140),if(B140="AT",if(P140&lt;=0,"Erro. s/ qtde.",P140-S140),if(B140="B",P140+O140,if(B140="A",P140-O140,if(B140="S",P140,"Error")))))))</f>
        <v/>
      </c>
      <c r="R140" s="147" t="str">
        <f t="shared" ref="R140:R146" si="19">IFERROR(IF(M140=0,0,Q140/M140),)</f>
        <v/>
      </c>
      <c r="S140" s="147" t="str">
        <f t="shared" ref="S140:S146" si="20">if(C140="","",if(B140="V",if(L140=0,0,D140/L140*P140),""))</f>
        <v/>
      </c>
      <c r="T140" s="147" t="str">
        <f t="shared" si="7"/>
        <v/>
      </c>
      <c r="U140" s="150" t="str">
        <f t="shared" si="8"/>
        <v/>
      </c>
      <c r="V140" s="151" t="str">
        <f>IFERROR(VLOOKUP(C140,Ativos!$A$1:$G2000,5,),)</f>
        <v/>
      </c>
    </row>
    <row r="141" ht="21.0" customHeight="1">
      <c r="A141" s="152"/>
      <c r="B141" s="135"/>
      <c r="C141" s="153"/>
      <c r="D141" s="154"/>
      <c r="E141" s="139"/>
      <c r="F141" s="139"/>
      <c r="G141" s="139"/>
      <c r="H141" s="135"/>
      <c r="I141" s="141"/>
      <c r="J141" s="147" t="str">
        <f>IFERROR(__xludf.DUMMYFUNCTION("IF(ISBLANK(A141),IFERROR(1/0),IF(COUNT(FILTER(F:F,A:A=A141))&gt;1,TRUNC(N141*F141/SUM(FILTER(N:N,A:A=A141)),3),F141))"),"")</f>
        <v/>
      </c>
      <c r="K141" s="147" t="str">
        <f>IFERROR(__xludf.DUMMYFUNCTION("IF(ISBLANK(A141),IFERROR(1/0),IF(COUNT(FILTER(G:G,((A:A=A141)*(B:B=""V""))))&gt;1,TRUNC(N141*G141/SUM(FILTER(N:N,((A:A=A141)*(B:B=""V"")))),3),G141))"),"")</f>
        <v/>
      </c>
      <c r="L141" s="148" t="str">
        <f>IFERROR(__xludf.DUMMYFUNCTION("if($C141="""","""",iferror(if(row()&lt;&gt;2,INDEX(arrayformula(filter($M$2:$M140,$C$2:$C140&lt;&gt;"""",row($C$2:$C140)=max(if($C$2:$C140=C141,row($C$2:$C140),0)))) ,1),0),0))"),"")</f>
        <v/>
      </c>
      <c r="M141" s="148" t="str">
        <f t="shared" si="1"/>
        <v/>
      </c>
      <c r="N141" s="147" t="str">
        <f t="shared" si="2"/>
        <v/>
      </c>
      <c r="O141" s="147" t="str">
        <f t="shared" si="17"/>
        <v/>
      </c>
      <c r="P141" s="147" t="str">
        <f>IFERROR(__xludf.DUMMYFUNCTION("if(C141="""","""",iferror(if(row()&lt;&gt;2,INDEX(arrayformula(filter($Q$2:$Q140,$C$2:$C140&lt;&gt;"""",row($C$2:$C140)=max(if($C$2:$C140=C141,row($C$2:$C140),0)))) ,1),0),0))"),"")</f>
        <v/>
      </c>
      <c r="Q141" s="147" t="str">
        <f t="shared" si="18"/>
        <v/>
      </c>
      <c r="R141" s="147" t="str">
        <f t="shared" si="19"/>
        <v/>
      </c>
      <c r="S141" s="147" t="str">
        <f t="shared" si="20"/>
        <v/>
      </c>
      <c r="T141" s="147" t="str">
        <f t="shared" si="7"/>
        <v/>
      </c>
      <c r="U141" s="150" t="str">
        <f t="shared" si="8"/>
        <v/>
      </c>
      <c r="V141" s="151" t="str">
        <f>IFERROR(VLOOKUP(C141,Ativos!$A$1:$G2000,5,),)</f>
        <v/>
      </c>
    </row>
    <row r="142" ht="21.0" customHeight="1">
      <c r="A142" s="152"/>
      <c r="B142" s="135"/>
      <c r="C142" s="153"/>
      <c r="D142" s="154"/>
      <c r="E142" s="139"/>
      <c r="F142" s="139"/>
      <c r="G142" s="139"/>
      <c r="H142" s="135"/>
      <c r="I142" s="141"/>
      <c r="J142" s="147" t="str">
        <f>IFERROR(__xludf.DUMMYFUNCTION("IF(ISBLANK(A142),IFERROR(1/0),IF(COUNT(FILTER(F:F,A:A=A142))&gt;1,TRUNC(N142*F142/SUM(FILTER(N:N,A:A=A142)),3),F142))"),"")</f>
        <v/>
      </c>
      <c r="K142" s="147" t="str">
        <f>IFERROR(__xludf.DUMMYFUNCTION("IF(ISBLANK(A142),IFERROR(1/0),IF(COUNT(FILTER(G:G,((A:A=A142)*(B:B=""V""))))&gt;1,TRUNC(N142*G142/SUM(FILTER(N:N,((A:A=A142)*(B:B=""V"")))),3),G142))"),"")</f>
        <v/>
      </c>
      <c r="L142" s="148" t="str">
        <f>IFERROR(__xludf.DUMMYFUNCTION("if($C142="""","""",iferror(if(row()&lt;&gt;2,INDEX(arrayformula(filter($M$2:$M141,$C$2:$C141&lt;&gt;"""",row($C$2:$C141)=max(if($C$2:$C141=C142,row($C$2:$C141),0)))) ,1),0),0))"),"")</f>
        <v/>
      </c>
      <c r="M142" s="148" t="str">
        <f t="shared" si="1"/>
        <v/>
      </c>
      <c r="N142" s="147" t="str">
        <f t="shared" si="2"/>
        <v/>
      </c>
      <c r="O142" s="147" t="str">
        <f t="shared" si="17"/>
        <v/>
      </c>
      <c r="P142" s="147" t="str">
        <f>IFERROR(__xludf.DUMMYFUNCTION("if(C142="""","""",iferror(if(row()&lt;&gt;2,INDEX(arrayformula(filter($Q$2:$Q141,$C$2:$C141&lt;&gt;"""",row($C$2:$C141)=max(if($C$2:$C141=C142,row($C$2:$C141),0)))) ,1),0),0))"),"")</f>
        <v/>
      </c>
      <c r="Q142" s="147" t="str">
        <f t="shared" si="18"/>
        <v/>
      </c>
      <c r="R142" s="147" t="str">
        <f t="shared" si="19"/>
        <v/>
      </c>
      <c r="S142" s="147" t="str">
        <f t="shared" si="20"/>
        <v/>
      </c>
      <c r="T142" s="147" t="str">
        <f t="shared" si="7"/>
        <v/>
      </c>
      <c r="U142" s="150" t="str">
        <f t="shared" si="8"/>
        <v/>
      </c>
      <c r="V142" s="151" t="str">
        <f>IFERROR(VLOOKUP(C142,Ativos!$A$1:$G2000,5,),)</f>
        <v/>
      </c>
    </row>
    <row r="143" ht="21.0" customHeight="1">
      <c r="A143" s="152"/>
      <c r="B143" s="135"/>
      <c r="C143" s="153"/>
      <c r="D143" s="154"/>
      <c r="E143" s="139"/>
      <c r="F143" s="139"/>
      <c r="G143" s="139"/>
      <c r="H143" s="135"/>
      <c r="I143" s="141"/>
      <c r="J143" s="147" t="str">
        <f>IFERROR(__xludf.DUMMYFUNCTION("IF(ISBLANK(A143),IFERROR(1/0),IF(COUNT(FILTER(F:F,A:A=A143))&gt;1,TRUNC(N143*F143/SUM(FILTER(N:N,A:A=A143)),3),F143))"),"")</f>
        <v/>
      </c>
      <c r="K143" s="147" t="str">
        <f>IFERROR(__xludf.DUMMYFUNCTION("IF(ISBLANK(A143),IFERROR(1/0),IF(COUNT(FILTER(G:G,((A:A=A143)*(B:B=""V""))))&gt;1,TRUNC(N143*G143/SUM(FILTER(N:N,((A:A=A143)*(B:B=""V"")))),3),G143))"),"")</f>
        <v/>
      </c>
      <c r="L143" s="148" t="str">
        <f>IFERROR(__xludf.DUMMYFUNCTION("if($C143="""","""",iferror(if(row()&lt;&gt;2,INDEX(arrayformula(filter($M$2:$M142,$C$2:$C142&lt;&gt;"""",row($C$2:$C142)=max(if($C$2:$C142=C143,row($C$2:$C142),0)))) ,1),0),0))"),"")</f>
        <v/>
      </c>
      <c r="M143" s="148" t="str">
        <f t="shared" si="1"/>
        <v/>
      </c>
      <c r="N143" s="147" t="str">
        <f t="shared" si="2"/>
        <v/>
      </c>
      <c r="O143" s="147" t="str">
        <f t="shared" si="17"/>
        <v/>
      </c>
      <c r="P143" s="147" t="str">
        <f>IFERROR(__xludf.DUMMYFUNCTION("if(C143="""","""",iferror(if(row()&lt;&gt;2,INDEX(arrayformula(filter($Q$2:$Q142,$C$2:$C142&lt;&gt;"""",row($C$2:$C142)=max(if($C$2:$C142=C143,row($C$2:$C142),0)))) ,1),0),0))"),"")</f>
        <v/>
      </c>
      <c r="Q143" s="147" t="str">
        <f t="shared" si="18"/>
        <v/>
      </c>
      <c r="R143" s="147" t="str">
        <f t="shared" si="19"/>
        <v/>
      </c>
      <c r="S143" s="147" t="str">
        <f t="shared" si="20"/>
        <v/>
      </c>
      <c r="T143" s="147" t="str">
        <f t="shared" si="7"/>
        <v/>
      </c>
      <c r="U143" s="150" t="str">
        <f t="shared" si="8"/>
        <v/>
      </c>
      <c r="V143" s="151" t="str">
        <f>IFERROR(VLOOKUP(C143,Ativos!$A$1:$G2000,5,),)</f>
        <v/>
      </c>
    </row>
    <row r="144" ht="21.0" customHeight="1">
      <c r="A144" s="152"/>
      <c r="B144" s="135"/>
      <c r="C144" s="153"/>
      <c r="D144" s="154"/>
      <c r="E144" s="139"/>
      <c r="F144" s="139"/>
      <c r="G144" s="139"/>
      <c r="H144" s="135"/>
      <c r="I144" s="141"/>
      <c r="J144" s="147" t="str">
        <f>IFERROR(__xludf.DUMMYFUNCTION("IF(ISBLANK(A144),IFERROR(1/0),IF(COUNT(FILTER(F:F,A:A=A144))&gt;1,TRUNC(N144*F144/SUM(FILTER(N:N,A:A=A144)),3),F144))"),"")</f>
        <v/>
      </c>
      <c r="K144" s="147" t="str">
        <f>IFERROR(__xludf.DUMMYFUNCTION("IF(ISBLANK(A144),IFERROR(1/0),IF(COUNT(FILTER(G:G,((A:A=A144)*(B:B=""V""))))&gt;1,TRUNC(N144*G144/SUM(FILTER(N:N,((A:A=A144)*(B:B=""V"")))),3),G144))"),"")</f>
        <v/>
      </c>
      <c r="L144" s="148" t="str">
        <f>IFERROR(__xludf.DUMMYFUNCTION("if($C144="""","""",iferror(if(row()&lt;&gt;2,INDEX(arrayformula(filter($M$2:$M143,$C$2:$C143&lt;&gt;"""",row($C$2:$C143)=max(if($C$2:$C143=C144,row($C$2:$C143),0)))) ,1),0),0))"),"")</f>
        <v/>
      </c>
      <c r="M144" s="148" t="str">
        <f t="shared" si="1"/>
        <v/>
      </c>
      <c r="N144" s="147" t="str">
        <f t="shared" si="2"/>
        <v/>
      </c>
      <c r="O144" s="147" t="str">
        <f t="shared" si="17"/>
        <v/>
      </c>
      <c r="P144" s="147" t="str">
        <f>IFERROR(__xludf.DUMMYFUNCTION("if(C144="""","""",iferror(if(row()&lt;&gt;2,INDEX(arrayformula(filter($Q$2:$Q143,$C$2:$C143&lt;&gt;"""",row($C$2:$C143)=max(if($C$2:$C143=C144,row($C$2:$C143),0)))) ,1),0),0))"),"")</f>
        <v/>
      </c>
      <c r="Q144" s="147" t="str">
        <f t="shared" si="18"/>
        <v/>
      </c>
      <c r="R144" s="147" t="str">
        <f t="shared" si="19"/>
        <v/>
      </c>
      <c r="S144" s="147" t="str">
        <f t="shared" si="20"/>
        <v/>
      </c>
      <c r="T144" s="147" t="str">
        <f t="shared" si="7"/>
        <v/>
      </c>
      <c r="U144" s="150" t="str">
        <f t="shared" si="8"/>
        <v/>
      </c>
      <c r="V144" s="151" t="str">
        <f>IFERROR(VLOOKUP(C144,Ativos!$A$1:$G2000,5,),)</f>
        <v/>
      </c>
    </row>
    <row r="145" ht="21.0" customHeight="1">
      <c r="A145" s="152"/>
      <c r="B145" s="135"/>
      <c r="C145" s="153"/>
      <c r="D145" s="154"/>
      <c r="E145" s="139"/>
      <c r="F145" s="139"/>
      <c r="G145" s="139"/>
      <c r="H145" s="135"/>
      <c r="I145" s="141"/>
      <c r="J145" s="147" t="str">
        <f>IFERROR(__xludf.DUMMYFUNCTION("IF(ISBLANK(A145),IFERROR(1/0),IF(COUNT(FILTER(F:F,A:A=A145))&gt;1,TRUNC(N145*F145/SUM(FILTER(N:N,A:A=A145)),3),F145))"),"")</f>
        <v/>
      </c>
      <c r="K145" s="147" t="str">
        <f>IFERROR(__xludf.DUMMYFUNCTION("IF(ISBLANK(A145),IFERROR(1/0),IF(COUNT(FILTER(G:G,((A:A=A145)*(B:B=""V""))))&gt;1,TRUNC(N145*G145/SUM(FILTER(N:N,((A:A=A145)*(B:B=""V"")))),3),G145))"),"")</f>
        <v/>
      </c>
      <c r="L145" s="148" t="str">
        <f>IFERROR(__xludf.DUMMYFUNCTION("if($C145="""","""",iferror(if(row()&lt;&gt;2,INDEX(arrayformula(filter($M$2:$M144,$C$2:$C144&lt;&gt;"""",row($C$2:$C144)=max(if($C$2:$C144=C145,row($C$2:$C144),0)))) ,1),0),0))"),"")</f>
        <v/>
      </c>
      <c r="M145" s="148" t="str">
        <f t="shared" si="1"/>
        <v/>
      </c>
      <c r="N145" s="147" t="str">
        <f t="shared" si="2"/>
        <v/>
      </c>
      <c r="O145" s="147" t="str">
        <f t="shared" si="17"/>
        <v/>
      </c>
      <c r="P145" s="147" t="str">
        <f>IFERROR(__xludf.DUMMYFUNCTION("if(C145="""","""",iferror(if(row()&lt;&gt;2,INDEX(arrayformula(filter($Q$2:$Q144,$C$2:$C144&lt;&gt;"""",row($C$2:$C144)=max(if($C$2:$C144=C145,row($C$2:$C144),0)))) ,1),0),0))"),"")</f>
        <v/>
      </c>
      <c r="Q145" s="147" t="str">
        <f t="shared" si="18"/>
        <v/>
      </c>
      <c r="R145" s="147" t="str">
        <f t="shared" si="19"/>
        <v/>
      </c>
      <c r="S145" s="147" t="str">
        <f t="shared" si="20"/>
        <v/>
      </c>
      <c r="T145" s="147" t="str">
        <f t="shared" si="7"/>
        <v/>
      </c>
      <c r="U145" s="150" t="str">
        <f t="shared" si="8"/>
        <v/>
      </c>
      <c r="V145" s="151" t="str">
        <f>IFERROR(VLOOKUP(C145,Ativos!$A$1:$G2000,5,),)</f>
        <v/>
      </c>
    </row>
    <row r="146" ht="21.0" customHeight="1">
      <c r="A146" s="152"/>
      <c r="B146" s="135"/>
      <c r="C146" s="153"/>
      <c r="D146" s="154"/>
      <c r="E146" s="139"/>
      <c r="F146" s="139"/>
      <c r="G146" s="139"/>
      <c r="H146" s="135"/>
      <c r="I146" s="141"/>
      <c r="J146" s="147" t="str">
        <f>IFERROR(__xludf.DUMMYFUNCTION("IF(ISBLANK(A146),IFERROR(1/0),IF(COUNT(FILTER(F:F,A:A=A146))&gt;1,TRUNC(N146*F146/SUM(FILTER(N:N,A:A=A146)),3),F146))"),"")</f>
        <v/>
      </c>
      <c r="K146" s="147" t="str">
        <f>IFERROR(__xludf.DUMMYFUNCTION("IF(ISBLANK(A146),IFERROR(1/0),IF(COUNT(FILTER(G:G,((A:A=A146)*(B:B=""V""))))&gt;1,TRUNC(N146*G146/SUM(FILTER(N:N,((A:A=A146)*(B:B=""V"")))),3),G146))"),"")</f>
        <v/>
      </c>
      <c r="L146" s="148" t="str">
        <f>IFERROR(__xludf.DUMMYFUNCTION("if($C146="""","""",iferror(if(row()&lt;&gt;2,INDEX(arrayformula(filter($M$2:$M145,$C$2:$C145&lt;&gt;"""",row($C$2:$C145)=max(if($C$2:$C145=C146,row($C$2:$C145),0)))) ,1),0),0))"),"")</f>
        <v/>
      </c>
      <c r="M146" s="148" t="str">
        <f t="shared" si="1"/>
        <v/>
      </c>
      <c r="N146" s="147" t="str">
        <f t="shared" si="2"/>
        <v/>
      </c>
      <c r="O146" s="147" t="str">
        <f t="shared" si="17"/>
        <v/>
      </c>
      <c r="P146" s="147" t="str">
        <f>IFERROR(__xludf.DUMMYFUNCTION("if(C146="""","""",iferror(if(row()&lt;&gt;2,INDEX(arrayformula(filter($Q$2:$Q145,$C$2:$C145&lt;&gt;"""",row($C$2:$C145)=max(if($C$2:$C145=C146,row($C$2:$C145),0)))) ,1),0),0))"),"")</f>
        <v/>
      </c>
      <c r="Q146" s="147" t="str">
        <f t="shared" si="18"/>
        <v/>
      </c>
      <c r="R146" s="147" t="str">
        <f t="shared" si="19"/>
        <v/>
      </c>
      <c r="S146" s="147" t="str">
        <f t="shared" si="20"/>
        <v/>
      </c>
      <c r="T146" s="147" t="str">
        <f t="shared" si="7"/>
        <v/>
      </c>
      <c r="U146" s="150" t="str">
        <f t="shared" si="8"/>
        <v/>
      </c>
      <c r="V146" s="151" t="str">
        <f>IFERROR(VLOOKUP(C146,Ativos!$A$1:$G2000,5,),)</f>
        <v/>
      </c>
    </row>
    <row r="147" ht="21.0" customHeight="1">
      <c r="A147" s="152"/>
      <c r="B147" s="135"/>
      <c r="C147" s="153"/>
      <c r="D147" s="154"/>
      <c r="E147" s="139"/>
      <c r="F147" s="139"/>
      <c r="G147" s="139"/>
      <c r="H147" s="135"/>
      <c r="I147" s="141"/>
      <c r="J147" s="147" t="str">
        <f>IFERROR(__xludf.DUMMYFUNCTION("IF(ISBLANK(A147),IFERROR(1/0),IF(COUNT(FILTER(F:F,A:A=A147))&gt;1,TRUNC(N147*F147/SUM(FILTER(N:N,A:A=A147)),3),F147))"),"")</f>
        <v/>
      </c>
      <c r="K147" s="147" t="str">
        <f>IFERROR(__xludf.DUMMYFUNCTION("IF(ISBLANK(A147),IFERROR(1/0),IF(COUNT(FILTER(G:G,((A:A=A147)*(B:B=""V""))))&gt;1,TRUNC(N147*G147/SUM(FILTER(N:N,((A:A=A147)*(B:B=""V"")))),3),G147))"),"")</f>
        <v/>
      </c>
      <c r="L147" s="148" t="str">
        <f>IFERROR(__xludf.DUMMYFUNCTION("if($C147="""","""",iferror(if(row()&lt;&gt;2,INDEX(arrayformula(filter($M$2:$M146,$C$2:$C146&lt;&gt;"""",row($C$2:$C146)=max(if($C$2:$C146=C147,row($C$2:$C146),0)))) ,1),0),0))"),"")</f>
        <v/>
      </c>
      <c r="M147" s="148" t="str">
        <f t="shared" si="1"/>
        <v/>
      </c>
      <c r="N147" s="147" t="str">
        <f t="shared" si="2"/>
        <v/>
      </c>
      <c r="O147" s="147" t="str">
        <f t="shared" ref="O147:O2000" si="21">IF(ISBLANK(A147),IFERROR(1/0),IFS(B147="C",N147+J147,B147="V",N147-J147,B147="A",N147-J147,B147="B",N147+J147,B147="AT",N147-J147,B147="S",N147-J147))</f>
        <v/>
      </c>
      <c r="P147" s="147" t="str">
        <f>IFERROR(__xludf.DUMMYFUNCTION("if(C147="""","""",iferror(if(row()&lt;&gt;2,INDEX(arrayformula(filter($Q$2:$Q146,$C$2:$C146&lt;&gt;"""",row($C$2:$C146)=max(if($C$2:$C146=C147,row($C$2:$C146),0)))) ,1),0),0))"),"")</f>
        <v/>
      </c>
      <c r="Q147" s="147" t="str">
        <f t="shared" ref="Q147:Q2000" si="22">if(C147="","",if(B147="C",P147+O147,if(B147="V",if(P147&lt;=0,"Erro. s/ qtde.",P147-S147),if(B147="AT",if(P147&lt;=0,"Erro. s/ qtde.",P147-S147),if(B147="B",P147+O147,if(B147="A",P147-O147,if(B147="S",P147,"Error")))))))</f>
        <v/>
      </c>
      <c r="R147" s="147" t="str">
        <f t="shared" ref="R147:R2000" si="23">IFERROR(IF(M147=0,0,Q147/M147),)</f>
        <v/>
      </c>
      <c r="S147" s="147" t="str">
        <f t="shared" ref="S147:S2000" si="24">if(C147="","",if(B147="V",if(L147=0,0,D147/L147*P147),""))</f>
        <v/>
      </c>
      <c r="T147" s="147" t="str">
        <f t="shared" si="7"/>
        <v/>
      </c>
      <c r="U147" s="150" t="str">
        <f t="shared" si="8"/>
        <v/>
      </c>
      <c r="V147" s="151" t="str">
        <f>IFERROR(VLOOKUP(C147,Ativos!$A$1:$G2000,5,),)</f>
        <v/>
      </c>
    </row>
    <row r="148" ht="21.0" customHeight="1">
      <c r="A148" s="152"/>
      <c r="B148" s="135"/>
      <c r="C148" s="153"/>
      <c r="D148" s="154"/>
      <c r="E148" s="139"/>
      <c r="F148" s="139"/>
      <c r="G148" s="139"/>
      <c r="H148" s="135"/>
      <c r="I148" s="141"/>
      <c r="J148" s="147" t="str">
        <f>IFERROR(__xludf.DUMMYFUNCTION("IF(ISBLANK(A148),IFERROR(1/0),IF(COUNT(FILTER(F:F,A:A=A148))&gt;1,TRUNC(N148*F148/SUM(FILTER(N:N,A:A=A148)),3),F148))"),"")</f>
        <v/>
      </c>
      <c r="K148" s="147" t="str">
        <f>IFERROR(__xludf.DUMMYFUNCTION("IF(ISBLANK(A148),IFERROR(1/0),IF(COUNT(FILTER(G:G,((A:A=A148)*(B:B=""V""))))&gt;1,TRUNC(N148*G148/SUM(FILTER(N:N,((A:A=A148)*(B:B=""V"")))),3),G148))"),"")</f>
        <v/>
      </c>
      <c r="L148" s="148" t="str">
        <f>IFERROR(__xludf.DUMMYFUNCTION("if($C148="""","""",iferror(if(row()&lt;&gt;2,INDEX(arrayformula(filter($M$2:$M147,$C$2:$C147&lt;&gt;"""",row($C$2:$C147)=max(if($C$2:$C147=C148,row($C$2:$C147),0)))) ,1),0),0))"),"")</f>
        <v/>
      </c>
      <c r="M148" s="148" t="str">
        <f t="shared" si="1"/>
        <v/>
      </c>
      <c r="N148" s="147" t="str">
        <f t="shared" si="2"/>
        <v/>
      </c>
      <c r="O148" s="147" t="str">
        <f t="shared" si="21"/>
        <v/>
      </c>
      <c r="P148" s="147" t="str">
        <f>IFERROR(__xludf.DUMMYFUNCTION("if(C148="""","""",iferror(if(row()&lt;&gt;2,INDEX(arrayformula(filter($Q$2:$Q147,$C$2:$C147&lt;&gt;"""",row($C$2:$C147)=max(if($C$2:$C147=C148,row($C$2:$C147),0)))) ,1),0),0))"),"")</f>
        <v/>
      </c>
      <c r="Q148" s="147" t="str">
        <f t="shared" si="22"/>
        <v/>
      </c>
      <c r="R148" s="147" t="str">
        <f t="shared" si="23"/>
        <v/>
      </c>
      <c r="S148" s="147" t="str">
        <f t="shared" si="24"/>
        <v/>
      </c>
      <c r="T148" s="147" t="str">
        <f t="shared" si="7"/>
        <v/>
      </c>
      <c r="U148" s="150" t="str">
        <f t="shared" si="8"/>
        <v/>
      </c>
      <c r="V148" s="151" t="str">
        <f>IFERROR(VLOOKUP(C148,Ativos!$A$1:$G2000,5,),)</f>
        <v/>
      </c>
    </row>
    <row r="149" ht="21.0" customHeight="1">
      <c r="A149" s="152"/>
      <c r="B149" s="135"/>
      <c r="C149" s="153"/>
      <c r="D149" s="154"/>
      <c r="E149" s="139"/>
      <c r="F149" s="139"/>
      <c r="G149" s="139"/>
      <c r="H149" s="135"/>
      <c r="I149" s="141"/>
      <c r="J149" s="147" t="str">
        <f>IFERROR(__xludf.DUMMYFUNCTION("IF(ISBLANK(A149),IFERROR(1/0),IF(COUNT(FILTER(F:F,A:A=A149))&gt;1,TRUNC(N149*F149/SUM(FILTER(N:N,A:A=A149)),3),F149))"),"")</f>
        <v/>
      </c>
      <c r="K149" s="147" t="str">
        <f>IFERROR(__xludf.DUMMYFUNCTION("IF(ISBLANK(A149),IFERROR(1/0),IF(COUNT(FILTER(G:G,((A:A=A149)*(B:B=""V""))))&gt;1,TRUNC(N149*G149/SUM(FILTER(N:N,((A:A=A149)*(B:B=""V"")))),3),G149))"),"")</f>
        <v/>
      </c>
      <c r="L149" s="148" t="str">
        <f>IFERROR(__xludf.DUMMYFUNCTION("if($C149="""","""",iferror(if(row()&lt;&gt;2,INDEX(arrayformula(filter($M$2:$M148,$C$2:$C148&lt;&gt;"""",row($C$2:$C148)=max(if($C$2:$C148=C149,row($C$2:$C148),0)))) ,1),0),0))"),"")</f>
        <v/>
      </c>
      <c r="M149" s="148" t="str">
        <f t="shared" si="1"/>
        <v/>
      </c>
      <c r="N149" s="147" t="str">
        <f t="shared" si="2"/>
        <v/>
      </c>
      <c r="O149" s="147" t="str">
        <f t="shared" si="21"/>
        <v/>
      </c>
      <c r="P149" s="147" t="str">
        <f>IFERROR(__xludf.DUMMYFUNCTION("if(C149="""","""",iferror(if(row()&lt;&gt;2,INDEX(arrayformula(filter($Q$2:$Q148,$C$2:$C148&lt;&gt;"""",row($C$2:$C148)=max(if($C$2:$C148=C149,row($C$2:$C148),0)))) ,1),0),0))"),"")</f>
        <v/>
      </c>
      <c r="Q149" s="147" t="str">
        <f t="shared" si="22"/>
        <v/>
      </c>
      <c r="R149" s="147" t="str">
        <f t="shared" si="23"/>
        <v/>
      </c>
      <c r="S149" s="147" t="str">
        <f t="shared" si="24"/>
        <v/>
      </c>
      <c r="T149" s="147" t="str">
        <f t="shared" si="7"/>
        <v/>
      </c>
      <c r="U149" s="150" t="str">
        <f t="shared" si="8"/>
        <v/>
      </c>
      <c r="V149" s="151" t="str">
        <f>IFERROR(VLOOKUP(C149,Ativos!$A$1:$G2000,5,),)</f>
        <v/>
      </c>
    </row>
    <row r="150" ht="21.0" customHeight="1">
      <c r="A150" s="152"/>
      <c r="B150" s="135"/>
      <c r="C150" s="153"/>
      <c r="D150" s="154"/>
      <c r="E150" s="139"/>
      <c r="F150" s="139"/>
      <c r="G150" s="139"/>
      <c r="H150" s="135"/>
      <c r="I150" s="141"/>
      <c r="J150" s="147" t="str">
        <f>IFERROR(__xludf.DUMMYFUNCTION("IF(ISBLANK(A150),IFERROR(1/0),IF(COUNT(FILTER(F:F,A:A=A150))&gt;1,TRUNC(N150*F150/SUM(FILTER(N:N,A:A=A150)),3),F150))"),"")</f>
        <v/>
      </c>
      <c r="K150" s="147" t="str">
        <f>IFERROR(__xludf.DUMMYFUNCTION("IF(ISBLANK(A150),IFERROR(1/0),IF(COUNT(FILTER(G:G,((A:A=A150)*(B:B=""V""))))&gt;1,TRUNC(N150*G150/SUM(FILTER(N:N,((A:A=A150)*(B:B=""V"")))),3),G150))"),"")</f>
        <v/>
      </c>
      <c r="L150" s="148" t="str">
        <f>IFERROR(__xludf.DUMMYFUNCTION("if($C150="""","""",iferror(if(row()&lt;&gt;2,INDEX(arrayformula(filter($M$2:$M149,$C$2:$C149&lt;&gt;"""",row($C$2:$C149)=max(if($C$2:$C149=C150,row($C$2:$C149),0)))) ,1),0),0))"),"")</f>
        <v/>
      </c>
      <c r="M150" s="148" t="str">
        <f t="shared" si="1"/>
        <v/>
      </c>
      <c r="N150" s="147" t="str">
        <f t="shared" si="2"/>
        <v/>
      </c>
      <c r="O150" s="147" t="str">
        <f t="shared" si="21"/>
        <v/>
      </c>
      <c r="P150" s="147" t="str">
        <f>IFERROR(__xludf.DUMMYFUNCTION("if(C150="""","""",iferror(if(row()&lt;&gt;2,INDEX(arrayformula(filter($Q$2:$Q149,$C$2:$C149&lt;&gt;"""",row($C$2:$C149)=max(if($C$2:$C149=C150,row($C$2:$C149),0)))) ,1),0),0))"),"")</f>
        <v/>
      </c>
      <c r="Q150" s="147" t="str">
        <f t="shared" si="22"/>
        <v/>
      </c>
      <c r="R150" s="147" t="str">
        <f t="shared" si="23"/>
        <v/>
      </c>
      <c r="S150" s="147" t="str">
        <f t="shared" si="24"/>
        <v/>
      </c>
      <c r="T150" s="147" t="str">
        <f t="shared" si="7"/>
        <v/>
      </c>
      <c r="U150" s="150" t="str">
        <f t="shared" si="8"/>
        <v/>
      </c>
      <c r="V150" s="151" t="str">
        <f>IFERROR(VLOOKUP(C150,Ativos!$A$1:$G2000,5,),)</f>
        <v/>
      </c>
    </row>
    <row r="151" ht="21.0" customHeight="1">
      <c r="A151" s="152"/>
      <c r="B151" s="160"/>
      <c r="C151" s="153"/>
      <c r="D151" s="154"/>
      <c r="E151" s="139"/>
      <c r="F151" s="139"/>
      <c r="G151" s="139"/>
      <c r="H151" s="135"/>
      <c r="I151" s="141"/>
      <c r="J151" s="147" t="str">
        <f>IFERROR(__xludf.DUMMYFUNCTION("IF(ISBLANK(A151),IFERROR(1/0),IF(COUNT(FILTER(F:F,A:A=A151))&gt;1,TRUNC(N151*F151/SUM(FILTER(N:N,A:A=A151)),3),F151))"),"")</f>
        <v/>
      </c>
      <c r="K151" s="147" t="str">
        <f>IFERROR(__xludf.DUMMYFUNCTION("IF(ISBLANK(A151),IFERROR(1/0),IF(COUNT(FILTER(G:G,((A:A=A151)*(B:B=""V""))))&gt;1,TRUNC(N151*G151/SUM(FILTER(N:N,((A:A=A151)*(B:B=""V"")))),3),G151))"),"")</f>
        <v/>
      </c>
      <c r="L151" s="148" t="str">
        <f>IFERROR(__xludf.DUMMYFUNCTION("if($C151="""","""",iferror(if(row()&lt;&gt;2,INDEX(arrayformula(filter($M$2:$M150,$C$2:$C150&lt;&gt;"""",row($C$2:$C150)=max(if($C$2:$C150=C151,row($C$2:$C150),0)))) ,1),0),0))"),"")</f>
        <v/>
      </c>
      <c r="M151" s="148" t="str">
        <f t="shared" si="1"/>
        <v/>
      </c>
      <c r="N151" s="147" t="str">
        <f t="shared" si="2"/>
        <v/>
      </c>
      <c r="O151" s="147" t="str">
        <f t="shared" si="21"/>
        <v/>
      </c>
      <c r="P151" s="147" t="str">
        <f>IFERROR(__xludf.DUMMYFUNCTION("if(C151="""","""",iferror(if(row()&lt;&gt;2,INDEX(arrayformula(filter($Q$2:$Q150,$C$2:$C150&lt;&gt;"""",row($C$2:$C150)=max(if($C$2:$C150=C151,row($C$2:$C150),0)))) ,1),0),0))"),"")</f>
        <v/>
      </c>
      <c r="Q151" s="147" t="str">
        <f t="shared" si="22"/>
        <v/>
      </c>
      <c r="R151" s="147" t="str">
        <f t="shared" si="23"/>
        <v/>
      </c>
      <c r="S151" s="147" t="str">
        <f t="shared" si="24"/>
        <v/>
      </c>
      <c r="T151" s="147" t="str">
        <f t="shared" si="7"/>
        <v/>
      </c>
      <c r="U151" s="150" t="str">
        <f t="shared" si="8"/>
        <v/>
      </c>
      <c r="V151" s="151" t="str">
        <f>IFERROR(VLOOKUP(C151,Ativos!$A$1:$G2000,5,),)</f>
        <v/>
      </c>
    </row>
    <row r="152" ht="21.0" customHeight="1">
      <c r="A152" s="152"/>
      <c r="B152" s="160"/>
      <c r="C152" s="153"/>
      <c r="D152" s="154"/>
      <c r="E152" s="139"/>
      <c r="F152" s="139"/>
      <c r="G152" s="139"/>
      <c r="H152" s="135"/>
      <c r="I152" s="141"/>
      <c r="J152" s="147" t="str">
        <f>IFERROR(__xludf.DUMMYFUNCTION("IF(ISBLANK(A152),IFERROR(1/0),IF(COUNT(FILTER(F:F,A:A=A152))&gt;1,TRUNC(N152*F152/SUM(FILTER(N:N,A:A=A152)),3),F152))"),"")</f>
        <v/>
      </c>
      <c r="K152" s="147" t="str">
        <f>IFERROR(__xludf.DUMMYFUNCTION("IF(ISBLANK(A152),IFERROR(1/0),IF(COUNT(FILTER(G:G,((A:A=A152)*(B:B=""V""))))&gt;1,TRUNC(N152*G152/SUM(FILTER(N:N,((A:A=A152)*(B:B=""V"")))),3),G152))"),"")</f>
        <v/>
      </c>
      <c r="L152" s="148" t="str">
        <f>IFERROR(__xludf.DUMMYFUNCTION("if($C152="""","""",iferror(if(row()&lt;&gt;2,INDEX(arrayformula(filter($M$2:$M151,$C$2:$C151&lt;&gt;"""",row($C$2:$C151)=max(if($C$2:$C151=C152,row($C$2:$C151),0)))) ,1),0),0))"),"")</f>
        <v/>
      </c>
      <c r="M152" s="148" t="str">
        <f t="shared" si="1"/>
        <v/>
      </c>
      <c r="N152" s="147" t="str">
        <f t="shared" si="2"/>
        <v/>
      </c>
      <c r="O152" s="147" t="str">
        <f t="shared" si="21"/>
        <v/>
      </c>
      <c r="P152" s="147" t="str">
        <f>IFERROR(__xludf.DUMMYFUNCTION("if(C152="""","""",iferror(if(row()&lt;&gt;2,INDEX(arrayformula(filter($Q$2:$Q151,$C$2:$C151&lt;&gt;"""",row($C$2:$C151)=max(if($C$2:$C151=C152,row($C$2:$C151),0)))) ,1),0),0))"),"")</f>
        <v/>
      </c>
      <c r="Q152" s="147" t="str">
        <f t="shared" si="22"/>
        <v/>
      </c>
      <c r="R152" s="147" t="str">
        <f t="shared" si="23"/>
        <v/>
      </c>
      <c r="S152" s="147" t="str">
        <f t="shared" si="24"/>
        <v/>
      </c>
      <c r="T152" s="147" t="str">
        <f t="shared" si="7"/>
        <v/>
      </c>
      <c r="U152" s="150" t="str">
        <f t="shared" si="8"/>
        <v/>
      </c>
      <c r="V152" s="151" t="str">
        <f>IFERROR(VLOOKUP(C152,Ativos!$A$1:$G2000,5,),)</f>
        <v/>
      </c>
    </row>
    <row r="153" ht="21.0" customHeight="1">
      <c r="A153" s="152"/>
      <c r="B153" s="160"/>
      <c r="C153" s="153"/>
      <c r="D153" s="154"/>
      <c r="E153" s="139"/>
      <c r="F153" s="139"/>
      <c r="G153" s="139"/>
      <c r="H153" s="135"/>
      <c r="I153" s="141"/>
      <c r="J153" s="147" t="str">
        <f>IFERROR(__xludf.DUMMYFUNCTION("IF(ISBLANK(A153),IFERROR(1/0),IF(COUNT(FILTER(F:F,A:A=A153))&gt;1,TRUNC(N153*F153/SUM(FILTER(N:N,A:A=A153)),3),F153))"),"")</f>
        <v/>
      </c>
      <c r="K153" s="147" t="str">
        <f>IFERROR(__xludf.DUMMYFUNCTION("IF(ISBLANK(A153),IFERROR(1/0),IF(COUNT(FILTER(G:G,((A:A=A153)*(B:B=""V""))))&gt;1,TRUNC(N153*G153/SUM(FILTER(N:N,((A:A=A153)*(B:B=""V"")))),3),G153))"),"")</f>
        <v/>
      </c>
      <c r="L153" s="148" t="str">
        <f>IFERROR(__xludf.DUMMYFUNCTION("if($C153="""","""",iferror(if(row()&lt;&gt;2,INDEX(arrayformula(filter($M$2:$M152,$C$2:$C152&lt;&gt;"""",row($C$2:$C152)=max(if($C$2:$C152=C153,row($C$2:$C152),0)))) ,1),0),0))"),"")</f>
        <v/>
      </c>
      <c r="M153" s="148" t="str">
        <f t="shared" si="1"/>
        <v/>
      </c>
      <c r="N153" s="147" t="str">
        <f t="shared" si="2"/>
        <v/>
      </c>
      <c r="O153" s="147" t="str">
        <f t="shared" si="21"/>
        <v/>
      </c>
      <c r="P153" s="147" t="str">
        <f>IFERROR(__xludf.DUMMYFUNCTION("if(C153="""","""",iferror(if(row()&lt;&gt;2,INDEX(arrayformula(filter($Q$2:$Q152,$C$2:$C152&lt;&gt;"""",row($C$2:$C152)=max(if($C$2:$C152=C153,row($C$2:$C152),0)))) ,1),0),0))"),"")</f>
        <v/>
      </c>
      <c r="Q153" s="147" t="str">
        <f t="shared" si="22"/>
        <v/>
      </c>
      <c r="R153" s="147" t="str">
        <f t="shared" si="23"/>
        <v/>
      </c>
      <c r="S153" s="147" t="str">
        <f t="shared" si="24"/>
        <v/>
      </c>
      <c r="T153" s="147" t="str">
        <f t="shared" si="7"/>
        <v/>
      </c>
      <c r="U153" s="150" t="str">
        <f t="shared" si="8"/>
        <v/>
      </c>
      <c r="V153" s="151" t="str">
        <f>IFERROR(VLOOKUP(C153,Ativos!$A$1:$G2000,5,),)</f>
        <v/>
      </c>
    </row>
    <row r="154" ht="21.0" customHeight="1">
      <c r="A154" s="152"/>
      <c r="B154" s="160"/>
      <c r="C154" s="153"/>
      <c r="D154" s="154"/>
      <c r="E154" s="139"/>
      <c r="F154" s="139"/>
      <c r="G154" s="139"/>
      <c r="H154" s="135"/>
      <c r="I154" s="141"/>
      <c r="J154" s="147" t="str">
        <f>IFERROR(__xludf.DUMMYFUNCTION("IF(ISBLANK(A154),IFERROR(1/0),IF(COUNT(FILTER(F:F,A:A=A154))&gt;1,TRUNC(N154*F154/SUM(FILTER(N:N,A:A=A154)),3),F154))"),"")</f>
        <v/>
      </c>
      <c r="K154" s="147" t="str">
        <f>IFERROR(__xludf.DUMMYFUNCTION("IF(ISBLANK(A154),IFERROR(1/0),IF(COUNT(FILTER(G:G,((A:A=A154)*(B:B=""V""))))&gt;1,TRUNC(N154*G154/SUM(FILTER(N:N,((A:A=A154)*(B:B=""V"")))),3),G154))"),"")</f>
        <v/>
      </c>
      <c r="L154" s="148" t="str">
        <f>IFERROR(__xludf.DUMMYFUNCTION("if($C154="""","""",iferror(if(row()&lt;&gt;2,INDEX(arrayformula(filter($M$2:$M153,$C$2:$C153&lt;&gt;"""",row($C$2:$C153)=max(if($C$2:$C153=C154,row($C$2:$C153),0)))) ,1),0),0))"),"")</f>
        <v/>
      </c>
      <c r="M154" s="148" t="str">
        <f t="shared" si="1"/>
        <v/>
      </c>
      <c r="N154" s="147" t="str">
        <f t="shared" si="2"/>
        <v/>
      </c>
      <c r="O154" s="147" t="str">
        <f t="shared" si="21"/>
        <v/>
      </c>
      <c r="P154" s="147" t="str">
        <f>IFERROR(__xludf.DUMMYFUNCTION("if(C154="""","""",iferror(if(row()&lt;&gt;2,INDEX(arrayformula(filter($Q$2:$Q153,$C$2:$C153&lt;&gt;"""",row($C$2:$C153)=max(if($C$2:$C153=C154,row($C$2:$C153),0)))) ,1),0),0))"),"")</f>
        <v/>
      </c>
      <c r="Q154" s="147" t="str">
        <f t="shared" si="22"/>
        <v/>
      </c>
      <c r="R154" s="147" t="str">
        <f t="shared" si="23"/>
        <v/>
      </c>
      <c r="S154" s="147" t="str">
        <f t="shared" si="24"/>
        <v/>
      </c>
      <c r="T154" s="147" t="str">
        <f t="shared" si="7"/>
        <v/>
      </c>
      <c r="U154" s="150" t="str">
        <f t="shared" si="8"/>
        <v/>
      </c>
      <c r="V154" s="151" t="str">
        <f>IFERROR(VLOOKUP(C154,Ativos!$A$1:$G2000,5,),)</f>
        <v/>
      </c>
    </row>
    <row r="155" ht="21.0" customHeight="1">
      <c r="A155" s="152"/>
      <c r="B155" s="160"/>
      <c r="C155" s="153"/>
      <c r="D155" s="154"/>
      <c r="E155" s="139"/>
      <c r="F155" s="139"/>
      <c r="G155" s="139"/>
      <c r="H155" s="135"/>
      <c r="I155" s="141"/>
      <c r="J155" s="147" t="str">
        <f>IFERROR(__xludf.DUMMYFUNCTION("IF(ISBLANK(A155),IFERROR(1/0),IF(COUNT(FILTER(F:F,A:A=A155))&gt;1,TRUNC(N155*F155/SUM(FILTER(N:N,A:A=A155)),3),F155))"),"")</f>
        <v/>
      </c>
      <c r="K155" s="147" t="str">
        <f>IFERROR(__xludf.DUMMYFUNCTION("IF(ISBLANK(A155),IFERROR(1/0),IF(COUNT(FILTER(G:G,((A:A=A155)*(B:B=""V""))))&gt;1,TRUNC(N155*G155/SUM(FILTER(N:N,((A:A=A155)*(B:B=""V"")))),3),G155))"),"")</f>
        <v/>
      </c>
      <c r="L155" s="148" t="str">
        <f>IFERROR(__xludf.DUMMYFUNCTION("if($C155="""","""",iferror(if(row()&lt;&gt;2,INDEX(arrayformula(filter($M$2:$M154,$C$2:$C154&lt;&gt;"""",row($C$2:$C154)=max(if($C$2:$C154=C155,row($C$2:$C154),0)))) ,1),0),0))"),"")</f>
        <v/>
      </c>
      <c r="M155" s="148" t="str">
        <f t="shared" si="1"/>
        <v/>
      </c>
      <c r="N155" s="147" t="str">
        <f t="shared" si="2"/>
        <v/>
      </c>
      <c r="O155" s="147" t="str">
        <f t="shared" si="21"/>
        <v/>
      </c>
      <c r="P155" s="147" t="str">
        <f>IFERROR(__xludf.DUMMYFUNCTION("if(C155="""","""",iferror(if(row()&lt;&gt;2,INDEX(arrayformula(filter($Q$2:$Q154,$C$2:$C154&lt;&gt;"""",row($C$2:$C154)=max(if($C$2:$C154=C155,row($C$2:$C154),0)))) ,1),0),0))"),"")</f>
        <v/>
      </c>
      <c r="Q155" s="147" t="str">
        <f t="shared" si="22"/>
        <v/>
      </c>
      <c r="R155" s="147" t="str">
        <f t="shared" si="23"/>
        <v/>
      </c>
      <c r="S155" s="147" t="str">
        <f t="shared" si="24"/>
        <v/>
      </c>
      <c r="T155" s="147" t="str">
        <f t="shared" si="7"/>
        <v/>
      </c>
      <c r="U155" s="150" t="str">
        <f t="shared" si="8"/>
        <v/>
      </c>
      <c r="V155" s="151" t="str">
        <f>IFERROR(VLOOKUP(C155,Ativos!$A$1:$G2000,5,),)</f>
        <v/>
      </c>
    </row>
    <row r="156" ht="21.0" customHeight="1">
      <c r="A156" s="152"/>
      <c r="B156" s="160"/>
      <c r="C156" s="153"/>
      <c r="D156" s="154"/>
      <c r="E156" s="139"/>
      <c r="F156" s="139"/>
      <c r="G156" s="139"/>
      <c r="H156" s="135"/>
      <c r="I156" s="141"/>
      <c r="J156" s="147" t="str">
        <f>IFERROR(__xludf.DUMMYFUNCTION("IF(ISBLANK(A156),IFERROR(1/0),IF(COUNT(FILTER(F:F,A:A=A156))&gt;1,TRUNC(N156*F156/SUM(FILTER(N:N,A:A=A156)),3),F156))"),"")</f>
        <v/>
      </c>
      <c r="K156" s="147" t="str">
        <f>IFERROR(__xludf.DUMMYFUNCTION("IF(ISBLANK(A156),IFERROR(1/0),IF(COUNT(FILTER(G:G,((A:A=A156)*(B:B=""V""))))&gt;1,TRUNC(N156*G156/SUM(FILTER(N:N,((A:A=A156)*(B:B=""V"")))),3),G156))"),"")</f>
        <v/>
      </c>
      <c r="L156" s="148" t="str">
        <f>IFERROR(__xludf.DUMMYFUNCTION("if($C156="""","""",iferror(if(row()&lt;&gt;2,INDEX(arrayformula(filter($M$2:$M155,$C$2:$C155&lt;&gt;"""",row($C$2:$C155)=max(if($C$2:$C155=C156,row($C$2:$C155),0)))) ,1),0),0))"),"")</f>
        <v/>
      </c>
      <c r="M156" s="148" t="str">
        <f t="shared" si="1"/>
        <v/>
      </c>
      <c r="N156" s="147" t="str">
        <f t="shared" si="2"/>
        <v/>
      </c>
      <c r="O156" s="147" t="str">
        <f t="shared" si="21"/>
        <v/>
      </c>
      <c r="P156" s="147" t="str">
        <f>IFERROR(__xludf.DUMMYFUNCTION("if(C156="""","""",iferror(if(row()&lt;&gt;2,INDEX(arrayformula(filter($Q$2:$Q155,$C$2:$C155&lt;&gt;"""",row($C$2:$C155)=max(if($C$2:$C155=C156,row($C$2:$C155),0)))) ,1),0),0))"),"")</f>
        <v/>
      </c>
      <c r="Q156" s="147" t="str">
        <f t="shared" si="22"/>
        <v/>
      </c>
      <c r="R156" s="147" t="str">
        <f t="shared" si="23"/>
        <v/>
      </c>
      <c r="S156" s="147" t="str">
        <f t="shared" si="24"/>
        <v/>
      </c>
      <c r="T156" s="147" t="str">
        <f t="shared" si="7"/>
        <v/>
      </c>
      <c r="U156" s="150" t="str">
        <f t="shared" si="8"/>
        <v/>
      </c>
      <c r="V156" s="151" t="str">
        <f>IFERROR(VLOOKUP(C156,Ativos!$A$1:$G2000,5,),)</f>
        <v/>
      </c>
    </row>
    <row r="157" ht="21.0" customHeight="1">
      <c r="A157" s="152"/>
      <c r="B157" s="160"/>
      <c r="C157" s="153"/>
      <c r="D157" s="154"/>
      <c r="E157" s="139"/>
      <c r="F157" s="139"/>
      <c r="G157" s="139"/>
      <c r="H157" s="135"/>
      <c r="I157" s="141"/>
      <c r="J157" s="147" t="str">
        <f>IFERROR(__xludf.DUMMYFUNCTION("IF(ISBLANK(A157),IFERROR(1/0),IF(COUNT(FILTER(F:F,A:A=A157))&gt;1,TRUNC(N157*F157/SUM(FILTER(N:N,A:A=A157)),3),F157))"),"")</f>
        <v/>
      </c>
      <c r="K157" s="147" t="str">
        <f>IFERROR(__xludf.DUMMYFUNCTION("IF(ISBLANK(A157),IFERROR(1/0),IF(COUNT(FILTER(G:G,((A:A=A157)*(B:B=""V""))))&gt;1,TRUNC(N157*G157/SUM(FILTER(N:N,((A:A=A157)*(B:B=""V"")))),3),G157))"),"")</f>
        <v/>
      </c>
      <c r="L157" s="148" t="str">
        <f>IFERROR(__xludf.DUMMYFUNCTION("if($C157="""","""",iferror(if(row()&lt;&gt;2,INDEX(arrayformula(filter($M$2:$M156,$C$2:$C156&lt;&gt;"""",row($C$2:$C156)=max(if($C$2:$C156=C157,row($C$2:$C156),0)))) ,1),0),0))"),"")</f>
        <v/>
      </c>
      <c r="M157" s="148" t="str">
        <f t="shared" si="1"/>
        <v/>
      </c>
      <c r="N157" s="147" t="str">
        <f t="shared" si="2"/>
        <v/>
      </c>
      <c r="O157" s="147" t="str">
        <f t="shared" si="21"/>
        <v/>
      </c>
      <c r="P157" s="147" t="str">
        <f>IFERROR(__xludf.DUMMYFUNCTION("if(C157="""","""",iferror(if(row()&lt;&gt;2,INDEX(arrayformula(filter($Q$2:$Q156,$C$2:$C156&lt;&gt;"""",row($C$2:$C156)=max(if($C$2:$C156=C157,row($C$2:$C156),0)))) ,1),0),0))"),"")</f>
        <v/>
      </c>
      <c r="Q157" s="147" t="str">
        <f t="shared" si="22"/>
        <v/>
      </c>
      <c r="R157" s="147" t="str">
        <f t="shared" si="23"/>
        <v/>
      </c>
      <c r="S157" s="147" t="str">
        <f t="shared" si="24"/>
        <v/>
      </c>
      <c r="T157" s="147" t="str">
        <f t="shared" si="7"/>
        <v/>
      </c>
      <c r="U157" s="150" t="str">
        <f t="shared" si="8"/>
        <v/>
      </c>
      <c r="V157" s="151" t="str">
        <f>IFERROR(VLOOKUP(C157,Ativos!$A$1:$G2000,5,),)</f>
        <v/>
      </c>
    </row>
    <row r="158" ht="21.0" customHeight="1">
      <c r="A158" s="152"/>
      <c r="B158" s="160"/>
      <c r="C158" s="153"/>
      <c r="D158" s="154"/>
      <c r="E158" s="139"/>
      <c r="F158" s="139"/>
      <c r="G158" s="139"/>
      <c r="H158" s="135"/>
      <c r="I158" s="141"/>
      <c r="J158" s="147" t="str">
        <f>IFERROR(__xludf.DUMMYFUNCTION("IF(ISBLANK(A158),IFERROR(1/0),IF(COUNT(FILTER(F:F,A:A=A158))&gt;1,TRUNC(N158*F158/SUM(FILTER(N:N,A:A=A158)),3),F158))"),"")</f>
        <v/>
      </c>
      <c r="K158" s="147" t="str">
        <f>IFERROR(__xludf.DUMMYFUNCTION("IF(ISBLANK(A158),IFERROR(1/0),IF(COUNT(FILTER(G:G,((A:A=A158)*(B:B=""V""))))&gt;1,TRUNC(N158*G158/SUM(FILTER(N:N,((A:A=A158)*(B:B=""V"")))),3),G158))"),"")</f>
        <v/>
      </c>
      <c r="L158" s="148" t="str">
        <f>IFERROR(__xludf.DUMMYFUNCTION("if($C158="""","""",iferror(if(row()&lt;&gt;2,INDEX(arrayformula(filter($M$2:$M157,$C$2:$C157&lt;&gt;"""",row($C$2:$C157)=max(if($C$2:$C157=C158,row($C$2:$C157),0)))) ,1),0),0))"),"")</f>
        <v/>
      </c>
      <c r="M158" s="148" t="str">
        <f t="shared" si="1"/>
        <v/>
      </c>
      <c r="N158" s="147" t="str">
        <f t="shared" si="2"/>
        <v/>
      </c>
      <c r="O158" s="147" t="str">
        <f t="shared" si="21"/>
        <v/>
      </c>
      <c r="P158" s="147" t="str">
        <f>IFERROR(__xludf.DUMMYFUNCTION("if(C158="""","""",iferror(if(row()&lt;&gt;2,INDEX(arrayformula(filter($Q$2:$Q157,$C$2:$C157&lt;&gt;"""",row($C$2:$C157)=max(if($C$2:$C157=C158,row($C$2:$C157),0)))) ,1),0),0))"),"")</f>
        <v/>
      </c>
      <c r="Q158" s="147" t="str">
        <f t="shared" si="22"/>
        <v/>
      </c>
      <c r="R158" s="147" t="str">
        <f t="shared" si="23"/>
        <v/>
      </c>
      <c r="S158" s="147" t="str">
        <f t="shared" si="24"/>
        <v/>
      </c>
      <c r="T158" s="147" t="str">
        <f t="shared" si="7"/>
        <v/>
      </c>
      <c r="U158" s="150" t="str">
        <f t="shared" si="8"/>
        <v/>
      </c>
      <c r="V158" s="151" t="str">
        <f>IFERROR(VLOOKUP(C158,Ativos!$A$1:$G2000,5,),)</f>
        <v/>
      </c>
    </row>
    <row r="159" ht="21.0" customHeight="1">
      <c r="A159" s="152"/>
      <c r="B159" s="160"/>
      <c r="C159" s="153"/>
      <c r="D159" s="154"/>
      <c r="E159" s="139"/>
      <c r="F159" s="139"/>
      <c r="G159" s="139"/>
      <c r="H159" s="135"/>
      <c r="I159" s="141"/>
      <c r="J159" s="147" t="str">
        <f>IFERROR(__xludf.DUMMYFUNCTION("IF(ISBLANK(A159),IFERROR(1/0),IF(COUNT(FILTER(F:F,A:A=A159))&gt;1,TRUNC(N159*F159/SUM(FILTER(N:N,A:A=A159)),3),F159))"),"")</f>
        <v/>
      </c>
      <c r="K159" s="147" t="str">
        <f>IFERROR(__xludf.DUMMYFUNCTION("IF(ISBLANK(A159),IFERROR(1/0),IF(COUNT(FILTER(G:G,((A:A=A159)*(B:B=""V""))))&gt;1,TRUNC(N159*G159/SUM(FILTER(N:N,((A:A=A159)*(B:B=""V"")))),3),G159))"),"")</f>
        <v/>
      </c>
      <c r="L159" s="148" t="str">
        <f>IFERROR(__xludf.DUMMYFUNCTION("if($C159="""","""",iferror(if(row()&lt;&gt;2,INDEX(arrayformula(filter($M$2:$M158,$C$2:$C158&lt;&gt;"""",row($C$2:$C158)=max(if($C$2:$C158=C159,row($C$2:$C158),0)))) ,1),0),0))"),"")</f>
        <v/>
      </c>
      <c r="M159" s="148" t="str">
        <f t="shared" si="1"/>
        <v/>
      </c>
      <c r="N159" s="147" t="str">
        <f t="shared" si="2"/>
        <v/>
      </c>
      <c r="O159" s="147" t="str">
        <f t="shared" si="21"/>
        <v/>
      </c>
      <c r="P159" s="147" t="str">
        <f>IFERROR(__xludf.DUMMYFUNCTION("if(C159="""","""",iferror(if(row()&lt;&gt;2,INDEX(arrayformula(filter($Q$2:$Q158,$C$2:$C158&lt;&gt;"""",row($C$2:$C158)=max(if($C$2:$C158=C159,row($C$2:$C158),0)))) ,1),0),0))"),"")</f>
        <v/>
      </c>
      <c r="Q159" s="147" t="str">
        <f t="shared" si="22"/>
        <v/>
      </c>
      <c r="R159" s="147" t="str">
        <f t="shared" si="23"/>
        <v/>
      </c>
      <c r="S159" s="147" t="str">
        <f t="shared" si="24"/>
        <v/>
      </c>
      <c r="T159" s="147" t="str">
        <f t="shared" si="7"/>
        <v/>
      </c>
      <c r="U159" s="150" t="str">
        <f t="shared" si="8"/>
        <v/>
      </c>
      <c r="V159" s="151" t="str">
        <f>IFERROR(VLOOKUP(C159,Ativos!$A$1:$G2000,5,),)</f>
        <v/>
      </c>
    </row>
    <row r="160" ht="21.0" customHeight="1">
      <c r="A160" s="152"/>
      <c r="B160" s="160"/>
      <c r="C160" s="153"/>
      <c r="D160" s="154"/>
      <c r="E160" s="139"/>
      <c r="F160" s="139"/>
      <c r="G160" s="139"/>
      <c r="H160" s="135"/>
      <c r="I160" s="141"/>
      <c r="J160" s="147" t="str">
        <f>IFERROR(__xludf.DUMMYFUNCTION("IF(ISBLANK(A160),IFERROR(1/0),IF(COUNT(FILTER(F:F,A:A=A160))&gt;1,TRUNC(N160*F160/SUM(FILTER(N:N,A:A=A160)),3),F160))"),"")</f>
        <v/>
      </c>
      <c r="K160" s="147" t="str">
        <f>IFERROR(__xludf.DUMMYFUNCTION("IF(ISBLANK(A160),IFERROR(1/0),IF(COUNT(FILTER(G:G,((A:A=A160)*(B:B=""V""))))&gt;1,TRUNC(N160*G160/SUM(FILTER(N:N,((A:A=A160)*(B:B=""V"")))),3),G160))"),"")</f>
        <v/>
      </c>
      <c r="L160" s="148" t="str">
        <f>IFERROR(__xludf.DUMMYFUNCTION("if($C160="""","""",iferror(if(row()&lt;&gt;2,INDEX(arrayformula(filter($M$2:$M159,$C$2:$C159&lt;&gt;"""",row($C$2:$C159)=max(if($C$2:$C159=C160,row($C$2:$C159),0)))) ,1),0),0))"),"")</f>
        <v/>
      </c>
      <c r="M160" s="148" t="str">
        <f t="shared" si="1"/>
        <v/>
      </c>
      <c r="N160" s="147" t="str">
        <f t="shared" si="2"/>
        <v/>
      </c>
      <c r="O160" s="147" t="str">
        <f t="shared" si="21"/>
        <v/>
      </c>
      <c r="P160" s="147" t="str">
        <f>IFERROR(__xludf.DUMMYFUNCTION("if(C160="""","""",iferror(if(row()&lt;&gt;2,INDEX(arrayformula(filter($Q$2:$Q159,$C$2:$C159&lt;&gt;"""",row($C$2:$C159)=max(if($C$2:$C159=C160,row($C$2:$C159),0)))) ,1),0),0))"),"")</f>
        <v/>
      </c>
      <c r="Q160" s="147" t="str">
        <f t="shared" si="22"/>
        <v/>
      </c>
      <c r="R160" s="147" t="str">
        <f t="shared" si="23"/>
        <v/>
      </c>
      <c r="S160" s="147" t="str">
        <f t="shared" si="24"/>
        <v/>
      </c>
      <c r="T160" s="147" t="str">
        <f t="shared" si="7"/>
        <v/>
      </c>
      <c r="U160" s="150" t="str">
        <f t="shared" si="8"/>
        <v/>
      </c>
      <c r="V160" s="151" t="str">
        <f>IFERROR(VLOOKUP(C160,Ativos!$A$1:$G2000,5,),)</f>
        <v/>
      </c>
    </row>
    <row r="161" ht="21.0" customHeight="1">
      <c r="A161" s="152"/>
      <c r="B161" s="160"/>
      <c r="C161" s="153"/>
      <c r="D161" s="154"/>
      <c r="E161" s="139"/>
      <c r="F161" s="139"/>
      <c r="G161" s="139"/>
      <c r="H161" s="135"/>
      <c r="I161" s="141"/>
      <c r="J161" s="147" t="str">
        <f>IFERROR(__xludf.DUMMYFUNCTION("IF(ISBLANK(A161),IFERROR(1/0),IF(COUNT(FILTER(F:F,A:A=A161))&gt;1,TRUNC(N161*F161/SUM(FILTER(N:N,A:A=A161)),3),F161))"),"")</f>
        <v/>
      </c>
      <c r="K161" s="147" t="str">
        <f>IFERROR(__xludf.DUMMYFUNCTION("IF(ISBLANK(A161),IFERROR(1/0),IF(COUNT(FILTER(G:G,((A:A=A161)*(B:B=""V""))))&gt;1,TRUNC(N161*G161/SUM(FILTER(N:N,((A:A=A161)*(B:B=""V"")))),3),G161))"),"")</f>
        <v/>
      </c>
      <c r="L161" s="148" t="str">
        <f>IFERROR(__xludf.DUMMYFUNCTION("if($C161="""","""",iferror(if(row()&lt;&gt;2,INDEX(arrayformula(filter($M$2:$M160,$C$2:$C160&lt;&gt;"""",row($C$2:$C160)=max(if($C$2:$C160=C161,row($C$2:$C160),0)))) ,1),0),0))"),"")</f>
        <v/>
      </c>
      <c r="M161" s="148" t="str">
        <f t="shared" si="1"/>
        <v/>
      </c>
      <c r="N161" s="147" t="str">
        <f t="shared" si="2"/>
        <v/>
      </c>
      <c r="O161" s="147" t="str">
        <f t="shared" si="21"/>
        <v/>
      </c>
      <c r="P161" s="147" t="str">
        <f>IFERROR(__xludf.DUMMYFUNCTION("if(C161="""","""",iferror(if(row()&lt;&gt;2,INDEX(arrayformula(filter($Q$2:$Q160,$C$2:$C160&lt;&gt;"""",row($C$2:$C160)=max(if($C$2:$C160=C161,row($C$2:$C160),0)))) ,1),0),0))"),"")</f>
        <v/>
      </c>
      <c r="Q161" s="147" t="str">
        <f t="shared" si="22"/>
        <v/>
      </c>
      <c r="R161" s="147" t="str">
        <f t="shared" si="23"/>
        <v/>
      </c>
      <c r="S161" s="147" t="str">
        <f t="shared" si="24"/>
        <v/>
      </c>
      <c r="T161" s="147" t="str">
        <f t="shared" si="7"/>
        <v/>
      </c>
      <c r="U161" s="150" t="str">
        <f t="shared" si="8"/>
        <v/>
      </c>
      <c r="V161" s="151" t="str">
        <f>IFERROR(VLOOKUP(C161,Ativos!$A$1:$G2000,5,),)</f>
        <v/>
      </c>
    </row>
    <row r="162" ht="21.0" customHeight="1">
      <c r="A162" s="152"/>
      <c r="B162" s="160"/>
      <c r="C162" s="153"/>
      <c r="D162" s="154"/>
      <c r="E162" s="139"/>
      <c r="F162" s="139"/>
      <c r="G162" s="139"/>
      <c r="H162" s="135"/>
      <c r="I162" s="141"/>
      <c r="J162" s="147" t="str">
        <f>IFERROR(__xludf.DUMMYFUNCTION("IF(ISBLANK(A162),IFERROR(1/0),IF(COUNT(FILTER(F:F,A:A=A162))&gt;1,TRUNC(N162*F162/SUM(FILTER(N:N,A:A=A162)),3),F162))"),"")</f>
        <v/>
      </c>
      <c r="K162" s="147" t="str">
        <f>IFERROR(__xludf.DUMMYFUNCTION("IF(ISBLANK(A162),IFERROR(1/0),IF(COUNT(FILTER(G:G,((A:A=A162)*(B:B=""V""))))&gt;1,TRUNC(N162*G162/SUM(FILTER(N:N,((A:A=A162)*(B:B=""V"")))),3),G162))"),"")</f>
        <v/>
      </c>
      <c r="L162" s="148" t="str">
        <f>IFERROR(__xludf.DUMMYFUNCTION("if($C162="""","""",iferror(if(row()&lt;&gt;2,INDEX(arrayformula(filter($M$2:$M161,$C$2:$C161&lt;&gt;"""",row($C$2:$C161)=max(if($C$2:$C161=C162,row($C$2:$C161),0)))) ,1),0),0))"),"")</f>
        <v/>
      </c>
      <c r="M162" s="148" t="str">
        <f t="shared" si="1"/>
        <v/>
      </c>
      <c r="N162" s="147" t="str">
        <f t="shared" si="2"/>
        <v/>
      </c>
      <c r="O162" s="147" t="str">
        <f t="shared" si="21"/>
        <v/>
      </c>
      <c r="P162" s="147" t="str">
        <f>IFERROR(__xludf.DUMMYFUNCTION("if(C162="""","""",iferror(if(row()&lt;&gt;2,INDEX(arrayformula(filter($Q$2:$Q161,$C$2:$C161&lt;&gt;"""",row($C$2:$C161)=max(if($C$2:$C161=C162,row($C$2:$C161),0)))) ,1),0),0))"),"")</f>
        <v/>
      </c>
      <c r="Q162" s="147" t="str">
        <f t="shared" si="22"/>
        <v/>
      </c>
      <c r="R162" s="147" t="str">
        <f t="shared" si="23"/>
        <v/>
      </c>
      <c r="S162" s="147" t="str">
        <f t="shared" si="24"/>
        <v/>
      </c>
      <c r="T162" s="147" t="str">
        <f t="shared" si="7"/>
        <v/>
      </c>
      <c r="U162" s="150" t="str">
        <f t="shared" si="8"/>
        <v/>
      </c>
      <c r="V162" s="151" t="str">
        <f>IFERROR(VLOOKUP(C162,Ativos!$A$1:$G2000,5,),)</f>
        <v/>
      </c>
    </row>
    <row r="163" ht="21.0" customHeight="1">
      <c r="A163" s="152"/>
      <c r="B163" s="160"/>
      <c r="C163" s="153"/>
      <c r="D163" s="154"/>
      <c r="E163" s="139"/>
      <c r="F163" s="139"/>
      <c r="G163" s="139"/>
      <c r="H163" s="135"/>
      <c r="I163" s="141"/>
      <c r="J163" s="147" t="str">
        <f>IFERROR(__xludf.DUMMYFUNCTION("IF(ISBLANK(A163),IFERROR(1/0),IF(COUNT(FILTER(F:F,A:A=A163))&gt;1,TRUNC(N163*F163/SUM(FILTER(N:N,A:A=A163)),3),F163))"),"")</f>
        <v/>
      </c>
      <c r="K163" s="147" t="str">
        <f>IFERROR(__xludf.DUMMYFUNCTION("IF(ISBLANK(A163),IFERROR(1/0),IF(COUNT(FILTER(G:G,((A:A=A163)*(B:B=""V""))))&gt;1,TRUNC(N163*G163/SUM(FILTER(N:N,((A:A=A163)*(B:B=""V"")))),3),G163))"),"")</f>
        <v/>
      </c>
      <c r="L163" s="148" t="str">
        <f>IFERROR(__xludf.DUMMYFUNCTION("if($C163="""","""",iferror(if(row()&lt;&gt;2,INDEX(arrayformula(filter($M$2:$M162,$C$2:$C162&lt;&gt;"""",row($C$2:$C162)=max(if($C$2:$C162=C163,row($C$2:$C162),0)))) ,1),0),0))"),"")</f>
        <v/>
      </c>
      <c r="M163" s="148" t="str">
        <f t="shared" si="1"/>
        <v/>
      </c>
      <c r="N163" s="147" t="str">
        <f t="shared" si="2"/>
        <v/>
      </c>
      <c r="O163" s="147" t="str">
        <f t="shared" si="21"/>
        <v/>
      </c>
      <c r="P163" s="147" t="str">
        <f>IFERROR(__xludf.DUMMYFUNCTION("if(C163="""","""",iferror(if(row()&lt;&gt;2,INDEX(arrayformula(filter($Q$2:$Q162,$C$2:$C162&lt;&gt;"""",row($C$2:$C162)=max(if($C$2:$C162=C163,row($C$2:$C162),0)))) ,1),0),0))"),"")</f>
        <v/>
      </c>
      <c r="Q163" s="147" t="str">
        <f t="shared" si="22"/>
        <v/>
      </c>
      <c r="R163" s="147" t="str">
        <f t="shared" si="23"/>
        <v/>
      </c>
      <c r="S163" s="147" t="str">
        <f t="shared" si="24"/>
        <v/>
      </c>
      <c r="T163" s="147" t="str">
        <f t="shared" si="7"/>
        <v/>
      </c>
      <c r="U163" s="150" t="str">
        <f t="shared" si="8"/>
        <v/>
      </c>
      <c r="V163" s="151" t="str">
        <f>IFERROR(VLOOKUP(C163,Ativos!$A$1:$G2000,5,),)</f>
        <v/>
      </c>
    </row>
    <row r="164" ht="21.0" customHeight="1">
      <c r="A164" s="152"/>
      <c r="B164" s="160"/>
      <c r="C164" s="153"/>
      <c r="D164" s="154"/>
      <c r="E164" s="139"/>
      <c r="F164" s="139"/>
      <c r="G164" s="139"/>
      <c r="H164" s="135"/>
      <c r="I164" s="141"/>
      <c r="J164" s="147" t="str">
        <f>IFERROR(__xludf.DUMMYFUNCTION("IF(ISBLANK(A164),IFERROR(1/0),IF(COUNT(FILTER(F:F,A:A=A164))&gt;1,TRUNC(N164*F164/SUM(FILTER(N:N,A:A=A164)),3),F164))"),"")</f>
        <v/>
      </c>
      <c r="K164" s="147" t="str">
        <f>IFERROR(__xludf.DUMMYFUNCTION("IF(ISBLANK(A164),IFERROR(1/0),IF(COUNT(FILTER(G:G,((A:A=A164)*(B:B=""V""))))&gt;1,TRUNC(N164*G164/SUM(FILTER(N:N,((A:A=A164)*(B:B=""V"")))),3),G164))"),"")</f>
        <v/>
      </c>
      <c r="L164" s="148" t="str">
        <f>IFERROR(__xludf.DUMMYFUNCTION("if($C164="""","""",iferror(if(row()&lt;&gt;2,INDEX(arrayformula(filter($M$2:$M163,$C$2:$C163&lt;&gt;"""",row($C$2:$C163)=max(if($C$2:$C163=C164,row($C$2:$C163),0)))) ,1),0),0))"),"")</f>
        <v/>
      </c>
      <c r="M164" s="148" t="str">
        <f t="shared" si="1"/>
        <v/>
      </c>
      <c r="N164" s="147" t="str">
        <f t="shared" si="2"/>
        <v/>
      </c>
      <c r="O164" s="147" t="str">
        <f t="shared" si="21"/>
        <v/>
      </c>
      <c r="P164" s="147" t="str">
        <f>IFERROR(__xludf.DUMMYFUNCTION("if(C164="""","""",iferror(if(row()&lt;&gt;2,INDEX(arrayformula(filter($Q$2:$Q163,$C$2:$C163&lt;&gt;"""",row($C$2:$C163)=max(if($C$2:$C163=C164,row($C$2:$C163),0)))) ,1),0),0))"),"")</f>
        <v/>
      </c>
      <c r="Q164" s="147" t="str">
        <f t="shared" si="22"/>
        <v/>
      </c>
      <c r="R164" s="147" t="str">
        <f t="shared" si="23"/>
        <v/>
      </c>
      <c r="S164" s="147" t="str">
        <f t="shared" si="24"/>
        <v/>
      </c>
      <c r="T164" s="147" t="str">
        <f t="shared" si="7"/>
        <v/>
      </c>
      <c r="U164" s="150" t="str">
        <f t="shared" si="8"/>
        <v/>
      </c>
      <c r="V164" s="151" t="str">
        <f>IFERROR(VLOOKUP(C164,Ativos!$A$1:$G2000,5,),)</f>
        <v/>
      </c>
    </row>
    <row r="165" ht="21.0" customHeight="1">
      <c r="A165" s="152"/>
      <c r="B165" s="160"/>
      <c r="C165" s="153"/>
      <c r="D165" s="154"/>
      <c r="E165" s="139"/>
      <c r="F165" s="139"/>
      <c r="G165" s="139"/>
      <c r="H165" s="135"/>
      <c r="I165" s="141"/>
      <c r="J165" s="147" t="str">
        <f>IFERROR(__xludf.DUMMYFUNCTION("IF(ISBLANK(A165),IFERROR(1/0),IF(COUNT(FILTER(F:F,A:A=A165))&gt;1,TRUNC(N165*F165/SUM(FILTER(N:N,A:A=A165)),3),F165))"),"")</f>
        <v/>
      </c>
      <c r="K165" s="147" t="str">
        <f>IFERROR(__xludf.DUMMYFUNCTION("IF(ISBLANK(A165),IFERROR(1/0),IF(COUNT(FILTER(G:G,((A:A=A165)*(B:B=""V""))))&gt;1,TRUNC(N165*G165/SUM(FILTER(N:N,((A:A=A165)*(B:B=""V"")))),3),G165))"),"")</f>
        <v/>
      </c>
      <c r="L165" s="148" t="str">
        <f>IFERROR(__xludf.DUMMYFUNCTION("if($C165="""","""",iferror(if(row()&lt;&gt;2,INDEX(arrayformula(filter($M$2:$M164,$C$2:$C164&lt;&gt;"""",row($C$2:$C164)=max(if($C$2:$C164=C165,row($C$2:$C164),0)))) ,1),0),0))"),"")</f>
        <v/>
      </c>
      <c r="M165" s="148" t="str">
        <f t="shared" si="1"/>
        <v/>
      </c>
      <c r="N165" s="147" t="str">
        <f t="shared" si="2"/>
        <v/>
      </c>
      <c r="O165" s="147" t="str">
        <f t="shared" si="21"/>
        <v/>
      </c>
      <c r="P165" s="147" t="str">
        <f>IFERROR(__xludf.DUMMYFUNCTION("if(C165="""","""",iferror(if(row()&lt;&gt;2,INDEX(arrayformula(filter($Q$2:$Q164,$C$2:$C164&lt;&gt;"""",row($C$2:$C164)=max(if($C$2:$C164=C165,row($C$2:$C164),0)))) ,1),0),0))"),"")</f>
        <v/>
      </c>
      <c r="Q165" s="147" t="str">
        <f t="shared" si="22"/>
        <v/>
      </c>
      <c r="R165" s="147" t="str">
        <f t="shared" si="23"/>
        <v/>
      </c>
      <c r="S165" s="147" t="str">
        <f t="shared" si="24"/>
        <v/>
      </c>
      <c r="T165" s="147" t="str">
        <f t="shared" si="7"/>
        <v/>
      </c>
      <c r="U165" s="150" t="str">
        <f t="shared" si="8"/>
        <v/>
      </c>
      <c r="V165" s="151" t="str">
        <f>IFERROR(VLOOKUP(C165,Ativos!$A$1:$G2000,5,),)</f>
        <v/>
      </c>
    </row>
    <row r="166" ht="21.0" customHeight="1">
      <c r="A166" s="152"/>
      <c r="B166" s="160"/>
      <c r="C166" s="153"/>
      <c r="D166" s="154"/>
      <c r="E166" s="139"/>
      <c r="F166" s="139"/>
      <c r="G166" s="139"/>
      <c r="H166" s="135"/>
      <c r="I166" s="141"/>
      <c r="J166" s="147" t="str">
        <f>IFERROR(__xludf.DUMMYFUNCTION("IF(ISBLANK(A166),IFERROR(1/0),IF(COUNT(FILTER(F:F,A:A=A166))&gt;1,TRUNC(N166*F166/SUM(FILTER(N:N,A:A=A166)),3),F166))"),"")</f>
        <v/>
      </c>
      <c r="K166" s="147" t="str">
        <f>IFERROR(__xludf.DUMMYFUNCTION("IF(ISBLANK(A166),IFERROR(1/0),IF(COUNT(FILTER(G:G,((A:A=A166)*(B:B=""V""))))&gt;1,TRUNC(N166*G166/SUM(FILTER(N:N,((A:A=A166)*(B:B=""V"")))),3),G166))"),"")</f>
        <v/>
      </c>
      <c r="L166" s="148" t="str">
        <f>IFERROR(__xludf.DUMMYFUNCTION("if($C166="""","""",iferror(if(row()&lt;&gt;2,INDEX(arrayformula(filter($M$2:$M165,$C$2:$C165&lt;&gt;"""",row($C$2:$C165)=max(if($C$2:$C165=C166,row($C$2:$C165),0)))) ,1),0),0))"),"")</f>
        <v/>
      </c>
      <c r="M166" s="148" t="str">
        <f t="shared" si="1"/>
        <v/>
      </c>
      <c r="N166" s="147" t="str">
        <f t="shared" si="2"/>
        <v/>
      </c>
      <c r="O166" s="147" t="str">
        <f t="shared" si="21"/>
        <v/>
      </c>
      <c r="P166" s="147" t="str">
        <f>IFERROR(__xludf.DUMMYFUNCTION("if(C166="""","""",iferror(if(row()&lt;&gt;2,INDEX(arrayformula(filter($Q$2:$Q165,$C$2:$C165&lt;&gt;"""",row($C$2:$C165)=max(if($C$2:$C165=C166,row($C$2:$C165),0)))) ,1),0),0))"),"")</f>
        <v/>
      </c>
      <c r="Q166" s="147" t="str">
        <f t="shared" si="22"/>
        <v/>
      </c>
      <c r="R166" s="147" t="str">
        <f t="shared" si="23"/>
        <v/>
      </c>
      <c r="S166" s="147" t="str">
        <f t="shared" si="24"/>
        <v/>
      </c>
      <c r="T166" s="147" t="str">
        <f t="shared" si="7"/>
        <v/>
      </c>
      <c r="U166" s="150" t="str">
        <f t="shared" si="8"/>
        <v/>
      </c>
      <c r="V166" s="151" t="str">
        <f>IFERROR(VLOOKUP(C166,Ativos!$A$1:$G2000,5,),)</f>
        <v/>
      </c>
    </row>
    <row r="167" ht="21.0" customHeight="1">
      <c r="A167" s="152"/>
      <c r="B167" s="160"/>
      <c r="C167" s="153"/>
      <c r="D167" s="154"/>
      <c r="E167" s="139"/>
      <c r="F167" s="139"/>
      <c r="G167" s="139"/>
      <c r="H167" s="135"/>
      <c r="I167" s="141"/>
      <c r="J167" s="147" t="str">
        <f>IFERROR(__xludf.DUMMYFUNCTION("IF(ISBLANK(A167),IFERROR(1/0),IF(COUNT(FILTER(F:F,A:A=A167))&gt;1,TRUNC(N167*F167/SUM(FILTER(N:N,A:A=A167)),3),F167))"),"")</f>
        <v/>
      </c>
      <c r="K167" s="147" t="str">
        <f>IFERROR(__xludf.DUMMYFUNCTION("IF(ISBLANK(A167),IFERROR(1/0),IF(COUNT(FILTER(G:G,((A:A=A167)*(B:B=""V""))))&gt;1,TRUNC(N167*G167/SUM(FILTER(N:N,((A:A=A167)*(B:B=""V"")))),3),G167))"),"")</f>
        <v/>
      </c>
      <c r="L167" s="148" t="str">
        <f>IFERROR(__xludf.DUMMYFUNCTION("if($C167="""","""",iferror(if(row()&lt;&gt;2,INDEX(arrayformula(filter($M$2:$M166,$C$2:$C166&lt;&gt;"""",row($C$2:$C166)=max(if($C$2:$C166=C167,row($C$2:$C166),0)))) ,1),0),0))"),"")</f>
        <v/>
      </c>
      <c r="M167" s="148" t="str">
        <f t="shared" si="1"/>
        <v/>
      </c>
      <c r="N167" s="147" t="str">
        <f t="shared" si="2"/>
        <v/>
      </c>
      <c r="O167" s="147" t="str">
        <f t="shared" si="21"/>
        <v/>
      </c>
      <c r="P167" s="147" t="str">
        <f>IFERROR(__xludf.DUMMYFUNCTION("if(C167="""","""",iferror(if(row()&lt;&gt;2,INDEX(arrayformula(filter($Q$2:$Q166,$C$2:$C166&lt;&gt;"""",row($C$2:$C166)=max(if($C$2:$C166=C167,row($C$2:$C166),0)))) ,1),0),0))"),"")</f>
        <v/>
      </c>
      <c r="Q167" s="147" t="str">
        <f t="shared" si="22"/>
        <v/>
      </c>
      <c r="R167" s="147" t="str">
        <f t="shared" si="23"/>
        <v/>
      </c>
      <c r="S167" s="147" t="str">
        <f t="shared" si="24"/>
        <v/>
      </c>
      <c r="T167" s="147" t="str">
        <f t="shared" si="7"/>
        <v/>
      </c>
      <c r="U167" s="150" t="str">
        <f t="shared" si="8"/>
        <v/>
      </c>
      <c r="V167" s="151" t="str">
        <f>IFERROR(VLOOKUP(C167,Ativos!$A$1:$G2000,5,),)</f>
        <v/>
      </c>
    </row>
    <row r="168" ht="21.0" customHeight="1">
      <c r="A168" s="152"/>
      <c r="B168" s="160"/>
      <c r="C168" s="153"/>
      <c r="D168" s="154"/>
      <c r="E168" s="139"/>
      <c r="F168" s="139"/>
      <c r="G168" s="139"/>
      <c r="H168" s="135"/>
      <c r="I168" s="141"/>
      <c r="J168" s="147" t="str">
        <f>IFERROR(__xludf.DUMMYFUNCTION("IF(ISBLANK(A168),IFERROR(1/0),IF(COUNT(FILTER(F:F,A:A=A168))&gt;1,TRUNC(N168*F168/SUM(FILTER(N:N,A:A=A168)),3),F168))"),"")</f>
        <v/>
      </c>
      <c r="K168" s="147" t="str">
        <f>IFERROR(__xludf.DUMMYFUNCTION("IF(ISBLANK(A168),IFERROR(1/0),IF(COUNT(FILTER(G:G,((A:A=A168)*(B:B=""V""))))&gt;1,TRUNC(N168*G168/SUM(FILTER(N:N,((A:A=A168)*(B:B=""V"")))),3),G168))"),"")</f>
        <v/>
      </c>
      <c r="L168" s="148" t="str">
        <f>IFERROR(__xludf.DUMMYFUNCTION("if($C168="""","""",iferror(if(row()&lt;&gt;2,INDEX(arrayformula(filter($M$2:$M167,$C$2:$C167&lt;&gt;"""",row($C$2:$C167)=max(if($C$2:$C167=C168,row($C$2:$C167),0)))) ,1),0),0))"),"")</f>
        <v/>
      </c>
      <c r="M168" s="148" t="str">
        <f t="shared" si="1"/>
        <v/>
      </c>
      <c r="N168" s="147" t="str">
        <f t="shared" si="2"/>
        <v/>
      </c>
      <c r="O168" s="147" t="str">
        <f t="shared" si="21"/>
        <v/>
      </c>
      <c r="P168" s="147" t="str">
        <f>IFERROR(__xludf.DUMMYFUNCTION("if(C168="""","""",iferror(if(row()&lt;&gt;2,INDEX(arrayformula(filter($Q$2:$Q167,$C$2:$C167&lt;&gt;"""",row($C$2:$C167)=max(if($C$2:$C167=C168,row($C$2:$C167),0)))) ,1),0),0))"),"")</f>
        <v/>
      </c>
      <c r="Q168" s="147" t="str">
        <f t="shared" si="22"/>
        <v/>
      </c>
      <c r="R168" s="147" t="str">
        <f t="shared" si="23"/>
        <v/>
      </c>
      <c r="S168" s="147" t="str">
        <f t="shared" si="24"/>
        <v/>
      </c>
      <c r="T168" s="147" t="str">
        <f t="shared" si="7"/>
        <v/>
      </c>
      <c r="U168" s="150" t="str">
        <f t="shared" si="8"/>
        <v/>
      </c>
      <c r="V168" s="151" t="str">
        <f>IFERROR(VLOOKUP(C168,Ativos!$A$1:$G2000,5,),)</f>
        <v/>
      </c>
    </row>
    <row r="169" ht="21.0" customHeight="1">
      <c r="A169" s="152"/>
      <c r="B169" s="160"/>
      <c r="C169" s="153"/>
      <c r="D169" s="154"/>
      <c r="E169" s="139"/>
      <c r="F169" s="139"/>
      <c r="G169" s="139"/>
      <c r="H169" s="135"/>
      <c r="I169" s="141"/>
      <c r="J169" s="147" t="str">
        <f>IFERROR(__xludf.DUMMYFUNCTION("IF(ISBLANK(A169),IFERROR(1/0),IF(COUNT(FILTER(F:F,A:A=A169))&gt;1,TRUNC(N169*F169/SUM(FILTER(N:N,A:A=A169)),3),F169))"),"")</f>
        <v/>
      </c>
      <c r="K169" s="147" t="str">
        <f>IFERROR(__xludf.DUMMYFUNCTION("IF(ISBLANK(A169),IFERROR(1/0),IF(COUNT(FILTER(G:G,((A:A=A169)*(B:B=""V""))))&gt;1,TRUNC(N169*G169/SUM(FILTER(N:N,((A:A=A169)*(B:B=""V"")))),3),G169))"),"")</f>
        <v/>
      </c>
      <c r="L169" s="148" t="str">
        <f>IFERROR(__xludf.DUMMYFUNCTION("if($C169="""","""",iferror(if(row()&lt;&gt;2,INDEX(arrayformula(filter($M$2:$M168,$C$2:$C168&lt;&gt;"""",row($C$2:$C168)=max(if($C$2:$C168=C169,row($C$2:$C168),0)))) ,1),0),0))"),"")</f>
        <v/>
      </c>
      <c r="M169" s="148" t="str">
        <f t="shared" si="1"/>
        <v/>
      </c>
      <c r="N169" s="147" t="str">
        <f t="shared" si="2"/>
        <v/>
      </c>
      <c r="O169" s="147" t="str">
        <f t="shared" si="21"/>
        <v/>
      </c>
      <c r="P169" s="147" t="str">
        <f>IFERROR(__xludf.DUMMYFUNCTION("if(C169="""","""",iferror(if(row()&lt;&gt;2,INDEX(arrayformula(filter($Q$2:$Q168,$C$2:$C168&lt;&gt;"""",row($C$2:$C168)=max(if($C$2:$C168=C169,row($C$2:$C168),0)))) ,1),0),0))"),"")</f>
        <v/>
      </c>
      <c r="Q169" s="147" t="str">
        <f t="shared" si="22"/>
        <v/>
      </c>
      <c r="R169" s="147" t="str">
        <f t="shared" si="23"/>
        <v/>
      </c>
      <c r="S169" s="147" t="str">
        <f t="shared" si="24"/>
        <v/>
      </c>
      <c r="T169" s="147" t="str">
        <f t="shared" si="7"/>
        <v/>
      </c>
      <c r="U169" s="150" t="str">
        <f t="shared" si="8"/>
        <v/>
      </c>
      <c r="V169" s="151" t="str">
        <f>IFERROR(VLOOKUP(C169,Ativos!$A$1:$G2000,5,),)</f>
        <v/>
      </c>
    </row>
    <row r="170" ht="21.0" customHeight="1">
      <c r="A170" s="152"/>
      <c r="B170" s="160"/>
      <c r="C170" s="153"/>
      <c r="D170" s="154"/>
      <c r="E170" s="139"/>
      <c r="F170" s="139"/>
      <c r="G170" s="139"/>
      <c r="H170" s="135"/>
      <c r="I170" s="141"/>
      <c r="J170" s="147" t="str">
        <f>IFERROR(__xludf.DUMMYFUNCTION("IF(ISBLANK(A170),IFERROR(1/0),IF(COUNT(FILTER(F:F,A:A=A170))&gt;1,TRUNC(N170*F170/SUM(FILTER(N:N,A:A=A170)),3),F170))"),"")</f>
        <v/>
      </c>
      <c r="K170" s="147" t="str">
        <f>IFERROR(__xludf.DUMMYFUNCTION("IF(ISBLANK(A170),IFERROR(1/0),IF(COUNT(FILTER(G:G,((A:A=A170)*(B:B=""V""))))&gt;1,TRUNC(N170*G170/SUM(FILTER(N:N,((A:A=A170)*(B:B=""V"")))),3),G170))"),"")</f>
        <v/>
      </c>
      <c r="L170" s="148" t="str">
        <f>IFERROR(__xludf.DUMMYFUNCTION("if($C170="""","""",iferror(if(row()&lt;&gt;2,INDEX(arrayformula(filter($M$2:$M169,$C$2:$C169&lt;&gt;"""",row($C$2:$C169)=max(if($C$2:$C169=C170,row($C$2:$C169),0)))) ,1),0),0))"),"")</f>
        <v/>
      </c>
      <c r="M170" s="148" t="str">
        <f t="shared" si="1"/>
        <v/>
      </c>
      <c r="N170" s="147" t="str">
        <f t="shared" si="2"/>
        <v/>
      </c>
      <c r="O170" s="147" t="str">
        <f t="shared" si="21"/>
        <v/>
      </c>
      <c r="P170" s="147" t="str">
        <f>IFERROR(__xludf.DUMMYFUNCTION("if(C170="""","""",iferror(if(row()&lt;&gt;2,INDEX(arrayformula(filter($Q$2:$Q169,$C$2:$C169&lt;&gt;"""",row($C$2:$C169)=max(if($C$2:$C169=C170,row($C$2:$C169),0)))) ,1),0),0))"),"")</f>
        <v/>
      </c>
      <c r="Q170" s="147" t="str">
        <f t="shared" si="22"/>
        <v/>
      </c>
      <c r="R170" s="147" t="str">
        <f t="shared" si="23"/>
        <v/>
      </c>
      <c r="S170" s="147" t="str">
        <f t="shared" si="24"/>
        <v/>
      </c>
      <c r="T170" s="147" t="str">
        <f t="shared" si="7"/>
        <v/>
      </c>
      <c r="U170" s="150" t="str">
        <f t="shared" si="8"/>
        <v/>
      </c>
      <c r="V170" s="151" t="str">
        <f>IFERROR(VLOOKUP(C170,Ativos!$A$1:$G2000,5,),)</f>
        <v/>
      </c>
    </row>
    <row r="171" ht="21.0" customHeight="1">
      <c r="A171" s="152"/>
      <c r="B171" s="160"/>
      <c r="C171" s="153"/>
      <c r="D171" s="154"/>
      <c r="E171" s="139"/>
      <c r="F171" s="139"/>
      <c r="G171" s="139"/>
      <c r="H171" s="135"/>
      <c r="I171" s="141"/>
      <c r="J171" s="147" t="str">
        <f>IFERROR(__xludf.DUMMYFUNCTION("IF(ISBLANK(A171),IFERROR(1/0),IF(COUNT(FILTER(F:F,A:A=A171))&gt;1,TRUNC(N171*F171/SUM(FILTER(N:N,A:A=A171)),3),F171))"),"")</f>
        <v/>
      </c>
      <c r="K171" s="147" t="str">
        <f>IFERROR(__xludf.DUMMYFUNCTION("IF(ISBLANK(A171),IFERROR(1/0),IF(COUNT(FILTER(G:G,((A:A=A171)*(B:B=""V""))))&gt;1,TRUNC(N171*G171/SUM(FILTER(N:N,((A:A=A171)*(B:B=""V"")))),3),G171))"),"")</f>
        <v/>
      </c>
      <c r="L171" s="148" t="str">
        <f>IFERROR(__xludf.DUMMYFUNCTION("if($C171="""","""",iferror(if(row()&lt;&gt;2,INDEX(arrayformula(filter($M$2:$M170,$C$2:$C170&lt;&gt;"""",row($C$2:$C170)=max(if($C$2:$C170=C171,row($C$2:$C170),0)))) ,1),0),0))"),"")</f>
        <v/>
      </c>
      <c r="M171" s="148" t="str">
        <f t="shared" si="1"/>
        <v/>
      </c>
      <c r="N171" s="147" t="str">
        <f t="shared" si="2"/>
        <v/>
      </c>
      <c r="O171" s="147" t="str">
        <f t="shared" si="21"/>
        <v/>
      </c>
      <c r="P171" s="147" t="str">
        <f>IFERROR(__xludf.DUMMYFUNCTION("if(C171="""","""",iferror(if(row()&lt;&gt;2,INDEX(arrayformula(filter($Q$2:$Q170,$C$2:$C170&lt;&gt;"""",row($C$2:$C170)=max(if($C$2:$C170=C171,row($C$2:$C170),0)))) ,1),0),0))"),"")</f>
        <v/>
      </c>
      <c r="Q171" s="147" t="str">
        <f t="shared" si="22"/>
        <v/>
      </c>
      <c r="R171" s="147" t="str">
        <f t="shared" si="23"/>
        <v/>
      </c>
      <c r="S171" s="147" t="str">
        <f t="shared" si="24"/>
        <v/>
      </c>
      <c r="T171" s="147" t="str">
        <f t="shared" si="7"/>
        <v/>
      </c>
      <c r="U171" s="150" t="str">
        <f t="shared" si="8"/>
        <v/>
      </c>
      <c r="V171" s="151" t="str">
        <f>IFERROR(VLOOKUP(C171,Ativos!$A$1:$G2000,5,),)</f>
        <v/>
      </c>
    </row>
    <row r="172" ht="21.0" customHeight="1">
      <c r="A172" s="152"/>
      <c r="B172" s="160"/>
      <c r="C172" s="153"/>
      <c r="D172" s="154"/>
      <c r="E172" s="139"/>
      <c r="F172" s="139"/>
      <c r="G172" s="139"/>
      <c r="H172" s="135"/>
      <c r="I172" s="141"/>
      <c r="J172" s="147" t="str">
        <f>IFERROR(__xludf.DUMMYFUNCTION("IF(ISBLANK(A172),IFERROR(1/0),IF(COUNT(FILTER(F:F,A:A=A172))&gt;1,TRUNC(N172*F172/SUM(FILTER(N:N,A:A=A172)),3),F172))"),"")</f>
        <v/>
      </c>
      <c r="K172" s="147" t="str">
        <f>IFERROR(__xludf.DUMMYFUNCTION("IF(ISBLANK(A172),IFERROR(1/0),IF(COUNT(FILTER(G:G,((A:A=A172)*(B:B=""V""))))&gt;1,TRUNC(N172*G172/SUM(FILTER(N:N,((A:A=A172)*(B:B=""V"")))),3),G172))"),"")</f>
        <v/>
      </c>
      <c r="L172" s="148" t="str">
        <f>IFERROR(__xludf.DUMMYFUNCTION("if($C172="""","""",iferror(if(row()&lt;&gt;2,INDEX(arrayformula(filter($M$2:$M171,$C$2:$C171&lt;&gt;"""",row($C$2:$C171)=max(if($C$2:$C171=C172,row($C$2:$C171),0)))) ,1),0),0))"),"")</f>
        <v/>
      </c>
      <c r="M172" s="148" t="str">
        <f t="shared" si="1"/>
        <v/>
      </c>
      <c r="N172" s="147" t="str">
        <f t="shared" si="2"/>
        <v/>
      </c>
      <c r="O172" s="147" t="str">
        <f t="shared" si="21"/>
        <v/>
      </c>
      <c r="P172" s="147" t="str">
        <f>IFERROR(__xludf.DUMMYFUNCTION("if(C172="""","""",iferror(if(row()&lt;&gt;2,INDEX(arrayformula(filter($Q$2:$Q171,$C$2:$C171&lt;&gt;"""",row($C$2:$C171)=max(if($C$2:$C171=C172,row($C$2:$C171),0)))) ,1),0),0))"),"")</f>
        <v/>
      </c>
      <c r="Q172" s="147" t="str">
        <f t="shared" si="22"/>
        <v/>
      </c>
      <c r="R172" s="147" t="str">
        <f t="shared" si="23"/>
        <v/>
      </c>
      <c r="S172" s="147" t="str">
        <f t="shared" si="24"/>
        <v/>
      </c>
      <c r="T172" s="147" t="str">
        <f t="shared" si="7"/>
        <v/>
      </c>
      <c r="U172" s="150" t="str">
        <f t="shared" si="8"/>
        <v/>
      </c>
      <c r="V172" s="151" t="str">
        <f>IFERROR(VLOOKUP(C172,Ativos!$A$1:$G2000,5,),)</f>
        <v/>
      </c>
    </row>
    <row r="173" ht="21.0" customHeight="1">
      <c r="A173" s="152"/>
      <c r="B173" s="160"/>
      <c r="C173" s="153"/>
      <c r="D173" s="154"/>
      <c r="E173" s="139"/>
      <c r="F173" s="139"/>
      <c r="G173" s="139"/>
      <c r="H173" s="135"/>
      <c r="I173" s="141"/>
      <c r="J173" s="147" t="str">
        <f>IFERROR(__xludf.DUMMYFUNCTION("IF(ISBLANK(A173),IFERROR(1/0),IF(COUNT(FILTER(F:F,A:A=A173))&gt;1,TRUNC(N173*F173/SUM(FILTER(N:N,A:A=A173)),3),F173))"),"")</f>
        <v/>
      </c>
      <c r="K173" s="147" t="str">
        <f>IFERROR(__xludf.DUMMYFUNCTION("IF(ISBLANK(A173),IFERROR(1/0),IF(COUNT(FILTER(G:G,((A:A=A173)*(B:B=""V""))))&gt;1,TRUNC(N173*G173/SUM(FILTER(N:N,((A:A=A173)*(B:B=""V"")))),3),G173))"),"")</f>
        <v/>
      </c>
      <c r="L173" s="148" t="str">
        <f>IFERROR(__xludf.DUMMYFUNCTION("if($C173="""","""",iferror(if(row()&lt;&gt;2,INDEX(arrayformula(filter($M$2:$M172,$C$2:$C172&lt;&gt;"""",row($C$2:$C172)=max(if($C$2:$C172=C173,row($C$2:$C172),0)))) ,1),0),0))"),"")</f>
        <v/>
      </c>
      <c r="M173" s="148" t="str">
        <f t="shared" si="1"/>
        <v/>
      </c>
      <c r="N173" s="147" t="str">
        <f t="shared" si="2"/>
        <v/>
      </c>
      <c r="O173" s="147" t="str">
        <f t="shared" si="21"/>
        <v/>
      </c>
      <c r="P173" s="147" t="str">
        <f>IFERROR(__xludf.DUMMYFUNCTION("if(C173="""","""",iferror(if(row()&lt;&gt;2,INDEX(arrayformula(filter($Q$2:$Q172,$C$2:$C172&lt;&gt;"""",row($C$2:$C172)=max(if($C$2:$C172=C173,row($C$2:$C172),0)))) ,1),0),0))"),"")</f>
        <v/>
      </c>
      <c r="Q173" s="147" t="str">
        <f t="shared" si="22"/>
        <v/>
      </c>
      <c r="R173" s="147" t="str">
        <f t="shared" si="23"/>
        <v/>
      </c>
      <c r="S173" s="147" t="str">
        <f t="shared" si="24"/>
        <v/>
      </c>
      <c r="T173" s="147" t="str">
        <f t="shared" si="7"/>
        <v/>
      </c>
      <c r="U173" s="150" t="str">
        <f t="shared" si="8"/>
        <v/>
      </c>
      <c r="V173" s="151" t="str">
        <f>IFERROR(VLOOKUP(C173,Ativos!$A$1:$G2000,5,),)</f>
        <v/>
      </c>
    </row>
    <row r="174" ht="21.0" customHeight="1">
      <c r="A174" s="152"/>
      <c r="B174" s="160"/>
      <c r="C174" s="153"/>
      <c r="D174" s="154"/>
      <c r="E174" s="139"/>
      <c r="F174" s="139"/>
      <c r="G174" s="139"/>
      <c r="H174" s="135"/>
      <c r="I174" s="141"/>
      <c r="J174" s="147" t="str">
        <f>IFERROR(__xludf.DUMMYFUNCTION("IF(ISBLANK(A174),IFERROR(1/0),IF(COUNT(FILTER(F:F,A:A=A174))&gt;1,TRUNC(N174*F174/SUM(FILTER(N:N,A:A=A174)),3),F174))"),"")</f>
        <v/>
      </c>
      <c r="K174" s="147" t="str">
        <f>IFERROR(__xludf.DUMMYFUNCTION("IF(ISBLANK(A174),IFERROR(1/0),IF(COUNT(FILTER(G:G,((A:A=A174)*(B:B=""V""))))&gt;1,TRUNC(N174*G174/SUM(FILTER(N:N,((A:A=A174)*(B:B=""V"")))),3),G174))"),"")</f>
        <v/>
      </c>
      <c r="L174" s="148" t="str">
        <f>IFERROR(__xludf.DUMMYFUNCTION("if($C174="""","""",iferror(if(row()&lt;&gt;2,INDEX(arrayformula(filter($M$2:$M173,$C$2:$C173&lt;&gt;"""",row($C$2:$C173)=max(if($C$2:$C173=C174,row($C$2:$C173),0)))) ,1),0),0))"),"")</f>
        <v/>
      </c>
      <c r="M174" s="148" t="str">
        <f t="shared" si="1"/>
        <v/>
      </c>
      <c r="N174" s="147" t="str">
        <f t="shared" si="2"/>
        <v/>
      </c>
      <c r="O174" s="147" t="str">
        <f t="shared" si="21"/>
        <v/>
      </c>
      <c r="P174" s="147" t="str">
        <f>IFERROR(__xludf.DUMMYFUNCTION("if(C174="""","""",iferror(if(row()&lt;&gt;2,INDEX(arrayformula(filter($Q$2:$Q173,$C$2:$C173&lt;&gt;"""",row($C$2:$C173)=max(if($C$2:$C173=C174,row($C$2:$C173),0)))) ,1),0),0))"),"")</f>
        <v/>
      </c>
      <c r="Q174" s="147" t="str">
        <f t="shared" si="22"/>
        <v/>
      </c>
      <c r="R174" s="147" t="str">
        <f t="shared" si="23"/>
        <v/>
      </c>
      <c r="S174" s="147" t="str">
        <f t="shared" si="24"/>
        <v/>
      </c>
      <c r="T174" s="147" t="str">
        <f t="shared" si="7"/>
        <v/>
      </c>
      <c r="U174" s="150" t="str">
        <f t="shared" si="8"/>
        <v/>
      </c>
      <c r="V174" s="151" t="str">
        <f>IFERROR(VLOOKUP(C174,Ativos!$A$1:$G2000,5,),)</f>
        <v/>
      </c>
    </row>
    <row r="175" ht="21.0" customHeight="1">
      <c r="A175" s="152"/>
      <c r="B175" s="160"/>
      <c r="C175" s="153"/>
      <c r="D175" s="154"/>
      <c r="E175" s="139"/>
      <c r="F175" s="139"/>
      <c r="G175" s="139"/>
      <c r="H175" s="135"/>
      <c r="I175" s="141"/>
      <c r="J175" s="147" t="str">
        <f>IFERROR(__xludf.DUMMYFUNCTION("IF(ISBLANK(A175),IFERROR(1/0),IF(COUNT(FILTER(F:F,A:A=A175))&gt;1,TRUNC(N175*F175/SUM(FILTER(N:N,A:A=A175)),3),F175))"),"")</f>
        <v/>
      </c>
      <c r="K175" s="147" t="str">
        <f>IFERROR(__xludf.DUMMYFUNCTION("IF(ISBLANK(A175),IFERROR(1/0),IF(COUNT(FILTER(G:G,((A:A=A175)*(B:B=""V""))))&gt;1,TRUNC(N175*G175/SUM(FILTER(N:N,((A:A=A175)*(B:B=""V"")))),3),G175))"),"")</f>
        <v/>
      </c>
      <c r="L175" s="148" t="str">
        <f>IFERROR(__xludf.DUMMYFUNCTION("if($C175="""","""",iferror(if(row()&lt;&gt;2,INDEX(arrayformula(filter($M$2:$M174,$C$2:$C174&lt;&gt;"""",row($C$2:$C174)=max(if($C$2:$C174=C175,row($C$2:$C174),0)))) ,1),0),0))"),"")</f>
        <v/>
      </c>
      <c r="M175" s="148" t="str">
        <f t="shared" si="1"/>
        <v/>
      </c>
      <c r="N175" s="147" t="str">
        <f t="shared" si="2"/>
        <v/>
      </c>
      <c r="O175" s="147" t="str">
        <f t="shared" si="21"/>
        <v/>
      </c>
      <c r="P175" s="147" t="str">
        <f>IFERROR(__xludf.DUMMYFUNCTION("if(C175="""","""",iferror(if(row()&lt;&gt;2,INDEX(arrayformula(filter($Q$2:$Q174,$C$2:$C174&lt;&gt;"""",row($C$2:$C174)=max(if($C$2:$C174=C175,row($C$2:$C174),0)))) ,1),0),0))"),"")</f>
        <v/>
      </c>
      <c r="Q175" s="147" t="str">
        <f t="shared" si="22"/>
        <v/>
      </c>
      <c r="R175" s="147" t="str">
        <f t="shared" si="23"/>
        <v/>
      </c>
      <c r="S175" s="147" t="str">
        <f t="shared" si="24"/>
        <v/>
      </c>
      <c r="T175" s="147" t="str">
        <f t="shared" si="7"/>
        <v/>
      </c>
      <c r="U175" s="150" t="str">
        <f t="shared" si="8"/>
        <v/>
      </c>
      <c r="V175" s="151" t="str">
        <f>IFERROR(VLOOKUP(C175,Ativos!$A$1:$G2000,5,),)</f>
        <v/>
      </c>
    </row>
    <row r="176" ht="21.0" customHeight="1">
      <c r="A176" s="152"/>
      <c r="B176" s="160"/>
      <c r="C176" s="153"/>
      <c r="D176" s="154"/>
      <c r="E176" s="139"/>
      <c r="F176" s="139"/>
      <c r="G176" s="139"/>
      <c r="H176" s="135"/>
      <c r="I176" s="141"/>
      <c r="J176" s="147" t="str">
        <f>IFERROR(__xludf.DUMMYFUNCTION("IF(ISBLANK(A176),IFERROR(1/0),IF(COUNT(FILTER(F:F,A:A=A176))&gt;1,TRUNC(N176*F176/SUM(FILTER(N:N,A:A=A176)),3),F176))"),"")</f>
        <v/>
      </c>
      <c r="K176" s="147" t="str">
        <f>IFERROR(__xludf.DUMMYFUNCTION("IF(ISBLANK(A176),IFERROR(1/0),IF(COUNT(FILTER(G:G,((A:A=A176)*(B:B=""V""))))&gt;1,TRUNC(N176*G176/SUM(FILTER(N:N,((A:A=A176)*(B:B=""V"")))),3),G176))"),"")</f>
        <v/>
      </c>
      <c r="L176" s="148" t="str">
        <f>IFERROR(__xludf.DUMMYFUNCTION("if($C176="""","""",iferror(if(row()&lt;&gt;2,INDEX(arrayformula(filter($M$2:$M175,$C$2:$C175&lt;&gt;"""",row($C$2:$C175)=max(if($C$2:$C175=C176,row($C$2:$C175),0)))) ,1),0),0))"),"")</f>
        <v/>
      </c>
      <c r="M176" s="148" t="str">
        <f t="shared" si="1"/>
        <v/>
      </c>
      <c r="N176" s="147" t="str">
        <f t="shared" si="2"/>
        <v/>
      </c>
      <c r="O176" s="147" t="str">
        <f t="shared" si="21"/>
        <v/>
      </c>
      <c r="P176" s="147" t="str">
        <f>IFERROR(__xludf.DUMMYFUNCTION("if(C176="""","""",iferror(if(row()&lt;&gt;2,INDEX(arrayformula(filter($Q$2:$Q175,$C$2:$C175&lt;&gt;"""",row($C$2:$C175)=max(if($C$2:$C175=C176,row($C$2:$C175),0)))) ,1),0),0))"),"")</f>
        <v/>
      </c>
      <c r="Q176" s="147" t="str">
        <f t="shared" si="22"/>
        <v/>
      </c>
      <c r="R176" s="147" t="str">
        <f t="shared" si="23"/>
        <v/>
      </c>
      <c r="S176" s="147" t="str">
        <f t="shared" si="24"/>
        <v/>
      </c>
      <c r="T176" s="147" t="str">
        <f t="shared" si="7"/>
        <v/>
      </c>
      <c r="U176" s="150" t="str">
        <f t="shared" si="8"/>
        <v/>
      </c>
      <c r="V176" s="151" t="str">
        <f>IFERROR(VLOOKUP(C176,Ativos!$A$1:$G2000,5,),)</f>
        <v/>
      </c>
    </row>
    <row r="177" ht="21.0" customHeight="1">
      <c r="A177" s="152"/>
      <c r="B177" s="160"/>
      <c r="C177" s="153"/>
      <c r="D177" s="154"/>
      <c r="E177" s="139"/>
      <c r="F177" s="139"/>
      <c r="G177" s="139"/>
      <c r="H177" s="135"/>
      <c r="I177" s="141"/>
      <c r="J177" s="147" t="str">
        <f>IFERROR(__xludf.DUMMYFUNCTION("IF(ISBLANK(A177),IFERROR(1/0),IF(COUNT(FILTER(F:F,A:A=A177))&gt;1,TRUNC(N177*F177/SUM(FILTER(N:N,A:A=A177)),3),F177))"),"")</f>
        <v/>
      </c>
      <c r="K177" s="147" t="str">
        <f>IFERROR(__xludf.DUMMYFUNCTION("IF(ISBLANK(A177),IFERROR(1/0),IF(COUNT(FILTER(G:G,((A:A=A177)*(B:B=""V""))))&gt;1,TRUNC(N177*G177/SUM(FILTER(N:N,((A:A=A177)*(B:B=""V"")))),3),G177))"),"")</f>
        <v/>
      </c>
      <c r="L177" s="148" t="str">
        <f>IFERROR(__xludf.DUMMYFUNCTION("if($C177="""","""",iferror(if(row()&lt;&gt;2,INDEX(arrayformula(filter($M$2:$M176,$C$2:$C176&lt;&gt;"""",row($C$2:$C176)=max(if($C$2:$C176=C177,row($C$2:$C176),0)))) ,1),0),0))"),"")</f>
        <v/>
      </c>
      <c r="M177" s="148" t="str">
        <f t="shared" si="1"/>
        <v/>
      </c>
      <c r="N177" s="147" t="str">
        <f t="shared" si="2"/>
        <v/>
      </c>
      <c r="O177" s="147" t="str">
        <f t="shared" si="21"/>
        <v/>
      </c>
      <c r="P177" s="147" t="str">
        <f>IFERROR(__xludf.DUMMYFUNCTION("if(C177="""","""",iferror(if(row()&lt;&gt;2,INDEX(arrayformula(filter($Q$2:$Q176,$C$2:$C176&lt;&gt;"""",row($C$2:$C176)=max(if($C$2:$C176=C177,row($C$2:$C176),0)))) ,1),0),0))"),"")</f>
        <v/>
      </c>
      <c r="Q177" s="147" t="str">
        <f t="shared" si="22"/>
        <v/>
      </c>
      <c r="R177" s="147" t="str">
        <f t="shared" si="23"/>
        <v/>
      </c>
      <c r="S177" s="147" t="str">
        <f t="shared" si="24"/>
        <v/>
      </c>
      <c r="T177" s="147" t="str">
        <f t="shared" si="7"/>
        <v/>
      </c>
      <c r="U177" s="150" t="str">
        <f t="shared" si="8"/>
        <v/>
      </c>
      <c r="V177" s="151" t="str">
        <f>IFERROR(VLOOKUP(C177,Ativos!$A$1:$G2000,5,),)</f>
        <v/>
      </c>
    </row>
    <row r="178" ht="21.0" customHeight="1">
      <c r="A178" s="152"/>
      <c r="B178" s="160"/>
      <c r="C178" s="153"/>
      <c r="D178" s="154"/>
      <c r="E178" s="139"/>
      <c r="F178" s="139"/>
      <c r="G178" s="139"/>
      <c r="H178" s="135"/>
      <c r="I178" s="141"/>
      <c r="J178" s="147" t="str">
        <f>IFERROR(__xludf.DUMMYFUNCTION("IF(ISBLANK(A178),IFERROR(1/0),IF(COUNT(FILTER(F:F,A:A=A178))&gt;1,TRUNC(N178*F178/SUM(FILTER(N:N,A:A=A178)),3),F178))"),"")</f>
        <v/>
      </c>
      <c r="K178" s="147" t="str">
        <f>IFERROR(__xludf.DUMMYFUNCTION("IF(ISBLANK(A178),IFERROR(1/0),IF(COUNT(FILTER(G:G,((A:A=A178)*(B:B=""V""))))&gt;1,TRUNC(N178*G178/SUM(FILTER(N:N,((A:A=A178)*(B:B=""V"")))),3),G178))"),"")</f>
        <v/>
      </c>
      <c r="L178" s="148" t="str">
        <f>IFERROR(__xludf.DUMMYFUNCTION("if($C178="""","""",iferror(if(row()&lt;&gt;2,INDEX(arrayformula(filter($M$2:$M177,$C$2:$C177&lt;&gt;"""",row($C$2:$C177)=max(if($C$2:$C177=C178,row($C$2:$C177),0)))) ,1),0),0))"),"")</f>
        <v/>
      </c>
      <c r="M178" s="148" t="str">
        <f t="shared" si="1"/>
        <v/>
      </c>
      <c r="N178" s="147" t="str">
        <f t="shared" si="2"/>
        <v/>
      </c>
      <c r="O178" s="147" t="str">
        <f t="shared" si="21"/>
        <v/>
      </c>
      <c r="P178" s="147" t="str">
        <f>IFERROR(__xludf.DUMMYFUNCTION("if(C178="""","""",iferror(if(row()&lt;&gt;2,INDEX(arrayformula(filter($Q$2:$Q177,$C$2:$C177&lt;&gt;"""",row($C$2:$C177)=max(if($C$2:$C177=C178,row($C$2:$C177),0)))) ,1),0),0))"),"")</f>
        <v/>
      </c>
      <c r="Q178" s="147" t="str">
        <f t="shared" si="22"/>
        <v/>
      </c>
      <c r="R178" s="147" t="str">
        <f t="shared" si="23"/>
        <v/>
      </c>
      <c r="S178" s="147" t="str">
        <f t="shared" si="24"/>
        <v/>
      </c>
      <c r="T178" s="147" t="str">
        <f t="shared" si="7"/>
        <v/>
      </c>
      <c r="U178" s="150" t="str">
        <f t="shared" si="8"/>
        <v/>
      </c>
      <c r="V178" s="151" t="str">
        <f>IFERROR(VLOOKUP(C178,Ativos!$A$1:$G2000,5,),)</f>
        <v/>
      </c>
    </row>
    <row r="179" ht="21.0" customHeight="1">
      <c r="A179" s="152"/>
      <c r="B179" s="160"/>
      <c r="C179" s="153"/>
      <c r="D179" s="154"/>
      <c r="E179" s="139"/>
      <c r="F179" s="139"/>
      <c r="G179" s="139"/>
      <c r="H179" s="135"/>
      <c r="I179" s="141"/>
      <c r="J179" s="147" t="str">
        <f>IFERROR(__xludf.DUMMYFUNCTION("IF(ISBLANK(A179),IFERROR(1/0),IF(COUNT(FILTER(F:F,A:A=A179))&gt;1,TRUNC(N179*F179/SUM(FILTER(N:N,A:A=A179)),3),F179))"),"")</f>
        <v/>
      </c>
      <c r="K179" s="147" t="str">
        <f>IFERROR(__xludf.DUMMYFUNCTION("IF(ISBLANK(A179),IFERROR(1/0),IF(COUNT(FILTER(G:G,((A:A=A179)*(B:B=""V""))))&gt;1,TRUNC(N179*G179/SUM(FILTER(N:N,((A:A=A179)*(B:B=""V"")))),3),G179))"),"")</f>
        <v/>
      </c>
      <c r="L179" s="148" t="str">
        <f>IFERROR(__xludf.DUMMYFUNCTION("if($C179="""","""",iferror(if(row()&lt;&gt;2,INDEX(arrayformula(filter($M$2:$M178,$C$2:$C178&lt;&gt;"""",row($C$2:$C178)=max(if($C$2:$C178=C179,row($C$2:$C178),0)))) ,1),0),0))"),"")</f>
        <v/>
      </c>
      <c r="M179" s="148" t="str">
        <f t="shared" si="1"/>
        <v/>
      </c>
      <c r="N179" s="147" t="str">
        <f t="shared" si="2"/>
        <v/>
      </c>
      <c r="O179" s="147" t="str">
        <f t="shared" si="21"/>
        <v/>
      </c>
      <c r="P179" s="147" t="str">
        <f>IFERROR(__xludf.DUMMYFUNCTION("if(C179="""","""",iferror(if(row()&lt;&gt;2,INDEX(arrayformula(filter($Q$2:$Q178,$C$2:$C178&lt;&gt;"""",row($C$2:$C178)=max(if($C$2:$C178=C179,row($C$2:$C178),0)))) ,1),0),0))"),"")</f>
        <v/>
      </c>
      <c r="Q179" s="147" t="str">
        <f t="shared" si="22"/>
        <v/>
      </c>
      <c r="R179" s="147" t="str">
        <f t="shared" si="23"/>
        <v/>
      </c>
      <c r="S179" s="147" t="str">
        <f t="shared" si="24"/>
        <v/>
      </c>
      <c r="T179" s="147" t="str">
        <f t="shared" si="7"/>
        <v/>
      </c>
      <c r="U179" s="150" t="str">
        <f t="shared" si="8"/>
        <v/>
      </c>
      <c r="V179" s="151" t="str">
        <f>IFERROR(VLOOKUP(C179,Ativos!$A$1:$G2000,5,),)</f>
        <v/>
      </c>
    </row>
    <row r="180" ht="21.0" customHeight="1">
      <c r="A180" s="152"/>
      <c r="B180" s="160"/>
      <c r="C180" s="153"/>
      <c r="D180" s="154"/>
      <c r="E180" s="139"/>
      <c r="F180" s="139"/>
      <c r="G180" s="139"/>
      <c r="H180" s="135"/>
      <c r="I180" s="141"/>
      <c r="J180" s="147" t="str">
        <f>IFERROR(__xludf.DUMMYFUNCTION("IF(ISBLANK(A180),IFERROR(1/0),IF(COUNT(FILTER(F:F,A:A=A180))&gt;1,TRUNC(N180*F180/SUM(FILTER(N:N,A:A=A180)),3),F180))"),"")</f>
        <v/>
      </c>
      <c r="K180" s="147" t="str">
        <f>IFERROR(__xludf.DUMMYFUNCTION("IF(ISBLANK(A180),IFERROR(1/0),IF(COUNT(FILTER(G:G,((A:A=A180)*(B:B=""V""))))&gt;1,TRUNC(N180*G180/SUM(FILTER(N:N,((A:A=A180)*(B:B=""V"")))),3),G180))"),"")</f>
        <v/>
      </c>
      <c r="L180" s="148" t="str">
        <f>IFERROR(__xludf.DUMMYFUNCTION("if($C180="""","""",iferror(if(row()&lt;&gt;2,INDEX(arrayformula(filter($M$2:$M179,$C$2:$C179&lt;&gt;"""",row($C$2:$C179)=max(if($C$2:$C179=C180,row($C$2:$C179),0)))) ,1),0),0))"),"")</f>
        <v/>
      </c>
      <c r="M180" s="148" t="str">
        <f t="shared" si="1"/>
        <v/>
      </c>
      <c r="N180" s="147" t="str">
        <f t="shared" si="2"/>
        <v/>
      </c>
      <c r="O180" s="147" t="str">
        <f t="shared" si="21"/>
        <v/>
      </c>
      <c r="P180" s="147" t="str">
        <f>IFERROR(__xludf.DUMMYFUNCTION("if(C180="""","""",iferror(if(row()&lt;&gt;2,INDEX(arrayformula(filter($Q$2:$Q179,$C$2:$C179&lt;&gt;"""",row($C$2:$C179)=max(if($C$2:$C179=C180,row($C$2:$C179),0)))) ,1),0),0))"),"")</f>
        <v/>
      </c>
      <c r="Q180" s="147" t="str">
        <f t="shared" si="22"/>
        <v/>
      </c>
      <c r="R180" s="147" t="str">
        <f t="shared" si="23"/>
        <v/>
      </c>
      <c r="S180" s="147" t="str">
        <f t="shared" si="24"/>
        <v/>
      </c>
      <c r="T180" s="147" t="str">
        <f t="shared" si="7"/>
        <v/>
      </c>
      <c r="U180" s="150" t="str">
        <f t="shared" si="8"/>
        <v/>
      </c>
      <c r="V180" s="151" t="str">
        <f>IFERROR(VLOOKUP(C180,Ativos!$A$1:$G2000,5,),)</f>
        <v/>
      </c>
    </row>
    <row r="181" ht="21.0" customHeight="1">
      <c r="A181" s="152"/>
      <c r="B181" s="160"/>
      <c r="C181" s="153"/>
      <c r="D181" s="154"/>
      <c r="E181" s="139"/>
      <c r="F181" s="139"/>
      <c r="G181" s="139"/>
      <c r="H181" s="135"/>
      <c r="I181" s="141"/>
      <c r="J181" s="147" t="str">
        <f>IFERROR(__xludf.DUMMYFUNCTION("IF(ISBLANK(A181),IFERROR(1/0),IF(COUNT(FILTER(F:F,A:A=A181))&gt;1,TRUNC(N181*F181/SUM(FILTER(N:N,A:A=A181)),3),F181))"),"")</f>
        <v/>
      </c>
      <c r="K181" s="147" t="str">
        <f>IFERROR(__xludf.DUMMYFUNCTION("IF(ISBLANK(A181),IFERROR(1/0),IF(COUNT(FILTER(G:G,((A:A=A181)*(B:B=""V""))))&gt;1,TRUNC(N181*G181/SUM(FILTER(N:N,((A:A=A181)*(B:B=""V"")))),3),G181))"),"")</f>
        <v/>
      </c>
      <c r="L181" s="148" t="str">
        <f>IFERROR(__xludf.DUMMYFUNCTION("if($C181="""","""",iferror(if(row()&lt;&gt;2,INDEX(arrayformula(filter($M$2:$M180,$C$2:$C180&lt;&gt;"""",row($C$2:$C180)=max(if($C$2:$C180=C181,row($C$2:$C180),0)))) ,1),0),0))"),"")</f>
        <v/>
      </c>
      <c r="M181" s="148" t="str">
        <f t="shared" si="1"/>
        <v/>
      </c>
      <c r="N181" s="147" t="str">
        <f t="shared" si="2"/>
        <v/>
      </c>
      <c r="O181" s="147" t="str">
        <f t="shared" si="21"/>
        <v/>
      </c>
      <c r="P181" s="147" t="str">
        <f>IFERROR(__xludf.DUMMYFUNCTION("if(C181="""","""",iferror(if(row()&lt;&gt;2,INDEX(arrayformula(filter($Q$2:$Q180,$C$2:$C180&lt;&gt;"""",row($C$2:$C180)=max(if($C$2:$C180=C181,row($C$2:$C180),0)))) ,1),0),0))"),"")</f>
        <v/>
      </c>
      <c r="Q181" s="147" t="str">
        <f t="shared" si="22"/>
        <v/>
      </c>
      <c r="R181" s="147" t="str">
        <f t="shared" si="23"/>
        <v/>
      </c>
      <c r="S181" s="147" t="str">
        <f t="shared" si="24"/>
        <v/>
      </c>
      <c r="T181" s="147" t="str">
        <f t="shared" si="7"/>
        <v/>
      </c>
      <c r="U181" s="150" t="str">
        <f t="shared" si="8"/>
        <v/>
      </c>
      <c r="V181" s="151" t="str">
        <f>IFERROR(VLOOKUP(C181,Ativos!$A$1:$G2000,5,),)</f>
        <v/>
      </c>
    </row>
    <row r="182" ht="21.0" customHeight="1">
      <c r="A182" s="152"/>
      <c r="B182" s="160"/>
      <c r="C182" s="153"/>
      <c r="D182" s="154"/>
      <c r="E182" s="139"/>
      <c r="F182" s="139"/>
      <c r="G182" s="139"/>
      <c r="H182" s="135"/>
      <c r="I182" s="141"/>
      <c r="J182" s="147" t="str">
        <f>IFERROR(__xludf.DUMMYFUNCTION("IF(ISBLANK(A182),IFERROR(1/0),IF(COUNT(FILTER(F:F,A:A=A182))&gt;1,TRUNC(N182*F182/SUM(FILTER(N:N,A:A=A182)),3),F182))"),"")</f>
        <v/>
      </c>
      <c r="K182" s="147" t="str">
        <f>IFERROR(__xludf.DUMMYFUNCTION("IF(ISBLANK(A182),IFERROR(1/0),IF(COUNT(FILTER(G:G,((A:A=A182)*(B:B=""V""))))&gt;1,TRUNC(N182*G182/SUM(FILTER(N:N,((A:A=A182)*(B:B=""V"")))),3),G182))"),"")</f>
        <v/>
      </c>
      <c r="L182" s="148" t="str">
        <f>IFERROR(__xludf.DUMMYFUNCTION("if($C182="""","""",iferror(if(row()&lt;&gt;2,INDEX(arrayformula(filter($M$2:$M181,$C$2:$C181&lt;&gt;"""",row($C$2:$C181)=max(if($C$2:$C181=C182,row($C$2:$C181),0)))) ,1),0),0))"),"")</f>
        <v/>
      </c>
      <c r="M182" s="148" t="str">
        <f t="shared" si="1"/>
        <v/>
      </c>
      <c r="N182" s="147" t="str">
        <f t="shared" si="2"/>
        <v/>
      </c>
      <c r="O182" s="147" t="str">
        <f t="shared" si="21"/>
        <v/>
      </c>
      <c r="P182" s="147" t="str">
        <f>IFERROR(__xludf.DUMMYFUNCTION("if(C182="""","""",iferror(if(row()&lt;&gt;2,INDEX(arrayformula(filter($Q$2:$Q181,$C$2:$C181&lt;&gt;"""",row($C$2:$C181)=max(if($C$2:$C181=C182,row($C$2:$C181),0)))) ,1),0),0))"),"")</f>
        <v/>
      </c>
      <c r="Q182" s="147" t="str">
        <f t="shared" si="22"/>
        <v/>
      </c>
      <c r="R182" s="147" t="str">
        <f t="shared" si="23"/>
        <v/>
      </c>
      <c r="S182" s="147" t="str">
        <f t="shared" si="24"/>
        <v/>
      </c>
      <c r="T182" s="147" t="str">
        <f t="shared" si="7"/>
        <v/>
      </c>
      <c r="U182" s="150" t="str">
        <f t="shared" si="8"/>
        <v/>
      </c>
      <c r="V182" s="151" t="str">
        <f>IFERROR(VLOOKUP(C182,Ativos!$A$1:$G2000,5,),)</f>
        <v/>
      </c>
    </row>
    <row r="183" ht="21.0" customHeight="1">
      <c r="A183" s="152"/>
      <c r="B183" s="160"/>
      <c r="C183" s="153"/>
      <c r="D183" s="154"/>
      <c r="E183" s="139"/>
      <c r="F183" s="139"/>
      <c r="G183" s="139"/>
      <c r="H183" s="135"/>
      <c r="I183" s="141"/>
      <c r="J183" s="147" t="str">
        <f>IFERROR(__xludf.DUMMYFUNCTION("IF(ISBLANK(A183),IFERROR(1/0),IF(COUNT(FILTER(F:F,A:A=A183))&gt;1,TRUNC(N183*F183/SUM(FILTER(N:N,A:A=A183)),3),F183))"),"")</f>
        <v/>
      </c>
      <c r="K183" s="147" t="str">
        <f>IFERROR(__xludf.DUMMYFUNCTION("IF(ISBLANK(A183),IFERROR(1/0),IF(COUNT(FILTER(G:G,((A:A=A183)*(B:B=""V""))))&gt;1,TRUNC(N183*G183/SUM(FILTER(N:N,((A:A=A183)*(B:B=""V"")))),3),G183))"),"")</f>
        <v/>
      </c>
      <c r="L183" s="148" t="str">
        <f>IFERROR(__xludf.DUMMYFUNCTION("if($C183="""","""",iferror(if(row()&lt;&gt;2,INDEX(arrayformula(filter($M$2:$M182,$C$2:$C182&lt;&gt;"""",row($C$2:$C182)=max(if($C$2:$C182=C183,row($C$2:$C182),0)))) ,1),0),0))"),"")</f>
        <v/>
      </c>
      <c r="M183" s="148" t="str">
        <f t="shared" si="1"/>
        <v/>
      </c>
      <c r="N183" s="147" t="str">
        <f t="shared" si="2"/>
        <v/>
      </c>
      <c r="O183" s="147" t="str">
        <f t="shared" si="21"/>
        <v/>
      </c>
      <c r="P183" s="147" t="str">
        <f>IFERROR(__xludf.DUMMYFUNCTION("if(C183="""","""",iferror(if(row()&lt;&gt;2,INDEX(arrayformula(filter($Q$2:$Q182,$C$2:$C182&lt;&gt;"""",row($C$2:$C182)=max(if($C$2:$C182=C183,row($C$2:$C182),0)))) ,1),0),0))"),"")</f>
        <v/>
      </c>
      <c r="Q183" s="147" t="str">
        <f t="shared" si="22"/>
        <v/>
      </c>
      <c r="R183" s="147" t="str">
        <f t="shared" si="23"/>
        <v/>
      </c>
      <c r="S183" s="147" t="str">
        <f t="shared" si="24"/>
        <v/>
      </c>
      <c r="T183" s="147" t="str">
        <f t="shared" si="7"/>
        <v/>
      </c>
      <c r="U183" s="150" t="str">
        <f t="shared" si="8"/>
        <v/>
      </c>
      <c r="V183" s="151" t="str">
        <f>IFERROR(VLOOKUP(C183,Ativos!$A$1:$G2000,5,),)</f>
        <v/>
      </c>
    </row>
    <row r="184" ht="21.0" customHeight="1">
      <c r="A184" s="152"/>
      <c r="B184" s="160"/>
      <c r="C184" s="153"/>
      <c r="D184" s="154"/>
      <c r="E184" s="139"/>
      <c r="F184" s="139"/>
      <c r="G184" s="139"/>
      <c r="H184" s="135"/>
      <c r="I184" s="141"/>
      <c r="J184" s="147" t="str">
        <f>IFERROR(__xludf.DUMMYFUNCTION("IF(ISBLANK(A184),IFERROR(1/0),IF(COUNT(FILTER(F:F,A:A=A184))&gt;1,TRUNC(N184*F184/SUM(FILTER(N:N,A:A=A184)),3),F184))"),"")</f>
        <v/>
      </c>
      <c r="K184" s="147" t="str">
        <f>IFERROR(__xludf.DUMMYFUNCTION("IF(ISBLANK(A184),IFERROR(1/0),IF(COUNT(FILTER(G:G,((A:A=A184)*(B:B=""V""))))&gt;1,TRUNC(N184*G184/SUM(FILTER(N:N,((A:A=A184)*(B:B=""V"")))),3),G184))"),"")</f>
        <v/>
      </c>
      <c r="L184" s="148" t="str">
        <f>IFERROR(__xludf.DUMMYFUNCTION("if($C184="""","""",iferror(if(row()&lt;&gt;2,INDEX(arrayformula(filter($M$2:$M183,$C$2:$C183&lt;&gt;"""",row($C$2:$C183)=max(if($C$2:$C183=C184,row($C$2:$C183),0)))) ,1),0),0))"),"")</f>
        <v/>
      </c>
      <c r="M184" s="148" t="str">
        <f t="shared" si="1"/>
        <v/>
      </c>
      <c r="N184" s="147" t="str">
        <f t="shared" si="2"/>
        <v/>
      </c>
      <c r="O184" s="147" t="str">
        <f t="shared" si="21"/>
        <v/>
      </c>
      <c r="P184" s="147" t="str">
        <f>IFERROR(__xludf.DUMMYFUNCTION("if(C184="""","""",iferror(if(row()&lt;&gt;2,INDEX(arrayformula(filter($Q$2:$Q183,$C$2:$C183&lt;&gt;"""",row($C$2:$C183)=max(if($C$2:$C183=C184,row($C$2:$C183),0)))) ,1),0),0))"),"")</f>
        <v/>
      </c>
      <c r="Q184" s="147" t="str">
        <f t="shared" si="22"/>
        <v/>
      </c>
      <c r="R184" s="147" t="str">
        <f t="shared" si="23"/>
        <v/>
      </c>
      <c r="S184" s="147" t="str">
        <f t="shared" si="24"/>
        <v/>
      </c>
      <c r="T184" s="147" t="str">
        <f t="shared" si="7"/>
        <v/>
      </c>
      <c r="U184" s="150" t="str">
        <f t="shared" si="8"/>
        <v/>
      </c>
      <c r="V184" s="151" t="str">
        <f>IFERROR(VLOOKUP(C184,Ativos!$A$1:$G2000,5,),)</f>
        <v/>
      </c>
    </row>
    <row r="185" ht="21.0" customHeight="1">
      <c r="A185" s="152"/>
      <c r="B185" s="160"/>
      <c r="C185" s="153"/>
      <c r="D185" s="154"/>
      <c r="E185" s="139"/>
      <c r="F185" s="139"/>
      <c r="G185" s="139"/>
      <c r="H185" s="135"/>
      <c r="I185" s="141"/>
      <c r="J185" s="147" t="str">
        <f>IFERROR(__xludf.DUMMYFUNCTION("IF(ISBLANK(A185),IFERROR(1/0),IF(COUNT(FILTER(F:F,A:A=A185))&gt;1,TRUNC(N185*F185/SUM(FILTER(N:N,A:A=A185)),3),F185))"),"")</f>
        <v/>
      </c>
      <c r="K185" s="147" t="str">
        <f>IFERROR(__xludf.DUMMYFUNCTION("IF(ISBLANK(A185),IFERROR(1/0),IF(COUNT(FILTER(G:G,((A:A=A185)*(B:B=""V""))))&gt;1,TRUNC(N185*G185/SUM(FILTER(N:N,((A:A=A185)*(B:B=""V"")))),3),G185))"),"")</f>
        <v/>
      </c>
      <c r="L185" s="148" t="str">
        <f>IFERROR(__xludf.DUMMYFUNCTION("if($C185="""","""",iferror(if(row()&lt;&gt;2,INDEX(arrayformula(filter($M$2:$M184,$C$2:$C184&lt;&gt;"""",row($C$2:$C184)=max(if($C$2:$C184=C185,row($C$2:$C184),0)))) ,1),0),0))"),"")</f>
        <v/>
      </c>
      <c r="M185" s="148" t="str">
        <f t="shared" si="1"/>
        <v/>
      </c>
      <c r="N185" s="147" t="str">
        <f t="shared" si="2"/>
        <v/>
      </c>
      <c r="O185" s="147" t="str">
        <f t="shared" si="21"/>
        <v/>
      </c>
      <c r="P185" s="147" t="str">
        <f>IFERROR(__xludf.DUMMYFUNCTION("if(C185="""","""",iferror(if(row()&lt;&gt;2,INDEX(arrayformula(filter($Q$2:$Q184,$C$2:$C184&lt;&gt;"""",row($C$2:$C184)=max(if($C$2:$C184=C185,row($C$2:$C184),0)))) ,1),0),0))"),"")</f>
        <v/>
      </c>
      <c r="Q185" s="147" t="str">
        <f t="shared" si="22"/>
        <v/>
      </c>
      <c r="R185" s="147" t="str">
        <f t="shared" si="23"/>
        <v/>
      </c>
      <c r="S185" s="147" t="str">
        <f t="shared" si="24"/>
        <v/>
      </c>
      <c r="T185" s="147" t="str">
        <f t="shared" si="7"/>
        <v/>
      </c>
      <c r="U185" s="150" t="str">
        <f t="shared" si="8"/>
        <v/>
      </c>
      <c r="V185" s="151" t="str">
        <f>IFERROR(VLOOKUP(C185,Ativos!$A$1:$G2000,5,),)</f>
        <v/>
      </c>
    </row>
    <row r="186" ht="21.0" customHeight="1">
      <c r="A186" s="152"/>
      <c r="B186" s="160"/>
      <c r="C186" s="153"/>
      <c r="D186" s="154"/>
      <c r="E186" s="139"/>
      <c r="F186" s="139"/>
      <c r="G186" s="139"/>
      <c r="H186" s="135"/>
      <c r="I186" s="141"/>
      <c r="J186" s="147" t="str">
        <f>IFERROR(__xludf.DUMMYFUNCTION("IF(ISBLANK(A186),IFERROR(1/0),IF(COUNT(FILTER(F:F,A:A=A186))&gt;1,TRUNC(N186*F186/SUM(FILTER(N:N,A:A=A186)),3),F186))"),"")</f>
        <v/>
      </c>
      <c r="K186" s="147" t="str">
        <f>IFERROR(__xludf.DUMMYFUNCTION("IF(ISBLANK(A186),IFERROR(1/0),IF(COUNT(FILTER(G:G,((A:A=A186)*(B:B=""V""))))&gt;1,TRUNC(N186*G186/SUM(FILTER(N:N,((A:A=A186)*(B:B=""V"")))),3),G186))"),"")</f>
        <v/>
      </c>
      <c r="L186" s="148" t="str">
        <f>IFERROR(__xludf.DUMMYFUNCTION("if($C186="""","""",iferror(if(row()&lt;&gt;2,INDEX(arrayformula(filter($M$2:$M185,$C$2:$C185&lt;&gt;"""",row($C$2:$C185)=max(if($C$2:$C185=C186,row($C$2:$C185),0)))) ,1),0),0))"),"")</f>
        <v/>
      </c>
      <c r="M186" s="148" t="str">
        <f t="shared" si="1"/>
        <v/>
      </c>
      <c r="N186" s="147" t="str">
        <f t="shared" si="2"/>
        <v/>
      </c>
      <c r="O186" s="147" t="str">
        <f t="shared" si="21"/>
        <v/>
      </c>
      <c r="P186" s="147" t="str">
        <f>IFERROR(__xludf.DUMMYFUNCTION("if(C186="""","""",iferror(if(row()&lt;&gt;2,INDEX(arrayformula(filter($Q$2:$Q185,$C$2:$C185&lt;&gt;"""",row($C$2:$C185)=max(if($C$2:$C185=C186,row($C$2:$C185),0)))) ,1),0),0))"),"")</f>
        <v/>
      </c>
      <c r="Q186" s="147" t="str">
        <f t="shared" si="22"/>
        <v/>
      </c>
      <c r="R186" s="147" t="str">
        <f t="shared" si="23"/>
        <v/>
      </c>
      <c r="S186" s="147" t="str">
        <f t="shared" si="24"/>
        <v/>
      </c>
      <c r="T186" s="147" t="str">
        <f t="shared" si="7"/>
        <v/>
      </c>
      <c r="U186" s="150" t="str">
        <f t="shared" si="8"/>
        <v/>
      </c>
      <c r="V186" s="151" t="str">
        <f>IFERROR(VLOOKUP(C186,Ativos!$A$1:$G2000,5,),)</f>
        <v/>
      </c>
    </row>
    <row r="187" ht="21.0" customHeight="1">
      <c r="A187" s="152"/>
      <c r="B187" s="160"/>
      <c r="C187" s="153"/>
      <c r="D187" s="154"/>
      <c r="E187" s="139"/>
      <c r="F187" s="139"/>
      <c r="G187" s="139"/>
      <c r="H187" s="135"/>
      <c r="I187" s="141"/>
      <c r="J187" s="147" t="str">
        <f>IFERROR(__xludf.DUMMYFUNCTION("IF(ISBLANK(A187),IFERROR(1/0),IF(COUNT(FILTER(F:F,A:A=A187))&gt;1,TRUNC(N187*F187/SUM(FILTER(N:N,A:A=A187)),3),F187))"),"")</f>
        <v/>
      </c>
      <c r="K187" s="147" t="str">
        <f>IFERROR(__xludf.DUMMYFUNCTION("IF(ISBLANK(A187),IFERROR(1/0),IF(COUNT(FILTER(G:G,((A:A=A187)*(B:B=""V""))))&gt;1,TRUNC(N187*G187/SUM(FILTER(N:N,((A:A=A187)*(B:B=""V"")))),3),G187))"),"")</f>
        <v/>
      </c>
      <c r="L187" s="148" t="str">
        <f>IFERROR(__xludf.DUMMYFUNCTION("if($C187="""","""",iferror(if(row()&lt;&gt;2,INDEX(arrayformula(filter($M$2:$M186,$C$2:$C186&lt;&gt;"""",row($C$2:$C186)=max(if($C$2:$C186=C187,row($C$2:$C186),0)))) ,1),0),0))"),"")</f>
        <v/>
      </c>
      <c r="M187" s="148" t="str">
        <f t="shared" si="1"/>
        <v/>
      </c>
      <c r="N187" s="147" t="str">
        <f t="shared" si="2"/>
        <v/>
      </c>
      <c r="O187" s="147" t="str">
        <f t="shared" si="21"/>
        <v/>
      </c>
      <c r="P187" s="147" t="str">
        <f>IFERROR(__xludf.DUMMYFUNCTION("if(C187="""","""",iferror(if(row()&lt;&gt;2,INDEX(arrayformula(filter($Q$2:$Q186,$C$2:$C186&lt;&gt;"""",row($C$2:$C186)=max(if($C$2:$C186=C187,row($C$2:$C186),0)))) ,1),0),0))"),"")</f>
        <v/>
      </c>
      <c r="Q187" s="147" t="str">
        <f t="shared" si="22"/>
        <v/>
      </c>
      <c r="R187" s="147" t="str">
        <f t="shared" si="23"/>
        <v/>
      </c>
      <c r="S187" s="147" t="str">
        <f t="shared" si="24"/>
        <v/>
      </c>
      <c r="T187" s="147" t="str">
        <f t="shared" si="7"/>
        <v/>
      </c>
      <c r="U187" s="150" t="str">
        <f t="shared" si="8"/>
        <v/>
      </c>
      <c r="V187" s="151" t="str">
        <f>IFERROR(VLOOKUP(C187,Ativos!$A$1:$G2000,5,),)</f>
        <v/>
      </c>
    </row>
    <row r="188" ht="21.0" customHeight="1">
      <c r="A188" s="152"/>
      <c r="B188" s="160"/>
      <c r="C188" s="153"/>
      <c r="D188" s="154"/>
      <c r="E188" s="139"/>
      <c r="F188" s="139"/>
      <c r="G188" s="139"/>
      <c r="H188" s="135"/>
      <c r="I188" s="141"/>
      <c r="J188" s="147" t="str">
        <f>IFERROR(__xludf.DUMMYFUNCTION("IF(ISBLANK(A188),IFERROR(1/0),IF(COUNT(FILTER(F:F,A:A=A188))&gt;1,TRUNC(N188*F188/SUM(FILTER(N:N,A:A=A188)),3),F188))"),"")</f>
        <v/>
      </c>
      <c r="K188" s="147" t="str">
        <f>IFERROR(__xludf.DUMMYFUNCTION("IF(ISBLANK(A188),IFERROR(1/0),IF(COUNT(FILTER(G:G,((A:A=A188)*(B:B=""V""))))&gt;1,TRUNC(N188*G188/SUM(FILTER(N:N,((A:A=A188)*(B:B=""V"")))),3),G188))"),"")</f>
        <v/>
      </c>
      <c r="L188" s="148" t="str">
        <f>IFERROR(__xludf.DUMMYFUNCTION("if($C188="""","""",iferror(if(row()&lt;&gt;2,INDEX(arrayformula(filter($M$2:$M187,$C$2:$C187&lt;&gt;"""",row($C$2:$C187)=max(if($C$2:$C187=C188,row($C$2:$C187),0)))) ,1),0),0))"),"")</f>
        <v/>
      </c>
      <c r="M188" s="148" t="str">
        <f t="shared" si="1"/>
        <v/>
      </c>
      <c r="N188" s="147" t="str">
        <f t="shared" si="2"/>
        <v/>
      </c>
      <c r="O188" s="147" t="str">
        <f t="shared" si="21"/>
        <v/>
      </c>
      <c r="P188" s="147" t="str">
        <f>IFERROR(__xludf.DUMMYFUNCTION("if(C188="""","""",iferror(if(row()&lt;&gt;2,INDEX(arrayformula(filter($Q$2:$Q187,$C$2:$C187&lt;&gt;"""",row($C$2:$C187)=max(if($C$2:$C187=C188,row($C$2:$C187),0)))) ,1),0),0))"),"")</f>
        <v/>
      </c>
      <c r="Q188" s="147" t="str">
        <f t="shared" si="22"/>
        <v/>
      </c>
      <c r="R188" s="147" t="str">
        <f t="shared" si="23"/>
        <v/>
      </c>
      <c r="S188" s="147" t="str">
        <f t="shared" si="24"/>
        <v/>
      </c>
      <c r="T188" s="147" t="str">
        <f t="shared" si="7"/>
        <v/>
      </c>
      <c r="U188" s="150" t="str">
        <f t="shared" si="8"/>
        <v/>
      </c>
      <c r="V188" s="151" t="str">
        <f>IFERROR(VLOOKUP(C188,Ativos!$A$1:$G2000,5,),)</f>
        <v/>
      </c>
    </row>
    <row r="189" ht="21.0" customHeight="1">
      <c r="A189" s="152"/>
      <c r="B189" s="160"/>
      <c r="C189" s="153"/>
      <c r="D189" s="154"/>
      <c r="E189" s="139"/>
      <c r="F189" s="139"/>
      <c r="G189" s="139"/>
      <c r="H189" s="135"/>
      <c r="I189" s="141"/>
      <c r="J189" s="147" t="str">
        <f>IFERROR(__xludf.DUMMYFUNCTION("IF(ISBLANK(A189),IFERROR(1/0),IF(COUNT(FILTER(F:F,A:A=A189))&gt;1,TRUNC(N189*F189/SUM(FILTER(N:N,A:A=A189)),3),F189))"),"")</f>
        <v/>
      </c>
      <c r="K189" s="147" t="str">
        <f>IFERROR(__xludf.DUMMYFUNCTION("IF(ISBLANK(A189),IFERROR(1/0),IF(COUNT(FILTER(G:G,((A:A=A189)*(B:B=""V""))))&gt;1,TRUNC(N189*G189/SUM(FILTER(N:N,((A:A=A189)*(B:B=""V"")))),3),G189))"),"")</f>
        <v/>
      </c>
      <c r="L189" s="148" t="str">
        <f>IFERROR(__xludf.DUMMYFUNCTION("if($C189="""","""",iferror(if(row()&lt;&gt;2,INDEX(arrayformula(filter($M$2:$M188,$C$2:$C188&lt;&gt;"""",row($C$2:$C188)=max(if($C$2:$C188=C189,row($C$2:$C188),0)))) ,1),0),0))"),"")</f>
        <v/>
      </c>
      <c r="M189" s="148" t="str">
        <f t="shared" si="1"/>
        <v/>
      </c>
      <c r="N189" s="147" t="str">
        <f t="shared" si="2"/>
        <v/>
      </c>
      <c r="O189" s="147" t="str">
        <f t="shared" si="21"/>
        <v/>
      </c>
      <c r="P189" s="147" t="str">
        <f>IFERROR(__xludf.DUMMYFUNCTION("if(C189="""","""",iferror(if(row()&lt;&gt;2,INDEX(arrayformula(filter($Q$2:$Q188,$C$2:$C188&lt;&gt;"""",row($C$2:$C188)=max(if($C$2:$C188=C189,row($C$2:$C188),0)))) ,1),0),0))"),"")</f>
        <v/>
      </c>
      <c r="Q189" s="147" t="str">
        <f t="shared" si="22"/>
        <v/>
      </c>
      <c r="R189" s="147" t="str">
        <f t="shared" si="23"/>
        <v/>
      </c>
      <c r="S189" s="147" t="str">
        <f t="shared" si="24"/>
        <v/>
      </c>
      <c r="T189" s="147" t="str">
        <f t="shared" si="7"/>
        <v/>
      </c>
      <c r="U189" s="150" t="str">
        <f t="shared" si="8"/>
        <v/>
      </c>
      <c r="V189" s="151" t="str">
        <f>IFERROR(VLOOKUP(C189,Ativos!$A$1:$G2000,5,),)</f>
        <v/>
      </c>
    </row>
    <row r="190" ht="21.0" customHeight="1">
      <c r="A190" s="152"/>
      <c r="B190" s="160"/>
      <c r="C190" s="153"/>
      <c r="D190" s="154"/>
      <c r="E190" s="139"/>
      <c r="F190" s="139"/>
      <c r="G190" s="139"/>
      <c r="H190" s="135"/>
      <c r="I190" s="141"/>
      <c r="J190" s="147" t="str">
        <f>IFERROR(__xludf.DUMMYFUNCTION("IF(ISBLANK(A190),IFERROR(1/0),IF(COUNT(FILTER(F:F,A:A=A190))&gt;1,TRUNC(N190*F190/SUM(FILTER(N:N,A:A=A190)),3),F190))"),"")</f>
        <v/>
      </c>
      <c r="K190" s="147" t="str">
        <f>IFERROR(__xludf.DUMMYFUNCTION("IF(ISBLANK(A190),IFERROR(1/0),IF(COUNT(FILTER(G:G,((A:A=A190)*(B:B=""V""))))&gt;1,TRUNC(N190*G190/SUM(FILTER(N:N,((A:A=A190)*(B:B=""V"")))),3),G190))"),"")</f>
        <v/>
      </c>
      <c r="L190" s="148" t="str">
        <f>IFERROR(__xludf.DUMMYFUNCTION("if($C190="""","""",iferror(if(row()&lt;&gt;2,INDEX(arrayformula(filter($M$2:$M189,$C$2:$C189&lt;&gt;"""",row($C$2:$C189)=max(if($C$2:$C189=C190,row($C$2:$C189),0)))) ,1),0),0))"),"")</f>
        <v/>
      </c>
      <c r="M190" s="148" t="str">
        <f t="shared" si="1"/>
        <v/>
      </c>
      <c r="N190" s="147" t="str">
        <f t="shared" si="2"/>
        <v/>
      </c>
      <c r="O190" s="147" t="str">
        <f t="shared" si="21"/>
        <v/>
      </c>
      <c r="P190" s="147" t="str">
        <f>IFERROR(__xludf.DUMMYFUNCTION("if(C190="""","""",iferror(if(row()&lt;&gt;2,INDEX(arrayformula(filter($Q$2:$Q189,$C$2:$C189&lt;&gt;"""",row($C$2:$C189)=max(if($C$2:$C189=C190,row($C$2:$C189),0)))) ,1),0),0))"),"")</f>
        <v/>
      </c>
      <c r="Q190" s="147" t="str">
        <f t="shared" si="22"/>
        <v/>
      </c>
      <c r="R190" s="147" t="str">
        <f t="shared" si="23"/>
        <v/>
      </c>
      <c r="S190" s="147" t="str">
        <f t="shared" si="24"/>
        <v/>
      </c>
      <c r="T190" s="147" t="str">
        <f t="shared" si="7"/>
        <v/>
      </c>
      <c r="U190" s="150" t="str">
        <f t="shared" si="8"/>
        <v/>
      </c>
      <c r="V190" s="151" t="str">
        <f>IFERROR(VLOOKUP(C190,Ativos!$A$1:$G2000,5,),)</f>
        <v/>
      </c>
    </row>
    <row r="191" ht="21.0" customHeight="1">
      <c r="A191" s="152"/>
      <c r="B191" s="160"/>
      <c r="C191" s="153"/>
      <c r="D191" s="154"/>
      <c r="E191" s="139"/>
      <c r="F191" s="139"/>
      <c r="G191" s="139"/>
      <c r="H191" s="135"/>
      <c r="I191" s="141"/>
      <c r="J191" s="147" t="str">
        <f>IFERROR(__xludf.DUMMYFUNCTION("IF(ISBLANK(A191),IFERROR(1/0),IF(COUNT(FILTER(F:F,A:A=A191))&gt;1,TRUNC(N191*F191/SUM(FILTER(N:N,A:A=A191)),3),F191))"),"")</f>
        <v/>
      </c>
      <c r="K191" s="147" t="str">
        <f>IFERROR(__xludf.DUMMYFUNCTION("IF(ISBLANK(A191),IFERROR(1/0),IF(COUNT(FILTER(G:G,((A:A=A191)*(B:B=""V""))))&gt;1,TRUNC(N191*G191/SUM(FILTER(N:N,((A:A=A191)*(B:B=""V"")))),3),G191))"),"")</f>
        <v/>
      </c>
      <c r="L191" s="148" t="str">
        <f>IFERROR(__xludf.DUMMYFUNCTION("if($C191="""","""",iferror(if(row()&lt;&gt;2,INDEX(arrayformula(filter($M$2:$M190,$C$2:$C190&lt;&gt;"""",row($C$2:$C190)=max(if($C$2:$C190=C191,row($C$2:$C190),0)))) ,1),0),0))"),"")</f>
        <v/>
      </c>
      <c r="M191" s="148" t="str">
        <f t="shared" si="1"/>
        <v/>
      </c>
      <c r="N191" s="147" t="str">
        <f t="shared" si="2"/>
        <v/>
      </c>
      <c r="O191" s="147" t="str">
        <f t="shared" si="21"/>
        <v/>
      </c>
      <c r="P191" s="147" t="str">
        <f>IFERROR(__xludf.DUMMYFUNCTION("if(C191="""","""",iferror(if(row()&lt;&gt;2,INDEX(arrayformula(filter($Q$2:$Q190,$C$2:$C190&lt;&gt;"""",row($C$2:$C190)=max(if($C$2:$C190=C191,row($C$2:$C190),0)))) ,1),0),0))"),"")</f>
        <v/>
      </c>
      <c r="Q191" s="147" t="str">
        <f t="shared" si="22"/>
        <v/>
      </c>
      <c r="R191" s="147" t="str">
        <f t="shared" si="23"/>
        <v/>
      </c>
      <c r="S191" s="147" t="str">
        <f t="shared" si="24"/>
        <v/>
      </c>
      <c r="T191" s="147" t="str">
        <f t="shared" si="7"/>
        <v/>
      </c>
      <c r="U191" s="150" t="str">
        <f t="shared" si="8"/>
        <v/>
      </c>
      <c r="V191" s="151" t="str">
        <f>IFERROR(VLOOKUP(C191,Ativos!$A$1:$G2000,5,),)</f>
        <v/>
      </c>
    </row>
    <row r="192" ht="21.0" customHeight="1">
      <c r="A192" s="152"/>
      <c r="B192" s="160"/>
      <c r="C192" s="153"/>
      <c r="D192" s="154"/>
      <c r="E192" s="139"/>
      <c r="F192" s="139"/>
      <c r="G192" s="139"/>
      <c r="H192" s="135"/>
      <c r="I192" s="141"/>
      <c r="J192" s="147" t="str">
        <f>IFERROR(__xludf.DUMMYFUNCTION("IF(ISBLANK(A192),IFERROR(1/0),IF(COUNT(FILTER(F:F,A:A=A192))&gt;1,TRUNC(N192*F192/SUM(FILTER(N:N,A:A=A192)),3),F192))"),"")</f>
        <v/>
      </c>
      <c r="K192" s="147" t="str">
        <f>IFERROR(__xludf.DUMMYFUNCTION("IF(ISBLANK(A192),IFERROR(1/0),IF(COUNT(FILTER(G:G,((A:A=A192)*(B:B=""V""))))&gt;1,TRUNC(N192*G192/SUM(FILTER(N:N,((A:A=A192)*(B:B=""V"")))),3),G192))"),"")</f>
        <v/>
      </c>
      <c r="L192" s="148" t="str">
        <f>IFERROR(__xludf.DUMMYFUNCTION("if($C192="""","""",iferror(if(row()&lt;&gt;2,INDEX(arrayformula(filter($M$2:$M191,$C$2:$C191&lt;&gt;"""",row($C$2:$C191)=max(if($C$2:$C191=C192,row($C$2:$C191),0)))) ,1),0),0))"),"")</f>
        <v/>
      </c>
      <c r="M192" s="148" t="str">
        <f t="shared" si="1"/>
        <v/>
      </c>
      <c r="N192" s="147" t="str">
        <f t="shared" si="2"/>
        <v/>
      </c>
      <c r="O192" s="147" t="str">
        <f t="shared" si="21"/>
        <v/>
      </c>
      <c r="P192" s="147" t="str">
        <f>IFERROR(__xludf.DUMMYFUNCTION("if(C192="""","""",iferror(if(row()&lt;&gt;2,INDEX(arrayformula(filter($Q$2:$Q191,$C$2:$C191&lt;&gt;"""",row($C$2:$C191)=max(if($C$2:$C191=C192,row($C$2:$C191),0)))) ,1),0),0))"),"")</f>
        <v/>
      </c>
      <c r="Q192" s="147" t="str">
        <f t="shared" si="22"/>
        <v/>
      </c>
      <c r="R192" s="147" t="str">
        <f t="shared" si="23"/>
        <v/>
      </c>
      <c r="S192" s="147" t="str">
        <f t="shared" si="24"/>
        <v/>
      </c>
      <c r="T192" s="147" t="str">
        <f t="shared" si="7"/>
        <v/>
      </c>
      <c r="U192" s="150" t="str">
        <f t="shared" si="8"/>
        <v/>
      </c>
      <c r="V192" s="151" t="str">
        <f>IFERROR(VLOOKUP(C192,Ativos!$A$1:$G2000,5,),)</f>
        <v/>
      </c>
    </row>
    <row r="193" ht="21.0" customHeight="1">
      <c r="A193" s="152"/>
      <c r="B193" s="160"/>
      <c r="C193" s="153"/>
      <c r="D193" s="154"/>
      <c r="E193" s="139"/>
      <c r="F193" s="139"/>
      <c r="G193" s="139"/>
      <c r="H193" s="135"/>
      <c r="I193" s="141"/>
      <c r="J193" s="147" t="str">
        <f>IFERROR(__xludf.DUMMYFUNCTION("IF(ISBLANK(A193),IFERROR(1/0),IF(COUNT(FILTER(F:F,A:A=A193))&gt;1,TRUNC(N193*F193/SUM(FILTER(N:N,A:A=A193)),3),F193))"),"")</f>
        <v/>
      </c>
      <c r="K193" s="147" t="str">
        <f>IFERROR(__xludf.DUMMYFUNCTION("IF(ISBLANK(A193),IFERROR(1/0),IF(COUNT(FILTER(G:G,((A:A=A193)*(B:B=""V""))))&gt;1,TRUNC(N193*G193/SUM(FILTER(N:N,((A:A=A193)*(B:B=""V"")))),3),G193))"),"")</f>
        <v/>
      </c>
      <c r="L193" s="148" t="str">
        <f>IFERROR(__xludf.DUMMYFUNCTION("if($C193="""","""",iferror(if(row()&lt;&gt;2,INDEX(arrayformula(filter($M$2:$M192,$C$2:$C192&lt;&gt;"""",row($C$2:$C192)=max(if($C$2:$C192=C193,row($C$2:$C192),0)))) ,1),0),0))"),"")</f>
        <v/>
      </c>
      <c r="M193" s="148" t="str">
        <f t="shared" si="1"/>
        <v/>
      </c>
      <c r="N193" s="147" t="str">
        <f t="shared" si="2"/>
        <v/>
      </c>
      <c r="O193" s="147" t="str">
        <f t="shared" si="21"/>
        <v/>
      </c>
      <c r="P193" s="147" t="str">
        <f>IFERROR(__xludf.DUMMYFUNCTION("if(C193="""","""",iferror(if(row()&lt;&gt;2,INDEX(arrayformula(filter($Q$2:$Q192,$C$2:$C192&lt;&gt;"""",row($C$2:$C192)=max(if($C$2:$C192=C193,row($C$2:$C192),0)))) ,1),0),0))"),"")</f>
        <v/>
      </c>
      <c r="Q193" s="147" t="str">
        <f t="shared" si="22"/>
        <v/>
      </c>
      <c r="R193" s="147" t="str">
        <f t="shared" si="23"/>
        <v/>
      </c>
      <c r="S193" s="147" t="str">
        <f t="shared" si="24"/>
        <v/>
      </c>
      <c r="T193" s="147" t="str">
        <f t="shared" si="7"/>
        <v/>
      </c>
      <c r="U193" s="150" t="str">
        <f t="shared" si="8"/>
        <v/>
      </c>
      <c r="V193" s="151" t="str">
        <f>IFERROR(VLOOKUP(C193,Ativos!$A$1:$G2000,5,),)</f>
        <v/>
      </c>
    </row>
    <row r="194" ht="21.0" customHeight="1">
      <c r="A194" s="152"/>
      <c r="B194" s="160"/>
      <c r="C194" s="153"/>
      <c r="D194" s="154"/>
      <c r="E194" s="139"/>
      <c r="F194" s="139"/>
      <c r="G194" s="139"/>
      <c r="H194" s="135"/>
      <c r="I194" s="141"/>
      <c r="J194" s="147" t="str">
        <f>IFERROR(__xludf.DUMMYFUNCTION("IF(ISBLANK(A194),IFERROR(1/0),IF(COUNT(FILTER(F:F,A:A=A194))&gt;1,TRUNC(N194*F194/SUM(FILTER(N:N,A:A=A194)),3),F194))"),"")</f>
        <v/>
      </c>
      <c r="K194" s="147" t="str">
        <f>IFERROR(__xludf.DUMMYFUNCTION("IF(ISBLANK(A194),IFERROR(1/0),IF(COUNT(FILTER(G:G,((A:A=A194)*(B:B=""V""))))&gt;1,TRUNC(N194*G194/SUM(FILTER(N:N,((A:A=A194)*(B:B=""V"")))),3),G194))"),"")</f>
        <v/>
      </c>
      <c r="L194" s="148" t="str">
        <f>IFERROR(__xludf.DUMMYFUNCTION("if($C194="""","""",iferror(if(row()&lt;&gt;2,INDEX(arrayformula(filter($M$2:$M193,$C$2:$C193&lt;&gt;"""",row($C$2:$C193)=max(if($C$2:$C193=C194,row($C$2:$C193),0)))) ,1),0),0))"),"")</f>
        <v/>
      </c>
      <c r="M194" s="148" t="str">
        <f t="shared" si="1"/>
        <v/>
      </c>
      <c r="N194" s="147" t="str">
        <f t="shared" si="2"/>
        <v/>
      </c>
      <c r="O194" s="147" t="str">
        <f t="shared" si="21"/>
        <v/>
      </c>
      <c r="P194" s="147" t="str">
        <f>IFERROR(__xludf.DUMMYFUNCTION("if(C194="""","""",iferror(if(row()&lt;&gt;2,INDEX(arrayformula(filter($Q$2:$Q193,$C$2:$C193&lt;&gt;"""",row($C$2:$C193)=max(if($C$2:$C193=C194,row($C$2:$C193),0)))) ,1),0),0))"),"")</f>
        <v/>
      </c>
      <c r="Q194" s="147" t="str">
        <f t="shared" si="22"/>
        <v/>
      </c>
      <c r="R194" s="147" t="str">
        <f t="shared" si="23"/>
        <v/>
      </c>
      <c r="S194" s="147" t="str">
        <f t="shared" si="24"/>
        <v/>
      </c>
      <c r="T194" s="147" t="str">
        <f t="shared" si="7"/>
        <v/>
      </c>
      <c r="U194" s="150" t="str">
        <f t="shared" si="8"/>
        <v/>
      </c>
      <c r="V194" s="151" t="str">
        <f>IFERROR(VLOOKUP(C194,Ativos!$A$1:$G2000,5,),)</f>
        <v/>
      </c>
    </row>
    <row r="195" ht="21.0" customHeight="1">
      <c r="A195" s="152"/>
      <c r="B195" s="160"/>
      <c r="C195" s="153"/>
      <c r="D195" s="154"/>
      <c r="E195" s="139"/>
      <c r="F195" s="139"/>
      <c r="G195" s="139"/>
      <c r="H195" s="135"/>
      <c r="I195" s="141"/>
      <c r="J195" s="147" t="str">
        <f>IFERROR(__xludf.DUMMYFUNCTION("IF(ISBLANK(A195),IFERROR(1/0),IF(COUNT(FILTER(F:F,A:A=A195))&gt;1,TRUNC(N195*F195/SUM(FILTER(N:N,A:A=A195)),3),F195))"),"")</f>
        <v/>
      </c>
      <c r="K195" s="147" t="str">
        <f>IFERROR(__xludf.DUMMYFUNCTION("IF(ISBLANK(A195),IFERROR(1/0),IF(COUNT(FILTER(G:G,((A:A=A195)*(B:B=""V""))))&gt;1,TRUNC(N195*G195/SUM(FILTER(N:N,((A:A=A195)*(B:B=""V"")))),3),G195))"),"")</f>
        <v/>
      </c>
      <c r="L195" s="148" t="str">
        <f>IFERROR(__xludf.DUMMYFUNCTION("if($C195="""","""",iferror(if(row()&lt;&gt;2,INDEX(arrayformula(filter($M$2:$M194,$C$2:$C194&lt;&gt;"""",row($C$2:$C194)=max(if($C$2:$C194=C195,row($C$2:$C194),0)))) ,1),0),0))"),"")</f>
        <v/>
      </c>
      <c r="M195" s="148" t="str">
        <f t="shared" si="1"/>
        <v/>
      </c>
      <c r="N195" s="147" t="str">
        <f t="shared" si="2"/>
        <v/>
      </c>
      <c r="O195" s="147" t="str">
        <f t="shared" si="21"/>
        <v/>
      </c>
      <c r="P195" s="147" t="str">
        <f>IFERROR(__xludf.DUMMYFUNCTION("if(C195="""","""",iferror(if(row()&lt;&gt;2,INDEX(arrayformula(filter($Q$2:$Q194,$C$2:$C194&lt;&gt;"""",row($C$2:$C194)=max(if($C$2:$C194=C195,row($C$2:$C194),0)))) ,1),0),0))"),"")</f>
        <v/>
      </c>
      <c r="Q195" s="147" t="str">
        <f t="shared" si="22"/>
        <v/>
      </c>
      <c r="R195" s="147" t="str">
        <f t="shared" si="23"/>
        <v/>
      </c>
      <c r="S195" s="147" t="str">
        <f t="shared" si="24"/>
        <v/>
      </c>
      <c r="T195" s="147" t="str">
        <f t="shared" si="7"/>
        <v/>
      </c>
      <c r="U195" s="150" t="str">
        <f t="shared" si="8"/>
        <v/>
      </c>
      <c r="V195" s="151" t="str">
        <f>IFERROR(VLOOKUP(C195,Ativos!$A$1:$G2000,5,),)</f>
        <v/>
      </c>
    </row>
    <row r="196" ht="21.0" customHeight="1">
      <c r="A196" s="152"/>
      <c r="B196" s="160"/>
      <c r="C196" s="153"/>
      <c r="D196" s="154"/>
      <c r="E196" s="139"/>
      <c r="F196" s="139"/>
      <c r="G196" s="139"/>
      <c r="H196" s="135"/>
      <c r="I196" s="141"/>
      <c r="J196" s="147" t="str">
        <f>IFERROR(__xludf.DUMMYFUNCTION("IF(ISBLANK(A196),IFERROR(1/0),IF(COUNT(FILTER(F:F,A:A=A196))&gt;1,TRUNC(N196*F196/SUM(FILTER(N:N,A:A=A196)),3),F196))"),"")</f>
        <v/>
      </c>
      <c r="K196" s="147" t="str">
        <f>IFERROR(__xludf.DUMMYFUNCTION("IF(ISBLANK(A196),IFERROR(1/0),IF(COUNT(FILTER(G:G,((A:A=A196)*(B:B=""V""))))&gt;1,TRUNC(N196*G196/SUM(FILTER(N:N,((A:A=A196)*(B:B=""V"")))),3),G196))"),"")</f>
        <v/>
      </c>
      <c r="L196" s="148" t="str">
        <f>IFERROR(__xludf.DUMMYFUNCTION("if($C196="""","""",iferror(if(row()&lt;&gt;2,INDEX(arrayformula(filter($M$2:$M195,$C$2:$C195&lt;&gt;"""",row($C$2:$C195)=max(if($C$2:$C195=C196,row($C$2:$C195),0)))) ,1),0),0))"),"")</f>
        <v/>
      </c>
      <c r="M196" s="148" t="str">
        <f t="shared" si="1"/>
        <v/>
      </c>
      <c r="N196" s="147" t="str">
        <f t="shared" si="2"/>
        <v/>
      </c>
      <c r="O196" s="147" t="str">
        <f t="shared" si="21"/>
        <v/>
      </c>
      <c r="P196" s="147" t="str">
        <f>IFERROR(__xludf.DUMMYFUNCTION("if(C196="""","""",iferror(if(row()&lt;&gt;2,INDEX(arrayformula(filter($Q$2:$Q195,$C$2:$C195&lt;&gt;"""",row($C$2:$C195)=max(if($C$2:$C195=C196,row($C$2:$C195),0)))) ,1),0),0))"),"")</f>
        <v/>
      </c>
      <c r="Q196" s="147" t="str">
        <f t="shared" si="22"/>
        <v/>
      </c>
      <c r="R196" s="147" t="str">
        <f t="shared" si="23"/>
        <v/>
      </c>
      <c r="S196" s="147" t="str">
        <f t="shared" si="24"/>
        <v/>
      </c>
      <c r="T196" s="147" t="str">
        <f t="shared" si="7"/>
        <v/>
      </c>
      <c r="U196" s="150" t="str">
        <f t="shared" si="8"/>
        <v/>
      </c>
      <c r="V196" s="151" t="str">
        <f>IFERROR(VLOOKUP(C196,Ativos!$A$1:$G2000,5,),)</f>
        <v/>
      </c>
    </row>
    <row r="197" ht="21.0" customHeight="1">
      <c r="A197" s="152"/>
      <c r="B197" s="160"/>
      <c r="C197" s="153"/>
      <c r="D197" s="154"/>
      <c r="E197" s="139"/>
      <c r="F197" s="139"/>
      <c r="G197" s="139"/>
      <c r="H197" s="135"/>
      <c r="I197" s="141"/>
      <c r="J197" s="147" t="str">
        <f>IFERROR(__xludf.DUMMYFUNCTION("IF(ISBLANK(A197),IFERROR(1/0),IF(COUNT(FILTER(F:F,A:A=A197))&gt;1,TRUNC(N197*F197/SUM(FILTER(N:N,A:A=A197)),3),F197))"),"")</f>
        <v/>
      </c>
      <c r="K197" s="147" t="str">
        <f>IFERROR(__xludf.DUMMYFUNCTION("IF(ISBLANK(A197),IFERROR(1/0),IF(COUNT(FILTER(G:G,((A:A=A197)*(B:B=""V""))))&gt;1,TRUNC(N197*G197/SUM(FILTER(N:N,((A:A=A197)*(B:B=""V"")))),3),G197))"),"")</f>
        <v/>
      </c>
      <c r="L197" s="148" t="str">
        <f>IFERROR(__xludf.DUMMYFUNCTION("if($C197="""","""",iferror(if(row()&lt;&gt;2,INDEX(arrayformula(filter($M$2:$M196,$C$2:$C196&lt;&gt;"""",row($C$2:$C196)=max(if($C$2:$C196=C197,row($C$2:$C196),0)))) ,1),0),0))"),"")</f>
        <v/>
      </c>
      <c r="M197" s="148" t="str">
        <f t="shared" si="1"/>
        <v/>
      </c>
      <c r="N197" s="147" t="str">
        <f t="shared" si="2"/>
        <v/>
      </c>
      <c r="O197" s="147" t="str">
        <f t="shared" si="21"/>
        <v/>
      </c>
      <c r="P197" s="147" t="str">
        <f>IFERROR(__xludf.DUMMYFUNCTION("if(C197="""","""",iferror(if(row()&lt;&gt;2,INDEX(arrayformula(filter($Q$2:$Q196,$C$2:$C196&lt;&gt;"""",row($C$2:$C196)=max(if($C$2:$C196=C197,row($C$2:$C196),0)))) ,1),0),0))"),"")</f>
        <v/>
      </c>
      <c r="Q197" s="147" t="str">
        <f t="shared" si="22"/>
        <v/>
      </c>
      <c r="R197" s="147" t="str">
        <f t="shared" si="23"/>
        <v/>
      </c>
      <c r="S197" s="147" t="str">
        <f t="shared" si="24"/>
        <v/>
      </c>
      <c r="T197" s="147" t="str">
        <f t="shared" si="7"/>
        <v/>
      </c>
      <c r="U197" s="150" t="str">
        <f t="shared" si="8"/>
        <v/>
      </c>
      <c r="V197" s="151" t="str">
        <f>IFERROR(VLOOKUP(C197,Ativos!$A$1:$G2000,5,),)</f>
        <v/>
      </c>
    </row>
    <row r="198" ht="21.0" customHeight="1">
      <c r="A198" s="152"/>
      <c r="B198" s="160"/>
      <c r="C198" s="153"/>
      <c r="D198" s="154"/>
      <c r="E198" s="139"/>
      <c r="F198" s="139"/>
      <c r="G198" s="139"/>
      <c r="H198" s="135"/>
      <c r="I198" s="141"/>
      <c r="J198" s="147" t="str">
        <f>IFERROR(__xludf.DUMMYFUNCTION("IF(ISBLANK(A198),IFERROR(1/0),IF(COUNT(FILTER(F:F,A:A=A198))&gt;1,TRUNC(N198*F198/SUM(FILTER(N:N,A:A=A198)),3),F198))"),"")</f>
        <v/>
      </c>
      <c r="K198" s="147" t="str">
        <f>IFERROR(__xludf.DUMMYFUNCTION("IF(ISBLANK(A198),IFERROR(1/0),IF(COUNT(FILTER(G:G,((A:A=A198)*(B:B=""V""))))&gt;1,TRUNC(N198*G198/SUM(FILTER(N:N,((A:A=A198)*(B:B=""V"")))),3),G198))"),"")</f>
        <v/>
      </c>
      <c r="L198" s="148" t="str">
        <f>IFERROR(__xludf.DUMMYFUNCTION("if($C198="""","""",iferror(if(row()&lt;&gt;2,INDEX(arrayformula(filter($M$2:$M197,$C$2:$C197&lt;&gt;"""",row($C$2:$C197)=max(if($C$2:$C197=C198,row($C$2:$C197),0)))) ,1),0),0))"),"")</f>
        <v/>
      </c>
      <c r="M198" s="148" t="str">
        <f t="shared" si="1"/>
        <v/>
      </c>
      <c r="N198" s="147" t="str">
        <f t="shared" si="2"/>
        <v/>
      </c>
      <c r="O198" s="147" t="str">
        <f t="shared" si="21"/>
        <v/>
      </c>
      <c r="P198" s="147" t="str">
        <f>IFERROR(__xludf.DUMMYFUNCTION("if(C198="""","""",iferror(if(row()&lt;&gt;2,INDEX(arrayformula(filter($Q$2:$Q197,$C$2:$C197&lt;&gt;"""",row($C$2:$C197)=max(if($C$2:$C197=C198,row($C$2:$C197),0)))) ,1),0),0))"),"")</f>
        <v/>
      </c>
      <c r="Q198" s="147" t="str">
        <f t="shared" si="22"/>
        <v/>
      </c>
      <c r="R198" s="147" t="str">
        <f t="shared" si="23"/>
        <v/>
      </c>
      <c r="S198" s="147" t="str">
        <f t="shared" si="24"/>
        <v/>
      </c>
      <c r="T198" s="147" t="str">
        <f t="shared" si="7"/>
        <v/>
      </c>
      <c r="U198" s="150" t="str">
        <f t="shared" si="8"/>
        <v/>
      </c>
      <c r="V198" s="151" t="str">
        <f>IFERROR(VLOOKUP(C198,Ativos!$A$1:$G2000,5,),)</f>
        <v/>
      </c>
    </row>
    <row r="199" ht="21.0" customHeight="1">
      <c r="A199" s="152"/>
      <c r="B199" s="160"/>
      <c r="C199" s="153"/>
      <c r="D199" s="154"/>
      <c r="E199" s="139"/>
      <c r="F199" s="139"/>
      <c r="G199" s="139"/>
      <c r="H199" s="135"/>
      <c r="I199" s="141"/>
      <c r="J199" s="147" t="str">
        <f>IFERROR(__xludf.DUMMYFUNCTION("IF(ISBLANK(A199),IFERROR(1/0),IF(COUNT(FILTER(F:F,A:A=A199))&gt;1,TRUNC(N199*F199/SUM(FILTER(N:N,A:A=A199)),3),F199))"),"")</f>
        <v/>
      </c>
      <c r="K199" s="147" t="str">
        <f>IFERROR(__xludf.DUMMYFUNCTION("IF(ISBLANK(A199),IFERROR(1/0),IF(COUNT(FILTER(G:G,((A:A=A199)*(B:B=""V""))))&gt;1,TRUNC(N199*G199/SUM(FILTER(N:N,((A:A=A199)*(B:B=""V"")))),3),G199))"),"")</f>
        <v/>
      </c>
      <c r="L199" s="148" t="str">
        <f>IFERROR(__xludf.DUMMYFUNCTION("if($C199="""","""",iferror(if(row()&lt;&gt;2,INDEX(arrayformula(filter($M$2:$M198,$C$2:$C198&lt;&gt;"""",row($C$2:$C198)=max(if($C$2:$C198=C199,row($C$2:$C198),0)))) ,1),0),0))"),"")</f>
        <v/>
      </c>
      <c r="M199" s="148" t="str">
        <f t="shared" si="1"/>
        <v/>
      </c>
      <c r="N199" s="147" t="str">
        <f t="shared" si="2"/>
        <v/>
      </c>
      <c r="O199" s="147" t="str">
        <f t="shared" si="21"/>
        <v/>
      </c>
      <c r="P199" s="147" t="str">
        <f>IFERROR(__xludf.DUMMYFUNCTION("if(C199="""","""",iferror(if(row()&lt;&gt;2,INDEX(arrayformula(filter($Q$2:$Q198,$C$2:$C198&lt;&gt;"""",row($C$2:$C198)=max(if($C$2:$C198=C199,row($C$2:$C198),0)))) ,1),0),0))"),"")</f>
        <v/>
      </c>
      <c r="Q199" s="147" t="str">
        <f t="shared" si="22"/>
        <v/>
      </c>
      <c r="R199" s="147" t="str">
        <f t="shared" si="23"/>
        <v/>
      </c>
      <c r="S199" s="147" t="str">
        <f t="shared" si="24"/>
        <v/>
      </c>
      <c r="T199" s="147" t="str">
        <f t="shared" si="7"/>
        <v/>
      </c>
      <c r="U199" s="150" t="str">
        <f t="shared" si="8"/>
        <v/>
      </c>
      <c r="V199" s="151" t="str">
        <f>IFERROR(VLOOKUP(C199,Ativos!$A$1:$G2000,5,),)</f>
        <v/>
      </c>
    </row>
    <row r="200" ht="21.0" customHeight="1">
      <c r="A200" s="152"/>
      <c r="B200" s="160"/>
      <c r="C200" s="153"/>
      <c r="D200" s="154"/>
      <c r="E200" s="139"/>
      <c r="F200" s="139"/>
      <c r="G200" s="139"/>
      <c r="H200" s="135"/>
      <c r="I200" s="141"/>
      <c r="J200" s="147" t="str">
        <f>IFERROR(__xludf.DUMMYFUNCTION("IF(ISBLANK(A200),IFERROR(1/0),IF(COUNT(FILTER(F:F,A:A=A200))&gt;1,TRUNC(N200*F200/SUM(FILTER(N:N,A:A=A200)),3),F200))"),"")</f>
        <v/>
      </c>
      <c r="K200" s="147" t="str">
        <f>IFERROR(__xludf.DUMMYFUNCTION("IF(ISBLANK(A200),IFERROR(1/0),IF(COUNT(FILTER(G:G,((A:A=A200)*(B:B=""V""))))&gt;1,TRUNC(N200*G200/SUM(FILTER(N:N,((A:A=A200)*(B:B=""V"")))),3),G200))"),"")</f>
        <v/>
      </c>
      <c r="L200" s="148" t="str">
        <f>IFERROR(__xludf.DUMMYFUNCTION("if($C200="""","""",iferror(if(row()&lt;&gt;2,INDEX(arrayformula(filter($M$2:$M199,$C$2:$C199&lt;&gt;"""",row($C$2:$C199)=max(if($C$2:$C199=C200,row($C$2:$C199),0)))) ,1),0),0))"),"")</f>
        <v/>
      </c>
      <c r="M200" s="148" t="str">
        <f t="shared" si="1"/>
        <v/>
      </c>
      <c r="N200" s="147" t="str">
        <f t="shared" si="2"/>
        <v/>
      </c>
      <c r="O200" s="147" t="str">
        <f t="shared" si="21"/>
        <v/>
      </c>
      <c r="P200" s="147" t="str">
        <f>IFERROR(__xludf.DUMMYFUNCTION("if(C200="""","""",iferror(if(row()&lt;&gt;2,INDEX(arrayformula(filter($Q$2:$Q199,$C$2:$C199&lt;&gt;"""",row($C$2:$C199)=max(if($C$2:$C199=C200,row($C$2:$C199),0)))) ,1),0),0))"),"")</f>
        <v/>
      </c>
      <c r="Q200" s="147" t="str">
        <f t="shared" si="22"/>
        <v/>
      </c>
      <c r="R200" s="147" t="str">
        <f t="shared" si="23"/>
        <v/>
      </c>
      <c r="S200" s="147" t="str">
        <f t="shared" si="24"/>
        <v/>
      </c>
      <c r="T200" s="147" t="str">
        <f t="shared" si="7"/>
        <v/>
      </c>
      <c r="U200" s="150" t="str">
        <f t="shared" si="8"/>
        <v/>
      </c>
      <c r="V200" s="151" t="str">
        <f>IFERROR(VLOOKUP(C200,Ativos!$A$1:$G2000,5,),)</f>
        <v/>
      </c>
    </row>
    <row r="201" ht="21.0" customHeight="1">
      <c r="A201" s="152"/>
      <c r="B201" s="160"/>
      <c r="C201" s="153"/>
      <c r="D201" s="154"/>
      <c r="E201" s="139"/>
      <c r="F201" s="139"/>
      <c r="G201" s="139"/>
      <c r="H201" s="135"/>
      <c r="I201" s="141"/>
      <c r="J201" s="147" t="str">
        <f>IFERROR(__xludf.DUMMYFUNCTION("IF(ISBLANK(A201),IFERROR(1/0),IF(COUNT(FILTER(F:F,A:A=A201))&gt;1,TRUNC(N201*F201/SUM(FILTER(N:N,A:A=A201)),3),F201))"),"")</f>
        <v/>
      </c>
      <c r="K201" s="147" t="str">
        <f>IFERROR(__xludf.DUMMYFUNCTION("IF(ISBLANK(A201),IFERROR(1/0),IF(COUNT(FILTER(G:G,((A:A=A201)*(B:B=""V""))))&gt;1,TRUNC(N201*G201/SUM(FILTER(N:N,((A:A=A201)*(B:B=""V"")))),3),G201))"),"")</f>
        <v/>
      </c>
      <c r="L201" s="148" t="str">
        <f>IFERROR(__xludf.DUMMYFUNCTION("if($C201="""","""",iferror(if(row()&lt;&gt;2,INDEX(arrayformula(filter($M$2:$M200,$C$2:$C200&lt;&gt;"""",row($C$2:$C200)=max(if($C$2:$C200=C201,row($C$2:$C200),0)))) ,1),0),0))"),"")</f>
        <v/>
      </c>
      <c r="M201" s="148" t="str">
        <f t="shared" si="1"/>
        <v/>
      </c>
      <c r="N201" s="147" t="str">
        <f t="shared" si="2"/>
        <v/>
      </c>
      <c r="O201" s="147" t="str">
        <f t="shared" si="21"/>
        <v/>
      </c>
      <c r="P201" s="147" t="str">
        <f>IFERROR(__xludf.DUMMYFUNCTION("if(C201="""","""",iferror(if(row()&lt;&gt;2,INDEX(arrayformula(filter($Q$2:$Q200,$C$2:$C200&lt;&gt;"""",row($C$2:$C200)=max(if($C$2:$C200=C201,row($C$2:$C200),0)))) ,1),0),0))"),"")</f>
        <v/>
      </c>
      <c r="Q201" s="147" t="str">
        <f t="shared" si="22"/>
        <v/>
      </c>
      <c r="R201" s="147" t="str">
        <f t="shared" si="23"/>
        <v/>
      </c>
      <c r="S201" s="147" t="str">
        <f t="shared" si="24"/>
        <v/>
      </c>
      <c r="T201" s="147" t="str">
        <f t="shared" si="7"/>
        <v/>
      </c>
      <c r="U201" s="150" t="str">
        <f t="shared" si="8"/>
        <v/>
      </c>
      <c r="V201" s="151" t="str">
        <f>IFERROR(VLOOKUP(C201,Ativos!$A$1:$G2000,5,),)</f>
        <v/>
      </c>
    </row>
    <row r="202" ht="21.0" customHeight="1">
      <c r="A202" s="152"/>
      <c r="B202" s="160"/>
      <c r="C202" s="153"/>
      <c r="D202" s="154"/>
      <c r="E202" s="139"/>
      <c r="F202" s="139"/>
      <c r="G202" s="139"/>
      <c r="H202" s="135"/>
      <c r="I202" s="141"/>
      <c r="J202" s="147" t="str">
        <f>IFERROR(__xludf.DUMMYFUNCTION("IF(ISBLANK(A202),IFERROR(1/0),IF(COUNT(FILTER(F:F,A:A=A202))&gt;1,TRUNC(N202*F202/SUM(FILTER(N:N,A:A=A202)),3),F202))"),"")</f>
        <v/>
      </c>
      <c r="K202" s="147" t="str">
        <f>IFERROR(__xludf.DUMMYFUNCTION("IF(ISBLANK(A202),IFERROR(1/0),IF(COUNT(FILTER(G:G,((A:A=A202)*(B:B=""V""))))&gt;1,TRUNC(N202*G202/SUM(FILTER(N:N,((A:A=A202)*(B:B=""V"")))),3),G202))"),"")</f>
        <v/>
      </c>
      <c r="L202" s="148" t="str">
        <f>IFERROR(__xludf.DUMMYFUNCTION("if($C202="""","""",iferror(if(row()&lt;&gt;2,INDEX(arrayformula(filter($M$2:$M201,$C$2:$C201&lt;&gt;"""",row($C$2:$C201)=max(if($C$2:$C201=C202,row($C$2:$C201),0)))) ,1),0),0))"),"")</f>
        <v/>
      </c>
      <c r="M202" s="148" t="str">
        <f t="shared" si="1"/>
        <v/>
      </c>
      <c r="N202" s="147" t="str">
        <f t="shared" si="2"/>
        <v/>
      </c>
      <c r="O202" s="147" t="str">
        <f t="shared" si="21"/>
        <v/>
      </c>
      <c r="P202" s="147" t="str">
        <f>IFERROR(__xludf.DUMMYFUNCTION("if(C202="""","""",iferror(if(row()&lt;&gt;2,INDEX(arrayformula(filter($Q$2:$Q201,$C$2:$C201&lt;&gt;"""",row($C$2:$C201)=max(if($C$2:$C201=C202,row($C$2:$C201),0)))) ,1),0),0))"),"")</f>
        <v/>
      </c>
      <c r="Q202" s="147" t="str">
        <f t="shared" si="22"/>
        <v/>
      </c>
      <c r="R202" s="147" t="str">
        <f t="shared" si="23"/>
        <v/>
      </c>
      <c r="S202" s="147" t="str">
        <f t="shared" si="24"/>
        <v/>
      </c>
      <c r="T202" s="147" t="str">
        <f t="shared" si="7"/>
        <v/>
      </c>
      <c r="U202" s="150" t="str">
        <f t="shared" si="8"/>
        <v/>
      </c>
      <c r="V202" s="151" t="str">
        <f>IFERROR(VLOOKUP(C202,Ativos!$A$1:$G2000,5,),)</f>
        <v/>
      </c>
    </row>
    <row r="203" ht="21.0" customHeight="1">
      <c r="A203" s="152"/>
      <c r="B203" s="160"/>
      <c r="C203" s="153"/>
      <c r="D203" s="154"/>
      <c r="E203" s="139"/>
      <c r="F203" s="139"/>
      <c r="G203" s="139"/>
      <c r="H203" s="135"/>
      <c r="I203" s="141"/>
      <c r="J203" s="147" t="str">
        <f>IFERROR(__xludf.DUMMYFUNCTION("IF(ISBLANK(A203),IFERROR(1/0),IF(COUNT(FILTER(F:F,A:A=A203))&gt;1,TRUNC(N203*F203/SUM(FILTER(N:N,A:A=A203)),3),F203))"),"")</f>
        <v/>
      </c>
      <c r="K203" s="147" t="str">
        <f>IFERROR(__xludf.DUMMYFUNCTION("IF(ISBLANK(A203),IFERROR(1/0),IF(COUNT(FILTER(G:G,((A:A=A203)*(B:B=""V""))))&gt;1,TRUNC(N203*G203/SUM(FILTER(N:N,((A:A=A203)*(B:B=""V"")))),3),G203))"),"")</f>
        <v/>
      </c>
      <c r="L203" s="148" t="str">
        <f>IFERROR(__xludf.DUMMYFUNCTION("if($C203="""","""",iferror(if(row()&lt;&gt;2,INDEX(arrayformula(filter($M$2:$M202,$C$2:$C202&lt;&gt;"""",row($C$2:$C202)=max(if($C$2:$C202=C203,row($C$2:$C202),0)))) ,1),0),0))"),"")</f>
        <v/>
      </c>
      <c r="M203" s="148" t="str">
        <f t="shared" si="1"/>
        <v/>
      </c>
      <c r="N203" s="147" t="str">
        <f t="shared" si="2"/>
        <v/>
      </c>
      <c r="O203" s="147" t="str">
        <f t="shared" si="21"/>
        <v/>
      </c>
      <c r="P203" s="147" t="str">
        <f>IFERROR(__xludf.DUMMYFUNCTION("if(C203="""","""",iferror(if(row()&lt;&gt;2,INDEX(arrayformula(filter($Q$2:$Q202,$C$2:$C202&lt;&gt;"""",row($C$2:$C202)=max(if($C$2:$C202=C203,row($C$2:$C202),0)))) ,1),0),0))"),"")</f>
        <v/>
      </c>
      <c r="Q203" s="147" t="str">
        <f t="shared" si="22"/>
        <v/>
      </c>
      <c r="R203" s="147" t="str">
        <f t="shared" si="23"/>
        <v/>
      </c>
      <c r="S203" s="147" t="str">
        <f t="shared" si="24"/>
        <v/>
      </c>
      <c r="T203" s="147" t="str">
        <f t="shared" si="7"/>
        <v/>
      </c>
      <c r="U203" s="150" t="str">
        <f t="shared" si="8"/>
        <v/>
      </c>
      <c r="V203" s="151" t="str">
        <f>IFERROR(VLOOKUP(C203,Ativos!$A$1:$G2000,5,),)</f>
        <v/>
      </c>
    </row>
    <row r="204" ht="21.0" customHeight="1">
      <c r="A204" s="152"/>
      <c r="B204" s="160"/>
      <c r="C204" s="153"/>
      <c r="D204" s="154"/>
      <c r="E204" s="139"/>
      <c r="F204" s="139"/>
      <c r="G204" s="139"/>
      <c r="H204" s="135"/>
      <c r="I204" s="141"/>
      <c r="J204" s="147" t="str">
        <f>IFERROR(__xludf.DUMMYFUNCTION("IF(ISBLANK(A204),IFERROR(1/0),IF(COUNT(FILTER(F:F,A:A=A204))&gt;1,TRUNC(N204*F204/SUM(FILTER(N:N,A:A=A204)),3),F204))"),"")</f>
        <v/>
      </c>
      <c r="K204" s="147" t="str">
        <f>IFERROR(__xludf.DUMMYFUNCTION("IF(ISBLANK(A204),IFERROR(1/0),IF(COUNT(FILTER(G:G,((A:A=A204)*(B:B=""V""))))&gt;1,TRUNC(N204*G204/SUM(FILTER(N:N,((A:A=A204)*(B:B=""V"")))),3),G204))"),"")</f>
        <v/>
      </c>
      <c r="L204" s="148" t="str">
        <f>IFERROR(__xludf.DUMMYFUNCTION("if($C204="""","""",iferror(if(row()&lt;&gt;2,INDEX(arrayformula(filter($M$2:$M203,$C$2:$C203&lt;&gt;"""",row($C$2:$C203)=max(if($C$2:$C203=C204,row($C$2:$C203),0)))) ,1),0),0))"),"")</f>
        <v/>
      </c>
      <c r="M204" s="148" t="str">
        <f t="shared" si="1"/>
        <v/>
      </c>
      <c r="N204" s="147" t="str">
        <f t="shared" si="2"/>
        <v/>
      </c>
      <c r="O204" s="147" t="str">
        <f t="shared" si="21"/>
        <v/>
      </c>
      <c r="P204" s="147" t="str">
        <f>IFERROR(__xludf.DUMMYFUNCTION("if(C204="""","""",iferror(if(row()&lt;&gt;2,INDEX(arrayformula(filter($Q$2:$Q203,$C$2:$C203&lt;&gt;"""",row($C$2:$C203)=max(if($C$2:$C203=C204,row($C$2:$C203),0)))) ,1),0),0))"),"")</f>
        <v/>
      </c>
      <c r="Q204" s="147" t="str">
        <f t="shared" si="22"/>
        <v/>
      </c>
      <c r="R204" s="147" t="str">
        <f t="shared" si="23"/>
        <v/>
      </c>
      <c r="S204" s="147" t="str">
        <f t="shared" si="24"/>
        <v/>
      </c>
      <c r="T204" s="147" t="str">
        <f t="shared" si="7"/>
        <v/>
      </c>
      <c r="U204" s="150" t="str">
        <f t="shared" si="8"/>
        <v/>
      </c>
      <c r="V204" s="151" t="str">
        <f>IFERROR(VLOOKUP(C204,Ativos!$A$1:$G2000,5,),)</f>
        <v/>
      </c>
    </row>
    <row r="205" ht="21.0" customHeight="1">
      <c r="A205" s="152"/>
      <c r="B205" s="160"/>
      <c r="C205" s="153"/>
      <c r="D205" s="154"/>
      <c r="E205" s="139"/>
      <c r="F205" s="139"/>
      <c r="G205" s="139"/>
      <c r="H205" s="135"/>
      <c r="I205" s="141"/>
      <c r="J205" s="147" t="str">
        <f>IFERROR(__xludf.DUMMYFUNCTION("IF(ISBLANK(A205),IFERROR(1/0),IF(COUNT(FILTER(F:F,A:A=A205))&gt;1,TRUNC(N205*F205/SUM(FILTER(N:N,A:A=A205)),3),F205))"),"")</f>
        <v/>
      </c>
      <c r="K205" s="147" t="str">
        <f>IFERROR(__xludf.DUMMYFUNCTION("IF(ISBLANK(A205),IFERROR(1/0),IF(COUNT(FILTER(G:G,((A:A=A205)*(B:B=""V""))))&gt;1,TRUNC(N205*G205/SUM(FILTER(N:N,((A:A=A205)*(B:B=""V"")))),3),G205))"),"")</f>
        <v/>
      </c>
      <c r="L205" s="148" t="str">
        <f>IFERROR(__xludf.DUMMYFUNCTION("if($C205="""","""",iferror(if(row()&lt;&gt;2,INDEX(arrayformula(filter($M$2:$M204,$C$2:$C204&lt;&gt;"""",row($C$2:$C204)=max(if($C$2:$C204=C205,row($C$2:$C204),0)))) ,1),0),0))"),"")</f>
        <v/>
      </c>
      <c r="M205" s="148" t="str">
        <f t="shared" si="1"/>
        <v/>
      </c>
      <c r="N205" s="147" t="str">
        <f t="shared" si="2"/>
        <v/>
      </c>
      <c r="O205" s="147" t="str">
        <f t="shared" si="21"/>
        <v/>
      </c>
      <c r="P205" s="147" t="str">
        <f>IFERROR(__xludf.DUMMYFUNCTION("if(C205="""","""",iferror(if(row()&lt;&gt;2,INDEX(arrayformula(filter($Q$2:$Q204,$C$2:$C204&lt;&gt;"""",row($C$2:$C204)=max(if($C$2:$C204=C205,row($C$2:$C204),0)))) ,1),0),0))"),"")</f>
        <v/>
      </c>
      <c r="Q205" s="147" t="str">
        <f t="shared" si="22"/>
        <v/>
      </c>
      <c r="R205" s="147" t="str">
        <f t="shared" si="23"/>
        <v/>
      </c>
      <c r="S205" s="147" t="str">
        <f t="shared" si="24"/>
        <v/>
      </c>
      <c r="T205" s="147" t="str">
        <f t="shared" si="7"/>
        <v/>
      </c>
      <c r="U205" s="150" t="str">
        <f t="shared" si="8"/>
        <v/>
      </c>
      <c r="V205" s="151" t="str">
        <f>IFERROR(VLOOKUP(C205,Ativos!$A$1:$G2000,5,),)</f>
        <v/>
      </c>
    </row>
    <row r="206" ht="21.0" customHeight="1">
      <c r="A206" s="152"/>
      <c r="B206" s="160"/>
      <c r="C206" s="153"/>
      <c r="D206" s="154"/>
      <c r="E206" s="139"/>
      <c r="F206" s="139"/>
      <c r="G206" s="139"/>
      <c r="H206" s="135"/>
      <c r="I206" s="141"/>
      <c r="J206" s="147" t="str">
        <f>IFERROR(__xludf.DUMMYFUNCTION("IF(ISBLANK(A206),IFERROR(1/0),IF(COUNT(FILTER(F:F,A:A=A206))&gt;1,TRUNC(N206*F206/SUM(FILTER(N:N,A:A=A206)),3),F206))"),"")</f>
        <v/>
      </c>
      <c r="K206" s="147" t="str">
        <f>IFERROR(__xludf.DUMMYFUNCTION("IF(ISBLANK(A206),IFERROR(1/0),IF(COUNT(FILTER(G:G,((A:A=A206)*(B:B=""V""))))&gt;1,TRUNC(N206*G206/SUM(FILTER(N:N,((A:A=A206)*(B:B=""V"")))),3),G206))"),"")</f>
        <v/>
      </c>
      <c r="L206" s="148" t="str">
        <f>IFERROR(__xludf.DUMMYFUNCTION("if($C206="""","""",iferror(if(row()&lt;&gt;2,INDEX(arrayformula(filter($M$2:$M205,$C$2:$C205&lt;&gt;"""",row($C$2:$C205)=max(if($C$2:$C205=C206,row($C$2:$C205),0)))) ,1),0),0))"),"")</f>
        <v/>
      </c>
      <c r="M206" s="148" t="str">
        <f t="shared" si="1"/>
        <v/>
      </c>
      <c r="N206" s="147" t="str">
        <f t="shared" si="2"/>
        <v/>
      </c>
      <c r="O206" s="147" t="str">
        <f t="shared" si="21"/>
        <v/>
      </c>
      <c r="P206" s="147" t="str">
        <f>IFERROR(__xludf.DUMMYFUNCTION("if(C206="""","""",iferror(if(row()&lt;&gt;2,INDEX(arrayformula(filter($Q$2:$Q205,$C$2:$C205&lt;&gt;"""",row($C$2:$C205)=max(if($C$2:$C205=C206,row($C$2:$C205),0)))) ,1),0),0))"),"")</f>
        <v/>
      </c>
      <c r="Q206" s="147" t="str">
        <f t="shared" si="22"/>
        <v/>
      </c>
      <c r="R206" s="147" t="str">
        <f t="shared" si="23"/>
        <v/>
      </c>
      <c r="S206" s="147" t="str">
        <f t="shared" si="24"/>
        <v/>
      </c>
      <c r="T206" s="147" t="str">
        <f t="shared" si="7"/>
        <v/>
      </c>
      <c r="U206" s="150" t="str">
        <f t="shared" si="8"/>
        <v/>
      </c>
      <c r="V206" s="151" t="str">
        <f>IFERROR(VLOOKUP(C206,Ativos!$A$1:$G2000,5,),)</f>
        <v/>
      </c>
    </row>
    <row r="207" ht="21.0" customHeight="1">
      <c r="A207" s="152"/>
      <c r="B207" s="160"/>
      <c r="C207" s="153"/>
      <c r="D207" s="154"/>
      <c r="E207" s="139"/>
      <c r="F207" s="139"/>
      <c r="G207" s="139"/>
      <c r="H207" s="135"/>
      <c r="I207" s="141"/>
      <c r="J207" s="147" t="str">
        <f>IFERROR(__xludf.DUMMYFUNCTION("IF(ISBLANK(A207),IFERROR(1/0),IF(COUNT(FILTER(F:F,A:A=A207))&gt;1,TRUNC(N207*F207/SUM(FILTER(N:N,A:A=A207)),3),F207))"),"")</f>
        <v/>
      </c>
      <c r="K207" s="147" t="str">
        <f>IFERROR(__xludf.DUMMYFUNCTION("IF(ISBLANK(A207),IFERROR(1/0),IF(COUNT(FILTER(G:G,((A:A=A207)*(B:B=""V""))))&gt;1,TRUNC(N207*G207/SUM(FILTER(N:N,((A:A=A207)*(B:B=""V"")))),3),G207))"),"")</f>
        <v/>
      </c>
      <c r="L207" s="148" t="str">
        <f>IFERROR(__xludf.DUMMYFUNCTION("if($C207="""","""",iferror(if(row()&lt;&gt;2,INDEX(arrayformula(filter($M$2:$M206,$C$2:$C206&lt;&gt;"""",row($C$2:$C206)=max(if($C$2:$C206=C207,row($C$2:$C206),0)))) ,1),0),0))"),"")</f>
        <v/>
      </c>
      <c r="M207" s="148" t="str">
        <f t="shared" si="1"/>
        <v/>
      </c>
      <c r="N207" s="147" t="str">
        <f t="shared" si="2"/>
        <v/>
      </c>
      <c r="O207" s="147" t="str">
        <f t="shared" si="21"/>
        <v/>
      </c>
      <c r="P207" s="147" t="str">
        <f>IFERROR(__xludf.DUMMYFUNCTION("if(C207="""","""",iferror(if(row()&lt;&gt;2,INDEX(arrayformula(filter($Q$2:$Q206,$C$2:$C206&lt;&gt;"""",row($C$2:$C206)=max(if($C$2:$C206=C207,row($C$2:$C206),0)))) ,1),0),0))"),"")</f>
        <v/>
      </c>
      <c r="Q207" s="147" t="str">
        <f t="shared" si="22"/>
        <v/>
      </c>
      <c r="R207" s="147" t="str">
        <f t="shared" si="23"/>
        <v/>
      </c>
      <c r="S207" s="147" t="str">
        <f t="shared" si="24"/>
        <v/>
      </c>
      <c r="T207" s="147" t="str">
        <f t="shared" si="7"/>
        <v/>
      </c>
      <c r="U207" s="150" t="str">
        <f t="shared" si="8"/>
        <v/>
      </c>
      <c r="V207" s="151" t="str">
        <f>IFERROR(VLOOKUP(C207,Ativos!$A$1:$G2000,5,),)</f>
        <v/>
      </c>
    </row>
    <row r="208" ht="21.0" customHeight="1">
      <c r="A208" s="152"/>
      <c r="B208" s="160"/>
      <c r="C208" s="153"/>
      <c r="D208" s="154"/>
      <c r="E208" s="139"/>
      <c r="F208" s="139"/>
      <c r="G208" s="139"/>
      <c r="H208" s="135"/>
      <c r="I208" s="141"/>
      <c r="J208" s="147" t="str">
        <f>IFERROR(__xludf.DUMMYFUNCTION("IF(ISBLANK(A208),IFERROR(1/0),IF(COUNT(FILTER(F:F,A:A=A208))&gt;1,TRUNC(N208*F208/SUM(FILTER(N:N,A:A=A208)),3),F208))"),"")</f>
        <v/>
      </c>
      <c r="K208" s="147" t="str">
        <f>IFERROR(__xludf.DUMMYFUNCTION("IF(ISBLANK(A208),IFERROR(1/0),IF(COUNT(FILTER(G:G,((A:A=A208)*(B:B=""V""))))&gt;1,TRUNC(N208*G208/SUM(FILTER(N:N,((A:A=A208)*(B:B=""V"")))),3),G208))"),"")</f>
        <v/>
      </c>
      <c r="L208" s="148" t="str">
        <f>IFERROR(__xludf.DUMMYFUNCTION("if($C208="""","""",iferror(if(row()&lt;&gt;2,INDEX(arrayformula(filter($M$2:$M207,$C$2:$C207&lt;&gt;"""",row($C$2:$C207)=max(if($C$2:$C207=C208,row($C$2:$C207),0)))) ,1),0),0))"),"")</f>
        <v/>
      </c>
      <c r="M208" s="148" t="str">
        <f t="shared" si="1"/>
        <v/>
      </c>
      <c r="N208" s="147" t="str">
        <f t="shared" si="2"/>
        <v/>
      </c>
      <c r="O208" s="147" t="str">
        <f t="shared" si="21"/>
        <v/>
      </c>
      <c r="P208" s="147" t="str">
        <f>IFERROR(__xludf.DUMMYFUNCTION("if(C208="""","""",iferror(if(row()&lt;&gt;2,INDEX(arrayformula(filter($Q$2:$Q207,$C$2:$C207&lt;&gt;"""",row($C$2:$C207)=max(if($C$2:$C207=C208,row($C$2:$C207),0)))) ,1),0),0))"),"")</f>
        <v/>
      </c>
      <c r="Q208" s="147" t="str">
        <f t="shared" si="22"/>
        <v/>
      </c>
      <c r="R208" s="147" t="str">
        <f t="shared" si="23"/>
        <v/>
      </c>
      <c r="S208" s="147" t="str">
        <f t="shared" si="24"/>
        <v/>
      </c>
      <c r="T208" s="147" t="str">
        <f t="shared" si="7"/>
        <v/>
      </c>
      <c r="U208" s="150" t="str">
        <f t="shared" si="8"/>
        <v/>
      </c>
      <c r="V208" s="151" t="str">
        <f>IFERROR(VLOOKUP(C208,Ativos!$A$1:$G2000,5,),)</f>
        <v/>
      </c>
    </row>
    <row r="209" ht="21.0" customHeight="1">
      <c r="A209" s="152"/>
      <c r="B209" s="160"/>
      <c r="C209" s="153"/>
      <c r="D209" s="154"/>
      <c r="E209" s="139"/>
      <c r="F209" s="139"/>
      <c r="G209" s="139"/>
      <c r="H209" s="135"/>
      <c r="I209" s="141"/>
      <c r="J209" s="147" t="str">
        <f>IFERROR(__xludf.DUMMYFUNCTION("IF(ISBLANK(A209),IFERROR(1/0),IF(COUNT(FILTER(F:F,A:A=A209))&gt;1,TRUNC(N209*F209/SUM(FILTER(N:N,A:A=A209)),3),F209))"),"")</f>
        <v/>
      </c>
      <c r="K209" s="147" t="str">
        <f>IFERROR(__xludf.DUMMYFUNCTION("IF(ISBLANK(A209),IFERROR(1/0),IF(COUNT(FILTER(G:G,((A:A=A209)*(B:B=""V""))))&gt;1,TRUNC(N209*G209/SUM(FILTER(N:N,((A:A=A209)*(B:B=""V"")))),3),G209))"),"")</f>
        <v/>
      </c>
      <c r="L209" s="148" t="str">
        <f>IFERROR(__xludf.DUMMYFUNCTION("if($C209="""","""",iferror(if(row()&lt;&gt;2,INDEX(arrayformula(filter($M$2:$M208,$C$2:$C208&lt;&gt;"""",row($C$2:$C208)=max(if($C$2:$C208=C209,row($C$2:$C208),0)))) ,1),0),0))"),"")</f>
        <v/>
      </c>
      <c r="M209" s="148" t="str">
        <f t="shared" si="1"/>
        <v/>
      </c>
      <c r="N209" s="147" t="str">
        <f t="shared" si="2"/>
        <v/>
      </c>
      <c r="O209" s="147" t="str">
        <f t="shared" si="21"/>
        <v/>
      </c>
      <c r="P209" s="147" t="str">
        <f>IFERROR(__xludf.DUMMYFUNCTION("if(C209="""","""",iferror(if(row()&lt;&gt;2,INDEX(arrayformula(filter($Q$2:$Q208,$C$2:$C208&lt;&gt;"""",row($C$2:$C208)=max(if($C$2:$C208=C209,row($C$2:$C208),0)))) ,1),0),0))"),"")</f>
        <v/>
      </c>
      <c r="Q209" s="147" t="str">
        <f t="shared" si="22"/>
        <v/>
      </c>
      <c r="R209" s="147" t="str">
        <f t="shared" si="23"/>
        <v/>
      </c>
      <c r="S209" s="147" t="str">
        <f t="shared" si="24"/>
        <v/>
      </c>
      <c r="T209" s="147" t="str">
        <f t="shared" si="7"/>
        <v/>
      </c>
      <c r="U209" s="150" t="str">
        <f t="shared" si="8"/>
        <v/>
      </c>
      <c r="V209" s="151" t="str">
        <f>IFERROR(VLOOKUP(C209,Ativos!$A$1:$G2000,5,),)</f>
        <v/>
      </c>
    </row>
    <row r="210" ht="21.0" customHeight="1">
      <c r="A210" s="152"/>
      <c r="B210" s="160"/>
      <c r="C210" s="153"/>
      <c r="D210" s="154"/>
      <c r="E210" s="139"/>
      <c r="F210" s="139"/>
      <c r="G210" s="139"/>
      <c r="H210" s="135"/>
      <c r="I210" s="141"/>
      <c r="J210" s="147" t="str">
        <f>IFERROR(__xludf.DUMMYFUNCTION("IF(ISBLANK(A210),IFERROR(1/0),IF(COUNT(FILTER(F:F,A:A=A210))&gt;1,TRUNC(N210*F210/SUM(FILTER(N:N,A:A=A210)),3),F210))"),"")</f>
        <v/>
      </c>
      <c r="K210" s="147" t="str">
        <f>IFERROR(__xludf.DUMMYFUNCTION("IF(ISBLANK(A210),IFERROR(1/0),IF(COUNT(FILTER(G:G,((A:A=A210)*(B:B=""V""))))&gt;1,TRUNC(N210*G210/SUM(FILTER(N:N,((A:A=A210)*(B:B=""V"")))),3),G210))"),"")</f>
        <v/>
      </c>
      <c r="L210" s="148" t="str">
        <f>IFERROR(__xludf.DUMMYFUNCTION("if($C210="""","""",iferror(if(row()&lt;&gt;2,INDEX(arrayformula(filter($M$2:$M209,$C$2:$C209&lt;&gt;"""",row($C$2:$C209)=max(if($C$2:$C209=C210,row($C$2:$C209),0)))) ,1),0),0))"),"")</f>
        <v/>
      </c>
      <c r="M210" s="148" t="str">
        <f t="shared" si="1"/>
        <v/>
      </c>
      <c r="N210" s="147" t="str">
        <f t="shared" si="2"/>
        <v/>
      </c>
      <c r="O210" s="147" t="str">
        <f t="shared" si="21"/>
        <v/>
      </c>
      <c r="P210" s="147" t="str">
        <f>IFERROR(__xludf.DUMMYFUNCTION("if(C210="""","""",iferror(if(row()&lt;&gt;2,INDEX(arrayformula(filter($Q$2:$Q209,$C$2:$C209&lt;&gt;"""",row($C$2:$C209)=max(if($C$2:$C209=C210,row($C$2:$C209),0)))) ,1),0),0))"),"")</f>
        <v/>
      </c>
      <c r="Q210" s="147" t="str">
        <f t="shared" si="22"/>
        <v/>
      </c>
      <c r="R210" s="147" t="str">
        <f t="shared" si="23"/>
        <v/>
      </c>
      <c r="S210" s="147" t="str">
        <f t="shared" si="24"/>
        <v/>
      </c>
      <c r="T210" s="147" t="str">
        <f t="shared" si="7"/>
        <v/>
      </c>
      <c r="U210" s="150" t="str">
        <f t="shared" si="8"/>
        <v/>
      </c>
      <c r="V210" s="151" t="str">
        <f>IFERROR(VLOOKUP(C210,Ativos!$A$1:$G2000,5,),)</f>
        <v/>
      </c>
    </row>
    <row r="211" ht="21.0" customHeight="1">
      <c r="A211" s="152"/>
      <c r="B211" s="160"/>
      <c r="C211" s="153"/>
      <c r="D211" s="154"/>
      <c r="E211" s="139"/>
      <c r="F211" s="139"/>
      <c r="G211" s="139"/>
      <c r="H211" s="135"/>
      <c r="I211" s="141"/>
      <c r="J211" s="147" t="str">
        <f>IFERROR(__xludf.DUMMYFUNCTION("IF(ISBLANK(A211),IFERROR(1/0),IF(COUNT(FILTER(F:F,A:A=A211))&gt;1,TRUNC(N211*F211/SUM(FILTER(N:N,A:A=A211)),3),F211))"),"")</f>
        <v/>
      </c>
      <c r="K211" s="147" t="str">
        <f>IFERROR(__xludf.DUMMYFUNCTION("IF(ISBLANK(A211),IFERROR(1/0),IF(COUNT(FILTER(G:G,((A:A=A211)*(B:B=""V""))))&gt;1,TRUNC(N211*G211/SUM(FILTER(N:N,((A:A=A211)*(B:B=""V"")))),3),G211))"),"")</f>
        <v/>
      </c>
      <c r="L211" s="148" t="str">
        <f>IFERROR(__xludf.DUMMYFUNCTION("if($C211="""","""",iferror(if(row()&lt;&gt;2,INDEX(arrayformula(filter($M$2:$M210,$C$2:$C210&lt;&gt;"""",row($C$2:$C210)=max(if($C$2:$C210=C211,row($C$2:$C210),0)))) ,1),0),0))"),"")</f>
        <v/>
      </c>
      <c r="M211" s="148" t="str">
        <f t="shared" si="1"/>
        <v/>
      </c>
      <c r="N211" s="147" t="str">
        <f t="shared" si="2"/>
        <v/>
      </c>
      <c r="O211" s="147" t="str">
        <f t="shared" si="21"/>
        <v/>
      </c>
      <c r="P211" s="147" t="str">
        <f>IFERROR(__xludf.DUMMYFUNCTION("if(C211="""","""",iferror(if(row()&lt;&gt;2,INDEX(arrayformula(filter($Q$2:$Q210,$C$2:$C210&lt;&gt;"""",row($C$2:$C210)=max(if($C$2:$C210=C211,row($C$2:$C210),0)))) ,1),0),0))"),"")</f>
        <v/>
      </c>
      <c r="Q211" s="147" t="str">
        <f t="shared" si="22"/>
        <v/>
      </c>
      <c r="R211" s="147" t="str">
        <f t="shared" si="23"/>
        <v/>
      </c>
      <c r="S211" s="147" t="str">
        <f t="shared" si="24"/>
        <v/>
      </c>
      <c r="T211" s="147" t="str">
        <f t="shared" si="7"/>
        <v/>
      </c>
      <c r="U211" s="150" t="str">
        <f t="shared" si="8"/>
        <v/>
      </c>
      <c r="V211" s="151" t="str">
        <f>IFERROR(VLOOKUP(C211,Ativos!$A$1:$G2000,5,),)</f>
        <v/>
      </c>
    </row>
    <row r="212" ht="21.0" customHeight="1">
      <c r="A212" s="152"/>
      <c r="B212" s="160"/>
      <c r="C212" s="153"/>
      <c r="D212" s="154"/>
      <c r="E212" s="139"/>
      <c r="F212" s="139"/>
      <c r="G212" s="139"/>
      <c r="H212" s="135"/>
      <c r="I212" s="141"/>
      <c r="J212" s="147" t="str">
        <f>IFERROR(__xludf.DUMMYFUNCTION("IF(ISBLANK(A212),IFERROR(1/0),IF(COUNT(FILTER(F:F,A:A=A212))&gt;1,TRUNC(N212*F212/SUM(FILTER(N:N,A:A=A212)),3),F212))"),"")</f>
        <v/>
      </c>
      <c r="K212" s="147" t="str">
        <f>IFERROR(__xludf.DUMMYFUNCTION("IF(ISBLANK(A212),IFERROR(1/0),IF(COUNT(FILTER(G:G,((A:A=A212)*(B:B=""V""))))&gt;1,TRUNC(N212*G212/SUM(FILTER(N:N,((A:A=A212)*(B:B=""V"")))),3),G212))"),"")</f>
        <v/>
      </c>
      <c r="L212" s="148" t="str">
        <f>IFERROR(__xludf.DUMMYFUNCTION("if($C212="""","""",iferror(if(row()&lt;&gt;2,INDEX(arrayformula(filter($M$2:$M211,$C$2:$C211&lt;&gt;"""",row($C$2:$C211)=max(if($C$2:$C211=C212,row($C$2:$C211),0)))) ,1),0),0))"),"")</f>
        <v/>
      </c>
      <c r="M212" s="148" t="str">
        <f t="shared" si="1"/>
        <v/>
      </c>
      <c r="N212" s="147" t="str">
        <f t="shared" si="2"/>
        <v/>
      </c>
      <c r="O212" s="147" t="str">
        <f t="shared" si="21"/>
        <v/>
      </c>
      <c r="P212" s="147" t="str">
        <f>IFERROR(__xludf.DUMMYFUNCTION("if(C212="""","""",iferror(if(row()&lt;&gt;2,INDEX(arrayformula(filter($Q$2:$Q211,$C$2:$C211&lt;&gt;"""",row($C$2:$C211)=max(if($C$2:$C211=C212,row($C$2:$C211),0)))) ,1),0),0))"),"")</f>
        <v/>
      </c>
      <c r="Q212" s="147" t="str">
        <f t="shared" si="22"/>
        <v/>
      </c>
      <c r="R212" s="147" t="str">
        <f t="shared" si="23"/>
        <v/>
      </c>
      <c r="S212" s="147" t="str">
        <f t="shared" si="24"/>
        <v/>
      </c>
      <c r="T212" s="147" t="str">
        <f t="shared" si="7"/>
        <v/>
      </c>
      <c r="U212" s="150" t="str">
        <f t="shared" si="8"/>
        <v/>
      </c>
      <c r="V212" s="151" t="str">
        <f>IFERROR(VLOOKUP(C212,Ativos!$A$1:$G2000,5,),)</f>
        <v/>
      </c>
    </row>
    <row r="213" ht="21.0" customHeight="1">
      <c r="A213" s="152"/>
      <c r="B213" s="160"/>
      <c r="C213" s="153"/>
      <c r="D213" s="154"/>
      <c r="E213" s="139"/>
      <c r="F213" s="139"/>
      <c r="G213" s="139"/>
      <c r="H213" s="135"/>
      <c r="I213" s="141"/>
      <c r="J213" s="147" t="str">
        <f>IFERROR(__xludf.DUMMYFUNCTION("IF(ISBLANK(A213),IFERROR(1/0),IF(COUNT(FILTER(F:F,A:A=A213))&gt;1,TRUNC(N213*F213/SUM(FILTER(N:N,A:A=A213)),3),F213))"),"")</f>
        <v/>
      </c>
      <c r="K213" s="147" t="str">
        <f>IFERROR(__xludf.DUMMYFUNCTION("IF(ISBLANK(A213),IFERROR(1/0),IF(COUNT(FILTER(G:G,((A:A=A213)*(B:B=""V""))))&gt;1,TRUNC(N213*G213/SUM(FILTER(N:N,((A:A=A213)*(B:B=""V"")))),3),G213))"),"")</f>
        <v/>
      </c>
      <c r="L213" s="148" t="str">
        <f>IFERROR(__xludf.DUMMYFUNCTION("if($C213="""","""",iferror(if(row()&lt;&gt;2,INDEX(arrayformula(filter($M$2:$M212,$C$2:$C212&lt;&gt;"""",row($C$2:$C212)=max(if($C$2:$C212=C213,row($C$2:$C212),0)))) ,1),0),0))"),"")</f>
        <v/>
      </c>
      <c r="M213" s="148" t="str">
        <f t="shared" si="1"/>
        <v/>
      </c>
      <c r="N213" s="147" t="str">
        <f t="shared" si="2"/>
        <v/>
      </c>
      <c r="O213" s="147" t="str">
        <f t="shared" si="21"/>
        <v/>
      </c>
      <c r="P213" s="147" t="str">
        <f>IFERROR(__xludf.DUMMYFUNCTION("if(C213="""","""",iferror(if(row()&lt;&gt;2,INDEX(arrayformula(filter($Q$2:$Q212,$C$2:$C212&lt;&gt;"""",row($C$2:$C212)=max(if($C$2:$C212=C213,row($C$2:$C212),0)))) ,1),0),0))"),"")</f>
        <v/>
      </c>
      <c r="Q213" s="147" t="str">
        <f t="shared" si="22"/>
        <v/>
      </c>
      <c r="R213" s="147" t="str">
        <f t="shared" si="23"/>
        <v/>
      </c>
      <c r="S213" s="147" t="str">
        <f t="shared" si="24"/>
        <v/>
      </c>
      <c r="T213" s="147" t="str">
        <f t="shared" si="7"/>
        <v/>
      </c>
      <c r="U213" s="150" t="str">
        <f t="shared" si="8"/>
        <v/>
      </c>
      <c r="V213" s="151" t="str">
        <f>IFERROR(VLOOKUP(C213,Ativos!$A$1:$G2000,5,),)</f>
        <v/>
      </c>
    </row>
    <row r="214" ht="21.0" customHeight="1">
      <c r="A214" s="152"/>
      <c r="B214" s="160"/>
      <c r="C214" s="153"/>
      <c r="D214" s="154"/>
      <c r="E214" s="139"/>
      <c r="F214" s="139"/>
      <c r="G214" s="139"/>
      <c r="H214" s="135"/>
      <c r="I214" s="141"/>
      <c r="J214" s="147" t="str">
        <f>IFERROR(__xludf.DUMMYFUNCTION("IF(ISBLANK(A214),IFERROR(1/0),IF(COUNT(FILTER(F:F,A:A=A214))&gt;1,TRUNC(N214*F214/SUM(FILTER(N:N,A:A=A214)),3),F214))"),"")</f>
        <v/>
      </c>
      <c r="K214" s="147" t="str">
        <f>IFERROR(__xludf.DUMMYFUNCTION("IF(ISBLANK(A214),IFERROR(1/0),IF(COUNT(FILTER(G:G,((A:A=A214)*(B:B=""V""))))&gt;1,TRUNC(N214*G214/SUM(FILTER(N:N,((A:A=A214)*(B:B=""V"")))),3),G214))"),"")</f>
        <v/>
      </c>
      <c r="L214" s="148" t="str">
        <f>IFERROR(__xludf.DUMMYFUNCTION("if($C214="""","""",iferror(if(row()&lt;&gt;2,INDEX(arrayformula(filter($M$2:$M213,$C$2:$C213&lt;&gt;"""",row($C$2:$C213)=max(if($C$2:$C213=C214,row($C$2:$C213),0)))) ,1),0),0))"),"")</f>
        <v/>
      </c>
      <c r="M214" s="148" t="str">
        <f t="shared" si="1"/>
        <v/>
      </c>
      <c r="N214" s="147" t="str">
        <f t="shared" si="2"/>
        <v/>
      </c>
      <c r="O214" s="147" t="str">
        <f t="shared" si="21"/>
        <v/>
      </c>
      <c r="P214" s="147" t="str">
        <f>IFERROR(__xludf.DUMMYFUNCTION("if(C214="""","""",iferror(if(row()&lt;&gt;2,INDEX(arrayformula(filter($Q$2:$Q213,$C$2:$C213&lt;&gt;"""",row($C$2:$C213)=max(if($C$2:$C213=C214,row($C$2:$C213),0)))) ,1),0),0))"),"")</f>
        <v/>
      </c>
      <c r="Q214" s="147" t="str">
        <f t="shared" si="22"/>
        <v/>
      </c>
      <c r="R214" s="147" t="str">
        <f t="shared" si="23"/>
        <v/>
      </c>
      <c r="S214" s="147" t="str">
        <f t="shared" si="24"/>
        <v/>
      </c>
      <c r="T214" s="147" t="str">
        <f t="shared" si="7"/>
        <v/>
      </c>
      <c r="U214" s="150" t="str">
        <f t="shared" si="8"/>
        <v/>
      </c>
      <c r="V214" s="151" t="str">
        <f>IFERROR(VLOOKUP(C214,Ativos!$A$1:$G2000,5,),)</f>
        <v/>
      </c>
    </row>
    <row r="215" ht="21.0" customHeight="1">
      <c r="A215" s="152"/>
      <c r="B215" s="160"/>
      <c r="C215" s="153"/>
      <c r="D215" s="154"/>
      <c r="E215" s="139"/>
      <c r="F215" s="139"/>
      <c r="G215" s="139"/>
      <c r="H215" s="135"/>
      <c r="I215" s="141"/>
      <c r="J215" s="147" t="str">
        <f>IFERROR(__xludf.DUMMYFUNCTION("IF(ISBLANK(A215),IFERROR(1/0),IF(COUNT(FILTER(F:F,A:A=A215))&gt;1,TRUNC(N215*F215/SUM(FILTER(N:N,A:A=A215)),3),F215))"),"")</f>
        <v/>
      </c>
      <c r="K215" s="147" t="str">
        <f>IFERROR(__xludf.DUMMYFUNCTION("IF(ISBLANK(A215),IFERROR(1/0),IF(COUNT(FILTER(G:G,((A:A=A215)*(B:B=""V""))))&gt;1,TRUNC(N215*G215/SUM(FILTER(N:N,((A:A=A215)*(B:B=""V"")))),3),G215))"),"")</f>
        <v/>
      </c>
      <c r="L215" s="148" t="str">
        <f>IFERROR(__xludf.DUMMYFUNCTION("if($C215="""","""",iferror(if(row()&lt;&gt;2,INDEX(arrayformula(filter($M$2:$M214,$C$2:$C214&lt;&gt;"""",row($C$2:$C214)=max(if($C$2:$C214=C215,row($C$2:$C214),0)))) ,1),0),0))"),"")</f>
        <v/>
      </c>
      <c r="M215" s="148" t="str">
        <f t="shared" si="1"/>
        <v/>
      </c>
      <c r="N215" s="147" t="str">
        <f t="shared" si="2"/>
        <v/>
      </c>
      <c r="O215" s="147" t="str">
        <f t="shared" si="21"/>
        <v/>
      </c>
      <c r="P215" s="147" t="str">
        <f>IFERROR(__xludf.DUMMYFUNCTION("if(C215="""","""",iferror(if(row()&lt;&gt;2,INDEX(arrayformula(filter($Q$2:$Q214,$C$2:$C214&lt;&gt;"""",row($C$2:$C214)=max(if($C$2:$C214=C215,row($C$2:$C214),0)))) ,1),0),0))"),"")</f>
        <v/>
      </c>
      <c r="Q215" s="147" t="str">
        <f t="shared" si="22"/>
        <v/>
      </c>
      <c r="R215" s="147" t="str">
        <f t="shared" si="23"/>
        <v/>
      </c>
      <c r="S215" s="147" t="str">
        <f t="shared" si="24"/>
        <v/>
      </c>
      <c r="T215" s="147" t="str">
        <f t="shared" si="7"/>
        <v/>
      </c>
      <c r="U215" s="150" t="str">
        <f t="shared" si="8"/>
        <v/>
      </c>
      <c r="V215" s="151" t="str">
        <f>IFERROR(VLOOKUP(C215,Ativos!$A$1:$G2000,5,),)</f>
        <v/>
      </c>
    </row>
    <row r="216" ht="21.0" customHeight="1">
      <c r="A216" s="152"/>
      <c r="B216" s="160"/>
      <c r="C216" s="153"/>
      <c r="D216" s="154"/>
      <c r="E216" s="139"/>
      <c r="F216" s="139"/>
      <c r="G216" s="139"/>
      <c r="H216" s="135"/>
      <c r="I216" s="141"/>
      <c r="J216" s="147" t="str">
        <f>IFERROR(__xludf.DUMMYFUNCTION("IF(ISBLANK(A216),IFERROR(1/0),IF(COUNT(FILTER(F:F,A:A=A216))&gt;1,TRUNC(N216*F216/SUM(FILTER(N:N,A:A=A216)),3),F216))"),"")</f>
        <v/>
      </c>
      <c r="K216" s="147" t="str">
        <f>IFERROR(__xludf.DUMMYFUNCTION("IF(ISBLANK(A216),IFERROR(1/0),IF(COUNT(FILTER(G:G,((A:A=A216)*(B:B=""V""))))&gt;1,TRUNC(N216*G216/SUM(FILTER(N:N,((A:A=A216)*(B:B=""V"")))),3),G216))"),"")</f>
        <v/>
      </c>
      <c r="L216" s="148" t="str">
        <f>IFERROR(__xludf.DUMMYFUNCTION("if($C216="""","""",iferror(if(row()&lt;&gt;2,INDEX(arrayformula(filter($M$2:$M215,$C$2:$C215&lt;&gt;"""",row($C$2:$C215)=max(if($C$2:$C215=C216,row($C$2:$C215),0)))) ,1),0),0))"),"")</f>
        <v/>
      </c>
      <c r="M216" s="148" t="str">
        <f t="shared" si="1"/>
        <v/>
      </c>
      <c r="N216" s="147" t="str">
        <f t="shared" si="2"/>
        <v/>
      </c>
      <c r="O216" s="147" t="str">
        <f t="shared" si="21"/>
        <v/>
      </c>
      <c r="P216" s="147" t="str">
        <f>IFERROR(__xludf.DUMMYFUNCTION("if(C216="""","""",iferror(if(row()&lt;&gt;2,INDEX(arrayformula(filter($Q$2:$Q215,$C$2:$C215&lt;&gt;"""",row($C$2:$C215)=max(if($C$2:$C215=C216,row($C$2:$C215),0)))) ,1),0),0))"),"")</f>
        <v/>
      </c>
      <c r="Q216" s="147" t="str">
        <f t="shared" si="22"/>
        <v/>
      </c>
      <c r="R216" s="147" t="str">
        <f t="shared" si="23"/>
        <v/>
      </c>
      <c r="S216" s="147" t="str">
        <f t="shared" si="24"/>
        <v/>
      </c>
      <c r="T216" s="147" t="str">
        <f t="shared" si="7"/>
        <v/>
      </c>
      <c r="U216" s="150" t="str">
        <f t="shared" si="8"/>
        <v/>
      </c>
      <c r="V216" s="151" t="str">
        <f>IFERROR(VLOOKUP(C216,Ativos!$A$1:$G2000,5,),)</f>
        <v/>
      </c>
    </row>
    <row r="217" ht="21.0" customHeight="1">
      <c r="A217" s="152"/>
      <c r="B217" s="160"/>
      <c r="C217" s="153"/>
      <c r="D217" s="154"/>
      <c r="E217" s="139"/>
      <c r="F217" s="139"/>
      <c r="G217" s="139"/>
      <c r="H217" s="135"/>
      <c r="I217" s="141"/>
      <c r="J217" s="147" t="str">
        <f>IFERROR(__xludf.DUMMYFUNCTION("IF(ISBLANK(A217),IFERROR(1/0),IF(COUNT(FILTER(F:F,A:A=A217))&gt;1,TRUNC(N217*F217/SUM(FILTER(N:N,A:A=A217)),3),F217))"),"")</f>
        <v/>
      </c>
      <c r="K217" s="147" t="str">
        <f>IFERROR(__xludf.DUMMYFUNCTION("IF(ISBLANK(A217),IFERROR(1/0),IF(COUNT(FILTER(G:G,((A:A=A217)*(B:B=""V""))))&gt;1,TRUNC(N217*G217/SUM(FILTER(N:N,((A:A=A217)*(B:B=""V"")))),3),G217))"),"")</f>
        <v/>
      </c>
      <c r="L217" s="148" t="str">
        <f>IFERROR(__xludf.DUMMYFUNCTION("if($C217="""","""",iferror(if(row()&lt;&gt;2,INDEX(arrayformula(filter($M$2:$M216,$C$2:$C216&lt;&gt;"""",row($C$2:$C216)=max(if($C$2:$C216=C217,row($C$2:$C216),0)))) ,1),0),0))"),"")</f>
        <v/>
      </c>
      <c r="M217" s="148" t="str">
        <f t="shared" si="1"/>
        <v/>
      </c>
      <c r="N217" s="147" t="str">
        <f t="shared" si="2"/>
        <v/>
      </c>
      <c r="O217" s="147" t="str">
        <f t="shared" si="21"/>
        <v/>
      </c>
      <c r="P217" s="147" t="str">
        <f>IFERROR(__xludf.DUMMYFUNCTION("if(C217="""","""",iferror(if(row()&lt;&gt;2,INDEX(arrayformula(filter($Q$2:$Q216,$C$2:$C216&lt;&gt;"""",row($C$2:$C216)=max(if($C$2:$C216=C217,row($C$2:$C216),0)))) ,1),0),0))"),"")</f>
        <v/>
      </c>
      <c r="Q217" s="147" t="str">
        <f t="shared" si="22"/>
        <v/>
      </c>
      <c r="R217" s="147" t="str">
        <f t="shared" si="23"/>
        <v/>
      </c>
      <c r="S217" s="147" t="str">
        <f t="shared" si="24"/>
        <v/>
      </c>
      <c r="T217" s="147" t="str">
        <f t="shared" si="7"/>
        <v/>
      </c>
      <c r="U217" s="150" t="str">
        <f t="shared" si="8"/>
        <v/>
      </c>
      <c r="V217" s="151" t="str">
        <f>IFERROR(VLOOKUP(C217,Ativos!$A$1:$G2000,5,),)</f>
        <v/>
      </c>
    </row>
    <row r="218" ht="21.0" customHeight="1">
      <c r="A218" s="152"/>
      <c r="B218" s="160"/>
      <c r="C218" s="153"/>
      <c r="D218" s="154"/>
      <c r="E218" s="139"/>
      <c r="F218" s="139"/>
      <c r="G218" s="139"/>
      <c r="H218" s="135"/>
      <c r="I218" s="141"/>
      <c r="J218" s="147" t="str">
        <f>IFERROR(__xludf.DUMMYFUNCTION("IF(ISBLANK(A218),IFERROR(1/0),IF(COUNT(FILTER(F:F,A:A=A218))&gt;1,TRUNC(N218*F218/SUM(FILTER(N:N,A:A=A218)),3),F218))"),"")</f>
        <v/>
      </c>
      <c r="K218" s="147" t="str">
        <f>IFERROR(__xludf.DUMMYFUNCTION("IF(ISBLANK(A218),IFERROR(1/0),IF(COUNT(FILTER(G:G,((A:A=A218)*(B:B=""V""))))&gt;1,TRUNC(N218*G218/SUM(FILTER(N:N,((A:A=A218)*(B:B=""V"")))),3),G218))"),"")</f>
        <v/>
      </c>
      <c r="L218" s="148" t="str">
        <f>IFERROR(__xludf.DUMMYFUNCTION("if($C218="""","""",iferror(if(row()&lt;&gt;2,INDEX(arrayformula(filter($M$2:$M217,$C$2:$C217&lt;&gt;"""",row($C$2:$C217)=max(if($C$2:$C217=C218,row($C$2:$C217),0)))) ,1),0),0))"),"")</f>
        <v/>
      </c>
      <c r="M218" s="148" t="str">
        <f t="shared" si="1"/>
        <v/>
      </c>
      <c r="N218" s="147" t="str">
        <f t="shared" si="2"/>
        <v/>
      </c>
      <c r="O218" s="147" t="str">
        <f t="shared" si="21"/>
        <v/>
      </c>
      <c r="P218" s="147" t="str">
        <f>IFERROR(__xludf.DUMMYFUNCTION("if(C218="""","""",iferror(if(row()&lt;&gt;2,INDEX(arrayformula(filter($Q$2:$Q217,$C$2:$C217&lt;&gt;"""",row($C$2:$C217)=max(if($C$2:$C217=C218,row($C$2:$C217),0)))) ,1),0),0))"),"")</f>
        <v/>
      </c>
      <c r="Q218" s="147" t="str">
        <f t="shared" si="22"/>
        <v/>
      </c>
      <c r="R218" s="147" t="str">
        <f t="shared" si="23"/>
        <v/>
      </c>
      <c r="S218" s="147" t="str">
        <f t="shared" si="24"/>
        <v/>
      </c>
      <c r="T218" s="147" t="str">
        <f t="shared" si="7"/>
        <v/>
      </c>
      <c r="U218" s="150" t="str">
        <f t="shared" si="8"/>
        <v/>
      </c>
      <c r="V218" s="151" t="str">
        <f>IFERROR(VLOOKUP(C218,Ativos!$A$1:$G2000,5,),)</f>
        <v/>
      </c>
    </row>
    <row r="219" ht="21.0" customHeight="1">
      <c r="A219" s="152"/>
      <c r="B219" s="160"/>
      <c r="C219" s="153"/>
      <c r="D219" s="154"/>
      <c r="E219" s="139"/>
      <c r="F219" s="139"/>
      <c r="G219" s="139"/>
      <c r="H219" s="135"/>
      <c r="I219" s="141"/>
      <c r="J219" s="147" t="str">
        <f>IFERROR(__xludf.DUMMYFUNCTION("IF(ISBLANK(A219),IFERROR(1/0),IF(COUNT(FILTER(F:F,A:A=A219))&gt;1,TRUNC(N219*F219/SUM(FILTER(N:N,A:A=A219)),3),F219))"),"")</f>
        <v/>
      </c>
      <c r="K219" s="147" t="str">
        <f>IFERROR(__xludf.DUMMYFUNCTION("IF(ISBLANK(A219),IFERROR(1/0),IF(COUNT(FILTER(G:G,((A:A=A219)*(B:B=""V""))))&gt;1,TRUNC(N219*G219/SUM(FILTER(N:N,((A:A=A219)*(B:B=""V"")))),3),G219))"),"")</f>
        <v/>
      </c>
      <c r="L219" s="148" t="str">
        <f>IFERROR(__xludf.DUMMYFUNCTION("if($C219="""","""",iferror(if(row()&lt;&gt;2,INDEX(arrayformula(filter($M$2:$M218,$C$2:$C218&lt;&gt;"""",row($C$2:$C218)=max(if($C$2:$C218=C219,row($C$2:$C218),0)))) ,1),0),0))"),"")</f>
        <v/>
      </c>
      <c r="M219" s="148" t="str">
        <f t="shared" si="1"/>
        <v/>
      </c>
      <c r="N219" s="147" t="str">
        <f t="shared" si="2"/>
        <v/>
      </c>
      <c r="O219" s="147" t="str">
        <f t="shared" si="21"/>
        <v/>
      </c>
      <c r="P219" s="147" t="str">
        <f>IFERROR(__xludf.DUMMYFUNCTION("if(C219="""","""",iferror(if(row()&lt;&gt;2,INDEX(arrayformula(filter($Q$2:$Q218,$C$2:$C218&lt;&gt;"""",row($C$2:$C218)=max(if($C$2:$C218=C219,row($C$2:$C218),0)))) ,1),0),0))"),"")</f>
        <v/>
      </c>
      <c r="Q219" s="147" t="str">
        <f t="shared" si="22"/>
        <v/>
      </c>
      <c r="R219" s="147" t="str">
        <f t="shared" si="23"/>
        <v/>
      </c>
      <c r="S219" s="147" t="str">
        <f t="shared" si="24"/>
        <v/>
      </c>
      <c r="T219" s="147" t="str">
        <f t="shared" si="7"/>
        <v/>
      </c>
      <c r="U219" s="150" t="str">
        <f t="shared" si="8"/>
        <v/>
      </c>
      <c r="V219" s="151" t="str">
        <f>IFERROR(VLOOKUP(C219,Ativos!$A$1:$G2000,5,),)</f>
        <v/>
      </c>
    </row>
    <row r="220" ht="21.0" customHeight="1">
      <c r="A220" s="152"/>
      <c r="B220" s="160"/>
      <c r="C220" s="153"/>
      <c r="D220" s="154"/>
      <c r="E220" s="139"/>
      <c r="F220" s="139"/>
      <c r="G220" s="139"/>
      <c r="H220" s="135"/>
      <c r="I220" s="141"/>
      <c r="J220" s="147" t="str">
        <f>IFERROR(__xludf.DUMMYFUNCTION("IF(ISBLANK(A220),IFERROR(1/0),IF(COUNT(FILTER(F:F,A:A=A220))&gt;1,TRUNC(N220*F220/SUM(FILTER(N:N,A:A=A220)),3),F220))"),"")</f>
        <v/>
      </c>
      <c r="K220" s="147" t="str">
        <f>IFERROR(__xludf.DUMMYFUNCTION("IF(ISBLANK(A220),IFERROR(1/0),IF(COUNT(FILTER(G:G,((A:A=A220)*(B:B=""V""))))&gt;1,TRUNC(N220*G220/SUM(FILTER(N:N,((A:A=A220)*(B:B=""V"")))),3),G220))"),"")</f>
        <v/>
      </c>
      <c r="L220" s="148" t="str">
        <f>IFERROR(__xludf.DUMMYFUNCTION("if($C220="""","""",iferror(if(row()&lt;&gt;2,INDEX(arrayformula(filter($M$2:$M219,$C$2:$C219&lt;&gt;"""",row($C$2:$C219)=max(if($C$2:$C219=C220,row($C$2:$C219),0)))) ,1),0),0))"),"")</f>
        <v/>
      </c>
      <c r="M220" s="148" t="str">
        <f t="shared" si="1"/>
        <v/>
      </c>
      <c r="N220" s="147" t="str">
        <f t="shared" si="2"/>
        <v/>
      </c>
      <c r="O220" s="147" t="str">
        <f t="shared" si="21"/>
        <v/>
      </c>
      <c r="P220" s="147" t="str">
        <f>IFERROR(__xludf.DUMMYFUNCTION("if(C220="""","""",iferror(if(row()&lt;&gt;2,INDEX(arrayformula(filter($Q$2:$Q219,$C$2:$C219&lt;&gt;"""",row($C$2:$C219)=max(if($C$2:$C219=C220,row($C$2:$C219),0)))) ,1),0),0))"),"")</f>
        <v/>
      </c>
      <c r="Q220" s="147" t="str">
        <f t="shared" si="22"/>
        <v/>
      </c>
      <c r="R220" s="147" t="str">
        <f t="shared" si="23"/>
        <v/>
      </c>
      <c r="S220" s="147" t="str">
        <f t="shared" si="24"/>
        <v/>
      </c>
      <c r="T220" s="147" t="str">
        <f t="shared" si="7"/>
        <v/>
      </c>
      <c r="U220" s="150" t="str">
        <f t="shared" si="8"/>
        <v/>
      </c>
      <c r="V220" s="151" t="str">
        <f>IFERROR(VLOOKUP(C220,Ativos!$A$1:$G2000,5,),)</f>
        <v/>
      </c>
    </row>
    <row r="221" ht="21.0" customHeight="1">
      <c r="A221" s="152"/>
      <c r="B221" s="160"/>
      <c r="C221" s="153"/>
      <c r="D221" s="154"/>
      <c r="E221" s="139"/>
      <c r="F221" s="139"/>
      <c r="G221" s="139"/>
      <c r="H221" s="135"/>
      <c r="I221" s="141"/>
      <c r="J221" s="147" t="str">
        <f>IFERROR(__xludf.DUMMYFUNCTION("IF(ISBLANK(A221),IFERROR(1/0),IF(COUNT(FILTER(F:F,A:A=A221))&gt;1,TRUNC(N221*F221/SUM(FILTER(N:N,A:A=A221)),3),F221))"),"")</f>
        <v/>
      </c>
      <c r="K221" s="147" t="str">
        <f>IFERROR(__xludf.DUMMYFUNCTION("IF(ISBLANK(A221),IFERROR(1/0),IF(COUNT(FILTER(G:G,((A:A=A221)*(B:B=""V""))))&gt;1,TRUNC(N221*G221/SUM(FILTER(N:N,((A:A=A221)*(B:B=""V"")))),3),G221))"),"")</f>
        <v/>
      </c>
      <c r="L221" s="148" t="str">
        <f>IFERROR(__xludf.DUMMYFUNCTION("if($C221="""","""",iferror(if(row()&lt;&gt;2,INDEX(arrayformula(filter($M$2:$M220,$C$2:$C220&lt;&gt;"""",row($C$2:$C220)=max(if($C$2:$C220=C221,row($C$2:$C220),0)))) ,1),0),0))"),"")</f>
        <v/>
      </c>
      <c r="M221" s="148" t="str">
        <f t="shared" si="1"/>
        <v/>
      </c>
      <c r="N221" s="147" t="str">
        <f t="shared" si="2"/>
        <v/>
      </c>
      <c r="O221" s="147" t="str">
        <f t="shared" si="21"/>
        <v/>
      </c>
      <c r="P221" s="147" t="str">
        <f>IFERROR(__xludf.DUMMYFUNCTION("if(C221="""","""",iferror(if(row()&lt;&gt;2,INDEX(arrayformula(filter($Q$2:$Q220,$C$2:$C220&lt;&gt;"""",row($C$2:$C220)=max(if($C$2:$C220=C221,row($C$2:$C220),0)))) ,1),0),0))"),"")</f>
        <v/>
      </c>
      <c r="Q221" s="147" t="str">
        <f t="shared" si="22"/>
        <v/>
      </c>
      <c r="R221" s="147" t="str">
        <f t="shared" si="23"/>
        <v/>
      </c>
      <c r="S221" s="147" t="str">
        <f t="shared" si="24"/>
        <v/>
      </c>
      <c r="T221" s="147" t="str">
        <f t="shared" si="7"/>
        <v/>
      </c>
      <c r="U221" s="150" t="str">
        <f t="shared" si="8"/>
        <v/>
      </c>
      <c r="V221" s="151" t="str">
        <f>IFERROR(VLOOKUP(C221,Ativos!$A$1:$G2000,5,),)</f>
        <v/>
      </c>
    </row>
    <row r="222" ht="21.0" customHeight="1">
      <c r="A222" s="152"/>
      <c r="B222" s="160"/>
      <c r="C222" s="153"/>
      <c r="D222" s="154"/>
      <c r="E222" s="139"/>
      <c r="F222" s="139"/>
      <c r="G222" s="139"/>
      <c r="H222" s="135"/>
      <c r="I222" s="141"/>
      <c r="J222" s="147" t="str">
        <f>IFERROR(__xludf.DUMMYFUNCTION("IF(ISBLANK(A222),IFERROR(1/0),IF(COUNT(FILTER(F:F,A:A=A222))&gt;1,TRUNC(N222*F222/SUM(FILTER(N:N,A:A=A222)),3),F222))"),"")</f>
        <v/>
      </c>
      <c r="K222" s="147" t="str">
        <f>IFERROR(__xludf.DUMMYFUNCTION("IF(ISBLANK(A222),IFERROR(1/0),IF(COUNT(FILTER(G:G,((A:A=A222)*(B:B=""V""))))&gt;1,TRUNC(N222*G222/SUM(FILTER(N:N,((A:A=A222)*(B:B=""V"")))),3),G222))"),"")</f>
        <v/>
      </c>
      <c r="L222" s="148" t="str">
        <f>IFERROR(__xludf.DUMMYFUNCTION("if($C222="""","""",iferror(if(row()&lt;&gt;2,INDEX(arrayformula(filter($M$2:$M221,$C$2:$C221&lt;&gt;"""",row($C$2:$C221)=max(if($C$2:$C221=C222,row($C$2:$C221),0)))) ,1),0),0))"),"")</f>
        <v/>
      </c>
      <c r="M222" s="148" t="str">
        <f t="shared" si="1"/>
        <v/>
      </c>
      <c r="N222" s="147" t="str">
        <f t="shared" si="2"/>
        <v/>
      </c>
      <c r="O222" s="147" t="str">
        <f t="shared" si="21"/>
        <v/>
      </c>
      <c r="P222" s="147" t="str">
        <f>IFERROR(__xludf.DUMMYFUNCTION("if(C222="""","""",iferror(if(row()&lt;&gt;2,INDEX(arrayformula(filter($Q$2:$Q221,$C$2:$C221&lt;&gt;"""",row($C$2:$C221)=max(if($C$2:$C221=C222,row($C$2:$C221),0)))) ,1),0),0))"),"")</f>
        <v/>
      </c>
      <c r="Q222" s="147" t="str">
        <f t="shared" si="22"/>
        <v/>
      </c>
      <c r="R222" s="147" t="str">
        <f t="shared" si="23"/>
        <v/>
      </c>
      <c r="S222" s="147" t="str">
        <f t="shared" si="24"/>
        <v/>
      </c>
      <c r="T222" s="147" t="str">
        <f t="shared" si="7"/>
        <v/>
      </c>
      <c r="U222" s="150" t="str">
        <f t="shared" si="8"/>
        <v/>
      </c>
      <c r="V222" s="151" t="str">
        <f>IFERROR(VLOOKUP(C222,Ativos!$A$1:$G2000,5,),)</f>
        <v/>
      </c>
    </row>
    <row r="223" ht="21.0" customHeight="1">
      <c r="A223" s="152"/>
      <c r="B223" s="160"/>
      <c r="C223" s="153"/>
      <c r="D223" s="154"/>
      <c r="E223" s="139"/>
      <c r="F223" s="139"/>
      <c r="G223" s="139"/>
      <c r="H223" s="135"/>
      <c r="I223" s="141"/>
      <c r="J223" s="147" t="str">
        <f>IFERROR(__xludf.DUMMYFUNCTION("IF(ISBLANK(A223),IFERROR(1/0),IF(COUNT(FILTER(F:F,A:A=A223))&gt;1,TRUNC(N223*F223/SUM(FILTER(N:N,A:A=A223)),3),F223))"),"")</f>
        <v/>
      </c>
      <c r="K223" s="147" t="str">
        <f>IFERROR(__xludf.DUMMYFUNCTION("IF(ISBLANK(A223),IFERROR(1/0),IF(COUNT(FILTER(G:G,((A:A=A223)*(B:B=""V""))))&gt;1,TRUNC(N223*G223/SUM(FILTER(N:N,((A:A=A223)*(B:B=""V"")))),3),G223))"),"")</f>
        <v/>
      </c>
      <c r="L223" s="148" t="str">
        <f>IFERROR(__xludf.DUMMYFUNCTION("if($C223="""","""",iferror(if(row()&lt;&gt;2,INDEX(arrayformula(filter($M$2:$M222,$C$2:$C222&lt;&gt;"""",row($C$2:$C222)=max(if($C$2:$C222=C223,row($C$2:$C222),0)))) ,1),0),0))"),"")</f>
        <v/>
      </c>
      <c r="M223" s="148" t="str">
        <f t="shared" si="1"/>
        <v/>
      </c>
      <c r="N223" s="147" t="str">
        <f t="shared" si="2"/>
        <v/>
      </c>
      <c r="O223" s="147" t="str">
        <f t="shared" si="21"/>
        <v/>
      </c>
      <c r="P223" s="147" t="str">
        <f>IFERROR(__xludf.DUMMYFUNCTION("if(C223="""","""",iferror(if(row()&lt;&gt;2,INDEX(arrayformula(filter($Q$2:$Q222,$C$2:$C222&lt;&gt;"""",row($C$2:$C222)=max(if($C$2:$C222=C223,row($C$2:$C222),0)))) ,1),0),0))"),"")</f>
        <v/>
      </c>
      <c r="Q223" s="147" t="str">
        <f t="shared" si="22"/>
        <v/>
      </c>
      <c r="R223" s="147" t="str">
        <f t="shared" si="23"/>
        <v/>
      </c>
      <c r="S223" s="147" t="str">
        <f t="shared" si="24"/>
        <v/>
      </c>
      <c r="T223" s="147" t="str">
        <f t="shared" si="7"/>
        <v/>
      </c>
      <c r="U223" s="150" t="str">
        <f t="shared" si="8"/>
        <v/>
      </c>
      <c r="V223" s="151" t="str">
        <f>IFERROR(VLOOKUP(C223,Ativos!$A$1:$G2000,5,),)</f>
        <v/>
      </c>
    </row>
    <row r="224" ht="21.0" customHeight="1">
      <c r="A224" s="152"/>
      <c r="B224" s="160"/>
      <c r="C224" s="153"/>
      <c r="D224" s="154"/>
      <c r="E224" s="139"/>
      <c r="F224" s="139"/>
      <c r="G224" s="139"/>
      <c r="H224" s="135"/>
      <c r="I224" s="141"/>
      <c r="J224" s="147" t="str">
        <f>IFERROR(__xludf.DUMMYFUNCTION("IF(ISBLANK(A224),IFERROR(1/0),IF(COUNT(FILTER(F:F,A:A=A224))&gt;1,TRUNC(N224*F224/SUM(FILTER(N:N,A:A=A224)),3),F224))"),"")</f>
        <v/>
      </c>
      <c r="K224" s="147" t="str">
        <f>IFERROR(__xludf.DUMMYFUNCTION("IF(ISBLANK(A224),IFERROR(1/0),IF(COUNT(FILTER(G:G,((A:A=A224)*(B:B=""V""))))&gt;1,TRUNC(N224*G224/SUM(FILTER(N:N,((A:A=A224)*(B:B=""V"")))),3),G224))"),"")</f>
        <v/>
      </c>
      <c r="L224" s="148" t="str">
        <f>IFERROR(__xludf.DUMMYFUNCTION("if($C224="""","""",iferror(if(row()&lt;&gt;2,INDEX(arrayformula(filter($M$2:$M223,$C$2:$C223&lt;&gt;"""",row($C$2:$C223)=max(if($C$2:$C223=C224,row($C$2:$C223),0)))) ,1),0),0))"),"")</f>
        <v/>
      </c>
      <c r="M224" s="148" t="str">
        <f t="shared" si="1"/>
        <v/>
      </c>
      <c r="N224" s="147" t="str">
        <f t="shared" si="2"/>
        <v/>
      </c>
      <c r="O224" s="147" t="str">
        <f t="shared" si="21"/>
        <v/>
      </c>
      <c r="P224" s="147" t="str">
        <f>IFERROR(__xludf.DUMMYFUNCTION("if(C224="""","""",iferror(if(row()&lt;&gt;2,INDEX(arrayformula(filter($Q$2:$Q223,$C$2:$C223&lt;&gt;"""",row($C$2:$C223)=max(if($C$2:$C223=C224,row($C$2:$C223),0)))) ,1),0),0))"),"")</f>
        <v/>
      </c>
      <c r="Q224" s="147" t="str">
        <f t="shared" si="22"/>
        <v/>
      </c>
      <c r="R224" s="147" t="str">
        <f t="shared" si="23"/>
        <v/>
      </c>
      <c r="S224" s="147" t="str">
        <f t="shared" si="24"/>
        <v/>
      </c>
      <c r="T224" s="147" t="str">
        <f t="shared" si="7"/>
        <v/>
      </c>
      <c r="U224" s="150" t="str">
        <f t="shared" si="8"/>
        <v/>
      </c>
      <c r="V224" s="151" t="str">
        <f>IFERROR(VLOOKUP(C224,Ativos!$A$1:$G2000,5,),)</f>
        <v/>
      </c>
    </row>
    <row r="225" ht="21.0" customHeight="1">
      <c r="A225" s="152"/>
      <c r="B225" s="160"/>
      <c r="C225" s="153"/>
      <c r="D225" s="154"/>
      <c r="E225" s="139"/>
      <c r="F225" s="139"/>
      <c r="G225" s="139"/>
      <c r="H225" s="135"/>
      <c r="I225" s="141"/>
      <c r="J225" s="147" t="str">
        <f>IFERROR(__xludf.DUMMYFUNCTION("IF(ISBLANK(A225),IFERROR(1/0),IF(COUNT(FILTER(F:F,A:A=A225))&gt;1,TRUNC(N225*F225/SUM(FILTER(N:N,A:A=A225)),3),F225))"),"")</f>
        <v/>
      </c>
      <c r="K225" s="147" t="str">
        <f>IFERROR(__xludf.DUMMYFUNCTION("IF(ISBLANK(A225),IFERROR(1/0),IF(COUNT(FILTER(G:G,((A:A=A225)*(B:B=""V""))))&gt;1,TRUNC(N225*G225/SUM(FILTER(N:N,((A:A=A225)*(B:B=""V"")))),3),G225))"),"")</f>
        <v/>
      </c>
      <c r="L225" s="148" t="str">
        <f>IFERROR(__xludf.DUMMYFUNCTION("if($C225="""","""",iferror(if(row()&lt;&gt;2,INDEX(arrayformula(filter($M$2:$M224,$C$2:$C224&lt;&gt;"""",row($C$2:$C224)=max(if($C$2:$C224=C225,row($C$2:$C224),0)))) ,1),0),0))"),"")</f>
        <v/>
      </c>
      <c r="M225" s="148" t="str">
        <f t="shared" si="1"/>
        <v/>
      </c>
      <c r="N225" s="147" t="str">
        <f t="shared" si="2"/>
        <v/>
      </c>
      <c r="O225" s="147" t="str">
        <f t="shared" si="21"/>
        <v/>
      </c>
      <c r="P225" s="147" t="str">
        <f>IFERROR(__xludf.DUMMYFUNCTION("if(C225="""","""",iferror(if(row()&lt;&gt;2,INDEX(arrayformula(filter($Q$2:$Q224,$C$2:$C224&lt;&gt;"""",row($C$2:$C224)=max(if($C$2:$C224=C225,row($C$2:$C224),0)))) ,1),0),0))"),"")</f>
        <v/>
      </c>
      <c r="Q225" s="147" t="str">
        <f t="shared" si="22"/>
        <v/>
      </c>
      <c r="R225" s="147" t="str">
        <f t="shared" si="23"/>
        <v/>
      </c>
      <c r="S225" s="147" t="str">
        <f t="shared" si="24"/>
        <v/>
      </c>
      <c r="T225" s="147" t="str">
        <f t="shared" si="7"/>
        <v/>
      </c>
      <c r="U225" s="150" t="str">
        <f t="shared" si="8"/>
        <v/>
      </c>
      <c r="V225" s="151" t="str">
        <f>IFERROR(VLOOKUP(C225,Ativos!$A$1:$G2000,5,),)</f>
        <v/>
      </c>
    </row>
    <row r="226" ht="21.0" customHeight="1">
      <c r="A226" s="152"/>
      <c r="B226" s="160"/>
      <c r="C226" s="153"/>
      <c r="D226" s="154"/>
      <c r="E226" s="139"/>
      <c r="F226" s="139"/>
      <c r="G226" s="139"/>
      <c r="H226" s="135"/>
      <c r="I226" s="141"/>
      <c r="J226" s="147" t="str">
        <f>IFERROR(__xludf.DUMMYFUNCTION("IF(ISBLANK(A226),IFERROR(1/0),IF(COUNT(FILTER(F:F,A:A=A226))&gt;1,TRUNC(N226*F226/SUM(FILTER(N:N,A:A=A226)),3),F226))"),"")</f>
        <v/>
      </c>
      <c r="K226" s="147" t="str">
        <f>IFERROR(__xludf.DUMMYFUNCTION("IF(ISBLANK(A226),IFERROR(1/0),IF(COUNT(FILTER(G:G,((A:A=A226)*(B:B=""V""))))&gt;1,TRUNC(N226*G226/SUM(FILTER(N:N,((A:A=A226)*(B:B=""V"")))),3),G226))"),"")</f>
        <v/>
      </c>
      <c r="L226" s="148" t="str">
        <f>IFERROR(__xludf.DUMMYFUNCTION("if($C226="""","""",iferror(if(row()&lt;&gt;2,INDEX(arrayformula(filter($M$2:$M225,$C$2:$C225&lt;&gt;"""",row($C$2:$C225)=max(if($C$2:$C225=C226,row($C$2:$C225),0)))) ,1),0),0))"),"")</f>
        <v/>
      </c>
      <c r="M226" s="148" t="str">
        <f t="shared" si="1"/>
        <v/>
      </c>
      <c r="N226" s="147" t="str">
        <f t="shared" si="2"/>
        <v/>
      </c>
      <c r="O226" s="147" t="str">
        <f t="shared" si="21"/>
        <v/>
      </c>
      <c r="P226" s="147" t="str">
        <f>IFERROR(__xludf.DUMMYFUNCTION("if(C226="""","""",iferror(if(row()&lt;&gt;2,INDEX(arrayformula(filter($Q$2:$Q225,$C$2:$C225&lt;&gt;"""",row($C$2:$C225)=max(if($C$2:$C225=C226,row($C$2:$C225),0)))) ,1),0),0))"),"")</f>
        <v/>
      </c>
      <c r="Q226" s="147" t="str">
        <f t="shared" si="22"/>
        <v/>
      </c>
      <c r="R226" s="147" t="str">
        <f t="shared" si="23"/>
        <v/>
      </c>
      <c r="S226" s="147" t="str">
        <f t="shared" si="24"/>
        <v/>
      </c>
      <c r="T226" s="147" t="str">
        <f t="shared" si="7"/>
        <v/>
      </c>
      <c r="U226" s="150" t="str">
        <f t="shared" si="8"/>
        <v/>
      </c>
      <c r="V226" s="151" t="str">
        <f>IFERROR(VLOOKUP(C226,Ativos!$A$1:$G2000,5,),)</f>
        <v/>
      </c>
    </row>
    <row r="227" ht="21.0" customHeight="1">
      <c r="A227" s="152"/>
      <c r="B227" s="160"/>
      <c r="C227" s="153"/>
      <c r="D227" s="154"/>
      <c r="E227" s="139"/>
      <c r="F227" s="139"/>
      <c r="G227" s="139"/>
      <c r="H227" s="135"/>
      <c r="I227" s="141"/>
      <c r="J227" s="147" t="str">
        <f>IFERROR(__xludf.DUMMYFUNCTION("IF(ISBLANK(A227),IFERROR(1/0),IF(COUNT(FILTER(F:F,A:A=A227))&gt;1,TRUNC(N227*F227/SUM(FILTER(N:N,A:A=A227)),3),F227))"),"")</f>
        <v/>
      </c>
      <c r="K227" s="147" t="str">
        <f>IFERROR(__xludf.DUMMYFUNCTION("IF(ISBLANK(A227),IFERROR(1/0),IF(COUNT(FILTER(G:G,((A:A=A227)*(B:B=""V""))))&gt;1,TRUNC(N227*G227/SUM(FILTER(N:N,((A:A=A227)*(B:B=""V"")))),3),G227))"),"")</f>
        <v/>
      </c>
      <c r="L227" s="148" t="str">
        <f>IFERROR(__xludf.DUMMYFUNCTION("if($C227="""","""",iferror(if(row()&lt;&gt;2,INDEX(arrayformula(filter($M$2:$M226,$C$2:$C226&lt;&gt;"""",row($C$2:$C226)=max(if($C$2:$C226=C227,row($C$2:$C226),0)))) ,1),0),0))"),"")</f>
        <v/>
      </c>
      <c r="M227" s="148" t="str">
        <f t="shared" si="1"/>
        <v/>
      </c>
      <c r="N227" s="147" t="str">
        <f t="shared" si="2"/>
        <v/>
      </c>
      <c r="O227" s="147" t="str">
        <f t="shared" si="21"/>
        <v/>
      </c>
      <c r="P227" s="147" t="str">
        <f>IFERROR(__xludf.DUMMYFUNCTION("if(C227="""","""",iferror(if(row()&lt;&gt;2,INDEX(arrayformula(filter($Q$2:$Q226,$C$2:$C226&lt;&gt;"""",row($C$2:$C226)=max(if($C$2:$C226=C227,row($C$2:$C226),0)))) ,1),0),0))"),"")</f>
        <v/>
      </c>
      <c r="Q227" s="147" t="str">
        <f t="shared" si="22"/>
        <v/>
      </c>
      <c r="R227" s="147" t="str">
        <f t="shared" si="23"/>
        <v/>
      </c>
      <c r="S227" s="147" t="str">
        <f t="shared" si="24"/>
        <v/>
      </c>
      <c r="T227" s="147" t="str">
        <f t="shared" si="7"/>
        <v/>
      </c>
      <c r="U227" s="150" t="str">
        <f t="shared" si="8"/>
        <v/>
      </c>
      <c r="V227" s="151" t="str">
        <f>IFERROR(VLOOKUP(C227,Ativos!$A$1:$G2000,5,),)</f>
        <v/>
      </c>
    </row>
    <row r="228" ht="21.0" customHeight="1">
      <c r="A228" s="152"/>
      <c r="B228" s="160"/>
      <c r="C228" s="153"/>
      <c r="D228" s="154"/>
      <c r="E228" s="139"/>
      <c r="F228" s="139"/>
      <c r="G228" s="139"/>
      <c r="H228" s="135"/>
      <c r="I228" s="141"/>
      <c r="J228" s="147" t="str">
        <f>IFERROR(__xludf.DUMMYFUNCTION("IF(ISBLANK(A228),IFERROR(1/0),IF(COUNT(FILTER(F:F,A:A=A228))&gt;1,TRUNC(N228*F228/SUM(FILTER(N:N,A:A=A228)),3),F228))"),"")</f>
        <v/>
      </c>
      <c r="K228" s="147" t="str">
        <f>IFERROR(__xludf.DUMMYFUNCTION("IF(ISBLANK(A228),IFERROR(1/0),IF(COUNT(FILTER(G:G,((A:A=A228)*(B:B=""V""))))&gt;1,TRUNC(N228*G228/SUM(FILTER(N:N,((A:A=A228)*(B:B=""V"")))),3),G228))"),"")</f>
        <v/>
      </c>
      <c r="L228" s="148" t="str">
        <f>IFERROR(__xludf.DUMMYFUNCTION("if($C228="""","""",iferror(if(row()&lt;&gt;2,INDEX(arrayformula(filter($M$2:$M227,$C$2:$C227&lt;&gt;"""",row($C$2:$C227)=max(if($C$2:$C227=C228,row($C$2:$C227),0)))) ,1),0),0))"),"")</f>
        <v/>
      </c>
      <c r="M228" s="148" t="str">
        <f t="shared" si="1"/>
        <v/>
      </c>
      <c r="N228" s="147" t="str">
        <f t="shared" si="2"/>
        <v/>
      </c>
      <c r="O228" s="147" t="str">
        <f t="shared" si="21"/>
        <v/>
      </c>
      <c r="P228" s="147" t="str">
        <f>IFERROR(__xludf.DUMMYFUNCTION("if(C228="""","""",iferror(if(row()&lt;&gt;2,INDEX(arrayformula(filter($Q$2:$Q227,$C$2:$C227&lt;&gt;"""",row($C$2:$C227)=max(if($C$2:$C227=C228,row($C$2:$C227),0)))) ,1),0),0))"),"")</f>
        <v/>
      </c>
      <c r="Q228" s="147" t="str">
        <f t="shared" si="22"/>
        <v/>
      </c>
      <c r="R228" s="147" t="str">
        <f t="shared" si="23"/>
        <v/>
      </c>
      <c r="S228" s="147" t="str">
        <f t="shared" si="24"/>
        <v/>
      </c>
      <c r="T228" s="147" t="str">
        <f t="shared" si="7"/>
        <v/>
      </c>
      <c r="U228" s="150" t="str">
        <f t="shared" si="8"/>
        <v/>
      </c>
      <c r="V228" s="151" t="str">
        <f>IFERROR(VLOOKUP(C228,Ativos!$A$1:$G2000,5,),)</f>
        <v/>
      </c>
    </row>
    <row r="229" ht="21.0" customHeight="1">
      <c r="A229" s="152"/>
      <c r="B229" s="160"/>
      <c r="C229" s="153"/>
      <c r="D229" s="154"/>
      <c r="E229" s="139"/>
      <c r="F229" s="139"/>
      <c r="G229" s="139"/>
      <c r="H229" s="135"/>
      <c r="I229" s="141"/>
      <c r="J229" s="147" t="str">
        <f>IFERROR(__xludf.DUMMYFUNCTION("IF(ISBLANK(A229),IFERROR(1/0),IF(COUNT(FILTER(F:F,A:A=A229))&gt;1,TRUNC(N229*F229/SUM(FILTER(N:N,A:A=A229)),3),F229))"),"")</f>
        <v/>
      </c>
      <c r="K229" s="147" t="str">
        <f>IFERROR(__xludf.DUMMYFUNCTION("IF(ISBLANK(A229),IFERROR(1/0),IF(COUNT(FILTER(G:G,((A:A=A229)*(B:B=""V""))))&gt;1,TRUNC(N229*G229/SUM(FILTER(N:N,((A:A=A229)*(B:B=""V"")))),3),G229))"),"")</f>
        <v/>
      </c>
      <c r="L229" s="148" t="str">
        <f>IFERROR(__xludf.DUMMYFUNCTION("if($C229="""","""",iferror(if(row()&lt;&gt;2,INDEX(arrayformula(filter($M$2:$M228,$C$2:$C228&lt;&gt;"""",row($C$2:$C228)=max(if($C$2:$C228=C229,row($C$2:$C228),0)))) ,1),0),0))"),"")</f>
        <v/>
      </c>
      <c r="M229" s="148" t="str">
        <f t="shared" si="1"/>
        <v/>
      </c>
      <c r="N229" s="147" t="str">
        <f t="shared" si="2"/>
        <v/>
      </c>
      <c r="O229" s="147" t="str">
        <f t="shared" si="21"/>
        <v/>
      </c>
      <c r="P229" s="147" t="str">
        <f>IFERROR(__xludf.DUMMYFUNCTION("if(C229="""","""",iferror(if(row()&lt;&gt;2,INDEX(arrayformula(filter($Q$2:$Q228,$C$2:$C228&lt;&gt;"""",row($C$2:$C228)=max(if($C$2:$C228=C229,row($C$2:$C228),0)))) ,1),0),0))"),"")</f>
        <v/>
      </c>
      <c r="Q229" s="147" t="str">
        <f t="shared" si="22"/>
        <v/>
      </c>
      <c r="R229" s="147" t="str">
        <f t="shared" si="23"/>
        <v/>
      </c>
      <c r="S229" s="147" t="str">
        <f t="shared" si="24"/>
        <v/>
      </c>
      <c r="T229" s="147" t="str">
        <f t="shared" si="7"/>
        <v/>
      </c>
      <c r="U229" s="150" t="str">
        <f t="shared" si="8"/>
        <v/>
      </c>
      <c r="V229" s="151" t="str">
        <f>IFERROR(VLOOKUP(C229,Ativos!$A$1:$G2000,5,),)</f>
        <v/>
      </c>
    </row>
    <row r="230" ht="21.0" customHeight="1">
      <c r="A230" s="152"/>
      <c r="B230" s="160"/>
      <c r="C230" s="153"/>
      <c r="D230" s="154"/>
      <c r="E230" s="139"/>
      <c r="F230" s="139"/>
      <c r="G230" s="139"/>
      <c r="H230" s="135"/>
      <c r="I230" s="141"/>
      <c r="J230" s="147" t="str">
        <f>IFERROR(__xludf.DUMMYFUNCTION("IF(ISBLANK(A230),IFERROR(1/0),IF(COUNT(FILTER(F:F,A:A=A230))&gt;1,TRUNC(N230*F230/SUM(FILTER(N:N,A:A=A230)),3),F230))"),"")</f>
        <v/>
      </c>
      <c r="K230" s="147" t="str">
        <f>IFERROR(__xludf.DUMMYFUNCTION("IF(ISBLANK(A230),IFERROR(1/0),IF(COUNT(FILTER(G:G,((A:A=A230)*(B:B=""V""))))&gt;1,TRUNC(N230*G230/SUM(FILTER(N:N,((A:A=A230)*(B:B=""V"")))),3),G230))"),"")</f>
        <v/>
      </c>
      <c r="L230" s="148" t="str">
        <f>IFERROR(__xludf.DUMMYFUNCTION("if($C230="""","""",iferror(if(row()&lt;&gt;2,INDEX(arrayformula(filter($M$2:$M229,$C$2:$C229&lt;&gt;"""",row($C$2:$C229)=max(if($C$2:$C229=C230,row($C$2:$C229),0)))) ,1),0),0))"),"")</f>
        <v/>
      </c>
      <c r="M230" s="148" t="str">
        <f t="shared" si="1"/>
        <v/>
      </c>
      <c r="N230" s="147" t="str">
        <f t="shared" si="2"/>
        <v/>
      </c>
      <c r="O230" s="147" t="str">
        <f t="shared" si="21"/>
        <v/>
      </c>
      <c r="P230" s="147" t="str">
        <f>IFERROR(__xludf.DUMMYFUNCTION("if(C230="""","""",iferror(if(row()&lt;&gt;2,INDEX(arrayformula(filter($Q$2:$Q229,$C$2:$C229&lt;&gt;"""",row($C$2:$C229)=max(if($C$2:$C229=C230,row($C$2:$C229),0)))) ,1),0),0))"),"")</f>
        <v/>
      </c>
      <c r="Q230" s="147" t="str">
        <f t="shared" si="22"/>
        <v/>
      </c>
      <c r="R230" s="147" t="str">
        <f t="shared" si="23"/>
        <v/>
      </c>
      <c r="S230" s="147" t="str">
        <f t="shared" si="24"/>
        <v/>
      </c>
      <c r="T230" s="147" t="str">
        <f t="shared" si="7"/>
        <v/>
      </c>
      <c r="U230" s="150" t="str">
        <f t="shared" si="8"/>
        <v/>
      </c>
      <c r="V230" s="151" t="str">
        <f>IFERROR(VLOOKUP(C230,Ativos!$A$1:$G2000,5,),)</f>
        <v/>
      </c>
    </row>
    <row r="231" ht="21.0" customHeight="1">
      <c r="A231" s="152"/>
      <c r="B231" s="160"/>
      <c r="C231" s="153"/>
      <c r="D231" s="154"/>
      <c r="E231" s="139"/>
      <c r="F231" s="139"/>
      <c r="G231" s="139"/>
      <c r="H231" s="135"/>
      <c r="I231" s="141"/>
      <c r="J231" s="147" t="str">
        <f>IFERROR(__xludf.DUMMYFUNCTION("IF(ISBLANK(A231),IFERROR(1/0),IF(COUNT(FILTER(F:F,A:A=A231))&gt;1,TRUNC(N231*F231/SUM(FILTER(N:N,A:A=A231)),3),F231))"),"")</f>
        <v/>
      </c>
      <c r="K231" s="147" t="str">
        <f>IFERROR(__xludf.DUMMYFUNCTION("IF(ISBLANK(A231),IFERROR(1/0),IF(COUNT(FILTER(G:G,((A:A=A231)*(B:B=""V""))))&gt;1,TRUNC(N231*G231/SUM(FILTER(N:N,((A:A=A231)*(B:B=""V"")))),3),G231))"),"")</f>
        <v/>
      </c>
      <c r="L231" s="148" t="str">
        <f>IFERROR(__xludf.DUMMYFUNCTION("if($C231="""","""",iferror(if(row()&lt;&gt;2,INDEX(arrayformula(filter($M$2:$M230,$C$2:$C230&lt;&gt;"""",row($C$2:$C230)=max(if($C$2:$C230=C231,row($C$2:$C230),0)))) ,1),0),0))"),"")</f>
        <v/>
      </c>
      <c r="M231" s="148" t="str">
        <f t="shared" si="1"/>
        <v/>
      </c>
      <c r="N231" s="147" t="str">
        <f t="shared" si="2"/>
        <v/>
      </c>
      <c r="O231" s="147" t="str">
        <f t="shared" si="21"/>
        <v/>
      </c>
      <c r="P231" s="147" t="str">
        <f>IFERROR(__xludf.DUMMYFUNCTION("if(C231="""","""",iferror(if(row()&lt;&gt;2,INDEX(arrayformula(filter($Q$2:$Q230,$C$2:$C230&lt;&gt;"""",row($C$2:$C230)=max(if($C$2:$C230=C231,row($C$2:$C230),0)))) ,1),0),0))"),"")</f>
        <v/>
      </c>
      <c r="Q231" s="147" t="str">
        <f t="shared" si="22"/>
        <v/>
      </c>
      <c r="R231" s="147" t="str">
        <f t="shared" si="23"/>
        <v/>
      </c>
      <c r="S231" s="147" t="str">
        <f t="shared" si="24"/>
        <v/>
      </c>
      <c r="T231" s="147" t="str">
        <f t="shared" si="7"/>
        <v/>
      </c>
      <c r="U231" s="150" t="str">
        <f t="shared" si="8"/>
        <v/>
      </c>
      <c r="V231" s="151" t="str">
        <f>IFERROR(VLOOKUP(C231,Ativos!$A$1:$G2000,5,),)</f>
        <v/>
      </c>
    </row>
    <row r="232" ht="21.0" customHeight="1">
      <c r="A232" s="152"/>
      <c r="B232" s="160"/>
      <c r="C232" s="153"/>
      <c r="D232" s="154"/>
      <c r="E232" s="139"/>
      <c r="F232" s="139"/>
      <c r="G232" s="139"/>
      <c r="H232" s="135"/>
      <c r="I232" s="141"/>
      <c r="J232" s="147" t="str">
        <f>IFERROR(__xludf.DUMMYFUNCTION("IF(ISBLANK(A232),IFERROR(1/0),IF(COUNT(FILTER(F:F,A:A=A232))&gt;1,TRUNC(N232*F232/SUM(FILTER(N:N,A:A=A232)),3),F232))"),"")</f>
        <v/>
      </c>
      <c r="K232" s="147" t="str">
        <f>IFERROR(__xludf.DUMMYFUNCTION("IF(ISBLANK(A232),IFERROR(1/0),IF(COUNT(FILTER(G:G,((A:A=A232)*(B:B=""V""))))&gt;1,TRUNC(N232*G232/SUM(FILTER(N:N,((A:A=A232)*(B:B=""V"")))),3),G232))"),"")</f>
        <v/>
      </c>
      <c r="L232" s="148" t="str">
        <f>IFERROR(__xludf.DUMMYFUNCTION("if($C232="""","""",iferror(if(row()&lt;&gt;2,INDEX(arrayformula(filter($M$2:$M231,$C$2:$C231&lt;&gt;"""",row($C$2:$C231)=max(if($C$2:$C231=C232,row($C$2:$C231),0)))) ,1),0),0))"),"")</f>
        <v/>
      </c>
      <c r="M232" s="148" t="str">
        <f t="shared" si="1"/>
        <v/>
      </c>
      <c r="N232" s="147" t="str">
        <f t="shared" si="2"/>
        <v/>
      </c>
      <c r="O232" s="147" t="str">
        <f t="shared" si="21"/>
        <v/>
      </c>
      <c r="P232" s="147" t="str">
        <f>IFERROR(__xludf.DUMMYFUNCTION("if(C232="""","""",iferror(if(row()&lt;&gt;2,INDEX(arrayformula(filter($Q$2:$Q231,$C$2:$C231&lt;&gt;"""",row($C$2:$C231)=max(if($C$2:$C231=C232,row($C$2:$C231),0)))) ,1),0),0))"),"")</f>
        <v/>
      </c>
      <c r="Q232" s="147" t="str">
        <f t="shared" si="22"/>
        <v/>
      </c>
      <c r="R232" s="147" t="str">
        <f t="shared" si="23"/>
        <v/>
      </c>
      <c r="S232" s="147" t="str">
        <f t="shared" si="24"/>
        <v/>
      </c>
      <c r="T232" s="147" t="str">
        <f t="shared" si="7"/>
        <v/>
      </c>
      <c r="U232" s="150" t="str">
        <f t="shared" si="8"/>
        <v/>
      </c>
      <c r="V232" s="151" t="str">
        <f>IFERROR(VLOOKUP(C232,Ativos!$A$1:$G2000,5,),)</f>
        <v/>
      </c>
    </row>
    <row r="233" ht="21.0" customHeight="1">
      <c r="A233" s="152"/>
      <c r="B233" s="160"/>
      <c r="C233" s="153"/>
      <c r="D233" s="154"/>
      <c r="E233" s="139"/>
      <c r="F233" s="139"/>
      <c r="G233" s="139"/>
      <c r="H233" s="135"/>
      <c r="I233" s="141"/>
      <c r="J233" s="147" t="str">
        <f>IFERROR(__xludf.DUMMYFUNCTION("IF(ISBLANK(A233),IFERROR(1/0),IF(COUNT(FILTER(F:F,A:A=A233))&gt;1,TRUNC(N233*F233/SUM(FILTER(N:N,A:A=A233)),3),F233))"),"")</f>
        <v/>
      </c>
      <c r="K233" s="147" t="str">
        <f>IFERROR(__xludf.DUMMYFUNCTION("IF(ISBLANK(A233),IFERROR(1/0),IF(COUNT(FILTER(G:G,((A:A=A233)*(B:B=""V""))))&gt;1,TRUNC(N233*G233/SUM(FILTER(N:N,((A:A=A233)*(B:B=""V"")))),3),G233))"),"")</f>
        <v/>
      </c>
      <c r="L233" s="148" t="str">
        <f>IFERROR(__xludf.DUMMYFUNCTION("if($C233="""","""",iferror(if(row()&lt;&gt;2,INDEX(arrayformula(filter($M$2:$M232,$C$2:$C232&lt;&gt;"""",row($C$2:$C232)=max(if($C$2:$C232=C233,row($C$2:$C232),0)))) ,1),0),0))"),"")</f>
        <v/>
      </c>
      <c r="M233" s="148" t="str">
        <f t="shared" si="1"/>
        <v/>
      </c>
      <c r="N233" s="147" t="str">
        <f t="shared" si="2"/>
        <v/>
      </c>
      <c r="O233" s="147" t="str">
        <f t="shared" si="21"/>
        <v/>
      </c>
      <c r="P233" s="147" t="str">
        <f>IFERROR(__xludf.DUMMYFUNCTION("if(C233="""","""",iferror(if(row()&lt;&gt;2,INDEX(arrayformula(filter($Q$2:$Q232,$C$2:$C232&lt;&gt;"""",row($C$2:$C232)=max(if($C$2:$C232=C233,row($C$2:$C232),0)))) ,1),0),0))"),"")</f>
        <v/>
      </c>
      <c r="Q233" s="147" t="str">
        <f t="shared" si="22"/>
        <v/>
      </c>
      <c r="R233" s="147" t="str">
        <f t="shared" si="23"/>
        <v/>
      </c>
      <c r="S233" s="147" t="str">
        <f t="shared" si="24"/>
        <v/>
      </c>
      <c r="T233" s="147" t="str">
        <f t="shared" si="7"/>
        <v/>
      </c>
      <c r="U233" s="150" t="str">
        <f t="shared" si="8"/>
        <v/>
      </c>
      <c r="V233" s="151" t="str">
        <f>IFERROR(VLOOKUP(C233,Ativos!$A$1:$G2000,5,),)</f>
        <v/>
      </c>
    </row>
    <row r="234" ht="21.0" customHeight="1">
      <c r="A234" s="152"/>
      <c r="B234" s="160"/>
      <c r="C234" s="153"/>
      <c r="D234" s="154"/>
      <c r="E234" s="139"/>
      <c r="F234" s="139"/>
      <c r="G234" s="139"/>
      <c r="H234" s="135"/>
      <c r="I234" s="141"/>
      <c r="J234" s="147" t="str">
        <f>IFERROR(__xludf.DUMMYFUNCTION("IF(ISBLANK(A234),IFERROR(1/0),IF(COUNT(FILTER(F:F,A:A=A234))&gt;1,TRUNC(N234*F234/SUM(FILTER(N:N,A:A=A234)),3),F234))"),"")</f>
        <v/>
      </c>
      <c r="K234" s="147" t="str">
        <f>IFERROR(__xludf.DUMMYFUNCTION("IF(ISBLANK(A234),IFERROR(1/0),IF(COUNT(FILTER(G:G,((A:A=A234)*(B:B=""V""))))&gt;1,TRUNC(N234*G234/SUM(FILTER(N:N,((A:A=A234)*(B:B=""V"")))),3),G234))"),"")</f>
        <v/>
      </c>
      <c r="L234" s="148" t="str">
        <f>IFERROR(__xludf.DUMMYFUNCTION("if($C234="""","""",iferror(if(row()&lt;&gt;2,INDEX(arrayformula(filter($M$2:$M233,$C$2:$C233&lt;&gt;"""",row($C$2:$C233)=max(if($C$2:$C233=C234,row($C$2:$C233),0)))) ,1),0),0))"),"")</f>
        <v/>
      </c>
      <c r="M234" s="148" t="str">
        <f t="shared" si="1"/>
        <v/>
      </c>
      <c r="N234" s="147" t="str">
        <f t="shared" si="2"/>
        <v/>
      </c>
      <c r="O234" s="147" t="str">
        <f t="shared" si="21"/>
        <v/>
      </c>
      <c r="P234" s="147" t="str">
        <f>IFERROR(__xludf.DUMMYFUNCTION("if(C234="""","""",iferror(if(row()&lt;&gt;2,INDEX(arrayformula(filter($Q$2:$Q233,$C$2:$C233&lt;&gt;"""",row($C$2:$C233)=max(if($C$2:$C233=C234,row($C$2:$C233),0)))) ,1),0),0))"),"")</f>
        <v/>
      </c>
      <c r="Q234" s="147" t="str">
        <f t="shared" si="22"/>
        <v/>
      </c>
      <c r="R234" s="147" t="str">
        <f t="shared" si="23"/>
        <v/>
      </c>
      <c r="S234" s="147" t="str">
        <f t="shared" si="24"/>
        <v/>
      </c>
      <c r="T234" s="147" t="str">
        <f t="shared" si="7"/>
        <v/>
      </c>
      <c r="U234" s="150" t="str">
        <f t="shared" si="8"/>
        <v/>
      </c>
      <c r="V234" s="151" t="str">
        <f>IFERROR(VLOOKUP(C234,Ativos!$A$1:$G2000,5,),)</f>
        <v/>
      </c>
    </row>
    <row r="235" ht="21.0" customHeight="1">
      <c r="A235" s="152"/>
      <c r="B235" s="160"/>
      <c r="C235" s="153"/>
      <c r="D235" s="154"/>
      <c r="E235" s="139"/>
      <c r="F235" s="139"/>
      <c r="G235" s="139"/>
      <c r="H235" s="135"/>
      <c r="I235" s="141"/>
      <c r="J235" s="147" t="str">
        <f>IFERROR(__xludf.DUMMYFUNCTION("IF(ISBLANK(A235),IFERROR(1/0),IF(COUNT(FILTER(F:F,A:A=A235))&gt;1,TRUNC(N235*F235/SUM(FILTER(N:N,A:A=A235)),3),F235))"),"")</f>
        <v/>
      </c>
      <c r="K235" s="147" t="str">
        <f>IFERROR(__xludf.DUMMYFUNCTION("IF(ISBLANK(A235),IFERROR(1/0),IF(COUNT(FILTER(G:G,((A:A=A235)*(B:B=""V""))))&gt;1,TRUNC(N235*G235/SUM(FILTER(N:N,((A:A=A235)*(B:B=""V"")))),3),G235))"),"")</f>
        <v/>
      </c>
      <c r="L235" s="148" t="str">
        <f>IFERROR(__xludf.DUMMYFUNCTION("if($C235="""","""",iferror(if(row()&lt;&gt;2,INDEX(arrayformula(filter($M$2:$M234,$C$2:$C234&lt;&gt;"""",row($C$2:$C234)=max(if($C$2:$C234=C235,row($C$2:$C234),0)))) ,1),0),0))"),"")</f>
        <v/>
      </c>
      <c r="M235" s="148" t="str">
        <f t="shared" si="1"/>
        <v/>
      </c>
      <c r="N235" s="147" t="str">
        <f t="shared" si="2"/>
        <v/>
      </c>
      <c r="O235" s="147" t="str">
        <f t="shared" si="21"/>
        <v/>
      </c>
      <c r="P235" s="147" t="str">
        <f>IFERROR(__xludf.DUMMYFUNCTION("if(C235="""","""",iferror(if(row()&lt;&gt;2,INDEX(arrayformula(filter($Q$2:$Q234,$C$2:$C234&lt;&gt;"""",row($C$2:$C234)=max(if($C$2:$C234=C235,row($C$2:$C234),0)))) ,1),0),0))"),"")</f>
        <v/>
      </c>
      <c r="Q235" s="147" t="str">
        <f t="shared" si="22"/>
        <v/>
      </c>
      <c r="R235" s="147" t="str">
        <f t="shared" si="23"/>
        <v/>
      </c>
      <c r="S235" s="147" t="str">
        <f t="shared" si="24"/>
        <v/>
      </c>
      <c r="T235" s="147" t="str">
        <f t="shared" si="7"/>
        <v/>
      </c>
      <c r="U235" s="150" t="str">
        <f t="shared" si="8"/>
        <v/>
      </c>
      <c r="V235" s="151" t="str">
        <f>IFERROR(VLOOKUP(C235,Ativos!$A$1:$G2000,5,),)</f>
        <v/>
      </c>
    </row>
    <row r="236" ht="21.0" customHeight="1">
      <c r="A236" s="152"/>
      <c r="B236" s="160"/>
      <c r="C236" s="153"/>
      <c r="D236" s="154"/>
      <c r="E236" s="139"/>
      <c r="F236" s="139"/>
      <c r="G236" s="139"/>
      <c r="H236" s="135"/>
      <c r="I236" s="141"/>
      <c r="J236" s="147" t="str">
        <f>IFERROR(__xludf.DUMMYFUNCTION("IF(ISBLANK(A236),IFERROR(1/0),IF(COUNT(FILTER(F:F,A:A=A236))&gt;1,TRUNC(N236*F236/SUM(FILTER(N:N,A:A=A236)),3),F236))"),"")</f>
        <v/>
      </c>
      <c r="K236" s="147" t="str">
        <f>IFERROR(__xludf.DUMMYFUNCTION("IF(ISBLANK(A236),IFERROR(1/0),IF(COUNT(FILTER(G:G,((A:A=A236)*(B:B=""V""))))&gt;1,TRUNC(N236*G236/SUM(FILTER(N:N,((A:A=A236)*(B:B=""V"")))),3),G236))"),"")</f>
        <v/>
      </c>
      <c r="L236" s="148" t="str">
        <f>IFERROR(__xludf.DUMMYFUNCTION("if($C236="""","""",iferror(if(row()&lt;&gt;2,INDEX(arrayformula(filter($M$2:$M235,$C$2:$C235&lt;&gt;"""",row($C$2:$C235)=max(if($C$2:$C235=C236,row($C$2:$C235),0)))) ,1),0),0))"),"")</f>
        <v/>
      </c>
      <c r="M236" s="148" t="str">
        <f t="shared" si="1"/>
        <v/>
      </c>
      <c r="N236" s="147" t="str">
        <f t="shared" si="2"/>
        <v/>
      </c>
      <c r="O236" s="147" t="str">
        <f t="shared" si="21"/>
        <v/>
      </c>
      <c r="P236" s="147" t="str">
        <f>IFERROR(__xludf.DUMMYFUNCTION("if(C236="""","""",iferror(if(row()&lt;&gt;2,INDEX(arrayformula(filter($Q$2:$Q235,$C$2:$C235&lt;&gt;"""",row($C$2:$C235)=max(if($C$2:$C235=C236,row($C$2:$C235),0)))) ,1),0),0))"),"")</f>
        <v/>
      </c>
      <c r="Q236" s="147" t="str">
        <f t="shared" si="22"/>
        <v/>
      </c>
      <c r="R236" s="147" t="str">
        <f t="shared" si="23"/>
        <v/>
      </c>
      <c r="S236" s="147" t="str">
        <f t="shared" si="24"/>
        <v/>
      </c>
      <c r="T236" s="147" t="str">
        <f t="shared" si="7"/>
        <v/>
      </c>
      <c r="U236" s="150" t="str">
        <f t="shared" si="8"/>
        <v/>
      </c>
      <c r="V236" s="151" t="str">
        <f>IFERROR(VLOOKUP(C236,Ativos!$A$1:$G2000,5,),)</f>
        <v/>
      </c>
    </row>
    <row r="237" ht="21.0" customHeight="1">
      <c r="A237" s="152"/>
      <c r="B237" s="160"/>
      <c r="C237" s="153"/>
      <c r="D237" s="154"/>
      <c r="E237" s="139"/>
      <c r="F237" s="139"/>
      <c r="G237" s="139"/>
      <c r="H237" s="135"/>
      <c r="I237" s="141"/>
      <c r="J237" s="147" t="str">
        <f>IFERROR(__xludf.DUMMYFUNCTION("IF(ISBLANK(A237),IFERROR(1/0),IF(COUNT(FILTER(F:F,A:A=A237))&gt;1,TRUNC(N237*F237/SUM(FILTER(N:N,A:A=A237)),3),F237))"),"")</f>
        <v/>
      </c>
      <c r="K237" s="147" t="str">
        <f>IFERROR(__xludf.DUMMYFUNCTION("IF(ISBLANK(A237),IFERROR(1/0),IF(COUNT(FILTER(G:G,((A:A=A237)*(B:B=""V""))))&gt;1,TRUNC(N237*G237/SUM(FILTER(N:N,((A:A=A237)*(B:B=""V"")))),3),G237))"),"")</f>
        <v/>
      </c>
      <c r="L237" s="148" t="str">
        <f>IFERROR(__xludf.DUMMYFUNCTION("if($C237="""","""",iferror(if(row()&lt;&gt;2,INDEX(arrayformula(filter($M$2:$M236,$C$2:$C236&lt;&gt;"""",row($C$2:$C236)=max(if($C$2:$C236=C237,row($C$2:$C236),0)))) ,1),0),0))"),"")</f>
        <v/>
      </c>
      <c r="M237" s="148" t="str">
        <f t="shared" si="1"/>
        <v/>
      </c>
      <c r="N237" s="147" t="str">
        <f t="shared" si="2"/>
        <v/>
      </c>
      <c r="O237" s="147" t="str">
        <f t="shared" si="21"/>
        <v/>
      </c>
      <c r="P237" s="147" t="str">
        <f>IFERROR(__xludf.DUMMYFUNCTION("if(C237="""","""",iferror(if(row()&lt;&gt;2,INDEX(arrayformula(filter($Q$2:$Q236,$C$2:$C236&lt;&gt;"""",row($C$2:$C236)=max(if($C$2:$C236=C237,row($C$2:$C236),0)))) ,1),0),0))"),"")</f>
        <v/>
      </c>
      <c r="Q237" s="147" t="str">
        <f t="shared" si="22"/>
        <v/>
      </c>
      <c r="R237" s="147" t="str">
        <f t="shared" si="23"/>
        <v/>
      </c>
      <c r="S237" s="147" t="str">
        <f t="shared" si="24"/>
        <v/>
      </c>
      <c r="T237" s="147" t="str">
        <f t="shared" si="7"/>
        <v/>
      </c>
      <c r="U237" s="150" t="str">
        <f t="shared" si="8"/>
        <v/>
      </c>
      <c r="V237" s="151" t="str">
        <f>IFERROR(VLOOKUP(C237,Ativos!$A$1:$G2000,5,),)</f>
        <v/>
      </c>
    </row>
    <row r="238" ht="21.0" customHeight="1">
      <c r="A238" s="152"/>
      <c r="B238" s="160"/>
      <c r="C238" s="153"/>
      <c r="D238" s="154"/>
      <c r="E238" s="139"/>
      <c r="F238" s="139"/>
      <c r="G238" s="139"/>
      <c r="H238" s="135"/>
      <c r="I238" s="141"/>
      <c r="J238" s="147" t="str">
        <f>IFERROR(__xludf.DUMMYFUNCTION("IF(ISBLANK(A238),IFERROR(1/0),IF(COUNT(FILTER(F:F,A:A=A238))&gt;1,TRUNC(N238*F238/SUM(FILTER(N:N,A:A=A238)),3),F238))"),"")</f>
        <v/>
      </c>
      <c r="K238" s="147" t="str">
        <f>IFERROR(__xludf.DUMMYFUNCTION("IF(ISBLANK(A238),IFERROR(1/0),IF(COUNT(FILTER(G:G,((A:A=A238)*(B:B=""V""))))&gt;1,TRUNC(N238*G238/SUM(FILTER(N:N,((A:A=A238)*(B:B=""V"")))),3),G238))"),"")</f>
        <v/>
      </c>
      <c r="L238" s="148" t="str">
        <f>IFERROR(__xludf.DUMMYFUNCTION("if($C238="""","""",iferror(if(row()&lt;&gt;2,INDEX(arrayformula(filter($M$2:$M237,$C$2:$C237&lt;&gt;"""",row($C$2:$C237)=max(if($C$2:$C237=C238,row($C$2:$C237),0)))) ,1),0),0))"),"")</f>
        <v/>
      </c>
      <c r="M238" s="148" t="str">
        <f t="shared" si="1"/>
        <v/>
      </c>
      <c r="N238" s="147" t="str">
        <f t="shared" si="2"/>
        <v/>
      </c>
      <c r="O238" s="147" t="str">
        <f t="shared" si="21"/>
        <v/>
      </c>
      <c r="P238" s="147" t="str">
        <f>IFERROR(__xludf.DUMMYFUNCTION("if(C238="""","""",iferror(if(row()&lt;&gt;2,INDEX(arrayformula(filter($Q$2:$Q237,$C$2:$C237&lt;&gt;"""",row($C$2:$C237)=max(if($C$2:$C237=C238,row($C$2:$C237),0)))) ,1),0),0))"),"")</f>
        <v/>
      </c>
      <c r="Q238" s="147" t="str">
        <f t="shared" si="22"/>
        <v/>
      </c>
      <c r="R238" s="147" t="str">
        <f t="shared" si="23"/>
        <v/>
      </c>
      <c r="S238" s="147" t="str">
        <f t="shared" si="24"/>
        <v/>
      </c>
      <c r="T238" s="147" t="str">
        <f t="shared" si="7"/>
        <v/>
      </c>
      <c r="U238" s="150" t="str">
        <f t="shared" si="8"/>
        <v/>
      </c>
      <c r="V238" s="151" t="str">
        <f>IFERROR(VLOOKUP(C238,Ativos!$A$1:$G2000,5,),)</f>
        <v/>
      </c>
    </row>
    <row r="239" ht="21.0" customHeight="1">
      <c r="A239" s="152"/>
      <c r="B239" s="160"/>
      <c r="C239" s="153"/>
      <c r="D239" s="154"/>
      <c r="E239" s="139"/>
      <c r="F239" s="139"/>
      <c r="G239" s="139"/>
      <c r="H239" s="135"/>
      <c r="I239" s="141"/>
      <c r="J239" s="147" t="str">
        <f>IFERROR(__xludf.DUMMYFUNCTION("IF(ISBLANK(A239),IFERROR(1/0),IF(COUNT(FILTER(F:F,A:A=A239))&gt;1,TRUNC(N239*F239/SUM(FILTER(N:N,A:A=A239)),3),F239))"),"")</f>
        <v/>
      </c>
      <c r="K239" s="147" t="str">
        <f>IFERROR(__xludf.DUMMYFUNCTION("IF(ISBLANK(A239),IFERROR(1/0),IF(COUNT(FILTER(G:G,((A:A=A239)*(B:B=""V""))))&gt;1,TRUNC(N239*G239/SUM(FILTER(N:N,((A:A=A239)*(B:B=""V"")))),3),G239))"),"")</f>
        <v/>
      </c>
      <c r="L239" s="148" t="str">
        <f>IFERROR(__xludf.DUMMYFUNCTION("if($C239="""","""",iferror(if(row()&lt;&gt;2,INDEX(arrayformula(filter($M$2:$M238,$C$2:$C238&lt;&gt;"""",row($C$2:$C238)=max(if($C$2:$C238=C239,row($C$2:$C238),0)))) ,1),0),0))"),"")</f>
        <v/>
      </c>
      <c r="M239" s="148" t="str">
        <f t="shared" si="1"/>
        <v/>
      </c>
      <c r="N239" s="147" t="str">
        <f t="shared" si="2"/>
        <v/>
      </c>
      <c r="O239" s="147" t="str">
        <f t="shared" si="21"/>
        <v/>
      </c>
      <c r="P239" s="147" t="str">
        <f>IFERROR(__xludf.DUMMYFUNCTION("if(C239="""","""",iferror(if(row()&lt;&gt;2,INDEX(arrayformula(filter($Q$2:$Q238,$C$2:$C238&lt;&gt;"""",row($C$2:$C238)=max(if($C$2:$C238=C239,row($C$2:$C238),0)))) ,1),0),0))"),"")</f>
        <v/>
      </c>
      <c r="Q239" s="147" t="str">
        <f t="shared" si="22"/>
        <v/>
      </c>
      <c r="R239" s="147" t="str">
        <f t="shared" si="23"/>
        <v/>
      </c>
      <c r="S239" s="147" t="str">
        <f t="shared" si="24"/>
        <v/>
      </c>
      <c r="T239" s="147" t="str">
        <f t="shared" si="7"/>
        <v/>
      </c>
      <c r="U239" s="150" t="str">
        <f t="shared" si="8"/>
        <v/>
      </c>
      <c r="V239" s="151" t="str">
        <f>IFERROR(VLOOKUP(C239,Ativos!$A$1:$G2000,5,),)</f>
        <v/>
      </c>
    </row>
    <row r="240" ht="21.0" customHeight="1">
      <c r="A240" s="152"/>
      <c r="B240" s="160"/>
      <c r="C240" s="153"/>
      <c r="D240" s="154"/>
      <c r="E240" s="139"/>
      <c r="F240" s="139"/>
      <c r="G240" s="139"/>
      <c r="H240" s="135"/>
      <c r="I240" s="141"/>
      <c r="J240" s="147" t="str">
        <f>IFERROR(__xludf.DUMMYFUNCTION("IF(ISBLANK(A240),IFERROR(1/0),IF(COUNT(FILTER(F:F,A:A=A240))&gt;1,TRUNC(N240*F240/SUM(FILTER(N:N,A:A=A240)),3),F240))"),"")</f>
        <v/>
      </c>
      <c r="K240" s="147" t="str">
        <f>IFERROR(__xludf.DUMMYFUNCTION("IF(ISBLANK(A240),IFERROR(1/0),IF(COUNT(FILTER(G:G,((A:A=A240)*(B:B=""V""))))&gt;1,TRUNC(N240*G240/SUM(FILTER(N:N,((A:A=A240)*(B:B=""V"")))),3),G240))"),"")</f>
        <v/>
      </c>
      <c r="L240" s="148" t="str">
        <f>IFERROR(__xludf.DUMMYFUNCTION("if($C240="""","""",iferror(if(row()&lt;&gt;2,INDEX(arrayformula(filter($M$2:$M239,$C$2:$C239&lt;&gt;"""",row($C$2:$C239)=max(if($C$2:$C239=C240,row($C$2:$C239),0)))) ,1),0),0))"),"")</f>
        <v/>
      </c>
      <c r="M240" s="148" t="str">
        <f t="shared" si="1"/>
        <v/>
      </c>
      <c r="N240" s="147" t="str">
        <f t="shared" si="2"/>
        <v/>
      </c>
      <c r="O240" s="147" t="str">
        <f t="shared" si="21"/>
        <v/>
      </c>
      <c r="P240" s="147" t="str">
        <f>IFERROR(__xludf.DUMMYFUNCTION("if(C240="""","""",iferror(if(row()&lt;&gt;2,INDEX(arrayformula(filter($Q$2:$Q239,$C$2:$C239&lt;&gt;"""",row($C$2:$C239)=max(if($C$2:$C239=C240,row($C$2:$C239),0)))) ,1),0),0))"),"")</f>
        <v/>
      </c>
      <c r="Q240" s="147" t="str">
        <f t="shared" si="22"/>
        <v/>
      </c>
      <c r="R240" s="147" t="str">
        <f t="shared" si="23"/>
        <v/>
      </c>
      <c r="S240" s="147" t="str">
        <f t="shared" si="24"/>
        <v/>
      </c>
      <c r="T240" s="147" t="str">
        <f t="shared" si="7"/>
        <v/>
      </c>
      <c r="U240" s="150" t="str">
        <f t="shared" si="8"/>
        <v/>
      </c>
      <c r="V240" s="151" t="str">
        <f>IFERROR(VLOOKUP(C240,Ativos!$A$1:$G2000,5,),)</f>
        <v/>
      </c>
    </row>
    <row r="241" ht="21.0" customHeight="1">
      <c r="A241" s="152"/>
      <c r="B241" s="160"/>
      <c r="C241" s="153"/>
      <c r="D241" s="154"/>
      <c r="E241" s="139"/>
      <c r="F241" s="139"/>
      <c r="G241" s="139"/>
      <c r="H241" s="135"/>
      <c r="I241" s="141"/>
      <c r="J241" s="147" t="str">
        <f>IFERROR(__xludf.DUMMYFUNCTION("IF(ISBLANK(A241),IFERROR(1/0),IF(COUNT(FILTER(F:F,A:A=A241))&gt;1,TRUNC(N241*F241/SUM(FILTER(N:N,A:A=A241)),3),F241))"),"")</f>
        <v/>
      </c>
      <c r="K241" s="147" t="str">
        <f>IFERROR(__xludf.DUMMYFUNCTION("IF(ISBLANK(A241),IFERROR(1/0),IF(COUNT(FILTER(G:G,((A:A=A241)*(B:B=""V""))))&gt;1,TRUNC(N241*G241/SUM(FILTER(N:N,((A:A=A241)*(B:B=""V"")))),3),G241))"),"")</f>
        <v/>
      </c>
      <c r="L241" s="148" t="str">
        <f>IFERROR(__xludf.DUMMYFUNCTION("if($C241="""","""",iferror(if(row()&lt;&gt;2,INDEX(arrayformula(filter($M$2:$M240,$C$2:$C240&lt;&gt;"""",row($C$2:$C240)=max(if($C$2:$C240=C241,row($C$2:$C240),0)))) ,1),0),0))"),"")</f>
        <v/>
      </c>
      <c r="M241" s="148" t="str">
        <f t="shared" si="1"/>
        <v/>
      </c>
      <c r="N241" s="147" t="str">
        <f t="shared" si="2"/>
        <v/>
      </c>
      <c r="O241" s="147" t="str">
        <f t="shared" si="21"/>
        <v/>
      </c>
      <c r="P241" s="147" t="str">
        <f>IFERROR(__xludf.DUMMYFUNCTION("if(C241="""","""",iferror(if(row()&lt;&gt;2,INDEX(arrayformula(filter($Q$2:$Q240,$C$2:$C240&lt;&gt;"""",row($C$2:$C240)=max(if($C$2:$C240=C241,row($C$2:$C240),0)))) ,1),0),0))"),"")</f>
        <v/>
      </c>
      <c r="Q241" s="147" t="str">
        <f t="shared" si="22"/>
        <v/>
      </c>
      <c r="R241" s="147" t="str">
        <f t="shared" si="23"/>
        <v/>
      </c>
      <c r="S241" s="147" t="str">
        <f t="shared" si="24"/>
        <v/>
      </c>
      <c r="T241" s="147" t="str">
        <f t="shared" si="7"/>
        <v/>
      </c>
      <c r="U241" s="150" t="str">
        <f t="shared" si="8"/>
        <v/>
      </c>
      <c r="V241" s="151" t="str">
        <f>IFERROR(VLOOKUP(C241,Ativos!$A$1:$G2000,5,),)</f>
        <v/>
      </c>
    </row>
    <row r="242" ht="21.0" customHeight="1">
      <c r="A242" s="152"/>
      <c r="B242" s="160"/>
      <c r="C242" s="153"/>
      <c r="D242" s="154"/>
      <c r="E242" s="139"/>
      <c r="F242" s="139"/>
      <c r="G242" s="139"/>
      <c r="H242" s="135"/>
      <c r="I242" s="141"/>
      <c r="J242" s="147" t="str">
        <f>IFERROR(__xludf.DUMMYFUNCTION("IF(ISBLANK(A242),IFERROR(1/0),IF(COUNT(FILTER(F:F,A:A=A242))&gt;1,TRUNC(N242*F242/SUM(FILTER(N:N,A:A=A242)),3),F242))"),"")</f>
        <v/>
      </c>
      <c r="K242" s="147" t="str">
        <f>IFERROR(__xludf.DUMMYFUNCTION("IF(ISBLANK(A242),IFERROR(1/0),IF(COUNT(FILTER(G:G,((A:A=A242)*(B:B=""V""))))&gt;1,TRUNC(N242*G242/SUM(FILTER(N:N,((A:A=A242)*(B:B=""V"")))),3),G242))"),"")</f>
        <v/>
      </c>
      <c r="L242" s="148" t="str">
        <f>IFERROR(__xludf.DUMMYFUNCTION("if($C242="""","""",iferror(if(row()&lt;&gt;2,INDEX(arrayformula(filter($M$2:$M241,$C$2:$C241&lt;&gt;"""",row($C$2:$C241)=max(if($C$2:$C241=C242,row($C$2:$C241),0)))) ,1),0),0))"),"")</f>
        <v/>
      </c>
      <c r="M242" s="148" t="str">
        <f t="shared" si="1"/>
        <v/>
      </c>
      <c r="N242" s="147" t="str">
        <f t="shared" si="2"/>
        <v/>
      </c>
      <c r="O242" s="147" t="str">
        <f t="shared" si="21"/>
        <v/>
      </c>
      <c r="P242" s="147" t="str">
        <f>IFERROR(__xludf.DUMMYFUNCTION("if(C242="""","""",iferror(if(row()&lt;&gt;2,INDEX(arrayformula(filter($Q$2:$Q241,$C$2:$C241&lt;&gt;"""",row($C$2:$C241)=max(if($C$2:$C241=C242,row($C$2:$C241),0)))) ,1),0),0))"),"")</f>
        <v/>
      </c>
      <c r="Q242" s="147" t="str">
        <f t="shared" si="22"/>
        <v/>
      </c>
      <c r="R242" s="147" t="str">
        <f t="shared" si="23"/>
        <v/>
      </c>
      <c r="S242" s="147" t="str">
        <f t="shared" si="24"/>
        <v/>
      </c>
      <c r="T242" s="147" t="str">
        <f t="shared" si="7"/>
        <v/>
      </c>
      <c r="U242" s="150" t="str">
        <f t="shared" si="8"/>
        <v/>
      </c>
      <c r="V242" s="151" t="str">
        <f>IFERROR(VLOOKUP(C242,Ativos!$A$1:$G2000,5,),)</f>
        <v/>
      </c>
    </row>
    <row r="243" ht="21.0" customHeight="1">
      <c r="A243" s="152"/>
      <c r="B243" s="160"/>
      <c r="C243" s="153"/>
      <c r="D243" s="154"/>
      <c r="E243" s="139"/>
      <c r="F243" s="139"/>
      <c r="G243" s="139"/>
      <c r="H243" s="135"/>
      <c r="I243" s="141"/>
      <c r="J243" s="147" t="str">
        <f>IFERROR(__xludf.DUMMYFUNCTION("IF(ISBLANK(A243),IFERROR(1/0),IF(COUNT(FILTER(F:F,A:A=A243))&gt;1,TRUNC(N243*F243/SUM(FILTER(N:N,A:A=A243)),3),F243))"),"")</f>
        <v/>
      </c>
      <c r="K243" s="147" t="str">
        <f>IFERROR(__xludf.DUMMYFUNCTION("IF(ISBLANK(A243),IFERROR(1/0),IF(COUNT(FILTER(G:G,((A:A=A243)*(B:B=""V""))))&gt;1,TRUNC(N243*G243/SUM(FILTER(N:N,((A:A=A243)*(B:B=""V"")))),3),G243))"),"")</f>
        <v/>
      </c>
      <c r="L243" s="148" t="str">
        <f>IFERROR(__xludf.DUMMYFUNCTION("if($C243="""","""",iferror(if(row()&lt;&gt;2,INDEX(arrayformula(filter($M$2:$M242,$C$2:$C242&lt;&gt;"""",row($C$2:$C242)=max(if($C$2:$C242=C243,row($C$2:$C242),0)))) ,1),0),0))"),"")</f>
        <v/>
      </c>
      <c r="M243" s="148" t="str">
        <f t="shared" si="1"/>
        <v/>
      </c>
      <c r="N243" s="147" t="str">
        <f t="shared" si="2"/>
        <v/>
      </c>
      <c r="O243" s="147" t="str">
        <f t="shared" si="21"/>
        <v/>
      </c>
      <c r="P243" s="147" t="str">
        <f>IFERROR(__xludf.DUMMYFUNCTION("if(C243="""","""",iferror(if(row()&lt;&gt;2,INDEX(arrayformula(filter($Q$2:$Q242,$C$2:$C242&lt;&gt;"""",row($C$2:$C242)=max(if($C$2:$C242=C243,row($C$2:$C242),0)))) ,1),0),0))"),"")</f>
        <v/>
      </c>
      <c r="Q243" s="147" t="str">
        <f t="shared" si="22"/>
        <v/>
      </c>
      <c r="R243" s="147" t="str">
        <f t="shared" si="23"/>
        <v/>
      </c>
      <c r="S243" s="147" t="str">
        <f t="shared" si="24"/>
        <v/>
      </c>
      <c r="T243" s="147" t="str">
        <f t="shared" si="7"/>
        <v/>
      </c>
      <c r="U243" s="150" t="str">
        <f t="shared" si="8"/>
        <v/>
      </c>
      <c r="V243" s="151" t="str">
        <f>IFERROR(VLOOKUP(C243,Ativos!$A$1:$G2000,5,),)</f>
        <v/>
      </c>
    </row>
    <row r="244" ht="21.0" customHeight="1">
      <c r="A244" s="152"/>
      <c r="B244" s="160"/>
      <c r="C244" s="153"/>
      <c r="D244" s="154"/>
      <c r="E244" s="139"/>
      <c r="F244" s="139"/>
      <c r="G244" s="139"/>
      <c r="H244" s="135"/>
      <c r="I244" s="141"/>
      <c r="J244" s="147" t="str">
        <f>IFERROR(__xludf.DUMMYFUNCTION("IF(ISBLANK(A244),IFERROR(1/0),IF(COUNT(FILTER(F:F,A:A=A244))&gt;1,TRUNC(N244*F244/SUM(FILTER(N:N,A:A=A244)),3),F244))"),"")</f>
        <v/>
      </c>
      <c r="K244" s="147" t="str">
        <f>IFERROR(__xludf.DUMMYFUNCTION("IF(ISBLANK(A244),IFERROR(1/0),IF(COUNT(FILTER(G:G,((A:A=A244)*(B:B=""V""))))&gt;1,TRUNC(N244*G244/SUM(FILTER(N:N,((A:A=A244)*(B:B=""V"")))),3),G244))"),"")</f>
        <v/>
      </c>
      <c r="L244" s="148" t="str">
        <f>IFERROR(__xludf.DUMMYFUNCTION("if($C244="""","""",iferror(if(row()&lt;&gt;2,INDEX(arrayformula(filter($M$2:$M243,$C$2:$C243&lt;&gt;"""",row($C$2:$C243)=max(if($C$2:$C243=C244,row($C$2:$C243),0)))) ,1),0),0))"),"")</f>
        <v/>
      </c>
      <c r="M244" s="148" t="str">
        <f t="shared" si="1"/>
        <v/>
      </c>
      <c r="N244" s="147" t="str">
        <f t="shared" si="2"/>
        <v/>
      </c>
      <c r="O244" s="147" t="str">
        <f t="shared" si="21"/>
        <v/>
      </c>
      <c r="P244" s="147" t="str">
        <f>IFERROR(__xludf.DUMMYFUNCTION("if(C244="""","""",iferror(if(row()&lt;&gt;2,INDEX(arrayformula(filter($Q$2:$Q243,$C$2:$C243&lt;&gt;"""",row($C$2:$C243)=max(if($C$2:$C243=C244,row($C$2:$C243),0)))) ,1),0),0))"),"")</f>
        <v/>
      </c>
      <c r="Q244" s="147" t="str">
        <f t="shared" si="22"/>
        <v/>
      </c>
      <c r="R244" s="147" t="str">
        <f t="shared" si="23"/>
        <v/>
      </c>
      <c r="S244" s="147" t="str">
        <f t="shared" si="24"/>
        <v/>
      </c>
      <c r="T244" s="147" t="str">
        <f t="shared" si="7"/>
        <v/>
      </c>
      <c r="U244" s="150" t="str">
        <f t="shared" si="8"/>
        <v/>
      </c>
      <c r="V244" s="151" t="str">
        <f>IFERROR(VLOOKUP(C244,Ativos!$A$1:$G2000,5,),)</f>
        <v/>
      </c>
    </row>
    <row r="245" ht="21.0" customHeight="1">
      <c r="A245" s="152"/>
      <c r="B245" s="160"/>
      <c r="C245" s="153"/>
      <c r="D245" s="154"/>
      <c r="E245" s="139"/>
      <c r="F245" s="139"/>
      <c r="G245" s="139"/>
      <c r="H245" s="135"/>
      <c r="I245" s="141"/>
      <c r="J245" s="147" t="str">
        <f>IFERROR(__xludf.DUMMYFUNCTION("IF(ISBLANK(A245),IFERROR(1/0),IF(COUNT(FILTER(F:F,A:A=A245))&gt;1,TRUNC(N245*F245/SUM(FILTER(N:N,A:A=A245)),3),F245))"),"")</f>
        <v/>
      </c>
      <c r="K245" s="147" t="str">
        <f>IFERROR(__xludf.DUMMYFUNCTION("IF(ISBLANK(A245),IFERROR(1/0),IF(COUNT(FILTER(G:G,((A:A=A245)*(B:B=""V""))))&gt;1,TRUNC(N245*G245/SUM(FILTER(N:N,((A:A=A245)*(B:B=""V"")))),3),G245))"),"")</f>
        <v/>
      </c>
      <c r="L245" s="148" t="str">
        <f>IFERROR(__xludf.DUMMYFUNCTION("if($C245="""","""",iferror(if(row()&lt;&gt;2,INDEX(arrayformula(filter($M$2:$M244,$C$2:$C244&lt;&gt;"""",row($C$2:$C244)=max(if($C$2:$C244=C245,row($C$2:$C244),0)))) ,1),0),0))"),"")</f>
        <v/>
      </c>
      <c r="M245" s="148" t="str">
        <f t="shared" si="1"/>
        <v/>
      </c>
      <c r="N245" s="147" t="str">
        <f t="shared" si="2"/>
        <v/>
      </c>
      <c r="O245" s="147" t="str">
        <f t="shared" si="21"/>
        <v/>
      </c>
      <c r="P245" s="147" t="str">
        <f>IFERROR(__xludf.DUMMYFUNCTION("if(C245="""","""",iferror(if(row()&lt;&gt;2,INDEX(arrayformula(filter($Q$2:$Q244,$C$2:$C244&lt;&gt;"""",row($C$2:$C244)=max(if($C$2:$C244=C245,row($C$2:$C244),0)))) ,1),0),0))"),"")</f>
        <v/>
      </c>
      <c r="Q245" s="147" t="str">
        <f t="shared" si="22"/>
        <v/>
      </c>
      <c r="R245" s="147" t="str">
        <f t="shared" si="23"/>
        <v/>
      </c>
      <c r="S245" s="147" t="str">
        <f t="shared" si="24"/>
        <v/>
      </c>
      <c r="T245" s="147" t="str">
        <f t="shared" si="7"/>
        <v/>
      </c>
      <c r="U245" s="150" t="str">
        <f t="shared" si="8"/>
        <v/>
      </c>
      <c r="V245" s="151" t="str">
        <f>IFERROR(VLOOKUP(C245,Ativos!$A$1:$G2000,5,),)</f>
        <v/>
      </c>
    </row>
    <row r="246" ht="21.0" customHeight="1">
      <c r="A246" s="152"/>
      <c r="B246" s="160"/>
      <c r="C246" s="153"/>
      <c r="D246" s="154"/>
      <c r="E246" s="139"/>
      <c r="F246" s="139"/>
      <c r="G246" s="139"/>
      <c r="H246" s="135"/>
      <c r="I246" s="141"/>
      <c r="J246" s="147" t="str">
        <f>IFERROR(__xludf.DUMMYFUNCTION("IF(ISBLANK(A246),IFERROR(1/0),IF(COUNT(FILTER(F:F,A:A=A246))&gt;1,TRUNC(N246*F246/SUM(FILTER(N:N,A:A=A246)),3),F246))"),"")</f>
        <v/>
      </c>
      <c r="K246" s="147" t="str">
        <f>IFERROR(__xludf.DUMMYFUNCTION("IF(ISBLANK(A246),IFERROR(1/0),IF(COUNT(FILTER(G:G,((A:A=A246)*(B:B=""V""))))&gt;1,TRUNC(N246*G246/SUM(FILTER(N:N,((A:A=A246)*(B:B=""V"")))),3),G246))"),"")</f>
        <v/>
      </c>
      <c r="L246" s="148" t="str">
        <f>IFERROR(__xludf.DUMMYFUNCTION("if($C246="""","""",iferror(if(row()&lt;&gt;2,INDEX(arrayformula(filter($M$2:$M245,$C$2:$C245&lt;&gt;"""",row($C$2:$C245)=max(if($C$2:$C245=C246,row($C$2:$C245),0)))) ,1),0),0))"),"")</f>
        <v/>
      </c>
      <c r="M246" s="148" t="str">
        <f t="shared" si="1"/>
        <v/>
      </c>
      <c r="N246" s="147" t="str">
        <f t="shared" si="2"/>
        <v/>
      </c>
      <c r="O246" s="147" t="str">
        <f t="shared" si="21"/>
        <v/>
      </c>
      <c r="P246" s="147" t="str">
        <f>IFERROR(__xludf.DUMMYFUNCTION("if(C246="""","""",iferror(if(row()&lt;&gt;2,INDEX(arrayformula(filter($Q$2:$Q245,$C$2:$C245&lt;&gt;"""",row($C$2:$C245)=max(if($C$2:$C245=C246,row($C$2:$C245),0)))) ,1),0),0))"),"")</f>
        <v/>
      </c>
      <c r="Q246" s="147" t="str">
        <f t="shared" si="22"/>
        <v/>
      </c>
      <c r="R246" s="147" t="str">
        <f t="shared" si="23"/>
        <v/>
      </c>
      <c r="S246" s="147" t="str">
        <f t="shared" si="24"/>
        <v/>
      </c>
      <c r="T246" s="147" t="str">
        <f t="shared" si="7"/>
        <v/>
      </c>
      <c r="U246" s="150" t="str">
        <f t="shared" si="8"/>
        <v/>
      </c>
      <c r="V246" s="151" t="str">
        <f>IFERROR(VLOOKUP(C246,Ativos!$A$1:$G2000,5,),)</f>
        <v/>
      </c>
    </row>
    <row r="247" ht="21.0" customHeight="1">
      <c r="A247" s="152"/>
      <c r="B247" s="160"/>
      <c r="C247" s="153"/>
      <c r="D247" s="154"/>
      <c r="E247" s="139"/>
      <c r="F247" s="139"/>
      <c r="G247" s="139"/>
      <c r="H247" s="135"/>
      <c r="I247" s="141"/>
      <c r="J247" s="147" t="str">
        <f>IFERROR(__xludf.DUMMYFUNCTION("IF(ISBLANK(A247),IFERROR(1/0),IF(COUNT(FILTER(F:F,A:A=A247))&gt;1,TRUNC(N247*F247/SUM(FILTER(N:N,A:A=A247)),3),F247))"),"")</f>
        <v/>
      </c>
      <c r="K247" s="147" t="str">
        <f>IFERROR(__xludf.DUMMYFUNCTION("IF(ISBLANK(A247),IFERROR(1/0),IF(COUNT(FILTER(G:G,((A:A=A247)*(B:B=""V""))))&gt;1,TRUNC(N247*G247/SUM(FILTER(N:N,((A:A=A247)*(B:B=""V"")))),3),G247))"),"")</f>
        <v/>
      </c>
      <c r="L247" s="148" t="str">
        <f>IFERROR(__xludf.DUMMYFUNCTION("if($C247="""","""",iferror(if(row()&lt;&gt;2,INDEX(arrayformula(filter($M$2:$M246,$C$2:$C246&lt;&gt;"""",row($C$2:$C246)=max(if($C$2:$C246=C247,row($C$2:$C246),0)))) ,1),0),0))"),"")</f>
        <v/>
      </c>
      <c r="M247" s="148" t="str">
        <f t="shared" si="1"/>
        <v/>
      </c>
      <c r="N247" s="147" t="str">
        <f t="shared" si="2"/>
        <v/>
      </c>
      <c r="O247" s="147" t="str">
        <f t="shared" si="21"/>
        <v/>
      </c>
      <c r="P247" s="147" t="str">
        <f>IFERROR(__xludf.DUMMYFUNCTION("if(C247="""","""",iferror(if(row()&lt;&gt;2,INDEX(arrayformula(filter($Q$2:$Q246,$C$2:$C246&lt;&gt;"""",row($C$2:$C246)=max(if($C$2:$C246=C247,row($C$2:$C246),0)))) ,1),0),0))"),"")</f>
        <v/>
      </c>
      <c r="Q247" s="147" t="str">
        <f t="shared" si="22"/>
        <v/>
      </c>
      <c r="R247" s="147" t="str">
        <f t="shared" si="23"/>
        <v/>
      </c>
      <c r="S247" s="147" t="str">
        <f t="shared" si="24"/>
        <v/>
      </c>
      <c r="T247" s="147" t="str">
        <f t="shared" si="7"/>
        <v/>
      </c>
      <c r="U247" s="150" t="str">
        <f t="shared" si="8"/>
        <v/>
      </c>
      <c r="V247" s="151" t="str">
        <f>IFERROR(VLOOKUP(C247,Ativos!$A$1:$G2000,5,),)</f>
        <v/>
      </c>
    </row>
    <row r="248" ht="21.0" customHeight="1">
      <c r="A248" s="152"/>
      <c r="B248" s="160"/>
      <c r="C248" s="153"/>
      <c r="D248" s="154"/>
      <c r="E248" s="139"/>
      <c r="F248" s="139"/>
      <c r="G248" s="139"/>
      <c r="H248" s="135"/>
      <c r="I248" s="141"/>
      <c r="J248" s="147" t="str">
        <f>IFERROR(__xludf.DUMMYFUNCTION("IF(ISBLANK(A248),IFERROR(1/0),IF(COUNT(FILTER(F:F,A:A=A248))&gt;1,TRUNC(N248*F248/SUM(FILTER(N:N,A:A=A248)),3),F248))"),"")</f>
        <v/>
      </c>
      <c r="K248" s="147" t="str">
        <f>IFERROR(__xludf.DUMMYFUNCTION("IF(ISBLANK(A248),IFERROR(1/0),IF(COUNT(FILTER(G:G,((A:A=A248)*(B:B=""V""))))&gt;1,TRUNC(N248*G248/SUM(FILTER(N:N,((A:A=A248)*(B:B=""V"")))),3),G248))"),"")</f>
        <v/>
      </c>
      <c r="L248" s="148" t="str">
        <f>IFERROR(__xludf.DUMMYFUNCTION("if($C248="""","""",iferror(if(row()&lt;&gt;2,INDEX(arrayformula(filter($M$2:$M247,$C$2:$C247&lt;&gt;"""",row($C$2:$C247)=max(if($C$2:$C247=C248,row($C$2:$C247),0)))) ,1),0),0))"),"")</f>
        <v/>
      </c>
      <c r="M248" s="148" t="str">
        <f t="shared" si="1"/>
        <v/>
      </c>
      <c r="N248" s="147" t="str">
        <f t="shared" si="2"/>
        <v/>
      </c>
      <c r="O248" s="147" t="str">
        <f t="shared" si="21"/>
        <v/>
      </c>
      <c r="P248" s="147" t="str">
        <f>IFERROR(__xludf.DUMMYFUNCTION("if(C248="""","""",iferror(if(row()&lt;&gt;2,INDEX(arrayformula(filter($Q$2:$Q247,$C$2:$C247&lt;&gt;"""",row($C$2:$C247)=max(if($C$2:$C247=C248,row($C$2:$C247),0)))) ,1),0),0))"),"")</f>
        <v/>
      </c>
      <c r="Q248" s="147" t="str">
        <f t="shared" si="22"/>
        <v/>
      </c>
      <c r="R248" s="147" t="str">
        <f t="shared" si="23"/>
        <v/>
      </c>
      <c r="S248" s="147" t="str">
        <f t="shared" si="24"/>
        <v/>
      </c>
      <c r="T248" s="147" t="str">
        <f t="shared" si="7"/>
        <v/>
      </c>
      <c r="U248" s="150" t="str">
        <f t="shared" si="8"/>
        <v/>
      </c>
      <c r="V248" s="151" t="str">
        <f>IFERROR(VLOOKUP(C248,Ativos!$A$1:$G2000,5,),)</f>
        <v/>
      </c>
    </row>
    <row r="249" ht="21.0" customHeight="1">
      <c r="A249" s="152"/>
      <c r="B249" s="160"/>
      <c r="C249" s="153"/>
      <c r="D249" s="154"/>
      <c r="E249" s="139"/>
      <c r="F249" s="139"/>
      <c r="G249" s="139"/>
      <c r="H249" s="135"/>
      <c r="I249" s="141"/>
      <c r="J249" s="147" t="str">
        <f>IFERROR(__xludf.DUMMYFUNCTION("IF(ISBLANK(A249),IFERROR(1/0),IF(COUNT(FILTER(F:F,A:A=A249))&gt;1,TRUNC(N249*F249/SUM(FILTER(N:N,A:A=A249)),3),F249))"),"")</f>
        <v/>
      </c>
      <c r="K249" s="147" t="str">
        <f>IFERROR(__xludf.DUMMYFUNCTION("IF(ISBLANK(A249),IFERROR(1/0),IF(COUNT(FILTER(G:G,((A:A=A249)*(B:B=""V""))))&gt;1,TRUNC(N249*G249/SUM(FILTER(N:N,((A:A=A249)*(B:B=""V"")))),3),G249))"),"")</f>
        <v/>
      </c>
      <c r="L249" s="148" t="str">
        <f>IFERROR(__xludf.DUMMYFUNCTION("if($C249="""","""",iferror(if(row()&lt;&gt;2,INDEX(arrayformula(filter($M$2:$M248,$C$2:$C248&lt;&gt;"""",row($C$2:$C248)=max(if($C$2:$C248=C249,row($C$2:$C248),0)))) ,1),0),0))"),"")</f>
        <v/>
      </c>
      <c r="M249" s="148" t="str">
        <f t="shared" si="1"/>
        <v/>
      </c>
      <c r="N249" s="147" t="str">
        <f t="shared" si="2"/>
        <v/>
      </c>
      <c r="O249" s="147" t="str">
        <f t="shared" si="21"/>
        <v/>
      </c>
      <c r="P249" s="147" t="str">
        <f>IFERROR(__xludf.DUMMYFUNCTION("if(C249="""","""",iferror(if(row()&lt;&gt;2,INDEX(arrayformula(filter($Q$2:$Q248,$C$2:$C248&lt;&gt;"""",row($C$2:$C248)=max(if($C$2:$C248=C249,row($C$2:$C248),0)))) ,1),0),0))"),"")</f>
        <v/>
      </c>
      <c r="Q249" s="147" t="str">
        <f t="shared" si="22"/>
        <v/>
      </c>
      <c r="R249" s="147" t="str">
        <f t="shared" si="23"/>
        <v/>
      </c>
      <c r="S249" s="147" t="str">
        <f t="shared" si="24"/>
        <v/>
      </c>
      <c r="T249" s="147" t="str">
        <f t="shared" si="7"/>
        <v/>
      </c>
      <c r="U249" s="150" t="str">
        <f t="shared" si="8"/>
        <v/>
      </c>
      <c r="V249" s="151" t="str">
        <f>IFERROR(VLOOKUP(C249,Ativos!$A$1:$G2000,5,),)</f>
        <v/>
      </c>
    </row>
    <row r="250" ht="21.0" customHeight="1">
      <c r="A250" s="152"/>
      <c r="B250" s="160"/>
      <c r="C250" s="153"/>
      <c r="D250" s="154"/>
      <c r="E250" s="139"/>
      <c r="F250" s="139"/>
      <c r="G250" s="139"/>
      <c r="H250" s="135"/>
      <c r="I250" s="141"/>
      <c r="J250" s="147" t="str">
        <f>IFERROR(__xludf.DUMMYFUNCTION("IF(ISBLANK(A250),IFERROR(1/0),IF(COUNT(FILTER(F:F,A:A=A250))&gt;1,TRUNC(N250*F250/SUM(FILTER(N:N,A:A=A250)),3),F250))"),"")</f>
        <v/>
      </c>
      <c r="K250" s="147" t="str">
        <f>IFERROR(__xludf.DUMMYFUNCTION("IF(ISBLANK(A250),IFERROR(1/0),IF(COUNT(FILTER(G:G,((A:A=A250)*(B:B=""V""))))&gt;1,TRUNC(N250*G250/SUM(FILTER(N:N,((A:A=A250)*(B:B=""V"")))),3),G250))"),"")</f>
        <v/>
      </c>
      <c r="L250" s="148" t="str">
        <f>IFERROR(__xludf.DUMMYFUNCTION("if($C250="""","""",iferror(if(row()&lt;&gt;2,INDEX(arrayformula(filter($M$2:$M249,$C$2:$C249&lt;&gt;"""",row($C$2:$C249)=max(if($C$2:$C249=C250,row($C$2:$C249),0)))) ,1),0),0))"),"")</f>
        <v/>
      </c>
      <c r="M250" s="148" t="str">
        <f t="shared" si="1"/>
        <v/>
      </c>
      <c r="N250" s="147" t="str">
        <f t="shared" si="2"/>
        <v/>
      </c>
      <c r="O250" s="147" t="str">
        <f t="shared" si="21"/>
        <v/>
      </c>
      <c r="P250" s="147" t="str">
        <f>IFERROR(__xludf.DUMMYFUNCTION("if(C250="""","""",iferror(if(row()&lt;&gt;2,INDEX(arrayformula(filter($Q$2:$Q249,$C$2:$C249&lt;&gt;"""",row($C$2:$C249)=max(if($C$2:$C249=C250,row($C$2:$C249),0)))) ,1),0),0))"),"")</f>
        <v/>
      </c>
      <c r="Q250" s="147" t="str">
        <f t="shared" si="22"/>
        <v/>
      </c>
      <c r="R250" s="147" t="str">
        <f t="shared" si="23"/>
        <v/>
      </c>
      <c r="S250" s="147" t="str">
        <f t="shared" si="24"/>
        <v/>
      </c>
      <c r="T250" s="147" t="str">
        <f t="shared" si="7"/>
        <v/>
      </c>
      <c r="U250" s="150" t="str">
        <f t="shared" si="8"/>
        <v/>
      </c>
      <c r="V250" s="151" t="str">
        <f>IFERROR(VLOOKUP(C250,Ativos!$A$1:$G2000,5,),)</f>
        <v/>
      </c>
    </row>
    <row r="251" ht="21.0" customHeight="1">
      <c r="A251" s="152"/>
      <c r="B251" s="160"/>
      <c r="C251" s="153"/>
      <c r="D251" s="154"/>
      <c r="E251" s="139"/>
      <c r="F251" s="139"/>
      <c r="G251" s="139"/>
      <c r="H251" s="135"/>
      <c r="I251" s="141"/>
      <c r="J251" s="147" t="str">
        <f>IFERROR(__xludf.DUMMYFUNCTION("IF(ISBLANK(A251),IFERROR(1/0),IF(COUNT(FILTER(F:F,A:A=A251))&gt;1,TRUNC(N251*F251/SUM(FILTER(N:N,A:A=A251)),3),F251))"),"")</f>
        <v/>
      </c>
      <c r="K251" s="147" t="str">
        <f>IFERROR(__xludf.DUMMYFUNCTION("IF(ISBLANK(A251),IFERROR(1/0),IF(COUNT(FILTER(G:G,((A:A=A251)*(B:B=""V""))))&gt;1,TRUNC(N251*G251/SUM(FILTER(N:N,((A:A=A251)*(B:B=""V"")))),3),G251))"),"")</f>
        <v/>
      </c>
      <c r="L251" s="148" t="str">
        <f>IFERROR(__xludf.DUMMYFUNCTION("if($C251="""","""",iferror(if(row()&lt;&gt;2,INDEX(arrayformula(filter($M$2:$M250,$C$2:$C250&lt;&gt;"""",row($C$2:$C250)=max(if($C$2:$C250=C251,row($C$2:$C250),0)))) ,1),0),0))"),"")</f>
        <v/>
      </c>
      <c r="M251" s="148" t="str">
        <f t="shared" si="1"/>
        <v/>
      </c>
      <c r="N251" s="147" t="str">
        <f t="shared" si="2"/>
        <v/>
      </c>
      <c r="O251" s="147" t="str">
        <f t="shared" si="21"/>
        <v/>
      </c>
      <c r="P251" s="147" t="str">
        <f>IFERROR(__xludf.DUMMYFUNCTION("if(C251="""","""",iferror(if(row()&lt;&gt;2,INDEX(arrayformula(filter($Q$2:$Q250,$C$2:$C250&lt;&gt;"""",row($C$2:$C250)=max(if($C$2:$C250=C251,row($C$2:$C250),0)))) ,1),0),0))"),"")</f>
        <v/>
      </c>
      <c r="Q251" s="147" t="str">
        <f t="shared" si="22"/>
        <v/>
      </c>
      <c r="R251" s="147" t="str">
        <f t="shared" si="23"/>
        <v/>
      </c>
      <c r="S251" s="147" t="str">
        <f t="shared" si="24"/>
        <v/>
      </c>
      <c r="T251" s="147" t="str">
        <f t="shared" si="7"/>
        <v/>
      </c>
      <c r="U251" s="150" t="str">
        <f t="shared" si="8"/>
        <v/>
      </c>
      <c r="V251" s="151" t="str">
        <f>IFERROR(VLOOKUP(C251,Ativos!$A$1:$G2000,5,),)</f>
        <v/>
      </c>
    </row>
    <row r="252" ht="21.0" customHeight="1">
      <c r="A252" s="152"/>
      <c r="B252" s="160"/>
      <c r="C252" s="153"/>
      <c r="D252" s="154"/>
      <c r="E252" s="139"/>
      <c r="F252" s="139"/>
      <c r="G252" s="139"/>
      <c r="H252" s="135"/>
      <c r="I252" s="141"/>
      <c r="J252" s="147" t="str">
        <f>IFERROR(__xludf.DUMMYFUNCTION("IF(ISBLANK(A252),IFERROR(1/0),IF(COUNT(FILTER(F:F,A:A=A252))&gt;1,TRUNC(N252*F252/SUM(FILTER(N:N,A:A=A252)),3),F252))"),"")</f>
        <v/>
      </c>
      <c r="K252" s="147" t="str">
        <f>IFERROR(__xludf.DUMMYFUNCTION("IF(ISBLANK(A252),IFERROR(1/0),IF(COUNT(FILTER(G:G,((A:A=A252)*(B:B=""V""))))&gt;1,TRUNC(N252*G252/SUM(FILTER(N:N,((A:A=A252)*(B:B=""V"")))),3),G252))"),"")</f>
        <v/>
      </c>
      <c r="L252" s="148" t="str">
        <f>IFERROR(__xludf.DUMMYFUNCTION("if($C252="""","""",iferror(if(row()&lt;&gt;2,INDEX(arrayformula(filter($M$2:$M251,$C$2:$C251&lt;&gt;"""",row($C$2:$C251)=max(if($C$2:$C251=C252,row($C$2:$C251),0)))) ,1),0),0))"),"")</f>
        <v/>
      </c>
      <c r="M252" s="148" t="str">
        <f t="shared" si="1"/>
        <v/>
      </c>
      <c r="N252" s="147" t="str">
        <f t="shared" si="2"/>
        <v/>
      </c>
      <c r="O252" s="147" t="str">
        <f t="shared" si="21"/>
        <v/>
      </c>
      <c r="P252" s="147" t="str">
        <f>IFERROR(__xludf.DUMMYFUNCTION("if(C252="""","""",iferror(if(row()&lt;&gt;2,INDEX(arrayformula(filter($Q$2:$Q251,$C$2:$C251&lt;&gt;"""",row($C$2:$C251)=max(if($C$2:$C251=C252,row($C$2:$C251),0)))) ,1),0),0))"),"")</f>
        <v/>
      </c>
      <c r="Q252" s="147" t="str">
        <f t="shared" si="22"/>
        <v/>
      </c>
      <c r="R252" s="147" t="str">
        <f t="shared" si="23"/>
        <v/>
      </c>
      <c r="S252" s="147" t="str">
        <f t="shared" si="24"/>
        <v/>
      </c>
      <c r="T252" s="147" t="str">
        <f t="shared" si="7"/>
        <v/>
      </c>
      <c r="U252" s="150" t="str">
        <f t="shared" si="8"/>
        <v/>
      </c>
      <c r="V252" s="151" t="str">
        <f>IFERROR(VLOOKUP(C252,Ativos!$A$1:$G2000,5,),)</f>
        <v/>
      </c>
    </row>
    <row r="253" ht="21.0" customHeight="1">
      <c r="A253" s="152"/>
      <c r="B253" s="160"/>
      <c r="C253" s="153"/>
      <c r="D253" s="154"/>
      <c r="E253" s="139"/>
      <c r="F253" s="139"/>
      <c r="G253" s="139"/>
      <c r="H253" s="135"/>
      <c r="I253" s="141"/>
      <c r="J253" s="147" t="str">
        <f>IFERROR(__xludf.DUMMYFUNCTION("IF(ISBLANK(A253),IFERROR(1/0),IF(COUNT(FILTER(F:F,A:A=A253))&gt;1,TRUNC(N253*F253/SUM(FILTER(N:N,A:A=A253)),3),F253))"),"")</f>
        <v/>
      </c>
      <c r="K253" s="147" t="str">
        <f>IFERROR(__xludf.DUMMYFUNCTION("IF(ISBLANK(A253),IFERROR(1/0),IF(COUNT(FILTER(G:G,((A:A=A253)*(B:B=""V""))))&gt;1,TRUNC(N253*G253/SUM(FILTER(N:N,((A:A=A253)*(B:B=""V"")))),3),G253))"),"")</f>
        <v/>
      </c>
      <c r="L253" s="148" t="str">
        <f>IFERROR(__xludf.DUMMYFUNCTION("if($C253="""","""",iferror(if(row()&lt;&gt;2,INDEX(arrayformula(filter($M$2:$M252,$C$2:$C252&lt;&gt;"""",row($C$2:$C252)=max(if($C$2:$C252=C253,row($C$2:$C252),0)))) ,1),0),0))"),"")</f>
        <v/>
      </c>
      <c r="M253" s="148" t="str">
        <f t="shared" si="1"/>
        <v/>
      </c>
      <c r="N253" s="147" t="str">
        <f t="shared" si="2"/>
        <v/>
      </c>
      <c r="O253" s="147" t="str">
        <f t="shared" si="21"/>
        <v/>
      </c>
      <c r="P253" s="147" t="str">
        <f>IFERROR(__xludf.DUMMYFUNCTION("if(C253="""","""",iferror(if(row()&lt;&gt;2,INDEX(arrayformula(filter($Q$2:$Q252,$C$2:$C252&lt;&gt;"""",row($C$2:$C252)=max(if($C$2:$C252=C253,row($C$2:$C252),0)))) ,1),0),0))"),"")</f>
        <v/>
      </c>
      <c r="Q253" s="147" t="str">
        <f t="shared" si="22"/>
        <v/>
      </c>
      <c r="R253" s="147" t="str">
        <f t="shared" si="23"/>
        <v/>
      </c>
      <c r="S253" s="147" t="str">
        <f t="shared" si="24"/>
        <v/>
      </c>
      <c r="T253" s="147" t="str">
        <f t="shared" si="7"/>
        <v/>
      </c>
      <c r="U253" s="150" t="str">
        <f t="shared" si="8"/>
        <v/>
      </c>
      <c r="V253" s="151" t="str">
        <f>IFERROR(VLOOKUP(C253,Ativos!$A$1:$G2000,5,),)</f>
        <v/>
      </c>
    </row>
    <row r="254" ht="21.0" customHeight="1">
      <c r="A254" s="152"/>
      <c r="B254" s="160"/>
      <c r="C254" s="153"/>
      <c r="D254" s="154"/>
      <c r="E254" s="139"/>
      <c r="F254" s="139"/>
      <c r="G254" s="139"/>
      <c r="H254" s="135"/>
      <c r="I254" s="141"/>
      <c r="J254" s="147" t="str">
        <f>IFERROR(__xludf.DUMMYFUNCTION("IF(ISBLANK(A254),IFERROR(1/0),IF(COUNT(FILTER(F:F,A:A=A254))&gt;1,TRUNC(N254*F254/SUM(FILTER(N:N,A:A=A254)),3),F254))"),"")</f>
        <v/>
      </c>
      <c r="K254" s="147" t="str">
        <f>IFERROR(__xludf.DUMMYFUNCTION("IF(ISBLANK(A254),IFERROR(1/0),IF(COUNT(FILTER(G:G,((A:A=A254)*(B:B=""V""))))&gt;1,TRUNC(N254*G254/SUM(FILTER(N:N,((A:A=A254)*(B:B=""V"")))),3),G254))"),"")</f>
        <v/>
      </c>
      <c r="L254" s="148" t="str">
        <f>IFERROR(__xludf.DUMMYFUNCTION("if($C254="""","""",iferror(if(row()&lt;&gt;2,INDEX(arrayformula(filter($M$2:$M253,$C$2:$C253&lt;&gt;"""",row($C$2:$C253)=max(if($C$2:$C253=C254,row($C$2:$C253),0)))) ,1),0),0))"),"")</f>
        <v/>
      </c>
      <c r="M254" s="148" t="str">
        <f t="shared" si="1"/>
        <v/>
      </c>
      <c r="N254" s="147" t="str">
        <f t="shared" si="2"/>
        <v/>
      </c>
      <c r="O254" s="147" t="str">
        <f t="shared" si="21"/>
        <v/>
      </c>
      <c r="P254" s="147" t="str">
        <f>IFERROR(__xludf.DUMMYFUNCTION("if(C254="""","""",iferror(if(row()&lt;&gt;2,INDEX(arrayformula(filter($Q$2:$Q253,$C$2:$C253&lt;&gt;"""",row($C$2:$C253)=max(if($C$2:$C253=C254,row($C$2:$C253),0)))) ,1),0),0))"),"")</f>
        <v/>
      </c>
      <c r="Q254" s="147" t="str">
        <f t="shared" si="22"/>
        <v/>
      </c>
      <c r="R254" s="147" t="str">
        <f t="shared" si="23"/>
        <v/>
      </c>
      <c r="S254" s="147" t="str">
        <f t="shared" si="24"/>
        <v/>
      </c>
      <c r="T254" s="147" t="str">
        <f t="shared" si="7"/>
        <v/>
      </c>
      <c r="U254" s="150" t="str">
        <f t="shared" si="8"/>
        <v/>
      </c>
      <c r="V254" s="151" t="str">
        <f>IFERROR(VLOOKUP(C254,Ativos!$A$1:$G2000,5,),)</f>
        <v/>
      </c>
    </row>
    <row r="255" ht="21.0" customHeight="1">
      <c r="A255" s="152"/>
      <c r="B255" s="160"/>
      <c r="C255" s="153"/>
      <c r="D255" s="154"/>
      <c r="E255" s="139"/>
      <c r="F255" s="139"/>
      <c r="G255" s="139"/>
      <c r="H255" s="135"/>
      <c r="I255" s="141"/>
      <c r="J255" s="147" t="str">
        <f>IFERROR(__xludf.DUMMYFUNCTION("IF(ISBLANK(A255),IFERROR(1/0),IF(COUNT(FILTER(F:F,A:A=A255))&gt;1,TRUNC(N255*F255/SUM(FILTER(N:N,A:A=A255)),3),F255))"),"")</f>
        <v/>
      </c>
      <c r="K255" s="147" t="str">
        <f>IFERROR(__xludf.DUMMYFUNCTION("IF(ISBLANK(A255),IFERROR(1/0),IF(COUNT(FILTER(G:G,((A:A=A255)*(B:B=""V""))))&gt;1,TRUNC(N255*G255/SUM(FILTER(N:N,((A:A=A255)*(B:B=""V"")))),3),G255))"),"")</f>
        <v/>
      </c>
      <c r="L255" s="148" t="str">
        <f>IFERROR(__xludf.DUMMYFUNCTION("if($C255="""","""",iferror(if(row()&lt;&gt;2,INDEX(arrayformula(filter($M$2:$M254,$C$2:$C254&lt;&gt;"""",row($C$2:$C254)=max(if($C$2:$C254=C255,row($C$2:$C254),0)))) ,1),0),0))"),"")</f>
        <v/>
      </c>
      <c r="M255" s="148" t="str">
        <f t="shared" si="1"/>
        <v/>
      </c>
      <c r="N255" s="147" t="str">
        <f t="shared" si="2"/>
        <v/>
      </c>
      <c r="O255" s="147" t="str">
        <f t="shared" si="21"/>
        <v/>
      </c>
      <c r="P255" s="147" t="str">
        <f>IFERROR(__xludf.DUMMYFUNCTION("if(C255="""","""",iferror(if(row()&lt;&gt;2,INDEX(arrayformula(filter($Q$2:$Q254,$C$2:$C254&lt;&gt;"""",row($C$2:$C254)=max(if($C$2:$C254=C255,row($C$2:$C254),0)))) ,1),0),0))"),"")</f>
        <v/>
      </c>
      <c r="Q255" s="147" t="str">
        <f t="shared" si="22"/>
        <v/>
      </c>
      <c r="R255" s="147" t="str">
        <f t="shared" si="23"/>
        <v/>
      </c>
      <c r="S255" s="147" t="str">
        <f t="shared" si="24"/>
        <v/>
      </c>
      <c r="T255" s="147" t="str">
        <f t="shared" si="7"/>
        <v/>
      </c>
      <c r="U255" s="150" t="str">
        <f t="shared" si="8"/>
        <v/>
      </c>
      <c r="V255" s="151" t="str">
        <f>IFERROR(VLOOKUP(C255,Ativos!$A$1:$G2000,5,),)</f>
        <v/>
      </c>
    </row>
    <row r="256" ht="21.0" customHeight="1">
      <c r="A256" s="152"/>
      <c r="B256" s="160"/>
      <c r="C256" s="153"/>
      <c r="D256" s="154"/>
      <c r="E256" s="139"/>
      <c r="F256" s="139"/>
      <c r="G256" s="139"/>
      <c r="H256" s="135"/>
      <c r="I256" s="141"/>
      <c r="J256" s="147" t="str">
        <f>IFERROR(__xludf.DUMMYFUNCTION("IF(ISBLANK(A256),IFERROR(1/0),IF(COUNT(FILTER(F:F,A:A=A256))&gt;1,TRUNC(N256*F256/SUM(FILTER(N:N,A:A=A256)),3),F256))"),"")</f>
        <v/>
      </c>
      <c r="K256" s="147" t="str">
        <f>IFERROR(__xludf.DUMMYFUNCTION("IF(ISBLANK(A256),IFERROR(1/0),IF(COUNT(FILTER(G:G,((A:A=A256)*(B:B=""V""))))&gt;1,TRUNC(N256*G256/SUM(FILTER(N:N,((A:A=A256)*(B:B=""V"")))),3),G256))"),"")</f>
        <v/>
      </c>
      <c r="L256" s="148" t="str">
        <f>IFERROR(__xludf.DUMMYFUNCTION("if($C256="""","""",iferror(if(row()&lt;&gt;2,INDEX(arrayformula(filter($M$2:$M255,$C$2:$C255&lt;&gt;"""",row($C$2:$C255)=max(if($C$2:$C255=C256,row($C$2:$C255),0)))) ,1),0),0))"),"")</f>
        <v/>
      </c>
      <c r="M256" s="148" t="str">
        <f t="shared" si="1"/>
        <v/>
      </c>
      <c r="N256" s="147" t="str">
        <f t="shared" si="2"/>
        <v/>
      </c>
      <c r="O256" s="147" t="str">
        <f t="shared" si="21"/>
        <v/>
      </c>
      <c r="P256" s="147" t="str">
        <f>IFERROR(__xludf.DUMMYFUNCTION("if(C256="""","""",iferror(if(row()&lt;&gt;2,INDEX(arrayformula(filter($Q$2:$Q255,$C$2:$C255&lt;&gt;"""",row($C$2:$C255)=max(if($C$2:$C255=C256,row($C$2:$C255),0)))) ,1),0),0))"),"")</f>
        <v/>
      </c>
      <c r="Q256" s="147" t="str">
        <f t="shared" si="22"/>
        <v/>
      </c>
      <c r="R256" s="147" t="str">
        <f t="shared" si="23"/>
        <v/>
      </c>
      <c r="S256" s="147" t="str">
        <f t="shared" si="24"/>
        <v/>
      </c>
      <c r="T256" s="147" t="str">
        <f t="shared" si="7"/>
        <v/>
      </c>
      <c r="U256" s="150" t="str">
        <f t="shared" si="8"/>
        <v/>
      </c>
      <c r="V256" s="151" t="str">
        <f>IFERROR(VLOOKUP(C256,Ativos!$A$1:$G2000,5,),)</f>
        <v/>
      </c>
    </row>
    <row r="257" ht="21.0" customHeight="1">
      <c r="A257" s="152"/>
      <c r="B257" s="160"/>
      <c r="C257" s="153"/>
      <c r="D257" s="154"/>
      <c r="E257" s="139"/>
      <c r="F257" s="139"/>
      <c r="G257" s="139"/>
      <c r="H257" s="135"/>
      <c r="I257" s="141"/>
      <c r="J257" s="147" t="str">
        <f>IFERROR(__xludf.DUMMYFUNCTION("IF(ISBLANK(A257),IFERROR(1/0),IF(COUNT(FILTER(F:F,A:A=A257))&gt;1,TRUNC(N257*F257/SUM(FILTER(N:N,A:A=A257)),3),F257))"),"")</f>
        <v/>
      </c>
      <c r="K257" s="147" t="str">
        <f>IFERROR(__xludf.DUMMYFUNCTION("IF(ISBLANK(A257),IFERROR(1/0),IF(COUNT(FILTER(G:G,((A:A=A257)*(B:B=""V""))))&gt;1,TRUNC(N257*G257/SUM(FILTER(N:N,((A:A=A257)*(B:B=""V"")))),3),G257))"),"")</f>
        <v/>
      </c>
      <c r="L257" s="148" t="str">
        <f>IFERROR(__xludf.DUMMYFUNCTION("if($C257="""","""",iferror(if(row()&lt;&gt;2,INDEX(arrayformula(filter($M$2:$M256,$C$2:$C256&lt;&gt;"""",row($C$2:$C256)=max(if($C$2:$C256=C257,row($C$2:$C256),0)))) ,1),0),0))"),"")</f>
        <v/>
      </c>
      <c r="M257" s="148" t="str">
        <f t="shared" si="1"/>
        <v/>
      </c>
      <c r="N257" s="147" t="str">
        <f t="shared" si="2"/>
        <v/>
      </c>
      <c r="O257" s="147" t="str">
        <f t="shared" si="21"/>
        <v/>
      </c>
      <c r="P257" s="147" t="str">
        <f>IFERROR(__xludf.DUMMYFUNCTION("if(C257="""","""",iferror(if(row()&lt;&gt;2,INDEX(arrayformula(filter($Q$2:$Q256,$C$2:$C256&lt;&gt;"""",row($C$2:$C256)=max(if($C$2:$C256=C257,row($C$2:$C256),0)))) ,1),0),0))"),"")</f>
        <v/>
      </c>
      <c r="Q257" s="147" t="str">
        <f t="shared" si="22"/>
        <v/>
      </c>
      <c r="R257" s="147" t="str">
        <f t="shared" si="23"/>
        <v/>
      </c>
      <c r="S257" s="147" t="str">
        <f t="shared" si="24"/>
        <v/>
      </c>
      <c r="T257" s="147" t="str">
        <f t="shared" si="7"/>
        <v/>
      </c>
      <c r="U257" s="150" t="str">
        <f t="shared" si="8"/>
        <v/>
      </c>
      <c r="V257" s="151" t="str">
        <f>IFERROR(VLOOKUP(C257,Ativos!$A$1:$G2000,5,),)</f>
        <v/>
      </c>
    </row>
    <row r="258" ht="21.0" customHeight="1">
      <c r="A258" s="152"/>
      <c r="B258" s="160"/>
      <c r="C258" s="153"/>
      <c r="D258" s="154"/>
      <c r="E258" s="139"/>
      <c r="F258" s="139"/>
      <c r="G258" s="139"/>
      <c r="H258" s="135"/>
      <c r="I258" s="141"/>
      <c r="J258" s="147" t="str">
        <f>IFERROR(__xludf.DUMMYFUNCTION("IF(ISBLANK(A258),IFERROR(1/0),IF(COUNT(FILTER(F:F,A:A=A258))&gt;1,TRUNC(N258*F258/SUM(FILTER(N:N,A:A=A258)),3),F258))"),"")</f>
        <v/>
      </c>
      <c r="K258" s="147" t="str">
        <f>IFERROR(__xludf.DUMMYFUNCTION("IF(ISBLANK(A258),IFERROR(1/0),IF(COUNT(FILTER(G:G,((A:A=A258)*(B:B=""V""))))&gt;1,TRUNC(N258*G258/SUM(FILTER(N:N,((A:A=A258)*(B:B=""V"")))),3),G258))"),"")</f>
        <v/>
      </c>
      <c r="L258" s="148" t="str">
        <f>IFERROR(__xludf.DUMMYFUNCTION("if($C258="""","""",iferror(if(row()&lt;&gt;2,INDEX(arrayformula(filter($M$2:$M257,$C$2:$C257&lt;&gt;"""",row($C$2:$C257)=max(if($C$2:$C257=C258,row($C$2:$C257),0)))) ,1),0),0))"),"")</f>
        <v/>
      </c>
      <c r="M258" s="148" t="str">
        <f t="shared" si="1"/>
        <v/>
      </c>
      <c r="N258" s="147" t="str">
        <f t="shared" si="2"/>
        <v/>
      </c>
      <c r="O258" s="147" t="str">
        <f t="shared" si="21"/>
        <v/>
      </c>
      <c r="P258" s="147" t="str">
        <f>IFERROR(__xludf.DUMMYFUNCTION("if(C258="""","""",iferror(if(row()&lt;&gt;2,INDEX(arrayformula(filter($Q$2:$Q257,$C$2:$C257&lt;&gt;"""",row($C$2:$C257)=max(if($C$2:$C257=C258,row($C$2:$C257),0)))) ,1),0),0))"),"")</f>
        <v/>
      </c>
      <c r="Q258" s="147" t="str">
        <f t="shared" si="22"/>
        <v/>
      </c>
      <c r="R258" s="147" t="str">
        <f t="shared" si="23"/>
        <v/>
      </c>
      <c r="S258" s="147" t="str">
        <f t="shared" si="24"/>
        <v/>
      </c>
      <c r="T258" s="147" t="str">
        <f t="shared" si="7"/>
        <v/>
      </c>
      <c r="U258" s="150" t="str">
        <f t="shared" si="8"/>
        <v/>
      </c>
      <c r="V258" s="151" t="str">
        <f>IFERROR(VLOOKUP(C258,Ativos!$A$1:$G2000,5,),)</f>
        <v/>
      </c>
    </row>
    <row r="259" ht="21.0" customHeight="1">
      <c r="A259" s="152"/>
      <c r="B259" s="160"/>
      <c r="C259" s="153"/>
      <c r="D259" s="154"/>
      <c r="E259" s="139"/>
      <c r="F259" s="139"/>
      <c r="G259" s="139"/>
      <c r="H259" s="135"/>
      <c r="I259" s="141"/>
      <c r="J259" s="147" t="str">
        <f>IFERROR(__xludf.DUMMYFUNCTION("IF(ISBLANK(A259),IFERROR(1/0),IF(COUNT(FILTER(F:F,A:A=A259))&gt;1,TRUNC(N259*F259/SUM(FILTER(N:N,A:A=A259)),3),F259))"),"")</f>
        <v/>
      </c>
      <c r="K259" s="147" t="str">
        <f>IFERROR(__xludf.DUMMYFUNCTION("IF(ISBLANK(A259),IFERROR(1/0),IF(COUNT(FILTER(G:G,((A:A=A259)*(B:B=""V""))))&gt;1,TRUNC(N259*G259/SUM(FILTER(N:N,((A:A=A259)*(B:B=""V"")))),3),G259))"),"")</f>
        <v/>
      </c>
      <c r="L259" s="148" t="str">
        <f>IFERROR(__xludf.DUMMYFUNCTION("if($C259="""","""",iferror(if(row()&lt;&gt;2,INDEX(arrayformula(filter($M$2:$M258,$C$2:$C258&lt;&gt;"""",row($C$2:$C258)=max(if($C$2:$C258=C259,row($C$2:$C258),0)))) ,1),0),0))"),"")</f>
        <v/>
      </c>
      <c r="M259" s="148" t="str">
        <f t="shared" si="1"/>
        <v/>
      </c>
      <c r="N259" s="147" t="str">
        <f t="shared" si="2"/>
        <v/>
      </c>
      <c r="O259" s="147" t="str">
        <f t="shared" si="21"/>
        <v/>
      </c>
      <c r="P259" s="147" t="str">
        <f>IFERROR(__xludf.DUMMYFUNCTION("if(C259="""","""",iferror(if(row()&lt;&gt;2,INDEX(arrayformula(filter($Q$2:$Q258,$C$2:$C258&lt;&gt;"""",row($C$2:$C258)=max(if($C$2:$C258=C259,row($C$2:$C258),0)))) ,1),0),0))"),"")</f>
        <v/>
      </c>
      <c r="Q259" s="147" t="str">
        <f t="shared" si="22"/>
        <v/>
      </c>
      <c r="R259" s="147" t="str">
        <f t="shared" si="23"/>
        <v/>
      </c>
      <c r="S259" s="147" t="str">
        <f t="shared" si="24"/>
        <v/>
      </c>
      <c r="T259" s="147" t="str">
        <f t="shared" si="7"/>
        <v/>
      </c>
      <c r="U259" s="150" t="str">
        <f t="shared" si="8"/>
        <v/>
      </c>
      <c r="V259" s="151" t="str">
        <f>IFERROR(VLOOKUP(C259,Ativos!$A$1:$G2000,5,),)</f>
        <v/>
      </c>
    </row>
    <row r="260" ht="21.0" customHeight="1">
      <c r="A260" s="152"/>
      <c r="B260" s="160"/>
      <c r="C260" s="153"/>
      <c r="D260" s="154"/>
      <c r="E260" s="139"/>
      <c r="F260" s="139"/>
      <c r="G260" s="139"/>
      <c r="H260" s="135"/>
      <c r="I260" s="141"/>
      <c r="J260" s="147" t="str">
        <f>IFERROR(__xludf.DUMMYFUNCTION("IF(ISBLANK(A260),IFERROR(1/0),IF(COUNT(FILTER(F:F,A:A=A260))&gt;1,TRUNC(N260*F260/SUM(FILTER(N:N,A:A=A260)),3),F260))"),"")</f>
        <v/>
      </c>
      <c r="K260" s="147" t="str">
        <f>IFERROR(__xludf.DUMMYFUNCTION("IF(ISBLANK(A260),IFERROR(1/0),IF(COUNT(FILTER(G:G,((A:A=A260)*(B:B=""V""))))&gt;1,TRUNC(N260*G260/SUM(FILTER(N:N,((A:A=A260)*(B:B=""V"")))),3),G260))"),"")</f>
        <v/>
      </c>
      <c r="L260" s="148" t="str">
        <f>IFERROR(__xludf.DUMMYFUNCTION("if($C260="""","""",iferror(if(row()&lt;&gt;2,INDEX(arrayformula(filter($M$2:$M259,$C$2:$C259&lt;&gt;"""",row($C$2:$C259)=max(if($C$2:$C259=C260,row($C$2:$C259),0)))) ,1),0),0))"),"")</f>
        <v/>
      </c>
      <c r="M260" s="148" t="str">
        <f t="shared" si="1"/>
        <v/>
      </c>
      <c r="N260" s="147" t="str">
        <f t="shared" si="2"/>
        <v/>
      </c>
      <c r="O260" s="147" t="str">
        <f t="shared" si="21"/>
        <v/>
      </c>
      <c r="P260" s="147" t="str">
        <f>IFERROR(__xludf.DUMMYFUNCTION("if(C260="""","""",iferror(if(row()&lt;&gt;2,INDEX(arrayformula(filter($Q$2:$Q259,$C$2:$C259&lt;&gt;"""",row($C$2:$C259)=max(if($C$2:$C259=C260,row($C$2:$C259),0)))) ,1),0),0))"),"")</f>
        <v/>
      </c>
      <c r="Q260" s="147" t="str">
        <f t="shared" si="22"/>
        <v/>
      </c>
      <c r="R260" s="147" t="str">
        <f t="shared" si="23"/>
        <v/>
      </c>
      <c r="S260" s="147" t="str">
        <f t="shared" si="24"/>
        <v/>
      </c>
      <c r="T260" s="147" t="str">
        <f t="shared" si="7"/>
        <v/>
      </c>
      <c r="U260" s="150" t="str">
        <f t="shared" si="8"/>
        <v/>
      </c>
      <c r="V260" s="151" t="str">
        <f>IFERROR(VLOOKUP(C260,Ativos!$A$1:$G2000,5,),)</f>
        <v/>
      </c>
    </row>
    <row r="261" ht="21.0" customHeight="1">
      <c r="A261" s="152"/>
      <c r="B261" s="160"/>
      <c r="C261" s="153"/>
      <c r="D261" s="154"/>
      <c r="E261" s="139"/>
      <c r="F261" s="139"/>
      <c r="G261" s="139"/>
      <c r="H261" s="135"/>
      <c r="I261" s="141"/>
      <c r="J261" s="147" t="str">
        <f>IFERROR(__xludf.DUMMYFUNCTION("IF(ISBLANK(A261),IFERROR(1/0),IF(COUNT(FILTER(F:F,A:A=A261))&gt;1,TRUNC(N261*F261/SUM(FILTER(N:N,A:A=A261)),3),F261))"),"")</f>
        <v/>
      </c>
      <c r="K261" s="147" t="str">
        <f>IFERROR(__xludf.DUMMYFUNCTION("IF(ISBLANK(A261),IFERROR(1/0),IF(COUNT(FILTER(G:G,((A:A=A261)*(B:B=""V""))))&gt;1,TRUNC(N261*G261/SUM(FILTER(N:N,((A:A=A261)*(B:B=""V"")))),3),G261))"),"")</f>
        <v/>
      </c>
      <c r="L261" s="148" t="str">
        <f>IFERROR(__xludf.DUMMYFUNCTION("if($C261="""","""",iferror(if(row()&lt;&gt;2,INDEX(arrayformula(filter($M$2:$M260,$C$2:$C260&lt;&gt;"""",row($C$2:$C260)=max(if($C$2:$C260=C261,row($C$2:$C260),0)))) ,1),0),0))"),"")</f>
        <v/>
      </c>
      <c r="M261" s="148" t="str">
        <f t="shared" si="1"/>
        <v/>
      </c>
      <c r="N261" s="147" t="str">
        <f t="shared" si="2"/>
        <v/>
      </c>
      <c r="O261" s="147" t="str">
        <f t="shared" si="21"/>
        <v/>
      </c>
      <c r="P261" s="147" t="str">
        <f>IFERROR(__xludf.DUMMYFUNCTION("if(C261="""","""",iferror(if(row()&lt;&gt;2,INDEX(arrayformula(filter($Q$2:$Q260,$C$2:$C260&lt;&gt;"""",row($C$2:$C260)=max(if($C$2:$C260=C261,row($C$2:$C260),0)))) ,1),0),0))"),"")</f>
        <v/>
      </c>
      <c r="Q261" s="147" t="str">
        <f t="shared" si="22"/>
        <v/>
      </c>
      <c r="R261" s="147" t="str">
        <f t="shared" si="23"/>
        <v/>
      </c>
      <c r="S261" s="147" t="str">
        <f t="shared" si="24"/>
        <v/>
      </c>
      <c r="T261" s="147" t="str">
        <f t="shared" si="7"/>
        <v/>
      </c>
      <c r="U261" s="150" t="str">
        <f t="shared" si="8"/>
        <v/>
      </c>
      <c r="V261" s="151" t="str">
        <f>IFERROR(VLOOKUP(C261,Ativos!$A$1:$G2000,5,),)</f>
        <v/>
      </c>
    </row>
    <row r="262" ht="21.0" customHeight="1">
      <c r="A262" s="152"/>
      <c r="B262" s="160"/>
      <c r="C262" s="153"/>
      <c r="D262" s="154"/>
      <c r="E262" s="139"/>
      <c r="F262" s="139"/>
      <c r="G262" s="139"/>
      <c r="H262" s="135"/>
      <c r="I262" s="141"/>
      <c r="J262" s="147" t="str">
        <f>IFERROR(__xludf.DUMMYFUNCTION("IF(ISBLANK(A262),IFERROR(1/0),IF(COUNT(FILTER(F:F,A:A=A262))&gt;1,TRUNC(N262*F262/SUM(FILTER(N:N,A:A=A262)),3),F262))"),"")</f>
        <v/>
      </c>
      <c r="K262" s="147" t="str">
        <f>IFERROR(__xludf.DUMMYFUNCTION("IF(ISBLANK(A262),IFERROR(1/0),IF(COUNT(FILTER(G:G,((A:A=A262)*(B:B=""V""))))&gt;1,TRUNC(N262*G262/SUM(FILTER(N:N,((A:A=A262)*(B:B=""V"")))),3),G262))"),"")</f>
        <v/>
      </c>
      <c r="L262" s="148" t="str">
        <f>IFERROR(__xludf.DUMMYFUNCTION("if($C262="""","""",iferror(if(row()&lt;&gt;2,INDEX(arrayformula(filter($M$2:$M261,$C$2:$C261&lt;&gt;"""",row($C$2:$C261)=max(if($C$2:$C261=C262,row($C$2:$C261),0)))) ,1),0),0))"),"")</f>
        <v/>
      </c>
      <c r="M262" s="148" t="str">
        <f t="shared" si="1"/>
        <v/>
      </c>
      <c r="N262" s="147" t="str">
        <f t="shared" si="2"/>
        <v/>
      </c>
      <c r="O262" s="147" t="str">
        <f t="shared" si="21"/>
        <v/>
      </c>
      <c r="P262" s="147" t="str">
        <f>IFERROR(__xludf.DUMMYFUNCTION("if(C262="""","""",iferror(if(row()&lt;&gt;2,INDEX(arrayformula(filter($Q$2:$Q261,$C$2:$C261&lt;&gt;"""",row($C$2:$C261)=max(if($C$2:$C261=C262,row($C$2:$C261),0)))) ,1),0),0))"),"")</f>
        <v/>
      </c>
      <c r="Q262" s="147" t="str">
        <f t="shared" si="22"/>
        <v/>
      </c>
      <c r="R262" s="147" t="str">
        <f t="shared" si="23"/>
        <v/>
      </c>
      <c r="S262" s="147" t="str">
        <f t="shared" si="24"/>
        <v/>
      </c>
      <c r="T262" s="147" t="str">
        <f t="shared" si="7"/>
        <v/>
      </c>
      <c r="U262" s="150" t="str">
        <f t="shared" si="8"/>
        <v/>
      </c>
      <c r="V262" s="151" t="str">
        <f>IFERROR(VLOOKUP(C262,Ativos!$A$1:$G2000,5,),)</f>
        <v/>
      </c>
    </row>
    <row r="263" ht="21.0" customHeight="1">
      <c r="A263" s="152"/>
      <c r="B263" s="160"/>
      <c r="C263" s="153"/>
      <c r="D263" s="154"/>
      <c r="E263" s="139"/>
      <c r="F263" s="139"/>
      <c r="G263" s="139"/>
      <c r="H263" s="135"/>
      <c r="I263" s="141"/>
      <c r="J263" s="147" t="str">
        <f>IFERROR(__xludf.DUMMYFUNCTION("IF(ISBLANK(A263),IFERROR(1/0),IF(COUNT(FILTER(F:F,A:A=A263))&gt;1,TRUNC(N263*F263/SUM(FILTER(N:N,A:A=A263)),3),F263))"),"")</f>
        <v/>
      </c>
      <c r="K263" s="147" t="str">
        <f>IFERROR(__xludf.DUMMYFUNCTION("IF(ISBLANK(A263),IFERROR(1/0),IF(COUNT(FILTER(G:G,((A:A=A263)*(B:B=""V""))))&gt;1,TRUNC(N263*G263/SUM(FILTER(N:N,((A:A=A263)*(B:B=""V"")))),3),G263))"),"")</f>
        <v/>
      </c>
      <c r="L263" s="148" t="str">
        <f>IFERROR(__xludf.DUMMYFUNCTION("if($C263="""","""",iferror(if(row()&lt;&gt;2,INDEX(arrayformula(filter($M$2:$M262,$C$2:$C262&lt;&gt;"""",row($C$2:$C262)=max(if($C$2:$C262=C263,row($C$2:$C262),0)))) ,1),0),0))"),"")</f>
        <v/>
      </c>
      <c r="M263" s="148" t="str">
        <f t="shared" si="1"/>
        <v/>
      </c>
      <c r="N263" s="147" t="str">
        <f t="shared" si="2"/>
        <v/>
      </c>
      <c r="O263" s="147" t="str">
        <f t="shared" si="21"/>
        <v/>
      </c>
      <c r="P263" s="147" t="str">
        <f>IFERROR(__xludf.DUMMYFUNCTION("if(C263="""","""",iferror(if(row()&lt;&gt;2,INDEX(arrayformula(filter($Q$2:$Q262,$C$2:$C262&lt;&gt;"""",row($C$2:$C262)=max(if($C$2:$C262=C263,row($C$2:$C262),0)))) ,1),0),0))"),"")</f>
        <v/>
      </c>
      <c r="Q263" s="147" t="str">
        <f t="shared" si="22"/>
        <v/>
      </c>
      <c r="R263" s="147" t="str">
        <f t="shared" si="23"/>
        <v/>
      </c>
      <c r="S263" s="147" t="str">
        <f t="shared" si="24"/>
        <v/>
      </c>
      <c r="T263" s="147" t="str">
        <f t="shared" si="7"/>
        <v/>
      </c>
      <c r="U263" s="150" t="str">
        <f t="shared" si="8"/>
        <v/>
      </c>
      <c r="V263" s="151" t="str">
        <f>IFERROR(VLOOKUP(C263,Ativos!$A$1:$G2000,5,),)</f>
        <v/>
      </c>
    </row>
    <row r="264" ht="21.0" customHeight="1">
      <c r="A264" s="152"/>
      <c r="B264" s="160"/>
      <c r="C264" s="153"/>
      <c r="D264" s="154"/>
      <c r="E264" s="139"/>
      <c r="F264" s="139"/>
      <c r="G264" s="139"/>
      <c r="H264" s="135"/>
      <c r="I264" s="141"/>
      <c r="J264" s="147" t="str">
        <f>IFERROR(__xludf.DUMMYFUNCTION("IF(ISBLANK(A264),IFERROR(1/0),IF(COUNT(FILTER(F:F,A:A=A264))&gt;1,TRUNC(N264*F264/SUM(FILTER(N:N,A:A=A264)),3),F264))"),"")</f>
        <v/>
      </c>
      <c r="K264" s="147" t="str">
        <f>IFERROR(__xludf.DUMMYFUNCTION("IF(ISBLANK(A264),IFERROR(1/0),IF(COUNT(FILTER(G:G,((A:A=A264)*(B:B=""V""))))&gt;1,TRUNC(N264*G264/SUM(FILTER(N:N,((A:A=A264)*(B:B=""V"")))),3),G264))"),"")</f>
        <v/>
      </c>
      <c r="L264" s="148" t="str">
        <f>IFERROR(__xludf.DUMMYFUNCTION("if($C264="""","""",iferror(if(row()&lt;&gt;2,INDEX(arrayformula(filter($M$2:$M263,$C$2:$C263&lt;&gt;"""",row($C$2:$C263)=max(if($C$2:$C263=C264,row($C$2:$C263),0)))) ,1),0),0))"),"")</f>
        <v/>
      </c>
      <c r="M264" s="148" t="str">
        <f t="shared" si="1"/>
        <v/>
      </c>
      <c r="N264" s="147" t="str">
        <f t="shared" si="2"/>
        <v/>
      </c>
      <c r="O264" s="147" t="str">
        <f t="shared" si="21"/>
        <v/>
      </c>
      <c r="P264" s="147" t="str">
        <f>IFERROR(__xludf.DUMMYFUNCTION("if(C264="""","""",iferror(if(row()&lt;&gt;2,INDEX(arrayformula(filter($Q$2:$Q263,$C$2:$C263&lt;&gt;"""",row($C$2:$C263)=max(if($C$2:$C263=C264,row($C$2:$C263),0)))) ,1),0),0))"),"")</f>
        <v/>
      </c>
      <c r="Q264" s="147" t="str">
        <f t="shared" si="22"/>
        <v/>
      </c>
      <c r="R264" s="147" t="str">
        <f t="shared" si="23"/>
        <v/>
      </c>
      <c r="S264" s="147" t="str">
        <f t="shared" si="24"/>
        <v/>
      </c>
      <c r="T264" s="147" t="str">
        <f t="shared" si="7"/>
        <v/>
      </c>
      <c r="U264" s="150" t="str">
        <f t="shared" si="8"/>
        <v/>
      </c>
      <c r="V264" s="151" t="str">
        <f>IFERROR(VLOOKUP(C264,Ativos!$A$1:$G2000,5,),)</f>
        <v/>
      </c>
    </row>
    <row r="265" ht="21.0" customHeight="1">
      <c r="A265" s="152"/>
      <c r="B265" s="160"/>
      <c r="C265" s="153"/>
      <c r="D265" s="154"/>
      <c r="E265" s="139"/>
      <c r="F265" s="139"/>
      <c r="G265" s="139"/>
      <c r="H265" s="135"/>
      <c r="I265" s="141"/>
      <c r="J265" s="147" t="str">
        <f>IFERROR(__xludf.DUMMYFUNCTION("IF(ISBLANK(A265),IFERROR(1/0),IF(COUNT(FILTER(F:F,A:A=A265))&gt;1,TRUNC(N265*F265/SUM(FILTER(N:N,A:A=A265)),3),F265))"),"")</f>
        <v/>
      </c>
      <c r="K265" s="147" t="str">
        <f>IFERROR(__xludf.DUMMYFUNCTION("IF(ISBLANK(A265),IFERROR(1/0),IF(COUNT(FILTER(G:G,((A:A=A265)*(B:B=""V""))))&gt;1,TRUNC(N265*G265/SUM(FILTER(N:N,((A:A=A265)*(B:B=""V"")))),3),G265))"),"")</f>
        <v/>
      </c>
      <c r="L265" s="148" t="str">
        <f>IFERROR(__xludf.DUMMYFUNCTION("if($C265="""","""",iferror(if(row()&lt;&gt;2,INDEX(arrayformula(filter($M$2:$M264,$C$2:$C264&lt;&gt;"""",row($C$2:$C264)=max(if($C$2:$C264=C265,row($C$2:$C264),0)))) ,1),0),0))"),"")</f>
        <v/>
      </c>
      <c r="M265" s="148" t="str">
        <f t="shared" si="1"/>
        <v/>
      </c>
      <c r="N265" s="147" t="str">
        <f t="shared" si="2"/>
        <v/>
      </c>
      <c r="O265" s="147" t="str">
        <f t="shared" si="21"/>
        <v/>
      </c>
      <c r="P265" s="147" t="str">
        <f>IFERROR(__xludf.DUMMYFUNCTION("if(C265="""","""",iferror(if(row()&lt;&gt;2,INDEX(arrayformula(filter($Q$2:$Q264,$C$2:$C264&lt;&gt;"""",row($C$2:$C264)=max(if($C$2:$C264=C265,row($C$2:$C264),0)))) ,1),0),0))"),"")</f>
        <v/>
      </c>
      <c r="Q265" s="147" t="str">
        <f t="shared" si="22"/>
        <v/>
      </c>
      <c r="R265" s="147" t="str">
        <f t="shared" si="23"/>
        <v/>
      </c>
      <c r="S265" s="147" t="str">
        <f t="shared" si="24"/>
        <v/>
      </c>
      <c r="T265" s="147" t="str">
        <f t="shared" si="7"/>
        <v/>
      </c>
      <c r="U265" s="150" t="str">
        <f t="shared" si="8"/>
        <v/>
      </c>
      <c r="V265" s="151" t="str">
        <f>IFERROR(VLOOKUP(C265,Ativos!$A$1:$G2000,5,),)</f>
        <v/>
      </c>
    </row>
    <row r="266" ht="21.0" customHeight="1">
      <c r="A266" s="152"/>
      <c r="B266" s="160"/>
      <c r="C266" s="153"/>
      <c r="D266" s="154"/>
      <c r="E266" s="139"/>
      <c r="F266" s="139"/>
      <c r="G266" s="139"/>
      <c r="H266" s="135"/>
      <c r="I266" s="141"/>
      <c r="J266" s="147" t="str">
        <f>IFERROR(__xludf.DUMMYFUNCTION("IF(ISBLANK(A266),IFERROR(1/0),IF(COUNT(FILTER(F:F,A:A=A266))&gt;1,TRUNC(N266*F266/SUM(FILTER(N:N,A:A=A266)),3),F266))"),"")</f>
        <v/>
      </c>
      <c r="K266" s="147" t="str">
        <f>IFERROR(__xludf.DUMMYFUNCTION("IF(ISBLANK(A266),IFERROR(1/0),IF(COUNT(FILTER(G:G,((A:A=A266)*(B:B=""V""))))&gt;1,TRUNC(N266*G266/SUM(FILTER(N:N,((A:A=A266)*(B:B=""V"")))),3),G266))"),"")</f>
        <v/>
      </c>
      <c r="L266" s="148" t="str">
        <f>IFERROR(__xludf.DUMMYFUNCTION("if($C266="""","""",iferror(if(row()&lt;&gt;2,INDEX(arrayformula(filter($M$2:$M265,$C$2:$C265&lt;&gt;"""",row($C$2:$C265)=max(if($C$2:$C265=C266,row($C$2:$C265),0)))) ,1),0),0))"),"")</f>
        <v/>
      </c>
      <c r="M266" s="148" t="str">
        <f t="shared" si="1"/>
        <v/>
      </c>
      <c r="N266" s="147" t="str">
        <f t="shared" si="2"/>
        <v/>
      </c>
      <c r="O266" s="147" t="str">
        <f t="shared" si="21"/>
        <v/>
      </c>
      <c r="P266" s="147" t="str">
        <f>IFERROR(__xludf.DUMMYFUNCTION("if(C266="""","""",iferror(if(row()&lt;&gt;2,INDEX(arrayformula(filter($Q$2:$Q265,$C$2:$C265&lt;&gt;"""",row($C$2:$C265)=max(if($C$2:$C265=C266,row($C$2:$C265),0)))) ,1),0),0))"),"")</f>
        <v/>
      </c>
      <c r="Q266" s="147" t="str">
        <f t="shared" si="22"/>
        <v/>
      </c>
      <c r="R266" s="147" t="str">
        <f t="shared" si="23"/>
        <v/>
      </c>
      <c r="S266" s="147" t="str">
        <f t="shared" si="24"/>
        <v/>
      </c>
      <c r="T266" s="147" t="str">
        <f t="shared" si="7"/>
        <v/>
      </c>
      <c r="U266" s="150" t="str">
        <f t="shared" si="8"/>
        <v/>
      </c>
      <c r="V266" s="151" t="str">
        <f>IFERROR(VLOOKUP(C266,Ativos!$A$1:$G2000,5,),)</f>
        <v/>
      </c>
    </row>
    <row r="267" ht="21.0" customHeight="1">
      <c r="A267" s="152"/>
      <c r="B267" s="160"/>
      <c r="C267" s="153"/>
      <c r="D267" s="154"/>
      <c r="E267" s="139"/>
      <c r="F267" s="139"/>
      <c r="G267" s="139"/>
      <c r="H267" s="135"/>
      <c r="I267" s="141"/>
      <c r="J267" s="147" t="str">
        <f>IFERROR(__xludf.DUMMYFUNCTION("IF(ISBLANK(A267),IFERROR(1/0),IF(COUNT(FILTER(F:F,A:A=A267))&gt;1,TRUNC(N267*F267/SUM(FILTER(N:N,A:A=A267)),3),F267))"),"")</f>
        <v/>
      </c>
      <c r="K267" s="147" t="str">
        <f>IFERROR(__xludf.DUMMYFUNCTION("IF(ISBLANK(A267),IFERROR(1/0),IF(COUNT(FILTER(G:G,((A:A=A267)*(B:B=""V""))))&gt;1,TRUNC(N267*G267/SUM(FILTER(N:N,((A:A=A267)*(B:B=""V"")))),3),G267))"),"")</f>
        <v/>
      </c>
      <c r="L267" s="148" t="str">
        <f>IFERROR(__xludf.DUMMYFUNCTION("if($C267="""","""",iferror(if(row()&lt;&gt;2,INDEX(arrayformula(filter($M$2:$M266,$C$2:$C266&lt;&gt;"""",row($C$2:$C266)=max(if($C$2:$C266=C267,row($C$2:$C266),0)))) ,1),0),0))"),"")</f>
        <v/>
      </c>
      <c r="M267" s="148" t="str">
        <f t="shared" si="1"/>
        <v/>
      </c>
      <c r="N267" s="147" t="str">
        <f t="shared" si="2"/>
        <v/>
      </c>
      <c r="O267" s="147" t="str">
        <f t="shared" si="21"/>
        <v/>
      </c>
      <c r="P267" s="147" t="str">
        <f>IFERROR(__xludf.DUMMYFUNCTION("if(C267="""","""",iferror(if(row()&lt;&gt;2,INDEX(arrayformula(filter($Q$2:$Q266,$C$2:$C266&lt;&gt;"""",row($C$2:$C266)=max(if($C$2:$C266=C267,row($C$2:$C266),0)))) ,1),0),0))"),"")</f>
        <v/>
      </c>
      <c r="Q267" s="147" t="str">
        <f t="shared" si="22"/>
        <v/>
      </c>
      <c r="R267" s="147" t="str">
        <f t="shared" si="23"/>
        <v/>
      </c>
      <c r="S267" s="147" t="str">
        <f t="shared" si="24"/>
        <v/>
      </c>
      <c r="T267" s="147" t="str">
        <f t="shared" si="7"/>
        <v/>
      </c>
      <c r="U267" s="150" t="str">
        <f t="shared" si="8"/>
        <v/>
      </c>
      <c r="V267" s="151" t="str">
        <f>IFERROR(VLOOKUP(C267,Ativos!$A$1:$G2000,5,),)</f>
        <v/>
      </c>
    </row>
    <row r="268" ht="21.0" customHeight="1">
      <c r="A268" s="152"/>
      <c r="B268" s="160"/>
      <c r="C268" s="153"/>
      <c r="D268" s="154"/>
      <c r="E268" s="139"/>
      <c r="F268" s="139"/>
      <c r="G268" s="139"/>
      <c r="H268" s="135"/>
      <c r="I268" s="141"/>
      <c r="J268" s="147" t="str">
        <f>IFERROR(__xludf.DUMMYFUNCTION("IF(ISBLANK(A268),IFERROR(1/0),IF(COUNT(FILTER(F:F,A:A=A268))&gt;1,TRUNC(N268*F268/SUM(FILTER(N:N,A:A=A268)),3),F268))"),"")</f>
        <v/>
      </c>
      <c r="K268" s="147" t="str">
        <f>IFERROR(__xludf.DUMMYFUNCTION("IF(ISBLANK(A268),IFERROR(1/0),IF(COUNT(FILTER(G:G,((A:A=A268)*(B:B=""V""))))&gt;1,TRUNC(N268*G268/SUM(FILTER(N:N,((A:A=A268)*(B:B=""V"")))),3),G268))"),"")</f>
        <v/>
      </c>
      <c r="L268" s="148" t="str">
        <f>IFERROR(__xludf.DUMMYFUNCTION("if($C268="""","""",iferror(if(row()&lt;&gt;2,INDEX(arrayformula(filter($M$2:$M267,$C$2:$C267&lt;&gt;"""",row($C$2:$C267)=max(if($C$2:$C267=C268,row($C$2:$C267),0)))) ,1),0),0))"),"")</f>
        <v/>
      </c>
      <c r="M268" s="148" t="str">
        <f t="shared" si="1"/>
        <v/>
      </c>
      <c r="N268" s="147" t="str">
        <f t="shared" si="2"/>
        <v/>
      </c>
      <c r="O268" s="147" t="str">
        <f t="shared" si="21"/>
        <v/>
      </c>
      <c r="P268" s="147" t="str">
        <f>IFERROR(__xludf.DUMMYFUNCTION("if(C268="""","""",iferror(if(row()&lt;&gt;2,INDEX(arrayformula(filter($Q$2:$Q267,$C$2:$C267&lt;&gt;"""",row($C$2:$C267)=max(if($C$2:$C267=C268,row($C$2:$C267),0)))) ,1),0),0))"),"")</f>
        <v/>
      </c>
      <c r="Q268" s="147" t="str">
        <f t="shared" si="22"/>
        <v/>
      </c>
      <c r="R268" s="147" t="str">
        <f t="shared" si="23"/>
        <v/>
      </c>
      <c r="S268" s="147" t="str">
        <f t="shared" si="24"/>
        <v/>
      </c>
      <c r="T268" s="147" t="str">
        <f t="shared" si="7"/>
        <v/>
      </c>
      <c r="U268" s="150" t="str">
        <f t="shared" si="8"/>
        <v/>
      </c>
      <c r="V268" s="151" t="str">
        <f>IFERROR(VLOOKUP(C268,Ativos!$A$1:$G2000,5,),)</f>
        <v/>
      </c>
    </row>
    <row r="269" ht="21.0" customHeight="1">
      <c r="A269" s="152"/>
      <c r="B269" s="160"/>
      <c r="C269" s="153"/>
      <c r="D269" s="154"/>
      <c r="E269" s="139"/>
      <c r="F269" s="139"/>
      <c r="G269" s="139"/>
      <c r="H269" s="135"/>
      <c r="I269" s="141"/>
      <c r="J269" s="147" t="str">
        <f>IFERROR(__xludf.DUMMYFUNCTION("IF(ISBLANK(A269),IFERROR(1/0),IF(COUNT(FILTER(F:F,A:A=A269))&gt;1,TRUNC(N269*F269/SUM(FILTER(N:N,A:A=A269)),3),F269))"),"")</f>
        <v/>
      </c>
      <c r="K269" s="147" t="str">
        <f>IFERROR(__xludf.DUMMYFUNCTION("IF(ISBLANK(A269),IFERROR(1/0),IF(COUNT(FILTER(G:G,((A:A=A269)*(B:B=""V""))))&gt;1,TRUNC(N269*G269/SUM(FILTER(N:N,((A:A=A269)*(B:B=""V"")))),3),G269))"),"")</f>
        <v/>
      </c>
      <c r="L269" s="148" t="str">
        <f>IFERROR(__xludf.DUMMYFUNCTION("if($C269="""","""",iferror(if(row()&lt;&gt;2,INDEX(arrayformula(filter($M$2:$M268,$C$2:$C268&lt;&gt;"""",row($C$2:$C268)=max(if($C$2:$C268=C269,row($C$2:$C268),0)))) ,1),0),0))"),"")</f>
        <v/>
      </c>
      <c r="M269" s="148" t="str">
        <f t="shared" si="1"/>
        <v/>
      </c>
      <c r="N269" s="147" t="str">
        <f t="shared" si="2"/>
        <v/>
      </c>
      <c r="O269" s="147" t="str">
        <f t="shared" si="21"/>
        <v/>
      </c>
      <c r="P269" s="147" t="str">
        <f>IFERROR(__xludf.DUMMYFUNCTION("if(C269="""","""",iferror(if(row()&lt;&gt;2,INDEX(arrayformula(filter($Q$2:$Q268,$C$2:$C268&lt;&gt;"""",row($C$2:$C268)=max(if($C$2:$C268=C269,row($C$2:$C268),0)))) ,1),0),0))"),"")</f>
        <v/>
      </c>
      <c r="Q269" s="147" t="str">
        <f t="shared" si="22"/>
        <v/>
      </c>
      <c r="R269" s="147" t="str">
        <f t="shared" si="23"/>
        <v/>
      </c>
      <c r="S269" s="147" t="str">
        <f t="shared" si="24"/>
        <v/>
      </c>
      <c r="T269" s="147" t="str">
        <f t="shared" si="7"/>
        <v/>
      </c>
      <c r="U269" s="150" t="str">
        <f t="shared" si="8"/>
        <v/>
      </c>
      <c r="V269" s="151" t="str">
        <f>IFERROR(VLOOKUP(C269,Ativos!$A$1:$G2000,5,),)</f>
        <v/>
      </c>
    </row>
    <row r="270" ht="21.0" customHeight="1">
      <c r="A270" s="152"/>
      <c r="B270" s="160"/>
      <c r="C270" s="153"/>
      <c r="D270" s="154"/>
      <c r="E270" s="139"/>
      <c r="F270" s="139"/>
      <c r="G270" s="139"/>
      <c r="H270" s="135"/>
      <c r="I270" s="141"/>
      <c r="J270" s="147" t="str">
        <f>IFERROR(__xludf.DUMMYFUNCTION("IF(ISBLANK(A270),IFERROR(1/0),IF(COUNT(FILTER(F:F,A:A=A270))&gt;1,TRUNC(N270*F270/SUM(FILTER(N:N,A:A=A270)),3),F270))"),"")</f>
        <v/>
      </c>
      <c r="K270" s="147" t="str">
        <f>IFERROR(__xludf.DUMMYFUNCTION("IF(ISBLANK(A270),IFERROR(1/0),IF(COUNT(FILTER(G:G,((A:A=A270)*(B:B=""V""))))&gt;1,TRUNC(N270*G270/SUM(FILTER(N:N,((A:A=A270)*(B:B=""V"")))),3),G270))"),"")</f>
        <v/>
      </c>
      <c r="L270" s="148" t="str">
        <f>IFERROR(__xludf.DUMMYFUNCTION("if($C270="""","""",iferror(if(row()&lt;&gt;2,INDEX(arrayformula(filter($M$2:$M269,$C$2:$C269&lt;&gt;"""",row($C$2:$C269)=max(if($C$2:$C269=C270,row($C$2:$C269),0)))) ,1),0),0))"),"")</f>
        <v/>
      </c>
      <c r="M270" s="148" t="str">
        <f t="shared" si="1"/>
        <v/>
      </c>
      <c r="N270" s="147" t="str">
        <f t="shared" si="2"/>
        <v/>
      </c>
      <c r="O270" s="147" t="str">
        <f t="shared" si="21"/>
        <v/>
      </c>
      <c r="P270" s="147" t="str">
        <f>IFERROR(__xludf.DUMMYFUNCTION("if(C270="""","""",iferror(if(row()&lt;&gt;2,INDEX(arrayformula(filter($Q$2:$Q269,$C$2:$C269&lt;&gt;"""",row($C$2:$C269)=max(if($C$2:$C269=C270,row($C$2:$C269),0)))) ,1),0),0))"),"")</f>
        <v/>
      </c>
      <c r="Q270" s="147" t="str">
        <f t="shared" si="22"/>
        <v/>
      </c>
      <c r="R270" s="147" t="str">
        <f t="shared" si="23"/>
        <v/>
      </c>
      <c r="S270" s="147" t="str">
        <f t="shared" si="24"/>
        <v/>
      </c>
      <c r="T270" s="147" t="str">
        <f t="shared" si="7"/>
        <v/>
      </c>
      <c r="U270" s="150" t="str">
        <f t="shared" si="8"/>
        <v/>
      </c>
      <c r="V270" s="151" t="str">
        <f>IFERROR(VLOOKUP(C270,Ativos!$A$1:$G2000,5,),)</f>
        <v/>
      </c>
    </row>
    <row r="271" ht="21.0" customHeight="1">
      <c r="A271" s="152"/>
      <c r="B271" s="160"/>
      <c r="C271" s="153"/>
      <c r="D271" s="154"/>
      <c r="E271" s="139"/>
      <c r="F271" s="139"/>
      <c r="G271" s="139"/>
      <c r="H271" s="135"/>
      <c r="I271" s="141"/>
      <c r="J271" s="147" t="str">
        <f>IFERROR(__xludf.DUMMYFUNCTION("IF(ISBLANK(A271),IFERROR(1/0),IF(COUNT(FILTER(F:F,A:A=A271))&gt;1,TRUNC(N271*F271/SUM(FILTER(N:N,A:A=A271)),3),F271))"),"")</f>
        <v/>
      </c>
      <c r="K271" s="147" t="str">
        <f>IFERROR(__xludf.DUMMYFUNCTION("IF(ISBLANK(A271),IFERROR(1/0),IF(COUNT(FILTER(G:G,((A:A=A271)*(B:B=""V""))))&gt;1,TRUNC(N271*G271/SUM(FILTER(N:N,((A:A=A271)*(B:B=""V"")))),3),G271))"),"")</f>
        <v/>
      </c>
      <c r="L271" s="148" t="str">
        <f>IFERROR(__xludf.DUMMYFUNCTION("if($C271="""","""",iferror(if(row()&lt;&gt;2,INDEX(arrayformula(filter($M$2:$M270,$C$2:$C270&lt;&gt;"""",row($C$2:$C270)=max(if($C$2:$C270=C271,row($C$2:$C270),0)))) ,1),0),0))"),"")</f>
        <v/>
      </c>
      <c r="M271" s="148" t="str">
        <f t="shared" si="1"/>
        <v/>
      </c>
      <c r="N271" s="147" t="str">
        <f t="shared" si="2"/>
        <v/>
      </c>
      <c r="O271" s="147" t="str">
        <f t="shared" si="21"/>
        <v/>
      </c>
      <c r="P271" s="147" t="str">
        <f>IFERROR(__xludf.DUMMYFUNCTION("if(C271="""","""",iferror(if(row()&lt;&gt;2,INDEX(arrayformula(filter($Q$2:$Q270,$C$2:$C270&lt;&gt;"""",row($C$2:$C270)=max(if($C$2:$C270=C271,row($C$2:$C270),0)))) ,1),0),0))"),"")</f>
        <v/>
      </c>
      <c r="Q271" s="147" t="str">
        <f t="shared" si="22"/>
        <v/>
      </c>
      <c r="R271" s="147" t="str">
        <f t="shared" si="23"/>
        <v/>
      </c>
      <c r="S271" s="147" t="str">
        <f t="shared" si="24"/>
        <v/>
      </c>
      <c r="T271" s="147" t="str">
        <f t="shared" si="7"/>
        <v/>
      </c>
      <c r="U271" s="150" t="str">
        <f t="shared" si="8"/>
        <v/>
      </c>
      <c r="V271" s="151" t="str">
        <f>IFERROR(VLOOKUP(C271,Ativos!$A$1:$G2000,5,),)</f>
        <v/>
      </c>
    </row>
    <row r="272" ht="21.0" customHeight="1">
      <c r="A272" s="152"/>
      <c r="B272" s="160"/>
      <c r="C272" s="153"/>
      <c r="D272" s="154"/>
      <c r="E272" s="139"/>
      <c r="F272" s="139"/>
      <c r="G272" s="139"/>
      <c r="H272" s="135"/>
      <c r="I272" s="141"/>
      <c r="J272" s="147" t="str">
        <f>IFERROR(__xludf.DUMMYFUNCTION("IF(ISBLANK(A272),IFERROR(1/0),IF(COUNT(FILTER(F:F,A:A=A272))&gt;1,TRUNC(N272*F272/SUM(FILTER(N:N,A:A=A272)),3),F272))"),"")</f>
        <v/>
      </c>
      <c r="K272" s="147" t="str">
        <f>IFERROR(__xludf.DUMMYFUNCTION("IF(ISBLANK(A272),IFERROR(1/0),IF(COUNT(FILTER(G:G,((A:A=A272)*(B:B=""V""))))&gt;1,TRUNC(N272*G272/SUM(FILTER(N:N,((A:A=A272)*(B:B=""V"")))),3),G272))"),"")</f>
        <v/>
      </c>
      <c r="L272" s="148" t="str">
        <f>IFERROR(__xludf.DUMMYFUNCTION("if($C272="""","""",iferror(if(row()&lt;&gt;2,INDEX(arrayformula(filter($M$2:$M271,$C$2:$C271&lt;&gt;"""",row($C$2:$C271)=max(if($C$2:$C271=C272,row($C$2:$C271),0)))) ,1),0),0))"),"")</f>
        <v/>
      </c>
      <c r="M272" s="148" t="str">
        <f t="shared" si="1"/>
        <v/>
      </c>
      <c r="N272" s="147" t="str">
        <f t="shared" si="2"/>
        <v/>
      </c>
      <c r="O272" s="147" t="str">
        <f t="shared" si="21"/>
        <v/>
      </c>
      <c r="P272" s="147" t="str">
        <f>IFERROR(__xludf.DUMMYFUNCTION("if(C272="""","""",iferror(if(row()&lt;&gt;2,INDEX(arrayformula(filter($Q$2:$Q271,$C$2:$C271&lt;&gt;"""",row($C$2:$C271)=max(if($C$2:$C271=C272,row($C$2:$C271),0)))) ,1),0),0))"),"")</f>
        <v/>
      </c>
      <c r="Q272" s="147" t="str">
        <f t="shared" si="22"/>
        <v/>
      </c>
      <c r="R272" s="147" t="str">
        <f t="shared" si="23"/>
        <v/>
      </c>
      <c r="S272" s="147" t="str">
        <f t="shared" si="24"/>
        <v/>
      </c>
      <c r="T272" s="147" t="str">
        <f t="shared" si="7"/>
        <v/>
      </c>
      <c r="U272" s="150" t="str">
        <f t="shared" si="8"/>
        <v/>
      </c>
      <c r="V272" s="151" t="str">
        <f>IFERROR(VLOOKUP(C272,Ativos!$A$1:$G2000,5,),)</f>
        <v/>
      </c>
    </row>
    <row r="273" ht="21.0" customHeight="1">
      <c r="A273" s="152"/>
      <c r="B273" s="160"/>
      <c r="C273" s="153"/>
      <c r="D273" s="154"/>
      <c r="E273" s="139"/>
      <c r="F273" s="139"/>
      <c r="G273" s="139"/>
      <c r="H273" s="135"/>
      <c r="I273" s="141"/>
      <c r="J273" s="147" t="str">
        <f>IFERROR(__xludf.DUMMYFUNCTION("IF(ISBLANK(A273),IFERROR(1/0),IF(COUNT(FILTER(F:F,A:A=A273))&gt;1,TRUNC(N273*F273/SUM(FILTER(N:N,A:A=A273)),3),F273))"),"")</f>
        <v/>
      </c>
      <c r="K273" s="147" t="str">
        <f>IFERROR(__xludf.DUMMYFUNCTION("IF(ISBLANK(A273),IFERROR(1/0),IF(COUNT(FILTER(G:G,((A:A=A273)*(B:B=""V""))))&gt;1,TRUNC(N273*G273/SUM(FILTER(N:N,((A:A=A273)*(B:B=""V"")))),3),G273))"),"")</f>
        <v/>
      </c>
      <c r="L273" s="148" t="str">
        <f>IFERROR(__xludf.DUMMYFUNCTION("if($C273="""","""",iferror(if(row()&lt;&gt;2,INDEX(arrayformula(filter($M$2:$M272,$C$2:$C272&lt;&gt;"""",row($C$2:$C272)=max(if($C$2:$C272=C273,row($C$2:$C272),0)))) ,1),0),0))"),"")</f>
        <v/>
      </c>
      <c r="M273" s="148" t="str">
        <f t="shared" si="1"/>
        <v/>
      </c>
      <c r="N273" s="147" t="str">
        <f t="shared" si="2"/>
        <v/>
      </c>
      <c r="O273" s="147" t="str">
        <f t="shared" si="21"/>
        <v/>
      </c>
      <c r="P273" s="147" t="str">
        <f>IFERROR(__xludf.DUMMYFUNCTION("if(C273="""","""",iferror(if(row()&lt;&gt;2,INDEX(arrayformula(filter($Q$2:$Q272,$C$2:$C272&lt;&gt;"""",row($C$2:$C272)=max(if($C$2:$C272=C273,row($C$2:$C272),0)))) ,1),0),0))"),"")</f>
        <v/>
      </c>
      <c r="Q273" s="147" t="str">
        <f t="shared" si="22"/>
        <v/>
      </c>
      <c r="R273" s="147" t="str">
        <f t="shared" si="23"/>
        <v/>
      </c>
      <c r="S273" s="147" t="str">
        <f t="shared" si="24"/>
        <v/>
      </c>
      <c r="T273" s="147" t="str">
        <f t="shared" si="7"/>
        <v/>
      </c>
      <c r="U273" s="150" t="str">
        <f t="shared" si="8"/>
        <v/>
      </c>
      <c r="V273" s="151" t="str">
        <f>IFERROR(VLOOKUP(C273,Ativos!$A$1:$G2000,5,),)</f>
        <v/>
      </c>
    </row>
    <row r="274" ht="21.0" customHeight="1">
      <c r="A274" s="152"/>
      <c r="B274" s="160"/>
      <c r="C274" s="153"/>
      <c r="D274" s="154"/>
      <c r="E274" s="139"/>
      <c r="F274" s="139"/>
      <c r="G274" s="139"/>
      <c r="H274" s="135"/>
      <c r="I274" s="141"/>
      <c r="J274" s="147" t="str">
        <f>IFERROR(__xludf.DUMMYFUNCTION("IF(ISBLANK(A274),IFERROR(1/0),IF(COUNT(FILTER(F:F,A:A=A274))&gt;1,TRUNC(N274*F274/SUM(FILTER(N:N,A:A=A274)),3),F274))"),"")</f>
        <v/>
      </c>
      <c r="K274" s="147" t="str">
        <f>IFERROR(__xludf.DUMMYFUNCTION("IF(ISBLANK(A274),IFERROR(1/0),IF(COUNT(FILTER(G:G,((A:A=A274)*(B:B=""V""))))&gt;1,TRUNC(N274*G274/SUM(FILTER(N:N,((A:A=A274)*(B:B=""V"")))),3),G274))"),"")</f>
        <v/>
      </c>
      <c r="L274" s="148" t="str">
        <f>IFERROR(__xludf.DUMMYFUNCTION("if($C274="""","""",iferror(if(row()&lt;&gt;2,INDEX(arrayformula(filter($M$2:$M273,$C$2:$C273&lt;&gt;"""",row($C$2:$C273)=max(if($C$2:$C273=C274,row($C$2:$C273),0)))) ,1),0),0))"),"")</f>
        <v/>
      </c>
      <c r="M274" s="148" t="str">
        <f t="shared" si="1"/>
        <v/>
      </c>
      <c r="N274" s="147" t="str">
        <f t="shared" si="2"/>
        <v/>
      </c>
      <c r="O274" s="147" t="str">
        <f t="shared" si="21"/>
        <v/>
      </c>
      <c r="P274" s="147" t="str">
        <f>IFERROR(__xludf.DUMMYFUNCTION("if(C274="""","""",iferror(if(row()&lt;&gt;2,INDEX(arrayformula(filter($Q$2:$Q273,$C$2:$C273&lt;&gt;"""",row($C$2:$C273)=max(if($C$2:$C273=C274,row($C$2:$C273),0)))) ,1),0),0))"),"")</f>
        <v/>
      </c>
      <c r="Q274" s="147" t="str">
        <f t="shared" si="22"/>
        <v/>
      </c>
      <c r="R274" s="147" t="str">
        <f t="shared" si="23"/>
        <v/>
      </c>
      <c r="S274" s="147" t="str">
        <f t="shared" si="24"/>
        <v/>
      </c>
      <c r="T274" s="147" t="str">
        <f t="shared" si="7"/>
        <v/>
      </c>
      <c r="U274" s="150" t="str">
        <f t="shared" si="8"/>
        <v/>
      </c>
      <c r="V274" s="151" t="str">
        <f>IFERROR(VLOOKUP(C274,Ativos!$A$1:$G2000,5,),)</f>
        <v/>
      </c>
    </row>
    <row r="275" ht="21.0" customHeight="1">
      <c r="A275" s="152"/>
      <c r="B275" s="160"/>
      <c r="C275" s="153"/>
      <c r="D275" s="154"/>
      <c r="E275" s="139"/>
      <c r="F275" s="139"/>
      <c r="G275" s="139"/>
      <c r="H275" s="135"/>
      <c r="I275" s="141"/>
      <c r="J275" s="147" t="str">
        <f>IFERROR(__xludf.DUMMYFUNCTION("IF(ISBLANK(A275),IFERROR(1/0),IF(COUNT(FILTER(F:F,A:A=A275))&gt;1,TRUNC(N275*F275/SUM(FILTER(N:N,A:A=A275)),3),F275))"),"")</f>
        <v/>
      </c>
      <c r="K275" s="147" t="str">
        <f>IFERROR(__xludf.DUMMYFUNCTION("IF(ISBLANK(A275),IFERROR(1/0),IF(COUNT(FILTER(G:G,((A:A=A275)*(B:B=""V""))))&gt;1,TRUNC(N275*G275/SUM(FILTER(N:N,((A:A=A275)*(B:B=""V"")))),3),G275))"),"")</f>
        <v/>
      </c>
      <c r="L275" s="148" t="str">
        <f>IFERROR(__xludf.DUMMYFUNCTION("if($C275="""","""",iferror(if(row()&lt;&gt;2,INDEX(arrayformula(filter($M$2:$M274,$C$2:$C274&lt;&gt;"""",row($C$2:$C274)=max(if($C$2:$C274=C275,row($C$2:$C274),0)))) ,1),0),0))"),"")</f>
        <v/>
      </c>
      <c r="M275" s="148" t="str">
        <f t="shared" si="1"/>
        <v/>
      </c>
      <c r="N275" s="147" t="str">
        <f t="shared" si="2"/>
        <v/>
      </c>
      <c r="O275" s="147" t="str">
        <f t="shared" si="21"/>
        <v/>
      </c>
      <c r="P275" s="147" t="str">
        <f>IFERROR(__xludf.DUMMYFUNCTION("if(C275="""","""",iferror(if(row()&lt;&gt;2,INDEX(arrayformula(filter($Q$2:$Q274,$C$2:$C274&lt;&gt;"""",row($C$2:$C274)=max(if($C$2:$C274=C275,row($C$2:$C274),0)))) ,1),0),0))"),"")</f>
        <v/>
      </c>
      <c r="Q275" s="147" t="str">
        <f t="shared" si="22"/>
        <v/>
      </c>
      <c r="R275" s="147" t="str">
        <f t="shared" si="23"/>
        <v/>
      </c>
      <c r="S275" s="147" t="str">
        <f t="shared" si="24"/>
        <v/>
      </c>
      <c r="T275" s="147" t="str">
        <f t="shared" si="7"/>
        <v/>
      </c>
      <c r="U275" s="150" t="str">
        <f t="shared" si="8"/>
        <v/>
      </c>
      <c r="V275" s="151" t="str">
        <f>IFERROR(VLOOKUP(C275,Ativos!$A$1:$G2000,5,),)</f>
        <v/>
      </c>
    </row>
    <row r="276" ht="21.0" customHeight="1">
      <c r="A276" s="152"/>
      <c r="B276" s="160"/>
      <c r="C276" s="153"/>
      <c r="D276" s="154"/>
      <c r="E276" s="139"/>
      <c r="F276" s="139"/>
      <c r="G276" s="139"/>
      <c r="H276" s="135"/>
      <c r="I276" s="141"/>
      <c r="J276" s="147" t="str">
        <f>IFERROR(__xludf.DUMMYFUNCTION("IF(ISBLANK(A276),IFERROR(1/0),IF(COUNT(FILTER(F:F,A:A=A276))&gt;1,TRUNC(N276*F276/SUM(FILTER(N:N,A:A=A276)),3),F276))"),"")</f>
        <v/>
      </c>
      <c r="K276" s="147" t="str">
        <f>IFERROR(__xludf.DUMMYFUNCTION("IF(ISBLANK(A276),IFERROR(1/0),IF(COUNT(FILTER(G:G,((A:A=A276)*(B:B=""V""))))&gt;1,TRUNC(N276*G276/SUM(FILTER(N:N,((A:A=A276)*(B:B=""V"")))),3),G276))"),"")</f>
        <v/>
      </c>
      <c r="L276" s="148" t="str">
        <f>IFERROR(__xludf.DUMMYFUNCTION("if($C276="""","""",iferror(if(row()&lt;&gt;2,INDEX(arrayformula(filter($M$2:$M275,$C$2:$C275&lt;&gt;"""",row($C$2:$C275)=max(if($C$2:$C275=C276,row($C$2:$C275),0)))) ,1),0),0))"),"")</f>
        <v/>
      </c>
      <c r="M276" s="148" t="str">
        <f t="shared" si="1"/>
        <v/>
      </c>
      <c r="N276" s="147" t="str">
        <f t="shared" si="2"/>
        <v/>
      </c>
      <c r="O276" s="147" t="str">
        <f t="shared" si="21"/>
        <v/>
      </c>
      <c r="P276" s="147" t="str">
        <f>IFERROR(__xludf.DUMMYFUNCTION("if(C276="""","""",iferror(if(row()&lt;&gt;2,INDEX(arrayformula(filter($Q$2:$Q275,$C$2:$C275&lt;&gt;"""",row($C$2:$C275)=max(if($C$2:$C275=C276,row($C$2:$C275),0)))) ,1),0),0))"),"")</f>
        <v/>
      </c>
      <c r="Q276" s="147" t="str">
        <f t="shared" si="22"/>
        <v/>
      </c>
      <c r="R276" s="147" t="str">
        <f t="shared" si="23"/>
        <v/>
      </c>
      <c r="S276" s="147" t="str">
        <f t="shared" si="24"/>
        <v/>
      </c>
      <c r="T276" s="147" t="str">
        <f t="shared" si="7"/>
        <v/>
      </c>
      <c r="U276" s="150" t="str">
        <f t="shared" si="8"/>
        <v/>
      </c>
      <c r="V276" s="151" t="str">
        <f>IFERROR(VLOOKUP(C276,Ativos!$A$1:$G2000,5,),)</f>
        <v/>
      </c>
    </row>
    <row r="277" ht="21.0" customHeight="1">
      <c r="A277" s="152"/>
      <c r="B277" s="160"/>
      <c r="C277" s="153"/>
      <c r="D277" s="154"/>
      <c r="E277" s="139"/>
      <c r="F277" s="139"/>
      <c r="G277" s="139"/>
      <c r="H277" s="135"/>
      <c r="I277" s="141"/>
      <c r="J277" s="147" t="str">
        <f>IFERROR(__xludf.DUMMYFUNCTION("IF(ISBLANK(A277),IFERROR(1/0),IF(COUNT(FILTER(F:F,A:A=A277))&gt;1,TRUNC(N277*F277/SUM(FILTER(N:N,A:A=A277)),3),F277))"),"")</f>
        <v/>
      </c>
      <c r="K277" s="147" t="str">
        <f>IFERROR(__xludf.DUMMYFUNCTION("IF(ISBLANK(A277),IFERROR(1/0),IF(COUNT(FILTER(G:G,((A:A=A277)*(B:B=""V""))))&gt;1,TRUNC(N277*G277/SUM(FILTER(N:N,((A:A=A277)*(B:B=""V"")))),3),G277))"),"")</f>
        <v/>
      </c>
      <c r="L277" s="148" t="str">
        <f>IFERROR(__xludf.DUMMYFUNCTION("if($C277="""","""",iferror(if(row()&lt;&gt;2,INDEX(arrayformula(filter($M$2:$M276,$C$2:$C276&lt;&gt;"""",row($C$2:$C276)=max(if($C$2:$C276=C277,row($C$2:$C276),0)))) ,1),0),0))"),"")</f>
        <v/>
      </c>
      <c r="M277" s="148" t="str">
        <f t="shared" si="1"/>
        <v/>
      </c>
      <c r="N277" s="147" t="str">
        <f t="shared" si="2"/>
        <v/>
      </c>
      <c r="O277" s="147" t="str">
        <f t="shared" si="21"/>
        <v/>
      </c>
      <c r="P277" s="147" t="str">
        <f>IFERROR(__xludf.DUMMYFUNCTION("if(C277="""","""",iferror(if(row()&lt;&gt;2,INDEX(arrayformula(filter($Q$2:$Q276,$C$2:$C276&lt;&gt;"""",row($C$2:$C276)=max(if($C$2:$C276=C277,row($C$2:$C276),0)))) ,1),0),0))"),"")</f>
        <v/>
      </c>
      <c r="Q277" s="147" t="str">
        <f t="shared" si="22"/>
        <v/>
      </c>
      <c r="R277" s="147" t="str">
        <f t="shared" si="23"/>
        <v/>
      </c>
      <c r="S277" s="147" t="str">
        <f t="shared" si="24"/>
        <v/>
      </c>
      <c r="T277" s="147" t="str">
        <f t="shared" si="7"/>
        <v/>
      </c>
      <c r="U277" s="150" t="str">
        <f t="shared" si="8"/>
        <v/>
      </c>
      <c r="V277" s="151" t="str">
        <f>IFERROR(VLOOKUP(C277,Ativos!$A$1:$G2000,5,),)</f>
        <v/>
      </c>
    </row>
    <row r="278" ht="21.0" customHeight="1">
      <c r="A278" s="152"/>
      <c r="B278" s="160"/>
      <c r="C278" s="153"/>
      <c r="D278" s="154"/>
      <c r="E278" s="139"/>
      <c r="F278" s="139"/>
      <c r="G278" s="139"/>
      <c r="H278" s="135"/>
      <c r="I278" s="141"/>
      <c r="J278" s="147" t="str">
        <f>IFERROR(__xludf.DUMMYFUNCTION("IF(ISBLANK(A278),IFERROR(1/0),IF(COUNT(FILTER(F:F,A:A=A278))&gt;1,TRUNC(N278*F278/SUM(FILTER(N:N,A:A=A278)),3),F278))"),"")</f>
        <v/>
      </c>
      <c r="K278" s="147" t="str">
        <f>IFERROR(__xludf.DUMMYFUNCTION("IF(ISBLANK(A278),IFERROR(1/0),IF(COUNT(FILTER(G:G,((A:A=A278)*(B:B=""V""))))&gt;1,TRUNC(N278*G278/SUM(FILTER(N:N,((A:A=A278)*(B:B=""V"")))),3),G278))"),"")</f>
        <v/>
      </c>
      <c r="L278" s="148" t="str">
        <f>IFERROR(__xludf.DUMMYFUNCTION("if($C278="""","""",iferror(if(row()&lt;&gt;2,INDEX(arrayformula(filter($M$2:$M277,$C$2:$C277&lt;&gt;"""",row($C$2:$C277)=max(if($C$2:$C277=C278,row($C$2:$C277),0)))) ,1),0),0))"),"")</f>
        <v/>
      </c>
      <c r="M278" s="148" t="str">
        <f t="shared" si="1"/>
        <v/>
      </c>
      <c r="N278" s="147" t="str">
        <f t="shared" si="2"/>
        <v/>
      </c>
      <c r="O278" s="147" t="str">
        <f t="shared" si="21"/>
        <v/>
      </c>
      <c r="P278" s="147" t="str">
        <f>IFERROR(__xludf.DUMMYFUNCTION("if(C278="""","""",iferror(if(row()&lt;&gt;2,INDEX(arrayformula(filter($Q$2:$Q277,$C$2:$C277&lt;&gt;"""",row($C$2:$C277)=max(if($C$2:$C277=C278,row($C$2:$C277),0)))) ,1),0),0))"),"")</f>
        <v/>
      </c>
      <c r="Q278" s="147" t="str">
        <f t="shared" si="22"/>
        <v/>
      </c>
      <c r="R278" s="147" t="str">
        <f t="shared" si="23"/>
        <v/>
      </c>
      <c r="S278" s="147" t="str">
        <f t="shared" si="24"/>
        <v/>
      </c>
      <c r="T278" s="147" t="str">
        <f t="shared" si="7"/>
        <v/>
      </c>
      <c r="U278" s="150" t="str">
        <f t="shared" si="8"/>
        <v/>
      </c>
      <c r="V278" s="151" t="str">
        <f>IFERROR(VLOOKUP(C278,Ativos!$A$1:$G2000,5,),)</f>
        <v/>
      </c>
    </row>
    <row r="279" ht="21.0" customHeight="1">
      <c r="A279" s="152"/>
      <c r="B279" s="160"/>
      <c r="C279" s="153"/>
      <c r="D279" s="154"/>
      <c r="E279" s="139"/>
      <c r="F279" s="139"/>
      <c r="G279" s="139"/>
      <c r="H279" s="135"/>
      <c r="I279" s="141"/>
      <c r="J279" s="147" t="str">
        <f>IFERROR(__xludf.DUMMYFUNCTION("IF(ISBLANK(A279),IFERROR(1/0),IF(COUNT(FILTER(F:F,A:A=A279))&gt;1,TRUNC(N279*F279/SUM(FILTER(N:N,A:A=A279)),3),F279))"),"")</f>
        <v/>
      </c>
      <c r="K279" s="147" t="str">
        <f>IFERROR(__xludf.DUMMYFUNCTION("IF(ISBLANK(A279),IFERROR(1/0),IF(COUNT(FILTER(G:G,((A:A=A279)*(B:B=""V""))))&gt;1,TRUNC(N279*G279/SUM(FILTER(N:N,((A:A=A279)*(B:B=""V"")))),3),G279))"),"")</f>
        <v/>
      </c>
      <c r="L279" s="148" t="str">
        <f>IFERROR(__xludf.DUMMYFUNCTION("if($C279="""","""",iferror(if(row()&lt;&gt;2,INDEX(arrayformula(filter($M$2:$M278,$C$2:$C278&lt;&gt;"""",row($C$2:$C278)=max(if($C$2:$C278=C279,row($C$2:$C278),0)))) ,1),0),0))"),"")</f>
        <v/>
      </c>
      <c r="M279" s="148" t="str">
        <f t="shared" si="1"/>
        <v/>
      </c>
      <c r="N279" s="147" t="str">
        <f t="shared" si="2"/>
        <v/>
      </c>
      <c r="O279" s="147" t="str">
        <f t="shared" si="21"/>
        <v/>
      </c>
      <c r="P279" s="147" t="str">
        <f>IFERROR(__xludf.DUMMYFUNCTION("if(C279="""","""",iferror(if(row()&lt;&gt;2,INDEX(arrayformula(filter($Q$2:$Q278,$C$2:$C278&lt;&gt;"""",row($C$2:$C278)=max(if($C$2:$C278=C279,row($C$2:$C278),0)))) ,1),0),0))"),"")</f>
        <v/>
      </c>
      <c r="Q279" s="147" t="str">
        <f t="shared" si="22"/>
        <v/>
      </c>
      <c r="R279" s="147" t="str">
        <f t="shared" si="23"/>
        <v/>
      </c>
      <c r="S279" s="147" t="str">
        <f t="shared" si="24"/>
        <v/>
      </c>
      <c r="T279" s="147" t="str">
        <f t="shared" si="7"/>
        <v/>
      </c>
      <c r="U279" s="150" t="str">
        <f t="shared" si="8"/>
        <v/>
      </c>
      <c r="V279" s="151" t="str">
        <f>IFERROR(VLOOKUP(C279,Ativos!$A$1:$G2000,5,),)</f>
        <v/>
      </c>
    </row>
    <row r="280" ht="21.0" customHeight="1">
      <c r="A280" s="152"/>
      <c r="B280" s="160"/>
      <c r="C280" s="153"/>
      <c r="D280" s="154"/>
      <c r="E280" s="139"/>
      <c r="F280" s="139"/>
      <c r="G280" s="139"/>
      <c r="H280" s="135"/>
      <c r="I280" s="141"/>
      <c r="J280" s="147" t="str">
        <f>IFERROR(__xludf.DUMMYFUNCTION("IF(ISBLANK(A280),IFERROR(1/0),IF(COUNT(FILTER(F:F,A:A=A280))&gt;1,TRUNC(N280*F280/SUM(FILTER(N:N,A:A=A280)),3),F280))"),"")</f>
        <v/>
      </c>
      <c r="K280" s="147" t="str">
        <f>IFERROR(__xludf.DUMMYFUNCTION("IF(ISBLANK(A280),IFERROR(1/0),IF(COUNT(FILTER(G:G,((A:A=A280)*(B:B=""V""))))&gt;1,TRUNC(N280*G280/SUM(FILTER(N:N,((A:A=A280)*(B:B=""V"")))),3),G280))"),"")</f>
        <v/>
      </c>
      <c r="L280" s="148" t="str">
        <f>IFERROR(__xludf.DUMMYFUNCTION("if($C280="""","""",iferror(if(row()&lt;&gt;2,INDEX(arrayformula(filter($M$2:$M279,$C$2:$C279&lt;&gt;"""",row($C$2:$C279)=max(if($C$2:$C279=C280,row($C$2:$C279),0)))) ,1),0),0))"),"")</f>
        <v/>
      </c>
      <c r="M280" s="148" t="str">
        <f t="shared" si="1"/>
        <v/>
      </c>
      <c r="N280" s="147" t="str">
        <f t="shared" si="2"/>
        <v/>
      </c>
      <c r="O280" s="147" t="str">
        <f t="shared" si="21"/>
        <v/>
      </c>
      <c r="P280" s="147" t="str">
        <f>IFERROR(__xludf.DUMMYFUNCTION("if(C280="""","""",iferror(if(row()&lt;&gt;2,INDEX(arrayformula(filter($Q$2:$Q279,$C$2:$C279&lt;&gt;"""",row($C$2:$C279)=max(if($C$2:$C279=C280,row($C$2:$C279),0)))) ,1),0),0))"),"")</f>
        <v/>
      </c>
      <c r="Q280" s="147" t="str">
        <f t="shared" si="22"/>
        <v/>
      </c>
      <c r="R280" s="147" t="str">
        <f t="shared" si="23"/>
        <v/>
      </c>
      <c r="S280" s="147" t="str">
        <f t="shared" si="24"/>
        <v/>
      </c>
      <c r="T280" s="147" t="str">
        <f t="shared" si="7"/>
        <v/>
      </c>
      <c r="U280" s="150" t="str">
        <f t="shared" si="8"/>
        <v/>
      </c>
      <c r="V280" s="151" t="str">
        <f>IFERROR(VLOOKUP(C280,Ativos!$A$1:$G2000,5,),)</f>
        <v/>
      </c>
    </row>
    <row r="281" ht="21.0" customHeight="1">
      <c r="A281" s="152"/>
      <c r="B281" s="160"/>
      <c r="C281" s="153"/>
      <c r="D281" s="154"/>
      <c r="E281" s="139"/>
      <c r="F281" s="139"/>
      <c r="G281" s="139"/>
      <c r="H281" s="135"/>
      <c r="I281" s="141"/>
      <c r="J281" s="147" t="str">
        <f>IFERROR(__xludf.DUMMYFUNCTION("IF(ISBLANK(A281),IFERROR(1/0),IF(COUNT(FILTER(F:F,A:A=A281))&gt;1,TRUNC(N281*F281/SUM(FILTER(N:N,A:A=A281)),3),F281))"),"")</f>
        <v/>
      </c>
      <c r="K281" s="147" t="str">
        <f>IFERROR(__xludf.DUMMYFUNCTION("IF(ISBLANK(A281),IFERROR(1/0),IF(COUNT(FILTER(G:G,((A:A=A281)*(B:B=""V""))))&gt;1,TRUNC(N281*G281/SUM(FILTER(N:N,((A:A=A281)*(B:B=""V"")))),3),G281))"),"")</f>
        <v/>
      </c>
      <c r="L281" s="148" t="str">
        <f>IFERROR(__xludf.DUMMYFUNCTION("if($C281="""","""",iferror(if(row()&lt;&gt;2,INDEX(arrayformula(filter($M$2:$M280,$C$2:$C280&lt;&gt;"""",row($C$2:$C280)=max(if($C$2:$C280=C281,row($C$2:$C280),0)))) ,1),0),0))"),"")</f>
        <v/>
      </c>
      <c r="M281" s="148" t="str">
        <f t="shared" si="1"/>
        <v/>
      </c>
      <c r="N281" s="147" t="str">
        <f t="shared" si="2"/>
        <v/>
      </c>
      <c r="O281" s="147" t="str">
        <f t="shared" si="21"/>
        <v/>
      </c>
      <c r="P281" s="147" t="str">
        <f>IFERROR(__xludf.DUMMYFUNCTION("if(C281="""","""",iferror(if(row()&lt;&gt;2,INDEX(arrayformula(filter($Q$2:$Q280,$C$2:$C280&lt;&gt;"""",row($C$2:$C280)=max(if($C$2:$C280=C281,row($C$2:$C280),0)))) ,1),0),0))"),"")</f>
        <v/>
      </c>
      <c r="Q281" s="147" t="str">
        <f t="shared" si="22"/>
        <v/>
      </c>
      <c r="R281" s="147" t="str">
        <f t="shared" si="23"/>
        <v/>
      </c>
      <c r="S281" s="147" t="str">
        <f t="shared" si="24"/>
        <v/>
      </c>
      <c r="T281" s="147" t="str">
        <f t="shared" si="7"/>
        <v/>
      </c>
      <c r="U281" s="150" t="str">
        <f t="shared" si="8"/>
        <v/>
      </c>
      <c r="V281" s="151" t="str">
        <f>IFERROR(VLOOKUP(C281,Ativos!$A$1:$G2000,5,),)</f>
        <v/>
      </c>
    </row>
    <row r="282" ht="21.0" customHeight="1">
      <c r="A282" s="152"/>
      <c r="B282" s="160"/>
      <c r="C282" s="153"/>
      <c r="D282" s="154"/>
      <c r="E282" s="139"/>
      <c r="F282" s="139"/>
      <c r="G282" s="139"/>
      <c r="H282" s="135"/>
      <c r="I282" s="141"/>
      <c r="J282" s="147" t="str">
        <f>IFERROR(__xludf.DUMMYFUNCTION("IF(ISBLANK(A282),IFERROR(1/0),IF(COUNT(FILTER(F:F,A:A=A282))&gt;1,TRUNC(N282*F282/SUM(FILTER(N:N,A:A=A282)),3),F282))"),"")</f>
        <v/>
      </c>
      <c r="K282" s="147" t="str">
        <f>IFERROR(__xludf.DUMMYFUNCTION("IF(ISBLANK(A282),IFERROR(1/0),IF(COUNT(FILTER(G:G,((A:A=A282)*(B:B=""V""))))&gt;1,TRUNC(N282*G282/SUM(FILTER(N:N,((A:A=A282)*(B:B=""V"")))),3),G282))"),"")</f>
        <v/>
      </c>
      <c r="L282" s="148" t="str">
        <f>IFERROR(__xludf.DUMMYFUNCTION("if($C282="""","""",iferror(if(row()&lt;&gt;2,INDEX(arrayformula(filter($M$2:$M281,$C$2:$C281&lt;&gt;"""",row($C$2:$C281)=max(if($C$2:$C281=C282,row($C$2:$C281),0)))) ,1),0),0))"),"")</f>
        <v/>
      </c>
      <c r="M282" s="148" t="str">
        <f t="shared" si="1"/>
        <v/>
      </c>
      <c r="N282" s="147" t="str">
        <f t="shared" si="2"/>
        <v/>
      </c>
      <c r="O282" s="147" t="str">
        <f t="shared" si="21"/>
        <v/>
      </c>
      <c r="P282" s="147" t="str">
        <f>IFERROR(__xludf.DUMMYFUNCTION("if(C282="""","""",iferror(if(row()&lt;&gt;2,INDEX(arrayformula(filter($Q$2:$Q281,$C$2:$C281&lt;&gt;"""",row($C$2:$C281)=max(if($C$2:$C281=C282,row($C$2:$C281),0)))) ,1),0),0))"),"")</f>
        <v/>
      </c>
      <c r="Q282" s="147" t="str">
        <f t="shared" si="22"/>
        <v/>
      </c>
      <c r="R282" s="147" t="str">
        <f t="shared" si="23"/>
        <v/>
      </c>
      <c r="S282" s="147" t="str">
        <f t="shared" si="24"/>
        <v/>
      </c>
      <c r="T282" s="147" t="str">
        <f t="shared" si="7"/>
        <v/>
      </c>
      <c r="U282" s="150" t="str">
        <f t="shared" si="8"/>
        <v/>
      </c>
      <c r="V282" s="151" t="str">
        <f>IFERROR(VLOOKUP(C282,Ativos!$A$1:$G2000,5,),)</f>
        <v/>
      </c>
    </row>
    <row r="283" ht="21.0" customHeight="1">
      <c r="A283" s="152"/>
      <c r="B283" s="160"/>
      <c r="C283" s="153"/>
      <c r="D283" s="154"/>
      <c r="E283" s="139"/>
      <c r="F283" s="139"/>
      <c r="G283" s="139"/>
      <c r="H283" s="135"/>
      <c r="I283" s="141"/>
      <c r="J283" s="147" t="str">
        <f>IFERROR(__xludf.DUMMYFUNCTION("IF(ISBLANK(A283),IFERROR(1/0),IF(COUNT(FILTER(F:F,A:A=A283))&gt;1,TRUNC(N283*F283/SUM(FILTER(N:N,A:A=A283)),3),F283))"),"")</f>
        <v/>
      </c>
      <c r="K283" s="147" t="str">
        <f>IFERROR(__xludf.DUMMYFUNCTION("IF(ISBLANK(A283),IFERROR(1/0),IF(COUNT(FILTER(G:G,((A:A=A283)*(B:B=""V""))))&gt;1,TRUNC(N283*G283/SUM(FILTER(N:N,((A:A=A283)*(B:B=""V"")))),3),G283))"),"")</f>
        <v/>
      </c>
      <c r="L283" s="148" t="str">
        <f>IFERROR(__xludf.DUMMYFUNCTION("if($C283="""","""",iferror(if(row()&lt;&gt;2,INDEX(arrayformula(filter($M$2:$M282,$C$2:$C282&lt;&gt;"""",row($C$2:$C282)=max(if($C$2:$C282=C283,row($C$2:$C282),0)))) ,1),0),0))"),"")</f>
        <v/>
      </c>
      <c r="M283" s="148" t="str">
        <f t="shared" si="1"/>
        <v/>
      </c>
      <c r="N283" s="147" t="str">
        <f t="shared" si="2"/>
        <v/>
      </c>
      <c r="O283" s="147" t="str">
        <f t="shared" si="21"/>
        <v/>
      </c>
      <c r="P283" s="147" t="str">
        <f>IFERROR(__xludf.DUMMYFUNCTION("if(C283="""","""",iferror(if(row()&lt;&gt;2,INDEX(arrayformula(filter($Q$2:$Q282,$C$2:$C282&lt;&gt;"""",row($C$2:$C282)=max(if($C$2:$C282=C283,row($C$2:$C282),0)))) ,1),0),0))"),"")</f>
        <v/>
      </c>
      <c r="Q283" s="147" t="str">
        <f t="shared" si="22"/>
        <v/>
      </c>
      <c r="R283" s="147" t="str">
        <f t="shared" si="23"/>
        <v/>
      </c>
      <c r="S283" s="147" t="str">
        <f t="shared" si="24"/>
        <v/>
      </c>
      <c r="T283" s="147" t="str">
        <f t="shared" si="7"/>
        <v/>
      </c>
      <c r="U283" s="150" t="str">
        <f t="shared" si="8"/>
        <v/>
      </c>
      <c r="V283" s="151" t="str">
        <f>IFERROR(VLOOKUP(C283,Ativos!$A$1:$G2000,5,),)</f>
        <v/>
      </c>
    </row>
    <row r="284" ht="21.0" customHeight="1">
      <c r="A284" s="152"/>
      <c r="B284" s="160"/>
      <c r="C284" s="153"/>
      <c r="D284" s="154"/>
      <c r="E284" s="139"/>
      <c r="F284" s="139"/>
      <c r="G284" s="139"/>
      <c r="H284" s="135"/>
      <c r="I284" s="141"/>
      <c r="J284" s="147" t="str">
        <f>IFERROR(__xludf.DUMMYFUNCTION("IF(ISBLANK(A284),IFERROR(1/0),IF(COUNT(FILTER(F:F,A:A=A284))&gt;1,TRUNC(N284*F284/SUM(FILTER(N:N,A:A=A284)),3),F284))"),"")</f>
        <v/>
      </c>
      <c r="K284" s="147" t="str">
        <f>IFERROR(__xludf.DUMMYFUNCTION("IF(ISBLANK(A284),IFERROR(1/0),IF(COUNT(FILTER(G:G,((A:A=A284)*(B:B=""V""))))&gt;1,TRUNC(N284*G284/SUM(FILTER(N:N,((A:A=A284)*(B:B=""V"")))),3),G284))"),"")</f>
        <v/>
      </c>
      <c r="L284" s="148" t="str">
        <f>IFERROR(__xludf.DUMMYFUNCTION("if($C284="""","""",iferror(if(row()&lt;&gt;2,INDEX(arrayformula(filter($M$2:$M283,$C$2:$C283&lt;&gt;"""",row($C$2:$C283)=max(if($C$2:$C283=C284,row($C$2:$C283),0)))) ,1),0),0))"),"")</f>
        <v/>
      </c>
      <c r="M284" s="148" t="str">
        <f t="shared" si="1"/>
        <v/>
      </c>
      <c r="N284" s="147" t="str">
        <f t="shared" si="2"/>
        <v/>
      </c>
      <c r="O284" s="147" t="str">
        <f t="shared" si="21"/>
        <v/>
      </c>
      <c r="P284" s="147" t="str">
        <f>IFERROR(__xludf.DUMMYFUNCTION("if(C284="""","""",iferror(if(row()&lt;&gt;2,INDEX(arrayformula(filter($Q$2:$Q283,$C$2:$C283&lt;&gt;"""",row($C$2:$C283)=max(if($C$2:$C283=C284,row($C$2:$C283),0)))) ,1),0),0))"),"")</f>
        <v/>
      </c>
      <c r="Q284" s="147" t="str">
        <f t="shared" si="22"/>
        <v/>
      </c>
      <c r="R284" s="147" t="str">
        <f t="shared" si="23"/>
        <v/>
      </c>
      <c r="S284" s="147" t="str">
        <f t="shared" si="24"/>
        <v/>
      </c>
      <c r="T284" s="147" t="str">
        <f t="shared" si="7"/>
        <v/>
      </c>
      <c r="U284" s="150" t="str">
        <f t="shared" si="8"/>
        <v/>
      </c>
      <c r="V284" s="151" t="str">
        <f>IFERROR(VLOOKUP(C284,Ativos!$A$1:$G2000,5,),)</f>
        <v/>
      </c>
    </row>
    <row r="285" ht="21.0" customHeight="1">
      <c r="A285" s="152"/>
      <c r="B285" s="160"/>
      <c r="C285" s="153"/>
      <c r="D285" s="154"/>
      <c r="E285" s="139"/>
      <c r="F285" s="139"/>
      <c r="G285" s="139"/>
      <c r="H285" s="135"/>
      <c r="I285" s="141"/>
      <c r="J285" s="147" t="str">
        <f>IFERROR(__xludf.DUMMYFUNCTION("IF(ISBLANK(A285),IFERROR(1/0),IF(COUNT(FILTER(F:F,A:A=A285))&gt;1,TRUNC(N285*F285/SUM(FILTER(N:N,A:A=A285)),3),F285))"),"")</f>
        <v/>
      </c>
      <c r="K285" s="147" t="str">
        <f>IFERROR(__xludf.DUMMYFUNCTION("IF(ISBLANK(A285),IFERROR(1/0),IF(COUNT(FILTER(G:G,((A:A=A285)*(B:B=""V""))))&gt;1,TRUNC(N285*G285/SUM(FILTER(N:N,((A:A=A285)*(B:B=""V"")))),3),G285))"),"")</f>
        <v/>
      </c>
      <c r="L285" s="148" t="str">
        <f>IFERROR(__xludf.DUMMYFUNCTION("if($C285="""","""",iferror(if(row()&lt;&gt;2,INDEX(arrayformula(filter($M$2:$M284,$C$2:$C284&lt;&gt;"""",row($C$2:$C284)=max(if($C$2:$C284=C285,row($C$2:$C284),0)))) ,1),0),0))"),"")</f>
        <v/>
      </c>
      <c r="M285" s="148" t="str">
        <f t="shared" si="1"/>
        <v/>
      </c>
      <c r="N285" s="147" t="str">
        <f t="shared" si="2"/>
        <v/>
      </c>
      <c r="O285" s="147" t="str">
        <f t="shared" si="21"/>
        <v/>
      </c>
      <c r="P285" s="147" t="str">
        <f>IFERROR(__xludf.DUMMYFUNCTION("if(C285="""","""",iferror(if(row()&lt;&gt;2,INDEX(arrayformula(filter($Q$2:$Q284,$C$2:$C284&lt;&gt;"""",row($C$2:$C284)=max(if($C$2:$C284=C285,row($C$2:$C284),0)))) ,1),0),0))"),"")</f>
        <v/>
      </c>
      <c r="Q285" s="147" t="str">
        <f t="shared" si="22"/>
        <v/>
      </c>
      <c r="R285" s="147" t="str">
        <f t="shared" si="23"/>
        <v/>
      </c>
      <c r="S285" s="147" t="str">
        <f t="shared" si="24"/>
        <v/>
      </c>
      <c r="T285" s="147" t="str">
        <f t="shared" si="7"/>
        <v/>
      </c>
      <c r="U285" s="150" t="str">
        <f t="shared" si="8"/>
        <v/>
      </c>
      <c r="V285" s="151" t="str">
        <f>IFERROR(VLOOKUP(C285,Ativos!$A$1:$G2000,5,),)</f>
        <v/>
      </c>
    </row>
    <row r="286" ht="21.0" customHeight="1">
      <c r="A286" s="152"/>
      <c r="B286" s="160"/>
      <c r="C286" s="153"/>
      <c r="D286" s="154"/>
      <c r="E286" s="139"/>
      <c r="F286" s="139"/>
      <c r="G286" s="139"/>
      <c r="H286" s="135"/>
      <c r="I286" s="141"/>
      <c r="J286" s="147" t="str">
        <f>IFERROR(__xludf.DUMMYFUNCTION("IF(ISBLANK(A286),IFERROR(1/0),IF(COUNT(FILTER(F:F,A:A=A286))&gt;1,TRUNC(N286*F286/SUM(FILTER(N:N,A:A=A286)),3),F286))"),"")</f>
        <v/>
      </c>
      <c r="K286" s="147" t="str">
        <f>IFERROR(__xludf.DUMMYFUNCTION("IF(ISBLANK(A286),IFERROR(1/0),IF(COUNT(FILTER(G:G,((A:A=A286)*(B:B=""V""))))&gt;1,TRUNC(N286*G286/SUM(FILTER(N:N,((A:A=A286)*(B:B=""V"")))),3),G286))"),"")</f>
        <v/>
      </c>
      <c r="L286" s="148" t="str">
        <f>IFERROR(__xludf.DUMMYFUNCTION("if($C286="""","""",iferror(if(row()&lt;&gt;2,INDEX(arrayformula(filter($M$2:$M285,$C$2:$C285&lt;&gt;"""",row($C$2:$C285)=max(if($C$2:$C285=C286,row($C$2:$C285),0)))) ,1),0),0))"),"")</f>
        <v/>
      </c>
      <c r="M286" s="148" t="str">
        <f t="shared" si="1"/>
        <v/>
      </c>
      <c r="N286" s="147" t="str">
        <f t="shared" si="2"/>
        <v/>
      </c>
      <c r="O286" s="147" t="str">
        <f t="shared" si="21"/>
        <v/>
      </c>
      <c r="P286" s="147" t="str">
        <f>IFERROR(__xludf.DUMMYFUNCTION("if(C286="""","""",iferror(if(row()&lt;&gt;2,INDEX(arrayformula(filter($Q$2:$Q285,$C$2:$C285&lt;&gt;"""",row($C$2:$C285)=max(if($C$2:$C285=C286,row($C$2:$C285),0)))) ,1),0),0))"),"")</f>
        <v/>
      </c>
      <c r="Q286" s="147" t="str">
        <f t="shared" si="22"/>
        <v/>
      </c>
      <c r="R286" s="147" t="str">
        <f t="shared" si="23"/>
        <v/>
      </c>
      <c r="S286" s="147" t="str">
        <f t="shared" si="24"/>
        <v/>
      </c>
      <c r="T286" s="147" t="str">
        <f t="shared" si="7"/>
        <v/>
      </c>
      <c r="U286" s="150" t="str">
        <f t="shared" si="8"/>
        <v/>
      </c>
      <c r="V286" s="151" t="str">
        <f>IFERROR(VLOOKUP(C286,Ativos!$A$1:$G2000,5,),)</f>
        <v/>
      </c>
    </row>
    <row r="287" ht="21.0" customHeight="1">
      <c r="A287" s="152"/>
      <c r="B287" s="160"/>
      <c r="C287" s="153"/>
      <c r="D287" s="154"/>
      <c r="E287" s="139"/>
      <c r="F287" s="139"/>
      <c r="G287" s="139"/>
      <c r="H287" s="135"/>
      <c r="I287" s="141"/>
      <c r="J287" s="147" t="str">
        <f>IFERROR(__xludf.DUMMYFUNCTION("IF(ISBLANK(A287),IFERROR(1/0),IF(COUNT(FILTER(F:F,A:A=A287))&gt;1,TRUNC(N287*F287/SUM(FILTER(N:N,A:A=A287)),3),F287))"),"")</f>
        <v/>
      </c>
      <c r="K287" s="147" t="str">
        <f>IFERROR(__xludf.DUMMYFUNCTION("IF(ISBLANK(A287),IFERROR(1/0),IF(COUNT(FILTER(G:G,((A:A=A287)*(B:B=""V""))))&gt;1,TRUNC(N287*G287/SUM(FILTER(N:N,((A:A=A287)*(B:B=""V"")))),3),G287))"),"")</f>
        <v/>
      </c>
      <c r="L287" s="148" t="str">
        <f>IFERROR(__xludf.DUMMYFUNCTION("if($C287="""","""",iferror(if(row()&lt;&gt;2,INDEX(arrayformula(filter($M$2:$M286,$C$2:$C286&lt;&gt;"""",row($C$2:$C286)=max(if($C$2:$C286=C287,row($C$2:$C286),0)))) ,1),0),0))"),"")</f>
        <v/>
      </c>
      <c r="M287" s="148" t="str">
        <f t="shared" si="1"/>
        <v/>
      </c>
      <c r="N287" s="147" t="str">
        <f t="shared" si="2"/>
        <v/>
      </c>
      <c r="O287" s="147" t="str">
        <f t="shared" si="21"/>
        <v/>
      </c>
      <c r="P287" s="147" t="str">
        <f>IFERROR(__xludf.DUMMYFUNCTION("if(C287="""","""",iferror(if(row()&lt;&gt;2,INDEX(arrayformula(filter($Q$2:$Q286,$C$2:$C286&lt;&gt;"""",row($C$2:$C286)=max(if($C$2:$C286=C287,row($C$2:$C286),0)))) ,1),0),0))"),"")</f>
        <v/>
      </c>
      <c r="Q287" s="147" t="str">
        <f t="shared" si="22"/>
        <v/>
      </c>
      <c r="R287" s="147" t="str">
        <f t="shared" si="23"/>
        <v/>
      </c>
      <c r="S287" s="147" t="str">
        <f t="shared" si="24"/>
        <v/>
      </c>
      <c r="T287" s="147" t="str">
        <f t="shared" si="7"/>
        <v/>
      </c>
      <c r="U287" s="150" t="str">
        <f t="shared" si="8"/>
        <v/>
      </c>
      <c r="V287" s="151" t="str">
        <f>IFERROR(VLOOKUP(C287,Ativos!$A$1:$G2000,5,),)</f>
        <v/>
      </c>
    </row>
    <row r="288" ht="21.0" customHeight="1">
      <c r="A288" s="152"/>
      <c r="B288" s="160"/>
      <c r="C288" s="153"/>
      <c r="D288" s="154"/>
      <c r="E288" s="139"/>
      <c r="F288" s="139"/>
      <c r="G288" s="139"/>
      <c r="H288" s="135"/>
      <c r="I288" s="141"/>
      <c r="J288" s="147" t="str">
        <f>IFERROR(__xludf.DUMMYFUNCTION("IF(ISBLANK(A288),IFERROR(1/0),IF(COUNT(FILTER(F:F,A:A=A288))&gt;1,TRUNC(N288*F288/SUM(FILTER(N:N,A:A=A288)),3),F288))"),"")</f>
        <v/>
      </c>
      <c r="K288" s="147" t="str">
        <f>IFERROR(__xludf.DUMMYFUNCTION("IF(ISBLANK(A288),IFERROR(1/0),IF(COUNT(FILTER(G:G,((A:A=A288)*(B:B=""V""))))&gt;1,TRUNC(N288*G288/SUM(FILTER(N:N,((A:A=A288)*(B:B=""V"")))),3),G288))"),"")</f>
        <v/>
      </c>
      <c r="L288" s="148" t="str">
        <f>IFERROR(__xludf.DUMMYFUNCTION("if($C288="""","""",iferror(if(row()&lt;&gt;2,INDEX(arrayformula(filter($M$2:$M287,$C$2:$C287&lt;&gt;"""",row($C$2:$C287)=max(if($C$2:$C287=C288,row($C$2:$C287),0)))) ,1),0),0))"),"")</f>
        <v/>
      </c>
      <c r="M288" s="148" t="str">
        <f t="shared" si="1"/>
        <v/>
      </c>
      <c r="N288" s="147" t="str">
        <f t="shared" si="2"/>
        <v/>
      </c>
      <c r="O288" s="147" t="str">
        <f t="shared" si="21"/>
        <v/>
      </c>
      <c r="P288" s="147" t="str">
        <f>IFERROR(__xludf.DUMMYFUNCTION("if(C288="""","""",iferror(if(row()&lt;&gt;2,INDEX(arrayformula(filter($Q$2:$Q287,$C$2:$C287&lt;&gt;"""",row($C$2:$C287)=max(if($C$2:$C287=C288,row($C$2:$C287),0)))) ,1),0),0))"),"")</f>
        <v/>
      </c>
      <c r="Q288" s="147" t="str">
        <f t="shared" si="22"/>
        <v/>
      </c>
      <c r="R288" s="147" t="str">
        <f t="shared" si="23"/>
        <v/>
      </c>
      <c r="S288" s="147" t="str">
        <f t="shared" si="24"/>
        <v/>
      </c>
      <c r="T288" s="147" t="str">
        <f t="shared" si="7"/>
        <v/>
      </c>
      <c r="U288" s="150" t="str">
        <f t="shared" si="8"/>
        <v/>
      </c>
      <c r="V288" s="151" t="str">
        <f>IFERROR(VLOOKUP(C288,Ativos!$A$1:$G2000,5,),)</f>
        <v/>
      </c>
    </row>
    <row r="289" ht="21.0" customHeight="1">
      <c r="A289" s="152"/>
      <c r="B289" s="160"/>
      <c r="C289" s="153"/>
      <c r="D289" s="154"/>
      <c r="E289" s="139"/>
      <c r="F289" s="139"/>
      <c r="G289" s="139"/>
      <c r="H289" s="135"/>
      <c r="I289" s="141"/>
      <c r="J289" s="147" t="str">
        <f>IFERROR(__xludf.DUMMYFUNCTION("IF(ISBLANK(A289),IFERROR(1/0),IF(COUNT(FILTER(F:F,A:A=A289))&gt;1,TRUNC(N289*F289/SUM(FILTER(N:N,A:A=A289)),3),F289))"),"")</f>
        <v/>
      </c>
      <c r="K289" s="147" t="str">
        <f>IFERROR(__xludf.DUMMYFUNCTION("IF(ISBLANK(A289),IFERROR(1/0),IF(COUNT(FILTER(G:G,((A:A=A289)*(B:B=""V""))))&gt;1,TRUNC(N289*G289/SUM(FILTER(N:N,((A:A=A289)*(B:B=""V"")))),3),G289))"),"")</f>
        <v/>
      </c>
      <c r="L289" s="148" t="str">
        <f>IFERROR(__xludf.DUMMYFUNCTION("if($C289="""","""",iferror(if(row()&lt;&gt;2,INDEX(arrayformula(filter($M$2:$M288,$C$2:$C288&lt;&gt;"""",row($C$2:$C288)=max(if($C$2:$C288=C289,row($C$2:$C288),0)))) ,1),0),0))"),"")</f>
        <v/>
      </c>
      <c r="M289" s="148" t="str">
        <f t="shared" si="1"/>
        <v/>
      </c>
      <c r="N289" s="147" t="str">
        <f t="shared" si="2"/>
        <v/>
      </c>
      <c r="O289" s="147" t="str">
        <f t="shared" si="21"/>
        <v/>
      </c>
      <c r="P289" s="147" t="str">
        <f>IFERROR(__xludf.DUMMYFUNCTION("if(C289="""","""",iferror(if(row()&lt;&gt;2,INDEX(arrayformula(filter($Q$2:$Q288,$C$2:$C288&lt;&gt;"""",row($C$2:$C288)=max(if($C$2:$C288=C289,row($C$2:$C288),0)))) ,1),0),0))"),"")</f>
        <v/>
      </c>
      <c r="Q289" s="147" t="str">
        <f t="shared" si="22"/>
        <v/>
      </c>
      <c r="R289" s="147" t="str">
        <f t="shared" si="23"/>
        <v/>
      </c>
      <c r="S289" s="147" t="str">
        <f t="shared" si="24"/>
        <v/>
      </c>
      <c r="T289" s="147" t="str">
        <f t="shared" si="7"/>
        <v/>
      </c>
      <c r="U289" s="150" t="str">
        <f t="shared" si="8"/>
        <v/>
      </c>
      <c r="V289" s="151" t="str">
        <f>IFERROR(VLOOKUP(C289,Ativos!$A$1:$G2000,5,),)</f>
        <v/>
      </c>
    </row>
    <row r="290" ht="21.0" customHeight="1">
      <c r="A290" s="152"/>
      <c r="B290" s="160"/>
      <c r="C290" s="153"/>
      <c r="D290" s="154"/>
      <c r="E290" s="139"/>
      <c r="F290" s="139"/>
      <c r="G290" s="139"/>
      <c r="H290" s="135"/>
      <c r="I290" s="141"/>
      <c r="J290" s="147" t="str">
        <f>IFERROR(__xludf.DUMMYFUNCTION("IF(ISBLANK(A290),IFERROR(1/0),IF(COUNT(FILTER(F:F,A:A=A290))&gt;1,TRUNC(N290*F290/SUM(FILTER(N:N,A:A=A290)),3),F290))"),"")</f>
        <v/>
      </c>
      <c r="K290" s="147" t="str">
        <f>IFERROR(__xludf.DUMMYFUNCTION("IF(ISBLANK(A290),IFERROR(1/0),IF(COUNT(FILTER(G:G,((A:A=A290)*(B:B=""V""))))&gt;1,TRUNC(N290*G290/SUM(FILTER(N:N,((A:A=A290)*(B:B=""V"")))),3),G290))"),"")</f>
        <v/>
      </c>
      <c r="L290" s="148" t="str">
        <f>IFERROR(__xludf.DUMMYFUNCTION("if($C290="""","""",iferror(if(row()&lt;&gt;2,INDEX(arrayformula(filter($M$2:$M289,$C$2:$C289&lt;&gt;"""",row($C$2:$C289)=max(if($C$2:$C289=C290,row($C$2:$C289),0)))) ,1),0),0))"),"")</f>
        <v/>
      </c>
      <c r="M290" s="148" t="str">
        <f t="shared" si="1"/>
        <v/>
      </c>
      <c r="N290" s="147" t="str">
        <f t="shared" si="2"/>
        <v/>
      </c>
      <c r="O290" s="147" t="str">
        <f t="shared" si="21"/>
        <v/>
      </c>
      <c r="P290" s="147" t="str">
        <f>IFERROR(__xludf.DUMMYFUNCTION("if(C290="""","""",iferror(if(row()&lt;&gt;2,INDEX(arrayformula(filter($Q$2:$Q289,$C$2:$C289&lt;&gt;"""",row($C$2:$C289)=max(if($C$2:$C289=C290,row($C$2:$C289),0)))) ,1),0),0))"),"")</f>
        <v/>
      </c>
      <c r="Q290" s="147" t="str">
        <f t="shared" si="22"/>
        <v/>
      </c>
      <c r="R290" s="147" t="str">
        <f t="shared" si="23"/>
        <v/>
      </c>
      <c r="S290" s="147" t="str">
        <f t="shared" si="24"/>
        <v/>
      </c>
      <c r="T290" s="147" t="str">
        <f t="shared" si="7"/>
        <v/>
      </c>
      <c r="U290" s="150" t="str">
        <f t="shared" si="8"/>
        <v/>
      </c>
      <c r="V290" s="151" t="str">
        <f>IFERROR(VLOOKUP(C290,Ativos!$A$1:$G2000,5,),)</f>
        <v/>
      </c>
    </row>
    <row r="291" ht="21.0" customHeight="1">
      <c r="A291" s="152"/>
      <c r="B291" s="160"/>
      <c r="C291" s="153"/>
      <c r="D291" s="154"/>
      <c r="E291" s="139"/>
      <c r="F291" s="139"/>
      <c r="G291" s="139"/>
      <c r="H291" s="135"/>
      <c r="I291" s="141"/>
      <c r="J291" s="147" t="str">
        <f>IFERROR(__xludf.DUMMYFUNCTION("IF(ISBLANK(A291),IFERROR(1/0),IF(COUNT(FILTER(F:F,A:A=A291))&gt;1,TRUNC(N291*F291/SUM(FILTER(N:N,A:A=A291)),3),F291))"),"")</f>
        <v/>
      </c>
      <c r="K291" s="147" t="str">
        <f>IFERROR(__xludf.DUMMYFUNCTION("IF(ISBLANK(A291),IFERROR(1/0),IF(COUNT(FILTER(G:G,((A:A=A291)*(B:B=""V""))))&gt;1,TRUNC(N291*G291/SUM(FILTER(N:N,((A:A=A291)*(B:B=""V"")))),3),G291))"),"")</f>
        <v/>
      </c>
      <c r="L291" s="148" t="str">
        <f>IFERROR(__xludf.DUMMYFUNCTION("if($C291="""","""",iferror(if(row()&lt;&gt;2,INDEX(arrayformula(filter($M$2:$M290,$C$2:$C290&lt;&gt;"""",row($C$2:$C290)=max(if($C$2:$C290=C291,row($C$2:$C290),0)))) ,1),0),0))"),"")</f>
        <v/>
      </c>
      <c r="M291" s="148" t="str">
        <f t="shared" si="1"/>
        <v/>
      </c>
      <c r="N291" s="147" t="str">
        <f t="shared" si="2"/>
        <v/>
      </c>
      <c r="O291" s="147" t="str">
        <f t="shared" si="21"/>
        <v/>
      </c>
      <c r="P291" s="147" t="str">
        <f>IFERROR(__xludf.DUMMYFUNCTION("if(C291="""","""",iferror(if(row()&lt;&gt;2,INDEX(arrayformula(filter($Q$2:$Q290,$C$2:$C290&lt;&gt;"""",row($C$2:$C290)=max(if($C$2:$C290=C291,row($C$2:$C290),0)))) ,1),0),0))"),"")</f>
        <v/>
      </c>
      <c r="Q291" s="147" t="str">
        <f t="shared" si="22"/>
        <v/>
      </c>
      <c r="R291" s="147" t="str">
        <f t="shared" si="23"/>
        <v/>
      </c>
      <c r="S291" s="147" t="str">
        <f t="shared" si="24"/>
        <v/>
      </c>
      <c r="T291" s="147" t="str">
        <f t="shared" si="7"/>
        <v/>
      </c>
      <c r="U291" s="150" t="str">
        <f t="shared" si="8"/>
        <v/>
      </c>
      <c r="V291" s="151" t="str">
        <f>IFERROR(VLOOKUP(C291,Ativos!$A$1:$G2000,5,),)</f>
        <v/>
      </c>
    </row>
    <row r="292" ht="21.0" customHeight="1">
      <c r="A292" s="152"/>
      <c r="B292" s="160"/>
      <c r="C292" s="153"/>
      <c r="D292" s="154"/>
      <c r="E292" s="139"/>
      <c r="F292" s="139"/>
      <c r="G292" s="139"/>
      <c r="H292" s="135"/>
      <c r="I292" s="141"/>
      <c r="J292" s="147" t="str">
        <f>IFERROR(__xludf.DUMMYFUNCTION("IF(ISBLANK(A292),IFERROR(1/0),IF(COUNT(FILTER(F:F,A:A=A292))&gt;1,TRUNC(N292*F292/SUM(FILTER(N:N,A:A=A292)),3),F292))"),"")</f>
        <v/>
      </c>
      <c r="K292" s="147" t="str">
        <f>IFERROR(__xludf.DUMMYFUNCTION("IF(ISBLANK(A292),IFERROR(1/0),IF(COUNT(FILTER(G:G,((A:A=A292)*(B:B=""V""))))&gt;1,TRUNC(N292*G292/SUM(FILTER(N:N,((A:A=A292)*(B:B=""V"")))),3),G292))"),"")</f>
        <v/>
      </c>
      <c r="L292" s="148" t="str">
        <f>IFERROR(__xludf.DUMMYFUNCTION("if($C292="""","""",iferror(if(row()&lt;&gt;2,INDEX(arrayformula(filter($M$2:$M291,$C$2:$C291&lt;&gt;"""",row($C$2:$C291)=max(if($C$2:$C291=C292,row($C$2:$C291),0)))) ,1),0),0))"),"")</f>
        <v/>
      </c>
      <c r="M292" s="148" t="str">
        <f t="shared" si="1"/>
        <v/>
      </c>
      <c r="N292" s="147" t="str">
        <f t="shared" si="2"/>
        <v/>
      </c>
      <c r="O292" s="147" t="str">
        <f t="shared" si="21"/>
        <v/>
      </c>
      <c r="P292" s="147" t="str">
        <f>IFERROR(__xludf.DUMMYFUNCTION("if(C292="""","""",iferror(if(row()&lt;&gt;2,INDEX(arrayformula(filter($Q$2:$Q291,$C$2:$C291&lt;&gt;"""",row($C$2:$C291)=max(if($C$2:$C291=C292,row($C$2:$C291),0)))) ,1),0),0))"),"")</f>
        <v/>
      </c>
      <c r="Q292" s="147" t="str">
        <f t="shared" si="22"/>
        <v/>
      </c>
      <c r="R292" s="147" t="str">
        <f t="shared" si="23"/>
        <v/>
      </c>
      <c r="S292" s="147" t="str">
        <f t="shared" si="24"/>
        <v/>
      </c>
      <c r="T292" s="147" t="str">
        <f t="shared" si="7"/>
        <v/>
      </c>
      <c r="U292" s="150" t="str">
        <f t="shared" si="8"/>
        <v/>
      </c>
      <c r="V292" s="151" t="str">
        <f>IFERROR(VLOOKUP(C292,Ativos!$A$1:$G2000,5,),)</f>
        <v/>
      </c>
    </row>
    <row r="293" ht="21.0" customHeight="1">
      <c r="A293" s="152"/>
      <c r="B293" s="160"/>
      <c r="C293" s="153"/>
      <c r="D293" s="154"/>
      <c r="E293" s="139"/>
      <c r="F293" s="139"/>
      <c r="G293" s="139"/>
      <c r="H293" s="135"/>
      <c r="I293" s="141"/>
      <c r="J293" s="147" t="str">
        <f>IFERROR(__xludf.DUMMYFUNCTION("IF(ISBLANK(A293),IFERROR(1/0),IF(COUNT(FILTER(F:F,A:A=A293))&gt;1,TRUNC(N293*F293/SUM(FILTER(N:N,A:A=A293)),3),F293))"),"")</f>
        <v/>
      </c>
      <c r="K293" s="147" t="str">
        <f>IFERROR(__xludf.DUMMYFUNCTION("IF(ISBLANK(A293),IFERROR(1/0),IF(COUNT(FILTER(G:G,((A:A=A293)*(B:B=""V""))))&gt;1,TRUNC(N293*G293/SUM(FILTER(N:N,((A:A=A293)*(B:B=""V"")))),3),G293))"),"")</f>
        <v/>
      </c>
      <c r="L293" s="148" t="str">
        <f>IFERROR(__xludf.DUMMYFUNCTION("if($C293="""","""",iferror(if(row()&lt;&gt;2,INDEX(arrayformula(filter($M$2:$M292,$C$2:$C292&lt;&gt;"""",row($C$2:$C292)=max(if($C$2:$C292=C293,row($C$2:$C292),0)))) ,1),0),0))"),"")</f>
        <v/>
      </c>
      <c r="M293" s="148" t="str">
        <f t="shared" si="1"/>
        <v/>
      </c>
      <c r="N293" s="147" t="str">
        <f t="shared" si="2"/>
        <v/>
      </c>
      <c r="O293" s="147" t="str">
        <f t="shared" si="21"/>
        <v/>
      </c>
      <c r="P293" s="147" t="str">
        <f>IFERROR(__xludf.DUMMYFUNCTION("if(C293="""","""",iferror(if(row()&lt;&gt;2,INDEX(arrayformula(filter($Q$2:$Q292,$C$2:$C292&lt;&gt;"""",row($C$2:$C292)=max(if($C$2:$C292=C293,row($C$2:$C292),0)))) ,1),0),0))"),"")</f>
        <v/>
      </c>
      <c r="Q293" s="147" t="str">
        <f t="shared" si="22"/>
        <v/>
      </c>
      <c r="R293" s="147" t="str">
        <f t="shared" si="23"/>
        <v/>
      </c>
      <c r="S293" s="147" t="str">
        <f t="shared" si="24"/>
        <v/>
      </c>
      <c r="T293" s="147" t="str">
        <f t="shared" si="7"/>
        <v/>
      </c>
      <c r="U293" s="150" t="str">
        <f t="shared" si="8"/>
        <v/>
      </c>
      <c r="V293" s="151" t="str">
        <f>IFERROR(VLOOKUP(C293,Ativos!$A$1:$G2000,5,),)</f>
        <v/>
      </c>
    </row>
    <row r="294" ht="21.0" customHeight="1">
      <c r="A294" s="152"/>
      <c r="B294" s="160"/>
      <c r="C294" s="153"/>
      <c r="D294" s="154"/>
      <c r="E294" s="139"/>
      <c r="F294" s="139"/>
      <c r="G294" s="139"/>
      <c r="H294" s="135"/>
      <c r="I294" s="141"/>
      <c r="J294" s="147" t="str">
        <f>IFERROR(__xludf.DUMMYFUNCTION("IF(ISBLANK(A294),IFERROR(1/0),IF(COUNT(FILTER(F:F,A:A=A294))&gt;1,TRUNC(N294*F294/SUM(FILTER(N:N,A:A=A294)),3),F294))"),"")</f>
        <v/>
      </c>
      <c r="K294" s="147" t="str">
        <f>IFERROR(__xludf.DUMMYFUNCTION("IF(ISBLANK(A294),IFERROR(1/0),IF(COUNT(FILTER(G:G,((A:A=A294)*(B:B=""V""))))&gt;1,TRUNC(N294*G294/SUM(FILTER(N:N,((A:A=A294)*(B:B=""V"")))),3),G294))"),"")</f>
        <v/>
      </c>
      <c r="L294" s="148" t="str">
        <f>IFERROR(__xludf.DUMMYFUNCTION("if($C294="""","""",iferror(if(row()&lt;&gt;2,INDEX(arrayformula(filter($M$2:$M293,$C$2:$C293&lt;&gt;"""",row($C$2:$C293)=max(if($C$2:$C293=C294,row($C$2:$C293),0)))) ,1),0),0))"),"")</f>
        <v/>
      </c>
      <c r="M294" s="148" t="str">
        <f t="shared" si="1"/>
        <v/>
      </c>
      <c r="N294" s="147" t="str">
        <f t="shared" si="2"/>
        <v/>
      </c>
      <c r="O294" s="147" t="str">
        <f t="shared" si="21"/>
        <v/>
      </c>
      <c r="P294" s="147" t="str">
        <f>IFERROR(__xludf.DUMMYFUNCTION("if(C294="""","""",iferror(if(row()&lt;&gt;2,INDEX(arrayformula(filter($Q$2:$Q293,$C$2:$C293&lt;&gt;"""",row($C$2:$C293)=max(if($C$2:$C293=C294,row($C$2:$C293),0)))) ,1),0),0))"),"")</f>
        <v/>
      </c>
      <c r="Q294" s="147" t="str">
        <f t="shared" si="22"/>
        <v/>
      </c>
      <c r="R294" s="147" t="str">
        <f t="shared" si="23"/>
        <v/>
      </c>
      <c r="S294" s="147" t="str">
        <f t="shared" si="24"/>
        <v/>
      </c>
      <c r="T294" s="147" t="str">
        <f t="shared" si="7"/>
        <v/>
      </c>
      <c r="U294" s="150" t="str">
        <f t="shared" si="8"/>
        <v/>
      </c>
      <c r="V294" s="151" t="str">
        <f>IFERROR(VLOOKUP(C294,Ativos!$A$1:$G2000,5,),)</f>
        <v/>
      </c>
    </row>
    <row r="295" ht="21.0" customHeight="1">
      <c r="A295" s="152"/>
      <c r="B295" s="160"/>
      <c r="C295" s="153"/>
      <c r="D295" s="154"/>
      <c r="E295" s="139"/>
      <c r="F295" s="139"/>
      <c r="G295" s="139"/>
      <c r="H295" s="135"/>
      <c r="I295" s="141"/>
      <c r="J295" s="147" t="str">
        <f>IFERROR(__xludf.DUMMYFUNCTION("IF(ISBLANK(A295),IFERROR(1/0),IF(COUNT(FILTER(F:F,A:A=A295))&gt;1,TRUNC(N295*F295/SUM(FILTER(N:N,A:A=A295)),3),F295))"),"")</f>
        <v/>
      </c>
      <c r="K295" s="147" t="str">
        <f>IFERROR(__xludf.DUMMYFUNCTION("IF(ISBLANK(A295),IFERROR(1/0),IF(COUNT(FILTER(G:G,((A:A=A295)*(B:B=""V""))))&gt;1,TRUNC(N295*G295/SUM(FILTER(N:N,((A:A=A295)*(B:B=""V"")))),3),G295))"),"")</f>
        <v/>
      </c>
      <c r="L295" s="148" t="str">
        <f>IFERROR(__xludf.DUMMYFUNCTION("if($C295="""","""",iferror(if(row()&lt;&gt;2,INDEX(arrayformula(filter($M$2:$M294,$C$2:$C294&lt;&gt;"""",row($C$2:$C294)=max(if($C$2:$C294=C295,row($C$2:$C294),0)))) ,1),0),0))"),"")</f>
        <v/>
      </c>
      <c r="M295" s="148" t="str">
        <f t="shared" si="1"/>
        <v/>
      </c>
      <c r="N295" s="147" t="str">
        <f t="shared" si="2"/>
        <v/>
      </c>
      <c r="O295" s="147" t="str">
        <f t="shared" si="21"/>
        <v/>
      </c>
      <c r="P295" s="147" t="str">
        <f>IFERROR(__xludf.DUMMYFUNCTION("if(C295="""","""",iferror(if(row()&lt;&gt;2,INDEX(arrayformula(filter($Q$2:$Q294,$C$2:$C294&lt;&gt;"""",row($C$2:$C294)=max(if($C$2:$C294=C295,row($C$2:$C294),0)))) ,1),0),0))"),"")</f>
        <v/>
      </c>
      <c r="Q295" s="147" t="str">
        <f t="shared" si="22"/>
        <v/>
      </c>
      <c r="R295" s="147" t="str">
        <f t="shared" si="23"/>
        <v/>
      </c>
      <c r="S295" s="147" t="str">
        <f t="shared" si="24"/>
        <v/>
      </c>
      <c r="T295" s="147" t="str">
        <f t="shared" si="7"/>
        <v/>
      </c>
      <c r="U295" s="150" t="str">
        <f t="shared" si="8"/>
        <v/>
      </c>
      <c r="V295" s="151" t="str">
        <f>IFERROR(VLOOKUP(C295,Ativos!$A$1:$G2000,5,),)</f>
        <v/>
      </c>
    </row>
    <row r="296" ht="21.0" customHeight="1">
      <c r="A296" s="152"/>
      <c r="B296" s="160"/>
      <c r="C296" s="153"/>
      <c r="D296" s="154"/>
      <c r="E296" s="139"/>
      <c r="F296" s="139"/>
      <c r="G296" s="139"/>
      <c r="H296" s="135"/>
      <c r="I296" s="141"/>
      <c r="J296" s="147" t="str">
        <f>IFERROR(__xludf.DUMMYFUNCTION("IF(ISBLANK(A296),IFERROR(1/0),IF(COUNT(FILTER(F:F,A:A=A296))&gt;1,TRUNC(N296*F296/SUM(FILTER(N:N,A:A=A296)),3),F296))"),"")</f>
        <v/>
      </c>
      <c r="K296" s="147" t="str">
        <f>IFERROR(__xludf.DUMMYFUNCTION("IF(ISBLANK(A296),IFERROR(1/0),IF(COUNT(FILTER(G:G,((A:A=A296)*(B:B=""V""))))&gt;1,TRUNC(N296*G296/SUM(FILTER(N:N,((A:A=A296)*(B:B=""V"")))),3),G296))"),"")</f>
        <v/>
      </c>
      <c r="L296" s="148" t="str">
        <f>IFERROR(__xludf.DUMMYFUNCTION("if($C296="""","""",iferror(if(row()&lt;&gt;2,INDEX(arrayformula(filter($M$2:$M295,$C$2:$C295&lt;&gt;"""",row($C$2:$C295)=max(if($C$2:$C295=C296,row($C$2:$C295),0)))) ,1),0),0))"),"")</f>
        <v/>
      </c>
      <c r="M296" s="148" t="str">
        <f t="shared" si="1"/>
        <v/>
      </c>
      <c r="N296" s="147" t="str">
        <f t="shared" si="2"/>
        <v/>
      </c>
      <c r="O296" s="147" t="str">
        <f t="shared" si="21"/>
        <v/>
      </c>
      <c r="P296" s="147" t="str">
        <f>IFERROR(__xludf.DUMMYFUNCTION("if(C296="""","""",iferror(if(row()&lt;&gt;2,INDEX(arrayformula(filter($Q$2:$Q295,$C$2:$C295&lt;&gt;"""",row($C$2:$C295)=max(if($C$2:$C295=C296,row($C$2:$C295),0)))) ,1),0),0))"),"")</f>
        <v/>
      </c>
      <c r="Q296" s="147" t="str">
        <f t="shared" si="22"/>
        <v/>
      </c>
      <c r="R296" s="147" t="str">
        <f t="shared" si="23"/>
        <v/>
      </c>
      <c r="S296" s="147" t="str">
        <f t="shared" si="24"/>
        <v/>
      </c>
      <c r="T296" s="147" t="str">
        <f t="shared" si="7"/>
        <v/>
      </c>
      <c r="U296" s="150" t="str">
        <f t="shared" si="8"/>
        <v/>
      </c>
      <c r="V296" s="151" t="str">
        <f>IFERROR(VLOOKUP(C296,Ativos!$A$1:$G2000,5,),)</f>
        <v/>
      </c>
    </row>
    <row r="297" ht="21.0" customHeight="1">
      <c r="A297" s="152"/>
      <c r="B297" s="160"/>
      <c r="C297" s="153"/>
      <c r="D297" s="154"/>
      <c r="E297" s="139"/>
      <c r="F297" s="139"/>
      <c r="G297" s="139"/>
      <c r="H297" s="135"/>
      <c r="I297" s="141"/>
      <c r="J297" s="147" t="str">
        <f>IFERROR(__xludf.DUMMYFUNCTION("IF(ISBLANK(A297),IFERROR(1/0),IF(COUNT(FILTER(F:F,A:A=A297))&gt;1,TRUNC(N297*F297/SUM(FILTER(N:N,A:A=A297)),3),F297))"),"")</f>
        <v/>
      </c>
      <c r="K297" s="147" t="str">
        <f>IFERROR(__xludf.DUMMYFUNCTION("IF(ISBLANK(A297),IFERROR(1/0),IF(COUNT(FILTER(G:G,((A:A=A297)*(B:B=""V""))))&gt;1,TRUNC(N297*G297/SUM(FILTER(N:N,((A:A=A297)*(B:B=""V"")))),3),G297))"),"")</f>
        <v/>
      </c>
      <c r="L297" s="148" t="str">
        <f>IFERROR(__xludf.DUMMYFUNCTION("if($C297="""","""",iferror(if(row()&lt;&gt;2,INDEX(arrayformula(filter($M$2:$M296,$C$2:$C296&lt;&gt;"""",row($C$2:$C296)=max(if($C$2:$C296=C297,row($C$2:$C296),0)))) ,1),0),0))"),"")</f>
        <v/>
      </c>
      <c r="M297" s="148" t="str">
        <f t="shared" si="1"/>
        <v/>
      </c>
      <c r="N297" s="147" t="str">
        <f t="shared" si="2"/>
        <v/>
      </c>
      <c r="O297" s="147" t="str">
        <f t="shared" si="21"/>
        <v/>
      </c>
      <c r="P297" s="147" t="str">
        <f>IFERROR(__xludf.DUMMYFUNCTION("if(C297="""","""",iferror(if(row()&lt;&gt;2,INDEX(arrayformula(filter($Q$2:$Q296,$C$2:$C296&lt;&gt;"""",row($C$2:$C296)=max(if($C$2:$C296=C297,row($C$2:$C296),0)))) ,1),0),0))"),"")</f>
        <v/>
      </c>
      <c r="Q297" s="147" t="str">
        <f t="shared" si="22"/>
        <v/>
      </c>
      <c r="R297" s="147" t="str">
        <f t="shared" si="23"/>
        <v/>
      </c>
      <c r="S297" s="147" t="str">
        <f t="shared" si="24"/>
        <v/>
      </c>
      <c r="T297" s="147" t="str">
        <f t="shared" si="7"/>
        <v/>
      </c>
      <c r="U297" s="150" t="str">
        <f t="shared" si="8"/>
        <v/>
      </c>
      <c r="V297" s="151" t="str">
        <f>IFERROR(VLOOKUP(C297,Ativos!$A$1:$G2000,5,),)</f>
        <v/>
      </c>
    </row>
    <row r="298" ht="21.0" customHeight="1">
      <c r="A298" s="152"/>
      <c r="B298" s="160"/>
      <c r="C298" s="153"/>
      <c r="D298" s="154"/>
      <c r="E298" s="139"/>
      <c r="F298" s="139"/>
      <c r="G298" s="139"/>
      <c r="H298" s="135"/>
      <c r="I298" s="141"/>
      <c r="J298" s="147" t="str">
        <f>IFERROR(__xludf.DUMMYFUNCTION("IF(ISBLANK(A298),IFERROR(1/0),IF(COUNT(FILTER(F:F,A:A=A298))&gt;1,TRUNC(N298*F298/SUM(FILTER(N:N,A:A=A298)),3),F298))"),"")</f>
        <v/>
      </c>
      <c r="K298" s="147" t="str">
        <f>IFERROR(__xludf.DUMMYFUNCTION("IF(ISBLANK(A298),IFERROR(1/0),IF(COUNT(FILTER(G:G,((A:A=A298)*(B:B=""V""))))&gt;1,TRUNC(N298*G298/SUM(FILTER(N:N,((A:A=A298)*(B:B=""V"")))),3),G298))"),"")</f>
        <v/>
      </c>
      <c r="L298" s="148" t="str">
        <f>IFERROR(__xludf.DUMMYFUNCTION("if($C298="""","""",iferror(if(row()&lt;&gt;2,INDEX(arrayformula(filter($M$2:$M297,$C$2:$C297&lt;&gt;"""",row($C$2:$C297)=max(if($C$2:$C297=C298,row($C$2:$C297),0)))) ,1),0),0))"),"")</f>
        <v/>
      </c>
      <c r="M298" s="148" t="str">
        <f t="shared" si="1"/>
        <v/>
      </c>
      <c r="N298" s="147" t="str">
        <f t="shared" si="2"/>
        <v/>
      </c>
      <c r="O298" s="147" t="str">
        <f t="shared" si="21"/>
        <v/>
      </c>
      <c r="P298" s="147" t="str">
        <f>IFERROR(__xludf.DUMMYFUNCTION("if(C298="""","""",iferror(if(row()&lt;&gt;2,INDEX(arrayformula(filter($Q$2:$Q297,$C$2:$C297&lt;&gt;"""",row($C$2:$C297)=max(if($C$2:$C297=C298,row($C$2:$C297),0)))) ,1),0),0))"),"")</f>
        <v/>
      </c>
      <c r="Q298" s="147" t="str">
        <f t="shared" si="22"/>
        <v/>
      </c>
      <c r="R298" s="147" t="str">
        <f t="shared" si="23"/>
        <v/>
      </c>
      <c r="S298" s="147" t="str">
        <f t="shared" si="24"/>
        <v/>
      </c>
      <c r="T298" s="147" t="str">
        <f t="shared" si="7"/>
        <v/>
      </c>
      <c r="U298" s="150" t="str">
        <f t="shared" si="8"/>
        <v/>
      </c>
      <c r="V298" s="151" t="str">
        <f>IFERROR(VLOOKUP(C298,Ativos!$A$1:$G2000,5,),)</f>
        <v/>
      </c>
    </row>
    <row r="299" ht="21.0" customHeight="1">
      <c r="A299" s="152"/>
      <c r="B299" s="160"/>
      <c r="C299" s="153"/>
      <c r="D299" s="154"/>
      <c r="E299" s="139"/>
      <c r="F299" s="139"/>
      <c r="G299" s="139"/>
      <c r="H299" s="135"/>
      <c r="I299" s="141"/>
      <c r="J299" s="147" t="str">
        <f>IFERROR(__xludf.DUMMYFUNCTION("IF(ISBLANK(A299),IFERROR(1/0),IF(COUNT(FILTER(F:F,A:A=A299))&gt;1,TRUNC(N299*F299/SUM(FILTER(N:N,A:A=A299)),3),F299))"),"")</f>
        <v/>
      </c>
      <c r="K299" s="147" t="str">
        <f>IFERROR(__xludf.DUMMYFUNCTION("IF(ISBLANK(A299),IFERROR(1/0),IF(COUNT(FILTER(G:G,((A:A=A299)*(B:B=""V""))))&gt;1,TRUNC(N299*G299/SUM(FILTER(N:N,((A:A=A299)*(B:B=""V"")))),3),G299))"),"")</f>
        <v/>
      </c>
      <c r="L299" s="148" t="str">
        <f>IFERROR(__xludf.DUMMYFUNCTION("if($C299="""","""",iferror(if(row()&lt;&gt;2,INDEX(arrayformula(filter($M$2:$M298,$C$2:$C298&lt;&gt;"""",row($C$2:$C298)=max(if($C$2:$C298=C299,row($C$2:$C298),0)))) ,1),0),0))"),"")</f>
        <v/>
      </c>
      <c r="M299" s="148" t="str">
        <f t="shared" si="1"/>
        <v/>
      </c>
      <c r="N299" s="147" t="str">
        <f t="shared" si="2"/>
        <v/>
      </c>
      <c r="O299" s="147" t="str">
        <f t="shared" si="21"/>
        <v/>
      </c>
      <c r="P299" s="147" t="str">
        <f>IFERROR(__xludf.DUMMYFUNCTION("if(C299="""","""",iferror(if(row()&lt;&gt;2,INDEX(arrayformula(filter($Q$2:$Q298,$C$2:$C298&lt;&gt;"""",row($C$2:$C298)=max(if($C$2:$C298=C299,row($C$2:$C298),0)))) ,1),0),0))"),"")</f>
        <v/>
      </c>
      <c r="Q299" s="147" t="str">
        <f t="shared" si="22"/>
        <v/>
      </c>
      <c r="R299" s="147" t="str">
        <f t="shared" si="23"/>
        <v/>
      </c>
      <c r="S299" s="147" t="str">
        <f t="shared" si="24"/>
        <v/>
      </c>
      <c r="T299" s="147" t="str">
        <f t="shared" si="7"/>
        <v/>
      </c>
      <c r="U299" s="150" t="str">
        <f t="shared" si="8"/>
        <v/>
      </c>
      <c r="V299" s="151" t="str">
        <f>IFERROR(VLOOKUP(C299,Ativos!$A$1:$G2000,5,),)</f>
        <v/>
      </c>
    </row>
    <row r="300" ht="21.0" customHeight="1">
      <c r="A300" s="152"/>
      <c r="B300" s="160"/>
      <c r="C300" s="153"/>
      <c r="D300" s="154"/>
      <c r="E300" s="139"/>
      <c r="F300" s="139"/>
      <c r="G300" s="139"/>
      <c r="H300" s="135"/>
      <c r="I300" s="141"/>
      <c r="J300" s="147" t="str">
        <f>IFERROR(__xludf.DUMMYFUNCTION("IF(ISBLANK(A300),IFERROR(1/0),IF(COUNT(FILTER(F:F,A:A=A300))&gt;1,TRUNC(N300*F300/SUM(FILTER(N:N,A:A=A300)),3),F300))"),"")</f>
        <v/>
      </c>
      <c r="K300" s="147" t="str">
        <f>IFERROR(__xludf.DUMMYFUNCTION("IF(ISBLANK(A300),IFERROR(1/0),IF(COUNT(FILTER(G:G,((A:A=A300)*(B:B=""V""))))&gt;1,TRUNC(N300*G300/SUM(FILTER(N:N,((A:A=A300)*(B:B=""V"")))),3),G300))"),"")</f>
        <v/>
      </c>
      <c r="L300" s="148" t="str">
        <f>IFERROR(__xludf.DUMMYFUNCTION("if($C300="""","""",iferror(if(row()&lt;&gt;2,INDEX(arrayformula(filter($M$2:$M299,$C$2:$C299&lt;&gt;"""",row($C$2:$C299)=max(if($C$2:$C299=C300,row($C$2:$C299),0)))) ,1),0),0))"),"")</f>
        <v/>
      </c>
      <c r="M300" s="148" t="str">
        <f t="shared" si="1"/>
        <v/>
      </c>
      <c r="N300" s="147" t="str">
        <f t="shared" si="2"/>
        <v/>
      </c>
      <c r="O300" s="147" t="str">
        <f t="shared" si="21"/>
        <v/>
      </c>
      <c r="P300" s="147" t="str">
        <f>IFERROR(__xludf.DUMMYFUNCTION("if(C300="""","""",iferror(if(row()&lt;&gt;2,INDEX(arrayformula(filter($Q$2:$Q299,$C$2:$C299&lt;&gt;"""",row($C$2:$C299)=max(if($C$2:$C299=C300,row($C$2:$C299),0)))) ,1),0),0))"),"")</f>
        <v/>
      </c>
      <c r="Q300" s="147" t="str">
        <f t="shared" si="22"/>
        <v/>
      </c>
      <c r="R300" s="147" t="str">
        <f t="shared" si="23"/>
        <v/>
      </c>
      <c r="S300" s="147" t="str">
        <f t="shared" si="24"/>
        <v/>
      </c>
      <c r="T300" s="147" t="str">
        <f t="shared" si="7"/>
        <v/>
      </c>
      <c r="U300" s="150" t="str">
        <f t="shared" si="8"/>
        <v/>
      </c>
      <c r="V300" s="151" t="str">
        <f>IFERROR(VLOOKUP(C300,Ativos!$A$1:$G2000,5,),)</f>
        <v/>
      </c>
    </row>
    <row r="301" ht="21.0" customHeight="1">
      <c r="A301" s="152"/>
      <c r="B301" s="160"/>
      <c r="C301" s="153"/>
      <c r="D301" s="154"/>
      <c r="E301" s="139"/>
      <c r="F301" s="139"/>
      <c r="G301" s="139"/>
      <c r="H301" s="135"/>
      <c r="I301" s="141"/>
      <c r="J301" s="147" t="str">
        <f>IFERROR(__xludf.DUMMYFUNCTION("IF(ISBLANK(A301),IFERROR(1/0),IF(COUNT(FILTER(F:F,A:A=A301))&gt;1,TRUNC(N301*F301/SUM(FILTER(N:N,A:A=A301)),3),F301))"),"")</f>
        <v/>
      </c>
      <c r="K301" s="147" t="str">
        <f>IFERROR(__xludf.DUMMYFUNCTION("IF(ISBLANK(A301),IFERROR(1/0),IF(COUNT(FILTER(G:G,((A:A=A301)*(B:B=""V""))))&gt;1,TRUNC(N301*G301/SUM(FILTER(N:N,((A:A=A301)*(B:B=""V"")))),3),G301))"),"")</f>
        <v/>
      </c>
      <c r="L301" s="148" t="str">
        <f>IFERROR(__xludf.DUMMYFUNCTION("if($C301="""","""",iferror(if(row()&lt;&gt;2,INDEX(arrayformula(filter($M$2:$M300,$C$2:$C300&lt;&gt;"""",row($C$2:$C300)=max(if($C$2:$C300=C301,row($C$2:$C300),0)))) ,1),0),0))"),"")</f>
        <v/>
      </c>
      <c r="M301" s="148" t="str">
        <f t="shared" si="1"/>
        <v/>
      </c>
      <c r="N301" s="147" t="str">
        <f t="shared" si="2"/>
        <v/>
      </c>
      <c r="O301" s="147" t="str">
        <f t="shared" si="21"/>
        <v/>
      </c>
      <c r="P301" s="147" t="str">
        <f>IFERROR(__xludf.DUMMYFUNCTION("if(C301="""","""",iferror(if(row()&lt;&gt;2,INDEX(arrayformula(filter($Q$2:$Q300,$C$2:$C300&lt;&gt;"""",row($C$2:$C300)=max(if($C$2:$C300=C301,row($C$2:$C300),0)))) ,1),0),0))"),"")</f>
        <v/>
      </c>
      <c r="Q301" s="147" t="str">
        <f t="shared" si="22"/>
        <v/>
      </c>
      <c r="R301" s="147" t="str">
        <f t="shared" si="23"/>
        <v/>
      </c>
      <c r="S301" s="147" t="str">
        <f t="shared" si="24"/>
        <v/>
      </c>
      <c r="T301" s="147" t="str">
        <f t="shared" si="7"/>
        <v/>
      </c>
      <c r="U301" s="150" t="str">
        <f t="shared" si="8"/>
        <v/>
      </c>
      <c r="V301" s="151" t="str">
        <f>IFERROR(VLOOKUP(C301,Ativos!$A$1:$G2000,5,),)</f>
        <v/>
      </c>
    </row>
    <row r="302" ht="21.0" customHeight="1">
      <c r="A302" s="152"/>
      <c r="B302" s="160"/>
      <c r="C302" s="153"/>
      <c r="D302" s="154"/>
      <c r="E302" s="139"/>
      <c r="F302" s="139"/>
      <c r="G302" s="139"/>
      <c r="H302" s="135"/>
      <c r="I302" s="141"/>
      <c r="J302" s="147" t="str">
        <f>IFERROR(__xludf.DUMMYFUNCTION("IF(ISBLANK(A302),IFERROR(1/0),IF(COUNT(FILTER(F:F,A:A=A302))&gt;1,TRUNC(N302*F302/SUM(FILTER(N:N,A:A=A302)),3),F302))"),"")</f>
        <v/>
      </c>
      <c r="K302" s="147" t="str">
        <f>IFERROR(__xludf.DUMMYFUNCTION("IF(ISBLANK(A302),IFERROR(1/0),IF(COUNT(FILTER(G:G,((A:A=A302)*(B:B=""V""))))&gt;1,TRUNC(N302*G302/SUM(FILTER(N:N,((A:A=A302)*(B:B=""V"")))),3),G302))"),"")</f>
        <v/>
      </c>
      <c r="L302" s="148" t="str">
        <f>IFERROR(__xludf.DUMMYFUNCTION("if($C302="""","""",iferror(if(row()&lt;&gt;2,INDEX(arrayformula(filter($M$2:$M301,$C$2:$C301&lt;&gt;"""",row($C$2:$C301)=max(if($C$2:$C301=C302,row($C$2:$C301),0)))) ,1),0),0))"),"")</f>
        <v/>
      </c>
      <c r="M302" s="148" t="str">
        <f t="shared" si="1"/>
        <v/>
      </c>
      <c r="N302" s="147" t="str">
        <f t="shared" si="2"/>
        <v/>
      </c>
      <c r="O302" s="147" t="str">
        <f t="shared" si="21"/>
        <v/>
      </c>
      <c r="P302" s="147" t="str">
        <f>IFERROR(__xludf.DUMMYFUNCTION("if(C302="""","""",iferror(if(row()&lt;&gt;2,INDEX(arrayformula(filter($Q$2:$Q301,$C$2:$C301&lt;&gt;"""",row($C$2:$C301)=max(if($C$2:$C301=C302,row($C$2:$C301),0)))) ,1),0),0))"),"")</f>
        <v/>
      </c>
      <c r="Q302" s="147" t="str">
        <f t="shared" si="22"/>
        <v/>
      </c>
      <c r="R302" s="147" t="str">
        <f t="shared" si="23"/>
        <v/>
      </c>
      <c r="S302" s="147" t="str">
        <f t="shared" si="24"/>
        <v/>
      </c>
      <c r="T302" s="147" t="str">
        <f t="shared" si="7"/>
        <v/>
      </c>
      <c r="U302" s="150" t="str">
        <f t="shared" si="8"/>
        <v/>
      </c>
      <c r="V302" s="151" t="str">
        <f>IFERROR(VLOOKUP(C302,Ativos!$A$1:$G2000,5,),)</f>
        <v/>
      </c>
    </row>
    <row r="303" ht="21.0" customHeight="1">
      <c r="A303" s="152"/>
      <c r="B303" s="160"/>
      <c r="C303" s="153"/>
      <c r="D303" s="154"/>
      <c r="E303" s="139"/>
      <c r="F303" s="139"/>
      <c r="G303" s="139"/>
      <c r="H303" s="135"/>
      <c r="I303" s="141"/>
      <c r="J303" s="147" t="str">
        <f>IFERROR(__xludf.DUMMYFUNCTION("IF(ISBLANK(A303),IFERROR(1/0),IF(COUNT(FILTER(F:F,A:A=A303))&gt;1,TRUNC(N303*F303/SUM(FILTER(N:N,A:A=A303)),3),F303))"),"")</f>
        <v/>
      </c>
      <c r="K303" s="147" t="str">
        <f>IFERROR(__xludf.DUMMYFUNCTION("IF(ISBLANK(A303),IFERROR(1/0),IF(COUNT(FILTER(G:G,((A:A=A303)*(B:B=""V""))))&gt;1,TRUNC(N303*G303/SUM(FILTER(N:N,((A:A=A303)*(B:B=""V"")))),3),G303))"),"")</f>
        <v/>
      </c>
      <c r="L303" s="148" t="str">
        <f>IFERROR(__xludf.DUMMYFUNCTION("if($C303="""","""",iferror(if(row()&lt;&gt;2,INDEX(arrayformula(filter($M$2:$M302,$C$2:$C302&lt;&gt;"""",row($C$2:$C302)=max(if($C$2:$C302=C303,row($C$2:$C302),0)))) ,1),0),0))"),"")</f>
        <v/>
      </c>
      <c r="M303" s="148" t="str">
        <f t="shared" si="1"/>
        <v/>
      </c>
      <c r="N303" s="147" t="str">
        <f t="shared" si="2"/>
        <v/>
      </c>
      <c r="O303" s="147" t="str">
        <f t="shared" si="21"/>
        <v/>
      </c>
      <c r="P303" s="147" t="str">
        <f>IFERROR(__xludf.DUMMYFUNCTION("if(C303="""","""",iferror(if(row()&lt;&gt;2,INDEX(arrayformula(filter($Q$2:$Q302,$C$2:$C302&lt;&gt;"""",row($C$2:$C302)=max(if($C$2:$C302=C303,row($C$2:$C302),0)))) ,1),0),0))"),"")</f>
        <v/>
      </c>
      <c r="Q303" s="147" t="str">
        <f t="shared" si="22"/>
        <v/>
      </c>
      <c r="R303" s="147" t="str">
        <f t="shared" si="23"/>
        <v/>
      </c>
      <c r="S303" s="147" t="str">
        <f t="shared" si="24"/>
        <v/>
      </c>
      <c r="T303" s="147" t="str">
        <f t="shared" si="7"/>
        <v/>
      </c>
      <c r="U303" s="150" t="str">
        <f t="shared" si="8"/>
        <v/>
      </c>
      <c r="V303" s="151" t="str">
        <f>IFERROR(VLOOKUP(C303,Ativos!$A$1:$G2000,5,),)</f>
        <v/>
      </c>
    </row>
    <row r="304" ht="21.0" customHeight="1">
      <c r="A304" s="152"/>
      <c r="B304" s="160"/>
      <c r="C304" s="153"/>
      <c r="D304" s="154"/>
      <c r="E304" s="139"/>
      <c r="F304" s="139"/>
      <c r="G304" s="139"/>
      <c r="H304" s="135"/>
      <c r="I304" s="141"/>
      <c r="J304" s="147" t="str">
        <f>IFERROR(__xludf.DUMMYFUNCTION("IF(ISBLANK(A304),IFERROR(1/0),IF(COUNT(FILTER(F:F,A:A=A304))&gt;1,TRUNC(N304*F304/SUM(FILTER(N:N,A:A=A304)),3),F304))"),"")</f>
        <v/>
      </c>
      <c r="K304" s="147" t="str">
        <f>IFERROR(__xludf.DUMMYFUNCTION("IF(ISBLANK(A304),IFERROR(1/0),IF(COUNT(FILTER(G:G,((A:A=A304)*(B:B=""V""))))&gt;1,TRUNC(N304*G304/SUM(FILTER(N:N,((A:A=A304)*(B:B=""V"")))),3),G304))"),"")</f>
        <v/>
      </c>
      <c r="L304" s="148" t="str">
        <f>IFERROR(__xludf.DUMMYFUNCTION("if($C304="""","""",iferror(if(row()&lt;&gt;2,INDEX(arrayformula(filter($M$2:$M303,$C$2:$C303&lt;&gt;"""",row($C$2:$C303)=max(if($C$2:$C303=C304,row($C$2:$C303),0)))) ,1),0),0))"),"")</f>
        <v/>
      </c>
      <c r="M304" s="148" t="str">
        <f t="shared" si="1"/>
        <v/>
      </c>
      <c r="N304" s="147" t="str">
        <f t="shared" si="2"/>
        <v/>
      </c>
      <c r="O304" s="147" t="str">
        <f t="shared" si="21"/>
        <v/>
      </c>
      <c r="P304" s="147" t="str">
        <f>IFERROR(__xludf.DUMMYFUNCTION("if(C304="""","""",iferror(if(row()&lt;&gt;2,INDEX(arrayformula(filter($Q$2:$Q303,$C$2:$C303&lt;&gt;"""",row($C$2:$C303)=max(if($C$2:$C303=C304,row($C$2:$C303),0)))) ,1),0),0))"),"")</f>
        <v/>
      </c>
      <c r="Q304" s="147" t="str">
        <f t="shared" si="22"/>
        <v/>
      </c>
      <c r="R304" s="147" t="str">
        <f t="shared" si="23"/>
        <v/>
      </c>
      <c r="S304" s="147" t="str">
        <f t="shared" si="24"/>
        <v/>
      </c>
      <c r="T304" s="147" t="str">
        <f t="shared" si="7"/>
        <v/>
      </c>
      <c r="U304" s="150" t="str">
        <f t="shared" si="8"/>
        <v/>
      </c>
      <c r="V304" s="151" t="str">
        <f>IFERROR(VLOOKUP(C304,Ativos!$A$1:$G2000,5,),)</f>
        <v/>
      </c>
    </row>
    <row r="305" ht="21.0" customHeight="1">
      <c r="A305" s="152"/>
      <c r="B305" s="160"/>
      <c r="C305" s="153"/>
      <c r="D305" s="154"/>
      <c r="E305" s="139"/>
      <c r="F305" s="139"/>
      <c r="G305" s="139"/>
      <c r="H305" s="135"/>
      <c r="I305" s="141"/>
      <c r="J305" s="147" t="str">
        <f>IFERROR(__xludf.DUMMYFUNCTION("IF(ISBLANK(A305),IFERROR(1/0),IF(COUNT(FILTER(F:F,A:A=A305))&gt;1,TRUNC(N305*F305/SUM(FILTER(N:N,A:A=A305)),3),F305))"),"")</f>
        <v/>
      </c>
      <c r="K305" s="147" t="str">
        <f>IFERROR(__xludf.DUMMYFUNCTION("IF(ISBLANK(A305),IFERROR(1/0),IF(COUNT(FILTER(G:G,((A:A=A305)*(B:B=""V""))))&gt;1,TRUNC(N305*G305/SUM(FILTER(N:N,((A:A=A305)*(B:B=""V"")))),3),G305))"),"")</f>
        <v/>
      </c>
      <c r="L305" s="148" t="str">
        <f>IFERROR(__xludf.DUMMYFUNCTION("if($C305="""","""",iferror(if(row()&lt;&gt;2,INDEX(arrayformula(filter($M$2:$M304,$C$2:$C304&lt;&gt;"""",row($C$2:$C304)=max(if($C$2:$C304=C305,row($C$2:$C304),0)))) ,1),0),0))"),"")</f>
        <v/>
      </c>
      <c r="M305" s="148" t="str">
        <f t="shared" si="1"/>
        <v/>
      </c>
      <c r="N305" s="147" t="str">
        <f t="shared" si="2"/>
        <v/>
      </c>
      <c r="O305" s="147" t="str">
        <f t="shared" si="21"/>
        <v/>
      </c>
      <c r="P305" s="147" t="str">
        <f>IFERROR(__xludf.DUMMYFUNCTION("if(C305="""","""",iferror(if(row()&lt;&gt;2,INDEX(arrayformula(filter($Q$2:$Q304,$C$2:$C304&lt;&gt;"""",row($C$2:$C304)=max(if($C$2:$C304=C305,row($C$2:$C304),0)))) ,1),0),0))"),"")</f>
        <v/>
      </c>
      <c r="Q305" s="147" t="str">
        <f t="shared" si="22"/>
        <v/>
      </c>
      <c r="R305" s="147" t="str">
        <f t="shared" si="23"/>
        <v/>
      </c>
      <c r="S305" s="147" t="str">
        <f t="shared" si="24"/>
        <v/>
      </c>
      <c r="T305" s="147" t="str">
        <f t="shared" si="7"/>
        <v/>
      </c>
      <c r="U305" s="150" t="str">
        <f t="shared" si="8"/>
        <v/>
      </c>
      <c r="V305" s="151" t="str">
        <f>IFERROR(VLOOKUP(C305,Ativos!$A$1:$G2000,5,),)</f>
        <v/>
      </c>
    </row>
    <row r="306" ht="21.0" customHeight="1">
      <c r="A306" s="152"/>
      <c r="B306" s="160"/>
      <c r="C306" s="153"/>
      <c r="D306" s="154"/>
      <c r="E306" s="139"/>
      <c r="F306" s="139"/>
      <c r="G306" s="139"/>
      <c r="H306" s="135"/>
      <c r="I306" s="141"/>
      <c r="J306" s="147" t="str">
        <f>IFERROR(__xludf.DUMMYFUNCTION("IF(ISBLANK(A306),IFERROR(1/0),IF(COUNT(FILTER(F:F,A:A=A306))&gt;1,TRUNC(N306*F306/SUM(FILTER(N:N,A:A=A306)),3),F306))"),"")</f>
        <v/>
      </c>
      <c r="K306" s="147" t="str">
        <f>IFERROR(__xludf.DUMMYFUNCTION("IF(ISBLANK(A306),IFERROR(1/0),IF(COUNT(FILTER(G:G,((A:A=A306)*(B:B=""V""))))&gt;1,TRUNC(N306*G306/SUM(FILTER(N:N,((A:A=A306)*(B:B=""V"")))),3),G306))"),"")</f>
        <v/>
      </c>
      <c r="L306" s="148" t="str">
        <f>IFERROR(__xludf.DUMMYFUNCTION("if($C306="""","""",iferror(if(row()&lt;&gt;2,INDEX(arrayformula(filter($M$2:$M305,$C$2:$C305&lt;&gt;"""",row($C$2:$C305)=max(if($C$2:$C305=C306,row($C$2:$C305),0)))) ,1),0),0))"),"")</f>
        <v/>
      </c>
      <c r="M306" s="148" t="str">
        <f t="shared" si="1"/>
        <v/>
      </c>
      <c r="N306" s="147" t="str">
        <f t="shared" si="2"/>
        <v/>
      </c>
      <c r="O306" s="147" t="str">
        <f t="shared" si="21"/>
        <v/>
      </c>
      <c r="P306" s="147" t="str">
        <f>IFERROR(__xludf.DUMMYFUNCTION("if(C306="""","""",iferror(if(row()&lt;&gt;2,INDEX(arrayformula(filter($Q$2:$Q305,$C$2:$C305&lt;&gt;"""",row($C$2:$C305)=max(if($C$2:$C305=C306,row($C$2:$C305),0)))) ,1),0),0))"),"")</f>
        <v/>
      </c>
      <c r="Q306" s="147" t="str">
        <f t="shared" si="22"/>
        <v/>
      </c>
      <c r="R306" s="147" t="str">
        <f t="shared" si="23"/>
        <v/>
      </c>
      <c r="S306" s="147" t="str">
        <f t="shared" si="24"/>
        <v/>
      </c>
      <c r="T306" s="147" t="str">
        <f t="shared" si="7"/>
        <v/>
      </c>
      <c r="U306" s="150" t="str">
        <f t="shared" si="8"/>
        <v/>
      </c>
      <c r="V306" s="151" t="str">
        <f>IFERROR(VLOOKUP(C306,Ativos!$A$1:$G2000,5,),)</f>
        <v/>
      </c>
    </row>
    <row r="307" ht="21.0" customHeight="1">
      <c r="A307" s="152"/>
      <c r="B307" s="160"/>
      <c r="C307" s="153"/>
      <c r="D307" s="154"/>
      <c r="E307" s="139"/>
      <c r="F307" s="139"/>
      <c r="G307" s="139"/>
      <c r="H307" s="135"/>
      <c r="I307" s="141"/>
      <c r="J307" s="147" t="str">
        <f>IFERROR(__xludf.DUMMYFUNCTION("IF(ISBLANK(A307),IFERROR(1/0),IF(COUNT(FILTER(F:F,A:A=A307))&gt;1,TRUNC(N307*F307/SUM(FILTER(N:N,A:A=A307)),3),F307))"),"")</f>
        <v/>
      </c>
      <c r="K307" s="147" t="str">
        <f>IFERROR(__xludf.DUMMYFUNCTION("IF(ISBLANK(A307),IFERROR(1/0),IF(COUNT(FILTER(G:G,((A:A=A307)*(B:B=""V""))))&gt;1,TRUNC(N307*G307/SUM(FILTER(N:N,((A:A=A307)*(B:B=""V"")))),3),G307))"),"")</f>
        <v/>
      </c>
      <c r="L307" s="148" t="str">
        <f>IFERROR(__xludf.DUMMYFUNCTION("if($C307="""","""",iferror(if(row()&lt;&gt;2,INDEX(arrayformula(filter($M$2:$M306,$C$2:$C306&lt;&gt;"""",row($C$2:$C306)=max(if($C$2:$C306=C307,row($C$2:$C306),0)))) ,1),0),0))"),"")</f>
        <v/>
      </c>
      <c r="M307" s="148" t="str">
        <f t="shared" si="1"/>
        <v/>
      </c>
      <c r="N307" s="147" t="str">
        <f t="shared" si="2"/>
        <v/>
      </c>
      <c r="O307" s="147" t="str">
        <f t="shared" si="21"/>
        <v/>
      </c>
      <c r="P307" s="147" t="str">
        <f>IFERROR(__xludf.DUMMYFUNCTION("if(C307="""","""",iferror(if(row()&lt;&gt;2,INDEX(arrayformula(filter($Q$2:$Q306,$C$2:$C306&lt;&gt;"""",row($C$2:$C306)=max(if($C$2:$C306=C307,row($C$2:$C306),0)))) ,1),0),0))"),"")</f>
        <v/>
      </c>
      <c r="Q307" s="147" t="str">
        <f t="shared" si="22"/>
        <v/>
      </c>
      <c r="R307" s="147" t="str">
        <f t="shared" si="23"/>
        <v/>
      </c>
      <c r="S307" s="147" t="str">
        <f t="shared" si="24"/>
        <v/>
      </c>
      <c r="T307" s="147" t="str">
        <f t="shared" si="7"/>
        <v/>
      </c>
      <c r="U307" s="150" t="str">
        <f t="shared" si="8"/>
        <v/>
      </c>
      <c r="V307" s="151" t="str">
        <f>IFERROR(VLOOKUP(C307,Ativos!$A$1:$G2000,5,),)</f>
        <v/>
      </c>
    </row>
    <row r="308" ht="21.0" customHeight="1">
      <c r="A308" s="152"/>
      <c r="B308" s="160"/>
      <c r="C308" s="153"/>
      <c r="D308" s="154"/>
      <c r="E308" s="139"/>
      <c r="F308" s="139"/>
      <c r="G308" s="139"/>
      <c r="H308" s="135"/>
      <c r="I308" s="141"/>
      <c r="J308" s="147" t="str">
        <f>IFERROR(__xludf.DUMMYFUNCTION("IF(ISBLANK(A308),IFERROR(1/0),IF(COUNT(FILTER(F:F,A:A=A308))&gt;1,TRUNC(N308*F308/SUM(FILTER(N:N,A:A=A308)),3),F308))"),"")</f>
        <v/>
      </c>
      <c r="K308" s="147" t="str">
        <f>IFERROR(__xludf.DUMMYFUNCTION("IF(ISBLANK(A308),IFERROR(1/0),IF(COUNT(FILTER(G:G,((A:A=A308)*(B:B=""V""))))&gt;1,TRUNC(N308*G308/SUM(FILTER(N:N,((A:A=A308)*(B:B=""V"")))),3),G308))"),"")</f>
        <v/>
      </c>
      <c r="L308" s="148" t="str">
        <f>IFERROR(__xludf.DUMMYFUNCTION("if($C308="""","""",iferror(if(row()&lt;&gt;2,INDEX(arrayformula(filter($M$2:$M307,$C$2:$C307&lt;&gt;"""",row($C$2:$C307)=max(if($C$2:$C307=C308,row($C$2:$C307),0)))) ,1),0),0))"),"")</f>
        <v/>
      </c>
      <c r="M308" s="148" t="str">
        <f t="shared" si="1"/>
        <v/>
      </c>
      <c r="N308" s="147" t="str">
        <f t="shared" si="2"/>
        <v/>
      </c>
      <c r="O308" s="147" t="str">
        <f t="shared" si="21"/>
        <v/>
      </c>
      <c r="P308" s="147" t="str">
        <f>IFERROR(__xludf.DUMMYFUNCTION("if(C308="""","""",iferror(if(row()&lt;&gt;2,INDEX(arrayformula(filter($Q$2:$Q307,$C$2:$C307&lt;&gt;"""",row($C$2:$C307)=max(if($C$2:$C307=C308,row($C$2:$C307),0)))) ,1),0),0))"),"")</f>
        <v/>
      </c>
      <c r="Q308" s="147" t="str">
        <f t="shared" si="22"/>
        <v/>
      </c>
      <c r="R308" s="147" t="str">
        <f t="shared" si="23"/>
        <v/>
      </c>
      <c r="S308" s="147" t="str">
        <f t="shared" si="24"/>
        <v/>
      </c>
      <c r="T308" s="147" t="str">
        <f t="shared" si="7"/>
        <v/>
      </c>
      <c r="U308" s="150" t="str">
        <f t="shared" si="8"/>
        <v/>
      </c>
      <c r="V308" s="151" t="str">
        <f>IFERROR(VLOOKUP(C308,Ativos!$A$1:$G2000,5,),)</f>
        <v/>
      </c>
    </row>
    <row r="309" ht="21.0" customHeight="1">
      <c r="A309" s="152"/>
      <c r="B309" s="160"/>
      <c r="C309" s="153"/>
      <c r="D309" s="154"/>
      <c r="E309" s="139"/>
      <c r="F309" s="139"/>
      <c r="G309" s="139"/>
      <c r="H309" s="135"/>
      <c r="I309" s="141"/>
      <c r="J309" s="147" t="str">
        <f>IFERROR(__xludf.DUMMYFUNCTION("IF(ISBLANK(A309),IFERROR(1/0),IF(COUNT(FILTER(F:F,A:A=A309))&gt;1,TRUNC(N309*F309/SUM(FILTER(N:N,A:A=A309)),3),F309))"),"")</f>
        <v/>
      </c>
      <c r="K309" s="147" t="str">
        <f>IFERROR(__xludf.DUMMYFUNCTION("IF(ISBLANK(A309),IFERROR(1/0),IF(COUNT(FILTER(G:G,((A:A=A309)*(B:B=""V""))))&gt;1,TRUNC(N309*G309/SUM(FILTER(N:N,((A:A=A309)*(B:B=""V"")))),3),G309))"),"")</f>
        <v/>
      </c>
      <c r="L309" s="148" t="str">
        <f>IFERROR(__xludf.DUMMYFUNCTION("if($C309="""","""",iferror(if(row()&lt;&gt;2,INDEX(arrayformula(filter($M$2:$M308,$C$2:$C308&lt;&gt;"""",row($C$2:$C308)=max(if($C$2:$C308=C309,row($C$2:$C308),0)))) ,1),0),0))"),"")</f>
        <v/>
      </c>
      <c r="M309" s="148" t="str">
        <f t="shared" si="1"/>
        <v/>
      </c>
      <c r="N309" s="147" t="str">
        <f t="shared" si="2"/>
        <v/>
      </c>
      <c r="O309" s="147" t="str">
        <f t="shared" si="21"/>
        <v/>
      </c>
      <c r="P309" s="147" t="str">
        <f>IFERROR(__xludf.DUMMYFUNCTION("if(C309="""","""",iferror(if(row()&lt;&gt;2,INDEX(arrayformula(filter($Q$2:$Q308,$C$2:$C308&lt;&gt;"""",row($C$2:$C308)=max(if($C$2:$C308=C309,row($C$2:$C308),0)))) ,1),0),0))"),"")</f>
        <v/>
      </c>
      <c r="Q309" s="147" t="str">
        <f t="shared" si="22"/>
        <v/>
      </c>
      <c r="R309" s="147" t="str">
        <f t="shared" si="23"/>
        <v/>
      </c>
      <c r="S309" s="147" t="str">
        <f t="shared" si="24"/>
        <v/>
      </c>
      <c r="T309" s="147" t="str">
        <f t="shared" si="7"/>
        <v/>
      </c>
      <c r="U309" s="150" t="str">
        <f t="shared" si="8"/>
        <v/>
      </c>
      <c r="V309" s="151" t="str">
        <f>IFERROR(VLOOKUP(C309,Ativos!$A$1:$G2000,5,),)</f>
        <v/>
      </c>
    </row>
    <row r="310" ht="21.0" customHeight="1">
      <c r="A310" s="152"/>
      <c r="B310" s="160"/>
      <c r="C310" s="153"/>
      <c r="D310" s="154"/>
      <c r="E310" s="139"/>
      <c r="F310" s="139"/>
      <c r="G310" s="139"/>
      <c r="H310" s="135"/>
      <c r="I310" s="141"/>
      <c r="J310" s="147" t="str">
        <f>IFERROR(__xludf.DUMMYFUNCTION("IF(ISBLANK(A310),IFERROR(1/0),IF(COUNT(FILTER(F:F,A:A=A310))&gt;1,TRUNC(N310*F310/SUM(FILTER(N:N,A:A=A310)),3),F310))"),"")</f>
        <v/>
      </c>
      <c r="K310" s="147" t="str">
        <f>IFERROR(__xludf.DUMMYFUNCTION("IF(ISBLANK(A310),IFERROR(1/0),IF(COUNT(FILTER(G:G,((A:A=A310)*(B:B=""V""))))&gt;1,TRUNC(N310*G310/SUM(FILTER(N:N,((A:A=A310)*(B:B=""V"")))),3),G310))"),"")</f>
        <v/>
      </c>
      <c r="L310" s="148" t="str">
        <f>IFERROR(__xludf.DUMMYFUNCTION("if($C310="""","""",iferror(if(row()&lt;&gt;2,INDEX(arrayformula(filter($M$2:$M309,$C$2:$C309&lt;&gt;"""",row($C$2:$C309)=max(if($C$2:$C309=C310,row($C$2:$C309),0)))) ,1),0),0))"),"")</f>
        <v/>
      </c>
      <c r="M310" s="148" t="str">
        <f t="shared" si="1"/>
        <v/>
      </c>
      <c r="N310" s="147" t="str">
        <f t="shared" si="2"/>
        <v/>
      </c>
      <c r="O310" s="147" t="str">
        <f t="shared" si="21"/>
        <v/>
      </c>
      <c r="P310" s="147" t="str">
        <f>IFERROR(__xludf.DUMMYFUNCTION("if(C310="""","""",iferror(if(row()&lt;&gt;2,INDEX(arrayformula(filter($Q$2:$Q309,$C$2:$C309&lt;&gt;"""",row($C$2:$C309)=max(if($C$2:$C309=C310,row($C$2:$C309),0)))) ,1),0),0))"),"")</f>
        <v/>
      </c>
      <c r="Q310" s="147" t="str">
        <f t="shared" si="22"/>
        <v/>
      </c>
      <c r="R310" s="147" t="str">
        <f t="shared" si="23"/>
        <v/>
      </c>
      <c r="S310" s="147" t="str">
        <f t="shared" si="24"/>
        <v/>
      </c>
      <c r="T310" s="147" t="str">
        <f t="shared" si="7"/>
        <v/>
      </c>
      <c r="U310" s="150" t="str">
        <f t="shared" si="8"/>
        <v/>
      </c>
      <c r="V310" s="151" t="str">
        <f>IFERROR(VLOOKUP(C310,Ativos!$A$1:$G2000,5,),)</f>
        <v/>
      </c>
    </row>
    <row r="311" ht="21.0" customHeight="1">
      <c r="A311" s="152"/>
      <c r="B311" s="160"/>
      <c r="C311" s="153"/>
      <c r="D311" s="154"/>
      <c r="E311" s="139"/>
      <c r="F311" s="139"/>
      <c r="G311" s="139"/>
      <c r="H311" s="135"/>
      <c r="I311" s="141"/>
      <c r="J311" s="147" t="str">
        <f>IFERROR(__xludf.DUMMYFUNCTION("IF(ISBLANK(A311),IFERROR(1/0),IF(COUNT(FILTER(F:F,A:A=A311))&gt;1,TRUNC(N311*F311/SUM(FILTER(N:N,A:A=A311)),3),F311))"),"")</f>
        <v/>
      </c>
      <c r="K311" s="147" t="str">
        <f>IFERROR(__xludf.DUMMYFUNCTION("IF(ISBLANK(A311),IFERROR(1/0),IF(COUNT(FILTER(G:G,((A:A=A311)*(B:B=""V""))))&gt;1,TRUNC(N311*G311/SUM(FILTER(N:N,((A:A=A311)*(B:B=""V"")))),3),G311))"),"")</f>
        <v/>
      </c>
      <c r="L311" s="148" t="str">
        <f>IFERROR(__xludf.DUMMYFUNCTION("if($C311="""","""",iferror(if(row()&lt;&gt;2,INDEX(arrayformula(filter($M$2:$M310,$C$2:$C310&lt;&gt;"""",row($C$2:$C310)=max(if($C$2:$C310=C311,row($C$2:$C310),0)))) ,1),0),0))"),"")</f>
        <v/>
      </c>
      <c r="M311" s="148" t="str">
        <f t="shared" si="1"/>
        <v/>
      </c>
      <c r="N311" s="147" t="str">
        <f t="shared" si="2"/>
        <v/>
      </c>
      <c r="O311" s="147" t="str">
        <f t="shared" si="21"/>
        <v/>
      </c>
      <c r="P311" s="147" t="str">
        <f>IFERROR(__xludf.DUMMYFUNCTION("if(C311="""","""",iferror(if(row()&lt;&gt;2,INDEX(arrayformula(filter($Q$2:$Q310,$C$2:$C310&lt;&gt;"""",row($C$2:$C310)=max(if($C$2:$C310=C311,row($C$2:$C310),0)))) ,1),0),0))"),"")</f>
        <v/>
      </c>
      <c r="Q311" s="147" t="str">
        <f t="shared" si="22"/>
        <v/>
      </c>
      <c r="R311" s="147" t="str">
        <f t="shared" si="23"/>
        <v/>
      </c>
      <c r="S311" s="147" t="str">
        <f t="shared" si="24"/>
        <v/>
      </c>
      <c r="T311" s="147" t="str">
        <f t="shared" si="7"/>
        <v/>
      </c>
      <c r="U311" s="150" t="str">
        <f t="shared" si="8"/>
        <v/>
      </c>
      <c r="V311" s="151" t="str">
        <f>IFERROR(VLOOKUP(C311,Ativos!$A$1:$G2000,5,),)</f>
        <v/>
      </c>
    </row>
    <row r="312" ht="21.0" customHeight="1">
      <c r="A312" s="152"/>
      <c r="B312" s="160"/>
      <c r="C312" s="153"/>
      <c r="D312" s="154"/>
      <c r="E312" s="139"/>
      <c r="F312" s="139"/>
      <c r="G312" s="139"/>
      <c r="H312" s="135"/>
      <c r="I312" s="141"/>
      <c r="J312" s="147" t="str">
        <f>IFERROR(__xludf.DUMMYFUNCTION("IF(ISBLANK(A312),IFERROR(1/0),IF(COUNT(FILTER(F:F,A:A=A312))&gt;1,TRUNC(N312*F312/SUM(FILTER(N:N,A:A=A312)),3),F312))"),"")</f>
        <v/>
      </c>
      <c r="K312" s="147" t="str">
        <f>IFERROR(__xludf.DUMMYFUNCTION("IF(ISBLANK(A312),IFERROR(1/0),IF(COUNT(FILTER(G:G,((A:A=A312)*(B:B=""V""))))&gt;1,TRUNC(N312*G312/SUM(FILTER(N:N,((A:A=A312)*(B:B=""V"")))),3),G312))"),"")</f>
        <v/>
      </c>
      <c r="L312" s="148" t="str">
        <f>IFERROR(__xludf.DUMMYFUNCTION("if($C312="""","""",iferror(if(row()&lt;&gt;2,INDEX(arrayformula(filter($M$2:$M311,$C$2:$C311&lt;&gt;"""",row($C$2:$C311)=max(if($C$2:$C311=C312,row($C$2:$C311),0)))) ,1),0),0))"),"")</f>
        <v/>
      </c>
      <c r="M312" s="148" t="str">
        <f t="shared" si="1"/>
        <v/>
      </c>
      <c r="N312" s="147" t="str">
        <f t="shared" si="2"/>
        <v/>
      </c>
      <c r="O312" s="147" t="str">
        <f t="shared" si="21"/>
        <v/>
      </c>
      <c r="P312" s="147" t="str">
        <f>IFERROR(__xludf.DUMMYFUNCTION("if(C312="""","""",iferror(if(row()&lt;&gt;2,INDEX(arrayformula(filter($Q$2:$Q311,$C$2:$C311&lt;&gt;"""",row($C$2:$C311)=max(if($C$2:$C311=C312,row($C$2:$C311),0)))) ,1),0),0))"),"")</f>
        <v/>
      </c>
      <c r="Q312" s="147" t="str">
        <f t="shared" si="22"/>
        <v/>
      </c>
      <c r="R312" s="147" t="str">
        <f t="shared" si="23"/>
        <v/>
      </c>
      <c r="S312" s="147" t="str">
        <f t="shared" si="24"/>
        <v/>
      </c>
      <c r="T312" s="147" t="str">
        <f t="shared" si="7"/>
        <v/>
      </c>
      <c r="U312" s="150" t="str">
        <f t="shared" si="8"/>
        <v/>
      </c>
      <c r="V312" s="151" t="str">
        <f>IFERROR(VLOOKUP(C312,Ativos!$A$1:$G2000,5,),)</f>
        <v/>
      </c>
    </row>
    <row r="313" ht="21.0" customHeight="1">
      <c r="A313" s="152"/>
      <c r="B313" s="160"/>
      <c r="C313" s="153"/>
      <c r="D313" s="154"/>
      <c r="E313" s="139"/>
      <c r="F313" s="139"/>
      <c r="G313" s="139"/>
      <c r="H313" s="135"/>
      <c r="I313" s="141"/>
      <c r="J313" s="147" t="str">
        <f>IFERROR(__xludf.DUMMYFUNCTION("IF(ISBLANK(A313),IFERROR(1/0),IF(COUNT(FILTER(F:F,A:A=A313))&gt;1,TRUNC(N313*F313/SUM(FILTER(N:N,A:A=A313)),3),F313))"),"")</f>
        <v/>
      </c>
      <c r="K313" s="147" t="str">
        <f>IFERROR(__xludf.DUMMYFUNCTION("IF(ISBLANK(A313),IFERROR(1/0),IF(COUNT(FILTER(G:G,((A:A=A313)*(B:B=""V""))))&gt;1,TRUNC(N313*G313/SUM(FILTER(N:N,((A:A=A313)*(B:B=""V"")))),3),G313))"),"")</f>
        <v/>
      </c>
      <c r="L313" s="148" t="str">
        <f>IFERROR(__xludf.DUMMYFUNCTION("if($C313="""","""",iferror(if(row()&lt;&gt;2,INDEX(arrayformula(filter($M$2:$M312,$C$2:$C312&lt;&gt;"""",row($C$2:$C312)=max(if($C$2:$C312=C313,row($C$2:$C312),0)))) ,1),0),0))"),"")</f>
        <v/>
      </c>
      <c r="M313" s="148" t="str">
        <f t="shared" si="1"/>
        <v/>
      </c>
      <c r="N313" s="147" t="str">
        <f t="shared" si="2"/>
        <v/>
      </c>
      <c r="O313" s="147" t="str">
        <f t="shared" si="21"/>
        <v/>
      </c>
      <c r="P313" s="147" t="str">
        <f>IFERROR(__xludf.DUMMYFUNCTION("if(C313="""","""",iferror(if(row()&lt;&gt;2,INDEX(arrayformula(filter($Q$2:$Q312,$C$2:$C312&lt;&gt;"""",row($C$2:$C312)=max(if($C$2:$C312=C313,row($C$2:$C312),0)))) ,1),0),0))"),"")</f>
        <v/>
      </c>
      <c r="Q313" s="147" t="str">
        <f t="shared" si="22"/>
        <v/>
      </c>
      <c r="R313" s="147" t="str">
        <f t="shared" si="23"/>
        <v/>
      </c>
      <c r="S313" s="147" t="str">
        <f t="shared" si="24"/>
        <v/>
      </c>
      <c r="T313" s="147" t="str">
        <f t="shared" si="7"/>
        <v/>
      </c>
      <c r="U313" s="150" t="str">
        <f t="shared" si="8"/>
        <v/>
      </c>
      <c r="V313" s="151" t="str">
        <f>IFERROR(VLOOKUP(C313,Ativos!$A$1:$G2000,5,),)</f>
        <v/>
      </c>
    </row>
    <row r="314" ht="21.0" customHeight="1">
      <c r="A314" s="152"/>
      <c r="B314" s="160"/>
      <c r="C314" s="153"/>
      <c r="D314" s="154"/>
      <c r="E314" s="139"/>
      <c r="F314" s="139"/>
      <c r="G314" s="139"/>
      <c r="H314" s="135"/>
      <c r="I314" s="141"/>
      <c r="J314" s="147" t="str">
        <f>IFERROR(__xludf.DUMMYFUNCTION("IF(ISBLANK(A314),IFERROR(1/0),IF(COUNT(FILTER(F:F,A:A=A314))&gt;1,TRUNC(N314*F314/SUM(FILTER(N:N,A:A=A314)),3),F314))"),"")</f>
        <v/>
      </c>
      <c r="K314" s="147" t="str">
        <f>IFERROR(__xludf.DUMMYFUNCTION("IF(ISBLANK(A314),IFERROR(1/0),IF(COUNT(FILTER(G:G,((A:A=A314)*(B:B=""V""))))&gt;1,TRUNC(N314*G314/SUM(FILTER(N:N,((A:A=A314)*(B:B=""V"")))),3),G314))"),"")</f>
        <v/>
      </c>
      <c r="L314" s="148" t="str">
        <f>IFERROR(__xludf.DUMMYFUNCTION("if($C314="""","""",iferror(if(row()&lt;&gt;2,INDEX(arrayformula(filter($M$2:$M313,$C$2:$C313&lt;&gt;"""",row($C$2:$C313)=max(if($C$2:$C313=C314,row($C$2:$C313),0)))) ,1),0),0))"),"")</f>
        <v/>
      </c>
      <c r="M314" s="148" t="str">
        <f t="shared" si="1"/>
        <v/>
      </c>
      <c r="N314" s="147" t="str">
        <f t="shared" si="2"/>
        <v/>
      </c>
      <c r="O314" s="147" t="str">
        <f t="shared" si="21"/>
        <v/>
      </c>
      <c r="P314" s="147" t="str">
        <f>IFERROR(__xludf.DUMMYFUNCTION("if(C314="""","""",iferror(if(row()&lt;&gt;2,INDEX(arrayformula(filter($Q$2:$Q313,$C$2:$C313&lt;&gt;"""",row($C$2:$C313)=max(if($C$2:$C313=C314,row($C$2:$C313),0)))) ,1),0),0))"),"")</f>
        <v/>
      </c>
      <c r="Q314" s="147" t="str">
        <f t="shared" si="22"/>
        <v/>
      </c>
      <c r="R314" s="147" t="str">
        <f t="shared" si="23"/>
        <v/>
      </c>
      <c r="S314" s="147" t="str">
        <f t="shared" si="24"/>
        <v/>
      </c>
      <c r="T314" s="147" t="str">
        <f t="shared" si="7"/>
        <v/>
      </c>
      <c r="U314" s="150" t="str">
        <f t="shared" si="8"/>
        <v/>
      </c>
      <c r="V314" s="151" t="str">
        <f>IFERROR(VLOOKUP(C314,Ativos!$A$1:$G2000,5,),)</f>
        <v/>
      </c>
    </row>
    <row r="315" ht="21.0" customHeight="1">
      <c r="A315" s="152"/>
      <c r="B315" s="160"/>
      <c r="C315" s="153"/>
      <c r="D315" s="154"/>
      <c r="E315" s="139"/>
      <c r="F315" s="139"/>
      <c r="G315" s="139"/>
      <c r="H315" s="135"/>
      <c r="I315" s="141"/>
      <c r="J315" s="147" t="str">
        <f>IFERROR(__xludf.DUMMYFUNCTION("IF(ISBLANK(A315),IFERROR(1/0),IF(COUNT(FILTER(F:F,A:A=A315))&gt;1,TRUNC(N315*F315/SUM(FILTER(N:N,A:A=A315)),3),F315))"),"")</f>
        <v/>
      </c>
      <c r="K315" s="147" t="str">
        <f>IFERROR(__xludf.DUMMYFUNCTION("IF(ISBLANK(A315),IFERROR(1/0),IF(COUNT(FILTER(G:G,((A:A=A315)*(B:B=""V""))))&gt;1,TRUNC(N315*G315/SUM(FILTER(N:N,((A:A=A315)*(B:B=""V"")))),3),G315))"),"")</f>
        <v/>
      </c>
      <c r="L315" s="148" t="str">
        <f>IFERROR(__xludf.DUMMYFUNCTION("if($C315="""","""",iferror(if(row()&lt;&gt;2,INDEX(arrayformula(filter($M$2:$M314,$C$2:$C314&lt;&gt;"""",row($C$2:$C314)=max(if($C$2:$C314=C315,row($C$2:$C314),0)))) ,1),0),0))"),"")</f>
        <v/>
      </c>
      <c r="M315" s="148" t="str">
        <f t="shared" si="1"/>
        <v/>
      </c>
      <c r="N315" s="147" t="str">
        <f t="shared" si="2"/>
        <v/>
      </c>
      <c r="O315" s="147" t="str">
        <f t="shared" si="21"/>
        <v/>
      </c>
      <c r="P315" s="147" t="str">
        <f>IFERROR(__xludf.DUMMYFUNCTION("if(C315="""","""",iferror(if(row()&lt;&gt;2,INDEX(arrayformula(filter($Q$2:$Q314,$C$2:$C314&lt;&gt;"""",row($C$2:$C314)=max(if($C$2:$C314=C315,row($C$2:$C314),0)))) ,1),0),0))"),"")</f>
        <v/>
      </c>
      <c r="Q315" s="147" t="str">
        <f t="shared" si="22"/>
        <v/>
      </c>
      <c r="R315" s="147" t="str">
        <f t="shared" si="23"/>
        <v/>
      </c>
      <c r="S315" s="147" t="str">
        <f t="shared" si="24"/>
        <v/>
      </c>
      <c r="T315" s="147" t="str">
        <f t="shared" si="7"/>
        <v/>
      </c>
      <c r="U315" s="150" t="str">
        <f t="shared" si="8"/>
        <v/>
      </c>
      <c r="V315" s="151" t="str">
        <f>IFERROR(VLOOKUP(C315,Ativos!$A$1:$G2000,5,),)</f>
        <v/>
      </c>
    </row>
    <row r="316" ht="21.0" customHeight="1">
      <c r="A316" s="152"/>
      <c r="B316" s="160"/>
      <c r="C316" s="153"/>
      <c r="D316" s="154"/>
      <c r="E316" s="139"/>
      <c r="F316" s="139"/>
      <c r="G316" s="139"/>
      <c r="H316" s="135"/>
      <c r="I316" s="141"/>
      <c r="J316" s="147" t="str">
        <f>IFERROR(__xludf.DUMMYFUNCTION("IF(ISBLANK(A316),IFERROR(1/0),IF(COUNT(FILTER(F:F,A:A=A316))&gt;1,TRUNC(N316*F316/SUM(FILTER(N:N,A:A=A316)),3),F316))"),"")</f>
        <v/>
      </c>
      <c r="K316" s="147" t="str">
        <f>IFERROR(__xludf.DUMMYFUNCTION("IF(ISBLANK(A316),IFERROR(1/0),IF(COUNT(FILTER(G:G,((A:A=A316)*(B:B=""V""))))&gt;1,TRUNC(N316*G316/SUM(FILTER(N:N,((A:A=A316)*(B:B=""V"")))),3),G316))"),"")</f>
        <v/>
      </c>
      <c r="L316" s="148" t="str">
        <f>IFERROR(__xludf.DUMMYFUNCTION("if($C316="""","""",iferror(if(row()&lt;&gt;2,INDEX(arrayformula(filter($M$2:$M315,$C$2:$C315&lt;&gt;"""",row($C$2:$C315)=max(if($C$2:$C315=C316,row($C$2:$C315),0)))) ,1),0),0))"),"")</f>
        <v/>
      </c>
      <c r="M316" s="148" t="str">
        <f t="shared" si="1"/>
        <v/>
      </c>
      <c r="N316" s="147" t="str">
        <f t="shared" si="2"/>
        <v/>
      </c>
      <c r="O316" s="147" t="str">
        <f t="shared" si="21"/>
        <v/>
      </c>
      <c r="P316" s="147" t="str">
        <f>IFERROR(__xludf.DUMMYFUNCTION("if(C316="""","""",iferror(if(row()&lt;&gt;2,INDEX(arrayformula(filter($Q$2:$Q315,$C$2:$C315&lt;&gt;"""",row($C$2:$C315)=max(if($C$2:$C315=C316,row($C$2:$C315),0)))) ,1),0),0))"),"")</f>
        <v/>
      </c>
      <c r="Q316" s="147" t="str">
        <f t="shared" si="22"/>
        <v/>
      </c>
      <c r="R316" s="147" t="str">
        <f t="shared" si="23"/>
        <v/>
      </c>
      <c r="S316" s="147" t="str">
        <f t="shared" si="24"/>
        <v/>
      </c>
      <c r="T316" s="147" t="str">
        <f t="shared" si="7"/>
        <v/>
      </c>
      <c r="U316" s="150" t="str">
        <f t="shared" si="8"/>
        <v/>
      </c>
      <c r="V316" s="151" t="str">
        <f>IFERROR(VLOOKUP(C316,Ativos!$A$1:$G2000,5,),)</f>
        <v/>
      </c>
    </row>
    <row r="317" ht="21.0" customHeight="1">
      <c r="A317" s="152"/>
      <c r="B317" s="160"/>
      <c r="C317" s="153"/>
      <c r="D317" s="154"/>
      <c r="E317" s="139"/>
      <c r="F317" s="139"/>
      <c r="G317" s="139"/>
      <c r="H317" s="135"/>
      <c r="I317" s="141"/>
      <c r="J317" s="147" t="str">
        <f>IFERROR(__xludf.DUMMYFUNCTION("IF(ISBLANK(A317),IFERROR(1/0),IF(COUNT(FILTER(F:F,A:A=A317))&gt;1,TRUNC(N317*F317/SUM(FILTER(N:N,A:A=A317)),3),F317))"),"")</f>
        <v/>
      </c>
      <c r="K317" s="147" t="str">
        <f>IFERROR(__xludf.DUMMYFUNCTION("IF(ISBLANK(A317),IFERROR(1/0),IF(COUNT(FILTER(G:G,((A:A=A317)*(B:B=""V""))))&gt;1,TRUNC(N317*G317/SUM(FILTER(N:N,((A:A=A317)*(B:B=""V"")))),3),G317))"),"")</f>
        <v/>
      </c>
      <c r="L317" s="148" t="str">
        <f>IFERROR(__xludf.DUMMYFUNCTION("if($C317="""","""",iferror(if(row()&lt;&gt;2,INDEX(arrayformula(filter($M$2:$M316,$C$2:$C316&lt;&gt;"""",row($C$2:$C316)=max(if($C$2:$C316=C317,row($C$2:$C316),0)))) ,1),0),0))"),"")</f>
        <v/>
      </c>
      <c r="M317" s="148" t="str">
        <f t="shared" si="1"/>
        <v/>
      </c>
      <c r="N317" s="147" t="str">
        <f t="shared" si="2"/>
        <v/>
      </c>
      <c r="O317" s="147" t="str">
        <f t="shared" si="21"/>
        <v/>
      </c>
      <c r="P317" s="147" t="str">
        <f>IFERROR(__xludf.DUMMYFUNCTION("if(C317="""","""",iferror(if(row()&lt;&gt;2,INDEX(arrayformula(filter($Q$2:$Q316,$C$2:$C316&lt;&gt;"""",row($C$2:$C316)=max(if($C$2:$C316=C317,row($C$2:$C316),0)))) ,1),0),0))"),"")</f>
        <v/>
      </c>
      <c r="Q317" s="147" t="str">
        <f t="shared" si="22"/>
        <v/>
      </c>
      <c r="R317" s="147" t="str">
        <f t="shared" si="23"/>
        <v/>
      </c>
      <c r="S317" s="147" t="str">
        <f t="shared" si="24"/>
        <v/>
      </c>
      <c r="T317" s="147" t="str">
        <f t="shared" si="7"/>
        <v/>
      </c>
      <c r="U317" s="150" t="str">
        <f t="shared" si="8"/>
        <v/>
      </c>
      <c r="V317" s="151" t="str">
        <f>IFERROR(VLOOKUP(C317,Ativos!$A$1:$G2000,5,),)</f>
        <v/>
      </c>
    </row>
    <row r="318" ht="21.0" customHeight="1">
      <c r="A318" s="152"/>
      <c r="B318" s="160"/>
      <c r="C318" s="153"/>
      <c r="D318" s="154"/>
      <c r="E318" s="139"/>
      <c r="F318" s="139"/>
      <c r="G318" s="139"/>
      <c r="H318" s="135"/>
      <c r="I318" s="141"/>
      <c r="J318" s="147" t="str">
        <f>IFERROR(__xludf.DUMMYFUNCTION("IF(ISBLANK(A318),IFERROR(1/0),IF(COUNT(FILTER(F:F,A:A=A318))&gt;1,TRUNC(N318*F318/SUM(FILTER(N:N,A:A=A318)),3),F318))"),"")</f>
        <v/>
      </c>
      <c r="K318" s="147" t="str">
        <f>IFERROR(__xludf.DUMMYFUNCTION("IF(ISBLANK(A318),IFERROR(1/0),IF(COUNT(FILTER(G:G,((A:A=A318)*(B:B=""V""))))&gt;1,TRUNC(N318*G318/SUM(FILTER(N:N,((A:A=A318)*(B:B=""V"")))),3),G318))"),"")</f>
        <v/>
      </c>
      <c r="L318" s="148" t="str">
        <f>IFERROR(__xludf.DUMMYFUNCTION("if($C318="""","""",iferror(if(row()&lt;&gt;2,INDEX(arrayformula(filter($M$2:$M317,$C$2:$C317&lt;&gt;"""",row($C$2:$C317)=max(if($C$2:$C317=C318,row($C$2:$C317),0)))) ,1),0),0))"),"")</f>
        <v/>
      </c>
      <c r="M318" s="148" t="str">
        <f t="shared" si="1"/>
        <v/>
      </c>
      <c r="N318" s="147" t="str">
        <f t="shared" si="2"/>
        <v/>
      </c>
      <c r="O318" s="147" t="str">
        <f t="shared" si="21"/>
        <v/>
      </c>
      <c r="P318" s="147" t="str">
        <f>IFERROR(__xludf.DUMMYFUNCTION("if(C318="""","""",iferror(if(row()&lt;&gt;2,INDEX(arrayformula(filter($Q$2:$Q317,$C$2:$C317&lt;&gt;"""",row($C$2:$C317)=max(if($C$2:$C317=C318,row($C$2:$C317),0)))) ,1),0),0))"),"")</f>
        <v/>
      </c>
      <c r="Q318" s="147" t="str">
        <f t="shared" si="22"/>
        <v/>
      </c>
      <c r="R318" s="147" t="str">
        <f t="shared" si="23"/>
        <v/>
      </c>
      <c r="S318" s="147" t="str">
        <f t="shared" si="24"/>
        <v/>
      </c>
      <c r="T318" s="147" t="str">
        <f t="shared" si="7"/>
        <v/>
      </c>
      <c r="U318" s="150" t="str">
        <f t="shared" si="8"/>
        <v/>
      </c>
      <c r="V318" s="151" t="str">
        <f>IFERROR(VLOOKUP(C318,Ativos!$A$1:$G2000,5,),)</f>
        <v/>
      </c>
    </row>
    <row r="319" ht="21.0" customHeight="1">
      <c r="A319" s="152"/>
      <c r="B319" s="160"/>
      <c r="C319" s="153"/>
      <c r="D319" s="154"/>
      <c r="E319" s="139"/>
      <c r="F319" s="139"/>
      <c r="G319" s="139"/>
      <c r="H319" s="135"/>
      <c r="I319" s="141"/>
      <c r="J319" s="147" t="str">
        <f>IFERROR(__xludf.DUMMYFUNCTION("IF(ISBLANK(A319),IFERROR(1/0),IF(COUNT(FILTER(F:F,A:A=A319))&gt;1,TRUNC(N319*F319/SUM(FILTER(N:N,A:A=A319)),3),F319))"),"")</f>
        <v/>
      </c>
      <c r="K319" s="147" t="str">
        <f>IFERROR(__xludf.DUMMYFUNCTION("IF(ISBLANK(A319),IFERROR(1/0),IF(COUNT(FILTER(G:G,((A:A=A319)*(B:B=""V""))))&gt;1,TRUNC(N319*G319/SUM(FILTER(N:N,((A:A=A319)*(B:B=""V"")))),3),G319))"),"")</f>
        <v/>
      </c>
      <c r="L319" s="148" t="str">
        <f>IFERROR(__xludf.DUMMYFUNCTION("if($C319="""","""",iferror(if(row()&lt;&gt;2,INDEX(arrayformula(filter($M$2:$M318,$C$2:$C318&lt;&gt;"""",row($C$2:$C318)=max(if($C$2:$C318=C319,row($C$2:$C318),0)))) ,1),0),0))"),"")</f>
        <v/>
      </c>
      <c r="M319" s="148" t="str">
        <f t="shared" si="1"/>
        <v/>
      </c>
      <c r="N319" s="147" t="str">
        <f t="shared" si="2"/>
        <v/>
      </c>
      <c r="O319" s="147" t="str">
        <f t="shared" si="21"/>
        <v/>
      </c>
      <c r="P319" s="147" t="str">
        <f>IFERROR(__xludf.DUMMYFUNCTION("if(C319="""","""",iferror(if(row()&lt;&gt;2,INDEX(arrayformula(filter($Q$2:$Q318,$C$2:$C318&lt;&gt;"""",row($C$2:$C318)=max(if($C$2:$C318=C319,row($C$2:$C318),0)))) ,1),0),0))"),"")</f>
        <v/>
      </c>
      <c r="Q319" s="147" t="str">
        <f t="shared" si="22"/>
        <v/>
      </c>
      <c r="R319" s="147" t="str">
        <f t="shared" si="23"/>
        <v/>
      </c>
      <c r="S319" s="147" t="str">
        <f t="shared" si="24"/>
        <v/>
      </c>
      <c r="T319" s="147" t="str">
        <f t="shared" si="7"/>
        <v/>
      </c>
      <c r="U319" s="150" t="str">
        <f t="shared" si="8"/>
        <v/>
      </c>
      <c r="V319" s="151" t="str">
        <f>IFERROR(VLOOKUP(C319,Ativos!$A$1:$G2000,5,),)</f>
        <v/>
      </c>
    </row>
    <row r="320" ht="21.0" customHeight="1">
      <c r="A320" s="152"/>
      <c r="B320" s="160"/>
      <c r="C320" s="153"/>
      <c r="D320" s="154"/>
      <c r="E320" s="139"/>
      <c r="F320" s="139"/>
      <c r="G320" s="139"/>
      <c r="H320" s="135"/>
      <c r="I320" s="141"/>
      <c r="J320" s="147" t="str">
        <f>IFERROR(__xludf.DUMMYFUNCTION("IF(ISBLANK(A320),IFERROR(1/0),IF(COUNT(FILTER(F:F,A:A=A320))&gt;1,TRUNC(N320*F320/SUM(FILTER(N:N,A:A=A320)),3),F320))"),"")</f>
        <v/>
      </c>
      <c r="K320" s="147" t="str">
        <f>IFERROR(__xludf.DUMMYFUNCTION("IF(ISBLANK(A320),IFERROR(1/0),IF(COUNT(FILTER(G:G,((A:A=A320)*(B:B=""V""))))&gt;1,TRUNC(N320*G320/SUM(FILTER(N:N,((A:A=A320)*(B:B=""V"")))),3),G320))"),"")</f>
        <v/>
      </c>
      <c r="L320" s="148" t="str">
        <f>IFERROR(__xludf.DUMMYFUNCTION("if($C320="""","""",iferror(if(row()&lt;&gt;2,INDEX(arrayformula(filter($M$2:$M319,$C$2:$C319&lt;&gt;"""",row($C$2:$C319)=max(if($C$2:$C319=C320,row($C$2:$C319),0)))) ,1),0),0))"),"")</f>
        <v/>
      </c>
      <c r="M320" s="148" t="str">
        <f t="shared" si="1"/>
        <v/>
      </c>
      <c r="N320" s="147" t="str">
        <f t="shared" si="2"/>
        <v/>
      </c>
      <c r="O320" s="147" t="str">
        <f t="shared" si="21"/>
        <v/>
      </c>
      <c r="P320" s="147" t="str">
        <f>IFERROR(__xludf.DUMMYFUNCTION("if(C320="""","""",iferror(if(row()&lt;&gt;2,INDEX(arrayformula(filter($Q$2:$Q319,$C$2:$C319&lt;&gt;"""",row($C$2:$C319)=max(if($C$2:$C319=C320,row($C$2:$C319),0)))) ,1),0),0))"),"")</f>
        <v/>
      </c>
      <c r="Q320" s="147" t="str">
        <f t="shared" si="22"/>
        <v/>
      </c>
      <c r="R320" s="147" t="str">
        <f t="shared" si="23"/>
        <v/>
      </c>
      <c r="S320" s="147" t="str">
        <f t="shared" si="24"/>
        <v/>
      </c>
      <c r="T320" s="147" t="str">
        <f t="shared" si="7"/>
        <v/>
      </c>
      <c r="U320" s="150" t="str">
        <f t="shared" si="8"/>
        <v/>
      </c>
      <c r="V320" s="151" t="str">
        <f>IFERROR(VLOOKUP(C320,Ativos!$A$1:$G2000,5,),)</f>
        <v/>
      </c>
    </row>
    <row r="321" ht="21.0" customHeight="1">
      <c r="A321" s="152"/>
      <c r="B321" s="160"/>
      <c r="C321" s="153"/>
      <c r="D321" s="154"/>
      <c r="E321" s="139"/>
      <c r="F321" s="139"/>
      <c r="G321" s="139"/>
      <c r="H321" s="135"/>
      <c r="I321" s="141"/>
      <c r="J321" s="147" t="str">
        <f>IFERROR(__xludf.DUMMYFUNCTION("IF(ISBLANK(A321),IFERROR(1/0),IF(COUNT(FILTER(F:F,A:A=A321))&gt;1,TRUNC(N321*F321/SUM(FILTER(N:N,A:A=A321)),3),F321))"),"")</f>
        <v/>
      </c>
      <c r="K321" s="147" t="str">
        <f>IFERROR(__xludf.DUMMYFUNCTION("IF(ISBLANK(A321),IFERROR(1/0),IF(COUNT(FILTER(G:G,((A:A=A321)*(B:B=""V""))))&gt;1,TRUNC(N321*G321/SUM(FILTER(N:N,((A:A=A321)*(B:B=""V"")))),3),G321))"),"")</f>
        <v/>
      </c>
      <c r="L321" s="148" t="str">
        <f>IFERROR(__xludf.DUMMYFUNCTION("if($C321="""","""",iferror(if(row()&lt;&gt;2,INDEX(arrayformula(filter($M$2:$M320,$C$2:$C320&lt;&gt;"""",row($C$2:$C320)=max(if($C$2:$C320=C321,row($C$2:$C320),0)))) ,1),0),0))"),"")</f>
        <v/>
      </c>
      <c r="M321" s="148" t="str">
        <f t="shared" si="1"/>
        <v/>
      </c>
      <c r="N321" s="147" t="str">
        <f t="shared" si="2"/>
        <v/>
      </c>
      <c r="O321" s="147" t="str">
        <f t="shared" si="21"/>
        <v/>
      </c>
      <c r="P321" s="147" t="str">
        <f>IFERROR(__xludf.DUMMYFUNCTION("if(C321="""","""",iferror(if(row()&lt;&gt;2,INDEX(arrayformula(filter($Q$2:$Q320,$C$2:$C320&lt;&gt;"""",row($C$2:$C320)=max(if($C$2:$C320=C321,row($C$2:$C320),0)))) ,1),0),0))"),"")</f>
        <v/>
      </c>
      <c r="Q321" s="147" t="str">
        <f t="shared" si="22"/>
        <v/>
      </c>
      <c r="R321" s="147" t="str">
        <f t="shared" si="23"/>
        <v/>
      </c>
      <c r="S321" s="147" t="str">
        <f t="shared" si="24"/>
        <v/>
      </c>
      <c r="T321" s="147" t="str">
        <f t="shared" si="7"/>
        <v/>
      </c>
      <c r="U321" s="150" t="str">
        <f t="shared" si="8"/>
        <v/>
      </c>
      <c r="V321" s="151" t="str">
        <f>IFERROR(VLOOKUP(C321,Ativos!$A$1:$G2000,5,),)</f>
        <v/>
      </c>
    </row>
    <row r="322" ht="21.0" customHeight="1">
      <c r="A322" s="152"/>
      <c r="B322" s="160"/>
      <c r="C322" s="153"/>
      <c r="D322" s="154"/>
      <c r="E322" s="139"/>
      <c r="F322" s="139"/>
      <c r="G322" s="139"/>
      <c r="H322" s="135"/>
      <c r="I322" s="141"/>
      <c r="J322" s="147" t="str">
        <f>IFERROR(__xludf.DUMMYFUNCTION("IF(ISBLANK(A322),IFERROR(1/0),IF(COUNT(FILTER(F:F,A:A=A322))&gt;1,TRUNC(N322*F322/SUM(FILTER(N:N,A:A=A322)),3),F322))"),"")</f>
        <v/>
      </c>
      <c r="K322" s="147" t="str">
        <f>IFERROR(__xludf.DUMMYFUNCTION("IF(ISBLANK(A322),IFERROR(1/0),IF(COUNT(FILTER(G:G,((A:A=A322)*(B:B=""V""))))&gt;1,TRUNC(N322*G322/SUM(FILTER(N:N,((A:A=A322)*(B:B=""V"")))),3),G322))"),"")</f>
        <v/>
      </c>
      <c r="L322" s="148" t="str">
        <f>IFERROR(__xludf.DUMMYFUNCTION("if($C322="""","""",iferror(if(row()&lt;&gt;2,INDEX(arrayformula(filter($M$2:$M321,$C$2:$C321&lt;&gt;"""",row($C$2:$C321)=max(if($C$2:$C321=C322,row($C$2:$C321),0)))) ,1),0),0))"),"")</f>
        <v/>
      </c>
      <c r="M322" s="148" t="str">
        <f t="shared" si="1"/>
        <v/>
      </c>
      <c r="N322" s="147" t="str">
        <f t="shared" si="2"/>
        <v/>
      </c>
      <c r="O322" s="147" t="str">
        <f t="shared" si="21"/>
        <v/>
      </c>
      <c r="P322" s="147" t="str">
        <f>IFERROR(__xludf.DUMMYFUNCTION("if(C322="""","""",iferror(if(row()&lt;&gt;2,INDEX(arrayformula(filter($Q$2:$Q321,$C$2:$C321&lt;&gt;"""",row($C$2:$C321)=max(if($C$2:$C321=C322,row($C$2:$C321),0)))) ,1),0),0))"),"")</f>
        <v/>
      </c>
      <c r="Q322" s="147" t="str">
        <f t="shared" si="22"/>
        <v/>
      </c>
      <c r="R322" s="147" t="str">
        <f t="shared" si="23"/>
        <v/>
      </c>
      <c r="S322" s="147" t="str">
        <f t="shared" si="24"/>
        <v/>
      </c>
      <c r="T322" s="147" t="str">
        <f t="shared" si="7"/>
        <v/>
      </c>
      <c r="U322" s="150" t="str">
        <f t="shared" si="8"/>
        <v/>
      </c>
      <c r="V322" s="151" t="str">
        <f>IFERROR(VLOOKUP(C322,Ativos!$A$1:$G2000,5,),)</f>
        <v/>
      </c>
    </row>
    <row r="323" ht="21.0" customHeight="1">
      <c r="A323" s="152"/>
      <c r="B323" s="160"/>
      <c r="C323" s="153"/>
      <c r="D323" s="154"/>
      <c r="E323" s="139"/>
      <c r="F323" s="139"/>
      <c r="G323" s="139"/>
      <c r="H323" s="135"/>
      <c r="I323" s="141"/>
      <c r="J323" s="147" t="str">
        <f>IFERROR(__xludf.DUMMYFUNCTION("IF(ISBLANK(A323),IFERROR(1/0),IF(COUNT(FILTER(F:F,A:A=A323))&gt;1,TRUNC(N323*F323/SUM(FILTER(N:N,A:A=A323)),3),F323))"),"")</f>
        <v/>
      </c>
      <c r="K323" s="147" t="str">
        <f>IFERROR(__xludf.DUMMYFUNCTION("IF(ISBLANK(A323),IFERROR(1/0),IF(COUNT(FILTER(G:G,((A:A=A323)*(B:B=""V""))))&gt;1,TRUNC(N323*G323/SUM(FILTER(N:N,((A:A=A323)*(B:B=""V"")))),3),G323))"),"")</f>
        <v/>
      </c>
      <c r="L323" s="148" t="str">
        <f>IFERROR(__xludf.DUMMYFUNCTION("if($C323="""","""",iferror(if(row()&lt;&gt;2,INDEX(arrayformula(filter($M$2:$M322,$C$2:$C322&lt;&gt;"""",row($C$2:$C322)=max(if($C$2:$C322=C323,row($C$2:$C322),0)))) ,1),0),0))"),"")</f>
        <v/>
      </c>
      <c r="M323" s="148" t="str">
        <f t="shared" si="1"/>
        <v/>
      </c>
      <c r="N323" s="147" t="str">
        <f t="shared" si="2"/>
        <v/>
      </c>
      <c r="O323" s="147" t="str">
        <f t="shared" si="21"/>
        <v/>
      </c>
      <c r="P323" s="147" t="str">
        <f>IFERROR(__xludf.DUMMYFUNCTION("if(C323="""","""",iferror(if(row()&lt;&gt;2,INDEX(arrayformula(filter($Q$2:$Q322,$C$2:$C322&lt;&gt;"""",row($C$2:$C322)=max(if($C$2:$C322=C323,row($C$2:$C322),0)))) ,1),0),0))"),"")</f>
        <v/>
      </c>
      <c r="Q323" s="147" t="str">
        <f t="shared" si="22"/>
        <v/>
      </c>
      <c r="R323" s="147" t="str">
        <f t="shared" si="23"/>
        <v/>
      </c>
      <c r="S323" s="147" t="str">
        <f t="shared" si="24"/>
        <v/>
      </c>
      <c r="T323" s="147" t="str">
        <f t="shared" si="7"/>
        <v/>
      </c>
      <c r="U323" s="150" t="str">
        <f t="shared" si="8"/>
        <v/>
      </c>
      <c r="V323" s="151" t="str">
        <f>IFERROR(VLOOKUP(C323,Ativos!$A$1:$G2000,5,),)</f>
        <v/>
      </c>
    </row>
    <row r="324" ht="21.0" customHeight="1">
      <c r="A324" s="152"/>
      <c r="B324" s="160"/>
      <c r="C324" s="153"/>
      <c r="D324" s="154"/>
      <c r="E324" s="139"/>
      <c r="F324" s="139"/>
      <c r="G324" s="139"/>
      <c r="H324" s="135"/>
      <c r="I324" s="141"/>
      <c r="J324" s="147" t="str">
        <f>IFERROR(__xludf.DUMMYFUNCTION("IF(ISBLANK(A324),IFERROR(1/0),IF(COUNT(FILTER(F:F,A:A=A324))&gt;1,TRUNC(N324*F324/SUM(FILTER(N:N,A:A=A324)),3),F324))"),"")</f>
        <v/>
      </c>
      <c r="K324" s="147" t="str">
        <f>IFERROR(__xludf.DUMMYFUNCTION("IF(ISBLANK(A324),IFERROR(1/0),IF(COUNT(FILTER(G:G,((A:A=A324)*(B:B=""V""))))&gt;1,TRUNC(N324*G324/SUM(FILTER(N:N,((A:A=A324)*(B:B=""V"")))),3),G324))"),"")</f>
        <v/>
      </c>
      <c r="L324" s="148" t="str">
        <f>IFERROR(__xludf.DUMMYFUNCTION("if($C324="""","""",iferror(if(row()&lt;&gt;2,INDEX(arrayformula(filter($M$2:$M323,$C$2:$C323&lt;&gt;"""",row($C$2:$C323)=max(if($C$2:$C323=C324,row($C$2:$C323),0)))) ,1),0),0))"),"")</f>
        <v/>
      </c>
      <c r="M324" s="148" t="str">
        <f t="shared" si="1"/>
        <v/>
      </c>
      <c r="N324" s="147" t="str">
        <f t="shared" si="2"/>
        <v/>
      </c>
      <c r="O324" s="147" t="str">
        <f t="shared" si="21"/>
        <v/>
      </c>
      <c r="P324" s="147" t="str">
        <f>IFERROR(__xludf.DUMMYFUNCTION("if(C324="""","""",iferror(if(row()&lt;&gt;2,INDEX(arrayformula(filter($Q$2:$Q323,$C$2:$C323&lt;&gt;"""",row($C$2:$C323)=max(if($C$2:$C323=C324,row($C$2:$C323),0)))) ,1),0),0))"),"")</f>
        <v/>
      </c>
      <c r="Q324" s="147" t="str">
        <f t="shared" si="22"/>
        <v/>
      </c>
      <c r="R324" s="147" t="str">
        <f t="shared" si="23"/>
        <v/>
      </c>
      <c r="S324" s="147" t="str">
        <f t="shared" si="24"/>
        <v/>
      </c>
      <c r="T324" s="147" t="str">
        <f t="shared" si="7"/>
        <v/>
      </c>
      <c r="U324" s="150" t="str">
        <f t="shared" si="8"/>
        <v/>
      </c>
      <c r="V324" s="151" t="str">
        <f>IFERROR(VLOOKUP(C324,Ativos!$A$1:$G2000,5,),)</f>
        <v/>
      </c>
    </row>
    <row r="325" ht="21.0" customHeight="1">
      <c r="A325" s="152"/>
      <c r="B325" s="160"/>
      <c r="C325" s="153"/>
      <c r="D325" s="154"/>
      <c r="E325" s="139"/>
      <c r="F325" s="139"/>
      <c r="G325" s="139"/>
      <c r="H325" s="135"/>
      <c r="I325" s="141"/>
      <c r="J325" s="147" t="str">
        <f>IFERROR(__xludf.DUMMYFUNCTION("IF(ISBLANK(A325),IFERROR(1/0),IF(COUNT(FILTER(F:F,A:A=A325))&gt;1,TRUNC(N325*F325/SUM(FILTER(N:N,A:A=A325)),3),F325))"),"")</f>
        <v/>
      </c>
      <c r="K325" s="147" t="str">
        <f>IFERROR(__xludf.DUMMYFUNCTION("IF(ISBLANK(A325),IFERROR(1/0),IF(COUNT(FILTER(G:G,((A:A=A325)*(B:B=""V""))))&gt;1,TRUNC(N325*G325/SUM(FILTER(N:N,((A:A=A325)*(B:B=""V"")))),3),G325))"),"")</f>
        <v/>
      </c>
      <c r="L325" s="148" t="str">
        <f>IFERROR(__xludf.DUMMYFUNCTION("if($C325="""","""",iferror(if(row()&lt;&gt;2,INDEX(arrayformula(filter($M$2:$M324,$C$2:$C324&lt;&gt;"""",row($C$2:$C324)=max(if($C$2:$C324=C325,row($C$2:$C324),0)))) ,1),0),0))"),"")</f>
        <v/>
      </c>
      <c r="M325" s="148" t="str">
        <f t="shared" si="1"/>
        <v/>
      </c>
      <c r="N325" s="147" t="str">
        <f t="shared" si="2"/>
        <v/>
      </c>
      <c r="O325" s="147" t="str">
        <f t="shared" si="21"/>
        <v/>
      </c>
      <c r="P325" s="147" t="str">
        <f>IFERROR(__xludf.DUMMYFUNCTION("if(C325="""","""",iferror(if(row()&lt;&gt;2,INDEX(arrayformula(filter($Q$2:$Q324,$C$2:$C324&lt;&gt;"""",row($C$2:$C324)=max(if($C$2:$C324=C325,row($C$2:$C324),0)))) ,1),0),0))"),"")</f>
        <v/>
      </c>
      <c r="Q325" s="147" t="str">
        <f t="shared" si="22"/>
        <v/>
      </c>
      <c r="R325" s="147" t="str">
        <f t="shared" si="23"/>
        <v/>
      </c>
      <c r="S325" s="147" t="str">
        <f t="shared" si="24"/>
        <v/>
      </c>
      <c r="T325" s="147" t="str">
        <f t="shared" si="7"/>
        <v/>
      </c>
      <c r="U325" s="150" t="str">
        <f t="shared" si="8"/>
        <v/>
      </c>
      <c r="V325" s="151" t="str">
        <f>IFERROR(VLOOKUP(C325,Ativos!$A$1:$G2000,5,),)</f>
        <v/>
      </c>
    </row>
    <row r="326" ht="21.0" customHeight="1">
      <c r="A326" s="152"/>
      <c r="B326" s="160"/>
      <c r="C326" s="153"/>
      <c r="D326" s="154"/>
      <c r="E326" s="139"/>
      <c r="F326" s="139"/>
      <c r="G326" s="139"/>
      <c r="H326" s="135"/>
      <c r="I326" s="141"/>
      <c r="J326" s="147" t="str">
        <f>IFERROR(__xludf.DUMMYFUNCTION("IF(ISBLANK(A326),IFERROR(1/0),IF(COUNT(FILTER(F:F,A:A=A326))&gt;1,TRUNC(N326*F326/SUM(FILTER(N:N,A:A=A326)),3),F326))"),"")</f>
        <v/>
      </c>
      <c r="K326" s="147" t="str">
        <f>IFERROR(__xludf.DUMMYFUNCTION("IF(ISBLANK(A326),IFERROR(1/0),IF(COUNT(FILTER(G:G,((A:A=A326)*(B:B=""V""))))&gt;1,TRUNC(N326*G326/SUM(FILTER(N:N,((A:A=A326)*(B:B=""V"")))),3),G326))"),"")</f>
        <v/>
      </c>
      <c r="L326" s="148" t="str">
        <f>IFERROR(__xludf.DUMMYFUNCTION("if($C326="""","""",iferror(if(row()&lt;&gt;2,INDEX(arrayformula(filter($M$2:$M325,$C$2:$C325&lt;&gt;"""",row($C$2:$C325)=max(if($C$2:$C325=C326,row($C$2:$C325),0)))) ,1),0),0))"),"")</f>
        <v/>
      </c>
      <c r="M326" s="148" t="str">
        <f t="shared" si="1"/>
        <v/>
      </c>
      <c r="N326" s="147" t="str">
        <f t="shared" si="2"/>
        <v/>
      </c>
      <c r="O326" s="147" t="str">
        <f t="shared" si="21"/>
        <v/>
      </c>
      <c r="P326" s="147" t="str">
        <f>IFERROR(__xludf.DUMMYFUNCTION("if(C326="""","""",iferror(if(row()&lt;&gt;2,INDEX(arrayformula(filter($Q$2:$Q325,$C$2:$C325&lt;&gt;"""",row($C$2:$C325)=max(if($C$2:$C325=C326,row($C$2:$C325),0)))) ,1),0),0))"),"")</f>
        <v/>
      </c>
      <c r="Q326" s="147" t="str">
        <f t="shared" si="22"/>
        <v/>
      </c>
      <c r="R326" s="147" t="str">
        <f t="shared" si="23"/>
        <v/>
      </c>
      <c r="S326" s="147" t="str">
        <f t="shared" si="24"/>
        <v/>
      </c>
      <c r="T326" s="147" t="str">
        <f t="shared" si="7"/>
        <v/>
      </c>
      <c r="U326" s="150" t="str">
        <f t="shared" si="8"/>
        <v/>
      </c>
      <c r="V326" s="151" t="str">
        <f>IFERROR(VLOOKUP(C326,Ativos!$A$1:$G2000,5,),)</f>
        <v/>
      </c>
    </row>
    <row r="327" ht="21.0" customHeight="1">
      <c r="A327" s="152"/>
      <c r="B327" s="160"/>
      <c r="C327" s="153"/>
      <c r="D327" s="154"/>
      <c r="E327" s="139"/>
      <c r="F327" s="139"/>
      <c r="G327" s="139"/>
      <c r="H327" s="135"/>
      <c r="I327" s="141"/>
      <c r="J327" s="147" t="str">
        <f>IFERROR(__xludf.DUMMYFUNCTION("IF(ISBLANK(A327),IFERROR(1/0),IF(COUNT(FILTER(F:F,A:A=A327))&gt;1,TRUNC(N327*F327/SUM(FILTER(N:N,A:A=A327)),3),F327))"),"")</f>
        <v/>
      </c>
      <c r="K327" s="147" t="str">
        <f>IFERROR(__xludf.DUMMYFUNCTION("IF(ISBLANK(A327),IFERROR(1/0),IF(COUNT(FILTER(G:G,((A:A=A327)*(B:B=""V""))))&gt;1,TRUNC(N327*G327/SUM(FILTER(N:N,((A:A=A327)*(B:B=""V"")))),3),G327))"),"")</f>
        <v/>
      </c>
      <c r="L327" s="148" t="str">
        <f>IFERROR(__xludf.DUMMYFUNCTION("if($C327="""","""",iferror(if(row()&lt;&gt;2,INDEX(arrayformula(filter($M$2:$M326,$C$2:$C326&lt;&gt;"""",row($C$2:$C326)=max(if($C$2:$C326=C327,row($C$2:$C326),0)))) ,1),0),0))"),"")</f>
        <v/>
      </c>
      <c r="M327" s="148" t="str">
        <f t="shared" si="1"/>
        <v/>
      </c>
      <c r="N327" s="147" t="str">
        <f t="shared" si="2"/>
        <v/>
      </c>
      <c r="O327" s="147" t="str">
        <f t="shared" si="21"/>
        <v/>
      </c>
      <c r="P327" s="147" t="str">
        <f>IFERROR(__xludf.DUMMYFUNCTION("if(C327="""","""",iferror(if(row()&lt;&gt;2,INDEX(arrayformula(filter($Q$2:$Q326,$C$2:$C326&lt;&gt;"""",row($C$2:$C326)=max(if($C$2:$C326=C327,row($C$2:$C326),0)))) ,1),0),0))"),"")</f>
        <v/>
      </c>
      <c r="Q327" s="147" t="str">
        <f t="shared" si="22"/>
        <v/>
      </c>
      <c r="R327" s="147" t="str">
        <f t="shared" si="23"/>
        <v/>
      </c>
      <c r="S327" s="147" t="str">
        <f t="shared" si="24"/>
        <v/>
      </c>
      <c r="T327" s="147" t="str">
        <f t="shared" si="7"/>
        <v/>
      </c>
      <c r="U327" s="150" t="str">
        <f t="shared" si="8"/>
        <v/>
      </c>
      <c r="V327" s="151" t="str">
        <f>IFERROR(VLOOKUP(C327,Ativos!$A$1:$G2000,5,),)</f>
        <v/>
      </c>
    </row>
    <row r="328" ht="21.0" customHeight="1">
      <c r="A328" s="152"/>
      <c r="B328" s="160"/>
      <c r="C328" s="153"/>
      <c r="D328" s="154"/>
      <c r="E328" s="139"/>
      <c r="F328" s="139"/>
      <c r="G328" s="139"/>
      <c r="H328" s="135"/>
      <c r="I328" s="141"/>
      <c r="J328" s="147" t="str">
        <f>IFERROR(__xludf.DUMMYFUNCTION("IF(ISBLANK(A328),IFERROR(1/0),IF(COUNT(FILTER(F:F,A:A=A328))&gt;1,TRUNC(N328*F328/SUM(FILTER(N:N,A:A=A328)),3),F328))"),"")</f>
        <v/>
      </c>
      <c r="K328" s="147" t="str">
        <f>IFERROR(__xludf.DUMMYFUNCTION("IF(ISBLANK(A328),IFERROR(1/0),IF(COUNT(FILTER(G:G,((A:A=A328)*(B:B=""V""))))&gt;1,TRUNC(N328*G328/SUM(FILTER(N:N,((A:A=A328)*(B:B=""V"")))),3),G328))"),"")</f>
        <v/>
      </c>
      <c r="L328" s="148" t="str">
        <f>IFERROR(__xludf.DUMMYFUNCTION("if($C328="""","""",iferror(if(row()&lt;&gt;2,INDEX(arrayformula(filter($M$2:$M327,$C$2:$C327&lt;&gt;"""",row($C$2:$C327)=max(if($C$2:$C327=C328,row($C$2:$C327),0)))) ,1),0),0))"),"")</f>
        <v/>
      </c>
      <c r="M328" s="148" t="str">
        <f t="shared" si="1"/>
        <v/>
      </c>
      <c r="N328" s="147" t="str">
        <f t="shared" si="2"/>
        <v/>
      </c>
      <c r="O328" s="147" t="str">
        <f t="shared" si="21"/>
        <v/>
      </c>
      <c r="P328" s="147" t="str">
        <f>IFERROR(__xludf.DUMMYFUNCTION("if(C328="""","""",iferror(if(row()&lt;&gt;2,INDEX(arrayformula(filter($Q$2:$Q327,$C$2:$C327&lt;&gt;"""",row($C$2:$C327)=max(if($C$2:$C327=C328,row($C$2:$C327),0)))) ,1),0),0))"),"")</f>
        <v/>
      </c>
      <c r="Q328" s="147" t="str">
        <f t="shared" si="22"/>
        <v/>
      </c>
      <c r="R328" s="147" t="str">
        <f t="shared" si="23"/>
        <v/>
      </c>
      <c r="S328" s="147" t="str">
        <f t="shared" si="24"/>
        <v/>
      </c>
      <c r="T328" s="147" t="str">
        <f t="shared" si="7"/>
        <v/>
      </c>
      <c r="U328" s="150" t="str">
        <f t="shared" si="8"/>
        <v/>
      </c>
      <c r="V328" s="151" t="str">
        <f>IFERROR(VLOOKUP(C328,Ativos!$A$1:$G2000,5,),)</f>
        <v/>
      </c>
    </row>
    <row r="329" ht="21.0" customHeight="1">
      <c r="A329" s="152"/>
      <c r="B329" s="160"/>
      <c r="C329" s="153"/>
      <c r="D329" s="154"/>
      <c r="E329" s="139"/>
      <c r="F329" s="139"/>
      <c r="G329" s="139"/>
      <c r="H329" s="135"/>
      <c r="I329" s="141"/>
      <c r="J329" s="147" t="str">
        <f>IFERROR(__xludf.DUMMYFUNCTION("IF(ISBLANK(A329),IFERROR(1/0),IF(COUNT(FILTER(F:F,A:A=A329))&gt;1,TRUNC(N329*F329/SUM(FILTER(N:N,A:A=A329)),3),F329))"),"")</f>
        <v/>
      </c>
      <c r="K329" s="147" t="str">
        <f>IFERROR(__xludf.DUMMYFUNCTION("IF(ISBLANK(A329),IFERROR(1/0),IF(COUNT(FILTER(G:G,((A:A=A329)*(B:B=""V""))))&gt;1,TRUNC(N329*G329/SUM(FILTER(N:N,((A:A=A329)*(B:B=""V"")))),3),G329))"),"")</f>
        <v/>
      </c>
      <c r="L329" s="148" t="str">
        <f>IFERROR(__xludf.DUMMYFUNCTION("if($C329="""","""",iferror(if(row()&lt;&gt;2,INDEX(arrayformula(filter($M$2:$M328,$C$2:$C328&lt;&gt;"""",row($C$2:$C328)=max(if($C$2:$C328=C329,row($C$2:$C328),0)))) ,1),0),0))"),"")</f>
        <v/>
      </c>
      <c r="M329" s="148" t="str">
        <f t="shared" si="1"/>
        <v/>
      </c>
      <c r="N329" s="147" t="str">
        <f t="shared" si="2"/>
        <v/>
      </c>
      <c r="O329" s="147" t="str">
        <f t="shared" si="21"/>
        <v/>
      </c>
      <c r="P329" s="147" t="str">
        <f>IFERROR(__xludf.DUMMYFUNCTION("if(C329="""","""",iferror(if(row()&lt;&gt;2,INDEX(arrayformula(filter($Q$2:$Q328,$C$2:$C328&lt;&gt;"""",row($C$2:$C328)=max(if($C$2:$C328=C329,row($C$2:$C328),0)))) ,1),0),0))"),"")</f>
        <v/>
      </c>
      <c r="Q329" s="147" t="str">
        <f t="shared" si="22"/>
        <v/>
      </c>
      <c r="R329" s="147" t="str">
        <f t="shared" si="23"/>
        <v/>
      </c>
      <c r="S329" s="147" t="str">
        <f t="shared" si="24"/>
        <v/>
      </c>
      <c r="T329" s="147" t="str">
        <f t="shared" si="7"/>
        <v/>
      </c>
      <c r="U329" s="150" t="str">
        <f t="shared" si="8"/>
        <v/>
      </c>
      <c r="V329" s="151" t="str">
        <f>IFERROR(VLOOKUP(C329,Ativos!$A$1:$G2000,5,),)</f>
        <v/>
      </c>
    </row>
    <row r="330" ht="21.0" customHeight="1">
      <c r="A330" s="152"/>
      <c r="B330" s="160"/>
      <c r="C330" s="153"/>
      <c r="D330" s="154"/>
      <c r="E330" s="139"/>
      <c r="F330" s="139"/>
      <c r="G330" s="139"/>
      <c r="H330" s="135"/>
      <c r="I330" s="141"/>
      <c r="J330" s="147" t="str">
        <f>IFERROR(__xludf.DUMMYFUNCTION("IF(ISBLANK(A330),IFERROR(1/0),IF(COUNT(FILTER(F:F,A:A=A330))&gt;1,TRUNC(N330*F330/SUM(FILTER(N:N,A:A=A330)),3),F330))"),"")</f>
        <v/>
      </c>
      <c r="K330" s="147" t="str">
        <f>IFERROR(__xludf.DUMMYFUNCTION("IF(ISBLANK(A330),IFERROR(1/0),IF(COUNT(FILTER(G:G,((A:A=A330)*(B:B=""V""))))&gt;1,TRUNC(N330*G330/SUM(FILTER(N:N,((A:A=A330)*(B:B=""V"")))),3),G330))"),"")</f>
        <v/>
      </c>
      <c r="L330" s="148" t="str">
        <f>IFERROR(__xludf.DUMMYFUNCTION("if($C330="""","""",iferror(if(row()&lt;&gt;2,INDEX(arrayformula(filter($M$2:$M329,$C$2:$C329&lt;&gt;"""",row($C$2:$C329)=max(if($C$2:$C329=C330,row($C$2:$C329),0)))) ,1),0),0))"),"")</f>
        <v/>
      </c>
      <c r="M330" s="148" t="str">
        <f t="shared" si="1"/>
        <v/>
      </c>
      <c r="N330" s="147" t="str">
        <f t="shared" si="2"/>
        <v/>
      </c>
      <c r="O330" s="147" t="str">
        <f t="shared" si="21"/>
        <v/>
      </c>
      <c r="P330" s="147" t="str">
        <f>IFERROR(__xludf.DUMMYFUNCTION("if(C330="""","""",iferror(if(row()&lt;&gt;2,INDEX(arrayformula(filter($Q$2:$Q329,$C$2:$C329&lt;&gt;"""",row($C$2:$C329)=max(if($C$2:$C329=C330,row($C$2:$C329),0)))) ,1),0),0))"),"")</f>
        <v/>
      </c>
      <c r="Q330" s="147" t="str">
        <f t="shared" si="22"/>
        <v/>
      </c>
      <c r="R330" s="147" t="str">
        <f t="shared" si="23"/>
        <v/>
      </c>
      <c r="S330" s="147" t="str">
        <f t="shared" si="24"/>
        <v/>
      </c>
      <c r="T330" s="147" t="str">
        <f t="shared" si="7"/>
        <v/>
      </c>
      <c r="U330" s="150" t="str">
        <f t="shared" si="8"/>
        <v/>
      </c>
      <c r="V330" s="151" t="str">
        <f>IFERROR(VLOOKUP(C330,Ativos!$A$1:$G2000,5,),)</f>
        <v/>
      </c>
    </row>
    <row r="331" ht="21.0" customHeight="1">
      <c r="A331" s="152"/>
      <c r="B331" s="160"/>
      <c r="C331" s="153"/>
      <c r="D331" s="154"/>
      <c r="E331" s="139"/>
      <c r="F331" s="139"/>
      <c r="G331" s="139"/>
      <c r="H331" s="135"/>
      <c r="I331" s="141"/>
      <c r="J331" s="147" t="str">
        <f>IFERROR(__xludf.DUMMYFUNCTION("IF(ISBLANK(A331),IFERROR(1/0),IF(COUNT(FILTER(F:F,A:A=A331))&gt;1,TRUNC(N331*F331/SUM(FILTER(N:N,A:A=A331)),3),F331))"),"")</f>
        <v/>
      </c>
      <c r="K331" s="147" t="str">
        <f>IFERROR(__xludf.DUMMYFUNCTION("IF(ISBLANK(A331),IFERROR(1/0),IF(COUNT(FILTER(G:G,((A:A=A331)*(B:B=""V""))))&gt;1,TRUNC(N331*G331/SUM(FILTER(N:N,((A:A=A331)*(B:B=""V"")))),3),G331))"),"")</f>
        <v/>
      </c>
      <c r="L331" s="148" t="str">
        <f>IFERROR(__xludf.DUMMYFUNCTION("if($C331="""","""",iferror(if(row()&lt;&gt;2,INDEX(arrayformula(filter($M$2:$M330,$C$2:$C330&lt;&gt;"""",row($C$2:$C330)=max(if($C$2:$C330=C331,row($C$2:$C330),0)))) ,1),0),0))"),"")</f>
        <v/>
      </c>
      <c r="M331" s="148" t="str">
        <f t="shared" si="1"/>
        <v/>
      </c>
      <c r="N331" s="147" t="str">
        <f t="shared" si="2"/>
        <v/>
      </c>
      <c r="O331" s="147" t="str">
        <f t="shared" si="21"/>
        <v/>
      </c>
      <c r="P331" s="147" t="str">
        <f>IFERROR(__xludf.DUMMYFUNCTION("if(C331="""","""",iferror(if(row()&lt;&gt;2,INDEX(arrayformula(filter($Q$2:$Q330,$C$2:$C330&lt;&gt;"""",row($C$2:$C330)=max(if($C$2:$C330=C331,row($C$2:$C330),0)))) ,1),0),0))"),"")</f>
        <v/>
      </c>
      <c r="Q331" s="147" t="str">
        <f t="shared" si="22"/>
        <v/>
      </c>
      <c r="R331" s="147" t="str">
        <f t="shared" si="23"/>
        <v/>
      </c>
      <c r="S331" s="147" t="str">
        <f t="shared" si="24"/>
        <v/>
      </c>
      <c r="T331" s="147" t="str">
        <f t="shared" si="7"/>
        <v/>
      </c>
      <c r="U331" s="150" t="str">
        <f t="shared" si="8"/>
        <v/>
      </c>
      <c r="V331" s="151" t="str">
        <f>IFERROR(VLOOKUP(C331,Ativos!$A$1:$G2000,5,),)</f>
        <v/>
      </c>
    </row>
    <row r="332" ht="21.0" customHeight="1">
      <c r="A332" s="152"/>
      <c r="B332" s="160"/>
      <c r="C332" s="153"/>
      <c r="D332" s="154"/>
      <c r="E332" s="139"/>
      <c r="F332" s="139"/>
      <c r="G332" s="139"/>
      <c r="H332" s="135"/>
      <c r="I332" s="141"/>
      <c r="J332" s="147" t="str">
        <f>IFERROR(__xludf.DUMMYFUNCTION("IF(ISBLANK(A332),IFERROR(1/0),IF(COUNT(FILTER(F:F,A:A=A332))&gt;1,TRUNC(N332*F332/SUM(FILTER(N:N,A:A=A332)),3),F332))"),"")</f>
        <v/>
      </c>
      <c r="K332" s="147" t="str">
        <f>IFERROR(__xludf.DUMMYFUNCTION("IF(ISBLANK(A332),IFERROR(1/0),IF(COUNT(FILTER(G:G,((A:A=A332)*(B:B=""V""))))&gt;1,TRUNC(N332*G332/SUM(FILTER(N:N,((A:A=A332)*(B:B=""V"")))),3),G332))"),"")</f>
        <v/>
      </c>
      <c r="L332" s="148" t="str">
        <f>IFERROR(__xludf.DUMMYFUNCTION("if($C332="""","""",iferror(if(row()&lt;&gt;2,INDEX(arrayformula(filter($M$2:$M331,$C$2:$C331&lt;&gt;"""",row($C$2:$C331)=max(if($C$2:$C331=C332,row($C$2:$C331),0)))) ,1),0),0))"),"")</f>
        <v/>
      </c>
      <c r="M332" s="148" t="str">
        <f t="shared" si="1"/>
        <v/>
      </c>
      <c r="N332" s="147" t="str">
        <f t="shared" si="2"/>
        <v/>
      </c>
      <c r="O332" s="147" t="str">
        <f t="shared" si="21"/>
        <v/>
      </c>
      <c r="P332" s="147" t="str">
        <f>IFERROR(__xludf.DUMMYFUNCTION("if(C332="""","""",iferror(if(row()&lt;&gt;2,INDEX(arrayformula(filter($Q$2:$Q331,$C$2:$C331&lt;&gt;"""",row($C$2:$C331)=max(if($C$2:$C331=C332,row($C$2:$C331),0)))) ,1),0),0))"),"")</f>
        <v/>
      </c>
      <c r="Q332" s="147" t="str">
        <f t="shared" si="22"/>
        <v/>
      </c>
      <c r="R332" s="147" t="str">
        <f t="shared" si="23"/>
        <v/>
      </c>
      <c r="S332" s="147" t="str">
        <f t="shared" si="24"/>
        <v/>
      </c>
      <c r="T332" s="147" t="str">
        <f t="shared" si="7"/>
        <v/>
      </c>
      <c r="U332" s="150" t="str">
        <f t="shared" si="8"/>
        <v/>
      </c>
      <c r="V332" s="151" t="str">
        <f>IFERROR(VLOOKUP(C332,Ativos!$A$1:$G2000,5,),)</f>
        <v/>
      </c>
    </row>
    <row r="333" ht="21.0" customHeight="1">
      <c r="A333" s="152"/>
      <c r="B333" s="160"/>
      <c r="C333" s="153"/>
      <c r="D333" s="154"/>
      <c r="E333" s="139"/>
      <c r="F333" s="139"/>
      <c r="G333" s="139"/>
      <c r="H333" s="135"/>
      <c r="I333" s="141"/>
      <c r="J333" s="147" t="str">
        <f>IFERROR(__xludf.DUMMYFUNCTION("IF(ISBLANK(A333),IFERROR(1/0),IF(COUNT(FILTER(F:F,A:A=A333))&gt;1,TRUNC(N333*F333/SUM(FILTER(N:N,A:A=A333)),3),F333))"),"")</f>
        <v/>
      </c>
      <c r="K333" s="147" t="str">
        <f>IFERROR(__xludf.DUMMYFUNCTION("IF(ISBLANK(A333),IFERROR(1/0),IF(COUNT(FILTER(G:G,((A:A=A333)*(B:B=""V""))))&gt;1,TRUNC(N333*G333/SUM(FILTER(N:N,((A:A=A333)*(B:B=""V"")))),3),G333))"),"")</f>
        <v/>
      </c>
      <c r="L333" s="148" t="str">
        <f>IFERROR(__xludf.DUMMYFUNCTION("if($C333="""","""",iferror(if(row()&lt;&gt;2,INDEX(arrayformula(filter($M$2:$M332,$C$2:$C332&lt;&gt;"""",row($C$2:$C332)=max(if($C$2:$C332=C333,row($C$2:$C332),0)))) ,1),0),0))"),"")</f>
        <v/>
      </c>
      <c r="M333" s="148" t="str">
        <f t="shared" si="1"/>
        <v/>
      </c>
      <c r="N333" s="147" t="str">
        <f t="shared" si="2"/>
        <v/>
      </c>
      <c r="O333" s="147" t="str">
        <f t="shared" si="21"/>
        <v/>
      </c>
      <c r="P333" s="147" t="str">
        <f>IFERROR(__xludf.DUMMYFUNCTION("if(C333="""","""",iferror(if(row()&lt;&gt;2,INDEX(arrayformula(filter($Q$2:$Q332,$C$2:$C332&lt;&gt;"""",row($C$2:$C332)=max(if($C$2:$C332=C333,row($C$2:$C332),0)))) ,1),0),0))"),"")</f>
        <v/>
      </c>
      <c r="Q333" s="147" t="str">
        <f t="shared" si="22"/>
        <v/>
      </c>
      <c r="R333" s="147" t="str">
        <f t="shared" si="23"/>
        <v/>
      </c>
      <c r="S333" s="147" t="str">
        <f t="shared" si="24"/>
        <v/>
      </c>
      <c r="T333" s="147" t="str">
        <f t="shared" si="7"/>
        <v/>
      </c>
      <c r="U333" s="150" t="str">
        <f t="shared" si="8"/>
        <v/>
      </c>
      <c r="V333" s="151" t="str">
        <f>IFERROR(VLOOKUP(C333,Ativos!$A$1:$G2000,5,),)</f>
        <v/>
      </c>
    </row>
    <row r="334" ht="21.0" customHeight="1">
      <c r="A334" s="152"/>
      <c r="B334" s="160"/>
      <c r="C334" s="153"/>
      <c r="D334" s="154"/>
      <c r="E334" s="139"/>
      <c r="F334" s="139"/>
      <c r="G334" s="139"/>
      <c r="H334" s="135"/>
      <c r="I334" s="141"/>
      <c r="J334" s="147" t="str">
        <f>IFERROR(__xludf.DUMMYFUNCTION("IF(ISBLANK(A334),IFERROR(1/0),IF(COUNT(FILTER(F:F,A:A=A334))&gt;1,TRUNC(N334*F334/SUM(FILTER(N:N,A:A=A334)),3),F334))"),"")</f>
        <v/>
      </c>
      <c r="K334" s="147" t="str">
        <f>IFERROR(__xludf.DUMMYFUNCTION("IF(ISBLANK(A334),IFERROR(1/0),IF(COUNT(FILTER(G:G,((A:A=A334)*(B:B=""V""))))&gt;1,TRUNC(N334*G334/SUM(FILTER(N:N,((A:A=A334)*(B:B=""V"")))),3),G334))"),"")</f>
        <v/>
      </c>
      <c r="L334" s="148" t="str">
        <f>IFERROR(__xludf.DUMMYFUNCTION("if($C334="""","""",iferror(if(row()&lt;&gt;2,INDEX(arrayformula(filter($M$2:$M333,$C$2:$C333&lt;&gt;"""",row($C$2:$C333)=max(if($C$2:$C333=C334,row($C$2:$C333),0)))) ,1),0),0))"),"")</f>
        <v/>
      </c>
      <c r="M334" s="148" t="str">
        <f t="shared" si="1"/>
        <v/>
      </c>
      <c r="N334" s="147" t="str">
        <f t="shared" si="2"/>
        <v/>
      </c>
      <c r="O334" s="147" t="str">
        <f t="shared" si="21"/>
        <v/>
      </c>
      <c r="P334" s="147" t="str">
        <f>IFERROR(__xludf.DUMMYFUNCTION("if(C334="""","""",iferror(if(row()&lt;&gt;2,INDEX(arrayformula(filter($Q$2:$Q333,$C$2:$C333&lt;&gt;"""",row($C$2:$C333)=max(if($C$2:$C333=C334,row($C$2:$C333),0)))) ,1),0),0))"),"")</f>
        <v/>
      </c>
      <c r="Q334" s="147" t="str">
        <f t="shared" si="22"/>
        <v/>
      </c>
      <c r="R334" s="147" t="str">
        <f t="shared" si="23"/>
        <v/>
      </c>
      <c r="S334" s="147" t="str">
        <f t="shared" si="24"/>
        <v/>
      </c>
      <c r="T334" s="147" t="str">
        <f t="shared" si="7"/>
        <v/>
      </c>
      <c r="U334" s="150" t="str">
        <f t="shared" si="8"/>
        <v/>
      </c>
      <c r="V334" s="151" t="str">
        <f>IFERROR(VLOOKUP(C334,Ativos!$A$1:$G2000,5,),)</f>
        <v/>
      </c>
    </row>
    <row r="335" ht="21.0" customHeight="1">
      <c r="A335" s="152"/>
      <c r="B335" s="160"/>
      <c r="C335" s="153"/>
      <c r="D335" s="154"/>
      <c r="E335" s="139"/>
      <c r="F335" s="139"/>
      <c r="G335" s="139"/>
      <c r="H335" s="135"/>
      <c r="I335" s="141"/>
      <c r="J335" s="147" t="str">
        <f>IFERROR(__xludf.DUMMYFUNCTION("IF(ISBLANK(A335),IFERROR(1/0),IF(COUNT(FILTER(F:F,A:A=A335))&gt;1,TRUNC(N335*F335/SUM(FILTER(N:N,A:A=A335)),3),F335))"),"")</f>
        <v/>
      </c>
      <c r="K335" s="147" t="str">
        <f>IFERROR(__xludf.DUMMYFUNCTION("IF(ISBLANK(A335),IFERROR(1/0),IF(COUNT(FILTER(G:G,((A:A=A335)*(B:B=""V""))))&gt;1,TRUNC(N335*G335/SUM(FILTER(N:N,((A:A=A335)*(B:B=""V"")))),3),G335))"),"")</f>
        <v/>
      </c>
      <c r="L335" s="148" t="str">
        <f>IFERROR(__xludf.DUMMYFUNCTION("if($C335="""","""",iferror(if(row()&lt;&gt;2,INDEX(arrayformula(filter($M$2:$M334,$C$2:$C334&lt;&gt;"""",row($C$2:$C334)=max(if($C$2:$C334=C335,row($C$2:$C334),0)))) ,1),0),0))"),"")</f>
        <v/>
      </c>
      <c r="M335" s="148" t="str">
        <f t="shared" si="1"/>
        <v/>
      </c>
      <c r="N335" s="147" t="str">
        <f t="shared" si="2"/>
        <v/>
      </c>
      <c r="O335" s="147" t="str">
        <f t="shared" si="21"/>
        <v/>
      </c>
      <c r="P335" s="147" t="str">
        <f>IFERROR(__xludf.DUMMYFUNCTION("if(C335="""","""",iferror(if(row()&lt;&gt;2,INDEX(arrayformula(filter($Q$2:$Q334,$C$2:$C334&lt;&gt;"""",row($C$2:$C334)=max(if($C$2:$C334=C335,row($C$2:$C334),0)))) ,1),0),0))"),"")</f>
        <v/>
      </c>
      <c r="Q335" s="147" t="str">
        <f t="shared" si="22"/>
        <v/>
      </c>
      <c r="R335" s="147" t="str">
        <f t="shared" si="23"/>
        <v/>
      </c>
      <c r="S335" s="147" t="str">
        <f t="shared" si="24"/>
        <v/>
      </c>
      <c r="T335" s="147" t="str">
        <f t="shared" si="7"/>
        <v/>
      </c>
      <c r="U335" s="150" t="str">
        <f t="shared" si="8"/>
        <v/>
      </c>
      <c r="V335" s="151" t="str">
        <f>IFERROR(VLOOKUP(C335,Ativos!$A$1:$G2000,5,),)</f>
        <v/>
      </c>
    </row>
    <row r="336" ht="21.0" customHeight="1">
      <c r="A336" s="152"/>
      <c r="B336" s="160"/>
      <c r="C336" s="153"/>
      <c r="D336" s="154"/>
      <c r="E336" s="139"/>
      <c r="F336" s="139"/>
      <c r="G336" s="139"/>
      <c r="H336" s="135"/>
      <c r="I336" s="141"/>
      <c r="J336" s="147" t="str">
        <f>IFERROR(__xludf.DUMMYFUNCTION("IF(ISBLANK(A336),IFERROR(1/0),IF(COUNT(FILTER(F:F,A:A=A336))&gt;1,TRUNC(N336*F336/SUM(FILTER(N:N,A:A=A336)),3),F336))"),"")</f>
        <v/>
      </c>
      <c r="K336" s="147" t="str">
        <f>IFERROR(__xludf.DUMMYFUNCTION("IF(ISBLANK(A336),IFERROR(1/0),IF(COUNT(FILTER(G:G,((A:A=A336)*(B:B=""V""))))&gt;1,TRUNC(N336*G336/SUM(FILTER(N:N,((A:A=A336)*(B:B=""V"")))),3),G336))"),"")</f>
        <v/>
      </c>
      <c r="L336" s="148" t="str">
        <f>IFERROR(__xludf.DUMMYFUNCTION("if($C336="""","""",iferror(if(row()&lt;&gt;2,INDEX(arrayformula(filter($M$2:$M335,$C$2:$C335&lt;&gt;"""",row($C$2:$C335)=max(if($C$2:$C335=C336,row($C$2:$C335),0)))) ,1),0),0))"),"")</f>
        <v/>
      </c>
      <c r="M336" s="148" t="str">
        <f t="shared" si="1"/>
        <v/>
      </c>
      <c r="N336" s="147" t="str">
        <f t="shared" si="2"/>
        <v/>
      </c>
      <c r="O336" s="147" t="str">
        <f t="shared" si="21"/>
        <v/>
      </c>
      <c r="P336" s="147" t="str">
        <f>IFERROR(__xludf.DUMMYFUNCTION("if(C336="""","""",iferror(if(row()&lt;&gt;2,INDEX(arrayformula(filter($Q$2:$Q335,$C$2:$C335&lt;&gt;"""",row($C$2:$C335)=max(if($C$2:$C335=C336,row($C$2:$C335),0)))) ,1),0),0))"),"")</f>
        <v/>
      </c>
      <c r="Q336" s="147" t="str">
        <f t="shared" si="22"/>
        <v/>
      </c>
      <c r="R336" s="147" t="str">
        <f t="shared" si="23"/>
        <v/>
      </c>
      <c r="S336" s="147" t="str">
        <f t="shared" si="24"/>
        <v/>
      </c>
      <c r="T336" s="147" t="str">
        <f t="shared" si="7"/>
        <v/>
      </c>
      <c r="U336" s="150" t="str">
        <f t="shared" si="8"/>
        <v/>
      </c>
      <c r="V336" s="151" t="str">
        <f>IFERROR(VLOOKUP(C336,Ativos!$A$1:$G2000,5,),)</f>
        <v/>
      </c>
    </row>
    <row r="337" ht="21.0" customHeight="1">
      <c r="A337" s="152"/>
      <c r="B337" s="160"/>
      <c r="C337" s="153"/>
      <c r="D337" s="154"/>
      <c r="E337" s="139"/>
      <c r="F337" s="139"/>
      <c r="G337" s="139"/>
      <c r="H337" s="135"/>
      <c r="I337" s="141"/>
      <c r="J337" s="147" t="str">
        <f>IFERROR(__xludf.DUMMYFUNCTION("IF(ISBLANK(A337),IFERROR(1/0),IF(COUNT(FILTER(F:F,A:A=A337))&gt;1,TRUNC(N337*F337/SUM(FILTER(N:N,A:A=A337)),3),F337))"),"")</f>
        <v/>
      </c>
      <c r="K337" s="147" t="str">
        <f>IFERROR(__xludf.DUMMYFUNCTION("IF(ISBLANK(A337),IFERROR(1/0),IF(COUNT(FILTER(G:G,((A:A=A337)*(B:B=""V""))))&gt;1,TRUNC(N337*G337/SUM(FILTER(N:N,((A:A=A337)*(B:B=""V"")))),3),G337))"),"")</f>
        <v/>
      </c>
      <c r="L337" s="148" t="str">
        <f>IFERROR(__xludf.DUMMYFUNCTION("if($C337="""","""",iferror(if(row()&lt;&gt;2,INDEX(arrayformula(filter($M$2:$M336,$C$2:$C336&lt;&gt;"""",row($C$2:$C336)=max(if($C$2:$C336=C337,row($C$2:$C336),0)))) ,1),0),0))"),"")</f>
        <v/>
      </c>
      <c r="M337" s="148" t="str">
        <f t="shared" si="1"/>
        <v/>
      </c>
      <c r="N337" s="147" t="str">
        <f t="shared" si="2"/>
        <v/>
      </c>
      <c r="O337" s="147" t="str">
        <f t="shared" si="21"/>
        <v/>
      </c>
      <c r="P337" s="147" t="str">
        <f>IFERROR(__xludf.DUMMYFUNCTION("if(C337="""","""",iferror(if(row()&lt;&gt;2,INDEX(arrayformula(filter($Q$2:$Q336,$C$2:$C336&lt;&gt;"""",row($C$2:$C336)=max(if($C$2:$C336=C337,row($C$2:$C336),0)))) ,1),0),0))"),"")</f>
        <v/>
      </c>
      <c r="Q337" s="147" t="str">
        <f t="shared" si="22"/>
        <v/>
      </c>
      <c r="R337" s="147" t="str">
        <f t="shared" si="23"/>
        <v/>
      </c>
      <c r="S337" s="147" t="str">
        <f t="shared" si="24"/>
        <v/>
      </c>
      <c r="T337" s="147" t="str">
        <f t="shared" si="7"/>
        <v/>
      </c>
      <c r="U337" s="150" t="str">
        <f t="shared" si="8"/>
        <v/>
      </c>
      <c r="V337" s="151" t="str">
        <f>IFERROR(VLOOKUP(C337,Ativos!$A$1:$G2000,5,),)</f>
        <v/>
      </c>
    </row>
    <row r="338" ht="21.0" customHeight="1">
      <c r="A338" s="152"/>
      <c r="B338" s="160"/>
      <c r="C338" s="153"/>
      <c r="D338" s="154"/>
      <c r="E338" s="139"/>
      <c r="F338" s="139"/>
      <c r="G338" s="139"/>
      <c r="H338" s="135"/>
      <c r="I338" s="141"/>
      <c r="J338" s="147" t="str">
        <f>IFERROR(__xludf.DUMMYFUNCTION("IF(ISBLANK(A338),IFERROR(1/0),IF(COUNT(FILTER(F:F,A:A=A338))&gt;1,TRUNC(N338*F338/SUM(FILTER(N:N,A:A=A338)),3),F338))"),"")</f>
        <v/>
      </c>
      <c r="K338" s="147" t="str">
        <f>IFERROR(__xludf.DUMMYFUNCTION("IF(ISBLANK(A338),IFERROR(1/0),IF(COUNT(FILTER(G:G,((A:A=A338)*(B:B=""V""))))&gt;1,TRUNC(N338*G338/SUM(FILTER(N:N,((A:A=A338)*(B:B=""V"")))),3),G338))"),"")</f>
        <v/>
      </c>
      <c r="L338" s="148" t="str">
        <f>IFERROR(__xludf.DUMMYFUNCTION("if($C338="""","""",iferror(if(row()&lt;&gt;2,INDEX(arrayformula(filter($M$2:$M337,$C$2:$C337&lt;&gt;"""",row($C$2:$C337)=max(if($C$2:$C337=C338,row($C$2:$C337),0)))) ,1),0),0))"),"")</f>
        <v/>
      </c>
      <c r="M338" s="148" t="str">
        <f t="shared" si="1"/>
        <v/>
      </c>
      <c r="N338" s="147" t="str">
        <f t="shared" si="2"/>
        <v/>
      </c>
      <c r="O338" s="147" t="str">
        <f t="shared" si="21"/>
        <v/>
      </c>
      <c r="P338" s="147" t="str">
        <f>IFERROR(__xludf.DUMMYFUNCTION("if(C338="""","""",iferror(if(row()&lt;&gt;2,INDEX(arrayformula(filter($Q$2:$Q337,$C$2:$C337&lt;&gt;"""",row($C$2:$C337)=max(if($C$2:$C337=C338,row($C$2:$C337),0)))) ,1),0),0))"),"")</f>
        <v/>
      </c>
      <c r="Q338" s="147" t="str">
        <f t="shared" si="22"/>
        <v/>
      </c>
      <c r="R338" s="147" t="str">
        <f t="shared" si="23"/>
        <v/>
      </c>
      <c r="S338" s="147" t="str">
        <f t="shared" si="24"/>
        <v/>
      </c>
      <c r="T338" s="147" t="str">
        <f t="shared" si="7"/>
        <v/>
      </c>
      <c r="U338" s="150" t="str">
        <f t="shared" si="8"/>
        <v/>
      </c>
      <c r="V338" s="151" t="str">
        <f>IFERROR(VLOOKUP(C338,Ativos!$A$1:$G2000,5,),)</f>
        <v/>
      </c>
    </row>
    <row r="339" ht="21.0" customHeight="1">
      <c r="A339" s="152"/>
      <c r="B339" s="160"/>
      <c r="C339" s="153"/>
      <c r="D339" s="154"/>
      <c r="E339" s="139"/>
      <c r="F339" s="139"/>
      <c r="G339" s="139"/>
      <c r="H339" s="135"/>
      <c r="I339" s="141"/>
      <c r="J339" s="147" t="str">
        <f>IFERROR(__xludf.DUMMYFUNCTION("IF(ISBLANK(A339),IFERROR(1/0),IF(COUNT(FILTER(F:F,A:A=A339))&gt;1,TRUNC(N339*F339/SUM(FILTER(N:N,A:A=A339)),3),F339))"),"")</f>
        <v/>
      </c>
      <c r="K339" s="147" t="str">
        <f>IFERROR(__xludf.DUMMYFUNCTION("IF(ISBLANK(A339),IFERROR(1/0),IF(COUNT(FILTER(G:G,((A:A=A339)*(B:B=""V""))))&gt;1,TRUNC(N339*G339/SUM(FILTER(N:N,((A:A=A339)*(B:B=""V"")))),3),G339))"),"")</f>
        <v/>
      </c>
      <c r="L339" s="148" t="str">
        <f>IFERROR(__xludf.DUMMYFUNCTION("if($C339="""","""",iferror(if(row()&lt;&gt;2,INDEX(arrayformula(filter($M$2:$M338,$C$2:$C338&lt;&gt;"""",row($C$2:$C338)=max(if($C$2:$C338=C339,row($C$2:$C338),0)))) ,1),0),0))"),"")</f>
        <v/>
      </c>
      <c r="M339" s="148" t="str">
        <f t="shared" si="1"/>
        <v/>
      </c>
      <c r="N339" s="147" t="str">
        <f t="shared" si="2"/>
        <v/>
      </c>
      <c r="O339" s="147" t="str">
        <f t="shared" si="21"/>
        <v/>
      </c>
      <c r="P339" s="147" t="str">
        <f>IFERROR(__xludf.DUMMYFUNCTION("if(C339="""","""",iferror(if(row()&lt;&gt;2,INDEX(arrayformula(filter($Q$2:$Q338,$C$2:$C338&lt;&gt;"""",row($C$2:$C338)=max(if($C$2:$C338=C339,row($C$2:$C338),0)))) ,1),0),0))"),"")</f>
        <v/>
      </c>
      <c r="Q339" s="147" t="str">
        <f t="shared" si="22"/>
        <v/>
      </c>
      <c r="R339" s="147" t="str">
        <f t="shared" si="23"/>
        <v/>
      </c>
      <c r="S339" s="147" t="str">
        <f t="shared" si="24"/>
        <v/>
      </c>
      <c r="T339" s="147" t="str">
        <f t="shared" si="7"/>
        <v/>
      </c>
      <c r="U339" s="150" t="str">
        <f t="shared" si="8"/>
        <v/>
      </c>
      <c r="V339" s="151" t="str">
        <f>IFERROR(VLOOKUP(C339,Ativos!$A$1:$G2000,5,),)</f>
        <v/>
      </c>
    </row>
    <row r="340" ht="21.0" customHeight="1">
      <c r="A340" s="152"/>
      <c r="B340" s="160"/>
      <c r="C340" s="153"/>
      <c r="D340" s="154"/>
      <c r="E340" s="139"/>
      <c r="F340" s="139"/>
      <c r="G340" s="139"/>
      <c r="H340" s="135"/>
      <c r="I340" s="141"/>
      <c r="J340" s="147" t="str">
        <f>IFERROR(__xludf.DUMMYFUNCTION("IF(ISBLANK(A340),IFERROR(1/0),IF(COUNT(FILTER(F:F,A:A=A340))&gt;1,TRUNC(N340*F340/SUM(FILTER(N:N,A:A=A340)),3),F340))"),"")</f>
        <v/>
      </c>
      <c r="K340" s="147" t="str">
        <f>IFERROR(__xludf.DUMMYFUNCTION("IF(ISBLANK(A340),IFERROR(1/0),IF(COUNT(FILTER(G:G,((A:A=A340)*(B:B=""V""))))&gt;1,TRUNC(N340*G340/SUM(FILTER(N:N,((A:A=A340)*(B:B=""V"")))),3),G340))"),"")</f>
        <v/>
      </c>
      <c r="L340" s="148" t="str">
        <f>IFERROR(__xludf.DUMMYFUNCTION("if($C340="""","""",iferror(if(row()&lt;&gt;2,INDEX(arrayformula(filter($M$2:$M339,$C$2:$C339&lt;&gt;"""",row($C$2:$C339)=max(if($C$2:$C339=C340,row($C$2:$C339),0)))) ,1),0),0))"),"")</f>
        <v/>
      </c>
      <c r="M340" s="148" t="str">
        <f t="shared" si="1"/>
        <v/>
      </c>
      <c r="N340" s="147" t="str">
        <f t="shared" si="2"/>
        <v/>
      </c>
      <c r="O340" s="147" t="str">
        <f t="shared" si="21"/>
        <v/>
      </c>
      <c r="P340" s="147" t="str">
        <f>IFERROR(__xludf.DUMMYFUNCTION("if(C340="""","""",iferror(if(row()&lt;&gt;2,INDEX(arrayformula(filter($Q$2:$Q339,$C$2:$C339&lt;&gt;"""",row($C$2:$C339)=max(if($C$2:$C339=C340,row($C$2:$C339),0)))) ,1),0),0))"),"")</f>
        <v/>
      </c>
      <c r="Q340" s="147" t="str">
        <f t="shared" si="22"/>
        <v/>
      </c>
      <c r="R340" s="147" t="str">
        <f t="shared" si="23"/>
        <v/>
      </c>
      <c r="S340" s="147" t="str">
        <f t="shared" si="24"/>
        <v/>
      </c>
      <c r="T340" s="147" t="str">
        <f t="shared" si="7"/>
        <v/>
      </c>
      <c r="U340" s="150" t="str">
        <f t="shared" si="8"/>
        <v/>
      </c>
      <c r="V340" s="151" t="str">
        <f>IFERROR(VLOOKUP(C340,Ativos!$A$1:$G2000,5,),)</f>
        <v/>
      </c>
    </row>
    <row r="341" ht="21.0" customHeight="1">
      <c r="A341" s="152"/>
      <c r="B341" s="160"/>
      <c r="C341" s="153"/>
      <c r="D341" s="154"/>
      <c r="E341" s="139"/>
      <c r="F341" s="139"/>
      <c r="G341" s="139"/>
      <c r="H341" s="135"/>
      <c r="I341" s="141"/>
      <c r="J341" s="147" t="str">
        <f>IFERROR(__xludf.DUMMYFUNCTION("IF(ISBLANK(A341),IFERROR(1/0),IF(COUNT(FILTER(F:F,A:A=A341))&gt;1,TRUNC(N341*F341/SUM(FILTER(N:N,A:A=A341)),3),F341))"),"")</f>
        <v/>
      </c>
      <c r="K341" s="147" t="str">
        <f>IFERROR(__xludf.DUMMYFUNCTION("IF(ISBLANK(A341),IFERROR(1/0),IF(COUNT(FILTER(G:G,((A:A=A341)*(B:B=""V""))))&gt;1,TRUNC(N341*G341/SUM(FILTER(N:N,((A:A=A341)*(B:B=""V"")))),3),G341))"),"")</f>
        <v/>
      </c>
      <c r="L341" s="148" t="str">
        <f>IFERROR(__xludf.DUMMYFUNCTION("if($C341="""","""",iferror(if(row()&lt;&gt;2,INDEX(arrayformula(filter($M$2:$M340,$C$2:$C340&lt;&gt;"""",row($C$2:$C340)=max(if($C$2:$C340=C341,row($C$2:$C340),0)))) ,1),0),0))"),"")</f>
        <v/>
      </c>
      <c r="M341" s="148" t="str">
        <f t="shared" si="1"/>
        <v/>
      </c>
      <c r="N341" s="147" t="str">
        <f t="shared" si="2"/>
        <v/>
      </c>
      <c r="O341" s="147" t="str">
        <f t="shared" si="21"/>
        <v/>
      </c>
      <c r="P341" s="147" t="str">
        <f>IFERROR(__xludf.DUMMYFUNCTION("if(C341="""","""",iferror(if(row()&lt;&gt;2,INDEX(arrayformula(filter($Q$2:$Q340,$C$2:$C340&lt;&gt;"""",row($C$2:$C340)=max(if($C$2:$C340=C341,row($C$2:$C340),0)))) ,1),0),0))"),"")</f>
        <v/>
      </c>
      <c r="Q341" s="147" t="str">
        <f t="shared" si="22"/>
        <v/>
      </c>
      <c r="R341" s="147" t="str">
        <f t="shared" si="23"/>
        <v/>
      </c>
      <c r="S341" s="147" t="str">
        <f t="shared" si="24"/>
        <v/>
      </c>
      <c r="T341" s="147" t="str">
        <f t="shared" si="7"/>
        <v/>
      </c>
      <c r="U341" s="150" t="str">
        <f t="shared" si="8"/>
        <v/>
      </c>
      <c r="V341" s="151" t="str">
        <f>IFERROR(VLOOKUP(C341,Ativos!$A$1:$G2000,5,),)</f>
        <v/>
      </c>
    </row>
    <row r="342" ht="21.0" customHeight="1">
      <c r="A342" s="152"/>
      <c r="B342" s="160"/>
      <c r="C342" s="153"/>
      <c r="D342" s="154"/>
      <c r="E342" s="139"/>
      <c r="F342" s="139"/>
      <c r="G342" s="139"/>
      <c r="H342" s="135"/>
      <c r="I342" s="141"/>
      <c r="J342" s="147" t="str">
        <f>IFERROR(__xludf.DUMMYFUNCTION("IF(ISBLANK(A342),IFERROR(1/0),IF(COUNT(FILTER(F:F,A:A=A342))&gt;1,TRUNC(N342*F342/SUM(FILTER(N:N,A:A=A342)),3),F342))"),"")</f>
        <v/>
      </c>
      <c r="K342" s="147" t="str">
        <f>IFERROR(__xludf.DUMMYFUNCTION("IF(ISBLANK(A342),IFERROR(1/0),IF(COUNT(FILTER(G:G,((A:A=A342)*(B:B=""V""))))&gt;1,TRUNC(N342*G342/SUM(FILTER(N:N,((A:A=A342)*(B:B=""V"")))),3),G342))"),"")</f>
        <v/>
      </c>
      <c r="L342" s="148" t="str">
        <f>IFERROR(__xludf.DUMMYFUNCTION("if($C342="""","""",iferror(if(row()&lt;&gt;2,INDEX(arrayformula(filter($M$2:$M341,$C$2:$C341&lt;&gt;"""",row($C$2:$C341)=max(if($C$2:$C341=C342,row($C$2:$C341),0)))) ,1),0),0))"),"")</f>
        <v/>
      </c>
      <c r="M342" s="148" t="str">
        <f t="shared" si="1"/>
        <v/>
      </c>
      <c r="N342" s="147" t="str">
        <f t="shared" si="2"/>
        <v/>
      </c>
      <c r="O342" s="147" t="str">
        <f t="shared" si="21"/>
        <v/>
      </c>
      <c r="P342" s="147" t="str">
        <f>IFERROR(__xludf.DUMMYFUNCTION("if(C342="""","""",iferror(if(row()&lt;&gt;2,INDEX(arrayformula(filter($Q$2:$Q341,$C$2:$C341&lt;&gt;"""",row($C$2:$C341)=max(if($C$2:$C341=C342,row($C$2:$C341),0)))) ,1),0),0))"),"")</f>
        <v/>
      </c>
      <c r="Q342" s="147" t="str">
        <f t="shared" si="22"/>
        <v/>
      </c>
      <c r="R342" s="147" t="str">
        <f t="shared" si="23"/>
        <v/>
      </c>
      <c r="S342" s="147" t="str">
        <f t="shared" si="24"/>
        <v/>
      </c>
      <c r="T342" s="147" t="str">
        <f t="shared" si="7"/>
        <v/>
      </c>
      <c r="U342" s="150" t="str">
        <f t="shared" si="8"/>
        <v/>
      </c>
      <c r="V342" s="151" t="str">
        <f>IFERROR(VLOOKUP(C342,Ativos!$A$1:$G2000,5,),)</f>
        <v/>
      </c>
    </row>
    <row r="343" ht="21.0" customHeight="1">
      <c r="A343" s="152"/>
      <c r="B343" s="160"/>
      <c r="C343" s="153"/>
      <c r="D343" s="154"/>
      <c r="E343" s="139"/>
      <c r="F343" s="139"/>
      <c r="G343" s="139"/>
      <c r="H343" s="135"/>
      <c r="I343" s="141"/>
      <c r="J343" s="147" t="str">
        <f>IFERROR(__xludf.DUMMYFUNCTION("IF(ISBLANK(A343),IFERROR(1/0),IF(COUNT(FILTER(F:F,A:A=A343))&gt;1,TRUNC(N343*F343/SUM(FILTER(N:N,A:A=A343)),3),F343))"),"")</f>
        <v/>
      </c>
      <c r="K343" s="147" t="str">
        <f>IFERROR(__xludf.DUMMYFUNCTION("IF(ISBLANK(A343),IFERROR(1/0),IF(COUNT(FILTER(G:G,((A:A=A343)*(B:B=""V""))))&gt;1,TRUNC(N343*G343/SUM(FILTER(N:N,((A:A=A343)*(B:B=""V"")))),3),G343))"),"")</f>
        <v/>
      </c>
      <c r="L343" s="148" t="str">
        <f>IFERROR(__xludf.DUMMYFUNCTION("if($C343="""","""",iferror(if(row()&lt;&gt;2,INDEX(arrayformula(filter($M$2:$M342,$C$2:$C342&lt;&gt;"""",row($C$2:$C342)=max(if($C$2:$C342=C343,row($C$2:$C342),0)))) ,1),0),0))"),"")</f>
        <v/>
      </c>
      <c r="M343" s="148" t="str">
        <f t="shared" si="1"/>
        <v/>
      </c>
      <c r="N343" s="147" t="str">
        <f t="shared" si="2"/>
        <v/>
      </c>
      <c r="O343" s="147" t="str">
        <f t="shared" si="21"/>
        <v/>
      </c>
      <c r="P343" s="147" t="str">
        <f>IFERROR(__xludf.DUMMYFUNCTION("if(C343="""","""",iferror(if(row()&lt;&gt;2,INDEX(arrayformula(filter($Q$2:$Q342,$C$2:$C342&lt;&gt;"""",row($C$2:$C342)=max(if($C$2:$C342=C343,row($C$2:$C342),0)))) ,1),0),0))"),"")</f>
        <v/>
      </c>
      <c r="Q343" s="147" t="str">
        <f t="shared" si="22"/>
        <v/>
      </c>
      <c r="R343" s="147" t="str">
        <f t="shared" si="23"/>
        <v/>
      </c>
      <c r="S343" s="147" t="str">
        <f t="shared" si="24"/>
        <v/>
      </c>
      <c r="T343" s="147" t="str">
        <f t="shared" si="7"/>
        <v/>
      </c>
      <c r="U343" s="150" t="str">
        <f t="shared" si="8"/>
        <v/>
      </c>
      <c r="V343" s="151" t="str">
        <f>IFERROR(VLOOKUP(C343,Ativos!$A$1:$G2000,5,),)</f>
        <v/>
      </c>
    </row>
    <row r="344" ht="21.0" customHeight="1">
      <c r="A344" s="152"/>
      <c r="B344" s="160"/>
      <c r="C344" s="153"/>
      <c r="D344" s="154"/>
      <c r="E344" s="139"/>
      <c r="F344" s="139"/>
      <c r="G344" s="139"/>
      <c r="H344" s="135"/>
      <c r="I344" s="141"/>
      <c r="J344" s="147" t="str">
        <f>IFERROR(__xludf.DUMMYFUNCTION("IF(ISBLANK(A344),IFERROR(1/0),IF(COUNT(FILTER(F:F,A:A=A344))&gt;1,TRUNC(N344*F344/SUM(FILTER(N:N,A:A=A344)),3),F344))"),"")</f>
        <v/>
      </c>
      <c r="K344" s="147" t="str">
        <f>IFERROR(__xludf.DUMMYFUNCTION("IF(ISBLANK(A344),IFERROR(1/0),IF(COUNT(FILTER(G:G,((A:A=A344)*(B:B=""V""))))&gt;1,TRUNC(N344*G344/SUM(FILTER(N:N,((A:A=A344)*(B:B=""V"")))),3),G344))"),"")</f>
        <v/>
      </c>
      <c r="L344" s="148" t="str">
        <f>IFERROR(__xludf.DUMMYFUNCTION("if($C344="""","""",iferror(if(row()&lt;&gt;2,INDEX(arrayformula(filter($M$2:$M343,$C$2:$C343&lt;&gt;"""",row($C$2:$C343)=max(if($C$2:$C343=C344,row($C$2:$C343),0)))) ,1),0),0))"),"")</f>
        <v/>
      </c>
      <c r="M344" s="148" t="str">
        <f t="shared" si="1"/>
        <v/>
      </c>
      <c r="N344" s="147" t="str">
        <f t="shared" si="2"/>
        <v/>
      </c>
      <c r="O344" s="147" t="str">
        <f t="shared" si="21"/>
        <v/>
      </c>
      <c r="P344" s="147" t="str">
        <f>IFERROR(__xludf.DUMMYFUNCTION("if(C344="""","""",iferror(if(row()&lt;&gt;2,INDEX(arrayformula(filter($Q$2:$Q343,$C$2:$C343&lt;&gt;"""",row($C$2:$C343)=max(if($C$2:$C343=C344,row($C$2:$C343),0)))) ,1),0),0))"),"")</f>
        <v/>
      </c>
      <c r="Q344" s="147" t="str">
        <f t="shared" si="22"/>
        <v/>
      </c>
      <c r="R344" s="147" t="str">
        <f t="shared" si="23"/>
        <v/>
      </c>
      <c r="S344" s="147" t="str">
        <f t="shared" si="24"/>
        <v/>
      </c>
      <c r="T344" s="147" t="str">
        <f t="shared" si="7"/>
        <v/>
      </c>
      <c r="U344" s="150" t="str">
        <f t="shared" si="8"/>
        <v/>
      </c>
      <c r="V344" s="151" t="str">
        <f>IFERROR(VLOOKUP(C344,Ativos!$A$1:$G2000,5,),)</f>
        <v/>
      </c>
    </row>
    <row r="345" ht="21.0" customHeight="1">
      <c r="A345" s="152"/>
      <c r="B345" s="160"/>
      <c r="C345" s="153"/>
      <c r="D345" s="154"/>
      <c r="E345" s="139"/>
      <c r="F345" s="139"/>
      <c r="G345" s="139"/>
      <c r="H345" s="135"/>
      <c r="I345" s="141"/>
      <c r="J345" s="147" t="str">
        <f>IFERROR(__xludf.DUMMYFUNCTION("IF(ISBLANK(A345),IFERROR(1/0),IF(COUNT(FILTER(F:F,A:A=A345))&gt;1,TRUNC(N345*F345/SUM(FILTER(N:N,A:A=A345)),3),F345))"),"")</f>
        <v/>
      </c>
      <c r="K345" s="147" t="str">
        <f>IFERROR(__xludf.DUMMYFUNCTION("IF(ISBLANK(A345),IFERROR(1/0),IF(COUNT(FILTER(G:G,((A:A=A345)*(B:B=""V""))))&gt;1,TRUNC(N345*G345/SUM(FILTER(N:N,((A:A=A345)*(B:B=""V"")))),3),G345))"),"")</f>
        <v/>
      </c>
      <c r="L345" s="148" t="str">
        <f>IFERROR(__xludf.DUMMYFUNCTION("if($C345="""","""",iferror(if(row()&lt;&gt;2,INDEX(arrayformula(filter($M$2:$M344,$C$2:$C344&lt;&gt;"""",row($C$2:$C344)=max(if($C$2:$C344=C345,row($C$2:$C344),0)))) ,1),0),0))"),"")</f>
        <v/>
      </c>
      <c r="M345" s="148" t="str">
        <f t="shared" si="1"/>
        <v/>
      </c>
      <c r="N345" s="147" t="str">
        <f t="shared" si="2"/>
        <v/>
      </c>
      <c r="O345" s="147" t="str">
        <f t="shared" si="21"/>
        <v/>
      </c>
      <c r="P345" s="147" t="str">
        <f>IFERROR(__xludf.DUMMYFUNCTION("if(C345="""","""",iferror(if(row()&lt;&gt;2,INDEX(arrayformula(filter($Q$2:$Q344,$C$2:$C344&lt;&gt;"""",row($C$2:$C344)=max(if($C$2:$C344=C345,row($C$2:$C344),0)))) ,1),0),0))"),"")</f>
        <v/>
      </c>
      <c r="Q345" s="147" t="str">
        <f t="shared" si="22"/>
        <v/>
      </c>
      <c r="R345" s="147" t="str">
        <f t="shared" si="23"/>
        <v/>
      </c>
      <c r="S345" s="147" t="str">
        <f t="shared" si="24"/>
        <v/>
      </c>
      <c r="T345" s="147" t="str">
        <f t="shared" si="7"/>
        <v/>
      </c>
      <c r="U345" s="150" t="str">
        <f t="shared" si="8"/>
        <v/>
      </c>
      <c r="V345" s="151" t="str">
        <f>IFERROR(VLOOKUP(C345,Ativos!$A$1:$G2000,5,),)</f>
        <v/>
      </c>
    </row>
    <row r="346" ht="21.0" customHeight="1">
      <c r="A346" s="152"/>
      <c r="B346" s="160"/>
      <c r="C346" s="153"/>
      <c r="D346" s="154"/>
      <c r="E346" s="139"/>
      <c r="F346" s="139"/>
      <c r="G346" s="139"/>
      <c r="H346" s="135"/>
      <c r="I346" s="141"/>
      <c r="J346" s="147" t="str">
        <f>IFERROR(__xludf.DUMMYFUNCTION("IF(ISBLANK(A346),IFERROR(1/0),IF(COUNT(FILTER(F:F,A:A=A346))&gt;1,TRUNC(N346*F346/SUM(FILTER(N:N,A:A=A346)),3),F346))"),"")</f>
        <v/>
      </c>
      <c r="K346" s="147" t="str">
        <f>IFERROR(__xludf.DUMMYFUNCTION("IF(ISBLANK(A346),IFERROR(1/0),IF(COUNT(FILTER(G:G,((A:A=A346)*(B:B=""V""))))&gt;1,TRUNC(N346*G346/SUM(FILTER(N:N,((A:A=A346)*(B:B=""V"")))),3),G346))"),"")</f>
        <v/>
      </c>
      <c r="L346" s="148" t="str">
        <f>IFERROR(__xludf.DUMMYFUNCTION("if($C346="""","""",iferror(if(row()&lt;&gt;2,INDEX(arrayformula(filter($M$2:$M345,$C$2:$C345&lt;&gt;"""",row($C$2:$C345)=max(if($C$2:$C345=C346,row($C$2:$C345),0)))) ,1),0),0))"),"")</f>
        <v/>
      </c>
      <c r="M346" s="148" t="str">
        <f t="shared" si="1"/>
        <v/>
      </c>
      <c r="N346" s="147" t="str">
        <f t="shared" si="2"/>
        <v/>
      </c>
      <c r="O346" s="147" t="str">
        <f t="shared" si="21"/>
        <v/>
      </c>
      <c r="P346" s="147" t="str">
        <f>IFERROR(__xludf.DUMMYFUNCTION("if(C346="""","""",iferror(if(row()&lt;&gt;2,INDEX(arrayformula(filter($Q$2:$Q345,$C$2:$C345&lt;&gt;"""",row($C$2:$C345)=max(if($C$2:$C345=C346,row($C$2:$C345),0)))) ,1),0),0))"),"")</f>
        <v/>
      </c>
      <c r="Q346" s="147" t="str">
        <f t="shared" si="22"/>
        <v/>
      </c>
      <c r="R346" s="147" t="str">
        <f t="shared" si="23"/>
        <v/>
      </c>
      <c r="S346" s="147" t="str">
        <f t="shared" si="24"/>
        <v/>
      </c>
      <c r="T346" s="147" t="str">
        <f t="shared" si="7"/>
        <v/>
      </c>
      <c r="U346" s="150" t="str">
        <f t="shared" si="8"/>
        <v/>
      </c>
      <c r="V346" s="151" t="str">
        <f>IFERROR(VLOOKUP(C346,Ativos!$A$1:$G2000,5,),)</f>
        <v/>
      </c>
    </row>
    <row r="347" ht="21.0" customHeight="1">
      <c r="A347" s="152"/>
      <c r="B347" s="160"/>
      <c r="C347" s="153"/>
      <c r="D347" s="154"/>
      <c r="E347" s="139"/>
      <c r="F347" s="139"/>
      <c r="G347" s="139"/>
      <c r="H347" s="135"/>
      <c r="I347" s="141"/>
      <c r="J347" s="147" t="str">
        <f>IFERROR(__xludf.DUMMYFUNCTION("IF(ISBLANK(A347),IFERROR(1/0),IF(COUNT(FILTER(F:F,A:A=A347))&gt;1,TRUNC(N347*F347/SUM(FILTER(N:N,A:A=A347)),3),F347))"),"")</f>
        <v/>
      </c>
      <c r="K347" s="147" t="str">
        <f>IFERROR(__xludf.DUMMYFUNCTION("IF(ISBLANK(A347),IFERROR(1/0),IF(COUNT(FILTER(G:G,((A:A=A347)*(B:B=""V""))))&gt;1,TRUNC(N347*G347/SUM(FILTER(N:N,((A:A=A347)*(B:B=""V"")))),3),G347))"),"")</f>
        <v/>
      </c>
      <c r="L347" s="148" t="str">
        <f>IFERROR(__xludf.DUMMYFUNCTION("if($C347="""","""",iferror(if(row()&lt;&gt;2,INDEX(arrayformula(filter($M$2:$M346,$C$2:$C346&lt;&gt;"""",row($C$2:$C346)=max(if($C$2:$C346=C347,row($C$2:$C346),0)))) ,1),0),0))"),"")</f>
        <v/>
      </c>
      <c r="M347" s="148" t="str">
        <f t="shared" si="1"/>
        <v/>
      </c>
      <c r="N347" s="147" t="str">
        <f t="shared" si="2"/>
        <v/>
      </c>
      <c r="O347" s="147" t="str">
        <f t="shared" si="21"/>
        <v/>
      </c>
      <c r="P347" s="147" t="str">
        <f>IFERROR(__xludf.DUMMYFUNCTION("if(C347="""","""",iferror(if(row()&lt;&gt;2,INDEX(arrayformula(filter($Q$2:$Q346,$C$2:$C346&lt;&gt;"""",row($C$2:$C346)=max(if($C$2:$C346=C347,row($C$2:$C346),0)))) ,1),0),0))"),"")</f>
        <v/>
      </c>
      <c r="Q347" s="147" t="str">
        <f t="shared" si="22"/>
        <v/>
      </c>
      <c r="R347" s="147" t="str">
        <f t="shared" si="23"/>
        <v/>
      </c>
      <c r="S347" s="147" t="str">
        <f t="shared" si="24"/>
        <v/>
      </c>
      <c r="T347" s="147" t="str">
        <f t="shared" si="7"/>
        <v/>
      </c>
      <c r="U347" s="150" t="str">
        <f t="shared" si="8"/>
        <v/>
      </c>
      <c r="V347" s="151" t="str">
        <f>IFERROR(VLOOKUP(C347,Ativos!$A$1:$G2000,5,),)</f>
        <v/>
      </c>
    </row>
    <row r="348" ht="21.0" customHeight="1">
      <c r="A348" s="152"/>
      <c r="B348" s="160"/>
      <c r="C348" s="153"/>
      <c r="D348" s="154"/>
      <c r="E348" s="139"/>
      <c r="F348" s="139"/>
      <c r="G348" s="139"/>
      <c r="H348" s="135"/>
      <c r="I348" s="141"/>
      <c r="J348" s="147" t="str">
        <f>IFERROR(__xludf.DUMMYFUNCTION("IF(ISBLANK(A348),IFERROR(1/0),IF(COUNT(FILTER(F:F,A:A=A348))&gt;1,TRUNC(N348*F348/SUM(FILTER(N:N,A:A=A348)),3),F348))"),"")</f>
        <v/>
      </c>
      <c r="K348" s="147" t="str">
        <f>IFERROR(__xludf.DUMMYFUNCTION("IF(ISBLANK(A348),IFERROR(1/0),IF(COUNT(FILTER(G:G,((A:A=A348)*(B:B=""V""))))&gt;1,TRUNC(N348*G348/SUM(FILTER(N:N,((A:A=A348)*(B:B=""V"")))),3),G348))"),"")</f>
        <v/>
      </c>
      <c r="L348" s="148" t="str">
        <f>IFERROR(__xludf.DUMMYFUNCTION("if($C348="""","""",iferror(if(row()&lt;&gt;2,INDEX(arrayformula(filter($M$2:$M347,$C$2:$C347&lt;&gt;"""",row($C$2:$C347)=max(if($C$2:$C347=C348,row($C$2:$C347),0)))) ,1),0),0))"),"")</f>
        <v/>
      </c>
      <c r="M348" s="148" t="str">
        <f t="shared" si="1"/>
        <v/>
      </c>
      <c r="N348" s="147" t="str">
        <f t="shared" si="2"/>
        <v/>
      </c>
      <c r="O348" s="147" t="str">
        <f t="shared" si="21"/>
        <v/>
      </c>
      <c r="P348" s="147" t="str">
        <f>IFERROR(__xludf.DUMMYFUNCTION("if(C348="""","""",iferror(if(row()&lt;&gt;2,INDEX(arrayformula(filter($Q$2:$Q347,$C$2:$C347&lt;&gt;"""",row($C$2:$C347)=max(if($C$2:$C347=C348,row($C$2:$C347),0)))) ,1),0),0))"),"")</f>
        <v/>
      </c>
      <c r="Q348" s="147" t="str">
        <f t="shared" si="22"/>
        <v/>
      </c>
      <c r="R348" s="147" t="str">
        <f t="shared" si="23"/>
        <v/>
      </c>
      <c r="S348" s="147" t="str">
        <f t="shared" si="24"/>
        <v/>
      </c>
      <c r="T348" s="147" t="str">
        <f t="shared" si="7"/>
        <v/>
      </c>
      <c r="U348" s="150" t="str">
        <f t="shared" si="8"/>
        <v/>
      </c>
      <c r="V348" s="151" t="str">
        <f>IFERROR(VLOOKUP(C348,Ativos!$A$1:$G2000,5,),)</f>
        <v/>
      </c>
    </row>
    <row r="349" ht="21.0" customHeight="1">
      <c r="A349" s="152"/>
      <c r="B349" s="160"/>
      <c r="C349" s="153"/>
      <c r="D349" s="154"/>
      <c r="E349" s="139"/>
      <c r="F349" s="139"/>
      <c r="G349" s="139"/>
      <c r="H349" s="135"/>
      <c r="I349" s="141"/>
      <c r="J349" s="147" t="str">
        <f>IFERROR(__xludf.DUMMYFUNCTION("IF(ISBLANK(A349),IFERROR(1/0),IF(COUNT(FILTER(F:F,A:A=A349))&gt;1,TRUNC(N349*F349/SUM(FILTER(N:N,A:A=A349)),3),F349))"),"")</f>
        <v/>
      </c>
      <c r="K349" s="147" t="str">
        <f>IFERROR(__xludf.DUMMYFUNCTION("IF(ISBLANK(A349),IFERROR(1/0),IF(COUNT(FILTER(G:G,((A:A=A349)*(B:B=""V""))))&gt;1,TRUNC(N349*G349/SUM(FILTER(N:N,((A:A=A349)*(B:B=""V"")))),3),G349))"),"")</f>
        <v/>
      </c>
      <c r="L349" s="148" t="str">
        <f>IFERROR(__xludf.DUMMYFUNCTION("if($C349="""","""",iferror(if(row()&lt;&gt;2,INDEX(arrayformula(filter($M$2:$M348,$C$2:$C348&lt;&gt;"""",row($C$2:$C348)=max(if($C$2:$C348=C349,row($C$2:$C348),0)))) ,1),0),0))"),"")</f>
        <v/>
      </c>
      <c r="M349" s="148" t="str">
        <f t="shared" si="1"/>
        <v/>
      </c>
      <c r="N349" s="147" t="str">
        <f t="shared" si="2"/>
        <v/>
      </c>
      <c r="O349" s="147" t="str">
        <f t="shared" si="21"/>
        <v/>
      </c>
      <c r="P349" s="147" t="str">
        <f>IFERROR(__xludf.DUMMYFUNCTION("if(C349="""","""",iferror(if(row()&lt;&gt;2,INDEX(arrayformula(filter($Q$2:$Q348,$C$2:$C348&lt;&gt;"""",row($C$2:$C348)=max(if($C$2:$C348=C349,row($C$2:$C348),0)))) ,1),0),0))"),"")</f>
        <v/>
      </c>
      <c r="Q349" s="147" t="str">
        <f t="shared" si="22"/>
        <v/>
      </c>
      <c r="R349" s="147" t="str">
        <f t="shared" si="23"/>
        <v/>
      </c>
      <c r="S349" s="147" t="str">
        <f t="shared" si="24"/>
        <v/>
      </c>
      <c r="T349" s="147" t="str">
        <f t="shared" si="7"/>
        <v/>
      </c>
      <c r="U349" s="150" t="str">
        <f t="shared" si="8"/>
        <v/>
      </c>
      <c r="V349" s="151" t="str">
        <f>IFERROR(VLOOKUP(C349,Ativos!$A$1:$G2000,5,),)</f>
        <v/>
      </c>
    </row>
    <row r="350" ht="21.0" customHeight="1">
      <c r="A350" s="152"/>
      <c r="B350" s="160"/>
      <c r="C350" s="153"/>
      <c r="D350" s="154"/>
      <c r="E350" s="139"/>
      <c r="F350" s="139"/>
      <c r="G350" s="139"/>
      <c r="H350" s="135"/>
      <c r="I350" s="141"/>
      <c r="J350" s="147" t="str">
        <f>IFERROR(__xludf.DUMMYFUNCTION("IF(ISBLANK(A350),IFERROR(1/0),IF(COUNT(FILTER(F:F,A:A=A350))&gt;1,TRUNC(N350*F350/SUM(FILTER(N:N,A:A=A350)),3),F350))"),"")</f>
        <v/>
      </c>
      <c r="K350" s="147" t="str">
        <f>IFERROR(__xludf.DUMMYFUNCTION("IF(ISBLANK(A350),IFERROR(1/0),IF(COUNT(FILTER(G:G,((A:A=A350)*(B:B=""V""))))&gt;1,TRUNC(N350*G350/SUM(FILTER(N:N,((A:A=A350)*(B:B=""V"")))),3),G350))"),"")</f>
        <v/>
      </c>
      <c r="L350" s="148" t="str">
        <f>IFERROR(__xludf.DUMMYFUNCTION("if($C350="""","""",iferror(if(row()&lt;&gt;2,INDEX(arrayformula(filter($M$2:$M349,$C$2:$C349&lt;&gt;"""",row($C$2:$C349)=max(if($C$2:$C349=C350,row($C$2:$C349),0)))) ,1),0),0))"),"")</f>
        <v/>
      </c>
      <c r="M350" s="148" t="str">
        <f t="shared" si="1"/>
        <v/>
      </c>
      <c r="N350" s="147" t="str">
        <f t="shared" si="2"/>
        <v/>
      </c>
      <c r="O350" s="147" t="str">
        <f t="shared" si="21"/>
        <v/>
      </c>
      <c r="P350" s="147" t="str">
        <f>IFERROR(__xludf.DUMMYFUNCTION("if(C350="""","""",iferror(if(row()&lt;&gt;2,INDEX(arrayformula(filter($Q$2:$Q349,$C$2:$C349&lt;&gt;"""",row($C$2:$C349)=max(if($C$2:$C349=C350,row($C$2:$C349),0)))) ,1),0),0))"),"")</f>
        <v/>
      </c>
      <c r="Q350" s="147" t="str">
        <f t="shared" si="22"/>
        <v/>
      </c>
      <c r="R350" s="147" t="str">
        <f t="shared" si="23"/>
        <v/>
      </c>
      <c r="S350" s="147" t="str">
        <f t="shared" si="24"/>
        <v/>
      </c>
      <c r="T350" s="147" t="str">
        <f t="shared" si="7"/>
        <v/>
      </c>
      <c r="U350" s="150" t="str">
        <f t="shared" si="8"/>
        <v/>
      </c>
      <c r="V350" s="151" t="str">
        <f>IFERROR(VLOOKUP(C350,Ativos!$A$1:$G2000,5,),)</f>
        <v/>
      </c>
    </row>
    <row r="351" ht="21.0" customHeight="1">
      <c r="A351" s="152"/>
      <c r="B351" s="160"/>
      <c r="C351" s="153"/>
      <c r="D351" s="154"/>
      <c r="E351" s="139"/>
      <c r="F351" s="139"/>
      <c r="G351" s="139"/>
      <c r="H351" s="135"/>
      <c r="I351" s="141"/>
      <c r="J351" s="147" t="str">
        <f>IFERROR(__xludf.DUMMYFUNCTION("IF(ISBLANK(A351),IFERROR(1/0),IF(COUNT(FILTER(F:F,A:A=A351))&gt;1,TRUNC(N351*F351/SUM(FILTER(N:N,A:A=A351)),3),F351))"),"")</f>
        <v/>
      </c>
      <c r="K351" s="147" t="str">
        <f>IFERROR(__xludf.DUMMYFUNCTION("IF(ISBLANK(A351),IFERROR(1/0),IF(COUNT(FILTER(G:G,((A:A=A351)*(B:B=""V""))))&gt;1,TRUNC(N351*G351/SUM(FILTER(N:N,((A:A=A351)*(B:B=""V"")))),3),G351))"),"")</f>
        <v/>
      </c>
      <c r="L351" s="148" t="str">
        <f>IFERROR(__xludf.DUMMYFUNCTION("if($C351="""","""",iferror(if(row()&lt;&gt;2,INDEX(arrayformula(filter($M$2:$M350,$C$2:$C350&lt;&gt;"""",row($C$2:$C350)=max(if($C$2:$C350=C351,row($C$2:$C350),0)))) ,1),0),0))"),"")</f>
        <v/>
      </c>
      <c r="M351" s="148" t="str">
        <f t="shared" si="1"/>
        <v/>
      </c>
      <c r="N351" s="147" t="str">
        <f t="shared" si="2"/>
        <v/>
      </c>
      <c r="O351" s="147" t="str">
        <f t="shared" si="21"/>
        <v/>
      </c>
      <c r="P351" s="147" t="str">
        <f>IFERROR(__xludf.DUMMYFUNCTION("if(C351="""","""",iferror(if(row()&lt;&gt;2,INDEX(arrayformula(filter($Q$2:$Q350,$C$2:$C350&lt;&gt;"""",row($C$2:$C350)=max(if($C$2:$C350=C351,row($C$2:$C350),0)))) ,1),0),0))"),"")</f>
        <v/>
      </c>
      <c r="Q351" s="147" t="str">
        <f t="shared" si="22"/>
        <v/>
      </c>
      <c r="R351" s="147" t="str">
        <f t="shared" si="23"/>
        <v/>
      </c>
      <c r="S351" s="147" t="str">
        <f t="shared" si="24"/>
        <v/>
      </c>
      <c r="T351" s="147" t="str">
        <f t="shared" si="7"/>
        <v/>
      </c>
      <c r="U351" s="150" t="str">
        <f t="shared" si="8"/>
        <v/>
      </c>
      <c r="V351" s="151" t="str">
        <f>IFERROR(VLOOKUP(C351,Ativos!$A$1:$G2000,5,),)</f>
        <v/>
      </c>
    </row>
    <row r="352" ht="21.0" customHeight="1">
      <c r="A352" s="152"/>
      <c r="B352" s="160"/>
      <c r="C352" s="153"/>
      <c r="D352" s="154"/>
      <c r="E352" s="139"/>
      <c r="F352" s="139"/>
      <c r="G352" s="139"/>
      <c r="H352" s="135"/>
      <c r="I352" s="141"/>
      <c r="J352" s="147" t="str">
        <f>IFERROR(__xludf.DUMMYFUNCTION("IF(ISBLANK(A352),IFERROR(1/0),IF(COUNT(FILTER(F:F,A:A=A352))&gt;1,TRUNC(N352*F352/SUM(FILTER(N:N,A:A=A352)),3),F352))"),"")</f>
        <v/>
      </c>
      <c r="K352" s="147" t="str">
        <f>IFERROR(__xludf.DUMMYFUNCTION("IF(ISBLANK(A352),IFERROR(1/0),IF(COUNT(FILTER(G:G,((A:A=A352)*(B:B=""V""))))&gt;1,TRUNC(N352*G352/SUM(FILTER(N:N,((A:A=A352)*(B:B=""V"")))),3),G352))"),"")</f>
        <v/>
      </c>
      <c r="L352" s="148" t="str">
        <f>IFERROR(__xludf.DUMMYFUNCTION("if($C352="""","""",iferror(if(row()&lt;&gt;2,INDEX(arrayformula(filter($M$2:$M351,$C$2:$C351&lt;&gt;"""",row($C$2:$C351)=max(if($C$2:$C351=C352,row($C$2:$C351),0)))) ,1),0),0))"),"")</f>
        <v/>
      </c>
      <c r="M352" s="148" t="str">
        <f t="shared" si="1"/>
        <v/>
      </c>
      <c r="N352" s="147" t="str">
        <f t="shared" si="2"/>
        <v/>
      </c>
      <c r="O352" s="147" t="str">
        <f t="shared" si="21"/>
        <v/>
      </c>
      <c r="P352" s="147" t="str">
        <f>IFERROR(__xludf.DUMMYFUNCTION("if(C352="""","""",iferror(if(row()&lt;&gt;2,INDEX(arrayformula(filter($Q$2:$Q351,$C$2:$C351&lt;&gt;"""",row($C$2:$C351)=max(if($C$2:$C351=C352,row($C$2:$C351),0)))) ,1),0),0))"),"")</f>
        <v/>
      </c>
      <c r="Q352" s="147" t="str">
        <f t="shared" si="22"/>
        <v/>
      </c>
      <c r="R352" s="147" t="str">
        <f t="shared" si="23"/>
        <v/>
      </c>
      <c r="S352" s="147" t="str">
        <f t="shared" si="24"/>
        <v/>
      </c>
      <c r="T352" s="147" t="str">
        <f t="shared" si="7"/>
        <v/>
      </c>
      <c r="U352" s="150" t="str">
        <f t="shared" si="8"/>
        <v/>
      </c>
      <c r="V352" s="151" t="str">
        <f>IFERROR(VLOOKUP(C352,Ativos!$A$1:$G2000,5,),)</f>
        <v/>
      </c>
    </row>
    <row r="353" ht="21.0" customHeight="1">
      <c r="A353" s="152"/>
      <c r="B353" s="160"/>
      <c r="C353" s="153"/>
      <c r="D353" s="154"/>
      <c r="E353" s="139"/>
      <c r="F353" s="139"/>
      <c r="G353" s="139"/>
      <c r="H353" s="135"/>
      <c r="I353" s="141"/>
      <c r="J353" s="147" t="str">
        <f>IFERROR(__xludf.DUMMYFUNCTION("IF(ISBLANK(A353),IFERROR(1/0),IF(COUNT(FILTER(F:F,A:A=A353))&gt;1,TRUNC(N353*F353/SUM(FILTER(N:N,A:A=A353)),3),F353))"),"")</f>
        <v/>
      </c>
      <c r="K353" s="147" t="str">
        <f>IFERROR(__xludf.DUMMYFUNCTION("IF(ISBLANK(A353),IFERROR(1/0),IF(COUNT(FILTER(G:G,((A:A=A353)*(B:B=""V""))))&gt;1,TRUNC(N353*G353/SUM(FILTER(N:N,((A:A=A353)*(B:B=""V"")))),3),G353))"),"")</f>
        <v/>
      </c>
      <c r="L353" s="148" t="str">
        <f>IFERROR(__xludf.DUMMYFUNCTION("if($C353="""","""",iferror(if(row()&lt;&gt;2,INDEX(arrayformula(filter($M$2:$M352,$C$2:$C352&lt;&gt;"""",row($C$2:$C352)=max(if($C$2:$C352=C353,row($C$2:$C352),0)))) ,1),0),0))"),"")</f>
        <v/>
      </c>
      <c r="M353" s="148" t="str">
        <f t="shared" si="1"/>
        <v/>
      </c>
      <c r="N353" s="147" t="str">
        <f t="shared" si="2"/>
        <v/>
      </c>
      <c r="O353" s="147" t="str">
        <f t="shared" si="21"/>
        <v/>
      </c>
      <c r="P353" s="147" t="str">
        <f>IFERROR(__xludf.DUMMYFUNCTION("if(C353="""","""",iferror(if(row()&lt;&gt;2,INDEX(arrayformula(filter($Q$2:$Q352,$C$2:$C352&lt;&gt;"""",row($C$2:$C352)=max(if($C$2:$C352=C353,row($C$2:$C352),0)))) ,1),0),0))"),"")</f>
        <v/>
      </c>
      <c r="Q353" s="147" t="str">
        <f t="shared" si="22"/>
        <v/>
      </c>
      <c r="R353" s="147" t="str">
        <f t="shared" si="23"/>
        <v/>
      </c>
      <c r="S353" s="147" t="str">
        <f t="shared" si="24"/>
        <v/>
      </c>
      <c r="T353" s="147" t="str">
        <f t="shared" si="7"/>
        <v/>
      </c>
      <c r="U353" s="150" t="str">
        <f t="shared" si="8"/>
        <v/>
      </c>
      <c r="V353" s="151" t="str">
        <f>IFERROR(VLOOKUP(C353,Ativos!$A$1:$G2000,5,),)</f>
        <v/>
      </c>
    </row>
    <row r="354" ht="21.0" customHeight="1">
      <c r="A354" s="152"/>
      <c r="B354" s="160"/>
      <c r="C354" s="153"/>
      <c r="D354" s="154"/>
      <c r="E354" s="139"/>
      <c r="F354" s="139"/>
      <c r="G354" s="139"/>
      <c r="H354" s="135"/>
      <c r="I354" s="141"/>
      <c r="J354" s="147" t="str">
        <f>IFERROR(__xludf.DUMMYFUNCTION("IF(ISBLANK(A354),IFERROR(1/0),IF(COUNT(FILTER(F:F,A:A=A354))&gt;1,TRUNC(N354*F354/SUM(FILTER(N:N,A:A=A354)),3),F354))"),"")</f>
        <v/>
      </c>
      <c r="K354" s="147" t="str">
        <f>IFERROR(__xludf.DUMMYFUNCTION("IF(ISBLANK(A354),IFERROR(1/0),IF(COUNT(FILTER(G:G,((A:A=A354)*(B:B=""V""))))&gt;1,TRUNC(N354*G354/SUM(FILTER(N:N,((A:A=A354)*(B:B=""V"")))),3),G354))"),"")</f>
        <v/>
      </c>
      <c r="L354" s="148" t="str">
        <f>IFERROR(__xludf.DUMMYFUNCTION("if($C354="""","""",iferror(if(row()&lt;&gt;2,INDEX(arrayformula(filter($M$2:$M353,$C$2:$C353&lt;&gt;"""",row($C$2:$C353)=max(if($C$2:$C353=C354,row($C$2:$C353),0)))) ,1),0),0))"),"")</f>
        <v/>
      </c>
      <c r="M354" s="148" t="str">
        <f t="shared" si="1"/>
        <v/>
      </c>
      <c r="N354" s="147" t="str">
        <f t="shared" si="2"/>
        <v/>
      </c>
      <c r="O354" s="147" t="str">
        <f t="shared" si="21"/>
        <v/>
      </c>
      <c r="P354" s="147" t="str">
        <f>IFERROR(__xludf.DUMMYFUNCTION("if(C354="""","""",iferror(if(row()&lt;&gt;2,INDEX(arrayformula(filter($Q$2:$Q353,$C$2:$C353&lt;&gt;"""",row($C$2:$C353)=max(if($C$2:$C353=C354,row($C$2:$C353),0)))) ,1),0),0))"),"")</f>
        <v/>
      </c>
      <c r="Q354" s="147" t="str">
        <f t="shared" si="22"/>
        <v/>
      </c>
      <c r="R354" s="147" t="str">
        <f t="shared" si="23"/>
        <v/>
      </c>
      <c r="S354" s="147" t="str">
        <f t="shared" si="24"/>
        <v/>
      </c>
      <c r="T354" s="147" t="str">
        <f t="shared" si="7"/>
        <v/>
      </c>
      <c r="U354" s="150" t="str">
        <f t="shared" si="8"/>
        <v/>
      </c>
      <c r="V354" s="151" t="str">
        <f>IFERROR(VLOOKUP(C354,Ativos!$A$1:$G2000,5,),)</f>
        <v/>
      </c>
    </row>
    <row r="355" ht="21.0" customHeight="1">
      <c r="A355" s="152"/>
      <c r="B355" s="160"/>
      <c r="C355" s="153"/>
      <c r="D355" s="154"/>
      <c r="E355" s="139"/>
      <c r="F355" s="139"/>
      <c r="G355" s="139"/>
      <c r="H355" s="135"/>
      <c r="I355" s="141"/>
      <c r="J355" s="147" t="str">
        <f>IFERROR(__xludf.DUMMYFUNCTION("IF(ISBLANK(A355),IFERROR(1/0),IF(COUNT(FILTER(F:F,A:A=A355))&gt;1,TRUNC(N355*F355/SUM(FILTER(N:N,A:A=A355)),3),F355))"),"")</f>
        <v/>
      </c>
      <c r="K355" s="147" t="str">
        <f>IFERROR(__xludf.DUMMYFUNCTION("IF(ISBLANK(A355),IFERROR(1/0),IF(COUNT(FILTER(G:G,((A:A=A355)*(B:B=""V""))))&gt;1,TRUNC(N355*G355/SUM(FILTER(N:N,((A:A=A355)*(B:B=""V"")))),3),G355))"),"")</f>
        <v/>
      </c>
      <c r="L355" s="148" t="str">
        <f>IFERROR(__xludf.DUMMYFUNCTION("if($C355="""","""",iferror(if(row()&lt;&gt;2,INDEX(arrayformula(filter($M$2:$M354,$C$2:$C354&lt;&gt;"""",row($C$2:$C354)=max(if($C$2:$C354=C355,row($C$2:$C354),0)))) ,1),0),0))"),"")</f>
        <v/>
      </c>
      <c r="M355" s="148" t="str">
        <f t="shared" si="1"/>
        <v/>
      </c>
      <c r="N355" s="147" t="str">
        <f t="shared" si="2"/>
        <v/>
      </c>
      <c r="O355" s="147" t="str">
        <f t="shared" si="21"/>
        <v/>
      </c>
      <c r="P355" s="147" t="str">
        <f>IFERROR(__xludf.DUMMYFUNCTION("if(C355="""","""",iferror(if(row()&lt;&gt;2,INDEX(arrayformula(filter($Q$2:$Q354,$C$2:$C354&lt;&gt;"""",row($C$2:$C354)=max(if($C$2:$C354=C355,row($C$2:$C354),0)))) ,1),0),0))"),"")</f>
        <v/>
      </c>
      <c r="Q355" s="147" t="str">
        <f t="shared" si="22"/>
        <v/>
      </c>
      <c r="R355" s="147" t="str">
        <f t="shared" si="23"/>
        <v/>
      </c>
      <c r="S355" s="147" t="str">
        <f t="shared" si="24"/>
        <v/>
      </c>
      <c r="T355" s="147" t="str">
        <f t="shared" si="7"/>
        <v/>
      </c>
      <c r="U355" s="150" t="str">
        <f t="shared" si="8"/>
        <v/>
      </c>
      <c r="V355" s="151" t="str">
        <f>IFERROR(VLOOKUP(C355,Ativos!$A$1:$G2000,5,),)</f>
        <v/>
      </c>
    </row>
    <row r="356" ht="21.0" customHeight="1">
      <c r="A356" s="152"/>
      <c r="B356" s="160"/>
      <c r="C356" s="153"/>
      <c r="D356" s="154"/>
      <c r="E356" s="139"/>
      <c r="F356" s="139"/>
      <c r="G356" s="139"/>
      <c r="H356" s="135"/>
      <c r="I356" s="141"/>
      <c r="J356" s="147" t="str">
        <f>IFERROR(__xludf.DUMMYFUNCTION("IF(ISBLANK(A356),IFERROR(1/0),IF(COUNT(FILTER(F:F,A:A=A356))&gt;1,TRUNC(N356*F356/SUM(FILTER(N:N,A:A=A356)),3),F356))"),"")</f>
        <v/>
      </c>
      <c r="K356" s="147" t="str">
        <f>IFERROR(__xludf.DUMMYFUNCTION("IF(ISBLANK(A356),IFERROR(1/0),IF(COUNT(FILTER(G:G,((A:A=A356)*(B:B=""V""))))&gt;1,TRUNC(N356*G356/SUM(FILTER(N:N,((A:A=A356)*(B:B=""V"")))),3),G356))"),"")</f>
        <v/>
      </c>
      <c r="L356" s="148" t="str">
        <f>IFERROR(__xludf.DUMMYFUNCTION("if($C356="""","""",iferror(if(row()&lt;&gt;2,INDEX(arrayformula(filter($M$2:$M355,$C$2:$C355&lt;&gt;"""",row($C$2:$C355)=max(if($C$2:$C355=C356,row($C$2:$C355),0)))) ,1),0),0))"),"")</f>
        <v/>
      </c>
      <c r="M356" s="148" t="str">
        <f t="shared" si="1"/>
        <v/>
      </c>
      <c r="N356" s="147" t="str">
        <f t="shared" si="2"/>
        <v/>
      </c>
      <c r="O356" s="147" t="str">
        <f t="shared" si="21"/>
        <v/>
      </c>
      <c r="P356" s="147" t="str">
        <f>IFERROR(__xludf.DUMMYFUNCTION("if(C356="""","""",iferror(if(row()&lt;&gt;2,INDEX(arrayformula(filter($Q$2:$Q355,$C$2:$C355&lt;&gt;"""",row($C$2:$C355)=max(if($C$2:$C355=C356,row($C$2:$C355),0)))) ,1),0),0))"),"")</f>
        <v/>
      </c>
      <c r="Q356" s="147" t="str">
        <f t="shared" si="22"/>
        <v/>
      </c>
      <c r="R356" s="147" t="str">
        <f t="shared" si="23"/>
        <v/>
      </c>
      <c r="S356" s="147" t="str">
        <f t="shared" si="24"/>
        <v/>
      </c>
      <c r="T356" s="147" t="str">
        <f t="shared" si="7"/>
        <v/>
      </c>
      <c r="U356" s="150" t="str">
        <f t="shared" si="8"/>
        <v/>
      </c>
      <c r="V356" s="151" t="str">
        <f>IFERROR(VLOOKUP(C356,Ativos!$A$1:$G2000,5,),)</f>
        <v/>
      </c>
    </row>
    <row r="357" ht="21.0" customHeight="1">
      <c r="A357" s="152"/>
      <c r="B357" s="160"/>
      <c r="C357" s="153"/>
      <c r="D357" s="154"/>
      <c r="E357" s="139"/>
      <c r="F357" s="139"/>
      <c r="G357" s="139"/>
      <c r="H357" s="135"/>
      <c r="I357" s="141"/>
      <c r="J357" s="147" t="str">
        <f>IFERROR(__xludf.DUMMYFUNCTION("IF(ISBLANK(A357),IFERROR(1/0),IF(COUNT(FILTER(F:F,A:A=A357))&gt;1,TRUNC(N357*F357/SUM(FILTER(N:N,A:A=A357)),3),F357))"),"")</f>
        <v/>
      </c>
      <c r="K357" s="147" t="str">
        <f>IFERROR(__xludf.DUMMYFUNCTION("IF(ISBLANK(A357),IFERROR(1/0),IF(COUNT(FILTER(G:G,((A:A=A357)*(B:B=""V""))))&gt;1,TRUNC(N357*G357/SUM(FILTER(N:N,((A:A=A357)*(B:B=""V"")))),3),G357))"),"")</f>
        <v/>
      </c>
      <c r="L357" s="148" t="str">
        <f>IFERROR(__xludf.DUMMYFUNCTION("if($C357="""","""",iferror(if(row()&lt;&gt;2,INDEX(arrayformula(filter($M$2:$M356,$C$2:$C356&lt;&gt;"""",row($C$2:$C356)=max(if($C$2:$C356=C357,row($C$2:$C356),0)))) ,1),0),0))"),"")</f>
        <v/>
      </c>
      <c r="M357" s="148" t="str">
        <f t="shared" si="1"/>
        <v/>
      </c>
      <c r="N357" s="147" t="str">
        <f t="shared" si="2"/>
        <v/>
      </c>
      <c r="O357" s="147" t="str">
        <f t="shared" si="21"/>
        <v/>
      </c>
      <c r="P357" s="147" t="str">
        <f>IFERROR(__xludf.DUMMYFUNCTION("if(C357="""","""",iferror(if(row()&lt;&gt;2,INDEX(arrayformula(filter($Q$2:$Q356,$C$2:$C356&lt;&gt;"""",row($C$2:$C356)=max(if($C$2:$C356=C357,row($C$2:$C356),0)))) ,1),0),0))"),"")</f>
        <v/>
      </c>
      <c r="Q357" s="147" t="str">
        <f t="shared" si="22"/>
        <v/>
      </c>
      <c r="R357" s="147" t="str">
        <f t="shared" si="23"/>
        <v/>
      </c>
      <c r="S357" s="147" t="str">
        <f t="shared" si="24"/>
        <v/>
      </c>
      <c r="T357" s="147" t="str">
        <f t="shared" si="7"/>
        <v/>
      </c>
      <c r="U357" s="150" t="str">
        <f t="shared" si="8"/>
        <v/>
      </c>
      <c r="V357" s="151" t="str">
        <f>IFERROR(VLOOKUP(C357,Ativos!$A$1:$G2000,5,),)</f>
        <v/>
      </c>
    </row>
    <row r="358" ht="21.0" customHeight="1">
      <c r="A358" s="152"/>
      <c r="B358" s="160"/>
      <c r="C358" s="153"/>
      <c r="D358" s="154"/>
      <c r="E358" s="139"/>
      <c r="F358" s="139"/>
      <c r="G358" s="139"/>
      <c r="H358" s="135"/>
      <c r="I358" s="141"/>
      <c r="J358" s="147" t="str">
        <f>IFERROR(__xludf.DUMMYFUNCTION("IF(ISBLANK(A358),IFERROR(1/0),IF(COUNT(FILTER(F:F,A:A=A358))&gt;1,TRUNC(N358*F358/SUM(FILTER(N:N,A:A=A358)),3),F358))"),"")</f>
        <v/>
      </c>
      <c r="K358" s="147" t="str">
        <f>IFERROR(__xludf.DUMMYFUNCTION("IF(ISBLANK(A358),IFERROR(1/0),IF(COUNT(FILTER(G:G,((A:A=A358)*(B:B=""V""))))&gt;1,TRUNC(N358*G358/SUM(FILTER(N:N,((A:A=A358)*(B:B=""V"")))),3),G358))"),"")</f>
        <v/>
      </c>
      <c r="L358" s="148" t="str">
        <f>IFERROR(__xludf.DUMMYFUNCTION("if($C358="""","""",iferror(if(row()&lt;&gt;2,INDEX(arrayformula(filter($M$2:$M357,$C$2:$C357&lt;&gt;"""",row($C$2:$C357)=max(if($C$2:$C357=C358,row($C$2:$C357),0)))) ,1),0),0))"),"")</f>
        <v/>
      </c>
      <c r="M358" s="148" t="str">
        <f t="shared" si="1"/>
        <v/>
      </c>
      <c r="N358" s="147" t="str">
        <f t="shared" si="2"/>
        <v/>
      </c>
      <c r="O358" s="147" t="str">
        <f t="shared" si="21"/>
        <v/>
      </c>
      <c r="P358" s="147" t="str">
        <f>IFERROR(__xludf.DUMMYFUNCTION("if(C358="""","""",iferror(if(row()&lt;&gt;2,INDEX(arrayformula(filter($Q$2:$Q357,$C$2:$C357&lt;&gt;"""",row($C$2:$C357)=max(if($C$2:$C357=C358,row($C$2:$C357),0)))) ,1),0),0))"),"")</f>
        <v/>
      </c>
      <c r="Q358" s="147" t="str">
        <f t="shared" si="22"/>
        <v/>
      </c>
      <c r="R358" s="147" t="str">
        <f t="shared" si="23"/>
        <v/>
      </c>
      <c r="S358" s="147" t="str">
        <f t="shared" si="24"/>
        <v/>
      </c>
      <c r="T358" s="147" t="str">
        <f t="shared" si="7"/>
        <v/>
      </c>
      <c r="U358" s="150" t="str">
        <f t="shared" si="8"/>
        <v/>
      </c>
      <c r="V358" s="151" t="str">
        <f>IFERROR(VLOOKUP(C358,Ativos!$A$1:$G2000,5,),)</f>
        <v/>
      </c>
    </row>
    <row r="359" ht="21.0" customHeight="1">
      <c r="A359" s="152"/>
      <c r="B359" s="160"/>
      <c r="C359" s="153"/>
      <c r="D359" s="154"/>
      <c r="E359" s="139"/>
      <c r="F359" s="139"/>
      <c r="G359" s="139"/>
      <c r="H359" s="135"/>
      <c r="I359" s="141"/>
      <c r="J359" s="147" t="str">
        <f>IFERROR(__xludf.DUMMYFUNCTION("IF(ISBLANK(A359),IFERROR(1/0),IF(COUNT(FILTER(F:F,A:A=A359))&gt;1,TRUNC(N359*F359/SUM(FILTER(N:N,A:A=A359)),3),F359))"),"")</f>
        <v/>
      </c>
      <c r="K359" s="147" t="str">
        <f>IFERROR(__xludf.DUMMYFUNCTION("IF(ISBLANK(A359),IFERROR(1/0),IF(COUNT(FILTER(G:G,((A:A=A359)*(B:B=""V""))))&gt;1,TRUNC(N359*G359/SUM(FILTER(N:N,((A:A=A359)*(B:B=""V"")))),3),G359))"),"")</f>
        <v/>
      </c>
      <c r="L359" s="148" t="str">
        <f>IFERROR(__xludf.DUMMYFUNCTION("if($C359="""","""",iferror(if(row()&lt;&gt;2,INDEX(arrayformula(filter($M$2:$M358,$C$2:$C358&lt;&gt;"""",row($C$2:$C358)=max(if($C$2:$C358=C359,row($C$2:$C358),0)))) ,1),0),0))"),"")</f>
        <v/>
      </c>
      <c r="M359" s="148" t="str">
        <f t="shared" si="1"/>
        <v/>
      </c>
      <c r="N359" s="147" t="str">
        <f t="shared" si="2"/>
        <v/>
      </c>
      <c r="O359" s="147" t="str">
        <f t="shared" si="21"/>
        <v/>
      </c>
      <c r="P359" s="147" t="str">
        <f>IFERROR(__xludf.DUMMYFUNCTION("if(C359="""","""",iferror(if(row()&lt;&gt;2,INDEX(arrayformula(filter($Q$2:$Q358,$C$2:$C358&lt;&gt;"""",row($C$2:$C358)=max(if($C$2:$C358=C359,row($C$2:$C358),0)))) ,1),0),0))"),"")</f>
        <v/>
      </c>
      <c r="Q359" s="147" t="str">
        <f t="shared" si="22"/>
        <v/>
      </c>
      <c r="R359" s="147" t="str">
        <f t="shared" si="23"/>
        <v/>
      </c>
      <c r="S359" s="147" t="str">
        <f t="shared" si="24"/>
        <v/>
      </c>
      <c r="T359" s="147" t="str">
        <f t="shared" si="7"/>
        <v/>
      </c>
      <c r="U359" s="150" t="str">
        <f t="shared" si="8"/>
        <v/>
      </c>
      <c r="V359" s="151" t="str">
        <f>IFERROR(VLOOKUP(C359,Ativos!$A$1:$G2000,5,),)</f>
        <v/>
      </c>
    </row>
    <row r="360" ht="21.0" customHeight="1">
      <c r="A360" s="152"/>
      <c r="B360" s="160"/>
      <c r="C360" s="153"/>
      <c r="D360" s="154"/>
      <c r="E360" s="139"/>
      <c r="F360" s="139"/>
      <c r="G360" s="139"/>
      <c r="H360" s="135"/>
      <c r="I360" s="141"/>
      <c r="J360" s="147" t="str">
        <f>IFERROR(__xludf.DUMMYFUNCTION("IF(ISBLANK(A360),IFERROR(1/0),IF(COUNT(FILTER(F:F,A:A=A360))&gt;1,TRUNC(N360*F360/SUM(FILTER(N:N,A:A=A360)),3),F360))"),"")</f>
        <v/>
      </c>
      <c r="K360" s="147" t="str">
        <f>IFERROR(__xludf.DUMMYFUNCTION("IF(ISBLANK(A360),IFERROR(1/0),IF(COUNT(FILTER(G:G,((A:A=A360)*(B:B=""V""))))&gt;1,TRUNC(N360*G360/SUM(FILTER(N:N,((A:A=A360)*(B:B=""V"")))),3),G360))"),"")</f>
        <v/>
      </c>
      <c r="L360" s="148" t="str">
        <f>IFERROR(__xludf.DUMMYFUNCTION("if($C360="""","""",iferror(if(row()&lt;&gt;2,INDEX(arrayformula(filter($M$2:$M359,$C$2:$C359&lt;&gt;"""",row($C$2:$C359)=max(if($C$2:$C359=C360,row($C$2:$C359),0)))) ,1),0),0))"),"")</f>
        <v/>
      </c>
      <c r="M360" s="148" t="str">
        <f t="shared" si="1"/>
        <v/>
      </c>
      <c r="N360" s="147" t="str">
        <f t="shared" si="2"/>
        <v/>
      </c>
      <c r="O360" s="147" t="str">
        <f t="shared" si="21"/>
        <v/>
      </c>
      <c r="P360" s="147" t="str">
        <f>IFERROR(__xludf.DUMMYFUNCTION("if(C360="""","""",iferror(if(row()&lt;&gt;2,INDEX(arrayformula(filter($Q$2:$Q359,$C$2:$C359&lt;&gt;"""",row($C$2:$C359)=max(if($C$2:$C359=C360,row($C$2:$C359),0)))) ,1),0),0))"),"")</f>
        <v/>
      </c>
      <c r="Q360" s="147" t="str">
        <f t="shared" si="22"/>
        <v/>
      </c>
      <c r="R360" s="147" t="str">
        <f t="shared" si="23"/>
        <v/>
      </c>
      <c r="S360" s="147" t="str">
        <f t="shared" si="24"/>
        <v/>
      </c>
      <c r="T360" s="147" t="str">
        <f t="shared" si="7"/>
        <v/>
      </c>
      <c r="U360" s="150" t="str">
        <f t="shared" si="8"/>
        <v/>
      </c>
      <c r="V360" s="151" t="str">
        <f>IFERROR(VLOOKUP(C360,Ativos!$A$1:$G2000,5,),)</f>
        <v/>
      </c>
    </row>
    <row r="361" ht="21.0" customHeight="1">
      <c r="A361" s="152"/>
      <c r="B361" s="160"/>
      <c r="C361" s="153"/>
      <c r="D361" s="154"/>
      <c r="E361" s="139"/>
      <c r="F361" s="139"/>
      <c r="G361" s="139"/>
      <c r="H361" s="135"/>
      <c r="I361" s="141"/>
      <c r="J361" s="147" t="str">
        <f>IFERROR(__xludf.DUMMYFUNCTION("IF(ISBLANK(A361),IFERROR(1/0),IF(COUNT(FILTER(F:F,A:A=A361))&gt;1,TRUNC(N361*F361/SUM(FILTER(N:N,A:A=A361)),3),F361))"),"")</f>
        <v/>
      </c>
      <c r="K361" s="147" t="str">
        <f>IFERROR(__xludf.DUMMYFUNCTION("IF(ISBLANK(A361),IFERROR(1/0),IF(COUNT(FILTER(G:G,((A:A=A361)*(B:B=""V""))))&gt;1,TRUNC(N361*G361/SUM(FILTER(N:N,((A:A=A361)*(B:B=""V"")))),3),G361))"),"")</f>
        <v/>
      </c>
      <c r="L361" s="148" t="str">
        <f>IFERROR(__xludf.DUMMYFUNCTION("if($C361="""","""",iferror(if(row()&lt;&gt;2,INDEX(arrayformula(filter($M$2:$M360,$C$2:$C360&lt;&gt;"""",row($C$2:$C360)=max(if($C$2:$C360=C361,row($C$2:$C360),0)))) ,1),0),0))"),"")</f>
        <v/>
      </c>
      <c r="M361" s="148" t="str">
        <f t="shared" si="1"/>
        <v/>
      </c>
      <c r="N361" s="147" t="str">
        <f t="shared" si="2"/>
        <v/>
      </c>
      <c r="O361" s="147" t="str">
        <f t="shared" si="21"/>
        <v/>
      </c>
      <c r="P361" s="147" t="str">
        <f>IFERROR(__xludf.DUMMYFUNCTION("if(C361="""","""",iferror(if(row()&lt;&gt;2,INDEX(arrayformula(filter($Q$2:$Q360,$C$2:$C360&lt;&gt;"""",row($C$2:$C360)=max(if($C$2:$C360=C361,row($C$2:$C360),0)))) ,1),0),0))"),"")</f>
        <v/>
      </c>
      <c r="Q361" s="147" t="str">
        <f t="shared" si="22"/>
        <v/>
      </c>
      <c r="R361" s="147" t="str">
        <f t="shared" si="23"/>
        <v/>
      </c>
      <c r="S361" s="147" t="str">
        <f t="shared" si="24"/>
        <v/>
      </c>
      <c r="T361" s="147" t="str">
        <f t="shared" si="7"/>
        <v/>
      </c>
      <c r="U361" s="150" t="str">
        <f t="shared" si="8"/>
        <v/>
      </c>
      <c r="V361" s="151" t="str">
        <f>IFERROR(VLOOKUP(C361,Ativos!$A$1:$G2000,5,),)</f>
        <v/>
      </c>
    </row>
    <row r="362" ht="21.0" customHeight="1">
      <c r="A362" s="152"/>
      <c r="B362" s="160"/>
      <c r="C362" s="153"/>
      <c r="D362" s="154"/>
      <c r="E362" s="139"/>
      <c r="F362" s="139"/>
      <c r="G362" s="139"/>
      <c r="H362" s="135"/>
      <c r="I362" s="141"/>
      <c r="J362" s="147" t="str">
        <f>IFERROR(__xludf.DUMMYFUNCTION("IF(ISBLANK(A362),IFERROR(1/0),IF(COUNT(FILTER(F:F,A:A=A362))&gt;1,TRUNC(N362*F362/SUM(FILTER(N:N,A:A=A362)),3),F362))"),"")</f>
        <v/>
      </c>
      <c r="K362" s="147" t="str">
        <f>IFERROR(__xludf.DUMMYFUNCTION("IF(ISBLANK(A362),IFERROR(1/0),IF(COUNT(FILTER(G:G,((A:A=A362)*(B:B=""V""))))&gt;1,TRUNC(N362*G362/SUM(FILTER(N:N,((A:A=A362)*(B:B=""V"")))),3),G362))"),"")</f>
        <v/>
      </c>
      <c r="L362" s="148" t="str">
        <f>IFERROR(__xludf.DUMMYFUNCTION("if($C362="""","""",iferror(if(row()&lt;&gt;2,INDEX(arrayformula(filter($M$2:$M361,$C$2:$C361&lt;&gt;"""",row($C$2:$C361)=max(if($C$2:$C361=C362,row($C$2:$C361),0)))) ,1),0),0))"),"")</f>
        <v/>
      </c>
      <c r="M362" s="148" t="str">
        <f t="shared" si="1"/>
        <v/>
      </c>
      <c r="N362" s="147" t="str">
        <f t="shared" si="2"/>
        <v/>
      </c>
      <c r="O362" s="147" t="str">
        <f t="shared" si="21"/>
        <v/>
      </c>
      <c r="P362" s="147" t="str">
        <f>IFERROR(__xludf.DUMMYFUNCTION("if(C362="""","""",iferror(if(row()&lt;&gt;2,INDEX(arrayformula(filter($Q$2:$Q361,$C$2:$C361&lt;&gt;"""",row($C$2:$C361)=max(if($C$2:$C361=C362,row($C$2:$C361),0)))) ,1),0),0))"),"")</f>
        <v/>
      </c>
      <c r="Q362" s="147" t="str">
        <f t="shared" si="22"/>
        <v/>
      </c>
      <c r="R362" s="147" t="str">
        <f t="shared" si="23"/>
        <v/>
      </c>
      <c r="S362" s="147" t="str">
        <f t="shared" si="24"/>
        <v/>
      </c>
      <c r="T362" s="147" t="str">
        <f t="shared" si="7"/>
        <v/>
      </c>
      <c r="U362" s="150" t="str">
        <f t="shared" si="8"/>
        <v/>
      </c>
      <c r="V362" s="151" t="str">
        <f>IFERROR(VLOOKUP(C362,Ativos!$A$1:$G2000,5,),)</f>
        <v/>
      </c>
    </row>
    <row r="363" ht="21.0" customHeight="1">
      <c r="A363" s="152"/>
      <c r="B363" s="160"/>
      <c r="C363" s="153"/>
      <c r="D363" s="154"/>
      <c r="E363" s="139"/>
      <c r="F363" s="139"/>
      <c r="G363" s="139"/>
      <c r="H363" s="135"/>
      <c r="I363" s="141"/>
      <c r="J363" s="147" t="str">
        <f>IFERROR(__xludf.DUMMYFUNCTION("IF(ISBLANK(A363),IFERROR(1/0),IF(COUNT(FILTER(F:F,A:A=A363))&gt;1,TRUNC(N363*F363/SUM(FILTER(N:N,A:A=A363)),3),F363))"),"")</f>
        <v/>
      </c>
      <c r="K363" s="147" t="str">
        <f>IFERROR(__xludf.DUMMYFUNCTION("IF(ISBLANK(A363),IFERROR(1/0),IF(COUNT(FILTER(G:G,((A:A=A363)*(B:B=""V""))))&gt;1,TRUNC(N363*G363/SUM(FILTER(N:N,((A:A=A363)*(B:B=""V"")))),3),G363))"),"")</f>
        <v/>
      </c>
      <c r="L363" s="148" t="str">
        <f>IFERROR(__xludf.DUMMYFUNCTION("if($C363="""","""",iferror(if(row()&lt;&gt;2,INDEX(arrayformula(filter($M$2:$M362,$C$2:$C362&lt;&gt;"""",row($C$2:$C362)=max(if($C$2:$C362=C363,row($C$2:$C362),0)))) ,1),0),0))"),"")</f>
        <v/>
      </c>
      <c r="M363" s="148" t="str">
        <f t="shared" si="1"/>
        <v/>
      </c>
      <c r="N363" s="147" t="str">
        <f t="shared" si="2"/>
        <v/>
      </c>
      <c r="O363" s="147" t="str">
        <f t="shared" si="21"/>
        <v/>
      </c>
      <c r="P363" s="147" t="str">
        <f>IFERROR(__xludf.DUMMYFUNCTION("if(C363="""","""",iferror(if(row()&lt;&gt;2,INDEX(arrayformula(filter($Q$2:$Q362,$C$2:$C362&lt;&gt;"""",row($C$2:$C362)=max(if($C$2:$C362=C363,row($C$2:$C362),0)))) ,1),0),0))"),"")</f>
        <v/>
      </c>
      <c r="Q363" s="147" t="str">
        <f t="shared" si="22"/>
        <v/>
      </c>
      <c r="R363" s="147" t="str">
        <f t="shared" si="23"/>
        <v/>
      </c>
      <c r="S363" s="147" t="str">
        <f t="shared" si="24"/>
        <v/>
      </c>
      <c r="T363" s="147" t="str">
        <f t="shared" si="7"/>
        <v/>
      </c>
      <c r="U363" s="150" t="str">
        <f t="shared" si="8"/>
        <v/>
      </c>
      <c r="V363" s="151" t="str">
        <f>IFERROR(VLOOKUP(C363,Ativos!$A$1:$G2000,5,),)</f>
        <v/>
      </c>
    </row>
    <row r="364" ht="21.0" customHeight="1">
      <c r="A364" s="152"/>
      <c r="B364" s="160"/>
      <c r="C364" s="153"/>
      <c r="D364" s="154"/>
      <c r="E364" s="139"/>
      <c r="F364" s="139"/>
      <c r="G364" s="139"/>
      <c r="H364" s="135"/>
      <c r="I364" s="141"/>
      <c r="J364" s="147" t="str">
        <f>IFERROR(__xludf.DUMMYFUNCTION("IF(ISBLANK(A364),IFERROR(1/0),IF(COUNT(FILTER(F:F,A:A=A364))&gt;1,TRUNC(N364*F364/SUM(FILTER(N:N,A:A=A364)),3),F364))"),"")</f>
        <v/>
      </c>
      <c r="K364" s="147" t="str">
        <f>IFERROR(__xludf.DUMMYFUNCTION("IF(ISBLANK(A364),IFERROR(1/0),IF(COUNT(FILTER(G:G,((A:A=A364)*(B:B=""V""))))&gt;1,TRUNC(N364*G364/SUM(FILTER(N:N,((A:A=A364)*(B:B=""V"")))),3),G364))"),"")</f>
        <v/>
      </c>
      <c r="L364" s="148" t="str">
        <f>IFERROR(__xludf.DUMMYFUNCTION("if($C364="""","""",iferror(if(row()&lt;&gt;2,INDEX(arrayformula(filter($M$2:$M363,$C$2:$C363&lt;&gt;"""",row($C$2:$C363)=max(if($C$2:$C363=C364,row($C$2:$C363),0)))) ,1),0),0))"),"")</f>
        <v/>
      </c>
      <c r="M364" s="148" t="str">
        <f t="shared" si="1"/>
        <v/>
      </c>
      <c r="N364" s="147" t="str">
        <f t="shared" si="2"/>
        <v/>
      </c>
      <c r="O364" s="147" t="str">
        <f t="shared" si="21"/>
        <v/>
      </c>
      <c r="P364" s="147" t="str">
        <f>IFERROR(__xludf.DUMMYFUNCTION("if(C364="""","""",iferror(if(row()&lt;&gt;2,INDEX(arrayformula(filter($Q$2:$Q363,$C$2:$C363&lt;&gt;"""",row($C$2:$C363)=max(if($C$2:$C363=C364,row($C$2:$C363),0)))) ,1),0),0))"),"")</f>
        <v/>
      </c>
      <c r="Q364" s="147" t="str">
        <f t="shared" si="22"/>
        <v/>
      </c>
      <c r="R364" s="147" t="str">
        <f t="shared" si="23"/>
        <v/>
      </c>
      <c r="S364" s="147" t="str">
        <f t="shared" si="24"/>
        <v/>
      </c>
      <c r="T364" s="147" t="str">
        <f t="shared" si="7"/>
        <v/>
      </c>
      <c r="U364" s="150" t="str">
        <f t="shared" si="8"/>
        <v/>
      </c>
      <c r="V364" s="151" t="str">
        <f>IFERROR(VLOOKUP(C364,Ativos!$A$1:$G2000,5,),)</f>
        <v/>
      </c>
    </row>
    <row r="365" ht="21.0" customHeight="1">
      <c r="A365" s="152"/>
      <c r="B365" s="160"/>
      <c r="C365" s="153"/>
      <c r="D365" s="154"/>
      <c r="E365" s="139"/>
      <c r="F365" s="139"/>
      <c r="G365" s="139"/>
      <c r="H365" s="135"/>
      <c r="I365" s="141"/>
      <c r="J365" s="147" t="str">
        <f>IFERROR(__xludf.DUMMYFUNCTION("IF(ISBLANK(A365),IFERROR(1/0),IF(COUNT(FILTER(F:F,A:A=A365))&gt;1,TRUNC(N365*F365/SUM(FILTER(N:N,A:A=A365)),3),F365))"),"")</f>
        <v/>
      </c>
      <c r="K365" s="147" t="str">
        <f>IFERROR(__xludf.DUMMYFUNCTION("IF(ISBLANK(A365),IFERROR(1/0),IF(COUNT(FILTER(G:G,((A:A=A365)*(B:B=""V""))))&gt;1,TRUNC(N365*G365/SUM(FILTER(N:N,((A:A=A365)*(B:B=""V"")))),3),G365))"),"")</f>
        <v/>
      </c>
      <c r="L365" s="148" t="str">
        <f>IFERROR(__xludf.DUMMYFUNCTION("if($C365="""","""",iferror(if(row()&lt;&gt;2,INDEX(arrayformula(filter($M$2:$M364,$C$2:$C364&lt;&gt;"""",row($C$2:$C364)=max(if($C$2:$C364=C365,row($C$2:$C364),0)))) ,1),0),0))"),"")</f>
        <v/>
      </c>
      <c r="M365" s="148" t="str">
        <f t="shared" si="1"/>
        <v/>
      </c>
      <c r="N365" s="147" t="str">
        <f t="shared" si="2"/>
        <v/>
      </c>
      <c r="O365" s="147" t="str">
        <f t="shared" si="21"/>
        <v/>
      </c>
      <c r="P365" s="147" t="str">
        <f>IFERROR(__xludf.DUMMYFUNCTION("if(C365="""","""",iferror(if(row()&lt;&gt;2,INDEX(arrayformula(filter($Q$2:$Q364,$C$2:$C364&lt;&gt;"""",row($C$2:$C364)=max(if($C$2:$C364=C365,row($C$2:$C364),0)))) ,1),0),0))"),"")</f>
        <v/>
      </c>
      <c r="Q365" s="147" t="str">
        <f t="shared" si="22"/>
        <v/>
      </c>
      <c r="R365" s="147" t="str">
        <f t="shared" si="23"/>
        <v/>
      </c>
      <c r="S365" s="147" t="str">
        <f t="shared" si="24"/>
        <v/>
      </c>
      <c r="T365" s="147" t="str">
        <f t="shared" si="7"/>
        <v/>
      </c>
      <c r="U365" s="150" t="str">
        <f t="shared" si="8"/>
        <v/>
      </c>
      <c r="V365" s="151" t="str">
        <f>IFERROR(VLOOKUP(C365,Ativos!$A$1:$G2000,5,),)</f>
        <v/>
      </c>
    </row>
    <row r="366" ht="21.0" customHeight="1">
      <c r="A366" s="152"/>
      <c r="B366" s="160"/>
      <c r="C366" s="153"/>
      <c r="D366" s="154"/>
      <c r="E366" s="139"/>
      <c r="F366" s="139"/>
      <c r="G366" s="139"/>
      <c r="H366" s="135"/>
      <c r="I366" s="141"/>
      <c r="J366" s="147" t="str">
        <f>IFERROR(__xludf.DUMMYFUNCTION("IF(ISBLANK(A366),IFERROR(1/0),IF(COUNT(FILTER(F:F,A:A=A366))&gt;1,TRUNC(N366*F366/SUM(FILTER(N:N,A:A=A366)),3),F366))"),"")</f>
        <v/>
      </c>
      <c r="K366" s="147" t="str">
        <f>IFERROR(__xludf.DUMMYFUNCTION("IF(ISBLANK(A366),IFERROR(1/0),IF(COUNT(FILTER(G:G,((A:A=A366)*(B:B=""V""))))&gt;1,TRUNC(N366*G366/SUM(FILTER(N:N,((A:A=A366)*(B:B=""V"")))),3),G366))"),"")</f>
        <v/>
      </c>
      <c r="L366" s="148" t="str">
        <f>IFERROR(__xludf.DUMMYFUNCTION("if($C366="""","""",iferror(if(row()&lt;&gt;2,INDEX(arrayformula(filter($M$2:$M365,$C$2:$C365&lt;&gt;"""",row($C$2:$C365)=max(if($C$2:$C365=C366,row($C$2:$C365),0)))) ,1),0),0))"),"")</f>
        <v/>
      </c>
      <c r="M366" s="148" t="str">
        <f t="shared" si="1"/>
        <v/>
      </c>
      <c r="N366" s="147" t="str">
        <f t="shared" si="2"/>
        <v/>
      </c>
      <c r="O366" s="147" t="str">
        <f t="shared" si="21"/>
        <v/>
      </c>
      <c r="P366" s="147" t="str">
        <f>IFERROR(__xludf.DUMMYFUNCTION("if(C366="""","""",iferror(if(row()&lt;&gt;2,INDEX(arrayformula(filter($Q$2:$Q365,$C$2:$C365&lt;&gt;"""",row($C$2:$C365)=max(if($C$2:$C365=C366,row($C$2:$C365),0)))) ,1),0),0))"),"")</f>
        <v/>
      </c>
      <c r="Q366" s="147" t="str">
        <f t="shared" si="22"/>
        <v/>
      </c>
      <c r="R366" s="147" t="str">
        <f t="shared" si="23"/>
        <v/>
      </c>
      <c r="S366" s="147" t="str">
        <f t="shared" si="24"/>
        <v/>
      </c>
      <c r="T366" s="147" t="str">
        <f t="shared" si="7"/>
        <v/>
      </c>
      <c r="U366" s="150" t="str">
        <f t="shared" si="8"/>
        <v/>
      </c>
      <c r="V366" s="151" t="str">
        <f>IFERROR(VLOOKUP(C366,Ativos!$A$1:$G2000,5,),)</f>
        <v/>
      </c>
    </row>
    <row r="367" ht="21.0" customHeight="1">
      <c r="A367" s="152"/>
      <c r="B367" s="160"/>
      <c r="C367" s="153"/>
      <c r="D367" s="154"/>
      <c r="E367" s="139"/>
      <c r="F367" s="139"/>
      <c r="G367" s="139"/>
      <c r="H367" s="135"/>
      <c r="I367" s="141"/>
      <c r="J367" s="147" t="str">
        <f>IFERROR(__xludf.DUMMYFUNCTION("IF(ISBLANK(A367),IFERROR(1/0),IF(COUNT(FILTER(F:F,A:A=A367))&gt;1,TRUNC(N367*F367/SUM(FILTER(N:N,A:A=A367)),3),F367))"),"")</f>
        <v/>
      </c>
      <c r="K367" s="147" t="str">
        <f>IFERROR(__xludf.DUMMYFUNCTION("IF(ISBLANK(A367),IFERROR(1/0),IF(COUNT(FILTER(G:G,((A:A=A367)*(B:B=""V""))))&gt;1,TRUNC(N367*G367/SUM(FILTER(N:N,((A:A=A367)*(B:B=""V"")))),3),G367))"),"")</f>
        <v/>
      </c>
      <c r="L367" s="148" t="str">
        <f>IFERROR(__xludf.DUMMYFUNCTION("if($C367="""","""",iferror(if(row()&lt;&gt;2,INDEX(arrayformula(filter($M$2:$M366,$C$2:$C366&lt;&gt;"""",row($C$2:$C366)=max(if($C$2:$C366=C367,row($C$2:$C366),0)))) ,1),0),0))"),"")</f>
        <v/>
      </c>
      <c r="M367" s="148" t="str">
        <f t="shared" si="1"/>
        <v/>
      </c>
      <c r="N367" s="147" t="str">
        <f t="shared" si="2"/>
        <v/>
      </c>
      <c r="O367" s="147" t="str">
        <f t="shared" si="21"/>
        <v/>
      </c>
      <c r="P367" s="147" t="str">
        <f>IFERROR(__xludf.DUMMYFUNCTION("if(C367="""","""",iferror(if(row()&lt;&gt;2,INDEX(arrayformula(filter($Q$2:$Q366,$C$2:$C366&lt;&gt;"""",row($C$2:$C366)=max(if($C$2:$C366=C367,row($C$2:$C366),0)))) ,1),0),0))"),"")</f>
        <v/>
      </c>
      <c r="Q367" s="147" t="str">
        <f t="shared" si="22"/>
        <v/>
      </c>
      <c r="R367" s="147" t="str">
        <f t="shared" si="23"/>
        <v/>
      </c>
      <c r="S367" s="147" t="str">
        <f t="shared" si="24"/>
        <v/>
      </c>
      <c r="T367" s="147" t="str">
        <f t="shared" si="7"/>
        <v/>
      </c>
      <c r="U367" s="150" t="str">
        <f t="shared" si="8"/>
        <v/>
      </c>
      <c r="V367" s="151" t="str">
        <f>IFERROR(VLOOKUP(C367,Ativos!$A$1:$G2000,5,),)</f>
        <v/>
      </c>
    </row>
    <row r="368" ht="21.0" customHeight="1">
      <c r="A368" s="152"/>
      <c r="B368" s="160"/>
      <c r="C368" s="153"/>
      <c r="D368" s="154"/>
      <c r="E368" s="139"/>
      <c r="F368" s="139"/>
      <c r="G368" s="139"/>
      <c r="H368" s="135"/>
      <c r="I368" s="141"/>
      <c r="J368" s="147" t="str">
        <f>IFERROR(__xludf.DUMMYFUNCTION("IF(ISBLANK(A368),IFERROR(1/0),IF(COUNT(FILTER(F:F,A:A=A368))&gt;1,TRUNC(N368*F368/SUM(FILTER(N:N,A:A=A368)),3),F368))"),"")</f>
        <v/>
      </c>
      <c r="K368" s="147" t="str">
        <f>IFERROR(__xludf.DUMMYFUNCTION("IF(ISBLANK(A368),IFERROR(1/0),IF(COUNT(FILTER(G:G,((A:A=A368)*(B:B=""V""))))&gt;1,TRUNC(N368*G368/SUM(FILTER(N:N,((A:A=A368)*(B:B=""V"")))),3),G368))"),"")</f>
        <v/>
      </c>
      <c r="L368" s="148" t="str">
        <f>IFERROR(__xludf.DUMMYFUNCTION("if($C368="""","""",iferror(if(row()&lt;&gt;2,INDEX(arrayformula(filter($M$2:$M367,$C$2:$C367&lt;&gt;"""",row($C$2:$C367)=max(if($C$2:$C367=C368,row($C$2:$C367),0)))) ,1),0),0))"),"")</f>
        <v/>
      </c>
      <c r="M368" s="148" t="str">
        <f t="shared" si="1"/>
        <v/>
      </c>
      <c r="N368" s="147" t="str">
        <f t="shared" si="2"/>
        <v/>
      </c>
      <c r="O368" s="147" t="str">
        <f t="shared" si="21"/>
        <v/>
      </c>
      <c r="P368" s="147" t="str">
        <f>IFERROR(__xludf.DUMMYFUNCTION("if(C368="""","""",iferror(if(row()&lt;&gt;2,INDEX(arrayformula(filter($Q$2:$Q367,$C$2:$C367&lt;&gt;"""",row($C$2:$C367)=max(if($C$2:$C367=C368,row($C$2:$C367),0)))) ,1),0),0))"),"")</f>
        <v/>
      </c>
      <c r="Q368" s="147" t="str">
        <f t="shared" si="22"/>
        <v/>
      </c>
      <c r="R368" s="147" t="str">
        <f t="shared" si="23"/>
        <v/>
      </c>
      <c r="S368" s="147" t="str">
        <f t="shared" si="24"/>
        <v/>
      </c>
      <c r="T368" s="147" t="str">
        <f t="shared" si="7"/>
        <v/>
      </c>
      <c r="U368" s="150" t="str">
        <f t="shared" si="8"/>
        <v/>
      </c>
      <c r="V368" s="151" t="str">
        <f>IFERROR(VLOOKUP(C368,Ativos!$A$1:$G2000,5,),)</f>
        <v/>
      </c>
    </row>
    <row r="369" ht="21.0" customHeight="1">
      <c r="A369" s="152"/>
      <c r="B369" s="160"/>
      <c r="C369" s="153"/>
      <c r="D369" s="154"/>
      <c r="E369" s="139"/>
      <c r="F369" s="139"/>
      <c r="G369" s="139"/>
      <c r="H369" s="135"/>
      <c r="I369" s="141"/>
      <c r="J369" s="147" t="str">
        <f>IFERROR(__xludf.DUMMYFUNCTION("IF(ISBLANK(A369),IFERROR(1/0),IF(COUNT(FILTER(F:F,A:A=A369))&gt;1,TRUNC(N369*F369/SUM(FILTER(N:N,A:A=A369)),3),F369))"),"")</f>
        <v/>
      </c>
      <c r="K369" s="147" t="str">
        <f>IFERROR(__xludf.DUMMYFUNCTION("IF(ISBLANK(A369),IFERROR(1/0),IF(COUNT(FILTER(G:G,((A:A=A369)*(B:B=""V""))))&gt;1,TRUNC(N369*G369/SUM(FILTER(N:N,((A:A=A369)*(B:B=""V"")))),3),G369))"),"")</f>
        <v/>
      </c>
      <c r="L369" s="148" t="str">
        <f>IFERROR(__xludf.DUMMYFUNCTION("if($C369="""","""",iferror(if(row()&lt;&gt;2,INDEX(arrayformula(filter($M$2:$M368,$C$2:$C368&lt;&gt;"""",row($C$2:$C368)=max(if($C$2:$C368=C369,row($C$2:$C368),0)))) ,1),0),0))"),"")</f>
        <v/>
      </c>
      <c r="M369" s="148" t="str">
        <f t="shared" si="1"/>
        <v/>
      </c>
      <c r="N369" s="147" t="str">
        <f t="shared" si="2"/>
        <v/>
      </c>
      <c r="O369" s="147" t="str">
        <f t="shared" si="21"/>
        <v/>
      </c>
      <c r="P369" s="147" t="str">
        <f>IFERROR(__xludf.DUMMYFUNCTION("if(C369="""","""",iferror(if(row()&lt;&gt;2,INDEX(arrayformula(filter($Q$2:$Q368,$C$2:$C368&lt;&gt;"""",row($C$2:$C368)=max(if($C$2:$C368=C369,row($C$2:$C368),0)))) ,1),0),0))"),"")</f>
        <v/>
      </c>
      <c r="Q369" s="147" t="str">
        <f t="shared" si="22"/>
        <v/>
      </c>
      <c r="R369" s="147" t="str">
        <f t="shared" si="23"/>
        <v/>
      </c>
      <c r="S369" s="147" t="str">
        <f t="shared" si="24"/>
        <v/>
      </c>
      <c r="T369" s="147" t="str">
        <f t="shared" si="7"/>
        <v/>
      </c>
      <c r="U369" s="150" t="str">
        <f t="shared" si="8"/>
        <v/>
      </c>
      <c r="V369" s="151" t="str">
        <f>IFERROR(VLOOKUP(C369,Ativos!$A$1:$G2000,5,),)</f>
        <v/>
      </c>
    </row>
    <row r="370" ht="21.0" customHeight="1">
      <c r="A370" s="152"/>
      <c r="B370" s="160"/>
      <c r="C370" s="153"/>
      <c r="D370" s="154"/>
      <c r="E370" s="139"/>
      <c r="F370" s="139"/>
      <c r="G370" s="139"/>
      <c r="H370" s="135"/>
      <c r="I370" s="141"/>
      <c r="J370" s="147" t="str">
        <f>IFERROR(__xludf.DUMMYFUNCTION("IF(ISBLANK(A370),IFERROR(1/0),IF(COUNT(FILTER(F:F,A:A=A370))&gt;1,TRUNC(N370*F370/SUM(FILTER(N:N,A:A=A370)),3),F370))"),"")</f>
        <v/>
      </c>
      <c r="K370" s="147" t="str">
        <f>IFERROR(__xludf.DUMMYFUNCTION("IF(ISBLANK(A370),IFERROR(1/0),IF(COUNT(FILTER(G:G,((A:A=A370)*(B:B=""V""))))&gt;1,TRUNC(N370*G370/SUM(FILTER(N:N,((A:A=A370)*(B:B=""V"")))),3),G370))"),"")</f>
        <v/>
      </c>
      <c r="L370" s="148" t="str">
        <f>IFERROR(__xludf.DUMMYFUNCTION("if($C370="""","""",iferror(if(row()&lt;&gt;2,INDEX(arrayformula(filter($M$2:$M369,$C$2:$C369&lt;&gt;"""",row($C$2:$C369)=max(if($C$2:$C369=C370,row($C$2:$C369),0)))) ,1),0),0))"),"")</f>
        <v/>
      </c>
      <c r="M370" s="148" t="str">
        <f t="shared" si="1"/>
        <v/>
      </c>
      <c r="N370" s="147" t="str">
        <f t="shared" si="2"/>
        <v/>
      </c>
      <c r="O370" s="147" t="str">
        <f t="shared" si="21"/>
        <v/>
      </c>
      <c r="P370" s="147" t="str">
        <f>IFERROR(__xludf.DUMMYFUNCTION("if(C370="""","""",iferror(if(row()&lt;&gt;2,INDEX(arrayformula(filter($Q$2:$Q369,$C$2:$C369&lt;&gt;"""",row($C$2:$C369)=max(if($C$2:$C369=C370,row($C$2:$C369),0)))) ,1),0),0))"),"")</f>
        <v/>
      </c>
      <c r="Q370" s="147" t="str">
        <f t="shared" si="22"/>
        <v/>
      </c>
      <c r="R370" s="147" t="str">
        <f t="shared" si="23"/>
        <v/>
      </c>
      <c r="S370" s="147" t="str">
        <f t="shared" si="24"/>
        <v/>
      </c>
      <c r="T370" s="147" t="str">
        <f t="shared" si="7"/>
        <v/>
      </c>
      <c r="U370" s="150" t="str">
        <f t="shared" si="8"/>
        <v/>
      </c>
      <c r="V370" s="151" t="str">
        <f>IFERROR(VLOOKUP(C370,Ativos!$A$1:$G2000,5,),)</f>
        <v/>
      </c>
    </row>
    <row r="371" ht="21.0" customHeight="1">
      <c r="A371" s="152"/>
      <c r="B371" s="160"/>
      <c r="C371" s="153"/>
      <c r="D371" s="154"/>
      <c r="E371" s="139"/>
      <c r="F371" s="139"/>
      <c r="G371" s="139"/>
      <c r="H371" s="135"/>
      <c r="I371" s="141"/>
      <c r="J371" s="147" t="str">
        <f>IFERROR(__xludf.DUMMYFUNCTION("IF(ISBLANK(A371),IFERROR(1/0),IF(COUNT(FILTER(F:F,A:A=A371))&gt;1,TRUNC(N371*F371/SUM(FILTER(N:N,A:A=A371)),3),F371))"),"")</f>
        <v/>
      </c>
      <c r="K371" s="147" t="str">
        <f>IFERROR(__xludf.DUMMYFUNCTION("IF(ISBLANK(A371),IFERROR(1/0),IF(COUNT(FILTER(G:G,((A:A=A371)*(B:B=""V""))))&gt;1,TRUNC(N371*G371/SUM(FILTER(N:N,((A:A=A371)*(B:B=""V"")))),3),G371))"),"")</f>
        <v/>
      </c>
      <c r="L371" s="148" t="str">
        <f>IFERROR(__xludf.DUMMYFUNCTION("if($C371="""","""",iferror(if(row()&lt;&gt;2,INDEX(arrayformula(filter($M$2:$M370,$C$2:$C370&lt;&gt;"""",row($C$2:$C370)=max(if($C$2:$C370=C371,row($C$2:$C370),0)))) ,1),0),0))"),"")</f>
        <v/>
      </c>
      <c r="M371" s="148" t="str">
        <f t="shared" si="1"/>
        <v/>
      </c>
      <c r="N371" s="147" t="str">
        <f t="shared" si="2"/>
        <v/>
      </c>
      <c r="O371" s="147" t="str">
        <f t="shared" si="21"/>
        <v/>
      </c>
      <c r="P371" s="147" t="str">
        <f>IFERROR(__xludf.DUMMYFUNCTION("if(C371="""","""",iferror(if(row()&lt;&gt;2,INDEX(arrayformula(filter($Q$2:$Q370,$C$2:$C370&lt;&gt;"""",row($C$2:$C370)=max(if($C$2:$C370=C371,row($C$2:$C370),0)))) ,1),0),0))"),"")</f>
        <v/>
      </c>
      <c r="Q371" s="147" t="str">
        <f t="shared" si="22"/>
        <v/>
      </c>
      <c r="R371" s="147" t="str">
        <f t="shared" si="23"/>
        <v/>
      </c>
      <c r="S371" s="147" t="str">
        <f t="shared" si="24"/>
        <v/>
      </c>
      <c r="T371" s="147" t="str">
        <f t="shared" si="7"/>
        <v/>
      </c>
      <c r="U371" s="150" t="str">
        <f t="shared" si="8"/>
        <v/>
      </c>
      <c r="V371" s="151" t="str">
        <f>IFERROR(VLOOKUP(C371,Ativos!$A$1:$G2000,5,),)</f>
        <v/>
      </c>
    </row>
    <row r="372" ht="21.0" customHeight="1">
      <c r="A372" s="152"/>
      <c r="B372" s="160"/>
      <c r="C372" s="153"/>
      <c r="D372" s="154"/>
      <c r="E372" s="139"/>
      <c r="F372" s="139"/>
      <c r="G372" s="139"/>
      <c r="H372" s="135"/>
      <c r="I372" s="141"/>
      <c r="J372" s="147" t="str">
        <f>IFERROR(__xludf.DUMMYFUNCTION("IF(ISBLANK(A372),IFERROR(1/0),IF(COUNT(FILTER(F:F,A:A=A372))&gt;1,TRUNC(N372*F372/SUM(FILTER(N:N,A:A=A372)),3),F372))"),"")</f>
        <v/>
      </c>
      <c r="K372" s="147" t="str">
        <f>IFERROR(__xludf.DUMMYFUNCTION("IF(ISBLANK(A372),IFERROR(1/0),IF(COUNT(FILTER(G:G,((A:A=A372)*(B:B=""V""))))&gt;1,TRUNC(N372*G372/SUM(FILTER(N:N,((A:A=A372)*(B:B=""V"")))),3),G372))"),"")</f>
        <v/>
      </c>
      <c r="L372" s="148" t="str">
        <f>IFERROR(__xludf.DUMMYFUNCTION("if($C372="""","""",iferror(if(row()&lt;&gt;2,INDEX(arrayformula(filter($M$2:$M371,$C$2:$C371&lt;&gt;"""",row($C$2:$C371)=max(if($C$2:$C371=C372,row($C$2:$C371),0)))) ,1),0),0))"),"")</f>
        <v/>
      </c>
      <c r="M372" s="148" t="str">
        <f t="shared" si="1"/>
        <v/>
      </c>
      <c r="N372" s="147" t="str">
        <f t="shared" si="2"/>
        <v/>
      </c>
      <c r="O372" s="147" t="str">
        <f t="shared" si="21"/>
        <v/>
      </c>
      <c r="P372" s="147" t="str">
        <f>IFERROR(__xludf.DUMMYFUNCTION("if(C372="""","""",iferror(if(row()&lt;&gt;2,INDEX(arrayformula(filter($Q$2:$Q371,$C$2:$C371&lt;&gt;"""",row($C$2:$C371)=max(if($C$2:$C371=C372,row($C$2:$C371),0)))) ,1),0),0))"),"")</f>
        <v/>
      </c>
      <c r="Q372" s="147" t="str">
        <f t="shared" si="22"/>
        <v/>
      </c>
      <c r="R372" s="147" t="str">
        <f t="shared" si="23"/>
        <v/>
      </c>
      <c r="S372" s="147" t="str">
        <f t="shared" si="24"/>
        <v/>
      </c>
      <c r="T372" s="147" t="str">
        <f t="shared" si="7"/>
        <v/>
      </c>
      <c r="U372" s="150" t="str">
        <f t="shared" si="8"/>
        <v/>
      </c>
      <c r="V372" s="151" t="str">
        <f>IFERROR(VLOOKUP(C372,Ativos!$A$1:$G2000,5,),)</f>
        <v/>
      </c>
    </row>
    <row r="373" ht="21.0" customHeight="1">
      <c r="A373" s="152"/>
      <c r="B373" s="160"/>
      <c r="C373" s="153"/>
      <c r="D373" s="154"/>
      <c r="E373" s="139"/>
      <c r="F373" s="139"/>
      <c r="G373" s="139"/>
      <c r="H373" s="135"/>
      <c r="I373" s="141"/>
      <c r="J373" s="147" t="str">
        <f>IFERROR(__xludf.DUMMYFUNCTION("IF(ISBLANK(A373),IFERROR(1/0),IF(COUNT(FILTER(F:F,A:A=A373))&gt;1,TRUNC(N373*F373/SUM(FILTER(N:N,A:A=A373)),3),F373))"),"")</f>
        <v/>
      </c>
      <c r="K373" s="147" t="str">
        <f>IFERROR(__xludf.DUMMYFUNCTION("IF(ISBLANK(A373),IFERROR(1/0),IF(COUNT(FILTER(G:G,((A:A=A373)*(B:B=""V""))))&gt;1,TRUNC(N373*G373/SUM(FILTER(N:N,((A:A=A373)*(B:B=""V"")))),3),G373))"),"")</f>
        <v/>
      </c>
      <c r="L373" s="148" t="str">
        <f>IFERROR(__xludf.DUMMYFUNCTION("if($C373="""","""",iferror(if(row()&lt;&gt;2,INDEX(arrayformula(filter($M$2:$M372,$C$2:$C372&lt;&gt;"""",row($C$2:$C372)=max(if($C$2:$C372=C373,row($C$2:$C372),0)))) ,1),0),0))"),"")</f>
        <v/>
      </c>
      <c r="M373" s="148" t="str">
        <f t="shared" si="1"/>
        <v/>
      </c>
      <c r="N373" s="147" t="str">
        <f t="shared" si="2"/>
        <v/>
      </c>
      <c r="O373" s="147" t="str">
        <f t="shared" si="21"/>
        <v/>
      </c>
      <c r="P373" s="147" t="str">
        <f>IFERROR(__xludf.DUMMYFUNCTION("if(C373="""","""",iferror(if(row()&lt;&gt;2,INDEX(arrayformula(filter($Q$2:$Q372,$C$2:$C372&lt;&gt;"""",row($C$2:$C372)=max(if($C$2:$C372=C373,row($C$2:$C372),0)))) ,1),0),0))"),"")</f>
        <v/>
      </c>
      <c r="Q373" s="147" t="str">
        <f t="shared" si="22"/>
        <v/>
      </c>
      <c r="R373" s="147" t="str">
        <f t="shared" si="23"/>
        <v/>
      </c>
      <c r="S373" s="147" t="str">
        <f t="shared" si="24"/>
        <v/>
      </c>
      <c r="T373" s="147" t="str">
        <f t="shared" si="7"/>
        <v/>
      </c>
      <c r="U373" s="150" t="str">
        <f t="shared" si="8"/>
        <v/>
      </c>
      <c r="V373" s="151" t="str">
        <f>IFERROR(VLOOKUP(C373,Ativos!$A$1:$G2000,5,),)</f>
        <v/>
      </c>
    </row>
    <row r="374" ht="21.0" customHeight="1">
      <c r="A374" s="152"/>
      <c r="B374" s="160"/>
      <c r="C374" s="153"/>
      <c r="D374" s="154"/>
      <c r="E374" s="139"/>
      <c r="F374" s="139"/>
      <c r="G374" s="139"/>
      <c r="H374" s="135"/>
      <c r="I374" s="141"/>
      <c r="J374" s="147" t="str">
        <f>IFERROR(__xludf.DUMMYFUNCTION("IF(ISBLANK(A374),IFERROR(1/0),IF(COUNT(FILTER(F:F,A:A=A374))&gt;1,TRUNC(N374*F374/SUM(FILTER(N:N,A:A=A374)),3),F374))"),"")</f>
        <v/>
      </c>
      <c r="K374" s="147" t="str">
        <f>IFERROR(__xludf.DUMMYFUNCTION("IF(ISBLANK(A374),IFERROR(1/0),IF(COUNT(FILTER(G:G,((A:A=A374)*(B:B=""V""))))&gt;1,TRUNC(N374*G374/SUM(FILTER(N:N,((A:A=A374)*(B:B=""V"")))),3),G374))"),"")</f>
        <v/>
      </c>
      <c r="L374" s="148" t="str">
        <f>IFERROR(__xludf.DUMMYFUNCTION("if($C374="""","""",iferror(if(row()&lt;&gt;2,INDEX(arrayformula(filter($M$2:$M373,$C$2:$C373&lt;&gt;"""",row($C$2:$C373)=max(if($C$2:$C373=C374,row($C$2:$C373),0)))) ,1),0),0))"),"")</f>
        <v/>
      </c>
      <c r="M374" s="148" t="str">
        <f t="shared" si="1"/>
        <v/>
      </c>
      <c r="N374" s="147" t="str">
        <f t="shared" si="2"/>
        <v/>
      </c>
      <c r="O374" s="147" t="str">
        <f t="shared" si="21"/>
        <v/>
      </c>
      <c r="P374" s="147" t="str">
        <f>IFERROR(__xludf.DUMMYFUNCTION("if(C374="""","""",iferror(if(row()&lt;&gt;2,INDEX(arrayformula(filter($Q$2:$Q373,$C$2:$C373&lt;&gt;"""",row($C$2:$C373)=max(if($C$2:$C373=C374,row($C$2:$C373),0)))) ,1),0),0))"),"")</f>
        <v/>
      </c>
      <c r="Q374" s="147" t="str">
        <f t="shared" si="22"/>
        <v/>
      </c>
      <c r="R374" s="147" t="str">
        <f t="shared" si="23"/>
        <v/>
      </c>
      <c r="S374" s="147" t="str">
        <f t="shared" si="24"/>
        <v/>
      </c>
      <c r="T374" s="147" t="str">
        <f t="shared" si="7"/>
        <v/>
      </c>
      <c r="U374" s="150" t="str">
        <f t="shared" si="8"/>
        <v/>
      </c>
      <c r="V374" s="151" t="str">
        <f>IFERROR(VLOOKUP(C374,Ativos!$A$1:$G2000,5,),)</f>
        <v/>
      </c>
    </row>
    <row r="375" ht="21.0" customHeight="1">
      <c r="A375" s="152"/>
      <c r="B375" s="160"/>
      <c r="C375" s="153"/>
      <c r="D375" s="154"/>
      <c r="E375" s="139"/>
      <c r="F375" s="139"/>
      <c r="G375" s="139"/>
      <c r="H375" s="135"/>
      <c r="I375" s="141"/>
      <c r="J375" s="147" t="str">
        <f>IFERROR(__xludf.DUMMYFUNCTION("IF(ISBLANK(A375),IFERROR(1/0),IF(COUNT(FILTER(F:F,A:A=A375))&gt;1,TRUNC(N375*F375/SUM(FILTER(N:N,A:A=A375)),3),F375))"),"")</f>
        <v/>
      </c>
      <c r="K375" s="147" t="str">
        <f>IFERROR(__xludf.DUMMYFUNCTION("IF(ISBLANK(A375),IFERROR(1/0),IF(COUNT(FILTER(G:G,((A:A=A375)*(B:B=""V""))))&gt;1,TRUNC(N375*G375/SUM(FILTER(N:N,((A:A=A375)*(B:B=""V"")))),3),G375))"),"")</f>
        <v/>
      </c>
      <c r="L375" s="148" t="str">
        <f>IFERROR(__xludf.DUMMYFUNCTION("if($C375="""","""",iferror(if(row()&lt;&gt;2,INDEX(arrayformula(filter($M$2:$M374,$C$2:$C374&lt;&gt;"""",row($C$2:$C374)=max(if($C$2:$C374=C375,row($C$2:$C374),0)))) ,1),0),0))"),"")</f>
        <v/>
      </c>
      <c r="M375" s="148" t="str">
        <f t="shared" si="1"/>
        <v/>
      </c>
      <c r="N375" s="147" t="str">
        <f t="shared" si="2"/>
        <v/>
      </c>
      <c r="O375" s="147" t="str">
        <f t="shared" si="21"/>
        <v/>
      </c>
      <c r="P375" s="147" t="str">
        <f>IFERROR(__xludf.DUMMYFUNCTION("if(C375="""","""",iferror(if(row()&lt;&gt;2,INDEX(arrayformula(filter($Q$2:$Q374,$C$2:$C374&lt;&gt;"""",row($C$2:$C374)=max(if($C$2:$C374=C375,row($C$2:$C374),0)))) ,1),0),0))"),"")</f>
        <v/>
      </c>
      <c r="Q375" s="147" t="str">
        <f t="shared" si="22"/>
        <v/>
      </c>
      <c r="R375" s="147" t="str">
        <f t="shared" si="23"/>
        <v/>
      </c>
      <c r="S375" s="147" t="str">
        <f t="shared" si="24"/>
        <v/>
      </c>
      <c r="T375" s="147" t="str">
        <f t="shared" si="7"/>
        <v/>
      </c>
      <c r="U375" s="150" t="str">
        <f t="shared" si="8"/>
        <v/>
      </c>
      <c r="V375" s="151" t="str">
        <f>IFERROR(VLOOKUP(C375,Ativos!$A$1:$G2000,5,),)</f>
        <v/>
      </c>
    </row>
    <row r="376" ht="21.0" customHeight="1">
      <c r="A376" s="152"/>
      <c r="B376" s="160"/>
      <c r="C376" s="153"/>
      <c r="D376" s="154"/>
      <c r="E376" s="139"/>
      <c r="F376" s="139"/>
      <c r="G376" s="139"/>
      <c r="H376" s="135"/>
      <c r="I376" s="141"/>
      <c r="J376" s="147" t="str">
        <f>IFERROR(__xludf.DUMMYFUNCTION("IF(ISBLANK(A376),IFERROR(1/0),IF(COUNT(FILTER(F:F,A:A=A376))&gt;1,TRUNC(N376*F376/SUM(FILTER(N:N,A:A=A376)),3),F376))"),"")</f>
        <v/>
      </c>
      <c r="K376" s="147" t="str">
        <f>IFERROR(__xludf.DUMMYFUNCTION("IF(ISBLANK(A376),IFERROR(1/0),IF(COUNT(FILTER(G:G,((A:A=A376)*(B:B=""V""))))&gt;1,TRUNC(N376*G376/SUM(FILTER(N:N,((A:A=A376)*(B:B=""V"")))),3),G376))"),"")</f>
        <v/>
      </c>
      <c r="L376" s="148" t="str">
        <f>IFERROR(__xludf.DUMMYFUNCTION("if($C376="""","""",iferror(if(row()&lt;&gt;2,INDEX(arrayformula(filter($M$2:$M375,$C$2:$C375&lt;&gt;"""",row($C$2:$C375)=max(if($C$2:$C375=C376,row($C$2:$C375),0)))) ,1),0),0))"),"")</f>
        <v/>
      </c>
      <c r="M376" s="148" t="str">
        <f t="shared" si="1"/>
        <v/>
      </c>
      <c r="N376" s="147" t="str">
        <f t="shared" si="2"/>
        <v/>
      </c>
      <c r="O376" s="147" t="str">
        <f t="shared" si="21"/>
        <v/>
      </c>
      <c r="P376" s="147" t="str">
        <f>IFERROR(__xludf.DUMMYFUNCTION("if(C376="""","""",iferror(if(row()&lt;&gt;2,INDEX(arrayformula(filter($Q$2:$Q375,$C$2:$C375&lt;&gt;"""",row($C$2:$C375)=max(if($C$2:$C375=C376,row($C$2:$C375),0)))) ,1),0),0))"),"")</f>
        <v/>
      </c>
      <c r="Q376" s="147" t="str">
        <f t="shared" si="22"/>
        <v/>
      </c>
      <c r="R376" s="147" t="str">
        <f t="shared" si="23"/>
        <v/>
      </c>
      <c r="S376" s="147" t="str">
        <f t="shared" si="24"/>
        <v/>
      </c>
      <c r="T376" s="147" t="str">
        <f t="shared" si="7"/>
        <v/>
      </c>
      <c r="U376" s="150" t="str">
        <f t="shared" si="8"/>
        <v/>
      </c>
      <c r="V376" s="151" t="str">
        <f>IFERROR(VLOOKUP(C376,Ativos!$A$1:$G2000,5,),)</f>
        <v/>
      </c>
    </row>
    <row r="377" ht="21.0" customHeight="1">
      <c r="A377" s="152"/>
      <c r="B377" s="160"/>
      <c r="C377" s="153"/>
      <c r="D377" s="154"/>
      <c r="E377" s="139"/>
      <c r="F377" s="139"/>
      <c r="G377" s="139"/>
      <c r="H377" s="135"/>
      <c r="I377" s="141"/>
      <c r="J377" s="147" t="str">
        <f>IFERROR(__xludf.DUMMYFUNCTION("IF(ISBLANK(A377),IFERROR(1/0),IF(COUNT(FILTER(F:F,A:A=A377))&gt;1,TRUNC(N377*F377/SUM(FILTER(N:N,A:A=A377)),3),F377))"),"")</f>
        <v/>
      </c>
      <c r="K377" s="147" t="str">
        <f>IFERROR(__xludf.DUMMYFUNCTION("IF(ISBLANK(A377),IFERROR(1/0),IF(COUNT(FILTER(G:G,((A:A=A377)*(B:B=""V""))))&gt;1,TRUNC(N377*G377/SUM(FILTER(N:N,((A:A=A377)*(B:B=""V"")))),3),G377))"),"")</f>
        <v/>
      </c>
      <c r="L377" s="148" t="str">
        <f>IFERROR(__xludf.DUMMYFUNCTION("if($C377="""","""",iferror(if(row()&lt;&gt;2,INDEX(arrayformula(filter($M$2:$M376,$C$2:$C376&lt;&gt;"""",row($C$2:$C376)=max(if($C$2:$C376=C377,row($C$2:$C376),0)))) ,1),0),0))"),"")</f>
        <v/>
      </c>
      <c r="M377" s="148" t="str">
        <f t="shared" si="1"/>
        <v/>
      </c>
      <c r="N377" s="147" t="str">
        <f t="shared" si="2"/>
        <v/>
      </c>
      <c r="O377" s="147" t="str">
        <f t="shared" si="21"/>
        <v/>
      </c>
      <c r="P377" s="147" t="str">
        <f>IFERROR(__xludf.DUMMYFUNCTION("if(C377="""","""",iferror(if(row()&lt;&gt;2,INDEX(arrayformula(filter($Q$2:$Q376,$C$2:$C376&lt;&gt;"""",row($C$2:$C376)=max(if($C$2:$C376=C377,row($C$2:$C376),0)))) ,1),0),0))"),"")</f>
        <v/>
      </c>
      <c r="Q377" s="147" t="str">
        <f t="shared" si="22"/>
        <v/>
      </c>
      <c r="R377" s="147" t="str">
        <f t="shared" si="23"/>
        <v/>
      </c>
      <c r="S377" s="147" t="str">
        <f t="shared" si="24"/>
        <v/>
      </c>
      <c r="T377" s="147" t="str">
        <f t="shared" si="7"/>
        <v/>
      </c>
      <c r="U377" s="150" t="str">
        <f t="shared" si="8"/>
        <v/>
      </c>
      <c r="V377" s="151" t="str">
        <f>IFERROR(VLOOKUP(C377,Ativos!$A$1:$G2000,5,),)</f>
        <v/>
      </c>
    </row>
    <row r="378" ht="21.0" customHeight="1">
      <c r="A378" s="152"/>
      <c r="B378" s="160"/>
      <c r="C378" s="153"/>
      <c r="D378" s="154"/>
      <c r="E378" s="139"/>
      <c r="F378" s="139"/>
      <c r="G378" s="139"/>
      <c r="H378" s="135"/>
      <c r="I378" s="141"/>
      <c r="J378" s="147" t="str">
        <f>IFERROR(__xludf.DUMMYFUNCTION("IF(ISBLANK(A378),IFERROR(1/0),IF(COUNT(FILTER(F:F,A:A=A378))&gt;1,TRUNC(N378*F378/SUM(FILTER(N:N,A:A=A378)),3),F378))"),"")</f>
        <v/>
      </c>
      <c r="K378" s="147" t="str">
        <f>IFERROR(__xludf.DUMMYFUNCTION("IF(ISBLANK(A378),IFERROR(1/0),IF(COUNT(FILTER(G:G,((A:A=A378)*(B:B=""V""))))&gt;1,TRUNC(N378*G378/SUM(FILTER(N:N,((A:A=A378)*(B:B=""V"")))),3),G378))"),"")</f>
        <v/>
      </c>
      <c r="L378" s="148" t="str">
        <f>IFERROR(__xludf.DUMMYFUNCTION("if($C378="""","""",iferror(if(row()&lt;&gt;2,INDEX(arrayformula(filter($M$2:$M377,$C$2:$C377&lt;&gt;"""",row($C$2:$C377)=max(if($C$2:$C377=C378,row($C$2:$C377),0)))) ,1),0),0))"),"")</f>
        <v/>
      </c>
      <c r="M378" s="148" t="str">
        <f t="shared" si="1"/>
        <v/>
      </c>
      <c r="N378" s="147" t="str">
        <f t="shared" si="2"/>
        <v/>
      </c>
      <c r="O378" s="147" t="str">
        <f t="shared" si="21"/>
        <v/>
      </c>
      <c r="P378" s="147" t="str">
        <f>IFERROR(__xludf.DUMMYFUNCTION("if(C378="""","""",iferror(if(row()&lt;&gt;2,INDEX(arrayformula(filter($Q$2:$Q377,$C$2:$C377&lt;&gt;"""",row($C$2:$C377)=max(if($C$2:$C377=C378,row($C$2:$C377),0)))) ,1),0),0))"),"")</f>
        <v/>
      </c>
      <c r="Q378" s="147" t="str">
        <f t="shared" si="22"/>
        <v/>
      </c>
      <c r="R378" s="147" t="str">
        <f t="shared" si="23"/>
        <v/>
      </c>
      <c r="S378" s="147" t="str">
        <f t="shared" si="24"/>
        <v/>
      </c>
      <c r="T378" s="147" t="str">
        <f t="shared" si="7"/>
        <v/>
      </c>
      <c r="U378" s="150" t="str">
        <f t="shared" si="8"/>
        <v/>
      </c>
      <c r="V378" s="151" t="str">
        <f>IFERROR(VLOOKUP(C378,Ativos!$A$1:$G2000,5,),)</f>
        <v/>
      </c>
    </row>
    <row r="379" ht="21.0" customHeight="1">
      <c r="A379" s="152"/>
      <c r="B379" s="160"/>
      <c r="C379" s="153"/>
      <c r="D379" s="154"/>
      <c r="E379" s="139"/>
      <c r="F379" s="139"/>
      <c r="G379" s="139"/>
      <c r="H379" s="135"/>
      <c r="I379" s="141"/>
      <c r="J379" s="147" t="str">
        <f>IFERROR(__xludf.DUMMYFUNCTION("IF(ISBLANK(A379),IFERROR(1/0),IF(COUNT(FILTER(F:F,A:A=A379))&gt;1,TRUNC(N379*F379/SUM(FILTER(N:N,A:A=A379)),3),F379))"),"")</f>
        <v/>
      </c>
      <c r="K379" s="147" t="str">
        <f>IFERROR(__xludf.DUMMYFUNCTION("IF(ISBLANK(A379),IFERROR(1/0),IF(COUNT(FILTER(G:G,((A:A=A379)*(B:B=""V""))))&gt;1,TRUNC(N379*G379/SUM(FILTER(N:N,((A:A=A379)*(B:B=""V"")))),3),G379))"),"")</f>
        <v/>
      </c>
      <c r="L379" s="148" t="str">
        <f>IFERROR(__xludf.DUMMYFUNCTION("if($C379="""","""",iferror(if(row()&lt;&gt;2,INDEX(arrayformula(filter($M$2:$M378,$C$2:$C378&lt;&gt;"""",row($C$2:$C378)=max(if($C$2:$C378=C379,row($C$2:$C378),0)))) ,1),0),0))"),"")</f>
        <v/>
      </c>
      <c r="M379" s="148" t="str">
        <f t="shared" si="1"/>
        <v/>
      </c>
      <c r="N379" s="147" t="str">
        <f t="shared" si="2"/>
        <v/>
      </c>
      <c r="O379" s="147" t="str">
        <f t="shared" si="21"/>
        <v/>
      </c>
      <c r="P379" s="147" t="str">
        <f>IFERROR(__xludf.DUMMYFUNCTION("if(C379="""","""",iferror(if(row()&lt;&gt;2,INDEX(arrayformula(filter($Q$2:$Q378,$C$2:$C378&lt;&gt;"""",row($C$2:$C378)=max(if($C$2:$C378=C379,row($C$2:$C378),0)))) ,1),0),0))"),"")</f>
        <v/>
      </c>
      <c r="Q379" s="147" t="str">
        <f t="shared" si="22"/>
        <v/>
      </c>
      <c r="R379" s="147" t="str">
        <f t="shared" si="23"/>
        <v/>
      </c>
      <c r="S379" s="147" t="str">
        <f t="shared" si="24"/>
        <v/>
      </c>
      <c r="T379" s="147" t="str">
        <f t="shared" si="7"/>
        <v/>
      </c>
      <c r="U379" s="150" t="str">
        <f t="shared" si="8"/>
        <v/>
      </c>
      <c r="V379" s="151" t="str">
        <f>IFERROR(VLOOKUP(C379,Ativos!$A$1:$G2000,5,),)</f>
        <v/>
      </c>
    </row>
    <row r="380" ht="21.0" customHeight="1">
      <c r="A380" s="152"/>
      <c r="B380" s="160"/>
      <c r="C380" s="153"/>
      <c r="D380" s="154"/>
      <c r="E380" s="139"/>
      <c r="F380" s="139"/>
      <c r="G380" s="139"/>
      <c r="H380" s="135"/>
      <c r="I380" s="141"/>
      <c r="J380" s="147" t="str">
        <f>IFERROR(__xludf.DUMMYFUNCTION("IF(ISBLANK(A380),IFERROR(1/0),IF(COUNT(FILTER(F:F,A:A=A380))&gt;1,TRUNC(N380*F380/SUM(FILTER(N:N,A:A=A380)),3),F380))"),"")</f>
        <v/>
      </c>
      <c r="K380" s="147" t="str">
        <f>IFERROR(__xludf.DUMMYFUNCTION("IF(ISBLANK(A380),IFERROR(1/0),IF(COUNT(FILTER(G:G,((A:A=A380)*(B:B=""V""))))&gt;1,TRUNC(N380*G380/SUM(FILTER(N:N,((A:A=A380)*(B:B=""V"")))),3),G380))"),"")</f>
        <v/>
      </c>
      <c r="L380" s="148" t="str">
        <f>IFERROR(__xludf.DUMMYFUNCTION("if($C380="""","""",iferror(if(row()&lt;&gt;2,INDEX(arrayformula(filter($M$2:$M379,$C$2:$C379&lt;&gt;"""",row($C$2:$C379)=max(if($C$2:$C379=C380,row($C$2:$C379),0)))) ,1),0),0))"),"")</f>
        <v/>
      </c>
      <c r="M380" s="148" t="str">
        <f t="shared" si="1"/>
        <v/>
      </c>
      <c r="N380" s="147" t="str">
        <f t="shared" si="2"/>
        <v/>
      </c>
      <c r="O380" s="147" t="str">
        <f t="shared" si="21"/>
        <v/>
      </c>
      <c r="P380" s="147" t="str">
        <f>IFERROR(__xludf.DUMMYFUNCTION("if(C380="""","""",iferror(if(row()&lt;&gt;2,INDEX(arrayformula(filter($Q$2:$Q379,$C$2:$C379&lt;&gt;"""",row($C$2:$C379)=max(if($C$2:$C379=C380,row($C$2:$C379),0)))) ,1),0),0))"),"")</f>
        <v/>
      </c>
      <c r="Q380" s="147" t="str">
        <f t="shared" si="22"/>
        <v/>
      </c>
      <c r="R380" s="147" t="str">
        <f t="shared" si="23"/>
        <v/>
      </c>
      <c r="S380" s="147" t="str">
        <f t="shared" si="24"/>
        <v/>
      </c>
      <c r="T380" s="147" t="str">
        <f t="shared" si="7"/>
        <v/>
      </c>
      <c r="U380" s="150" t="str">
        <f t="shared" si="8"/>
        <v/>
      </c>
      <c r="V380" s="151" t="str">
        <f>IFERROR(VLOOKUP(C380,Ativos!$A$1:$G2000,5,),)</f>
        <v/>
      </c>
    </row>
    <row r="381" ht="21.0" customHeight="1">
      <c r="A381" s="152"/>
      <c r="B381" s="160"/>
      <c r="C381" s="153"/>
      <c r="D381" s="154"/>
      <c r="E381" s="139"/>
      <c r="F381" s="139"/>
      <c r="G381" s="139"/>
      <c r="H381" s="135"/>
      <c r="I381" s="141"/>
      <c r="J381" s="147" t="str">
        <f>IFERROR(__xludf.DUMMYFUNCTION("IF(ISBLANK(A381),IFERROR(1/0),IF(COUNT(FILTER(F:F,A:A=A381))&gt;1,TRUNC(N381*F381/SUM(FILTER(N:N,A:A=A381)),3),F381))"),"")</f>
        <v/>
      </c>
      <c r="K381" s="147" t="str">
        <f>IFERROR(__xludf.DUMMYFUNCTION("IF(ISBLANK(A381),IFERROR(1/0),IF(COUNT(FILTER(G:G,((A:A=A381)*(B:B=""V""))))&gt;1,TRUNC(N381*G381/SUM(FILTER(N:N,((A:A=A381)*(B:B=""V"")))),3),G381))"),"")</f>
        <v/>
      </c>
      <c r="L381" s="148" t="str">
        <f>IFERROR(__xludf.DUMMYFUNCTION("if($C381="""","""",iferror(if(row()&lt;&gt;2,INDEX(arrayformula(filter($M$2:$M380,$C$2:$C380&lt;&gt;"""",row($C$2:$C380)=max(if($C$2:$C380=C381,row($C$2:$C380),0)))) ,1),0),0))"),"")</f>
        <v/>
      </c>
      <c r="M381" s="148" t="str">
        <f t="shared" si="1"/>
        <v/>
      </c>
      <c r="N381" s="147" t="str">
        <f t="shared" si="2"/>
        <v/>
      </c>
      <c r="O381" s="147" t="str">
        <f t="shared" si="21"/>
        <v/>
      </c>
      <c r="P381" s="147" t="str">
        <f>IFERROR(__xludf.DUMMYFUNCTION("if(C381="""","""",iferror(if(row()&lt;&gt;2,INDEX(arrayformula(filter($Q$2:$Q380,$C$2:$C380&lt;&gt;"""",row($C$2:$C380)=max(if($C$2:$C380=C381,row($C$2:$C380),0)))) ,1),0),0))"),"")</f>
        <v/>
      </c>
      <c r="Q381" s="147" t="str">
        <f t="shared" si="22"/>
        <v/>
      </c>
      <c r="R381" s="147" t="str">
        <f t="shared" si="23"/>
        <v/>
      </c>
      <c r="S381" s="147" t="str">
        <f t="shared" si="24"/>
        <v/>
      </c>
      <c r="T381" s="147" t="str">
        <f t="shared" si="7"/>
        <v/>
      </c>
      <c r="U381" s="150" t="str">
        <f t="shared" si="8"/>
        <v/>
      </c>
      <c r="V381" s="151" t="str">
        <f>IFERROR(VLOOKUP(C381,Ativos!$A$1:$G2000,5,),)</f>
        <v/>
      </c>
    </row>
    <row r="382" ht="21.0" customHeight="1">
      <c r="A382" s="152"/>
      <c r="B382" s="160"/>
      <c r="C382" s="153"/>
      <c r="D382" s="154"/>
      <c r="E382" s="139"/>
      <c r="F382" s="139"/>
      <c r="G382" s="139"/>
      <c r="H382" s="135"/>
      <c r="I382" s="141"/>
      <c r="J382" s="147" t="str">
        <f>IFERROR(__xludf.DUMMYFUNCTION("IF(ISBLANK(A382),IFERROR(1/0),IF(COUNT(FILTER(F:F,A:A=A382))&gt;1,TRUNC(N382*F382/SUM(FILTER(N:N,A:A=A382)),3),F382))"),"")</f>
        <v/>
      </c>
      <c r="K382" s="147" t="str">
        <f>IFERROR(__xludf.DUMMYFUNCTION("IF(ISBLANK(A382),IFERROR(1/0),IF(COUNT(FILTER(G:G,((A:A=A382)*(B:B=""V""))))&gt;1,TRUNC(N382*G382/SUM(FILTER(N:N,((A:A=A382)*(B:B=""V"")))),3),G382))"),"")</f>
        <v/>
      </c>
      <c r="L382" s="148" t="str">
        <f>IFERROR(__xludf.DUMMYFUNCTION("if($C382="""","""",iferror(if(row()&lt;&gt;2,INDEX(arrayformula(filter($M$2:$M381,$C$2:$C381&lt;&gt;"""",row($C$2:$C381)=max(if($C$2:$C381=C382,row($C$2:$C381),0)))) ,1),0),0))"),"")</f>
        <v/>
      </c>
      <c r="M382" s="148" t="str">
        <f t="shared" si="1"/>
        <v/>
      </c>
      <c r="N382" s="147" t="str">
        <f t="shared" si="2"/>
        <v/>
      </c>
      <c r="O382" s="147" t="str">
        <f t="shared" si="21"/>
        <v/>
      </c>
      <c r="P382" s="147" t="str">
        <f>IFERROR(__xludf.DUMMYFUNCTION("if(C382="""","""",iferror(if(row()&lt;&gt;2,INDEX(arrayformula(filter($Q$2:$Q381,$C$2:$C381&lt;&gt;"""",row($C$2:$C381)=max(if($C$2:$C381=C382,row($C$2:$C381),0)))) ,1),0),0))"),"")</f>
        <v/>
      </c>
      <c r="Q382" s="147" t="str">
        <f t="shared" si="22"/>
        <v/>
      </c>
      <c r="R382" s="147" t="str">
        <f t="shared" si="23"/>
        <v/>
      </c>
      <c r="S382" s="147" t="str">
        <f t="shared" si="24"/>
        <v/>
      </c>
      <c r="T382" s="147" t="str">
        <f t="shared" si="7"/>
        <v/>
      </c>
      <c r="U382" s="150" t="str">
        <f t="shared" si="8"/>
        <v/>
      </c>
      <c r="V382" s="151" t="str">
        <f>IFERROR(VLOOKUP(C382,Ativos!$A$1:$G2000,5,),)</f>
        <v/>
      </c>
    </row>
    <row r="383" ht="21.0" customHeight="1">
      <c r="A383" s="152"/>
      <c r="B383" s="160"/>
      <c r="C383" s="153"/>
      <c r="D383" s="154"/>
      <c r="E383" s="139"/>
      <c r="F383" s="139"/>
      <c r="G383" s="139"/>
      <c r="H383" s="135"/>
      <c r="I383" s="141"/>
      <c r="J383" s="147" t="str">
        <f>IFERROR(__xludf.DUMMYFUNCTION("IF(ISBLANK(A383),IFERROR(1/0),IF(COUNT(FILTER(F:F,A:A=A383))&gt;1,TRUNC(N383*F383/SUM(FILTER(N:N,A:A=A383)),3),F383))"),"")</f>
        <v/>
      </c>
      <c r="K383" s="147" t="str">
        <f>IFERROR(__xludf.DUMMYFUNCTION("IF(ISBLANK(A383),IFERROR(1/0),IF(COUNT(FILTER(G:G,((A:A=A383)*(B:B=""V""))))&gt;1,TRUNC(N383*G383/SUM(FILTER(N:N,((A:A=A383)*(B:B=""V"")))),3),G383))"),"")</f>
        <v/>
      </c>
      <c r="L383" s="148" t="str">
        <f>IFERROR(__xludf.DUMMYFUNCTION("if($C383="""","""",iferror(if(row()&lt;&gt;2,INDEX(arrayformula(filter($M$2:$M382,$C$2:$C382&lt;&gt;"""",row($C$2:$C382)=max(if($C$2:$C382=C383,row($C$2:$C382),0)))) ,1),0),0))"),"")</f>
        <v/>
      </c>
      <c r="M383" s="148" t="str">
        <f t="shared" si="1"/>
        <v/>
      </c>
      <c r="N383" s="147" t="str">
        <f t="shared" si="2"/>
        <v/>
      </c>
      <c r="O383" s="147" t="str">
        <f t="shared" si="21"/>
        <v/>
      </c>
      <c r="P383" s="147" t="str">
        <f>IFERROR(__xludf.DUMMYFUNCTION("if(C383="""","""",iferror(if(row()&lt;&gt;2,INDEX(arrayformula(filter($Q$2:$Q382,$C$2:$C382&lt;&gt;"""",row($C$2:$C382)=max(if($C$2:$C382=C383,row($C$2:$C382),0)))) ,1),0),0))"),"")</f>
        <v/>
      </c>
      <c r="Q383" s="147" t="str">
        <f t="shared" si="22"/>
        <v/>
      </c>
      <c r="R383" s="147" t="str">
        <f t="shared" si="23"/>
        <v/>
      </c>
      <c r="S383" s="147" t="str">
        <f t="shared" si="24"/>
        <v/>
      </c>
      <c r="T383" s="147" t="str">
        <f t="shared" si="7"/>
        <v/>
      </c>
      <c r="U383" s="150" t="str">
        <f t="shared" si="8"/>
        <v/>
      </c>
      <c r="V383" s="151" t="str">
        <f>IFERROR(VLOOKUP(C383,Ativos!$A$1:$G2000,5,),)</f>
        <v/>
      </c>
    </row>
    <row r="384" ht="21.0" customHeight="1">
      <c r="A384" s="152"/>
      <c r="B384" s="160"/>
      <c r="C384" s="153"/>
      <c r="D384" s="154"/>
      <c r="E384" s="139"/>
      <c r="F384" s="139"/>
      <c r="G384" s="139"/>
      <c r="H384" s="135"/>
      <c r="I384" s="141"/>
      <c r="J384" s="147" t="str">
        <f>IFERROR(__xludf.DUMMYFUNCTION("IF(ISBLANK(A384),IFERROR(1/0),IF(COUNT(FILTER(F:F,A:A=A384))&gt;1,TRUNC(N384*F384/SUM(FILTER(N:N,A:A=A384)),3),F384))"),"")</f>
        <v/>
      </c>
      <c r="K384" s="147" t="str">
        <f>IFERROR(__xludf.DUMMYFUNCTION("IF(ISBLANK(A384),IFERROR(1/0),IF(COUNT(FILTER(G:G,((A:A=A384)*(B:B=""V""))))&gt;1,TRUNC(N384*G384/SUM(FILTER(N:N,((A:A=A384)*(B:B=""V"")))),3),G384))"),"")</f>
        <v/>
      </c>
      <c r="L384" s="148" t="str">
        <f>IFERROR(__xludf.DUMMYFUNCTION("if($C384="""","""",iferror(if(row()&lt;&gt;2,INDEX(arrayformula(filter($M$2:$M383,$C$2:$C383&lt;&gt;"""",row($C$2:$C383)=max(if($C$2:$C383=C384,row($C$2:$C383),0)))) ,1),0),0))"),"")</f>
        <v/>
      </c>
      <c r="M384" s="148" t="str">
        <f t="shared" si="1"/>
        <v/>
      </c>
      <c r="N384" s="147" t="str">
        <f t="shared" si="2"/>
        <v/>
      </c>
      <c r="O384" s="147" t="str">
        <f t="shared" si="21"/>
        <v/>
      </c>
      <c r="P384" s="147" t="str">
        <f>IFERROR(__xludf.DUMMYFUNCTION("if(C384="""","""",iferror(if(row()&lt;&gt;2,INDEX(arrayformula(filter($Q$2:$Q383,$C$2:$C383&lt;&gt;"""",row($C$2:$C383)=max(if($C$2:$C383=C384,row($C$2:$C383),0)))) ,1),0),0))"),"")</f>
        <v/>
      </c>
      <c r="Q384" s="147" t="str">
        <f t="shared" si="22"/>
        <v/>
      </c>
      <c r="R384" s="147" t="str">
        <f t="shared" si="23"/>
        <v/>
      </c>
      <c r="S384" s="147" t="str">
        <f t="shared" si="24"/>
        <v/>
      </c>
      <c r="T384" s="147" t="str">
        <f t="shared" si="7"/>
        <v/>
      </c>
      <c r="U384" s="150" t="str">
        <f t="shared" si="8"/>
        <v/>
      </c>
      <c r="V384" s="151" t="str">
        <f>IFERROR(VLOOKUP(C384,Ativos!$A$1:$G2000,5,),)</f>
        <v/>
      </c>
    </row>
    <row r="385" ht="21.0" customHeight="1">
      <c r="A385" s="152"/>
      <c r="B385" s="160"/>
      <c r="C385" s="153"/>
      <c r="D385" s="154"/>
      <c r="E385" s="139"/>
      <c r="F385" s="139"/>
      <c r="G385" s="139"/>
      <c r="H385" s="135"/>
      <c r="I385" s="141"/>
      <c r="J385" s="147" t="str">
        <f>IFERROR(__xludf.DUMMYFUNCTION("IF(ISBLANK(A385),IFERROR(1/0),IF(COUNT(FILTER(F:F,A:A=A385))&gt;1,TRUNC(N385*F385/SUM(FILTER(N:N,A:A=A385)),3),F385))"),"")</f>
        <v/>
      </c>
      <c r="K385" s="147" t="str">
        <f>IFERROR(__xludf.DUMMYFUNCTION("IF(ISBLANK(A385),IFERROR(1/0),IF(COUNT(FILTER(G:G,((A:A=A385)*(B:B=""V""))))&gt;1,TRUNC(N385*G385/SUM(FILTER(N:N,((A:A=A385)*(B:B=""V"")))),3),G385))"),"")</f>
        <v/>
      </c>
      <c r="L385" s="148" t="str">
        <f>IFERROR(__xludf.DUMMYFUNCTION("if($C385="""","""",iferror(if(row()&lt;&gt;2,INDEX(arrayformula(filter($M$2:$M384,$C$2:$C384&lt;&gt;"""",row($C$2:$C384)=max(if($C$2:$C384=C385,row($C$2:$C384),0)))) ,1),0),0))"),"")</f>
        <v/>
      </c>
      <c r="M385" s="148" t="str">
        <f t="shared" si="1"/>
        <v/>
      </c>
      <c r="N385" s="147" t="str">
        <f t="shared" si="2"/>
        <v/>
      </c>
      <c r="O385" s="147" t="str">
        <f t="shared" si="21"/>
        <v/>
      </c>
      <c r="P385" s="147" t="str">
        <f>IFERROR(__xludf.DUMMYFUNCTION("if(C385="""","""",iferror(if(row()&lt;&gt;2,INDEX(arrayformula(filter($Q$2:$Q384,$C$2:$C384&lt;&gt;"""",row($C$2:$C384)=max(if($C$2:$C384=C385,row($C$2:$C384),0)))) ,1),0),0))"),"")</f>
        <v/>
      </c>
      <c r="Q385" s="147" t="str">
        <f t="shared" si="22"/>
        <v/>
      </c>
      <c r="R385" s="147" t="str">
        <f t="shared" si="23"/>
        <v/>
      </c>
      <c r="S385" s="147" t="str">
        <f t="shared" si="24"/>
        <v/>
      </c>
      <c r="T385" s="147" t="str">
        <f t="shared" si="7"/>
        <v/>
      </c>
      <c r="U385" s="150" t="str">
        <f t="shared" si="8"/>
        <v/>
      </c>
      <c r="V385" s="151" t="str">
        <f>IFERROR(VLOOKUP(C385,Ativos!$A$1:$G2000,5,),)</f>
        <v/>
      </c>
    </row>
    <row r="386" ht="21.0" customHeight="1">
      <c r="A386" s="152"/>
      <c r="B386" s="160"/>
      <c r="C386" s="153"/>
      <c r="D386" s="154"/>
      <c r="E386" s="139"/>
      <c r="F386" s="139"/>
      <c r="G386" s="139"/>
      <c r="H386" s="135"/>
      <c r="I386" s="141"/>
      <c r="J386" s="147" t="str">
        <f>IFERROR(__xludf.DUMMYFUNCTION("IF(ISBLANK(A386),IFERROR(1/0),IF(COUNT(FILTER(F:F,A:A=A386))&gt;1,TRUNC(N386*F386/SUM(FILTER(N:N,A:A=A386)),3),F386))"),"")</f>
        <v/>
      </c>
      <c r="K386" s="147" t="str">
        <f>IFERROR(__xludf.DUMMYFUNCTION("IF(ISBLANK(A386),IFERROR(1/0),IF(COUNT(FILTER(G:G,((A:A=A386)*(B:B=""V""))))&gt;1,TRUNC(N386*G386/SUM(FILTER(N:N,((A:A=A386)*(B:B=""V"")))),3),G386))"),"")</f>
        <v/>
      </c>
      <c r="L386" s="148" t="str">
        <f>IFERROR(__xludf.DUMMYFUNCTION("if($C386="""","""",iferror(if(row()&lt;&gt;2,INDEX(arrayformula(filter($M$2:$M385,$C$2:$C385&lt;&gt;"""",row($C$2:$C385)=max(if($C$2:$C385=C386,row($C$2:$C385),0)))) ,1),0),0))"),"")</f>
        <v/>
      </c>
      <c r="M386" s="148" t="str">
        <f t="shared" si="1"/>
        <v/>
      </c>
      <c r="N386" s="147" t="str">
        <f t="shared" si="2"/>
        <v/>
      </c>
      <c r="O386" s="147" t="str">
        <f t="shared" si="21"/>
        <v/>
      </c>
      <c r="P386" s="147" t="str">
        <f>IFERROR(__xludf.DUMMYFUNCTION("if(C386="""","""",iferror(if(row()&lt;&gt;2,INDEX(arrayformula(filter($Q$2:$Q385,$C$2:$C385&lt;&gt;"""",row($C$2:$C385)=max(if($C$2:$C385=C386,row($C$2:$C385),0)))) ,1),0),0))"),"")</f>
        <v/>
      </c>
      <c r="Q386" s="147" t="str">
        <f t="shared" si="22"/>
        <v/>
      </c>
      <c r="R386" s="147" t="str">
        <f t="shared" si="23"/>
        <v/>
      </c>
      <c r="S386" s="147" t="str">
        <f t="shared" si="24"/>
        <v/>
      </c>
      <c r="T386" s="147" t="str">
        <f t="shared" si="7"/>
        <v/>
      </c>
      <c r="U386" s="150" t="str">
        <f t="shared" si="8"/>
        <v/>
      </c>
      <c r="V386" s="151" t="str">
        <f>IFERROR(VLOOKUP(C386,Ativos!$A$1:$G2000,5,),)</f>
        <v/>
      </c>
    </row>
    <row r="387" ht="21.0" customHeight="1">
      <c r="A387" s="152"/>
      <c r="B387" s="160"/>
      <c r="C387" s="153"/>
      <c r="D387" s="154"/>
      <c r="E387" s="139"/>
      <c r="F387" s="139"/>
      <c r="G387" s="139"/>
      <c r="H387" s="135"/>
      <c r="I387" s="141"/>
      <c r="J387" s="147" t="str">
        <f>IFERROR(__xludf.DUMMYFUNCTION("IF(ISBLANK(A387),IFERROR(1/0),IF(COUNT(FILTER(F:F,A:A=A387))&gt;1,TRUNC(N387*F387/SUM(FILTER(N:N,A:A=A387)),3),F387))"),"")</f>
        <v/>
      </c>
      <c r="K387" s="147" t="str">
        <f>IFERROR(__xludf.DUMMYFUNCTION("IF(ISBLANK(A387),IFERROR(1/0),IF(COUNT(FILTER(G:G,((A:A=A387)*(B:B=""V""))))&gt;1,TRUNC(N387*G387/SUM(FILTER(N:N,((A:A=A387)*(B:B=""V"")))),3),G387))"),"")</f>
        <v/>
      </c>
      <c r="L387" s="148" t="str">
        <f>IFERROR(__xludf.DUMMYFUNCTION("if($C387="""","""",iferror(if(row()&lt;&gt;2,INDEX(arrayformula(filter($M$2:$M386,$C$2:$C386&lt;&gt;"""",row($C$2:$C386)=max(if($C$2:$C386=C387,row($C$2:$C386),0)))) ,1),0),0))"),"")</f>
        <v/>
      </c>
      <c r="M387" s="148" t="str">
        <f t="shared" si="1"/>
        <v/>
      </c>
      <c r="N387" s="147" t="str">
        <f t="shared" si="2"/>
        <v/>
      </c>
      <c r="O387" s="147" t="str">
        <f t="shared" si="21"/>
        <v/>
      </c>
      <c r="P387" s="147" t="str">
        <f>IFERROR(__xludf.DUMMYFUNCTION("if(C387="""","""",iferror(if(row()&lt;&gt;2,INDEX(arrayformula(filter($Q$2:$Q386,$C$2:$C386&lt;&gt;"""",row($C$2:$C386)=max(if($C$2:$C386=C387,row($C$2:$C386),0)))) ,1),0),0))"),"")</f>
        <v/>
      </c>
      <c r="Q387" s="147" t="str">
        <f t="shared" si="22"/>
        <v/>
      </c>
      <c r="R387" s="147" t="str">
        <f t="shared" si="23"/>
        <v/>
      </c>
      <c r="S387" s="147" t="str">
        <f t="shared" si="24"/>
        <v/>
      </c>
      <c r="T387" s="147" t="str">
        <f t="shared" si="7"/>
        <v/>
      </c>
      <c r="U387" s="150" t="str">
        <f t="shared" si="8"/>
        <v/>
      </c>
      <c r="V387" s="151" t="str">
        <f>IFERROR(VLOOKUP(C387,Ativos!$A$1:$G2000,5,),)</f>
        <v/>
      </c>
    </row>
    <row r="388" ht="21.0" customHeight="1">
      <c r="A388" s="152"/>
      <c r="B388" s="160"/>
      <c r="C388" s="153"/>
      <c r="D388" s="154"/>
      <c r="E388" s="139"/>
      <c r="F388" s="139"/>
      <c r="G388" s="139"/>
      <c r="H388" s="135"/>
      <c r="I388" s="141"/>
      <c r="J388" s="147" t="str">
        <f>IFERROR(__xludf.DUMMYFUNCTION("IF(ISBLANK(A388),IFERROR(1/0),IF(COUNT(FILTER(F:F,A:A=A388))&gt;1,TRUNC(N388*F388/SUM(FILTER(N:N,A:A=A388)),3),F388))"),"")</f>
        <v/>
      </c>
      <c r="K388" s="147" t="str">
        <f>IFERROR(__xludf.DUMMYFUNCTION("IF(ISBLANK(A388),IFERROR(1/0),IF(COUNT(FILTER(G:G,((A:A=A388)*(B:B=""V""))))&gt;1,TRUNC(N388*G388/SUM(FILTER(N:N,((A:A=A388)*(B:B=""V"")))),3),G388))"),"")</f>
        <v/>
      </c>
      <c r="L388" s="148" t="str">
        <f>IFERROR(__xludf.DUMMYFUNCTION("if($C388="""","""",iferror(if(row()&lt;&gt;2,INDEX(arrayformula(filter($M$2:$M387,$C$2:$C387&lt;&gt;"""",row($C$2:$C387)=max(if($C$2:$C387=C388,row($C$2:$C387),0)))) ,1),0),0))"),"")</f>
        <v/>
      </c>
      <c r="M388" s="148" t="str">
        <f t="shared" si="1"/>
        <v/>
      </c>
      <c r="N388" s="147" t="str">
        <f t="shared" si="2"/>
        <v/>
      </c>
      <c r="O388" s="147" t="str">
        <f t="shared" si="21"/>
        <v/>
      </c>
      <c r="P388" s="147" t="str">
        <f>IFERROR(__xludf.DUMMYFUNCTION("if(C388="""","""",iferror(if(row()&lt;&gt;2,INDEX(arrayformula(filter($Q$2:$Q387,$C$2:$C387&lt;&gt;"""",row($C$2:$C387)=max(if($C$2:$C387=C388,row($C$2:$C387),0)))) ,1),0),0))"),"")</f>
        <v/>
      </c>
      <c r="Q388" s="147" t="str">
        <f t="shared" si="22"/>
        <v/>
      </c>
      <c r="R388" s="147" t="str">
        <f t="shared" si="23"/>
        <v/>
      </c>
      <c r="S388" s="147" t="str">
        <f t="shared" si="24"/>
        <v/>
      </c>
      <c r="T388" s="147" t="str">
        <f t="shared" si="7"/>
        <v/>
      </c>
      <c r="U388" s="150" t="str">
        <f t="shared" si="8"/>
        <v/>
      </c>
      <c r="V388" s="151" t="str">
        <f>IFERROR(VLOOKUP(C388,Ativos!$A$1:$G2000,5,),)</f>
        <v/>
      </c>
    </row>
    <row r="389" ht="21.0" customHeight="1">
      <c r="A389" s="152"/>
      <c r="B389" s="160"/>
      <c r="C389" s="153"/>
      <c r="D389" s="154"/>
      <c r="E389" s="139"/>
      <c r="F389" s="139"/>
      <c r="G389" s="139"/>
      <c r="H389" s="135"/>
      <c r="I389" s="141"/>
      <c r="J389" s="147" t="str">
        <f>IFERROR(__xludf.DUMMYFUNCTION("IF(ISBLANK(A389),IFERROR(1/0),IF(COUNT(FILTER(F:F,A:A=A389))&gt;1,TRUNC(N389*F389/SUM(FILTER(N:N,A:A=A389)),3),F389))"),"")</f>
        <v/>
      </c>
      <c r="K389" s="147" t="str">
        <f>IFERROR(__xludf.DUMMYFUNCTION("IF(ISBLANK(A389),IFERROR(1/0),IF(COUNT(FILTER(G:G,((A:A=A389)*(B:B=""V""))))&gt;1,TRUNC(N389*G389/SUM(FILTER(N:N,((A:A=A389)*(B:B=""V"")))),3),G389))"),"")</f>
        <v/>
      </c>
      <c r="L389" s="148" t="str">
        <f>IFERROR(__xludf.DUMMYFUNCTION("if($C389="""","""",iferror(if(row()&lt;&gt;2,INDEX(arrayformula(filter($M$2:$M388,$C$2:$C388&lt;&gt;"""",row($C$2:$C388)=max(if($C$2:$C388=C389,row($C$2:$C388),0)))) ,1),0),0))"),"")</f>
        <v/>
      </c>
      <c r="M389" s="148" t="str">
        <f t="shared" si="1"/>
        <v/>
      </c>
      <c r="N389" s="147" t="str">
        <f t="shared" si="2"/>
        <v/>
      </c>
      <c r="O389" s="147" t="str">
        <f t="shared" si="21"/>
        <v/>
      </c>
      <c r="P389" s="147" t="str">
        <f>IFERROR(__xludf.DUMMYFUNCTION("if(C389="""","""",iferror(if(row()&lt;&gt;2,INDEX(arrayformula(filter($Q$2:$Q388,$C$2:$C388&lt;&gt;"""",row($C$2:$C388)=max(if($C$2:$C388=C389,row($C$2:$C388),0)))) ,1),0),0))"),"")</f>
        <v/>
      </c>
      <c r="Q389" s="147" t="str">
        <f t="shared" si="22"/>
        <v/>
      </c>
      <c r="R389" s="147" t="str">
        <f t="shared" si="23"/>
        <v/>
      </c>
      <c r="S389" s="147" t="str">
        <f t="shared" si="24"/>
        <v/>
      </c>
      <c r="T389" s="147" t="str">
        <f t="shared" si="7"/>
        <v/>
      </c>
      <c r="U389" s="150" t="str">
        <f t="shared" si="8"/>
        <v/>
      </c>
      <c r="V389" s="151" t="str">
        <f>IFERROR(VLOOKUP(C389,Ativos!$A$1:$G2000,5,),)</f>
        <v/>
      </c>
    </row>
    <row r="390" ht="21.0" customHeight="1">
      <c r="A390" s="152"/>
      <c r="B390" s="160"/>
      <c r="C390" s="153"/>
      <c r="D390" s="154"/>
      <c r="E390" s="139"/>
      <c r="F390" s="139"/>
      <c r="G390" s="139"/>
      <c r="H390" s="135"/>
      <c r="I390" s="141"/>
      <c r="J390" s="147" t="str">
        <f>IFERROR(__xludf.DUMMYFUNCTION("IF(ISBLANK(A390),IFERROR(1/0),IF(COUNT(FILTER(F:F,A:A=A390))&gt;1,TRUNC(N390*F390/SUM(FILTER(N:N,A:A=A390)),3),F390))"),"")</f>
        <v/>
      </c>
      <c r="K390" s="147" t="str">
        <f>IFERROR(__xludf.DUMMYFUNCTION("IF(ISBLANK(A390),IFERROR(1/0),IF(COUNT(FILTER(G:G,((A:A=A390)*(B:B=""V""))))&gt;1,TRUNC(N390*G390/SUM(FILTER(N:N,((A:A=A390)*(B:B=""V"")))),3),G390))"),"")</f>
        <v/>
      </c>
      <c r="L390" s="148" t="str">
        <f>IFERROR(__xludf.DUMMYFUNCTION("if($C390="""","""",iferror(if(row()&lt;&gt;2,INDEX(arrayformula(filter($M$2:$M389,$C$2:$C389&lt;&gt;"""",row($C$2:$C389)=max(if($C$2:$C389=C390,row($C$2:$C389),0)))) ,1),0),0))"),"")</f>
        <v/>
      </c>
      <c r="M390" s="148" t="str">
        <f t="shared" si="1"/>
        <v/>
      </c>
      <c r="N390" s="147" t="str">
        <f t="shared" si="2"/>
        <v/>
      </c>
      <c r="O390" s="147" t="str">
        <f t="shared" si="21"/>
        <v/>
      </c>
      <c r="P390" s="147" t="str">
        <f>IFERROR(__xludf.DUMMYFUNCTION("if(C390="""","""",iferror(if(row()&lt;&gt;2,INDEX(arrayformula(filter($Q$2:$Q389,$C$2:$C389&lt;&gt;"""",row($C$2:$C389)=max(if($C$2:$C389=C390,row($C$2:$C389),0)))) ,1),0),0))"),"")</f>
        <v/>
      </c>
      <c r="Q390" s="147" t="str">
        <f t="shared" si="22"/>
        <v/>
      </c>
      <c r="R390" s="147" t="str">
        <f t="shared" si="23"/>
        <v/>
      </c>
      <c r="S390" s="147" t="str">
        <f t="shared" si="24"/>
        <v/>
      </c>
      <c r="T390" s="147" t="str">
        <f t="shared" si="7"/>
        <v/>
      </c>
      <c r="U390" s="150" t="str">
        <f t="shared" si="8"/>
        <v/>
      </c>
      <c r="V390" s="151" t="str">
        <f>IFERROR(VLOOKUP(C390,Ativos!$A$1:$G2000,5,),)</f>
        <v/>
      </c>
    </row>
    <row r="391" ht="21.0" customHeight="1">
      <c r="A391" s="152"/>
      <c r="B391" s="160"/>
      <c r="C391" s="153"/>
      <c r="D391" s="154"/>
      <c r="E391" s="139"/>
      <c r="F391" s="139"/>
      <c r="G391" s="139"/>
      <c r="H391" s="135"/>
      <c r="I391" s="141"/>
      <c r="J391" s="147" t="str">
        <f>IFERROR(__xludf.DUMMYFUNCTION("IF(ISBLANK(A391),IFERROR(1/0),IF(COUNT(FILTER(F:F,A:A=A391))&gt;1,TRUNC(N391*F391/SUM(FILTER(N:N,A:A=A391)),3),F391))"),"")</f>
        <v/>
      </c>
      <c r="K391" s="147" t="str">
        <f>IFERROR(__xludf.DUMMYFUNCTION("IF(ISBLANK(A391),IFERROR(1/0),IF(COUNT(FILTER(G:G,((A:A=A391)*(B:B=""V""))))&gt;1,TRUNC(N391*G391/SUM(FILTER(N:N,((A:A=A391)*(B:B=""V"")))),3),G391))"),"")</f>
        <v/>
      </c>
      <c r="L391" s="148" t="str">
        <f>IFERROR(__xludf.DUMMYFUNCTION("if($C391="""","""",iferror(if(row()&lt;&gt;2,INDEX(arrayformula(filter($M$2:$M390,$C$2:$C390&lt;&gt;"""",row($C$2:$C390)=max(if($C$2:$C390=C391,row($C$2:$C390),0)))) ,1),0),0))"),"")</f>
        <v/>
      </c>
      <c r="M391" s="148" t="str">
        <f t="shared" si="1"/>
        <v/>
      </c>
      <c r="N391" s="147" t="str">
        <f t="shared" si="2"/>
        <v/>
      </c>
      <c r="O391" s="147" t="str">
        <f t="shared" si="21"/>
        <v/>
      </c>
      <c r="P391" s="147" t="str">
        <f>IFERROR(__xludf.DUMMYFUNCTION("if(C391="""","""",iferror(if(row()&lt;&gt;2,INDEX(arrayformula(filter($Q$2:$Q390,$C$2:$C390&lt;&gt;"""",row($C$2:$C390)=max(if($C$2:$C390=C391,row($C$2:$C390),0)))) ,1),0),0))"),"")</f>
        <v/>
      </c>
      <c r="Q391" s="147" t="str">
        <f t="shared" si="22"/>
        <v/>
      </c>
      <c r="R391" s="147" t="str">
        <f t="shared" si="23"/>
        <v/>
      </c>
      <c r="S391" s="147" t="str">
        <f t="shared" si="24"/>
        <v/>
      </c>
      <c r="T391" s="147" t="str">
        <f t="shared" si="7"/>
        <v/>
      </c>
      <c r="U391" s="150" t="str">
        <f t="shared" si="8"/>
        <v/>
      </c>
      <c r="V391" s="151" t="str">
        <f>IFERROR(VLOOKUP(C391,Ativos!$A$1:$G2000,5,),)</f>
        <v/>
      </c>
    </row>
    <row r="392" ht="21.0" customHeight="1">
      <c r="A392" s="152"/>
      <c r="B392" s="160"/>
      <c r="C392" s="153"/>
      <c r="D392" s="154"/>
      <c r="E392" s="139"/>
      <c r="F392" s="139"/>
      <c r="G392" s="139"/>
      <c r="H392" s="135"/>
      <c r="I392" s="141"/>
      <c r="J392" s="147" t="str">
        <f>IFERROR(__xludf.DUMMYFUNCTION("IF(ISBLANK(A392),IFERROR(1/0),IF(COUNT(FILTER(F:F,A:A=A392))&gt;1,TRUNC(N392*F392/SUM(FILTER(N:N,A:A=A392)),3),F392))"),"")</f>
        <v/>
      </c>
      <c r="K392" s="147" t="str">
        <f>IFERROR(__xludf.DUMMYFUNCTION("IF(ISBLANK(A392),IFERROR(1/0),IF(COUNT(FILTER(G:G,((A:A=A392)*(B:B=""V""))))&gt;1,TRUNC(N392*G392/SUM(FILTER(N:N,((A:A=A392)*(B:B=""V"")))),3),G392))"),"")</f>
        <v/>
      </c>
      <c r="L392" s="148" t="str">
        <f>IFERROR(__xludf.DUMMYFUNCTION("if($C392="""","""",iferror(if(row()&lt;&gt;2,INDEX(arrayformula(filter($M$2:$M391,$C$2:$C391&lt;&gt;"""",row($C$2:$C391)=max(if($C$2:$C391=C392,row($C$2:$C391),0)))) ,1),0),0))"),"")</f>
        <v/>
      </c>
      <c r="M392" s="148" t="str">
        <f t="shared" si="1"/>
        <v/>
      </c>
      <c r="N392" s="147" t="str">
        <f t="shared" si="2"/>
        <v/>
      </c>
      <c r="O392" s="147" t="str">
        <f t="shared" si="21"/>
        <v/>
      </c>
      <c r="P392" s="147" t="str">
        <f>IFERROR(__xludf.DUMMYFUNCTION("if(C392="""","""",iferror(if(row()&lt;&gt;2,INDEX(arrayformula(filter($Q$2:$Q391,$C$2:$C391&lt;&gt;"""",row($C$2:$C391)=max(if($C$2:$C391=C392,row($C$2:$C391),0)))) ,1),0),0))"),"")</f>
        <v/>
      </c>
      <c r="Q392" s="147" t="str">
        <f t="shared" si="22"/>
        <v/>
      </c>
      <c r="R392" s="147" t="str">
        <f t="shared" si="23"/>
        <v/>
      </c>
      <c r="S392" s="147" t="str">
        <f t="shared" si="24"/>
        <v/>
      </c>
      <c r="T392" s="147" t="str">
        <f t="shared" si="7"/>
        <v/>
      </c>
      <c r="U392" s="150" t="str">
        <f t="shared" si="8"/>
        <v/>
      </c>
      <c r="V392" s="151" t="str">
        <f>IFERROR(VLOOKUP(C392,Ativos!$A$1:$G2000,5,),)</f>
        <v/>
      </c>
    </row>
    <row r="393" ht="21.0" customHeight="1">
      <c r="A393" s="152"/>
      <c r="B393" s="160"/>
      <c r="C393" s="153"/>
      <c r="D393" s="154"/>
      <c r="E393" s="139"/>
      <c r="F393" s="139"/>
      <c r="G393" s="139"/>
      <c r="H393" s="135"/>
      <c r="I393" s="141"/>
      <c r="J393" s="147" t="str">
        <f>IFERROR(__xludf.DUMMYFUNCTION("IF(ISBLANK(A393),IFERROR(1/0),IF(COUNT(FILTER(F:F,A:A=A393))&gt;1,TRUNC(N393*F393/SUM(FILTER(N:N,A:A=A393)),3),F393))"),"")</f>
        <v/>
      </c>
      <c r="K393" s="147" t="str">
        <f>IFERROR(__xludf.DUMMYFUNCTION("IF(ISBLANK(A393),IFERROR(1/0),IF(COUNT(FILTER(G:G,((A:A=A393)*(B:B=""V""))))&gt;1,TRUNC(N393*G393/SUM(FILTER(N:N,((A:A=A393)*(B:B=""V"")))),3),G393))"),"")</f>
        <v/>
      </c>
      <c r="L393" s="148" t="str">
        <f>IFERROR(__xludf.DUMMYFUNCTION("if($C393="""","""",iferror(if(row()&lt;&gt;2,INDEX(arrayformula(filter($M$2:$M392,$C$2:$C392&lt;&gt;"""",row($C$2:$C392)=max(if($C$2:$C392=C393,row($C$2:$C392),0)))) ,1),0),0))"),"")</f>
        <v/>
      </c>
      <c r="M393" s="148" t="str">
        <f t="shared" si="1"/>
        <v/>
      </c>
      <c r="N393" s="147" t="str">
        <f t="shared" si="2"/>
        <v/>
      </c>
      <c r="O393" s="147" t="str">
        <f t="shared" si="21"/>
        <v/>
      </c>
      <c r="P393" s="147" t="str">
        <f>IFERROR(__xludf.DUMMYFUNCTION("if(C393="""","""",iferror(if(row()&lt;&gt;2,INDEX(arrayformula(filter($Q$2:$Q392,$C$2:$C392&lt;&gt;"""",row($C$2:$C392)=max(if($C$2:$C392=C393,row($C$2:$C392),0)))) ,1),0),0))"),"")</f>
        <v/>
      </c>
      <c r="Q393" s="147" t="str">
        <f t="shared" si="22"/>
        <v/>
      </c>
      <c r="R393" s="147" t="str">
        <f t="shared" si="23"/>
        <v/>
      </c>
      <c r="S393" s="147" t="str">
        <f t="shared" si="24"/>
        <v/>
      </c>
      <c r="T393" s="147" t="str">
        <f t="shared" si="7"/>
        <v/>
      </c>
      <c r="U393" s="150" t="str">
        <f t="shared" si="8"/>
        <v/>
      </c>
      <c r="V393" s="151" t="str">
        <f>IFERROR(VLOOKUP(C393,Ativos!$A$1:$G2000,5,),)</f>
        <v/>
      </c>
    </row>
    <row r="394" ht="21.0" customHeight="1">
      <c r="A394" s="152"/>
      <c r="B394" s="160"/>
      <c r="C394" s="153"/>
      <c r="D394" s="154"/>
      <c r="E394" s="139"/>
      <c r="F394" s="139"/>
      <c r="G394" s="139"/>
      <c r="H394" s="135"/>
      <c r="I394" s="141"/>
      <c r="J394" s="147" t="str">
        <f>IFERROR(__xludf.DUMMYFUNCTION("IF(ISBLANK(A394),IFERROR(1/0),IF(COUNT(FILTER(F:F,A:A=A394))&gt;1,TRUNC(N394*F394/SUM(FILTER(N:N,A:A=A394)),3),F394))"),"")</f>
        <v/>
      </c>
      <c r="K394" s="147" t="str">
        <f>IFERROR(__xludf.DUMMYFUNCTION("IF(ISBLANK(A394),IFERROR(1/0),IF(COUNT(FILTER(G:G,((A:A=A394)*(B:B=""V""))))&gt;1,TRUNC(N394*G394/SUM(FILTER(N:N,((A:A=A394)*(B:B=""V"")))),3),G394))"),"")</f>
        <v/>
      </c>
      <c r="L394" s="148" t="str">
        <f>IFERROR(__xludf.DUMMYFUNCTION("if($C394="""","""",iferror(if(row()&lt;&gt;2,INDEX(arrayformula(filter($M$2:$M393,$C$2:$C393&lt;&gt;"""",row($C$2:$C393)=max(if($C$2:$C393=C394,row($C$2:$C393),0)))) ,1),0),0))"),"")</f>
        <v/>
      </c>
      <c r="M394" s="148" t="str">
        <f t="shared" si="1"/>
        <v/>
      </c>
      <c r="N394" s="147" t="str">
        <f t="shared" si="2"/>
        <v/>
      </c>
      <c r="O394" s="147" t="str">
        <f t="shared" si="21"/>
        <v/>
      </c>
      <c r="P394" s="147" t="str">
        <f>IFERROR(__xludf.DUMMYFUNCTION("if(C394="""","""",iferror(if(row()&lt;&gt;2,INDEX(arrayformula(filter($Q$2:$Q393,$C$2:$C393&lt;&gt;"""",row($C$2:$C393)=max(if($C$2:$C393=C394,row($C$2:$C393),0)))) ,1),0),0))"),"")</f>
        <v/>
      </c>
      <c r="Q394" s="147" t="str">
        <f t="shared" si="22"/>
        <v/>
      </c>
      <c r="R394" s="147" t="str">
        <f t="shared" si="23"/>
        <v/>
      </c>
      <c r="S394" s="147" t="str">
        <f t="shared" si="24"/>
        <v/>
      </c>
      <c r="T394" s="147" t="str">
        <f t="shared" si="7"/>
        <v/>
      </c>
      <c r="U394" s="150" t="str">
        <f t="shared" si="8"/>
        <v/>
      </c>
      <c r="V394" s="151" t="str">
        <f>IFERROR(VLOOKUP(C394,Ativos!$A$1:$G2000,5,),)</f>
        <v/>
      </c>
    </row>
    <row r="395" ht="21.0" customHeight="1">
      <c r="A395" s="152"/>
      <c r="B395" s="160"/>
      <c r="C395" s="153"/>
      <c r="D395" s="154"/>
      <c r="E395" s="139"/>
      <c r="F395" s="139"/>
      <c r="G395" s="139"/>
      <c r="H395" s="135"/>
      <c r="I395" s="141"/>
      <c r="J395" s="147" t="str">
        <f>IFERROR(__xludf.DUMMYFUNCTION("IF(ISBLANK(A395),IFERROR(1/0),IF(COUNT(FILTER(F:F,A:A=A395))&gt;1,TRUNC(N395*F395/SUM(FILTER(N:N,A:A=A395)),3),F395))"),"")</f>
        <v/>
      </c>
      <c r="K395" s="147" t="str">
        <f>IFERROR(__xludf.DUMMYFUNCTION("IF(ISBLANK(A395),IFERROR(1/0),IF(COUNT(FILTER(G:G,((A:A=A395)*(B:B=""V""))))&gt;1,TRUNC(N395*G395/SUM(FILTER(N:N,((A:A=A395)*(B:B=""V"")))),3),G395))"),"")</f>
        <v/>
      </c>
      <c r="L395" s="148" t="str">
        <f>IFERROR(__xludf.DUMMYFUNCTION("if($C395="""","""",iferror(if(row()&lt;&gt;2,INDEX(arrayformula(filter($M$2:$M394,$C$2:$C394&lt;&gt;"""",row($C$2:$C394)=max(if($C$2:$C394=C395,row($C$2:$C394),0)))) ,1),0),0))"),"")</f>
        <v/>
      </c>
      <c r="M395" s="148" t="str">
        <f t="shared" si="1"/>
        <v/>
      </c>
      <c r="N395" s="147" t="str">
        <f t="shared" si="2"/>
        <v/>
      </c>
      <c r="O395" s="147" t="str">
        <f t="shared" si="21"/>
        <v/>
      </c>
      <c r="P395" s="147" t="str">
        <f>IFERROR(__xludf.DUMMYFUNCTION("if(C395="""","""",iferror(if(row()&lt;&gt;2,INDEX(arrayformula(filter($Q$2:$Q394,$C$2:$C394&lt;&gt;"""",row($C$2:$C394)=max(if($C$2:$C394=C395,row($C$2:$C394),0)))) ,1),0),0))"),"")</f>
        <v/>
      </c>
      <c r="Q395" s="147" t="str">
        <f t="shared" si="22"/>
        <v/>
      </c>
      <c r="R395" s="147" t="str">
        <f t="shared" si="23"/>
        <v/>
      </c>
      <c r="S395" s="147" t="str">
        <f t="shared" si="24"/>
        <v/>
      </c>
      <c r="T395" s="147" t="str">
        <f t="shared" si="7"/>
        <v/>
      </c>
      <c r="U395" s="150" t="str">
        <f t="shared" si="8"/>
        <v/>
      </c>
      <c r="V395" s="151" t="str">
        <f>IFERROR(VLOOKUP(C395,Ativos!$A$1:$G2000,5,),)</f>
        <v/>
      </c>
    </row>
    <row r="396" ht="21.0" customHeight="1">
      <c r="A396" s="152"/>
      <c r="B396" s="160"/>
      <c r="C396" s="153"/>
      <c r="D396" s="154"/>
      <c r="E396" s="139"/>
      <c r="F396" s="139"/>
      <c r="G396" s="139"/>
      <c r="H396" s="135"/>
      <c r="I396" s="141"/>
      <c r="J396" s="147" t="str">
        <f>IFERROR(__xludf.DUMMYFUNCTION("IF(ISBLANK(A396),IFERROR(1/0),IF(COUNT(FILTER(F:F,A:A=A396))&gt;1,TRUNC(N396*F396/SUM(FILTER(N:N,A:A=A396)),3),F396))"),"")</f>
        <v/>
      </c>
      <c r="K396" s="147" t="str">
        <f>IFERROR(__xludf.DUMMYFUNCTION("IF(ISBLANK(A396),IFERROR(1/0),IF(COUNT(FILTER(G:G,((A:A=A396)*(B:B=""V""))))&gt;1,TRUNC(N396*G396/SUM(FILTER(N:N,((A:A=A396)*(B:B=""V"")))),3),G396))"),"")</f>
        <v/>
      </c>
      <c r="L396" s="148" t="str">
        <f>IFERROR(__xludf.DUMMYFUNCTION("if($C396="""","""",iferror(if(row()&lt;&gt;2,INDEX(arrayformula(filter($M$2:$M395,$C$2:$C395&lt;&gt;"""",row($C$2:$C395)=max(if($C$2:$C395=C396,row($C$2:$C395),0)))) ,1),0),0))"),"")</f>
        <v/>
      </c>
      <c r="M396" s="148" t="str">
        <f t="shared" si="1"/>
        <v/>
      </c>
      <c r="N396" s="147" t="str">
        <f t="shared" si="2"/>
        <v/>
      </c>
      <c r="O396" s="147" t="str">
        <f t="shared" si="21"/>
        <v/>
      </c>
      <c r="P396" s="147" t="str">
        <f>IFERROR(__xludf.DUMMYFUNCTION("if(C396="""","""",iferror(if(row()&lt;&gt;2,INDEX(arrayformula(filter($Q$2:$Q395,$C$2:$C395&lt;&gt;"""",row($C$2:$C395)=max(if($C$2:$C395=C396,row($C$2:$C395),0)))) ,1),0),0))"),"")</f>
        <v/>
      </c>
      <c r="Q396" s="147" t="str">
        <f t="shared" si="22"/>
        <v/>
      </c>
      <c r="R396" s="147" t="str">
        <f t="shared" si="23"/>
        <v/>
      </c>
      <c r="S396" s="147" t="str">
        <f t="shared" si="24"/>
        <v/>
      </c>
      <c r="T396" s="147" t="str">
        <f t="shared" si="7"/>
        <v/>
      </c>
      <c r="U396" s="150" t="str">
        <f t="shared" si="8"/>
        <v/>
      </c>
      <c r="V396" s="151" t="str">
        <f>IFERROR(VLOOKUP(C396,Ativos!$A$1:$G2000,5,),)</f>
        <v/>
      </c>
    </row>
    <row r="397" ht="21.0" customHeight="1">
      <c r="A397" s="152"/>
      <c r="B397" s="160"/>
      <c r="C397" s="153"/>
      <c r="D397" s="154"/>
      <c r="E397" s="139"/>
      <c r="F397" s="139"/>
      <c r="G397" s="139"/>
      <c r="H397" s="135"/>
      <c r="I397" s="141"/>
      <c r="J397" s="147" t="str">
        <f>IFERROR(__xludf.DUMMYFUNCTION("IF(ISBLANK(A397),IFERROR(1/0),IF(COUNT(FILTER(F:F,A:A=A397))&gt;1,TRUNC(N397*F397/SUM(FILTER(N:N,A:A=A397)),3),F397))"),"")</f>
        <v/>
      </c>
      <c r="K397" s="147" t="str">
        <f>IFERROR(__xludf.DUMMYFUNCTION("IF(ISBLANK(A397),IFERROR(1/0),IF(COUNT(FILTER(G:G,((A:A=A397)*(B:B=""V""))))&gt;1,TRUNC(N397*G397/SUM(FILTER(N:N,((A:A=A397)*(B:B=""V"")))),3),G397))"),"")</f>
        <v/>
      </c>
      <c r="L397" s="148" t="str">
        <f>IFERROR(__xludf.DUMMYFUNCTION("if($C397="""","""",iferror(if(row()&lt;&gt;2,INDEX(arrayformula(filter($M$2:$M396,$C$2:$C396&lt;&gt;"""",row($C$2:$C396)=max(if($C$2:$C396=C397,row($C$2:$C396),0)))) ,1),0),0))"),"")</f>
        <v/>
      </c>
      <c r="M397" s="148" t="str">
        <f t="shared" si="1"/>
        <v/>
      </c>
      <c r="N397" s="147" t="str">
        <f t="shared" si="2"/>
        <v/>
      </c>
      <c r="O397" s="147" t="str">
        <f t="shared" si="21"/>
        <v/>
      </c>
      <c r="P397" s="147" t="str">
        <f>IFERROR(__xludf.DUMMYFUNCTION("if(C397="""","""",iferror(if(row()&lt;&gt;2,INDEX(arrayformula(filter($Q$2:$Q396,$C$2:$C396&lt;&gt;"""",row($C$2:$C396)=max(if($C$2:$C396=C397,row($C$2:$C396),0)))) ,1),0),0))"),"")</f>
        <v/>
      </c>
      <c r="Q397" s="147" t="str">
        <f t="shared" si="22"/>
        <v/>
      </c>
      <c r="R397" s="147" t="str">
        <f t="shared" si="23"/>
        <v/>
      </c>
      <c r="S397" s="147" t="str">
        <f t="shared" si="24"/>
        <v/>
      </c>
      <c r="T397" s="147" t="str">
        <f t="shared" si="7"/>
        <v/>
      </c>
      <c r="U397" s="150" t="str">
        <f t="shared" si="8"/>
        <v/>
      </c>
      <c r="V397" s="151" t="str">
        <f>IFERROR(VLOOKUP(C397,Ativos!$A$1:$G2000,5,),)</f>
        <v/>
      </c>
    </row>
    <row r="398" ht="21.0" customHeight="1">
      <c r="A398" s="152"/>
      <c r="B398" s="160"/>
      <c r="C398" s="153"/>
      <c r="D398" s="154"/>
      <c r="E398" s="139"/>
      <c r="F398" s="139"/>
      <c r="G398" s="139"/>
      <c r="H398" s="135"/>
      <c r="I398" s="141"/>
      <c r="J398" s="147" t="str">
        <f>IFERROR(__xludf.DUMMYFUNCTION("IF(ISBLANK(A398),IFERROR(1/0),IF(COUNT(FILTER(F:F,A:A=A398))&gt;1,TRUNC(N398*F398/SUM(FILTER(N:N,A:A=A398)),3),F398))"),"")</f>
        <v/>
      </c>
      <c r="K398" s="147" t="str">
        <f>IFERROR(__xludf.DUMMYFUNCTION("IF(ISBLANK(A398),IFERROR(1/0),IF(COUNT(FILTER(G:G,((A:A=A398)*(B:B=""V""))))&gt;1,TRUNC(N398*G398/SUM(FILTER(N:N,((A:A=A398)*(B:B=""V"")))),3),G398))"),"")</f>
        <v/>
      </c>
      <c r="L398" s="148" t="str">
        <f>IFERROR(__xludf.DUMMYFUNCTION("if($C398="""","""",iferror(if(row()&lt;&gt;2,INDEX(arrayformula(filter($M$2:$M397,$C$2:$C397&lt;&gt;"""",row($C$2:$C397)=max(if($C$2:$C397=C398,row($C$2:$C397),0)))) ,1),0),0))"),"")</f>
        <v/>
      </c>
      <c r="M398" s="148" t="str">
        <f t="shared" si="1"/>
        <v/>
      </c>
      <c r="N398" s="147" t="str">
        <f t="shared" si="2"/>
        <v/>
      </c>
      <c r="O398" s="147" t="str">
        <f t="shared" si="21"/>
        <v/>
      </c>
      <c r="P398" s="147" t="str">
        <f>IFERROR(__xludf.DUMMYFUNCTION("if(C398="""","""",iferror(if(row()&lt;&gt;2,INDEX(arrayformula(filter($Q$2:$Q397,$C$2:$C397&lt;&gt;"""",row($C$2:$C397)=max(if($C$2:$C397=C398,row($C$2:$C397),0)))) ,1),0),0))"),"")</f>
        <v/>
      </c>
      <c r="Q398" s="147" t="str">
        <f t="shared" si="22"/>
        <v/>
      </c>
      <c r="R398" s="147" t="str">
        <f t="shared" si="23"/>
        <v/>
      </c>
      <c r="S398" s="147" t="str">
        <f t="shared" si="24"/>
        <v/>
      </c>
      <c r="T398" s="147" t="str">
        <f t="shared" si="7"/>
        <v/>
      </c>
      <c r="U398" s="150" t="str">
        <f t="shared" si="8"/>
        <v/>
      </c>
      <c r="V398" s="151" t="str">
        <f>IFERROR(VLOOKUP(C398,Ativos!$A$1:$G2000,5,),)</f>
        <v/>
      </c>
    </row>
    <row r="399" ht="21.0" customHeight="1">
      <c r="A399" s="152"/>
      <c r="B399" s="160"/>
      <c r="C399" s="153"/>
      <c r="D399" s="154"/>
      <c r="E399" s="139"/>
      <c r="F399" s="139"/>
      <c r="G399" s="139"/>
      <c r="H399" s="135"/>
      <c r="I399" s="141"/>
      <c r="J399" s="147" t="str">
        <f>IFERROR(__xludf.DUMMYFUNCTION("IF(ISBLANK(A399),IFERROR(1/0),IF(COUNT(FILTER(F:F,A:A=A399))&gt;1,TRUNC(N399*F399/SUM(FILTER(N:N,A:A=A399)),3),F399))"),"")</f>
        <v/>
      </c>
      <c r="K399" s="147" t="str">
        <f>IFERROR(__xludf.DUMMYFUNCTION("IF(ISBLANK(A399),IFERROR(1/0),IF(COUNT(FILTER(G:G,((A:A=A399)*(B:B=""V""))))&gt;1,TRUNC(N399*G399/SUM(FILTER(N:N,((A:A=A399)*(B:B=""V"")))),3),G399))"),"")</f>
        <v/>
      </c>
      <c r="L399" s="148" t="str">
        <f>IFERROR(__xludf.DUMMYFUNCTION("if($C399="""","""",iferror(if(row()&lt;&gt;2,INDEX(arrayformula(filter($M$2:$M398,$C$2:$C398&lt;&gt;"""",row($C$2:$C398)=max(if($C$2:$C398=C399,row($C$2:$C398),0)))) ,1),0),0))"),"")</f>
        <v/>
      </c>
      <c r="M399" s="148" t="str">
        <f t="shared" si="1"/>
        <v/>
      </c>
      <c r="N399" s="147" t="str">
        <f t="shared" si="2"/>
        <v/>
      </c>
      <c r="O399" s="147" t="str">
        <f t="shared" si="21"/>
        <v/>
      </c>
      <c r="P399" s="147" t="str">
        <f>IFERROR(__xludf.DUMMYFUNCTION("if(C399="""","""",iferror(if(row()&lt;&gt;2,INDEX(arrayformula(filter($Q$2:$Q398,$C$2:$C398&lt;&gt;"""",row($C$2:$C398)=max(if($C$2:$C398=C399,row($C$2:$C398),0)))) ,1),0),0))"),"")</f>
        <v/>
      </c>
      <c r="Q399" s="147" t="str">
        <f t="shared" si="22"/>
        <v/>
      </c>
      <c r="R399" s="147" t="str">
        <f t="shared" si="23"/>
        <v/>
      </c>
      <c r="S399" s="147" t="str">
        <f t="shared" si="24"/>
        <v/>
      </c>
      <c r="T399" s="147" t="str">
        <f t="shared" si="7"/>
        <v/>
      </c>
      <c r="U399" s="150" t="str">
        <f t="shared" si="8"/>
        <v/>
      </c>
      <c r="V399" s="151" t="str">
        <f>IFERROR(VLOOKUP(C399,Ativos!$A$1:$G2000,5,),)</f>
        <v/>
      </c>
    </row>
    <row r="400" ht="21.0" customHeight="1">
      <c r="A400" s="152"/>
      <c r="B400" s="160"/>
      <c r="C400" s="153"/>
      <c r="D400" s="154"/>
      <c r="E400" s="139"/>
      <c r="F400" s="139"/>
      <c r="G400" s="139"/>
      <c r="H400" s="135"/>
      <c r="I400" s="141"/>
      <c r="J400" s="147" t="str">
        <f>IFERROR(__xludf.DUMMYFUNCTION("IF(ISBLANK(A400),IFERROR(1/0),IF(COUNT(FILTER(F:F,A:A=A400))&gt;1,TRUNC(N400*F400/SUM(FILTER(N:N,A:A=A400)),3),F400))"),"")</f>
        <v/>
      </c>
      <c r="K400" s="147" t="str">
        <f>IFERROR(__xludf.DUMMYFUNCTION("IF(ISBLANK(A400),IFERROR(1/0),IF(COUNT(FILTER(G:G,((A:A=A400)*(B:B=""V""))))&gt;1,TRUNC(N400*G400/SUM(FILTER(N:N,((A:A=A400)*(B:B=""V"")))),3),G400))"),"")</f>
        <v/>
      </c>
      <c r="L400" s="148" t="str">
        <f>IFERROR(__xludf.DUMMYFUNCTION("if($C400="""","""",iferror(if(row()&lt;&gt;2,INDEX(arrayformula(filter($M$2:$M399,$C$2:$C399&lt;&gt;"""",row($C$2:$C399)=max(if($C$2:$C399=C400,row($C$2:$C399),0)))) ,1),0),0))"),"")</f>
        <v/>
      </c>
      <c r="M400" s="148" t="str">
        <f t="shared" si="1"/>
        <v/>
      </c>
      <c r="N400" s="147" t="str">
        <f t="shared" si="2"/>
        <v/>
      </c>
      <c r="O400" s="147" t="str">
        <f t="shared" si="21"/>
        <v/>
      </c>
      <c r="P400" s="147" t="str">
        <f>IFERROR(__xludf.DUMMYFUNCTION("if(C400="""","""",iferror(if(row()&lt;&gt;2,INDEX(arrayformula(filter($Q$2:$Q399,$C$2:$C399&lt;&gt;"""",row($C$2:$C399)=max(if($C$2:$C399=C400,row($C$2:$C399),0)))) ,1),0),0))"),"")</f>
        <v/>
      </c>
      <c r="Q400" s="147" t="str">
        <f t="shared" si="22"/>
        <v/>
      </c>
      <c r="R400" s="147" t="str">
        <f t="shared" si="23"/>
        <v/>
      </c>
      <c r="S400" s="147" t="str">
        <f t="shared" si="24"/>
        <v/>
      </c>
      <c r="T400" s="147" t="str">
        <f t="shared" si="7"/>
        <v/>
      </c>
      <c r="U400" s="150" t="str">
        <f t="shared" si="8"/>
        <v/>
      </c>
      <c r="V400" s="151" t="str">
        <f>IFERROR(VLOOKUP(C400,Ativos!$A$1:$G2000,5,),)</f>
        <v/>
      </c>
    </row>
    <row r="401" ht="21.0" customHeight="1">
      <c r="A401" s="152"/>
      <c r="B401" s="160"/>
      <c r="C401" s="153"/>
      <c r="D401" s="154"/>
      <c r="E401" s="139"/>
      <c r="F401" s="139"/>
      <c r="G401" s="139"/>
      <c r="H401" s="135"/>
      <c r="I401" s="141"/>
      <c r="J401" s="147" t="str">
        <f>IFERROR(__xludf.DUMMYFUNCTION("IF(ISBLANK(A401),IFERROR(1/0),IF(COUNT(FILTER(F:F,A:A=A401))&gt;1,TRUNC(N401*F401/SUM(FILTER(N:N,A:A=A401)),3),F401))"),"")</f>
        <v/>
      </c>
      <c r="K401" s="147" t="str">
        <f>IFERROR(__xludf.DUMMYFUNCTION("IF(ISBLANK(A401),IFERROR(1/0),IF(COUNT(FILTER(G:G,((A:A=A401)*(B:B=""V""))))&gt;1,TRUNC(N401*G401/SUM(FILTER(N:N,((A:A=A401)*(B:B=""V"")))),3),G401))"),"")</f>
        <v/>
      </c>
      <c r="L401" s="148" t="str">
        <f>IFERROR(__xludf.DUMMYFUNCTION("if($C401="""","""",iferror(if(row()&lt;&gt;2,INDEX(arrayformula(filter($M$2:$M400,$C$2:$C400&lt;&gt;"""",row($C$2:$C400)=max(if($C$2:$C400=C401,row($C$2:$C400),0)))) ,1),0),0))"),"")</f>
        <v/>
      </c>
      <c r="M401" s="148" t="str">
        <f t="shared" si="1"/>
        <v/>
      </c>
      <c r="N401" s="147" t="str">
        <f t="shared" si="2"/>
        <v/>
      </c>
      <c r="O401" s="147" t="str">
        <f t="shared" si="21"/>
        <v/>
      </c>
      <c r="P401" s="147" t="str">
        <f>IFERROR(__xludf.DUMMYFUNCTION("if(C401="""","""",iferror(if(row()&lt;&gt;2,INDEX(arrayformula(filter($Q$2:$Q400,$C$2:$C400&lt;&gt;"""",row($C$2:$C400)=max(if($C$2:$C400=C401,row($C$2:$C400),0)))) ,1),0),0))"),"")</f>
        <v/>
      </c>
      <c r="Q401" s="147" t="str">
        <f t="shared" si="22"/>
        <v/>
      </c>
      <c r="R401" s="147" t="str">
        <f t="shared" si="23"/>
        <v/>
      </c>
      <c r="S401" s="147" t="str">
        <f t="shared" si="24"/>
        <v/>
      </c>
      <c r="T401" s="147" t="str">
        <f t="shared" si="7"/>
        <v/>
      </c>
      <c r="U401" s="150" t="str">
        <f t="shared" si="8"/>
        <v/>
      </c>
      <c r="V401" s="151" t="str">
        <f>IFERROR(VLOOKUP(C401,Ativos!$A$1:$G2000,5,),)</f>
        <v/>
      </c>
    </row>
    <row r="402" ht="21.0" customHeight="1">
      <c r="A402" s="152"/>
      <c r="B402" s="160"/>
      <c r="C402" s="153"/>
      <c r="D402" s="154"/>
      <c r="E402" s="139"/>
      <c r="F402" s="139"/>
      <c r="G402" s="139"/>
      <c r="H402" s="135"/>
      <c r="I402" s="141"/>
      <c r="J402" s="147" t="str">
        <f>IFERROR(__xludf.DUMMYFUNCTION("IF(ISBLANK(A402),IFERROR(1/0),IF(COUNT(FILTER(F:F,A:A=A402))&gt;1,TRUNC(N402*F402/SUM(FILTER(N:N,A:A=A402)),3),F402))"),"")</f>
        <v/>
      </c>
      <c r="K402" s="147" t="str">
        <f>IFERROR(__xludf.DUMMYFUNCTION("IF(ISBLANK(A402),IFERROR(1/0),IF(COUNT(FILTER(G:G,((A:A=A402)*(B:B=""V""))))&gt;1,TRUNC(N402*G402/SUM(FILTER(N:N,((A:A=A402)*(B:B=""V"")))),3),G402))"),"")</f>
        <v/>
      </c>
      <c r="L402" s="148" t="str">
        <f>IFERROR(__xludf.DUMMYFUNCTION("if($C402="""","""",iferror(if(row()&lt;&gt;2,INDEX(arrayformula(filter($M$2:$M401,$C$2:$C401&lt;&gt;"""",row($C$2:$C401)=max(if($C$2:$C401=C402,row($C$2:$C401),0)))) ,1),0),0))"),"")</f>
        <v/>
      </c>
      <c r="M402" s="148" t="str">
        <f t="shared" si="1"/>
        <v/>
      </c>
      <c r="N402" s="147" t="str">
        <f t="shared" si="2"/>
        <v/>
      </c>
      <c r="O402" s="147" t="str">
        <f t="shared" si="21"/>
        <v/>
      </c>
      <c r="P402" s="147" t="str">
        <f>IFERROR(__xludf.DUMMYFUNCTION("if(C402="""","""",iferror(if(row()&lt;&gt;2,INDEX(arrayformula(filter($Q$2:$Q401,$C$2:$C401&lt;&gt;"""",row($C$2:$C401)=max(if($C$2:$C401=C402,row($C$2:$C401),0)))) ,1),0),0))"),"")</f>
        <v/>
      </c>
      <c r="Q402" s="147" t="str">
        <f t="shared" si="22"/>
        <v/>
      </c>
      <c r="R402" s="147" t="str">
        <f t="shared" si="23"/>
        <v/>
      </c>
      <c r="S402" s="147" t="str">
        <f t="shared" si="24"/>
        <v/>
      </c>
      <c r="T402" s="147" t="str">
        <f t="shared" si="7"/>
        <v/>
      </c>
      <c r="U402" s="150" t="str">
        <f t="shared" si="8"/>
        <v/>
      </c>
      <c r="V402" s="151" t="str">
        <f>IFERROR(VLOOKUP(C402,Ativos!$A$1:$G2000,5,),)</f>
        <v/>
      </c>
    </row>
    <row r="403" ht="21.0" customHeight="1">
      <c r="A403" s="152"/>
      <c r="B403" s="160"/>
      <c r="C403" s="153"/>
      <c r="D403" s="154"/>
      <c r="E403" s="139"/>
      <c r="F403" s="139"/>
      <c r="G403" s="139"/>
      <c r="H403" s="135"/>
      <c r="I403" s="141"/>
      <c r="J403" s="147" t="str">
        <f>IFERROR(__xludf.DUMMYFUNCTION("IF(ISBLANK(A403),IFERROR(1/0),IF(COUNT(FILTER(F:F,A:A=A403))&gt;1,TRUNC(N403*F403/SUM(FILTER(N:N,A:A=A403)),3),F403))"),"")</f>
        <v/>
      </c>
      <c r="K403" s="147" t="str">
        <f>IFERROR(__xludf.DUMMYFUNCTION("IF(ISBLANK(A403),IFERROR(1/0),IF(COUNT(FILTER(G:G,((A:A=A403)*(B:B=""V""))))&gt;1,TRUNC(N403*G403/SUM(FILTER(N:N,((A:A=A403)*(B:B=""V"")))),3),G403))"),"")</f>
        <v/>
      </c>
      <c r="L403" s="148" t="str">
        <f>IFERROR(__xludf.DUMMYFUNCTION("if($C403="""","""",iferror(if(row()&lt;&gt;2,INDEX(arrayformula(filter($M$2:$M402,$C$2:$C402&lt;&gt;"""",row($C$2:$C402)=max(if($C$2:$C402=C403,row($C$2:$C402),0)))) ,1),0),0))"),"")</f>
        <v/>
      </c>
      <c r="M403" s="148" t="str">
        <f t="shared" si="1"/>
        <v/>
      </c>
      <c r="N403" s="147" t="str">
        <f t="shared" si="2"/>
        <v/>
      </c>
      <c r="O403" s="147" t="str">
        <f t="shared" si="21"/>
        <v/>
      </c>
      <c r="P403" s="147" t="str">
        <f>IFERROR(__xludf.DUMMYFUNCTION("if(C403="""","""",iferror(if(row()&lt;&gt;2,INDEX(arrayformula(filter($Q$2:$Q402,$C$2:$C402&lt;&gt;"""",row($C$2:$C402)=max(if($C$2:$C402=C403,row($C$2:$C402),0)))) ,1),0),0))"),"")</f>
        <v/>
      </c>
      <c r="Q403" s="147" t="str">
        <f t="shared" si="22"/>
        <v/>
      </c>
      <c r="R403" s="147" t="str">
        <f t="shared" si="23"/>
        <v/>
      </c>
      <c r="S403" s="147" t="str">
        <f t="shared" si="24"/>
        <v/>
      </c>
      <c r="T403" s="147" t="str">
        <f t="shared" si="7"/>
        <v/>
      </c>
      <c r="U403" s="150" t="str">
        <f t="shared" si="8"/>
        <v/>
      </c>
      <c r="V403" s="151" t="str">
        <f>IFERROR(VLOOKUP(C403,Ativos!$A$1:$G2000,5,),)</f>
        <v/>
      </c>
    </row>
    <row r="404" ht="21.0" customHeight="1">
      <c r="A404" s="152"/>
      <c r="B404" s="160"/>
      <c r="C404" s="153"/>
      <c r="D404" s="154"/>
      <c r="E404" s="139"/>
      <c r="F404" s="139"/>
      <c r="G404" s="139"/>
      <c r="H404" s="135"/>
      <c r="I404" s="141"/>
      <c r="J404" s="147" t="str">
        <f>IFERROR(__xludf.DUMMYFUNCTION("IF(ISBLANK(A404),IFERROR(1/0),IF(COUNT(FILTER(F:F,A:A=A404))&gt;1,TRUNC(N404*F404/SUM(FILTER(N:N,A:A=A404)),3),F404))"),"")</f>
        <v/>
      </c>
      <c r="K404" s="147" t="str">
        <f>IFERROR(__xludf.DUMMYFUNCTION("IF(ISBLANK(A404),IFERROR(1/0),IF(COUNT(FILTER(G:G,((A:A=A404)*(B:B=""V""))))&gt;1,TRUNC(N404*G404/SUM(FILTER(N:N,((A:A=A404)*(B:B=""V"")))),3),G404))"),"")</f>
        <v/>
      </c>
      <c r="L404" s="148" t="str">
        <f>IFERROR(__xludf.DUMMYFUNCTION("if($C404="""","""",iferror(if(row()&lt;&gt;2,INDEX(arrayformula(filter($M$2:$M403,$C$2:$C403&lt;&gt;"""",row($C$2:$C403)=max(if($C$2:$C403=C404,row($C$2:$C403),0)))) ,1),0),0))"),"")</f>
        <v/>
      </c>
      <c r="M404" s="148" t="str">
        <f t="shared" si="1"/>
        <v/>
      </c>
      <c r="N404" s="147" t="str">
        <f t="shared" si="2"/>
        <v/>
      </c>
      <c r="O404" s="147" t="str">
        <f t="shared" si="21"/>
        <v/>
      </c>
      <c r="P404" s="147" t="str">
        <f>IFERROR(__xludf.DUMMYFUNCTION("if(C404="""","""",iferror(if(row()&lt;&gt;2,INDEX(arrayformula(filter($Q$2:$Q403,$C$2:$C403&lt;&gt;"""",row($C$2:$C403)=max(if($C$2:$C403=C404,row($C$2:$C403),0)))) ,1),0),0))"),"")</f>
        <v/>
      </c>
      <c r="Q404" s="147" t="str">
        <f t="shared" si="22"/>
        <v/>
      </c>
      <c r="R404" s="147" t="str">
        <f t="shared" si="23"/>
        <v/>
      </c>
      <c r="S404" s="147" t="str">
        <f t="shared" si="24"/>
        <v/>
      </c>
      <c r="T404" s="147" t="str">
        <f t="shared" si="7"/>
        <v/>
      </c>
      <c r="U404" s="150" t="str">
        <f t="shared" si="8"/>
        <v/>
      </c>
      <c r="V404" s="151" t="str">
        <f>IFERROR(VLOOKUP(C404,Ativos!$A$1:$G2000,5,),)</f>
        <v/>
      </c>
    </row>
    <row r="405" ht="21.0" customHeight="1">
      <c r="A405" s="152"/>
      <c r="B405" s="160"/>
      <c r="C405" s="153"/>
      <c r="D405" s="154"/>
      <c r="E405" s="139"/>
      <c r="F405" s="139"/>
      <c r="G405" s="139"/>
      <c r="H405" s="135"/>
      <c r="I405" s="141"/>
      <c r="J405" s="147" t="str">
        <f>IFERROR(__xludf.DUMMYFUNCTION("IF(ISBLANK(A405),IFERROR(1/0),IF(COUNT(FILTER(F:F,A:A=A405))&gt;1,TRUNC(N405*F405/SUM(FILTER(N:N,A:A=A405)),3),F405))"),"")</f>
        <v/>
      </c>
      <c r="K405" s="147" t="str">
        <f>IFERROR(__xludf.DUMMYFUNCTION("IF(ISBLANK(A405),IFERROR(1/0),IF(COUNT(FILTER(G:G,((A:A=A405)*(B:B=""V""))))&gt;1,TRUNC(N405*G405/SUM(FILTER(N:N,((A:A=A405)*(B:B=""V"")))),3),G405))"),"")</f>
        <v/>
      </c>
      <c r="L405" s="148" t="str">
        <f>IFERROR(__xludf.DUMMYFUNCTION("if($C405="""","""",iferror(if(row()&lt;&gt;2,INDEX(arrayformula(filter($M$2:$M404,$C$2:$C404&lt;&gt;"""",row($C$2:$C404)=max(if($C$2:$C404=C405,row($C$2:$C404),0)))) ,1),0),0))"),"")</f>
        <v/>
      </c>
      <c r="M405" s="148" t="str">
        <f t="shared" si="1"/>
        <v/>
      </c>
      <c r="N405" s="147" t="str">
        <f t="shared" si="2"/>
        <v/>
      </c>
      <c r="O405" s="147" t="str">
        <f t="shared" si="21"/>
        <v/>
      </c>
      <c r="P405" s="147" t="str">
        <f>IFERROR(__xludf.DUMMYFUNCTION("if(C405="""","""",iferror(if(row()&lt;&gt;2,INDEX(arrayformula(filter($Q$2:$Q404,$C$2:$C404&lt;&gt;"""",row($C$2:$C404)=max(if($C$2:$C404=C405,row($C$2:$C404),0)))) ,1),0),0))"),"")</f>
        <v/>
      </c>
      <c r="Q405" s="147" t="str">
        <f t="shared" si="22"/>
        <v/>
      </c>
      <c r="R405" s="147" t="str">
        <f t="shared" si="23"/>
        <v/>
      </c>
      <c r="S405" s="147" t="str">
        <f t="shared" si="24"/>
        <v/>
      </c>
      <c r="T405" s="147" t="str">
        <f t="shared" si="7"/>
        <v/>
      </c>
      <c r="U405" s="150" t="str">
        <f t="shared" si="8"/>
        <v/>
      </c>
      <c r="V405" s="151" t="str">
        <f>IFERROR(VLOOKUP(C405,Ativos!$A$1:$G2000,5,),)</f>
        <v/>
      </c>
    </row>
    <row r="406" ht="21.0" customHeight="1">
      <c r="A406" s="152"/>
      <c r="B406" s="160"/>
      <c r="C406" s="153"/>
      <c r="D406" s="154"/>
      <c r="E406" s="139"/>
      <c r="F406" s="139"/>
      <c r="G406" s="139"/>
      <c r="H406" s="135"/>
      <c r="I406" s="141"/>
      <c r="J406" s="147" t="str">
        <f>IFERROR(__xludf.DUMMYFUNCTION("IF(ISBLANK(A406),IFERROR(1/0),IF(COUNT(FILTER(F:F,A:A=A406))&gt;1,TRUNC(N406*F406/SUM(FILTER(N:N,A:A=A406)),3),F406))"),"")</f>
        <v/>
      </c>
      <c r="K406" s="147" t="str">
        <f>IFERROR(__xludf.DUMMYFUNCTION("IF(ISBLANK(A406),IFERROR(1/0),IF(COUNT(FILTER(G:G,((A:A=A406)*(B:B=""V""))))&gt;1,TRUNC(N406*G406/SUM(FILTER(N:N,((A:A=A406)*(B:B=""V"")))),3),G406))"),"")</f>
        <v/>
      </c>
      <c r="L406" s="148" t="str">
        <f>IFERROR(__xludf.DUMMYFUNCTION("if($C406="""","""",iferror(if(row()&lt;&gt;2,INDEX(arrayformula(filter($M$2:$M405,$C$2:$C405&lt;&gt;"""",row($C$2:$C405)=max(if($C$2:$C405=C406,row($C$2:$C405),0)))) ,1),0),0))"),"")</f>
        <v/>
      </c>
      <c r="M406" s="148" t="str">
        <f t="shared" si="1"/>
        <v/>
      </c>
      <c r="N406" s="147" t="str">
        <f t="shared" si="2"/>
        <v/>
      </c>
      <c r="O406" s="147" t="str">
        <f t="shared" si="21"/>
        <v/>
      </c>
      <c r="P406" s="147" t="str">
        <f>IFERROR(__xludf.DUMMYFUNCTION("if(C406="""","""",iferror(if(row()&lt;&gt;2,INDEX(arrayformula(filter($Q$2:$Q405,$C$2:$C405&lt;&gt;"""",row($C$2:$C405)=max(if($C$2:$C405=C406,row($C$2:$C405),0)))) ,1),0),0))"),"")</f>
        <v/>
      </c>
      <c r="Q406" s="147" t="str">
        <f t="shared" si="22"/>
        <v/>
      </c>
      <c r="R406" s="147" t="str">
        <f t="shared" si="23"/>
        <v/>
      </c>
      <c r="S406" s="147" t="str">
        <f t="shared" si="24"/>
        <v/>
      </c>
      <c r="T406" s="147" t="str">
        <f t="shared" si="7"/>
        <v/>
      </c>
      <c r="U406" s="150" t="str">
        <f t="shared" si="8"/>
        <v/>
      </c>
      <c r="V406" s="151" t="str">
        <f>IFERROR(VLOOKUP(C406,Ativos!$A$1:$G2000,5,),)</f>
        <v/>
      </c>
    </row>
    <row r="407" ht="21.0" customHeight="1">
      <c r="A407" s="152"/>
      <c r="B407" s="160"/>
      <c r="C407" s="153"/>
      <c r="D407" s="154"/>
      <c r="E407" s="139"/>
      <c r="F407" s="139"/>
      <c r="G407" s="139"/>
      <c r="H407" s="135"/>
      <c r="I407" s="141"/>
      <c r="J407" s="147" t="str">
        <f>IFERROR(__xludf.DUMMYFUNCTION("IF(ISBLANK(A407),IFERROR(1/0),IF(COUNT(FILTER(F:F,A:A=A407))&gt;1,TRUNC(N407*F407/SUM(FILTER(N:N,A:A=A407)),3),F407))"),"")</f>
        <v/>
      </c>
      <c r="K407" s="147" t="str">
        <f>IFERROR(__xludf.DUMMYFUNCTION("IF(ISBLANK(A407),IFERROR(1/0),IF(COUNT(FILTER(G:G,((A:A=A407)*(B:B=""V""))))&gt;1,TRUNC(N407*G407/SUM(FILTER(N:N,((A:A=A407)*(B:B=""V"")))),3),G407))"),"")</f>
        <v/>
      </c>
      <c r="L407" s="148" t="str">
        <f>IFERROR(__xludf.DUMMYFUNCTION("if($C407="""","""",iferror(if(row()&lt;&gt;2,INDEX(arrayformula(filter($M$2:$M406,$C$2:$C406&lt;&gt;"""",row($C$2:$C406)=max(if($C$2:$C406=C407,row($C$2:$C406),0)))) ,1),0),0))"),"")</f>
        <v/>
      </c>
      <c r="M407" s="148" t="str">
        <f t="shared" si="1"/>
        <v/>
      </c>
      <c r="N407" s="147" t="str">
        <f t="shared" si="2"/>
        <v/>
      </c>
      <c r="O407" s="147" t="str">
        <f t="shared" si="21"/>
        <v/>
      </c>
      <c r="P407" s="147" t="str">
        <f>IFERROR(__xludf.DUMMYFUNCTION("if(C407="""","""",iferror(if(row()&lt;&gt;2,INDEX(arrayformula(filter($Q$2:$Q406,$C$2:$C406&lt;&gt;"""",row($C$2:$C406)=max(if($C$2:$C406=C407,row($C$2:$C406),0)))) ,1),0),0))"),"")</f>
        <v/>
      </c>
      <c r="Q407" s="147" t="str">
        <f t="shared" si="22"/>
        <v/>
      </c>
      <c r="R407" s="147" t="str">
        <f t="shared" si="23"/>
        <v/>
      </c>
      <c r="S407" s="147" t="str">
        <f t="shared" si="24"/>
        <v/>
      </c>
      <c r="T407" s="147" t="str">
        <f t="shared" si="7"/>
        <v/>
      </c>
      <c r="U407" s="150" t="str">
        <f t="shared" si="8"/>
        <v/>
      </c>
      <c r="V407" s="151" t="str">
        <f>IFERROR(VLOOKUP(C407,Ativos!$A$1:$G2000,5,),)</f>
        <v/>
      </c>
    </row>
    <row r="408" ht="21.0" customHeight="1">
      <c r="A408" s="152"/>
      <c r="B408" s="160"/>
      <c r="C408" s="153"/>
      <c r="D408" s="154"/>
      <c r="E408" s="139"/>
      <c r="F408" s="139"/>
      <c r="G408" s="139"/>
      <c r="H408" s="135"/>
      <c r="I408" s="141"/>
      <c r="J408" s="147" t="str">
        <f>IFERROR(__xludf.DUMMYFUNCTION("IF(ISBLANK(A408),IFERROR(1/0),IF(COUNT(FILTER(F:F,A:A=A408))&gt;1,TRUNC(N408*F408/SUM(FILTER(N:N,A:A=A408)),3),F408))"),"")</f>
        <v/>
      </c>
      <c r="K408" s="147" t="str">
        <f>IFERROR(__xludf.DUMMYFUNCTION("IF(ISBLANK(A408),IFERROR(1/0),IF(COUNT(FILTER(G:G,((A:A=A408)*(B:B=""V""))))&gt;1,TRUNC(N408*G408/SUM(FILTER(N:N,((A:A=A408)*(B:B=""V"")))),3),G408))"),"")</f>
        <v/>
      </c>
      <c r="L408" s="148" t="str">
        <f>IFERROR(__xludf.DUMMYFUNCTION("if($C408="""","""",iferror(if(row()&lt;&gt;2,INDEX(arrayformula(filter($M$2:$M407,$C$2:$C407&lt;&gt;"""",row($C$2:$C407)=max(if($C$2:$C407=C408,row($C$2:$C407),0)))) ,1),0),0))"),"")</f>
        <v/>
      </c>
      <c r="M408" s="148" t="str">
        <f t="shared" si="1"/>
        <v/>
      </c>
      <c r="N408" s="147" t="str">
        <f t="shared" si="2"/>
        <v/>
      </c>
      <c r="O408" s="147" t="str">
        <f t="shared" si="21"/>
        <v/>
      </c>
      <c r="P408" s="147" t="str">
        <f>IFERROR(__xludf.DUMMYFUNCTION("if(C408="""","""",iferror(if(row()&lt;&gt;2,INDEX(arrayformula(filter($Q$2:$Q407,$C$2:$C407&lt;&gt;"""",row($C$2:$C407)=max(if($C$2:$C407=C408,row($C$2:$C407),0)))) ,1),0),0))"),"")</f>
        <v/>
      </c>
      <c r="Q408" s="147" t="str">
        <f t="shared" si="22"/>
        <v/>
      </c>
      <c r="R408" s="147" t="str">
        <f t="shared" si="23"/>
        <v/>
      </c>
      <c r="S408" s="147" t="str">
        <f t="shared" si="24"/>
        <v/>
      </c>
      <c r="T408" s="147" t="str">
        <f t="shared" si="7"/>
        <v/>
      </c>
      <c r="U408" s="150" t="str">
        <f t="shared" si="8"/>
        <v/>
      </c>
      <c r="V408" s="151" t="str">
        <f>IFERROR(VLOOKUP(C408,Ativos!$A$1:$G2000,5,),)</f>
        <v/>
      </c>
    </row>
    <row r="409" ht="21.0" customHeight="1">
      <c r="A409" s="152"/>
      <c r="B409" s="160"/>
      <c r="C409" s="153"/>
      <c r="D409" s="154"/>
      <c r="E409" s="139"/>
      <c r="F409" s="139"/>
      <c r="G409" s="139"/>
      <c r="H409" s="135"/>
      <c r="I409" s="141"/>
      <c r="J409" s="147" t="str">
        <f>IFERROR(__xludf.DUMMYFUNCTION("IF(ISBLANK(A409),IFERROR(1/0),IF(COUNT(FILTER(F:F,A:A=A409))&gt;1,TRUNC(N409*F409/SUM(FILTER(N:N,A:A=A409)),3),F409))"),"")</f>
        <v/>
      </c>
      <c r="K409" s="147" t="str">
        <f>IFERROR(__xludf.DUMMYFUNCTION("IF(ISBLANK(A409),IFERROR(1/0),IF(COUNT(FILTER(G:G,((A:A=A409)*(B:B=""V""))))&gt;1,TRUNC(N409*G409/SUM(FILTER(N:N,((A:A=A409)*(B:B=""V"")))),3),G409))"),"")</f>
        <v/>
      </c>
      <c r="L409" s="148" t="str">
        <f>IFERROR(__xludf.DUMMYFUNCTION("if($C409="""","""",iferror(if(row()&lt;&gt;2,INDEX(arrayformula(filter($M$2:$M408,$C$2:$C408&lt;&gt;"""",row($C$2:$C408)=max(if($C$2:$C408=C409,row($C$2:$C408),0)))) ,1),0),0))"),"")</f>
        <v/>
      </c>
      <c r="M409" s="148" t="str">
        <f t="shared" si="1"/>
        <v/>
      </c>
      <c r="N409" s="147" t="str">
        <f t="shared" si="2"/>
        <v/>
      </c>
      <c r="O409" s="147" t="str">
        <f t="shared" si="21"/>
        <v/>
      </c>
      <c r="P409" s="147" t="str">
        <f>IFERROR(__xludf.DUMMYFUNCTION("if(C409="""","""",iferror(if(row()&lt;&gt;2,INDEX(arrayformula(filter($Q$2:$Q408,$C$2:$C408&lt;&gt;"""",row($C$2:$C408)=max(if($C$2:$C408=C409,row($C$2:$C408),0)))) ,1),0),0))"),"")</f>
        <v/>
      </c>
      <c r="Q409" s="147" t="str">
        <f t="shared" si="22"/>
        <v/>
      </c>
      <c r="R409" s="147" t="str">
        <f t="shared" si="23"/>
        <v/>
      </c>
      <c r="S409" s="147" t="str">
        <f t="shared" si="24"/>
        <v/>
      </c>
      <c r="T409" s="147" t="str">
        <f t="shared" si="7"/>
        <v/>
      </c>
      <c r="U409" s="150" t="str">
        <f t="shared" si="8"/>
        <v/>
      </c>
      <c r="V409" s="151" t="str">
        <f>IFERROR(VLOOKUP(C409,Ativos!$A$1:$G2000,5,),)</f>
        <v/>
      </c>
    </row>
    <row r="410" ht="21.0" customHeight="1">
      <c r="A410" s="152"/>
      <c r="B410" s="160"/>
      <c r="C410" s="153"/>
      <c r="D410" s="154"/>
      <c r="E410" s="139"/>
      <c r="F410" s="139"/>
      <c r="G410" s="139"/>
      <c r="H410" s="135"/>
      <c r="I410" s="141"/>
      <c r="J410" s="147" t="str">
        <f>IFERROR(__xludf.DUMMYFUNCTION("IF(ISBLANK(A410),IFERROR(1/0),IF(COUNT(FILTER(F:F,A:A=A410))&gt;1,TRUNC(N410*F410/SUM(FILTER(N:N,A:A=A410)),3),F410))"),"")</f>
        <v/>
      </c>
      <c r="K410" s="147" t="str">
        <f>IFERROR(__xludf.DUMMYFUNCTION("IF(ISBLANK(A410),IFERROR(1/0),IF(COUNT(FILTER(G:G,((A:A=A410)*(B:B=""V""))))&gt;1,TRUNC(N410*G410/SUM(FILTER(N:N,((A:A=A410)*(B:B=""V"")))),3),G410))"),"")</f>
        <v/>
      </c>
      <c r="L410" s="148" t="str">
        <f>IFERROR(__xludf.DUMMYFUNCTION("if($C410="""","""",iferror(if(row()&lt;&gt;2,INDEX(arrayformula(filter($M$2:$M409,$C$2:$C409&lt;&gt;"""",row($C$2:$C409)=max(if($C$2:$C409=C410,row($C$2:$C409),0)))) ,1),0),0))"),"")</f>
        <v/>
      </c>
      <c r="M410" s="148" t="str">
        <f t="shared" si="1"/>
        <v/>
      </c>
      <c r="N410" s="147" t="str">
        <f t="shared" si="2"/>
        <v/>
      </c>
      <c r="O410" s="147" t="str">
        <f t="shared" si="21"/>
        <v/>
      </c>
      <c r="P410" s="147" t="str">
        <f>IFERROR(__xludf.DUMMYFUNCTION("if(C410="""","""",iferror(if(row()&lt;&gt;2,INDEX(arrayformula(filter($Q$2:$Q409,$C$2:$C409&lt;&gt;"""",row($C$2:$C409)=max(if($C$2:$C409=C410,row($C$2:$C409),0)))) ,1),0),0))"),"")</f>
        <v/>
      </c>
      <c r="Q410" s="147" t="str">
        <f t="shared" si="22"/>
        <v/>
      </c>
      <c r="R410" s="147" t="str">
        <f t="shared" si="23"/>
        <v/>
      </c>
      <c r="S410" s="147" t="str">
        <f t="shared" si="24"/>
        <v/>
      </c>
      <c r="T410" s="147" t="str">
        <f t="shared" si="7"/>
        <v/>
      </c>
      <c r="U410" s="150" t="str">
        <f t="shared" si="8"/>
        <v/>
      </c>
      <c r="V410" s="151" t="str">
        <f>IFERROR(VLOOKUP(C410,Ativos!$A$1:$G2000,5,),)</f>
        <v/>
      </c>
    </row>
    <row r="411" ht="21.0" customHeight="1">
      <c r="A411" s="152"/>
      <c r="B411" s="160"/>
      <c r="C411" s="153"/>
      <c r="D411" s="154"/>
      <c r="E411" s="139"/>
      <c r="F411" s="139"/>
      <c r="G411" s="139"/>
      <c r="H411" s="135"/>
      <c r="I411" s="141"/>
      <c r="J411" s="147" t="str">
        <f>IFERROR(__xludf.DUMMYFUNCTION("IF(ISBLANK(A411),IFERROR(1/0),IF(COUNT(FILTER(F:F,A:A=A411))&gt;1,TRUNC(N411*F411/SUM(FILTER(N:N,A:A=A411)),3),F411))"),"")</f>
        <v/>
      </c>
      <c r="K411" s="147" t="str">
        <f>IFERROR(__xludf.DUMMYFUNCTION("IF(ISBLANK(A411),IFERROR(1/0),IF(COUNT(FILTER(G:G,((A:A=A411)*(B:B=""V""))))&gt;1,TRUNC(N411*G411/SUM(FILTER(N:N,((A:A=A411)*(B:B=""V"")))),3),G411))"),"")</f>
        <v/>
      </c>
      <c r="L411" s="148" t="str">
        <f>IFERROR(__xludf.DUMMYFUNCTION("if($C411="""","""",iferror(if(row()&lt;&gt;2,INDEX(arrayformula(filter($M$2:$M410,$C$2:$C410&lt;&gt;"""",row($C$2:$C410)=max(if($C$2:$C410=C411,row($C$2:$C410),0)))) ,1),0),0))"),"")</f>
        <v/>
      </c>
      <c r="M411" s="148" t="str">
        <f t="shared" si="1"/>
        <v/>
      </c>
      <c r="N411" s="147" t="str">
        <f t="shared" si="2"/>
        <v/>
      </c>
      <c r="O411" s="147" t="str">
        <f t="shared" si="21"/>
        <v/>
      </c>
      <c r="P411" s="147" t="str">
        <f>IFERROR(__xludf.DUMMYFUNCTION("if(C411="""","""",iferror(if(row()&lt;&gt;2,INDEX(arrayformula(filter($Q$2:$Q410,$C$2:$C410&lt;&gt;"""",row($C$2:$C410)=max(if($C$2:$C410=C411,row($C$2:$C410),0)))) ,1),0),0))"),"")</f>
        <v/>
      </c>
      <c r="Q411" s="147" t="str">
        <f t="shared" si="22"/>
        <v/>
      </c>
      <c r="R411" s="147" t="str">
        <f t="shared" si="23"/>
        <v/>
      </c>
      <c r="S411" s="147" t="str">
        <f t="shared" si="24"/>
        <v/>
      </c>
      <c r="T411" s="147" t="str">
        <f t="shared" si="7"/>
        <v/>
      </c>
      <c r="U411" s="150" t="str">
        <f t="shared" si="8"/>
        <v/>
      </c>
      <c r="V411" s="151" t="str">
        <f>IFERROR(VLOOKUP(C411,Ativos!$A$1:$G2000,5,),)</f>
        <v/>
      </c>
    </row>
    <row r="412" ht="21.0" customHeight="1">
      <c r="A412" s="152"/>
      <c r="B412" s="160"/>
      <c r="C412" s="153"/>
      <c r="D412" s="154"/>
      <c r="E412" s="139"/>
      <c r="F412" s="139"/>
      <c r="G412" s="139"/>
      <c r="H412" s="135"/>
      <c r="I412" s="141"/>
      <c r="J412" s="147" t="str">
        <f>IFERROR(__xludf.DUMMYFUNCTION("IF(ISBLANK(A412),IFERROR(1/0),IF(COUNT(FILTER(F:F,A:A=A412))&gt;1,TRUNC(N412*F412/SUM(FILTER(N:N,A:A=A412)),3),F412))"),"")</f>
        <v/>
      </c>
      <c r="K412" s="147" t="str">
        <f>IFERROR(__xludf.DUMMYFUNCTION("IF(ISBLANK(A412),IFERROR(1/0),IF(COUNT(FILTER(G:G,((A:A=A412)*(B:B=""V""))))&gt;1,TRUNC(N412*G412/SUM(FILTER(N:N,((A:A=A412)*(B:B=""V"")))),3),G412))"),"")</f>
        <v/>
      </c>
      <c r="L412" s="148" t="str">
        <f>IFERROR(__xludf.DUMMYFUNCTION("if($C412="""","""",iferror(if(row()&lt;&gt;2,INDEX(arrayformula(filter($M$2:$M411,$C$2:$C411&lt;&gt;"""",row($C$2:$C411)=max(if($C$2:$C411=C412,row($C$2:$C411),0)))) ,1),0),0))"),"")</f>
        <v/>
      </c>
      <c r="M412" s="148" t="str">
        <f t="shared" si="1"/>
        <v/>
      </c>
      <c r="N412" s="147" t="str">
        <f t="shared" si="2"/>
        <v/>
      </c>
      <c r="O412" s="147" t="str">
        <f t="shared" si="21"/>
        <v/>
      </c>
      <c r="P412" s="147" t="str">
        <f>IFERROR(__xludf.DUMMYFUNCTION("if(C412="""","""",iferror(if(row()&lt;&gt;2,INDEX(arrayformula(filter($Q$2:$Q411,$C$2:$C411&lt;&gt;"""",row($C$2:$C411)=max(if($C$2:$C411=C412,row($C$2:$C411),0)))) ,1),0),0))"),"")</f>
        <v/>
      </c>
      <c r="Q412" s="147" t="str">
        <f t="shared" si="22"/>
        <v/>
      </c>
      <c r="R412" s="147" t="str">
        <f t="shared" si="23"/>
        <v/>
      </c>
      <c r="S412" s="147" t="str">
        <f t="shared" si="24"/>
        <v/>
      </c>
      <c r="T412" s="147" t="str">
        <f t="shared" si="7"/>
        <v/>
      </c>
      <c r="U412" s="150" t="str">
        <f t="shared" si="8"/>
        <v/>
      </c>
      <c r="V412" s="151" t="str">
        <f>IFERROR(VLOOKUP(C412,Ativos!$A$1:$G2000,5,),)</f>
        <v/>
      </c>
    </row>
    <row r="413" ht="21.0" customHeight="1">
      <c r="A413" s="152"/>
      <c r="B413" s="160"/>
      <c r="C413" s="153"/>
      <c r="D413" s="154"/>
      <c r="E413" s="139"/>
      <c r="F413" s="139"/>
      <c r="G413" s="139"/>
      <c r="H413" s="135"/>
      <c r="I413" s="141"/>
      <c r="J413" s="147" t="str">
        <f>IFERROR(__xludf.DUMMYFUNCTION("IF(ISBLANK(A413),IFERROR(1/0),IF(COUNT(FILTER(F:F,A:A=A413))&gt;1,TRUNC(N413*F413/SUM(FILTER(N:N,A:A=A413)),3),F413))"),"")</f>
        <v/>
      </c>
      <c r="K413" s="147" t="str">
        <f>IFERROR(__xludf.DUMMYFUNCTION("IF(ISBLANK(A413),IFERROR(1/0),IF(COUNT(FILTER(G:G,((A:A=A413)*(B:B=""V""))))&gt;1,TRUNC(N413*G413/SUM(FILTER(N:N,((A:A=A413)*(B:B=""V"")))),3),G413))"),"")</f>
        <v/>
      </c>
      <c r="L413" s="148" t="str">
        <f>IFERROR(__xludf.DUMMYFUNCTION("if($C413="""","""",iferror(if(row()&lt;&gt;2,INDEX(arrayformula(filter($M$2:$M412,$C$2:$C412&lt;&gt;"""",row($C$2:$C412)=max(if($C$2:$C412=C413,row($C$2:$C412),0)))) ,1),0),0))"),"")</f>
        <v/>
      </c>
      <c r="M413" s="148" t="str">
        <f t="shared" si="1"/>
        <v/>
      </c>
      <c r="N413" s="147" t="str">
        <f t="shared" si="2"/>
        <v/>
      </c>
      <c r="O413" s="147" t="str">
        <f t="shared" si="21"/>
        <v/>
      </c>
      <c r="P413" s="147" t="str">
        <f>IFERROR(__xludf.DUMMYFUNCTION("if(C413="""","""",iferror(if(row()&lt;&gt;2,INDEX(arrayformula(filter($Q$2:$Q412,$C$2:$C412&lt;&gt;"""",row($C$2:$C412)=max(if($C$2:$C412=C413,row($C$2:$C412),0)))) ,1),0),0))"),"")</f>
        <v/>
      </c>
      <c r="Q413" s="147" t="str">
        <f t="shared" si="22"/>
        <v/>
      </c>
      <c r="R413" s="147" t="str">
        <f t="shared" si="23"/>
        <v/>
      </c>
      <c r="S413" s="147" t="str">
        <f t="shared" si="24"/>
        <v/>
      </c>
      <c r="T413" s="147" t="str">
        <f t="shared" si="7"/>
        <v/>
      </c>
      <c r="U413" s="150" t="str">
        <f t="shared" si="8"/>
        <v/>
      </c>
      <c r="V413" s="151" t="str">
        <f>IFERROR(VLOOKUP(C413,Ativos!$A$1:$G2000,5,),)</f>
        <v/>
      </c>
    </row>
    <row r="414" ht="21.0" customHeight="1">
      <c r="A414" s="152"/>
      <c r="B414" s="160"/>
      <c r="C414" s="153"/>
      <c r="D414" s="154"/>
      <c r="E414" s="139"/>
      <c r="F414" s="139"/>
      <c r="G414" s="139"/>
      <c r="H414" s="135"/>
      <c r="I414" s="141"/>
      <c r="J414" s="147" t="str">
        <f>IFERROR(__xludf.DUMMYFUNCTION("IF(ISBLANK(A414),IFERROR(1/0),IF(COUNT(FILTER(F:F,A:A=A414))&gt;1,TRUNC(N414*F414/SUM(FILTER(N:N,A:A=A414)),3),F414))"),"")</f>
        <v/>
      </c>
      <c r="K414" s="147" t="str">
        <f>IFERROR(__xludf.DUMMYFUNCTION("IF(ISBLANK(A414),IFERROR(1/0),IF(COUNT(FILTER(G:G,((A:A=A414)*(B:B=""V""))))&gt;1,TRUNC(N414*G414/SUM(FILTER(N:N,((A:A=A414)*(B:B=""V"")))),3),G414))"),"")</f>
        <v/>
      </c>
      <c r="L414" s="148" t="str">
        <f>IFERROR(__xludf.DUMMYFUNCTION("if($C414="""","""",iferror(if(row()&lt;&gt;2,INDEX(arrayformula(filter($M$2:$M413,$C$2:$C413&lt;&gt;"""",row($C$2:$C413)=max(if($C$2:$C413=C414,row($C$2:$C413),0)))) ,1),0),0))"),"")</f>
        <v/>
      </c>
      <c r="M414" s="148" t="str">
        <f t="shared" si="1"/>
        <v/>
      </c>
      <c r="N414" s="147" t="str">
        <f t="shared" si="2"/>
        <v/>
      </c>
      <c r="O414" s="147" t="str">
        <f t="shared" si="21"/>
        <v/>
      </c>
      <c r="P414" s="147" t="str">
        <f>IFERROR(__xludf.DUMMYFUNCTION("if(C414="""","""",iferror(if(row()&lt;&gt;2,INDEX(arrayformula(filter($Q$2:$Q413,$C$2:$C413&lt;&gt;"""",row($C$2:$C413)=max(if($C$2:$C413=C414,row($C$2:$C413),0)))) ,1),0),0))"),"")</f>
        <v/>
      </c>
      <c r="Q414" s="147" t="str">
        <f t="shared" si="22"/>
        <v/>
      </c>
      <c r="R414" s="147" t="str">
        <f t="shared" si="23"/>
        <v/>
      </c>
      <c r="S414" s="147" t="str">
        <f t="shared" si="24"/>
        <v/>
      </c>
      <c r="T414" s="147" t="str">
        <f t="shared" si="7"/>
        <v/>
      </c>
      <c r="U414" s="150" t="str">
        <f t="shared" si="8"/>
        <v/>
      </c>
      <c r="V414" s="151" t="str">
        <f>IFERROR(VLOOKUP(C414,Ativos!$A$1:$G2000,5,),)</f>
        <v/>
      </c>
    </row>
    <row r="415" ht="21.0" customHeight="1">
      <c r="A415" s="152"/>
      <c r="B415" s="160"/>
      <c r="C415" s="153"/>
      <c r="D415" s="154"/>
      <c r="E415" s="139"/>
      <c r="F415" s="139"/>
      <c r="G415" s="139"/>
      <c r="H415" s="135"/>
      <c r="I415" s="141"/>
      <c r="J415" s="147" t="str">
        <f>IFERROR(__xludf.DUMMYFUNCTION("IF(ISBLANK(A415),IFERROR(1/0),IF(COUNT(FILTER(F:F,A:A=A415))&gt;1,TRUNC(N415*F415/SUM(FILTER(N:N,A:A=A415)),3),F415))"),"")</f>
        <v/>
      </c>
      <c r="K415" s="147" t="str">
        <f>IFERROR(__xludf.DUMMYFUNCTION("IF(ISBLANK(A415),IFERROR(1/0),IF(COUNT(FILTER(G:G,((A:A=A415)*(B:B=""V""))))&gt;1,TRUNC(N415*G415/SUM(FILTER(N:N,((A:A=A415)*(B:B=""V"")))),3),G415))"),"")</f>
        <v/>
      </c>
      <c r="L415" s="148" t="str">
        <f>IFERROR(__xludf.DUMMYFUNCTION("if($C415="""","""",iferror(if(row()&lt;&gt;2,INDEX(arrayformula(filter($M$2:$M414,$C$2:$C414&lt;&gt;"""",row($C$2:$C414)=max(if($C$2:$C414=C415,row($C$2:$C414),0)))) ,1),0),0))"),"")</f>
        <v/>
      </c>
      <c r="M415" s="148" t="str">
        <f t="shared" si="1"/>
        <v/>
      </c>
      <c r="N415" s="147" t="str">
        <f t="shared" si="2"/>
        <v/>
      </c>
      <c r="O415" s="147" t="str">
        <f t="shared" si="21"/>
        <v/>
      </c>
      <c r="P415" s="147" t="str">
        <f>IFERROR(__xludf.DUMMYFUNCTION("if(C415="""","""",iferror(if(row()&lt;&gt;2,INDEX(arrayformula(filter($Q$2:$Q414,$C$2:$C414&lt;&gt;"""",row($C$2:$C414)=max(if($C$2:$C414=C415,row($C$2:$C414),0)))) ,1),0),0))"),"")</f>
        <v/>
      </c>
      <c r="Q415" s="147" t="str">
        <f t="shared" si="22"/>
        <v/>
      </c>
      <c r="R415" s="147" t="str">
        <f t="shared" si="23"/>
        <v/>
      </c>
      <c r="S415" s="147" t="str">
        <f t="shared" si="24"/>
        <v/>
      </c>
      <c r="T415" s="147" t="str">
        <f t="shared" si="7"/>
        <v/>
      </c>
      <c r="U415" s="150" t="str">
        <f t="shared" si="8"/>
        <v/>
      </c>
      <c r="V415" s="151" t="str">
        <f>IFERROR(VLOOKUP(C415,Ativos!$A$1:$G2000,5,),)</f>
        <v/>
      </c>
    </row>
    <row r="416" ht="21.0" customHeight="1">
      <c r="A416" s="152"/>
      <c r="B416" s="160"/>
      <c r="C416" s="153"/>
      <c r="D416" s="154"/>
      <c r="E416" s="139"/>
      <c r="F416" s="139"/>
      <c r="G416" s="139"/>
      <c r="H416" s="135"/>
      <c r="I416" s="141"/>
      <c r="J416" s="147" t="str">
        <f>IFERROR(__xludf.DUMMYFUNCTION("IF(ISBLANK(A416),IFERROR(1/0),IF(COUNT(FILTER(F:F,A:A=A416))&gt;1,TRUNC(N416*F416/SUM(FILTER(N:N,A:A=A416)),3),F416))"),"")</f>
        <v/>
      </c>
      <c r="K416" s="147" t="str">
        <f>IFERROR(__xludf.DUMMYFUNCTION("IF(ISBLANK(A416),IFERROR(1/0),IF(COUNT(FILTER(G:G,((A:A=A416)*(B:B=""V""))))&gt;1,TRUNC(N416*G416/SUM(FILTER(N:N,((A:A=A416)*(B:B=""V"")))),3),G416))"),"")</f>
        <v/>
      </c>
      <c r="L416" s="148" t="str">
        <f>IFERROR(__xludf.DUMMYFUNCTION("if($C416="""","""",iferror(if(row()&lt;&gt;2,INDEX(arrayformula(filter($M$2:$M415,$C$2:$C415&lt;&gt;"""",row($C$2:$C415)=max(if($C$2:$C415=C416,row($C$2:$C415),0)))) ,1),0),0))"),"")</f>
        <v/>
      </c>
      <c r="M416" s="148" t="str">
        <f t="shared" si="1"/>
        <v/>
      </c>
      <c r="N416" s="147" t="str">
        <f t="shared" si="2"/>
        <v/>
      </c>
      <c r="O416" s="147" t="str">
        <f t="shared" si="21"/>
        <v/>
      </c>
      <c r="P416" s="147" t="str">
        <f>IFERROR(__xludf.DUMMYFUNCTION("if(C416="""","""",iferror(if(row()&lt;&gt;2,INDEX(arrayformula(filter($Q$2:$Q415,$C$2:$C415&lt;&gt;"""",row($C$2:$C415)=max(if($C$2:$C415=C416,row($C$2:$C415),0)))) ,1),0),0))"),"")</f>
        <v/>
      </c>
      <c r="Q416" s="147" t="str">
        <f t="shared" si="22"/>
        <v/>
      </c>
      <c r="R416" s="147" t="str">
        <f t="shared" si="23"/>
        <v/>
      </c>
      <c r="S416" s="147" t="str">
        <f t="shared" si="24"/>
        <v/>
      </c>
      <c r="T416" s="147" t="str">
        <f t="shared" si="7"/>
        <v/>
      </c>
      <c r="U416" s="150" t="str">
        <f t="shared" si="8"/>
        <v/>
      </c>
      <c r="V416" s="151" t="str">
        <f>IFERROR(VLOOKUP(C416,Ativos!$A$1:$G2000,5,),)</f>
        <v/>
      </c>
    </row>
    <row r="417" ht="21.0" customHeight="1">
      <c r="A417" s="152"/>
      <c r="B417" s="160"/>
      <c r="C417" s="153"/>
      <c r="D417" s="154"/>
      <c r="E417" s="139"/>
      <c r="F417" s="139"/>
      <c r="G417" s="139"/>
      <c r="H417" s="135"/>
      <c r="I417" s="141"/>
      <c r="J417" s="147" t="str">
        <f>IFERROR(__xludf.DUMMYFUNCTION("IF(ISBLANK(A417),IFERROR(1/0),IF(COUNT(FILTER(F:F,A:A=A417))&gt;1,TRUNC(N417*F417/SUM(FILTER(N:N,A:A=A417)),3),F417))"),"")</f>
        <v/>
      </c>
      <c r="K417" s="147" t="str">
        <f>IFERROR(__xludf.DUMMYFUNCTION("IF(ISBLANK(A417),IFERROR(1/0),IF(COUNT(FILTER(G:G,((A:A=A417)*(B:B=""V""))))&gt;1,TRUNC(N417*G417/SUM(FILTER(N:N,((A:A=A417)*(B:B=""V"")))),3),G417))"),"")</f>
        <v/>
      </c>
      <c r="L417" s="148" t="str">
        <f>IFERROR(__xludf.DUMMYFUNCTION("if($C417="""","""",iferror(if(row()&lt;&gt;2,INDEX(arrayformula(filter($M$2:$M416,$C$2:$C416&lt;&gt;"""",row($C$2:$C416)=max(if($C$2:$C416=C417,row($C$2:$C416),0)))) ,1),0),0))"),"")</f>
        <v/>
      </c>
      <c r="M417" s="148" t="str">
        <f t="shared" si="1"/>
        <v/>
      </c>
      <c r="N417" s="147" t="str">
        <f t="shared" si="2"/>
        <v/>
      </c>
      <c r="O417" s="147" t="str">
        <f t="shared" si="21"/>
        <v/>
      </c>
      <c r="P417" s="147" t="str">
        <f>IFERROR(__xludf.DUMMYFUNCTION("if(C417="""","""",iferror(if(row()&lt;&gt;2,INDEX(arrayformula(filter($Q$2:$Q416,$C$2:$C416&lt;&gt;"""",row($C$2:$C416)=max(if($C$2:$C416=C417,row($C$2:$C416),0)))) ,1),0),0))"),"")</f>
        <v/>
      </c>
      <c r="Q417" s="147" t="str">
        <f t="shared" si="22"/>
        <v/>
      </c>
      <c r="R417" s="147" t="str">
        <f t="shared" si="23"/>
        <v/>
      </c>
      <c r="S417" s="147" t="str">
        <f t="shared" si="24"/>
        <v/>
      </c>
      <c r="T417" s="147" t="str">
        <f t="shared" si="7"/>
        <v/>
      </c>
      <c r="U417" s="150" t="str">
        <f t="shared" si="8"/>
        <v/>
      </c>
      <c r="V417" s="151" t="str">
        <f>IFERROR(VLOOKUP(C417,Ativos!$A$1:$G2000,5,),)</f>
        <v/>
      </c>
    </row>
    <row r="418" ht="21.0" customHeight="1">
      <c r="A418" s="152"/>
      <c r="B418" s="160"/>
      <c r="C418" s="153"/>
      <c r="D418" s="154"/>
      <c r="E418" s="139"/>
      <c r="F418" s="139"/>
      <c r="G418" s="139"/>
      <c r="H418" s="135"/>
      <c r="I418" s="141"/>
      <c r="J418" s="147" t="str">
        <f>IFERROR(__xludf.DUMMYFUNCTION("IF(ISBLANK(A418),IFERROR(1/0),IF(COUNT(FILTER(F:F,A:A=A418))&gt;1,TRUNC(N418*F418/SUM(FILTER(N:N,A:A=A418)),3),F418))"),"")</f>
        <v/>
      </c>
      <c r="K418" s="147" t="str">
        <f>IFERROR(__xludf.DUMMYFUNCTION("IF(ISBLANK(A418),IFERROR(1/0),IF(COUNT(FILTER(G:G,((A:A=A418)*(B:B=""V""))))&gt;1,TRUNC(N418*G418/SUM(FILTER(N:N,((A:A=A418)*(B:B=""V"")))),3),G418))"),"")</f>
        <v/>
      </c>
      <c r="L418" s="148" t="str">
        <f>IFERROR(__xludf.DUMMYFUNCTION("if($C418="""","""",iferror(if(row()&lt;&gt;2,INDEX(arrayformula(filter($M$2:$M417,$C$2:$C417&lt;&gt;"""",row($C$2:$C417)=max(if($C$2:$C417=C418,row($C$2:$C417),0)))) ,1),0),0))"),"")</f>
        <v/>
      </c>
      <c r="M418" s="148" t="str">
        <f t="shared" si="1"/>
        <v/>
      </c>
      <c r="N418" s="147" t="str">
        <f t="shared" si="2"/>
        <v/>
      </c>
      <c r="O418" s="147" t="str">
        <f t="shared" si="21"/>
        <v/>
      </c>
      <c r="P418" s="147" t="str">
        <f>IFERROR(__xludf.DUMMYFUNCTION("if(C418="""","""",iferror(if(row()&lt;&gt;2,INDEX(arrayformula(filter($Q$2:$Q417,$C$2:$C417&lt;&gt;"""",row($C$2:$C417)=max(if($C$2:$C417=C418,row($C$2:$C417),0)))) ,1),0),0))"),"")</f>
        <v/>
      </c>
      <c r="Q418" s="147" t="str">
        <f t="shared" si="22"/>
        <v/>
      </c>
      <c r="R418" s="147" t="str">
        <f t="shared" si="23"/>
        <v/>
      </c>
      <c r="S418" s="147" t="str">
        <f t="shared" si="24"/>
        <v/>
      </c>
      <c r="T418" s="147" t="str">
        <f t="shared" si="7"/>
        <v/>
      </c>
      <c r="U418" s="150" t="str">
        <f t="shared" si="8"/>
        <v/>
      </c>
      <c r="V418" s="151" t="str">
        <f>IFERROR(VLOOKUP(C418,Ativos!$A$1:$G2000,5,),)</f>
        <v/>
      </c>
    </row>
    <row r="419" ht="21.0" customHeight="1">
      <c r="A419" s="152"/>
      <c r="B419" s="160"/>
      <c r="C419" s="153"/>
      <c r="D419" s="154"/>
      <c r="E419" s="139"/>
      <c r="F419" s="139"/>
      <c r="G419" s="139"/>
      <c r="H419" s="135"/>
      <c r="I419" s="141"/>
      <c r="J419" s="147" t="str">
        <f>IFERROR(__xludf.DUMMYFUNCTION("IF(ISBLANK(A419),IFERROR(1/0),IF(COUNT(FILTER(F:F,A:A=A419))&gt;1,TRUNC(N419*F419/SUM(FILTER(N:N,A:A=A419)),3),F419))"),"")</f>
        <v/>
      </c>
      <c r="K419" s="147" t="str">
        <f>IFERROR(__xludf.DUMMYFUNCTION("IF(ISBLANK(A419),IFERROR(1/0),IF(COUNT(FILTER(G:G,((A:A=A419)*(B:B=""V""))))&gt;1,TRUNC(N419*G419/SUM(FILTER(N:N,((A:A=A419)*(B:B=""V"")))),3),G419))"),"")</f>
        <v/>
      </c>
      <c r="L419" s="148" t="str">
        <f>IFERROR(__xludf.DUMMYFUNCTION("if($C419="""","""",iferror(if(row()&lt;&gt;2,INDEX(arrayformula(filter($M$2:$M418,$C$2:$C418&lt;&gt;"""",row($C$2:$C418)=max(if($C$2:$C418=C419,row($C$2:$C418),0)))) ,1),0),0))"),"")</f>
        <v/>
      </c>
      <c r="M419" s="148" t="str">
        <f t="shared" si="1"/>
        <v/>
      </c>
      <c r="N419" s="147" t="str">
        <f t="shared" si="2"/>
        <v/>
      </c>
      <c r="O419" s="147" t="str">
        <f t="shared" si="21"/>
        <v/>
      </c>
      <c r="P419" s="147" t="str">
        <f>IFERROR(__xludf.DUMMYFUNCTION("if(C419="""","""",iferror(if(row()&lt;&gt;2,INDEX(arrayformula(filter($Q$2:$Q418,$C$2:$C418&lt;&gt;"""",row($C$2:$C418)=max(if($C$2:$C418=C419,row($C$2:$C418),0)))) ,1),0),0))"),"")</f>
        <v/>
      </c>
      <c r="Q419" s="147" t="str">
        <f t="shared" si="22"/>
        <v/>
      </c>
      <c r="R419" s="147" t="str">
        <f t="shared" si="23"/>
        <v/>
      </c>
      <c r="S419" s="147" t="str">
        <f t="shared" si="24"/>
        <v/>
      </c>
      <c r="T419" s="147" t="str">
        <f t="shared" si="7"/>
        <v/>
      </c>
      <c r="U419" s="150" t="str">
        <f t="shared" si="8"/>
        <v/>
      </c>
      <c r="V419" s="151" t="str">
        <f>IFERROR(VLOOKUP(C419,Ativos!$A$1:$G2000,5,),)</f>
        <v/>
      </c>
    </row>
    <row r="420" ht="21.0" customHeight="1">
      <c r="A420" s="152"/>
      <c r="B420" s="160"/>
      <c r="C420" s="153"/>
      <c r="D420" s="154"/>
      <c r="E420" s="139"/>
      <c r="F420" s="139"/>
      <c r="G420" s="139"/>
      <c r="H420" s="135"/>
      <c r="I420" s="141"/>
      <c r="J420" s="147" t="str">
        <f>IFERROR(__xludf.DUMMYFUNCTION("IF(ISBLANK(A420),IFERROR(1/0),IF(COUNT(FILTER(F:F,A:A=A420))&gt;1,TRUNC(N420*F420/SUM(FILTER(N:N,A:A=A420)),3),F420))"),"")</f>
        <v/>
      </c>
      <c r="K420" s="147" t="str">
        <f>IFERROR(__xludf.DUMMYFUNCTION("IF(ISBLANK(A420),IFERROR(1/0),IF(COUNT(FILTER(G:G,((A:A=A420)*(B:B=""V""))))&gt;1,TRUNC(N420*G420/SUM(FILTER(N:N,((A:A=A420)*(B:B=""V"")))),3),G420))"),"")</f>
        <v/>
      </c>
      <c r="L420" s="148" t="str">
        <f>IFERROR(__xludf.DUMMYFUNCTION("if($C420="""","""",iferror(if(row()&lt;&gt;2,INDEX(arrayformula(filter($M$2:$M419,$C$2:$C419&lt;&gt;"""",row($C$2:$C419)=max(if($C$2:$C419=C420,row($C$2:$C419),0)))) ,1),0),0))"),"")</f>
        <v/>
      </c>
      <c r="M420" s="148" t="str">
        <f t="shared" si="1"/>
        <v/>
      </c>
      <c r="N420" s="147" t="str">
        <f t="shared" si="2"/>
        <v/>
      </c>
      <c r="O420" s="147" t="str">
        <f t="shared" si="21"/>
        <v/>
      </c>
      <c r="P420" s="147" t="str">
        <f>IFERROR(__xludf.DUMMYFUNCTION("if(C420="""","""",iferror(if(row()&lt;&gt;2,INDEX(arrayformula(filter($Q$2:$Q419,$C$2:$C419&lt;&gt;"""",row($C$2:$C419)=max(if($C$2:$C419=C420,row($C$2:$C419),0)))) ,1),0),0))"),"")</f>
        <v/>
      </c>
      <c r="Q420" s="147" t="str">
        <f t="shared" si="22"/>
        <v/>
      </c>
      <c r="R420" s="147" t="str">
        <f t="shared" si="23"/>
        <v/>
      </c>
      <c r="S420" s="147" t="str">
        <f t="shared" si="24"/>
        <v/>
      </c>
      <c r="T420" s="147" t="str">
        <f t="shared" si="7"/>
        <v/>
      </c>
      <c r="U420" s="150" t="str">
        <f t="shared" si="8"/>
        <v/>
      </c>
      <c r="V420" s="151" t="str">
        <f>IFERROR(VLOOKUP(C420,Ativos!$A$1:$G2000,5,),)</f>
        <v/>
      </c>
    </row>
    <row r="421" ht="21.0" customHeight="1">
      <c r="A421" s="152"/>
      <c r="B421" s="160"/>
      <c r="C421" s="153"/>
      <c r="D421" s="154"/>
      <c r="E421" s="139"/>
      <c r="F421" s="139"/>
      <c r="G421" s="139"/>
      <c r="H421" s="135"/>
      <c r="I421" s="141"/>
      <c r="J421" s="147" t="str">
        <f>IFERROR(__xludf.DUMMYFUNCTION("IF(ISBLANK(A421),IFERROR(1/0),IF(COUNT(FILTER(F:F,A:A=A421))&gt;1,TRUNC(N421*F421/SUM(FILTER(N:N,A:A=A421)),3),F421))"),"")</f>
        <v/>
      </c>
      <c r="K421" s="147" t="str">
        <f>IFERROR(__xludf.DUMMYFUNCTION("IF(ISBLANK(A421),IFERROR(1/0),IF(COUNT(FILTER(G:G,((A:A=A421)*(B:B=""V""))))&gt;1,TRUNC(N421*G421/SUM(FILTER(N:N,((A:A=A421)*(B:B=""V"")))),3),G421))"),"")</f>
        <v/>
      </c>
      <c r="L421" s="148" t="str">
        <f>IFERROR(__xludf.DUMMYFUNCTION("if($C421="""","""",iferror(if(row()&lt;&gt;2,INDEX(arrayformula(filter($M$2:$M420,$C$2:$C420&lt;&gt;"""",row($C$2:$C420)=max(if($C$2:$C420=C421,row($C$2:$C420),0)))) ,1),0),0))"),"")</f>
        <v/>
      </c>
      <c r="M421" s="148" t="str">
        <f t="shared" si="1"/>
        <v/>
      </c>
      <c r="N421" s="147" t="str">
        <f t="shared" si="2"/>
        <v/>
      </c>
      <c r="O421" s="147" t="str">
        <f t="shared" si="21"/>
        <v/>
      </c>
      <c r="P421" s="147" t="str">
        <f>IFERROR(__xludf.DUMMYFUNCTION("if(C421="""","""",iferror(if(row()&lt;&gt;2,INDEX(arrayformula(filter($Q$2:$Q420,$C$2:$C420&lt;&gt;"""",row($C$2:$C420)=max(if($C$2:$C420=C421,row($C$2:$C420),0)))) ,1),0),0))"),"")</f>
        <v/>
      </c>
      <c r="Q421" s="147" t="str">
        <f t="shared" si="22"/>
        <v/>
      </c>
      <c r="R421" s="147" t="str">
        <f t="shared" si="23"/>
        <v/>
      </c>
      <c r="S421" s="147" t="str">
        <f t="shared" si="24"/>
        <v/>
      </c>
      <c r="T421" s="147" t="str">
        <f t="shared" si="7"/>
        <v/>
      </c>
      <c r="U421" s="150" t="str">
        <f t="shared" si="8"/>
        <v/>
      </c>
      <c r="V421" s="151" t="str">
        <f>IFERROR(VLOOKUP(C421,Ativos!$A$1:$G2000,5,),)</f>
        <v/>
      </c>
    </row>
    <row r="422" ht="21.0" customHeight="1">
      <c r="A422" s="152"/>
      <c r="B422" s="160"/>
      <c r="C422" s="153"/>
      <c r="D422" s="154"/>
      <c r="E422" s="139"/>
      <c r="F422" s="139"/>
      <c r="G422" s="139"/>
      <c r="H422" s="135"/>
      <c r="I422" s="141"/>
      <c r="J422" s="147" t="str">
        <f>IFERROR(__xludf.DUMMYFUNCTION("IF(ISBLANK(A422),IFERROR(1/0),IF(COUNT(FILTER(F:F,A:A=A422))&gt;1,TRUNC(N422*F422/SUM(FILTER(N:N,A:A=A422)),3),F422))"),"")</f>
        <v/>
      </c>
      <c r="K422" s="147" t="str">
        <f>IFERROR(__xludf.DUMMYFUNCTION("IF(ISBLANK(A422),IFERROR(1/0),IF(COUNT(FILTER(G:G,((A:A=A422)*(B:B=""V""))))&gt;1,TRUNC(N422*G422/SUM(FILTER(N:N,((A:A=A422)*(B:B=""V"")))),3),G422))"),"")</f>
        <v/>
      </c>
      <c r="L422" s="148" t="str">
        <f>IFERROR(__xludf.DUMMYFUNCTION("if($C422="""","""",iferror(if(row()&lt;&gt;2,INDEX(arrayformula(filter($M$2:$M421,$C$2:$C421&lt;&gt;"""",row($C$2:$C421)=max(if($C$2:$C421=C422,row($C$2:$C421),0)))) ,1),0),0))"),"")</f>
        <v/>
      </c>
      <c r="M422" s="148" t="str">
        <f t="shared" si="1"/>
        <v/>
      </c>
      <c r="N422" s="147" t="str">
        <f t="shared" si="2"/>
        <v/>
      </c>
      <c r="O422" s="147" t="str">
        <f t="shared" si="21"/>
        <v/>
      </c>
      <c r="P422" s="147" t="str">
        <f>IFERROR(__xludf.DUMMYFUNCTION("if(C422="""","""",iferror(if(row()&lt;&gt;2,INDEX(arrayformula(filter($Q$2:$Q421,$C$2:$C421&lt;&gt;"""",row($C$2:$C421)=max(if($C$2:$C421=C422,row($C$2:$C421),0)))) ,1),0),0))"),"")</f>
        <v/>
      </c>
      <c r="Q422" s="147" t="str">
        <f t="shared" si="22"/>
        <v/>
      </c>
      <c r="R422" s="147" t="str">
        <f t="shared" si="23"/>
        <v/>
      </c>
      <c r="S422" s="147" t="str">
        <f t="shared" si="24"/>
        <v/>
      </c>
      <c r="T422" s="147" t="str">
        <f t="shared" si="7"/>
        <v/>
      </c>
      <c r="U422" s="150" t="str">
        <f t="shared" si="8"/>
        <v/>
      </c>
      <c r="V422" s="151" t="str">
        <f>IFERROR(VLOOKUP(C422,Ativos!$A$1:$G2000,5,),)</f>
        <v/>
      </c>
    </row>
    <row r="423" ht="21.0" customHeight="1">
      <c r="A423" s="152"/>
      <c r="B423" s="160"/>
      <c r="C423" s="153"/>
      <c r="D423" s="154"/>
      <c r="E423" s="139"/>
      <c r="F423" s="139"/>
      <c r="G423" s="139"/>
      <c r="H423" s="135"/>
      <c r="I423" s="141"/>
      <c r="J423" s="147" t="str">
        <f>IFERROR(__xludf.DUMMYFUNCTION("IF(ISBLANK(A423),IFERROR(1/0),IF(COUNT(FILTER(F:F,A:A=A423))&gt;1,TRUNC(N423*F423/SUM(FILTER(N:N,A:A=A423)),3),F423))"),"")</f>
        <v/>
      </c>
      <c r="K423" s="147" t="str">
        <f>IFERROR(__xludf.DUMMYFUNCTION("IF(ISBLANK(A423),IFERROR(1/0),IF(COUNT(FILTER(G:G,((A:A=A423)*(B:B=""V""))))&gt;1,TRUNC(N423*G423/SUM(FILTER(N:N,((A:A=A423)*(B:B=""V"")))),3),G423))"),"")</f>
        <v/>
      </c>
      <c r="L423" s="148" t="str">
        <f>IFERROR(__xludf.DUMMYFUNCTION("if($C423="""","""",iferror(if(row()&lt;&gt;2,INDEX(arrayformula(filter($M$2:$M422,$C$2:$C422&lt;&gt;"""",row($C$2:$C422)=max(if($C$2:$C422=C423,row($C$2:$C422),0)))) ,1),0),0))"),"")</f>
        <v/>
      </c>
      <c r="M423" s="148" t="str">
        <f t="shared" si="1"/>
        <v/>
      </c>
      <c r="N423" s="147" t="str">
        <f t="shared" si="2"/>
        <v/>
      </c>
      <c r="O423" s="147" t="str">
        <f t="shared" si="21"/>
        <v/>
      </c>
      <c r="P423" s="147" t="str">
        <f>IFERROR(__xludf.DUMMYFUNCTION("if(C423="""","""",iferror(if(row()&lt;&gt;2,INDEX(arrayformula(filter($Q$2:$Q422,$C$2:$C422&lt;&gt;"""",row($C$2:$C422)=max(if($C$2:$C422=C423,row($C$2:$C422),0)))) ,1),0),0))"),"")</f>
        <v/>
      </c>
      <c r="Q423" s="147" t="str">
        <f t="shared" si="22"/>
        <v/>
      </c>
      <c r="R423" s="147" t="str">
        <f t="shared" si="23"/>
        <v/>
      </c>
      <c r="S423" s="147" t="str">
        <f t="shared" si="24"/>
        <v/>
      </c>
      <c r="T423" s="147" t="str">
        <f t="shared" si="7"/>
        <v/>
      </c>
      <c r="U423" s="150" t="str">
        <f t="shared" si="8"/>
        <v/>
      </c>
      <c r="V423" s="151" t="str">
        <f>IFERROR(VLOOKUP(C423,Ativos!$A$1:$G2000,5,),)</f>
        <v/>
      </c>
    </row>
    <row r="424" ht="21.0" customHeight="1">
      <c r="A424" s="152"/>
      <c r="B424" s="160"/>
      <c r="C424" s="153"/>
      <c r="D424" s="154"/>
      <c r="E424" s="139"/>
      <c r="F424" s="139"/>
      <c r="G424" s="139"/>
      <c r="H424" s="135"/>
      <c r="I424" s="141"/>
      <c r="J424" s="147" t="str">
        <f>IFERROR(__xludf.DUMMYFUNCTION("IF(ISBLANK(A424),IFERROR(1/0),IF(COUNT(FILTER(F:F,A:A=A424))&gt;1,TRUNC(N424*F424/SUM(FILTER(N:N,A:A=A424)),3),F424))"),"")</f>
        <v/>
      </c>
      <c r="K424" s="147" t="str">
        <f>IFERROR(__xludf.DUMMYFUNCTION("IF(ISBLANK(A424),IFERROR(1/0),IF(COUNT(FILTER(G:G,((A:A=A424)*(B:B=""V""))))&gt;1,TRUNC(N424*G424/SUM(FILTER(N:N,((A:A=A424)*(B:B=""V"")))),3),G424))"),"")</f>
        <v/>
      </c>
      <c r="L424" s="148" t="str">
        <f>IFERROR(__xludf.DUMMYFUNCTION("if($C424="""","""",iferror(if(row()&lt;&gt;2,INDEX(arrayformula(filter($M$2:$M423,$C$2:$C423&lt;&gt;"""",row($C$2:$C423)=max(if($C$2:$C423=C424,row($C$2:$C423),0)))) ,1),0),0))"),"")</f>
        <v/>
      </c>
      <c r="M424" s="148" t="str">
        <f t="shared" si="1"/>
        <v/>
      </c>
      <c r="N424" s="147" t="str">
        <f t="shared" si="2"/>
        <v/>
      </c>
      <c r="O424" s="147" t="str">
        <f t="shared" si="21"/>
        <v/>
      </c>
      <c r="P424" s="147" t="str">
        <f>IFERROR(__xludf.DUMMYFUNCTION("if(C424="""","""",iferror(if(row()&lt;&gt;2,INDEX(arrayformula(filter($Q$2:$Q423,$C$2:$C423&lt;&gt;"""",row($C$2:$C423)=max(if($C$2:$C423=C424,row($C$2:$C423),0)))) ,1),0),0))"),"")</f>
        <v/>
      </c>
      <c r="Q424" s="147" t="str">
        <f t="shared" si="22"/>
        <v/>
      </c>
      <c r="R424" s="147" t="str">
        <f t="shared" si="23"/>
        <v/>
      </c>
      <c r="S424" s="147" t="str">
        <f t="shared" si="24"/>
        <v/>
      </c>
      <c r="T424" s="147" t="str">
        <f t="shared" si="7"/>
        <v/>
      </c>
      <c r="U424" s="150" t="str">
        <f t="shared" si="8"/>
        <v/>
      </c>
      <c r="V424" s="151" t="str">
        <f>IFERROR(VLOOKUP(C424,Ativos!$A$1:$G2000,5,),)</f>
        <v/>
      </c>
    </row>
    <row r="425" ht="21.0" customHeight="1">
      <c r="A425" s="152"/>
      <c r="B425" s="160"/>
      <c r="C425" s="153"/>
      <c r="D425" s="154"/>
      <c r="E425" s="139"/>
      <c r="F425" s="139"/>
      <c r="G425" s="139"/>
      <c r="H425" s="135"/>
      <c r="I425" s="141"/>
      <c r="J425" s="147" t="str">
        <f>IFERROR(__xludf.DUMMYFUNCTION("IF(ISBLANK(A425),IFERROR(1/0),IF(COUNT(FILTER(F:F,A:A=A425))&gt;1,TRUNC(N425*F425/SUM(FILTER(N:N,A:A=A425)),3),F425))"),"")</f>
        <v/>
      </c>
      <c r="K425" s="147" t="str">
        <f>IFERROR(__xludf.DUMMYFUNCTION("IF(ISBLANK(A425),IFERROR(1/0),IF(COUNT(FILTER(G:G,((A:A=A425)*(B:B=""V""))))&gt;1,TRUNC(N425*G425/SUM(FILTER(N:N,((A:A=A425)*(B:B=""V"")))),3),G425))"),"")</f>
        <v/>
      </c>
      <c r="L425" s="148" t="str">
        <f>IFERROR(__xludf.DUMMYFUNCTION("if($C425="""","""",iferror(if(row()&lt;&gt;2,INDEX(arrayformula(filter($M$2:$M424,$C$2:$C424&lt;&gt;"""",row($C$2:$C424)=max(if($C$2:$C424=C425,row($C$2:$C424),0)))) ,1),0),0))"),"")</f>
        <v/>
      </c>
      <c r="M425" s="148" t="str">
        <f t="shared" si="1"/>
        <v/>
      </c>
      <c r="N425" s="147" t="str">
        <f t="shared" si="2"/>
        <v/>
      </c>
      <c r="O425" s="147" t="str">
        <f t="shared" si="21"/>
        <v/>
      </c>
      <c r="P425" s="147" t="str">
        <f>IFERROR(__xludf.DUMMYFUNCTION("if(C425="""","""",iferror(if(row()&lt;&gt;2,INDEX(arrayformula(filter($Q$2:$Q424,$C$2:$C424&lt;&gt;"""",row($C$2:$C424)=max(if($C$2:$C424=C425,row($C$2:$C424),0)))) ,1),0),0))"),"")</f>
        <v/>
      </c>
      <c r="Q425" s="147" t="str">
        <f t="shared" si="22"/>
        <v/>
      </c>
      <c r="R425" s="147" t="str">
        <f t="shared" si="23"/>
        <v/>
      </c>
      <c r="S425" s="147" t="str">
        <f t="shared" si="24"/>
        <v/>
      </c>
      <c r="T425" s="147" t="str">
        <f t="shared" si="7"/>
        <v/>
      </c>
      <c r="U425" s="150" t="str">
        <f t="shared" si="8"/>
        <v/>
      </c>
      <c r="V425" s="151" t="str">
        <f>IFERROR(VLOOKUP(C425,Ativos!$A$1:$G2000,5,),)</f>
        <v/>
      </c>
    </row>
    <row r="426" ht="21.0" customHeight="1">
      <c r="A426" s="152"/>
      <c r="B426" s="160"/>
      <c r="C426" s="153"/>
      <c r="D426" s="154"/>
      <c r="E426" s="139"/>
      <c r="F426" s="139"/>
      <c r="G426" s="139"/>
      <c r="H426" s="135"/>
      <c r="I426" s="141"/>
      <c r="J426" s="147" t="str">
        <f>IFERROR(__xludf.DUMMYFUNCTION("IF(ISBLANK(A426),IFERROR(1/0),IF(COUNT(FILTER(F:F,A:A=A426))&gt;1,TRUNC(N426*F426/SUM(FILTER(N:N,A:A=A426)),3),F426))"),"")</f>
        <v/>
      </c>
      <c r="K426" s="147" t="str">
        <f>IFERROR(__xludf.DUMMYFUNCTION("IF(ISBLANK(A426),IFERROR(1/0),IF(COUNT(FILTER(G:G,((A:A=A426)*(B:B=""V""))))&gt;1,TRUNC(N426*G426/SUM(FILTER(N:N,((A:A=A426)*(B:B=""V"")))),3),G426))"),"")</f>
        <v/>
      </c>
      <c r="L426" s="148" t="str">
        <f>IFERROR(__xludf.DUMMYFUNCTION("if($C426="""","""",iferror(if(row()&lt;&gt;2,INDEX(arrayformula(filter($M$2:$M425,$C$2:$C425&lt;&gt;"""",row($C$2:$C425)=max(if($C$2:$C425=C426,row($C$2:$C425),0)))) ,1),0),0))"),"")</f>
        <v/>
      </c>
      <c r="M426" s="148" t="str">
        <f t="shared" si="1"/>
        <v/>
      </c>
      <c r="N426" s="147" t="str">
        <f t="shared" si="2"/>
        <v/>
      </c>
      <c r="O426" s="147" t="str">
        <f t="shared" si="21"/>
        <v/>
      </c>
      <c r="P426" s="147" t="str">
        <f>IFERROR(__xludf.DUMMYFUNCTION("if(C426="""","""",iferror(if(row()&lt;&gt;2,INDEX(arrayformula(filter($Q$2:$Q425,$C$2:$C425&lt;&gt;"""",row($C$2:$C425)=max(if($C$2:$C425=C426,row($C$2:$C425),0)))) ,1),0),0))"),"")</f>
        <v/>
      </c>
      <c r="Q426" s="147" t="str">
        <f t="shared" si="22"/>
        <v/>
      </c>
      <c r="R426" s="147" t="str">
        <f t="shared" si="23"/>
        <v/>
      </c>
      <c r="S426" s="147" t="str">
        <f t="shared" si="24"/>
        <v/>
      </c>
      <c r="T426" s="147" t="str">
        <f t="shared" si="7"/>
        <v/>
      </c>
      <c r="U426" s="150" t="str">
        <f t="shared" si="8"/>
        <v/>
      </c>
      <c r="V426" s="151" t="str">
        <f>IFERROR(VLOOKUP(C426,Ativos!$A$1:$G2000,5,),)</f>
        <v/>
      </c>
    </row>
    <row r="427" ht="21.0" customHeight="1">
      <c r="A427" s="152"/>
      <c r="B427" s="160"/>
      <c r="C427" s="153"/>
      <c r="D427" s="154"/>
      <c r="E427" s="139"/>
      <c r="F427" s="139"/>
      <c r="G427" s="139"/>
      <c r="H427" s="135"/>
      <c r="I427" s="141"/>
      <c r="J427" s="147" t="str">
        <f>IFERROR(__xludf.DUMMYFUNCTION("IF(ISBLANK(A427),IFERROR(1/0),IF(COUNT(FILTER(F:F,A:A=A427))&gt;1,TRUNC(N427*F427/SUM(FILTER(N:N,A:A=A427)),3),F427))"),"")</f>
        <v/>
      </c>
      <c r="K427" s="147" t="str">
        <f>IFERROR(__xludf.DUMMYFUNCTION("IF(ISBLANK(A427),IFERROR(1/0),IF(COUNT(FILTER(G:G,((A:A=A427)*(B:B=""V""))))&gt;1,TRUNC(N427*G427/SUM(FILTER(N:N,((A:A=A427)*(B:B=""V"")))),3),G427))"),"")</f>
        <v/>
      </c>
      <c r="L427" s="148" t="str">
        <f>IFERROR(__xludf.DUMMYFUNCTION("if($C427="""","""",iferror(if(row()&lt;&gt;2,INDEX(arrayformula(filter($M$2:$M426,$C$2:$C426&lt;&gt;"""",row($C$2:$C426)=max(if($C$2:$C426=C427,row($C$2:$C426),0)))) ,1),0),0))"),"")</f>
        <v/>
      </c>
      <c r="M427" s="148" t="str">
        <f t="shared" si="1"/>
        <v/>
      </c>
      <c r="N427" s="147" t="str">
        <f t="shared" si="2"/>
        <v/>
      </c>
      <c r="O427" s="147" t="str">
        <f t="shared" si="21"/>
        <v/>
      </c>
      <c r="P427" s="147" t="str">
        <f>IFERROR(__xludf.DUMMYFUNCTION("if(C427="""","""",iferror(if(row()&lt;&gt;2,INDEX(arrayformula(filter($Q$2:$Q426,$C$2:$C426&lt;&gt;"""",row($C$2:$C426)=max(if($C$2:$C426=C427,row($C$2:$C426),0)))) ,1),0),0))"),"")</f>
        <v/>
      </c>
      <c r="Q427" s="147" t="str">
        <f t="shared" si="22"/>
        <v/>
      </c>
      <c r="R427" s="147" t="str">
        <f t="shared" si="23"/>
        <v/>
      </c>
      <c r="S427" s="147" t="str">
        <f t="shared" si="24"/>
        <v/>
      </c>
      <c r="T427" s="147" t="str">
        <f t="shared" si="7"/>
        <v/>
      </c>
      <c r="U427" s="150" t="str">
        <f t="shared" si="8"/>
        <v/>
      </c>
      <c r="V427" s="151" t="str">
        <f>IFERROR(VLOOKUP(C427,Ativos!$A$1:$G2000,5,),)</f>
        <v/>
      </c>
    </row>
    <row r="428" ht="21.0" customHeight="1">
      <c r="A428" s="152"/>
      <c r="B428" s="160"/>
      <c r="C428" s="153"/>
      <c r="D428" s="154"/>
      <c r="E428" s="139"/>
      <c r="F428" s="139"/>
      <c r="G428" s="139"/>
      <c r="H428" s="135"/>
      <c r="I428" s="141"/>
      <c r="J428" s="147" t="str">
        <f>IFERROR(__xludf.DUMMYFUNCTION("IF(ISBLANK(A428),IFERROR(1/0),IF(COUNT(FILTER(F:F,A:A=A428))&gt;1,TRUNC(N428*F428/SUM(FILTER(N:N,A:A=A428)),3),F428))"),"")</f>
        <v/>
      </c>
      <c r="K428" s="147" t="str">
        <f>IFERROR(__xludf.DUMMYFUNCTION("IF(ISBLANK(A428),IFERROR(1/0),IF(COUNT(FILTER(G:G,((A:A=A428)*(B:B=""V""))))&gt;1,TRUNC(N428*G428/SUM(FILTER(N:N,((A:A=A428)*(B:B=""V"")))),3),G428))"),"")</f>
        <v/>
      </c>
      <c r="L428" s="148" t="str">
        <f>IFERROR(__xludf.DUMMYFUNCTION("if($C428="""","""",iferror(if(row()&lt;&gt;2,INDEX(arrayformula(filter($M$2:$M427,$C$2:$C427&lt;&gt;"""",row($C$2:$C427)=max(if($C$2:$C427=C428,row($C$2:$C427),0)))) ,1),0),0))"),"")</f>
        <v/>
      </c>
      <c r="M428" s="148" t="str">
        <f t="shared" si="1"/>
        <v/>
      </c>
      <c r="N428" s="147" t="str">
        <f t="shared" si="2"/>
        <v/>
      </c>
      <c r="O428" s="147" t="str">
        <f t="shared" si="21"/>
        <v/>
      </c>
      <c r="P428" s="147" t="str">
        <f>IFERROR(__xludf.DUMMYFUNCTION("if(C428="""","""",iferror(if(row()&lt;&gt;2,INDEX(arrayformula(filter($Q$2:$Q427,$C$2:$C427&lt;&gt;"""",row($C$2:$C427)=max(if($C$2:$C427=C428,row($C$2:$C427),0)))) ,1),0),0))"),"")</f>
        <v/>
      </c>
      <c r="Q428" s="147" t="str">
        <f t="shared" si="22"/>
        <v/>
      </c>
      <c r="R428" s="147" t="str">
        <f t="shared" si="23"/>
        <v/>
      </c>
      <c r="S428" s="147" t="str">
        <f t="shared" si="24"/>
        <v/>
      </c>
      <c r="T428" s="147" t="str">
        <f t="shared" si="7"/>
        <v/>
      </c>
      <c r="U428" s="150" t="str">
        <f t="shared" si="8"/>
        <v/>
      </c>
      <c r="V428" s="151" t="str">
        <f>IFERROR(VLOOKUP(C428,Ativos!$A$1:$G2000,5,),)</f>
        <v/>
      </c>
    </row>
    <row r="429" ht="21.0" customHeight="1">
      <c r="A429" s="152"/>
      <c r="B429" s="160"/>
      <c r="C429" s="153"/>
      <c r="D429" s="154"/>
      <c r="E429" s="139"/>
      <c r="F429" s="139"/>
      <c r="G429" s="139"/>
      <c r="H429" s="135"/>
      <c r="I429" s="141"/>
      <c r="J429" s="147" t="str">
        <f>IFERROR(__xludf.DUMMYFUNCTION("IF(ISBLANK(A429),IFERROR(1/0),IF(COUNT(FILTER(F:F,A:A=A429))&gt;1,TRUNC(N429*F429/SUM(FILTER(N:N,A:A=A429)),3),F429))"),"")</f>
        <v/>
      </c>
      <c r="K429" s="147" t="str">
        <f>IFERROR(__xludf.DUMMYFUNCTION("IF(ISBLANK(A429),IFERROR(1/0),IF(COUNT(FILTER(G:G,((A:A=A429)*(B:B=""V""))))&gt;1,TRUNC(N429*G429/SUM(FILTER(N:N,((A:A=A429)*(B:B=""V"")))),3),G429))"),"")</f>
        <v/>
      </c>
      <c r="L429" s="148" t="str">
        <f>IFERROR(__xludf.DUMMYFUNCTION("if($C429="""","""",iferror(if(row()&lt;&gt;2,INDEX(arrayformula(filter($M$2:$M428,$C$2:$C428&lt;&gt;"""",row($C$2:$C428)=max(if($C$2:$C428=C429,row($C$2:$C428),0)))) ,1),0),0))"),"")</f>
        <v/>
      </c>
      <c r="M429" s="148" t="str">
        <f t="shared" si="1"/>
        <v/>
      </c>
      <c r="N429" s="147" t="str">
        <f t="shared" si="2"/>
        <v/>
      </c>
      <c r="O429" s="147" t="str">
        <f t="shared" si="21"/>
        <v/>
      </c>
      <c r="P429" s="147" t="str">
        <f>IFERROR(__xludf.DUMMYFUNCTION("if(C429="""","""",iferror(if(row()&lt;&gt;2,INDEX(arrayformula(filter($Q$2:$Q428,$C$2:$C428&lt;&gt;"""",row($C$2:$C428)=max(if($C$2:$C428=C429,row($C$2:$C428),0)))) ,1),0),0))"),"")</f>
        <v/>
      </c>
      <c r="Q429" s="147" t="str">
        <f t="shared" si="22"/>
        <v/>
      </c>
      <c r="R429" s="147" t="str">
        <f t="shared" si="23"/>
        <v/>
      </c>
      <c r="S429" s="147" t="str">
        <f t="shared" si="24"/>
        <v/>
      </c>
      <c r="T429" s="147" t="str">
        <f t="shared" si="7"/>
        <v/>
      </c>
      <c r="U429" s="150" t="str">
        <f t="shared" si="8"/>
        <v/>
      </c>
      <c r="V429" s="151" t="str">
        <f>IFERROR(VLOOKUP(C429,Ativos!$A$1:$G2000,5,),)</f>
        <v/>
      </c>
    </row>
    <row r="430" ht="21.0" customHeight="1">
      <c r="A430" s="152"/>
      <c r="B430" s="160"/>
      <c r="C430" s="153"/>
      <c r="D430" s="154"/>
      <c r="E430" s="139"/>
      <c r="F430" s="139"/>
      <c r="G430" s="139"/>
      <c r="H430" s="135"/>
      <c r="I430" s="141"/>
      <c r="J430" s="147" t="str">
        <f>IFERROR(__xludf.DUMMYFUNCTION("IF(ISBLANK(A430),IFERROR(1/0),IF(COUNT(FILTER(F:F,A:A=A430))&gt;1,TRUNC(N430*F430/SUM(FILTER(N:N,A:A=A430)),3),F430))"),"")</f>
        <v/>
      </c>
      <c r="K430" s="147" t="str">
        <f>IFERROR(__xludf.DUMMYFUNCTION("IF(ISBLANK(A430),IFERROR(1/0),IF(COUNT(FILTER(G:G,((A:A=A430)*(B:B=""V""))))&gt;1,TRUNC(N430*G430/SUM(FILTER(N:N,((A:A=A430)*(B:B=""V"")))),3),G430))"),"")</f>
        <v/>
      </c>
      <c r="L430" s="148" t="str">
        <f>IFERROR(__xludf.DUMMYFUNCTION("if($C430="""","""",iferror(if(row()&lt;&gt;2,INDEX(arrayformula(filter($M$2:$M429,$C$2:$C429&lt;&gt;"""",row($C$2:$C429)=max(if($C$2:$C429=C430,row($C$2:$C429),0)))) ,1),0),0))"),"")</f>
        <v/>
      </c>
      <c r="M430" s="148" t="str">
        <f t="shared" si="1"/>
        <v/>
      </c>
      <c r="N430" s="147" t="str">
        <f t="shared" si="2"/>
        <v/>
      </c>
      <c r="O430" s="147" t="str">
        <f t="shared" si="21"/>
        <v/>
      </c>
      <c r="P430" s="147" t="str">
        <f>IFERROR(__xludf.DUMMYFUNCTION("if(C430="""","""",iferror(if(row()&lt;&gt;2,INDEX(arrayformula(filter($Q$2:$Q429,$C$2:$C429&lt;&gt;"""",row($C$2:$C429)=max(if($C$2:$C429=C430,row($C$2:$C429),0)))) ,1),0),0))"),"")</f>
        <v/>
      </c>
      <c r="Q430" s="147" t="str">
        <f t="shared" si="22"/>
        <v/>
      </c>
      <c r="R430" s="147" t="str">
        <f t="shared" si="23"/>
        <v/>
      </c>
      <c r="S430" s="147" t="str">
        <f t="shared" si="24"/>
        <v/>
      </c>
      <c r="T430" s="147" t="str">
        <f t="shared" si="7"/>
        <v/>
      </c>
      <c r="U430" s="150" t="str">
        <f t="shared" si="8"/>
        <v/>
      </c>
      <c r="V430" s="151" t="str">
        <f>IFERROR(VLOOKUP(C430,Ativos!$A$1:$G2000,5,),)</f>
        <v/>
      </c>
    </row>
    <row r="431" ht="21.0" customHeight="1">
      <c r="A431" s="152"/>
      <c r="B431" s="160"/>
      <c r="C431" s="153"/>
      <c r="D431" s="154"/>
      <c r="E431" s="139"/>
      <c r="F431" s="139"/>
      <c r="G431" s="139"/>
      <c r="H431" s="135"/>
      <c r="I431" s="141"/>
      <c r="J431" s="147" t="str">
        <f>IFERROR(__xludf.DUMMYFUNCTION("IF(ISBLANK(A431),IFERROR(1/0),IF(COUNT(FILTER(F:F,A:A=A431))&gt;1,TRUNC(N431*F431/SUM(FILTER(N:N,A:A=A431)),3),F431))"),"")</f>
        <v/>
      </c>
      <c r="K431" s="147" t="str">
        <f>IFERROR(__xludf.DUMMYFUNCTION("IF(ISBLANK(A431),IFERROR(1/0),IF(COUNT(FILTER(G:G,((A:A=A431)*(B:B=""V""))))&gt;1,TRUNC(N431*G431/SUM(FILTER(N:N,((A:A=A431)*(B:B=""V"")))),3),G431))"),"")</f>
        <v/>
      </c>
      <c r="L431" s="148" t="str">
        <f>IFERROR(__xludf.DUMMYFUNCTION("if($C431="""","""",iferror(if(row()&lt;&gt;2,INDEX(arrayformula(filter($M$2:$M430,$C$2:$C430&lt;&gt;"""",row($C$2:$C430)=max(if($C$2:$C430=C431,row($C$2:$C430),0)))) ,1),0),0))"),"")</f>
        <v/>
      </c>
      <c r="M431" s="148" t="str">
        <f t="shared" si="1"/>
        <v/>
      </c>
      <c r="N431" s="147" t="str">
        <f t="shared" si="2"/>
        <v/>
      </c>
      <c r="O431" s="147" t="str">
        <f t="shared" si="21"/>
        <v/>
      </c>
      <c r="P431" s="147" t="str">
        <f>IFERROR(__xludf.DUMMYFUNCTION("if(C431="""","""",iferror(if(row()&lt;&gt;2,INDEX(arrayformula(filter($Q$2:$Q430,$C$2:$C430&lt;&gt;"""",row($C$2:$C430)=max(if($C$2:$C430=C431,row($C$2:$C430),0)))) ,1),0),0))"),"")</f>
        <v/>
      </c>
      <c r="Q431" s="147" t="str">
        <f t="shared" si="22"/>
        <v/>
      </c>
      <c r="R431" s="147" t="str">
        <f t="shared" si="23"/>
        <v/>
      </c>
      <c r="S431" s="147" t="str">
        <f t="shared" si="24"/>
        <v/>
      </c>
      <c r="T431" s="147" t="str">
        <f t="shared" si="7"/>
        <v/>
      </c>
      <c r="U431" s="150" t="str">
        <f t="shared" si="8"/>
        <v/>
      </c>
      <c r="V431" s="151" t="str">
        <f>IFERROR(VLOOKUP(C431,Ativos!$A$1:$G2000,5,),)</f>
        <v/>
      </c>
    </row>
    <row r="432" ht="21.0" customHeight="1">
      <c r="A432" s="152"/>
      <c r="B432" s="160"/>
      <c r="C432" s="153"/>
      <c r="D432" s="154"/>
      <c r="E432" s="139"/>
      <c r="F432" s="139"/>
      <c r="G432" s="139"/>
      <c r="H432" s="135"/>
      <c r="I432" s="141"/>
      <c r="J432" s="147" t="str">
        <f>IFERROR(__xludf.DUMMYFUNCTION("IF(ISBLANK(A432),IFERROR(1/0),IF(COUNT(FILTER(F:F,A:A=A432))&gt;1,TRUNC(N432*F432/SUM(FILTER(N:N,A:A=A432)),3),F432))"),"")</f>
        <v/>
      </c>
      <c r="K432" s="147" t="str">
        <f>IFERROR(__xludf.DUMMYFUNCTION("IF(ISBLANK(A432),IFERROR(1/0),IF(COUNT(FILTER(G:G,((A:A=A432)*(B:B=""V""))))&gt;1,TRUNC(N432*G432/SUM(FILTER(N:N,((A:A=A432)*(B:B=""V"")))),3),G432))"),"")</f>
        <v/>
      </c>
      <c r="L432" s="148" t="str">
        <f>IFERROR(__xludf.DUMMYFUNCTION("if($C432="""","""",iferror(if(row()&lt;&gt;2,INDEX(arrayformula(filter($M$2:$M431,$C$2:$C431&lt;&gt;"""",row($C$2:$C431)=max(if($C$2:$C431=C432,row($C$2:$C431),0)))) ,1),0),0))"),"")</f>
        <v/>
      </c>
      <c r="M432" s="148" t="str">
        <f t="shared" si="1"/>
        <v/>
      </c>
      <c r="N432" s="147" t="str">
        <f t="shared" si="2"/>
        <v/>
      </c>
      <c r="O432" s="147" t="str">
        <f t="shared" si="21"/>
        <v/>
      </c>
      <c r="P432" s="147" t="str">
        <f>IFERROR(__xludf.DUMMYFUNCTION("if(C432="""","""",iferror(if(row()&lt;&gt;2,INDEX(arrayformula(filter($Q$2:$Q431,$C$2:$C431&lt;&gt;"""",row($C$2:$C431)=max(if($C$2:$C431=C432,row($C$2:$C431),0)))) ,1),0),0))"),"")</f>
        <v/>
      </c>
      <c r="Q432" s="147" t="str">
        <f t="shared" si="22"/>
        <v/>
      </c>
      <c r="R432" s="147" t="str">
        <f t="shared" si="23"/>
        <v/>
      </c>
      <c r="S432" s="147" t="str">
        <f t="shared" si="24"/>
        <v/>
      </c>
      <c r="T432" s="147" t="str">
        <f t="shared" si="7"/>
        <v/>
      </c>
      <c r="U432" s="150" t="str">
        <f t="shared" si="8"/>
        <v/>
      </c>
      <c r="V432" s="151" t="str">
        <f>IFERROR(VLOOKUP(C432,Ativos!$A$1:$G2000,5,),)</f>
        <v/>
      </c>
    </row>
    <row r="433" ht="21.0" customHeight="1">
      <c r="A433" s="152"/>
      <c r="B433" s="160"/>
      <c r="C433" s="153"/>
      <c r="D433" s="154"/>
      <c r="E433" s="139"/>
      <c r="F433" s="139"/>
      <c r="G433" s="139"/>
      <c r="H433" s="135"/>
      <c r="I433" s="141"/>
      <c r="J433" s="147" t="str">
        <f>IFERROR(__xludf.DUMMYFUNCTION("IF(ISBLANK(A433),IFERROR(1/0),IF(COUNT(FILTER(F:F,A:A=A433))&gt;1,TRUNC(N433*F433/SUM(FILTER(N:N,A:A=A433)),3),F433))"),"")</f>
        <v/>
      </c>
      <c r="K433" s="147" t="str">
        <f>IFERROR(__xludf.DUMMYFUNCTION("IF(ISBLANK(A433),IFERROR(1/0),IF(COUNT(FILTER(G:G,((A:A=A433)*(B:B=""V""))))&gt;1,TRUNC(N433*G433/SUM(FILTER(N:N,((A:A=A433)*(B:B=""V"")))),3),G433))"),"")</f>
        <v/>
      </c>
      <c r="L433" s="148" t="str">
        <f>IFERROR(__xludf.DUMMYFUNCTION("if($C433="""","""",iferror(if(row()&lt;&gt;2,INDEX(arrayformula(filter($M$2:$M432,$C$2:$C432&lt;&gt;"""",row($C$2:$C432)=max(if($C$2:$C432=C433,row($C$2:$C432),0)))) ,1),0),0))"),"")</f>
        <v/>
      </c>
      <c r="M433" s="148" t="str">
        <f t="shared" si="1"/>
        <v/>
      </c>
      <c r="N433" s="147" t="str">
        <f t="shared" si="2"/>
        <v/>
      </c>
      <c r="O433" s="147" t="str">
        <f t="shared" si="21"/>
        <v/>
      </c>
      <c r="P433" s="147" t="str">
        <f>IFERROR(__xludf.DUMMYFUNCTION("if(C433="""","""",iferror(if(row()&lt;&gt;2,INDEX(arrayformula(filter($Q$2:$Q432,$C$2:$C432&lt;&gt;"""",row($C$2:$C432)=max(if($C$2:$C432=C433,row($C$2:$C432),0)))) ,1),0),0))"),"")</f>
        <v/>
      </c>
      <c r="Q433" s="147" t="str">
        <f t="shared" si="22"/>
        <v/>
      </c>
      <c r="R433" s="147" t="str">
        <f t="shared" si="23"/>
        <v/>
      </c>
      <c r="S433" s="147" t="str">
        <f t="shared" si="24"/>
        <v/>
      </c>
      <c r="T433" s="147" t="str">
        <f t="shared" si="7"/>
        <v/>
      </c>
      <c r="U433" s="150" t="str">
        <f t="shared" si="8"/>
        <v/>
      </c>
      <c r="V433" s="151" t="str">
        <f>IFERROR(VLOOKUP(C433,Ativos!$A$1:$G2000,5,),)</f>
        <v/>
      </c>
    </row>
    <row r="434" ht="21.0" customHeight="1">
      <c r="A434" s="152"/>
      <c r="B434" s="160"/>
      <c r="C434" s="153"/>
      <c r="D434" s="154"/>
      <c r="E434" s="139"/>
      <c r="F434" s="139"/>
      <c r="G434" s="139"/>
      <c r="H434" s="135"/>
      <c r="I434" s="141"/>
      <c r="J434" s="147" t="str">
        <f>IFERROR(__xludf.DUMMYFUNCTION("IF(ISBLANK(A434),IFERROR(1/0),IF(COUNT(FILTER(F:F,A:A=A434))&gt;1,TRUNC(N434*F434/SUM(FILTER(N:N,A:A=A434)),3),F434))"),"")</f>
        <v/>
      </c>
      <c r="K434" s="147" t="str">
        <f>IFERROR(__xludf.DUMMYFUNCTION("IF(ISBLANK(A434),IFERROR(1/0),IF(COUNT(FILTER(G:G,((A:A=A434)*(B:B=""V""))))&gt;1,TRUNC(N434*G434/SUM(FILTER(N:N,((A:A=A434)*(B:B=""V"")))),3),G434))"),"")</f>
        <v/>
      </c>
      <c r="L434" s="148" t="str">
        <f>IFERROR(__xludf.DUMMYFUNCTION("if($C434="""","""",iferror(if(row()&lt;&gt;2,INDEX(arrayformula(filter($M$2:$M433,$C$2:$C433&lt;&gt;"""",row($C$2:$C433)=max(if($C$2:$C433=C434,row($C$2:$C433),0)))) ,1),0),0))"),"")</f>
        <v/>
      </c>
      <c r="M434" s="148" t="str">
        <f t="shared" si="1"/>
        <v/>
      </c>
      <c r="N434" s="147" t="str">
        <f t="shared" si="2"/>
        <v/>
      </c>
      <c r="O434" s="147" t="str">
        <f t="shared" si="21"/>
        <v/>
      </c>
      <c r="P434" s="147" t="str">
        <f>IFERROR(__xludf.DUMMYFUNCTION("if(C434="""","""",iferror(if(row()&lt;&gt;2,INDEX(arrayformula(filter($Q$2:$Q433,$C$2:$C433&lt;&gt;"""",row($C$2:$C433)=max(if($C$2:$C433=C434,row($C$2:$C433),0)))) ,1),0),0))"),"")</f>
        <v/>
      </c>
      <c r="Q434" s="147" t="str">
        <f t="shared" si="22"/>
        <v/>
      </c>
      <c r="R434" s="147" t="str">
        <f t="shared" si="23"/>
        <v/>
      </c>
      <c r="S434" s="147" t="str">
        <f t="shared" si="24"/>
        <v/>
      </c>
      <c r="T434" s="147" t="str">
        <f t="shared" si="7"/>
        <v/>
      </c>
      <c r="U434" s="150" t="str">
        <f t="shared" si="8"/>
        <v/>
      </c>
      <c r="V434" s="151" t="str">
        <f>IFERROR(VLOOKUP(C434,Ativos!$A$1:$G2000,5,),)</f>
        <v/>
      </c>
    </row>
    <row r="435" ht="21.0" customHeight="1">
      <c r="A435" s="152"/>
      <c r="B435" s="160"/>
      <c r="C435" s="153"/>
      <c r="D435" s="154"/>
      <c r="E435" s="139"/>
      <c r="F435" s="139"/>
      <c r="G435" s="139"/>
      <c r="H435" s="135"/>
      <c r="I435" s="141"/>
      <c r="J435" s="147" t="str">
        <f>IFERROR(__xludf.DUMMYFUNCTION("IF(ISBLANK(A435),IFERROR(1/0),IF(COUNT(FILTER(F:F,A:A=A435))&gt;1,TRUNC(N435*F435/SUM(FILTER(N:N,A:A=A435)),3),F435))"),"")</f>
        <v/>
      </c>
      <c r="K435" s="147" t="str">
        <f>IFERROR(__xludf.DUMMYFUNCTION("IF(ISBLANK(A435),IFERROR(1/0),IF(COUNT(FILTER(G:G,((A:A=A435)*(B:B=""V""))))&gt;1,TRUNC(N435*G435/SUM(FILTER(N:N,((A:A=A435)*(B:B=""V"")))),3),G435))"),"")</f>
        <v/>
      </c>
      <c r="L435" s="148" t="str">
        <f>IFERROR(__xludf.DUMMYFUNCTION("if($C435="""","""",iferror(if(row()&lt;&gt;2,INDEX(arrayformula(filter($M$2:$M434,$C$2:$C434&lt;&gt;"""",row($C$2:$C434)=max(if($C$2:$C434=C435,row($C$2:$C434),0)))) ,1),0),0))"),"")</f>
        <v/>
      </c>
      <c r="M435" s="148" t="str">
        <f t="shared" si="1"/>
        <v/>
      </c>
      <c r="N435" s="147" t="str">
        <f t="shared" si="2"/>
        <v/>
      </c>
      <c r="O435" s="147" t="str">
        <f t="shared" si="21"/>
        <v/>
      </c>
      <c r="P435" s="147" t="str">
        <f>IFERROR(__xludf.DUMMYFUNCTION("if(C435="""","""",iferror(if(row()&lt;&gt;2,INDEX(arrayformula(filter($Q$2:$Q434,$C$2:$C434&lt;&gt;"""",row($C$2:$C434)=max(if($C$2:$C434=C435,row($C$2:$C434),0)))) ,1),0),0))"),"")</f>
        <v/>
      </c>
      <c r="Q435" s="147" t="str">
        <f t="shared" si="22"/>
        <v/>
      </c>
      <c r="R435" s="147" t="str">
        <f t="shared" si="23"/>
        <v/>
      </c>
      <c r="S435" s="147" t="str">
        <f t="shared" si="24"/>
        <v/>
      </c>
      <c r="T435" s="147" t="str">
        <f t="shared" si="7"/>
        <v/>
      </c>
      <c r="U435" s="150" t="str">
        <f t="shared" si="8"/>
        <v/>
      </c>
      <c r="V435" s="151" t="str">
        <f>IFERROR(VLOOKUP(C435,Ativos!$A$1:$G2000,5,),)</f>
        <v/>
      </c>
    </row>
    <row r="436" ht="21.0" customHeight="1">
      <c r="A436" s="152"/>
      <c r="B436" s="160"/>
      <c r="C436" s="153"/>
      <c r="D436" s="154"/>
      <c r="E436" s="139"/>
      <c r="F436" s="139"/>
      <c r="G436" s="139"/>
      <c r="H436" s="135"/>
      <c r="I436" s="141"/>
      <c r="J436" s="147" t="str">
        <f>IFERROR(__xludf.DUMMYFUNCTION("IF(ISBLANK(A436),IFERROR(1/0),IF(COUNT(FILTER(F:F,A:A=A436))&gt;1,TRUNC(N436*F436/SUM(FILTER(N:N,A:A=A436)),3),F436))"),"")</f>
        <v/>
      </c>
      <c r="K436" s="147" t="str">
        <f>IFERROR(__xludf.DUMMYFUNCTION("IF(ISBLANK(A436),IFERROR(1/0),IF(COUNT(FILTER(G:G,((A:A=A436)*(B:B=""V""))))&gt;1,TRUNC(N436*G436/SUM(FILTER(N:N,((A:A=A436)*(B:B=""V"")))),3),G436))"),"")</f>
        <v/>
      </c>
      <c r="L436" s="148" t="str">
        <f>IFERROR(__xludf.DUMMYFUNCTION("if($C436="""","""",iferror(if(row()&lt;&gt;2,INDEX(arrayformula(filter($M$2:$M435,$C$2:$C435&lt;&gt;"""",row($C$2:$C435)=max(if($C$2:$C435=C436,row($C$2:$C435),0)))) ,1),0),0))"),"")</f>
        <v/>
      </c>
      <c r="M436" s="148" t="str">
        <f t="shared" si="1"/>
        <v/>
      </c>
      <c r="N436" s="147" t="str">
        <f t="shared" si="2"/>
        <v/>
      </c>
      <c r="O436" s="147" t="str">
        <f t="shared" si="21"/>
        <v/>
      </c>
      <c r="P436" s="147" t="str">
        <f>IFERROR(__xludf.DUMMYFUNCTION("if(C436="""","""",iferror(if(row()&lt;&gt;2,INDEX(arrayformula(filter($Q$2:$Q435,$C$2:$C435&lt;&gt;"""",row($C$2:$C435)=max(if($C$2:$C435=C436,row($C$2:$C435),0)))) ,1),0),0))"),"")</f>
        <v/>
      </c>
      <c r="Q436" s="147" t="str">
        <f t="shared" si="22"/>
        <v/>
      </c>
      <c r="R436" s="147" t="str">
        <f t="shared" si="23"/>
        <v/>
      </c>
      <c r="S436" s="147" t="str">
        <f t="shared" si="24"/>
        <v/>
      </c>
      <c r="T436" s="147" t="str">
        <f t="shared" si="7"/>
        <v/>
      </c>
      <c r="U436" s="150" t="str">
        <f t="shared" si="8"/>
        <v/>
      </c>
      <c r="V436" s="151" t="str">
        <f>IFERROR(VLOOKUP(C436,Ativos!$A$1:$G2000,5,),)</f>
        <v/>
      </c>
    </row>
    <row r="437" ht="21.0" customHeight="1">
      <c r="A437" s="152"/>
      <c r="B437" s="160"/>
      <c r="C437" s="153"/>
      <c r="D437" s="154"/>
      <c r="E437" s="139"/>
      <c r="F437" s="139"/>
      <c r="G437" s="139"/>
      <c r="H437" s="135"/>
      <c r="I437" s="141"/>
      <c r="J437" s="147" t="str">
        <f>IFERROR(__xludf.DUMMYFUNCTION("IF(ISBLANK(A437),IFERROR(1/0),IF(COUNT(FILTER(F:F,A:A=A437))&gt;1,TRUNC(N437*F437/SUM(FILTER(N:N,A:A=A437)),3),F437))"),"")</f>
        <v/>
      </c>
      <c r="K437" s="147" t="str">
        <f>IFERROR(__xludf.DUMMYFUNCTION("IF(ISBLANK(A437),IFERROR(1/0),IF(COUNT(FILTER(G:G,((A:A=A437)*(B:B=""V""))))&gt;1,TRUNC(N437*G437/SUM(FILTER(N:N,((A:A=A437)*(B:B=""V"")))),3),G437))"),"")</f>
        <v/>
      </c>
      <c r="L437" s="148" t="str">
        <f>IFERROR(__xludf.DUMMYFUNCTION("if($C437="""","""",iferror(if(row()&lt;&gt;2,INDEX(arrayformula(filter($M$2:$M436,$C$2:$C436&lt;&gt;"""",row($C$2:$C436)=max(if($C$2:$C436=C437,row($C$2:$C436),0)))) ,1),0),0))"),"")</f>
        <v/>
      </c>
      <c r="M437" s="148" t="str">
        <f t="shared" si="1"/>
        <v/>
      </c>
      <c r="N437" s="147" t="str">
        <f t="shared" si="2"/>
        <v/>
      </c>
      <c r="O437" s="147" t="str">
        <f t="shared" si="21"/>
        <v/>
      </c>
      <c r="P437" s="147" t="str">
        <f>IFERROR(__xludf.DUMMYFUNCTION("if(C437="""","""",iferror(if(row()&lt;&gt;2,INDEX(arrayformula(filter($Q$2:$Q436,$C$2:$C436&lt;&gt;"""",row($C$2:$C436)=max(if($C$2:$C436=C437,row($C$2:$C436),0)))) ,1),0),0))"),"")</f>
        <v/>
      </c>
      <c r="Q437" s="147" t="str">
        <f t="shared" si="22"/>
        <v/>
      </c>
      <c r="R437" s="147" t="str">
        <f t="shared" si="23"/>
        <v/>
      </c>
      <c r="S437" s="147" t="str">
        <f t="shared" si="24"/>
        <v/>
      </c>
      <c r="T437" s="147" t="str">
        <f t="shared" si="7"/>
        <v/>
      </c>
      <c r="U437" s="150" t="str">
        <f t="shared" si="8"/>
        <v/>
      </c>
      <c r="V437" s="151" t="str">
        <f>IFERROR(VLOOKUP(C437,Ativos!$A$1:$G2000,5,),)</f>
        <v/>
      </c>
    </row>
    <row r="438" ht="21.0" customHeight="1">
      <c r="A438" s="152"/>
      <c r="B438" s="160"/>
      <c r="C438" s="153"/>
      <c r="D438" s="154"/>
      <c r="E438" s="139"/>
      <c r="F438" s="139"/>
      <c r="G438" s="139"/>
      <c r="H438" s="135"/>
      <c r="I438" s="141"/>
      <c r="J438" s="147" t="str">
        <f>IFERROR(__xludf.DUMMYFUNCTION("IF(ISBLANK(A438),IFERROR(1/0),IF(COUNT(FILTER(F:F,A:A=A438))&gt;1,TRUNC(N438*F438/SUM(FILTER(N:N,A:A=A438)),3),F438))"),"")</f>
        <v/>
      </c>
      <c r="K438" s="147" t="str">
        <f>IFERROR(__xludf.DUMMYFUNCTION("IF(ISBLANK(A438),IFERROR(1/0),IF(COUNT(FILTER(G:G,((A:A=A438)*(B:B=""V""))))&gt;1,TRUNC(N438*G438/SUM(FILTER(N:N,((A:A=A438)*(B:B=""V"")))),3),G438))"),"")</f>
        <v/>
      </c>
      <c r="L438" s="148" t="str">
        <f>IFERROR(__xludf.DUMMYFUNCTION("if($C438="""","""",iferror(if(row()&lt;&gt;2,INDEX(arrayformula(filter($M$2:$M437,$C$2:$C437&lt;&gt;"""",row($C$2:$C437)=max(if($C$2:$C437=C438,row($C$2:$C437),0)))) ,1),0),0))"),"")</f>
        <v/>
      </c>
      <c r="M438" s="148" t="str">
        <f t="shared" si="1"/>
        <v/>
      </c>
      <c r="N438" s="147" t="str">
        <f t="shared" si="2"/>
        <v/>
      </c>
      <c r="O438" s="147" t="str">
        <f t="shared" si="21"/>
        <v/>
      </c>
      <c r="P438" s="147" t="str">
        <f>IFERROR(__xludf.DUMMYFUNCTION("if(C438="""","""",iferror(if(row()&lt;&gt;2,INDEX(arrayformula(filter($Q$2:$Q437,$C$2:$C437&lt;&gt;"""",row($C$2:$C437)=max(if($C$2:$C437=C438,row($C$2:$C437),0)))) ,1),0),0))"),"")</f>
        <v/>
      </c>
      <c r="Q438" s="147" t="str">
        <f t="shared" si="22"/>
        <v/>
      </c>
      <c r="R438" s="147" t="str">
        <f t="shared" si="23"/>
        <v/>
      </c>
      <c r="S438" s="147" t="str">
        <f t="shared" si="24"/>
        <v/>
      </c>
      <c r="T438" s="147" t="str">
        <f t="shared" si="7"/>
        <v/>
      </c>
      <c r="U438" s="150" t="str">
        <f t="shared" si="8"/>
        <v/>
      </c>
      <c r="V438" s="151" t="str">
        <f>IFERROR(VLOOKUP(C438,Ativos!$A$1:$G2000,5,),)</f>
        <v/>
      </c>
    </row>
    <row r="439" ht="21.0" customHeight="1">
      <c r="A439" s="152"/>
      <c r="B439" s="160"/>
      <c r="C439" s="153"/>
      <c r="D439" s="154"/>
      <c r="E439" s="139"/>
      <c r="F439" s="139"/>
      <c r="G439" s="139"/>
      <c r="H439" s="135"/>
      <c r="I439" s="141"/>
      <c r="J439" s="147" t="str">
        <f>IFERROR(__xludf.DUMMYFUNCTION("IF(ISBLANK(A439),IFERROR(1/0),IF(COUNT(FILTER(F:F,A:A=A439))&gt;1,TRUNC(N439*F439/SUM(FILTER(N:N,A:A=A439)),3),F439))"),"")</f>
        <v/>
      </c>
      <c r="K439" s="147" t="str">
        <f>IFERROR(__xludf.DUMMYFUNCTION("IF(ISBLANK(A439),IFERROR(1/0),IF(COUNT(FILTER(G:G,((A:A=A439)*(B:B=""V""))))&gt;1,TRUNC(N439*G439/SUM(FILTER(N:N,((A:A=A439)*(B:B=""V"")))),3),G439))"),"")</f>
        <v/>
      </c>
      <c r="L439" s="148" t="str">
        <f>IFERROR(__xludf.DUMMYFUNCTION("if($C439="""","""",iferror(if(row()&lt;&gt;2,INDEX(arrayformula(filter($M$2:$M438,$C$2:$C438&lt;&gt;"""",row($C$2:$C438)=max(if($C$2:$C438=C439,row($C$2:$C438),0)))) ,1),0),0))"),"")</f>
        <v/>
      </c>
      <c r="M439" s="148" t="str">
        <f t="shared" si="1"/>
        <v/>
      </c>
      <c r="N439" s="147" t="str">
        <f t="shared" si="2"/>
        <v/>
      </c>
      <c r="O439" s="147" t="str">
        <f t="shared" si="21"/>
        <v/>
      </c>
      <c r="P439" s="147" t="str">
        <f>IFERROR(__xludf.DUMMYFUNCTION("if(C439="""","""",iferror(if(row()&lt;&gt;2,INDEX(arrayformula(filter($Q$2:$Q438,$C$2:$C438&lt;&gt;"""",row($C$2:$C438)=max(if($C$2:$C438=C439,row($C$2:$C438),0)))) ,1),0),0))"),"")</f>
        <v/>
      </c>
      <c r="Q439" s="147" t="str">
        <f t="shared" si="22"/>
        <v/>
      </c>
      <c r="R439" s="147" t="str">
        <f t="shared" si="23"/>
        <v/>
      </c>
      <c r="S439" s="147" t="str">
        <f t="shared" si="24"/>
        <v/>
      </c>
      <c r="T439" s="147" t="str">
        <f t="shared" si="7"/>
        <v/>
      </c>
      <c r="U439" s="150" t="str">
        <f t="shared" si="8"/>
        <v/>
      </c>
      <c r="V439" s="151" t="str">
        <f>IFERROR(VLOOKUP(C439,Ativos!$A$1:$G2000,5,),)</f>
        <v/>
      </c>
    </row>
    <row r="440" ht="21.0" customHeight="1">
      <c r="A440" s="152"/>
      <c r="B440" s="160"/>
      <c r="C440" s="153"/>
      <c r="D440" s="154"/>
      <c r="E440" s="139"/>
      <c r="F440" s="139"/>
      <c r="G440" s="139"/>
      <c r="H440" s="135"/>
      <c r="I440" s="141"/>
      <c r="J440" s="147" t="str">
        <f>IFERROR(__xludf.DUMMYFUNCTION("IF(ISBLANK(A440),IFERROR(1/0),IF(COUNT(FILTER(F:F,A:A=A440))&gt;1,TRUNC(N440*F440/SUM(FILTER(N:N,A:A=A440)),3),F440))"),"")</f>
        <v/>
      </c>
      <c r="K440" s="147" t="str">
        <f>IFERROR(__xludf.DUMMYFUNCTION("IF(ISBLANK(A440),IFERROR(1/0),IF(COUNT(FILTER(G:G,((A:A=A440)*(B:B=""V""))))&gt;1,TRUNC(N440*G440/SUM(FILTER(N:N,((A:A=A440)*(B:B=""V"")))),3),G440))"),"")</f>
        <v/>
      </c>
      <c r="L440" s="148" t="str">
        <f>IFERROR(__xludf.DUMMYFUNCTION("if($C440="""","""",iferror(if(row()&lt;&gt;2,INDEX(arrayformula(filter($M$2:$M439,$C$2:$C439&lt;&gt;"""",row($C$2:$C439)=max(if($C$2:$C439=C440,row($C$2:$C439),0)))) ,1),0),0))"),"")</f>
        <v/>
      </c>
      <c r="M440" s="148" t="str">
        <f t="shared" si="1"/>
        <v/>
      </c>
      <c r="N440" s="147" t="str">
        <f t="shared" si="2"/>
        <v/>
      </c>
      <c r="O440" s="147" t="str">
        <f t="shared" si="21"/>
        <v/>
      </c>
      <c r="P440" s="147" t="str">
        <f>IFERROR(__xludf.DUMMYFUNCTION("if(C440="""","""",iferror(if(row()&lt;&gt;2,INDEX(arrayformula(filter($Q$2:$Q439,$C$2:$C439&lt;&gt;"""",row($C$2:$C439)=max(if($C$2:$C439=C440,row($C$2:$C439),0)))) ,1),0),0))"),"")</f>
        <v/>
      </c>
      <c r="Q440" s="147" t="str">
        <f t="shared" si="22"/>
        <v/>
      </c>
      <c r="R440" s="147" t="str">
        <f t="shared" si="23"/>
        <v/>
      </c>
      <c r="S440" s="147" t="str">
        <f t="shared" si="24"/>
        <v/>
      </c>
      <c r="T440" s="147" t="str">
        <f t="shared" si="7"/>
        <v/>
      </c>
      <c r="U440" s="150" t="str">
        <f t="shared" si="8"/>
        <v/>
      </c>
      <c r="V440" s="151" t="str">
        <f>IFERROR(VLOOKUP(C440,Ativos!$A$1:$G2000,5,),)</f>
        <v/>
      </c>
    </row>
    <row r="441" ht="21.0" customHeight="1">
      <c r="A441" s="152"/>
      <c r="B441" s="160"/>
      <c r="C441" s="153"/>
      <c r="D441" s="154"/>
      <c r="E441" s="139"/>
      <c r="F441" s="139"/>
      <c r="G441" s="139"/>
      <c r="H441" s="135"/>
      <c r="I441" s="141"/>
      <c r="J441" s="147" t="str">
        <f>IFERROR(__xludf.DUMMYFUNCTION("IF(ISBLANK(A441),IFERROR(1/0),IF(COUNT(FILTER(F:F,A:A=A441))&gt;1,TRUNC(N441*F441/SUM(FILTER(N:N,A:A=A441)),3),F441))"),"")</f>
        <v/>
      </c>
      <c r="K441" s="147" t="str">
        <f>IFERROR(__xludf.DUMMYFUNCTION("IF(ISBLANK(A441),IFERROR(1/0),IF(COUNT(FILTER(G:G,((A:A=A441)*(B:B=""V""))))&gt;1,TRUNC(N441*G441/SUM(FILTER(N:N,((A:A=A441)*(B:B=""V"")))),3),G441))"),"")</f>
        <v/>
      </c>
      <c r="L441" s="148" t="str">
        <f>IFERROR(__xludf.DUMMYFUNCTION("if($C441="""","""",iferror(if(row()&lt;&gt;2,INDEX(arrayformula(filter($M$2:$M440,$C$2:$C440&lt;&gt;"""",row($C$2:$C440)=max(if($C$2:$C440=C441,row($C$2:$C440),0)))) ,1),0),0))"),"")</f>
        <v/>
      </c>
      <c r="M441" s="148" t="str">
        <f t="shared" si="1"/>
        <v/>
      </c>
      <c r="N441" s="147" t="str">
        <f t="shared" si="2"/>
        <v/>
      </c>
      <c r="O441" s="147" t="str">
        <f t="shared" si="21"/>
        <v/>
      </c>
      <c r="P441" s="147" t="str">
        <f>IFERROR(__xludf.DUMMYFUNCTION("if(C441="""","""",iferror(if(row()&lt;&gt;2,INDEX(arrayformula(filter($Q$2:$Q440,$C$2:$C440&lt;&gt;"""",row($C$2:$C440)=max(if($C$2:$C440=C441,row($C$2:$C440),0)))) ,1),0),0))"),"")</f>
        <v/>
      </c>
      <c r="Q441" s="147" t="str">
        <f t="shared" si="22"/>
        <v/>
      </c>
      <c r="R441" s="147" t="str">
        <f t="shared" si="23"/>
        <v/>
      </c>
      <c r="S441" s="147" t="str">
        <f t="shared" si="24"/>
        <v/>
      </c>
      <c r="T441" s="147" t="str">
        <f t="shared" si="7"/>
        <v/>
      </c>
      <c r="U441" s="150" t="str">
        <f t="shared" si="8"/>
        <v/>
      </c>
      <c r="V441" s="151" t="str">
        <f>IFERROR(VLOOKUP(C441,Ativos!$A$1:$G2000,5,),)</f>
        <v/>
      </c>
    </row>
    <row r="442" ht="21.0" customHeight="1">
      <c r="A442" s="152"/>
      <c r="B442" s="160"/>
      <c r="C442" s="153"/>
      <c r="D442" s="154"/>
      <c r="E442" s="139"/>
      <c r="F442" s="139"/>
      <c r="G442" s="139"/>
      <c r="H442" s="135"/>
      <c r="I442" s="141"/>
      <c r="J442" s="147" t="str">
        <f>IFERROR(__xludf.DUMMYFUNCTION("IF(ISBLANK(A442),IFERROR(1/0),IF(COUNT(FILTER(F:F,A:A=A442))&gt;1,TRUNC(N442*F442/SUM(FILTER(N:N,A:A=A442)),3),F442))"),"")</f>
        <v/>
      </c>
      <c r="K442" s="147" t="str">
        <f>IFERROR(__xludf.DUMMYFUNCTION("IF(ISBLANK(A442),IFERROR(1/0),IF(COUNT(FILTER(G:G,((A:A=A442)*(B:B=""V""))))&gt;1,TRUNC(N442*G442/SUM(FILTER(N:N,((A:A=A442)*(B:B=""V"")))),3),G442))"),"")</f>
        <v/>
      </c>
      <c r="L442" s="148" t="str">
        <f>IFERROR(__xludf.DUMMYFUNCTION("if($C442="""","""",iferror(if(row()&lt;&gt;2,INDEX(arrayformula(filter($M$2:$M441,$C$2:$C441&lt;&gt;"""",row($C$2:$C441)=max(if($C$2:$C441=C442,row($C$2:$C441),0)))) ,1),0),0))"),"")</f>
        <v/>
      </c>
      <c r="M442" s="148" t="str">
        <f t="shared" si="1"/>
        <v/>
      </c>
      <c r="N442" s="147" t="str">
        <f t="shared" si="2"/>
        <v/>
      </c>
      <c r="O442" s="147" t="str">
        <f t="shared" si="21"/>
        <v/>
      </c>
      <c r="P442" s="147" t="str">
        <f>IFERROR(__xludf.DUMMYFUNCTION("if(C442="""","""",iferror(if(row()&lt;&gt;2,INDEX(arrayformula(filter($Q$2:$Q441,$C$2:$C441&lt;&gt;"""",row($C$2:$C441)=max(if($C$2:$C441=C442,row($C$2:$C441),0)))) ,1),0),0))"),"")</f>
        <v/>
      </c>
      <c r="Q442" s="147" t="str">
        <f t="shared" si="22"/>
        <v/>
      </c>
      <c r="R442" s="147" t="str">
        <f t="shared" si="23"/>
        <v/>
      </c>
      <c r="S442" s="147" t="str">
        <f t="shared" si="24"/>
        <v/>
      </c>
      <c r="T442" s="147" t="str">
        <f t="shared" si="7"/>
        <v/>
      </c>
      <c r="U442" s="150" t="str">
        <f t="shared" si="8"/>
        <v/>
      </c>
      <c r="V442" s="151" t="str">
        <f>IFERROR(VLOOKUP(C442,Ativos!$A$1:$G2000,5,),)</f>
        <v/>
      </c>
    </row>
    <row r="443" ht="21.0" customHeight="1">
      <c r="A443" s="152"/>
      <c r="B443" s="160"/>
      <c r="C443" s="153"/>
      <c r="D443" s="154"/>
      <c r="E443" s="139"/>
      <c r="F443" s="139"/>
      <c r="G443" s="139"/>
      <c r="H443" s="135"/>
      <c r="I443" s="141"/>
      <c r="J443" s="147" t="str">
        <f>IFERROR(__xludf.DUMMYFUNCTION("IF(ISBLANK(A443),IFERROR(1/0),IF(COUNT(FILTER(F:F,A:A=A443))&gt;1,TRUNC(N443*F443/SUM(FILTER(N:N,A:A=A443)),3),F443))"),"")</f>
        <v/>
      </c>
      <c r="K443" s="147" t="str">
        <f>IFERROR(__xludf.DUMMYFUNCTION("IF(ISBLANK(A443),IFERROR(1/0),IF(COUNT(FILTER(G:G,((A:A=A443)*(B:B=""V""))))&gt;1,TRUNC(N443*G443/SUM(FILTER(N:N,((A:A=A443)*(B:B=""V"")))),3),G443))"),"")</f>
        <v/>
      </c>
      <c r="L443" s="148" t="str">
        <f>IFERROR(__xludf.DUMMYFUNCTION("if($C443="""","""",iferror(if(row()&lt;&gt;2,INDEX(arrayformula(filter($M$2:$M442,$C$2:$C442&lt;&gt;"""",row($C$2:$C442)=max(if($C$2:$C442=C443,row($C$2:$C442),0)))) ,1),0),0))"),"")</f>
        <v/>
      </c>
      <c r="M443" s="148" t="str">
        <f t="shared" si="1"/>
        <v/>
      </c>
      <c r="N443" s="147" t="str">
        <f t="shared" si="2"/>
        <v/>
      </c>
      <c r="O443" s="147" t="str">
        <f t="shared" si="21"/>
        <v/>
      </c>
      <c r="P443" s="147" t="str">
        <f>IFERROR(__xludf.DUMMYFUNCTION("if(C443="""","""",iferror(if(row()&lt;&gt;2,INDEX(arrayformula(filter($Q$2:$Q442,$C$2:$C442&lt;&gt;"""",row($C$2:$C442)=max(if($C$2:$C442=C443,row($C$2:$C442),0)))) ,1),0),0))"),"")</f>
        <v/>
      </c>
      <c r="Q443" s="147" t="str">
        <f t="shared" si="22"/>
        <v/>
      </c>
      <c r="R443" s="147" t="str">
        <f t="shared" si="23"/>
        <v/>
      </c>
      <c r="S443" s="147" t="str">
        <f t="shared" si="24"/>
        <v/>
      </c>
      <c r="T443" s="147" t="str">
        <f t="shared" si="7"/>
        <v/>
      </c>
      <c r="U443" s="150" t="str">
        <f t="shared" si="8"/>
        <v/>
      </c>
      <c r="V443" s="151" t="str">
        <f>IFERROR(VLOOKUP(C443,Ativos!$A$1:$G2000,5,),)</f>
        <v/>
      </c>
    </row>
    <row r="444" ht="21.0" customHeight="1">
      <c r="A444" s="152"/>
      <c r="B444" s="160"/>
      <c r="C444" s="153"/>
      <c r="D444" s="154"/>
      <c r="E444" s="139"/>
      <c r="F444" s="139"/>
      <c r="G444" s="139"/>
      <c r="H444" s="135"/>
      <c r="I444" s="141"/>
      <c r="J444" s="147" t="str">
        <f>IFERROR(__xludf.DUMMYFUNCTION("IF(ISBLANK(A444),IFERROR(1/0),IF(COUNT(FILTER(F:F,A:A=A444))&gt;1,TRUNC(N444*F444/SUM(FILTER(N:N,A:A=A444)),3),F444))"),"")</f>
        <v/>
      </c>
      <c r="K444" s="147" t="str">
        <f>IFERROR(__xludf.DUMMYFUNCTION("IF(ISBLANK(A444),IFERROR(1/0),IF(COUNT(FILTER(G:G,((A:A=A444)*(B:B=""V""))))&gt;1,TRUNC(N444*G444/SUM(FILTER(N:N,((A:A=A444)*(B:B=""V"")))),3),G444))"),"")</f>
        <v/>
      </c>
      <c r="L444" s="148" t="str">
        <f>IFERROR(__xludf.DUMMYFUNCTION("if($C444="""","""",iferror(if(row()&lt;&gt;2,INDEX(arrayformula(filter($M$2:$M443,$C$2:$C443&lt;&gt;"""",row($C$2:$C443)=max(if($C$2:$C443=C444,row($C$2:$C443),0)))) ,1),0),0))"),"")</f>
        <v/>
      </c>
      <c r="M444" s="148" t="str">
        <f t="shared" si="1"/>
        <v/>
      </c>
      <c r="N444" s="147" t="str">
        <f t="shared" si="2"/>
        <v/>
      </c>
      <c r="O444" s="147" t="str">
        <f t="shared" si="21"/>
        <v/>
      </c>
      <c r="P444" s="147" t="str">
        <f>IFERROR(__xludf.DUMMYFUNCTION("if(C444="""","""",iferror(if(row()&lt;&gt;2,INDEX(arrayformula(filter($Q$2:$Q443,$C$2:$C443&lt;&gt;"""",row($C$2:$C443)=max(if($C$2:$C443=C444,row($C$2:$C443),0)))) ,1),0),0))"),"")</f>
        <v/>
      </c>
      <c r="Q444" s="147" t="str">
        <f t="shared" si="22"/>
        <v/>
      </c>
      <c r="R444" s="147" t="str">
        <f t="shared" si="23"/>
        <v/>
      </c>
      <c r="S444" s="147" t="str">
        <f t="shared" si="24"/>
        <v/>
      </c>
      <c r="T444" s="147" t="str">
        <f t="shared" si="7"/>
        <v/>
      </c>
      <c r="U444" s="150" t="str">
        <f t="shared" si="8"/>
        <v/>
      </c>
      <c r="V444" s="151" t="str">
        <f>IFERROR(VLOOKUP(C444,Ativos!$A$1:$G2000,5,),)</f>
        <v/>
      </c>
    </row>
    <row r="445" ht="21.0" customHeight="1">
      <c r="A445" s="152"/>
      <c r="B445" s="160"/>
      <c r="C445" s="153"/>
      <c r="D445" s="154"/>
      <c r="E445" s="139"/>
      <c r="F445" s="139"/>
      <c r="G445" s="139"/>
      <c r="H445" s="135"/>
      <c r="I445" s="141"/>
      <c r="J445" s="147" t="str">
        <f>IFERROR(__xludf.DUMMYFUNCTION("IF(ISBLANK(A445),IFERROR(1/0),IF(COUNT(FILTER(F:F,A:A=A445))&gt;1,TRUNC(N445*F445/SUM(FILTER(N:N,A:A=A445)),3),F445))"),"")</f>
        <v/>
      </c>
      <c r="K445" s="147" t="str">
        <f>IFERROR(__xludf.DUMMYFUNCTION("IF(ISBLANK(A445),IFERROR(1/0),IF(COUNT(FILTER(G:G,((A:A=A445)*(B:B=""V""))))&gt;1,TRUNC(N445*G445/SUM(FILTER(N:N,((A:A=A445)*(B:B=""V"")))),3),G445))"),"")</f>
        <v/>
      </c>
      <c r="L445" s="148" t="str">
        <f>IFERROR(__xludf.DUMMYFUNCTION("if($C445="""","""",iferror(if(row()&lt;&gt;2,INDEX(arrayformula(filter($M$2:$M444,$C$2:$C444&lt;&gt;"""",row($C$2:$C444)=max(if($C$2:$C444=C445,row($C$2:$C444),0)))) ,1),0),0))"),"")</f>
        <v/>
      </c>
      <c r="M445" s="148" t="str">
        <f t="shared" si="1"/>
        <v/>
      </c>
      <c r="N445" s="147" t="str">
        <f t="shared" si="2"/>
        <v/>
      </c>
      <c r="O445" s="147" t="str">
        <f t="shared" si="21"/>
        <v/>
      </c>
      <c r="P445" s="147" t="str">
        <f>IFERROR(__xludf.DUMMYFUNCTION("if(C445="""","""",iferror(if(row()&lt;&gt;2,INDEX(arrayformula(filter($Q$2:$Q444,$C$2:$C444&lt;&gt;"""",row($C$2:$C444)=max(if($C$2:$C444=C445,row($C$2:$C444),0)))) ,1),0),0))"),"")</f>
        <v/>
      </c>
      <c r="Q445" s="147" t="str">
        <f t="shared" si="22"/>
        <v/>
      </c>
      <c r="R445" s="147" t="str">
        <f t="shared" si="23"/>
        <v/>
      </c>
      <c r="S445" s="147" t="str">
        <f t="shared" si="24"/>
        <v/>
      </c>
      <c r="T445" s="147" t="str">
        <f t="shared" si="7"/>
        <v/>
      </c>
      <c r="U445" s="150" t="str">
        <f t="shared" si="8"/>
        <v/>
      </c>
      <c r="V445" s="151" t="str">
        <f>IFERROR(VLOOKUP(C445,Ativos!$A$1:$G2000,5,),)</f>
        <v/>
      </c>
    </row>
    <row r="446" ht="21.0" customHeight="1">
      <c r="A446" s="152"/>
      <c r="B446" s="160"/>
      <c r="C446" s="153"/>
      <c r="D446" s="154"/>
      <c r="E446" s="139"/>
      <c r="F446" s="139"/>
      <c r="G446" s="139"/>
      <c r="H446" s="135"/>
      <c r="I446" s="141"/>
      <c r="J446" s="147" t="str">
        <f>IFERROR(__xludf.DUMMYFUNCTION("IF(ISBLANK(A446),IFERROR(1/0),IF(COUNT(FILTER(F:F,A:A=A446))&gt;1,TRUNC(N446*F446/SUM(FILTER(N:N,A:A=A446)),3),F446))"),"")</f>
        <v/>
      </c>
      <c r="K446" s="147" t="str">
        <f>IFERROR(__xludf.DUMMYFUNCTION("IF(ISBLANK(A446),IFERROR(1/0),IF(COUNT(FILTER(G:G,((A:A=A446)*(B:B=""V""))))&gt;1,TRUNC(N446*G446/SUM(FILTER(N:N,((A:A=A446)*(B:B=""V"")))),3),G446))"),"")</f>
        <v/>
      </c>
      <c r="L446" s="148" t="str">
        <f>IFERROR(__xludf.DUMMYFUNCTION("if($C446="""","""",iferror(if(row()&lt;&gt;2,INDEX(arrayformula(filter($M$2:$M445,$C$2:$C445&lt;&gt;"""",row($C$2:$C445)=max(if($C$2:$C445=C446,row($C$2:$C445),0)))) ,1),0),0))"),"")</f>
        <v/>
      </c>
      <c r="M446" s="148" t="str">
        <f t="shared" si="1"/>
        <v/>
      </c>
      <c r="N446" s="147" t="str">
        <f t="shared" si="2"/>
        <v/>
      </c>
      <c r="O446" s="147" t="str">
        <f t="shared" si="21"/>
        <v/>
      </c>
      <c r="P446" s="147" t="str">
        <f>IFERROR(__xludf.DUMMYFUNCTION("if(C446="""","""",iferror(if(row()&lt;&gt;2,INDEX(arrayformula(filter($Q$2:$Q445,$C$2:$C445&lt;&gt;"""",row($C$2:$C445)=max(if($C$2:$C445=C446,row($C$2:$C445),0)))) ,1),0),0))"),"")</f>
        <v/>
      </c>
      <c r="Q446" s="147" t="str">
        <f t="shared" si="22"/>
        <v/>
      </c>
      <c r="R446" s="147" t="str">
        <f t="shared" si="23"/>
        <v/>
      </c>
      <c r="S446" s="147" t="str">
        <f t="shared" si="24"/>
        <v/>
      </c>
      <c r="T446" s="147" t="str">
        <f t="shared" si="7"/>
        <v/>
      </c>
      <c r="U446" s="150" t="str">
        <f t="shared" si="8"/>
        <v/>
      </c>
      <c r="V446" s="151" t="str">
        <f>IFERROR(VLOOKUP(C446,Ativos!$A$1:$G2000,5,),)</f>
        <v/>
      </c>
    </row>
    <row r="447" ht="21.0" customHeight="1">
      <c r="A447" s="152"/>
      <c r="B447" s="160"/>
      <c r="C447" s="153"/>
      <c r="D447" s="154"/>
      <c r="E447" s="139"/>
      <c r="F447" s="139"/>
      <c r="G447" s="139"/>
      <c r="H447" s="135"/>
      <c r="I447" s="141"/>
      <c r="J447" s="147" t="str">
        <f>IFERROR(__xludf.DUMMYFUNCTION("IF(ISBLANK(A447),IFERROR(1/0),IF(COUNT(FILTER(F:F,A:A=A447))&gt;1,TRUNC(N447*F447/SUM(FILTER(N:N,A:A=A447)),3),F447))"),"")</f>
        <v/>
      </c>
      <c r="K447" s="147" t="str">
        <f>IFERROR(__xludf.DUMMYFUNCTION("IF(ISBLANK(A447),IFERROR(1/0),IF(COUNT(FILTER(G:G,((A:A=A447)*(B:B=""V""))))&gt;1,TRUNC(N447*G447/SUM(FILTER(N:N,((A:A=A447)*(B:B=""V"")))),3),G447))"),"")</f>
        <v/>
      </c>
      <c r="L447" s="148" t="str">
        <f>IFERROR(__xludf.DUMMYFUNCTION("if($C447="""","""",iferror(if(row()&lt;&gt;2,INDEX(arrayformula(filter($M$2:$M446,$C$2:$C446&lt;&gt;"""",row($C$2:$C446)=max(if($C$2:$C446=C447,row($C$2:$C446),0)))) ,1),0),0))"),"")</f>
        <v/>
      </c>
      <c r="M447" s="148" t="str">
        <f t="shared" si="1"/>
        <v/>
      </c>
      <c r="N447" s="147" t="str">
        <f t="shared" si="2"/>
        <v/>
      </c>
      <c r="O447" s="147" t="str">
        <f t="shared" si="21"/>
        <v/>
      </c>
      <c r="P447" s="147" t="str">
        <f>IFERROR(__xludf.DUMMYFUNCTION("if(C447="""","""",iferror(if(row()&lt;&gt;2,INDEX(arrayformula(filter($Q$2:$Q446,$C$2:$C446&lt;&gt;"""",row($C$2:$C446)=max(if($C$2:$C446=C447,row($C$2:$C446),0)))) ,1),0),0))"),"")</f>
        <v/>
      </c>
      <c r="Q447" s="147" t="str">
        <f t="shared" si="22"/>
        <v/>
      </c>
      <c r="R447" s="147" t="str">
        <f t="shared" si="23"/>
        <v/>
      </c>
      <c r="S447" s="147" t="str">
        <f t="shared" si="24"/>
        <v/>
      </c>
      <c r="T447" s="147" t="str">
        <f t="shared" si="7"/>
        <v/>
      </c>
      <c r="U447" s="150" t="str">
        <f t="shared" si="8"/>
        <v/>
      </c>
      <c r="V447" s="151" t="str">
        <f>IFERROR(VLOOKUP(C447,Ativos!$A$1:$G2000,5,),)</f>
        <v/>
      </c>
    </row>
    <row r="448" ht="21.0" customHeight="1">
      <c r="A448" s="152"/>
      <c r="B448" s="160"/>
      <c r="C448" s="153"/>
      <c r="D448" s="154"/>
      <c r="E448" s="139"/>
      <c r="F448" s="139"/>
      <c r="G448" s="139"/>
      <c r="H448" s="135"/>
      <c r="I448" s="141"/>
      <c r="J448" s="147" t="str">
        <f>IFERROR(__xludf.DUMMYFUNCTION("IF(ISBLANK(A448),IFERROR(1/0),IF(COUNT(FILTER(F:F,A:A=A448))&gt;1,TRUNC(N448*F448/SUM(FILTER(N:N,A:A=A448)),3),F448))"),"")</f>
        <v/>
      </c>
      <c r="K448" s="147" t="str">
        <f>IFERROR(__xludf.DUMMYFUNCTION("IF(ISBLANK(A448),IFERROR(1/0),IF(COUNT(FILTER(G:G,((A:A=A448)*(B:B=""V""))))&gt;1,TRUNC(N448*G448/SUM(FILTER(N:N,((A:A=A448)*(B:B=""V"")))),3),G448))"),"")</f>
        <v/>
      </c>
      <c r="L448" s="148" t="str">
        <f>IFERROR(__xludf.DUMMYFUNCTION("if($C448="""","""",iferror(if(row()&lt;&gt;2,INDEX(arrayformula(filter($M$2:$M447,$C$2:$C447&lt;&gt;"""",row($C$2:$C447)=max(if($C$2:$C447=C448,row($C$2:$C447),0)))) ,1),0),0))"),"")</f>
        <v/>
      </c>
      <c r="M448" s="148" t="str">
        <f t="shared" si="1"/>
        <v/>
      </c>
      <c r="N448" s="147" t="str">
        <f t="shared" si="2"/>
        <v/>
      </c>
      <c r="O448" s="147" t="str">
        <f t="shared" si="21"/>
        <v/>
      </c>
      <c r="P448" s="147" t="str">
        <f>IFERROR(__xludf.DUMMYFUNCTION("if(C448="""","""",iferror(if(row()&lt;&gt;2,INDEX(arrayformula(filter($Q$2:$Q447,$C$2:$C447&lt;&gt;"""",row($C$2:$C447)=max(if($C$2:$C447=C448,row($C$2:$C447),0)))) ,1),0),0))"),"")</f>
        <v/>
      </c>
      <c r="Q448" s="147" t="str">
        <f t="shared" si="22"/>
        <v/>
      </c>
      <c r="R448" s="147" t="str">
        <f t="shared" si="23"/>
        <v/>
      </c>
      <c r="S448" s="147" t="str">
        <f t="shared" si="24"/>
        <v/>
      </c>
      <c r="T448" s="147" t="str">
        <f t="shared" si="7"/>
        <v/>
      </c>
      <c r="U448" s="150" t="str">
        <f t="shared" si="8"/>
        <v/>
      </c>
      <c r="V448" s="151" t="str">
        <f>IFERROR(VLOOKUP(C448,Ativos!$A$1:$G2000,5,),)</f>
        <v/>
      </c>
    </row>
    <row r="449" ht="21.0" customHeight="1">
      <c r="A449" s="152"/>
      <c r="B449" s="160"/>
      <c r="C449" s="153"/>
      <c r="D449" s="154"/>
      <c r="E449" s="139"/>
      <c r="F449" s="139"/>
      <c r="G449" s="139"/>
      <c r="H449" s="135"/>
      <c r="I449" s="141"/>
      <c r="J449" s="147" t="str">
        <f>IFERROR(__xludf.DUMMYFUNCTION("IF(ISBLANK(A449),IFERROR(1/0),IF(COUNT(FILTER(F:F,A:A=A449))&gt;1,TRUNC(N449*F449/SUM(FILTER(N:N,A:A=A449)),3),F449))"),"")</f>
        <v/>
      </c>
      <c r="K449" s="147" t="str">
        <f>IFERROR(__xludf.DUMMYFUNCTION("IF(ISBLANK(A449),IFERROR(1/0),IF(COUNT(FILTER(G:G,((A:A=A449)*(B:B=""V""))))&gt;1,TRUNC(N449*G449/SUM(FILTER(N:N,((A:A=A449)*(B:B=""V"")))),3),G449))"),"")</f>
        <v/>
      </c>
      <c r="L449" s="148" t="str">
        <f>IFERROR(__xludf.DUMMYFUNCTION("if($C449="""","""",iferror(if(row()&lt;&gt;2,INDEX(arrayformula(filter($M$2:$M448,$C$2:$C448&lt;&gt;"""",row($C$2:$C448)=max(if($C$2:$C448=C449,row($C$2:$C448),0)))) ,1),0),0))"),"")</f>
        <v/>
      </c>
      <c r="M449" s="148" t="str">
        <f t="shared" si="1"/>
        <v/>
      </c>
      <c r="N449" s="147" t="str">
        <f t="shared" si="2"/>
        <v/>
      </c>
      <c r="O449" s="147" t="str">
        <f t="shared" si="21"/>
        <v/>
      </c>
      <c r="P449" s="147" t="str">
        <f>IFERROR(__xludf.DUMMYFUNCTION("if(C449="""","""",iferror(if(row()&lt;&gt;2,INDEX(arrayformula(filter($Q$2:$Q448,$C$2:$C448&lt;&gt;"""",row($C$2:$C448)=max(if($C$2:$C448=C449,row($C$2:$C448),0)))) ,1),0),0))"),"")</f>
        <v/>
      </c>
      <c r="Q449" s="147" t="str">
        <f t="shared" si="22"/>
        <v/>
      </c>
      <c r="R449" s="147" t="str">
        <f t="shared" si="23"/>
        <v/>
      </c>
      <c r="S449" s="147" t="str">
        <f t="shared" si="24"/>
        <v/>
      </c>
      <c r="T449" s="147" t="str">
        <f t="shared" si="7"/>
        <v/>
      </c>
      <c r="U449" s="150" t="str">
        <f t="shared" si="8"/>
        <v/>
      </c>
      <c r="V449" s="151" t="str">
        <f>IFERROR(VLOOKUP(C449,Ativos!$A$1:$G2000,5,),)</f>
        <v/>
      </c>
    </row>
    <row r="450" ht="21.0" customHeight="1">
      <c r="A450" s="152"/>
      <c r="B450" s="160"/>
      <c r="C450" s="153"/>
      <c r="D450" s="154"/>
      <c r="E450" s="139"/>
      <c r="F450" s="139"/>
      <c r="G450" s="139"/>
      <c r="H450" s="135"/>
      <c r="I450" s="141"/>
      <c r="J450" s="147" t="str">
        <f>IFERROR(__xludf.DUMMYFUNCTION("IF(ISBLANK(A450),IFERROR(1/0),IF(COUNT(FILTER(F:F,A:A=A450))&gt;1,TRUNC(N450*F450/SUM(FILTER(N:N,A:A=A450)),3),F450))"),"")</f>
        <v/>
      </c>
      <c r="K450" s="147" t="str">
        <f>IFERROR(__xludf.DUMMYFUNCTION("IF(ISBLANK(A450),IFERROR(1/0),IF(COUNT(FILTER(G:G,((A:A=A450)*(B:B=""V""))))&gt;1,TRUNC(N450*G450/SUM(FILTER(N:N,((A:A=A450)*(B:B=""V"")))),3),G450))"),"")</f>
        <v/>
      </c>
      <c r="L450" s="148" t="str">
        <f>IFERROR(__xludf.DUMMYFUNCTION("if($C450="""","""",iferror(if(row()&lt;&gt;2,INDEX(arrayformula(filter($M$2:$M449,$C$2:$C449&lt;&gt;"""",row($C$2:$C449)=max(if($C$2:$C449=C450,row($C$2:$C449),0)))) ,1),0),0))"),"")</f>
        <v/>
      </c>
      <c r="M450" s="148" t="str">
        <f t="shared" si="1"/>
        <v/>
      </c>
      <c r="N450" s="147" t="str">
        <f t="shared" si="2"/>
        <v/>
      </c>
      <c r="O450" s="147" t="str">
        <f t="shared" si="21"/>
        <v/>
      </c>
      <c r="P450" s="147" t="str">
        <f>IFERROR(__xludf.DUMMYFUNCTION("if(C450="""","""",iferror(if(row()&lt;&gt;2,INDEX(arrayformula(filter($Q$2:$Q449,$C$2:$C449&lt;&gt;"""",row($C$2:$C449)=max(if($C$2:$C449=C450,row($C$2:$C449),0)))) ,1),0),0))"),"")</f>
        <v/>
      </c>
      <c r="Q450" s="147" t="str">
        <f t="shared" si="22"/>
        <v/>
      </c>
      <c r="R450" s="147" t="str">
        <f t="shared" si="23"/>
        <v/>
      </c>
      <c r="S450" s="147" t="str">
        <f t="shared" si="24"/>
        <v/>
      </c>
      <c r="T450" s="147" t="str">
        <f t="shared" si="7"/>
        <v/>
      </c>
      <c r="U450" s="150" t="str">
        <f t="shared" si="8"/>
        <v/>
      </c>
      <c r="V450" s="151" t="str">
        <f>IFERROR(VLOOKUP(C450,Ativos!$A$1:$G2000,5,),)</f>
        <v/>
      </c>
    </row>
    <row r="451" ht="21.0" customHeight="1">
      <c r="A451" s="152"/>
      <c r="B451" s="160"/>
      <c r="C451" s="153"/>
      <c r="D451" s="154"/>
      <c r="E451" s="139"/>
      <c r="F451" s="139"/>
      <c r="G451" s="139"/>
      <c r="H451" s="135"/>
      <c r="I451" s="141"/>
      <c r="J451" s="147" t="str">
        <f>IFERROR(__xludf.DUMMYFUNCTION("IF(ISBLANK(A451),IFERROR(1/0),IF(COUNT(FILTER(F:F,A:A=A451))&gt;1,TRUNC(N451*F451/SUM(FILTER(N:N,A:A=A451)),3),F451))"),"")</f>
        <v/>
      </c>
      <c r="K451" s="147" t="str">
        <f>IFERROR(__xludf.DUMMYFUNCTION("IF(ISBLANK(A451),IFERROR(1/0),IF(COUNT(FILTER(G:G,((A:A=A451)*(B:B=""V""))))&gt;1,TRUNC(N451*G451/SUM(FILTER(N:N,((A:A=A451)*(B:B=""V"")))),3),G451))"),"")</f>
        <v/>
      </c>
      <c r="L451" s="148" t="str">
        <f>IFERROR(__xludf.DUMMYFUNCTION("if($C451="""","""",iferror(if(row()&lt;&gt;2,INDEX(arrayformula(filter($M$2:$M450,$C$2:$C450&lt;&gt;"""",row($C$2:$C450)=max(if($C$2:$C450=C451,row($C$2:$C450),0)))) ,1),0),0))"),"")</f>
        <v/>
      </c>
      <c r="M451" s="148" t="str">
        <f t="shared" si="1"/>
        <v/>
      </c>
      <c r="N451" s="147" t="str">
        <f t="shared" si="2"/>
        <v/>
      </c>
      <c r="O451" s="147" t="str">
        <f t="shared" si="21"/>
        <v/>
      </c>
      <c r="P451" s="147" t="str">
        <f>IFERROR(__xludf.DUMMYFUNCTION("if(C451="""","""",iferror(if(row()&lt;&gt;2,INDEX(arrayformula(filter($Q$2:$Q450,$C$2:$C450&lt;&gt;"""",row($C$2:$C450)=max(if($C$2:$C450=C451,row($C$2:$C450),0)))) ,1),0),0))"),"")</f>
        <v/>
      </c>
      <c r="Q451" s="147" t="str">
        <f t="shared" si="22"/>
        <v/>
      </c>
      <c r="R451" s="147" t="str">
        <f t="shared" si="23"/>
        <v/>
      </c>
      <c r="S451" s="147" t="str">
        <f t="shared" si="24"/>
        <v/>
      </c>
      <c r="T451" s="147" t="str">
        <f t="shared" si="7"/>
        <v/>
      </c>
      <c r="U451" s="150" t="str">
        <f t="shared" si="8"/>
        <v/>
      </c>
      <c r="V451" s="151" t="str">
        <f>IFERROR(VLOOKUP(C451,Ativos!$A$1:$G2000,5,),)</f>
        <v/>
      </c>
    </row>
    <row r="452" ht="21.0" customHeight="1">
      <c r="A452" s="152"/>
      <c r="B452" s="160"/>
      <c r="C452" s="153"/>
      <c r="D452" s="154"/>
      <c r="E452" s="139"/>
      <c r="F452" s="139"/>
      <c r="G452" s="139"/>
      <c r="H452" s="135"/>
      <c r="I452" s="141"/>
      <c r="J452" s="147" t="str">
        <f>IFERROR(__xludf.DUMMYFUNCTION("IF(ISBLANK(A452),IFERROR(1/0),IF(COUNT(FILTER(F:F,A:A=A452))&gt;1,TRUNC(N452*F452/SUM(FILTER(N:N,A:A=A452)),3),F452))"),"")</f>
        <v/>
      </c>
      <c r="K452" s="147" t="str">
        <f>IFERROR(__xludf.DUMMYFUNCTION("IF(ISBLANK(A452),IFERROR(1/0),IF(COUNT(FILTER(G:G,((A:A=A452)*(B:B=""V""))))&gt;1,TRUNC(N452*G452/SUM(FILTER(N:N,((A:A=A452)*(B:B=""V"")))),3),G452))"),"")</f>
        <v/>
      </c>
      <c r="L452" s="148" t="str">
        <f>IFERROR(__xludf.DUMMYFUNCTION("if($C452="""","""",iferror(if(row()&lt;&gt;2,INDEX(arrayformula(filter($M$2:$M451,$C$2:$C451&lt;&gt;"""",row($C$2:$C451)=max(if($C$2:$C451=C452,row($C$2:$C451),0)))) ,1),0),0))"),"")</f>
        <v/>
      </c>
      <c r="M452" s="148" t="str">
        <f t="shared" si="1"/>
        <v/>
      </c>
      <c r="N452" s="147" t="str">
        <f t="shared" si="2"/>
        <v/>
      </c>
      <c r="O452" s="147" t="str">
        <f t="shared" si="21"/>
        <v/>
      </c>
      <c r="P452" s="147" t="str">
        <f>IFERROR(__xludf.DUMMYFUNCTION("if(C452="""","""",iferror(if(row()&lt;&gt;2,INDEX(arrayformula(filter($Q$2:$Q451,$C$2:$C451&lt;&gt;"""",row($C$2:$C451)=max(if($C$2:$C451=C452,row($C$2:$C451),0)))) ,1),0),0))"),"")</f>
        <v/>
      </c>
      <c r="Q452" s="147" t="str">
        <f t="shared" si="22"/>
        <v/>
      </c>
      <c r="R452" s="147" t="str">
        <f t="shared" si="23"/>
        <v/>
      </c>
      <c r="S452" s="147" t="str">
        <f t="shared" si="24"/>
        <v/>
      </c>
      <c r="T452" s="147" t="str">
        <f t="shared" si="7"/>
        <v/>
      </c>
      <c r="U452" s="150" t="str">
        <f t="shared" si="8"/>
        <v/>
      </c>
      <c r="V452" s="151" t="str">
        <f>IFERROR(VLOOKUP(C452,Ativos!$A$1:$G2000,5,),)</f>
        <v/>
      </c>
    </row>
    <row r="453" ht="21.0" customHeight="1">
      <c r="A453" s="152"/>
      <c r="B453" s="160"/>
      <c r="C453" s="153"/>
      <c r="D453" s="154"/>
      <c r="E453" s="139"/>
      <c r="F453" s="139"/>
      <c r="G453" s="139"/>
      <c r="H453" s="135"/>
      <c r="I453" s="141"/>
      <c r="J453" s="147" t="str">
        <f>IFERROR(__xludf.DUMMYFUNCTION("IF(ISBLANK(A453),IFERROR(1/0),IF(COUNT(FILTER(F:F,A:A=A453))&gt;1,TRUNC(N453*F453/SUM(FILTER(N:N,A:A=A453)),3),F453))"),"")</f>
        <v/>
      </c>
      <c r="K453" s="147" t="str">
        <f>IFERROR(__xludf.DUMMYFUNCTION("IF(ISBLANK(A453),IFERROR(1/0),IF(COUNT(FILTER(G:G,((A:A=A453)*(B:B=""V""))))&gt;1,TRUNC(N453*G453/SUM(FILTER(N:N,((A:A=A453)*(B:B=""V"")))),3),G453))"),"")</f>
        <v/>
      </c>
      <c r="L453" s="148" t="str">
        <f>IFERROR(__xludf.DUMMYFUNCTION("if($C453="""","""",iferror(if(row()&lt;&gt;2,INDEX(arrayformula(filter($M$2:$M452,$C$2:$C452&lt;&gt;"""",row($C$2:$C452)=max(if($C$2:$C452=C453,row($C$2:$C452),0)))) ,1),0),0))"),"")</f>
        <v/>
      </c>
      <c r="M453" s="148" t="str">
        <f t="shared" si="1"/>
        <v/>
      </c>
      <c r="N453" s="147" t="str">
        <f t="shared" si="2"/>
        <v/>
      </c>
      <c r="O453" s="147" t="str">
        <f t="shared" si="21"/>
        <v/>
      </c>
      <c r="P453" s="147" t="str">
        <f>IFERROR(__xludf.DUMMYFUNCTION("if(C453="""","""",iferror(if(row()&lt;&gt;2,INDEX(arrayformula(filter($Q$2:$Q452,$C$2:$C452&lt;&gt;"""",row($C$2:$C452)=max(if($C$2:$C452=C453,row($C$2:$C452),0)))) ,1),0),0))"),"")</f>
        <v/>
      </c>
      <c r="Q453" s="147" t="str">
        <f t="shared" si="22"/>
        <v/>
      </c>
      <c r="R453" s="147" t="str">
        <f t="shared" si="23"/>
        <v/>
      </c>
      <c r="S453" s="147" t="str">
        <f t="shared" si="24"/>
        <v/>
      </c>
      <c r="T453" s="147" t="str">
        <f t="shared" si="7"/>
        <v/>
      </c>
      <c r="U453" s="150" t="str">
        <f t="shared" si="8"/>
        <v/>
      </c>
      <c r="V453" s="151" t="str">
        <f>IFERROR(VLOOKUP(C453,Ativos!$A$1:$G2000,5,),)</f>
        <v/>
      </c>
    </row>
    <row r="454" ht="21.0" customHeight="1">
      <c r="A454" s="152"/>
      <c r="B454" s="160"/>
      <c r="C454" s="153"/>
      <c r="D454" s="154"/>
      <c r="E454" s="139"/>
      <c r="F454" s="139"/>
      <c r="G454" s="139"/>
      <c r="H454" s="135"/>
      <c r="I454" s="141"/>
      <c r="J454" s="147" t="str">
        <f>IFERROR(__xludf.DUMMYFUNCTION("IF(ISBLANK(A454),IFERROR(1/0),IF(COUNT(FILTER(F:F,A:A=A454))&gt;1,TRUNC(N454*F454/SUM(FILTER(N:N,A:A=A454)),3),F454))"),"")</f>
        <v/>
      </c>
      <c r="K454" s="147" t="str">
        <f>IFERROR(__xludf.DUMMYFUNCTION("IF(ISBLANK(A454),IFERROR(1/0),IF(COUNT(FILTER(G:G,((A:A=A454)*(B:B=""V""))))&gt;1,TRUNC(N454*G454/SUM(FILTER(N:N,((A:A=A454)*(B:B=""V"")))),3),G454))"),"")</f>
        <v/>
      </c>
      <c r="L454" s="148" t="str">
        <f>IFERROR(__xludf.DUMMYFUNCTION("if($C454="""","""",iferror(if(row()&lt;&gt;2,INDEX(arrayformula(filter($M$2:$M453,$C$2:$C453&lt;&gt;"""",row($C$2:$C453)=max(if($C$2:$C453=C454,row($C$2:$C453),0)))) ,1),0),0))"),"")</f>
        <v/>
      </c>
      <c r="M454" s="148" t="str">
        <f t="shared" si="1"/>
        <v/>
      </c>
      <c r="N454" s="147" t="str">
        <f t="shared" si="2"/>
        <v/>
      </c>
      <c r="O454" s="147" t="str">
        <f t="shared" si="21"/>
        <v/>
      </c>
      <c r="P454" s="147" t="str">
        <f>IFERROR(__xludf.DUMMYFUNCTION("if(C454="""","""",iferror(if(row()&lt;&gt;2,INDEX(arrayformula(filter($Q$2:$Q453,$C$2:$C453&lt;&gt;"""",row($C$2:$C453)=max(if($C$2:$C453=C454,row($C$2:$C453),0)))) ,1),0),0))"),"")</f>
        <v/>
      </c>
      <c r="Q454" s="147" t="str">
        <f t="shared" si="22"/>
        <v/>
      </c>
      <c r="R454" s="147" t="str">
        <f t="shared" si="23"/>
        <v/>
      </c>
      <c r="S454" s="147" t="str">
        <f t="shared" si="24"/>
        <v/>
      </c>
      <c r="T454" s="147" t="str">
        <f t="shared" si="7"/>
        <v/>
      </c>
      <c r="U454" s="150" t="str">
        <f t="shared" si="8"/>
        <v/>
      </c>
      <c r="V454" s="151" t="str">
        <f>IFERROR(VLOOKUP(C454,Ativos!$A$1:$G2000,5,),)</f>
        <v/>
      </c>
    </row>
    <row r="455" ht="21.0" customHeight="1">
      <c r="A455" s="152"/>
      <c r="B455" s="160"/>
      <c r="C455" s="153"/>
      <c r="D455" s="154"/>
      <c r="E455" s="139"/>
      <c r="F455" s="139"/>
      <c r="G455" s="139"/>
      <c r="H455" s="135"/>
      <c r="I455" s="141"/>
      <c r="J455" s="147" t="str">
        <f>IFERROR(__xludf.DUMMYFUNCTION("IF(ISBLANK(A455),IFERROR(1/0),IF(COUNT(FILTER(F:F,A:A=A455))&gt;1,TRUNC(N455*F455/SUM(FILTER(N:N,A:A=A455)),3),F455))"),"")</f>
        <v/>
      </c>
      <c r="K455" s="147" t="str">
        <f>IFERROR(__xludf.DUMMYFUNCTION("IF(ISBLANK(A455),IFERROR(1/0),IF(COUNT(FILTER(G:G,((A:A=A455)*(B:B=""V""))))&gt;1,TRUNC(N455*G455/SUM(FILTER(N:N,((A:A=A455)*(B:B=""V"")))),3),G455))"),"")</f>
        <v/>
      </c>
      <c r="L455" s="148" t="str">
        <f>IFERROR(__xludf.DUMMYFUNCTION("if($C455="""","""",iferror(if(row()&lt;&gt;2,INDEX(arrayformula(filter($M$2:$M454,$C$2:$C454&lt;&gt;"""",row($C$2:$C454)=max(if($C$2:$C454=C455,row($C$2:$C454),0)))) ,1),0),0))"),"")</f>
        <v/>
      </c>
      <c r="M455" s="148" t="str">
        <f t="shared" si="1"/>
        <v/>
      </c>
      <c r="N455" s="147" t="str">
        <f t="shared" si="2"/>
        <v/>
      </c>
      <c r="O455" s="147" t="str">
        <f t="shared" si="21"/>
        <v/>
      </c>
      <c r="P455" s="147" t="str">
        <f>IFERROR(__xludf.DUMMYFUNCTION("if(C455="""","""",iferror(if(row()&lt;&gt;2,INDEX(arrayformula(filter($Q$2:$Q454,$C$2:$C454&lt;&gt;"""",row($C$2:$C454)=max(if($C$2:$C454=C455,row($C$2:$C454),0)))) ,1),0),0))"),"")</f>
        <v/>
      </c>
      <c r="Q455" s="147" t="str">
        <f t="shared" si="22"/>
        <v/>
      </c>
      <c r="R455" s="147" t="str">
        <f t="shared" si="23"/>
        <v/>
      </c>
      <c r="S455" s="147" t="str">
        <f t="shared" si="24"/>
        <v/>
      </c>
      <c r="T455" s="147" t="str">
        <f t="shared" si="7"/>
        <v/>
      </c>
      <c r="U455" s="150" t="str">
        <f t="shared" si="8"/>
        <v/>
      </c>
      <c r="V455" s="151" t="str">
        <f>IFERROR(VLOOKUP(C455,Ativos!$A$1:$G2000,5,),)</f>
        <v/>
      </c>
    </row>
    <row r="456" ht="21.0" customHeight="1">
      <c r="A456" s="152"/>
      <c r="B456" s="160"/>
      <c r="C456" s="153"/>
      <c r="D456" s="154"/>
      <c r="E456" s="139"/>
      <c r="F456" s="139"/>
      <c r="G456" s="139"/>
      <c r="H456" s="135"/>
      <c r="I456" s="141"/>
      <c r="J456" s="147" t="str">
        <f>IFERROR(__xludf.DUMMYFUNCTION("IF(ISBLANK(A456),IFERROR(1/0),IF(COUNT(FILTER(F:F,A:A=A456))&gt;1,TRUNC(N456*F456/SUM(FILTER(N:N,A:A=A456)),3),F456))"),"")</f>
        <v/>
      </c>
      <c r="K456" s="147" t="str">
        <f>IFERROR(__xludf.DUMMYFUNCTION("IF(ISBLANK(A456),IFERROR(1/0),IF(COUNT(FILTER(G:G,((A:A=A456)*(B:B=""V""))))&gt;1,TRUNC(N456*G456/SUM(FILTER(N:N,((A:A=A456)*(B:B=""V"")))),3),G456))"),"")</f>
        <v/>
      </c>
      <c r="L456" s="148" t="str">
        <f>IFERROR(__xludf.DUMMYFUNCTION("if($C456="""","""",iferror(if(row()&lt;&gt;2,INDEX(arrayformula(filter($M$2:$M455,$C$2:$C455&lt;&gt;"""",row($C$2:$C455)=max(if($C$2:$C455=C456,row($C$2:$C455),0)))) ,1),0),0))"),"")</f>
        <v/>
      </c>
      <c r="M456" s="148" t="str">
        <f t="shared" si="1"/>
        <v/>
      </c>
      <c r="N456" s="147" t="str">
        <f t="shared" si="2"/>
        <v/>
      </c>
      <c r="O456" s="147" t="str">
        <f t="shared" si="21"/>
        <v/>
      </c>
      <c r="P456" s="147" t="str">
        <f>IFERROR(__xludf.DUMMYFUNCTION("if(C456="""","""",iferror(if(row()&lt;&gt;2,INDEX(arrayformula(filter($Q$2:$Q455,$C$2:$C455&lt;&gt;"""",row($C$2:$C455)=max(if($C$2:$C455=C456,row($C$2:$C455),0)))) ,1),0),0))"),"")</f>
        <v/>
      </c>
      <c r="Q456" s="147" t="str">
        <f t="shared" si="22"/>
        <v/>
      </c>
      <c r="R456" s="147" t="str">
        <f t="shared" si="23"/>
        <v/>
      </c>
      <c r="S456" s="147" t="str">
        <f t="shared" si="24"/>
        <v/>
      </c>
      <c r="T456" s="147" t="str">
        <f t="shared" si="7"/>
        <v/>
      </c>
      <c r="U456" s="150" t="str">
        <f t="shared" si="8"/>
        <v/>
      </c>
      <c r="V456" s="151" t="str">
        <f>IFERROR(VLOOKUP(C456,Ativos!$A$1:$G2000,5,),)</f>
        <v/>
      </c>
    </row>
    <row r="457" ht="21.0" customHeight="1">
      <c r="A457" s="152"/>
      <c r="B457" s="160"/>
      <c r="C457" s="153"/>
      <c r="D457" s="154"/>
      <c r="E457" s="139"/>
      <c r="F457" s="139"/>
      <c r="G457" s="139"/>
      <c r="H457" s="135"/>
      <c r="I457" s="141"/>
      <c r="J457" s="147" t="str">
        <f>IFERROR(__xludf.DUMMYFUNCTION("IF(ISBLANK(A457),IFERROR(1/0),IF(COUNT(FILTER(F:F,A:A=A457))&gt;1,TRUNC(N457*F457/SUM(FILTER(N:N,A:A=A457)),3),F457))"),"")</f>
        <v/>
      </c>
      <c r="K457" s="147" t="str">
        <f>IFERROR(__xludf.DUMMYFUNCTION("IF(ISBLANK(A457),IFERROR(1/0),IF(COUNT(FILTER(G:G,((A:A=A457)*(B:B=""V""))))&gt;1,TRUNC(N457*G457/SUM(FILTER(N:N,((A:A=A457)*(B:B=""V"")))),3),G457))"),"")</f>
        <v/>
      </c>
      <c r="L457" s="148" t="str">
        <f>IFERROR(__xludf.DUMMYFUNCTION("if($C457="""","""",iferror(if(row()&lt;&gt;2,INDEX(arrayformula(filter($M$2:$M456,$C$2:$C456&lt;&gt;"""",row($C$2:$C456)=max(if($C$2:$C456=C457,row($C$2:$C456),0)))) ,1),0),0))"),"")</f>
        <v/>
      </c>
      <c r="M457" s="148" t="str">
        <f t="shared" si="1"/>
        <v/>
      </c>
      <c r="N457" s="147" t="str">
        <f t="shared" si="2"/>
        <v/>
      </c>
      <c r="O457" s="147" t="str">
        <f t="shared" si="21"/>
        <v/>
      </c>
      <c r="P457" s="147" t="str">
        <f>IFERROR(__xludf.DUMMYFUNCTION("if(C457="""","""",iferror(if(row()&lt;&gt;2,INDEX(arrayformula(filter($Q$2:$Q456,$C$2:$C456&lt;&gt;"""",row($C$2:$C456)=max(if($C$2:$C456=C457,row($C$2:$C456),0)))) ,1),0),0))"),"")</f>
        <v/>
      </c>
      <c r="Q457" s="147" t="str">
        <f t="shared" si="22"/>
        <v/>
      </c>
      <c r="R457" s="147" t="str">
        <f t="shared" si="23"/>
        <v/>
      </c>
      <c r="S457" s="147" t="str">
        <f t="shared" si="24"/>
        <v/>
      </c>
      <c r="T457" s="147" t="str">
        <f t="shared" si="7"/>
        <v/>
      </c>
      <c r="U457" s="150" t="str">
        <f t="shared" si="8"/>
        <v/>
      </c>
      <c r="V457" s="151" t="str">
        <f>IFERROR(VLOOKUP(C457,Ativos!$A$1:$G2000,5,),)</f>
        <v/>
      </c>
    </row>
    <row r="458" ht="21.0" customHeight="1">
      <c r="A458" s="152"/>
      <c r="B458" s="160"/>
      <c r="C458" s="153"/>
      <c r="D458" s="154"/>
      <c r="E458" s="139"/>
      <c r="F458" s="139"/>
      <c r="G458" s="139"/>
      <c r="H458" s="135"/>
      <c r="I458" s="141"/>
      <c r="J458" s="147" t="str">
        <f>IFERROR(__xludf.DUMMYFUNCTION("IF(ISBLANK(A458),IFERROR(1/0),IF(COUNT(FILTER(F:F,A:A=A458))&gt;1,TRUNC(N458*F458/SUM(FILTER(N:N,A:A=A458)),3),F458))"),"")</f>
        <v/>
      </c>
      <c r="K458" s="147" t="str">
        <f>IFERROR(__xludf.DUMMYFUNCTION("IF(ISBLANK(A458),IFERROR(1/0),IF(COUNT(FILTER(G:G,((A:A=A458)*(B:B=""V""))))&gt;1,TRUNC(N458*G458/SUM(FILTER(N:N,((A:A=A458)*(B:B=""V"")))),3),G458))"),"")</f>
        <v/>
      </c>
      <c r="L458" s="148" t="str">
        <f>IFERROR(__xludf.DUMMYFUNCTION("if($C458="""","""",iferror(if(row()&lt;&gt;2,INDEX(arrayformula(filter($M$2:$M457,$C$2:$C457&lt;&gt;"""",row($C$2:$C457)=max(if($C$2:$C457=C458,row($C$2:$C457),0)))) ,1),0),0))"),"")</f>
        <v/>
      </c>
      <c r="M458" s="148" t="str">
        <f t="shared" si="1"/>
        <v/>
      </c>
      <c r="N458" s="147" t="str">
        <f t="shared" si="2"/>
        <v/>
      </c>
      <c r="O458" s="147" t="str">
        <f t="shared" si="21"/>
        <v/>
      </c>
      <c r="P458" s="147" t="str">
        <f>IFERROR(__xludf.DUMMYFUNCTION("if(C458="""","""",iferror(if(row()&lt;&gt;2,INDEX(arrayformula(filter($Q$2:$Q457,$C$2:$C457&lt;&gt;"""",row($C$2:$C457)=max(if($C$2:$C457=C458,row($C$2:$C457),0)))) ,1),0),0))"),"")</f>
        <v/>
      </c>
      <c r="Q458" s="147" t="str">
        <f t="shared" si="22"/>
        <v/>
      </c>
      <c r="R458" s="147" t="str">
        <f t="shared" si="23"/>
        <v/>
      </c>
      <c r="S458" s="147" t="str">
        <f t="shared" si="24"/>
        <v/>
      </c>
      <c r="T458" s="147" t="str">
        <f t="shared" si="7"/>
        <v/>
      </c>
      <c r="U458" s="150" t="str">
        <f t="shared" si="8"/>
        <v/>
      </c>
      <c r="V458" s="151" t="str">
        <f>IFERROR(VLOOKUP(C458,Ativos!$A$1:$G2000,5,),)</f>
        <v/>
      </c>
    </row>
    <row r="459" ht="21.0" customHeight="1">
      <c r="A459" s="152"/>
      <c r="B459" s="160"/>
      <c r="C459" s="153"/>
      <c r="D459" s="154"/>
      <c r="E459" s="139"/>
      <c r="F459" s="139"/>
      <c r="G459" s="139"/>
      <c r="H459" s="135"/>
      <c r="I459" s="141"/>
      <c r="J459" s="147" t="str">
        <f>IFERROR(__xludf.DUMMYFUNCTION("IF(ISBLANK(A459),IFERROR(1/0),IF(COUNT(FILTER(F:F,A:A=A459))&gt;1,TRUNC(N459*F459/SUM(FILTER(N:N,A:A=A459)),3),F459))"),"")</f>
        <v/>
      </c>
      <c r="K459" s="147" t="str">
        <f>IFERROR(__xludf.DUMMYFUNCTION("IF(ISBLANK(A459),IFERROR(1/0),IF(COUNT(FILTER(G:G,((A:A=A459)*(B:B=""V""))))&gt;1,TRUNC(N459*G459/SUM(FILTER(N:N,((A:A=A459)*(B:B=""V"")))),3),G459))"),"")</f>
        <v/>
      </c>
      <c r="L459" s="148" t="str">
        <f>IFERROR(__xludf.DUMMYFUNCTION("if($C459="""","""",iferror(if(row()&lt;&gt;2,INDEX(arrayformula(filter($M$2:$M458,$C$2:$C458&lt;&gt;"""",row($C$2:$C458)=max(if($C$2:$C458=C459,row($C$2:$C458),0)))) ,1),0),0))"),"")</f>
        <v/>
      </c>
      <c r="M459" s="148" t="str">
        <f t="shared" si="1"/>
        <v/>
      </c>
      <c r="N459" s="147" t="str">
        <f t="shared" si="2"/>
        <v/>
      </c>
      <c r="O459" s="147" t="str">
        <f t="shared" si="21"/>
        <v/>
      </c>
      <c r="P459" s="147" t="str">
        <f>IFERROR(__xludf.DUMMYFUNCTION("if(C459="""","""",iferror(if(row()&lt;&gt;2,INDEX(arrayformula(filter($Q$2:$Q458,$C$2:$C458&lt;&gt;"""",row($C$2:$C458)=max(if($C$2:$C458=C459,row($C$2:$C458),0)))) ,1),0),0))"),"")</f>
        <v/>
      </c>
      <c r="Q459" s="147" t="str">
        <f t="shared" si="22"/>
        <v/>
      </c>
      <c r="R459" s="147" t="str">
        <f t="shared" si="23"/>
        <v/>
      </c>
      <c r="S459" s="147" t="str">
        <f t="shared" si="24"/>
        <v/>
      </c>
      <c r="T459" s="147" t="str">
        <f t="shared" si="7"/>
        <v/>
      </c>
      <c r="U459" s="150" t="str">
        <f t="shared" si="8"/>
        <v/>
      </c>
      <c r="V459" s="151" t="str">
        <f>IFERROR(VLOOKUP(C459,Ativos!$A$1:$G2000,5,),)</f>
        <v/>
      </c>
    </row>
    <row r="460" ht="21.0" customHeight="1">
      <c r="A460" s="152"/>
      <c r="B460" s="160"/>
      <c r="C460" s="153"/>
      <c r="D460" s="154"/>
      <c r="E460" s="139"/>
      <c r="F460" s="139"/>
      <c r="G460" s="139"/>
      <c r="H460" s="135"/>
      <c r="I460" s="141"/>
      <c r="J460" s="147" t="str">
        <f>IFERROR(__xludf.DUMMYFUNCTION("IF(ISBLANK(A460),IFERROR(1/0),IF(COUNT(FILTER(F:F,A:A=A460))&gt;1,TRUNC(N460*F460/SUM(FILTER(N:N,A:A=A460)),3),F460))"),"")</f>
        <v/>
      </c>
      <c r="K460" s="147" t="str">
        <f>IFERROR(__xludf.DUMMYFUNCTION("IF(ISBLANK(A460),IFERROR(1/0),IF(COUNT(FILTER(G:G,((A:A=A460)*(B:B=""V""))))&gt;1,TRUNC(N460*G460/SUM(FILTER(N:N,((A:A=A460)*(B:B=""V"")))),3),G460))"),"")</f>
        <v/>
      </c>
      <c r="L460" s="148" t="str">
        <f>IFERROR(__xludf.DUMMYFUNCTION("if($C460="""","""",iferror(if(row()&lt;&gt;2,INDEX(arrayformula(filter($M$2:$M459,$C$2:$C459&lt;&gt;"""",row($C$2:$C459)=max(if($C$2:$C459=C460,row($C$2:$C459),0)))) ,1),0),0))"),"")</f>
        <v/>
      </c>
      <c r="M460" s="148" t="str">
        <f t="shared" si="1"/>
        <v/>
      </c>
      <c r="N460" s="147" t="str">
        <f t="shared" si="2"/>
        <v/>
      </c>
      <c r="O460" s="147" t="str">
        <f t="shared" si="21"/>
        <v/>
      </c>
      <c r="P460" s="147" t="str">
        <f>IFERROR(__xludf.DUMMYFUNCTION("if(C460="""","""",iferror(if(row()&lt;&gt;2,INDEX(arrayformula(filter($Q$2:$Q459,$C$2:$C459&lt;&gt;"""",row($C$2:$C459)=max(if($C$2:$C459=C460,row($C$2:$C459),0)))) ,1),0),0))"),"")</f>
        <v/>
      </c>
      <c r="Q460" s="147" t="str">
        <f t="shared" si="22"/>
        <v/>
      </c>
      <c r="R460" s="147" t="str">
        <f t="shared" si="23"/>
        <v/>
      </c>
      <c r="S460" s="147" t="str">
        <f t="shared" si="24"/>
        <v/>
      </c>
      <c r="T460" s="147" t="str">
        <f t="shared" si="7"/>
        <v/>
      </c>
      <c r="U460" s="150" t="str">
        <f t="shared" si="8"/>
        <v/>
      </c>
      <c r="V460" s="151" t="str">
        <f>IFERROR(VLOOKUP(C460,Ativos!$A$1:$G2000,5,),)</f>
        <v/>
      </c>
    </row>
    <row r="461" ht="21.0" customHeight="1">
      <c r="A461" s="152"/>
      <c r="B461" s="160"/>
      <c r="C461" s="153"/>
      <c r="D461" s="154"/>
      <c r="E461" s="139"/>
      <c r="F461" s="139"/>
      <c r="G461" s="139"/>
      <c r="H461" s="135"/>
      <c r="I461" s="141"/>
      <c r="J461" s="147" t="str">
        <f>IFERROR(__xludf.DUMMYFUNCTION("IF(ISBLANK(A461),IFERROR(1/0),IF(COUNT(FILTER(F:F,A:A=A461))&gt;1,TRUNC(N461*F461/SUM(FILTER(N:N,A:A=A461)),3),F461))"),"")</f>
        <v/>
      </c>
      <c r="K461" s="147" t="str">
        <f>IFERROR(__xludf.DUMMYFUNCTION("IF(ISBLANK(A461),IFERROR(1/0),IF(COUNT(FILTER(G:G,((A:A=A461)*(B:B=""V""))))&gt;1,TRUNC(N461*G461/SUM(FILTER(N:N,((A:A=A461)*(B:B=""V"")))),3),G461))"),"")</f>
        <v/>
      </c>
      <c r="L461" s="148" t="str">
        <f>IFERROR(__xludf.DUMMYFUNCTION("if($C461="""","""",iferror(if(row()&lt;&gt;2,INDEX(arrayformula(filter($M$2:$M460,$C$2:$C460&lt;&gt;"""",row($C$2:$C460)=max(if($C$2:$C460=C461,row($C$2:$C460),0)))) ,1),0),0))"),"")</f>
        <v/>
      </c>
      <c r="M461" s="148" t="str">
        <f t="shared" si="1"/>
        <v/>
      </c>
      <c r="N461" s="147" t="str">
        <f t="shared" si="2"/>
        <v/>
      </c>
      <c r="O461" s="147" t="str">
        <f t="shared" si="21"/>
        <v/>
      </c>
      <c r="P461" s="147" t="str">
        <f>IFERROR(__xludf.DUMMYFUNCTION("if(C461="""","""",iferror(if(row()&lt;&gt;2,INDEX(arrayformula(filter($Q$2:$Q460,$C$2:$C460&lt;&gt;"""",row($C$2:$C460)=max(if($C$2:$C460=C461,row($C$2:$C460),0)))) ,1),0),0))"),"")</f>
        <v/>
      </c>
      <c r="Q461" s="147" t="str">
        <f t="shared" si="22"/>
        <v/>
      </c>
      <c r="R461" s="147" t="str">
        <f t="shared" si="23"/>
        <v/>
      </c>
      <c r="S461" s="147" t="str">
        <f t="shared" si="24"/>
        <v/>
      </c>
      <c r="T461" s="147" t="str">
        <f t="shared" si="7"/>
        <v/>
      </c>
      <c r="U461" s="150" t="str">
        <f t="shared" si="8"/>
        <v/>
      </c>
      <c r="V461" s="151" t="str">
        <f>IFERROR(VLOOKUP(C461,Ativos!$A$1:$G2000,5,),)</f>
        <v/>
      </c>
    </row>
    <row r="462" ht="21.0" customHeight="1">
      <c r="A462" s="152"/>
      <c r="B462" s="160"/>
      <c r="C462" s="153"/>
      <c r="D462" s="154"/>
      <c r="E462" s="139"/>
      <c r="F462" s="139"/>
      <c r="G462" s="139"/>
      <c r="H462" s="135"/>
      <c r="I462" s="141"/>
      <c r="J462" s="147" t="str">
        <f>IFERROR(__xludf.DUMMYFUNCTION("IF(ISBLANK(A462),IFERROR(1/0),IF(COUNT(FILTER(F:F,A:A=A462))&gt;1,TRUNC(N462*F462/SUM(FILTER(N:N,A:A=A462)),3),F462))"),"")</f>
        <v/>
      </c>
      <c r="K462" s="147" t="str">
        <f>IFERROR(__xludf.DUMMYFUNCTION("IF(ISBLANK(A462),IFERROR(1/0),IF(COUNT(FILTER(G:G,((A:A=A462)*(B:B=""V""))))&gt;1,TRUNC(N462*G462/SUM(FILTER(N:N,((A:A=A462)*(B:B=""V"")))),3),G462))"),"")</f>
        <v/>
      </c>
      <c r="L462" s="148" t="str">
        <f>IFERROR(__xludf.DUMMYFUNCTION("if($C462="""","""",iferror(if(row()&lt;&gt;2,INDEX(arrayformula(filter($M$2:$M461,$C$2:$C461&lt;&gt;"""",row($C$2:$C461)=max(if($C$2:$C461=C462,row($C$2:$C461),0)))) ,1),0),0))"),"")</f>
        <v/>
      </c>
      <c r="M462" s="148" t="str">
        <f t="shared" si="1"/>
        <v/>
      </c>
      <c r="N462" s="147" t="str">
        <f t="shared" si="2"/>
        <v/>
      </c>
      <c r="O462" s="147" t="str">
        <f t="shared" si="21"/>
        <v/>
      </c>
      <c r="P462" s="147" t="str">
        <f>IFERROR(__xludf.DUMMYFUNCTION("if(C462="""","""",iferror(if(row()&lt;&gt;2,INDEX(arrayformula(filter($Q$2:$Q461,$C$2:$C461&lt;&gt;"""",row($C$2:$C461)=max(if($C$2:$C461=C462,row($C$2:$C461),0)))) ,1),0),0))"),"")</f>
        <v/>
      </c>
      <c r="Q462" s="147" t="str">
        <f t="shared" si="22"/>
        <v/>
      </c>
      <c r="R462" s="147" t="str">
        <f t="shared" si="23"/>
        <v/>
      </c>
      <c r="S462" s="147" t="str">
        <f t="shared" si="24"/>
        <v/>
      </c>
      <c r="T462" s="147" t="str">
        <f t="shared" si="7"/>
        <v/>
      </c>
      <c r="U462" s="150" t="str">
        <f t="shared" si="8"/>
        <v/>
      </c>
      <c r="V462" s="151" t="str">
        <f>IFERROR(VLOOKUP(C462,Ativos!$A$1:$G2000,5,),)</f>
        <v/>
      </c>
    </row>
    <row r="463" ht="21.0" customHeight="1">
      <c r="A463" s="152"/>
      <c r="B463" s="160"/>
      <c r="C463" s="153"/>
      <c r="D463" s="154"/>
      <c r="E463" s="139"/>
      <c r="F463" s="139"/>
      <c r="G463" s="139"/>
      <c r="H463" s="135"/>
      <c r="I463" s="141"/>
      <c r="J463" s="147" t="str">
        <f>IFERROR(__xludf.DUMMYFUNCTION("IF(ISBLANK(A463),IFERROR(1/0),IF(COUNT(FILTER(F:F,A:A=A463))&gt;1,TRUNC(N463*F463/SUM(FILTER(N:N,A:A=A463)),3),F463))"),"")</f>
        <v/>
      </c>
      <c r="K463" s="147" t="str">
        <f>IFERROR(__xludf.DUMMYFUNCTION("IF(ISBLANK(A463),IFERROR(1/0),IF(COUNT(FILTER(G:G,((A:A=A463)*(B:B=""V""))))&gt;1,TRUNC(N463*G463/SUM(FILTER(N:N,((A:A=A463)*(B:B=""V"")))),3),G463))"),"")</f>
        <v/>
      </c>
      <c r="L463" s="148" t="str">
        <f>IFERROR(__xludf.DUMMYFUNCTION("if($C463="""","""",iferror(if(row()&lt;&gt;2,INDEX(arrayformula(filter($M$2:$M462,$C$2:$C462&lt;&gt;"""",row($C$2:$C462)=max(if($C$2:$C462=C463,row($C$2:$C462),0)))) ,1),0),0))"),"")</f>
        <v/>
      </c>
      <c r="M463" s="148" t="str">
        <f t="shared" si="1"/>
        <v/>
      </c>
      <c r="N463" s="147" t="str">
        <f t="shared" si="2"/>
        <v/>
      </c>
      <c r="O463" s="147" t="str">
        <f t="shared" si="21"/>
        <v/>
      </c>
      <c r="P463" s="147" t="str">
        <f>IFERROR(__xludf.DUMMYFUNCTION("if(C463="""","""",iferror(if(row()&lt;&gt;2,INDEX(arrayformula(filter($Q$2:$Q462,$C$2:$C462&lt;&gt;"""",row($C$2:$C462)=max(if($C$2:$C462=C463,row($C$2:$C462),0)))) ,1),0),0))"),"")</f>
        <v/>
      </c>
      <c r="Q463" s="147" t="str">
        <f t="shared" si="22"/>
        <v/>
      </c>
      <c r="R463" s="147" t="str">
        <f t="shared" si="23"/>
        <v/>
      </c>
      <c r="S463" s="147" t="str">
        <f t="shared" si="24"/>
        <v/>
      </c>
      <c r="T463" s="147" t="str">
        <f t="shared" si="7"/>
        <v/>
      </c>
      <c r="U463" s="150" t="str">
        <f t="shared" si="8"/>
        <v/>
      </c>
      <c r="V463" s="151" t="str">
        <f>IFERROR(VLOOKUP(C463,Ativos!$A$1:$G2000,5,),)</f>
        <v/>
      </c>
    </row>
    <row r="464" ht="21.0" customHeight="1">
      <c r="A464" s="152"/>
      <c r="B464" s="160"/>
      <c r="C464" s="153"/>
      <c r="D464" s="154"/>
      <c r="E464" s="139"/>
      <c r="F464" s="139"/>
      <c r="G464" s="139"/>
      <c r="H464" s="135"/>
      <c r="I464" s="141"/>
      <c r="J464" s="147" t="str">
        <f>IFERROR(__xludf.DUMMYFUNCTION("IF(ISBLANK(A464),IFERROR(1/0),IF(COUNT(FILTER(F:F,A:A=A464))&gt;1,TRUNC(N464*F464/SUM(FILTER(N:N,A:A=A464)),3),F464))"),"")</f>
        <v/>
      </c>
      <c r="K464" s="147" t="str">
        <f>IFERROR(__xludf.DUMMYFUNCTION("IF(ISBLANK(A464),IFERROR(1/0),IF(COUNT(FILTER(G:G,((A:A=A464)*(B:B=""V""))))&gt;1,TRUNC(N464*G464/SUM(FILTER(N:N,((A:A=A464)*(B:B=""V"")))),3),G464))"),"")</f>
        <v/>
      </c>
      <c r="L464" s="148" t="str">
        <f>IFERROR(__xludf.DUMMYFUNCTION("if($C464="""","""",iferror(if(row()&lt;&gt;2,INDEX(arrayformula(filter($M$2:$M463,$C$2:$C463&lt;&gt;"""",row($C$2:$C463)=max(if($C$2:$C463=C464,row($C$2:$C463),0)))) ,1),0),0))"),"")</f>
        <v/>
      </c>
      <c r="M464" s="148" t="str">
        <f t="shared" si="1"/>
        <v/>
      </c>
      <c r="N464" s="147" t="str">
        <f t="shared" si="2"/>
        <v/>
      </c>
      <c r="O464" s="147" t="str">
        <f t="shared" si="21"/>
        <v/>
      </c>
      <c r="P464" s="147" t="str">
        <f>IFERROR(__xludf.DUMMYFUNCTION("if(C464="""","""",iferror(if(row()&lt;&gt;2,INDEX(arrayformula(filter($Q$2:$Q463,$C$2:$C463&lt;&gt;"""",row($C$2:$C463)=max(if($C$2:$C463=C464,row($C$2:$C463),0)))) ,1),0),0))"),"")</f>
        <v/>
      </c>
      <c r="Q464" s="147" t="str">
        <f t="shared" si="22"/>
        <v/>
      </c>
      <c r="R464" s="147" t="str">
        <f t="shared" si="23"/>
        <v/>
      </c>
      <c r="S464" s="147" t="str">
        <f t="shared" si="24"/>
        <v/>
      </c>
      <c r="T464" s="147" t="str">
        <f t="shared" si="7"/>
        <v/>
      </c>
      <c r="U464" s="150" t="str">
        <f t="shared" si="8"/>
        <v/>
      </c>
      <c r="V464" s="151" t="str">
        <f>IFERROR(VLOOKUP(C464,Ativos!$A$1:$G2000,5,),)</f>
        <v/>
      </c>
    </row>
    <row r="465" ht="21.0" customHeight="1">
      <c r="A465" s="152"/>
      <c r="B465" s="160"/>
      <c r="C465" s="153"/>
      <c r="D465" s="154"/>
      <c r="E465" s="139"/>
      <c r="F465" s="139"/>
      <c r="G465" s="139"/>
      <c r="H465" s="135"/>
      <c r="I465" s="141"/>
      <c r="J465" s="147" t="str">
        <f>IFERROR(__xludf.DUMMYFUNCTION("IF(ISBLANK(A465),IFERROR(1/0),IF(COUNT(FILTER(F:F,A:A=A465))&gt;1,TRUNC(N465*F465/SUM(FILTER(N:N,A:A=A465)),3),F465))"),"")</f>
        <v/>
      </c>
      <c r="K465" s="147" t="str">
        <f>IFERROR(__xludf.DUMMYFUNCTION("IF(ISBLANK(A465),IFERROR(1/0),IF(COUNT(FILTER(G:G,((A:A=A465)*(B:B=""V""))))&gt;1,TRUNC(N465*G465/SUM(FILTER(N:N,((A:A=A465)*(B:B=""V"")))),3),G465))"),"")</f>
        <v/>
      </c>
      <c r="L465" s="148" t="str">
        <f>IFERROR(__xludf.DUMMYFUNCTION("if($C465="""","""",iferror(if(row()&lt;&gt;2,INDEX(arrayformula(filter($M$2:$M464,$C$2:$C464&lt;&gt;"""",row($C$2:$C464)=max(if($C$2:$C464=C465,row($C$2:$C464),0)))) ,1),0),0))"),"")</f>
        <v/>
      </c>
      <c r="M465" s="148" t="str">
        <f t="shared" si="1"/>
        <v/>
      </c>
      <c r="N465" s="147" t="str">
        <f t="shared" si="2"/>
        <v/>
      </c>
      <c r="O465" s="147" t="str">
        <f t="shared" si="21"/>
        <v/>
      </c>
      <c r="P465" s="147" t="str">
        <f>IFERROR(__xludf.DUMMYFUNCTION("if(C465="""","""",iferror(if(row()&lt;&gt;2,INDEX(arrayformula(filter($Q$2:$Q464,$C$2:$C464&lt;&gt;"""",row($C$2:$C464)=max(if($C$2:$C464=C465,row($C$2:$C464),0)))) ,1),0),0))"),"")</f>
        <v/>
      </c>
      <c r="Q465" s="147" t="str">
        <f t="shared" si="22"/>
        <v/>
      </c>
      <c r="R465" s="147" t="str">
        <f t="shared" si="23"/>
        <v/>
      </c>
      <c r="S465" s="147" t="str">
        <f t="shared" si="24"/>
        <v/>
      </c>
      <c r="T465" s="147" t="str">
        <f t="shared" si="7"/>
        <v/>
      </c>
      <c r="U465" s="150" t="str">
        <f t="shared" si="8"/>
        <v/>
      </c>
      <c r="V465" s="151" t="str">
        <f>IFERROR(VLOOKUP(C465,Ativos!$A$1:$G2000,5,),)</f>
        <v/>
      </c>
    </row>
    <row r="466" ht="21.0" customHeight="1">
      <c r="A466" s="152"/>
      <c r="B466" s="160"/>
      <c r="C466" s="153"/>
      <c r="D466" s="154"/>
      <c r="E466" s="139"/>
      <c r="F466" s="139"/>
      <c r="G466" s="139"/>
      <c r="H466" s="135"/>
      <c r="I466" s="141"/>
      <c r="J466" s="147" t="str">
        <f>IFERROR(__xludf.DUMMYFUNCTION("IF(ISBLANK(A466),IFERROR(1/0),IF(COUNT(FILTER(F:F,A:A=A466))&gt;1,TRUNC(N466*F466/SUM(FILTER(N:N,A:A=A466)),3),F466))"),"")</f>
        <v/>
      </c>
      <c r="K466" s="147" t="str">
        <f>IFERROR(__xludf.DUMMYFUNCTION("IF(ISBLANK(A466),IFERROR(1/0),IF(COUNT(FILTER(G:G,((A:A=A466)*(B:B=""V""))))&gt;1,TRUNC(N466*G466/SUM(FILTER(N:N,((A:A=A466)*(B:B=""V"")))),3),G466))"),"")</f>
        <v/>
      </c>
      <c r="L466" s="148" t="str">
        <f>IFERROR(__xludf.DUMMYFUNCTION("if($C466="""","""",iferror(if(row()&lt;&gt;2,INDEX(arrayformula(filter($M$2:$M465,$C$2:$C465&lt;&gt;"""",row($C$2:$C465)=max(if($C$2:$C465=C466,row($C$2:$C465),0)))) ,1),0),0))"),"")</f>
        <v/>
      </c>
      <c r="M466" s="148" t="str">
        <f t="shared" si="1"/>
        <v/>
      </c>
      <c r="N466" s="147" t="str">
        <f t="shared" si="2"/>
        <v/>
      </c>
      <c r="O466" s="147" t="str">
        <f t="shared" si="21"/>
        <v/>
      </c>
      <c r="P466" s="147" t="str">
        <f>IFERROR(__xludf.DUMMYFUNCTION("if(C466="""","""",iferror(if(row()&lt;&gt;2,INDEX(arrayformula(filter($Q$2:$Q465,$C$2:$C465&lt;&gt;"""",row($C$2:$C465)=max(if($C$2:$C465=C466,row($C$2:$C465),0)))) ,1),0),0))"),"")</f>
        <v/>
      </c>
      <c r="Q466" s="147" t="str">
        <f t="shared" si="22"/>
        <v/>
      </c>
      <c r="R466" s="147" t="str">
        <f t="shared" si="23"/>
        <v/>
      </c>
      <c r="S466" s="147" t="str">
        <f t="shared" si="24"/>
        <v/>
      </c>
      <c r="T466" s="147" t="str">
        <f t="shared" si="7"/>
        <v/>
      </c>
      <c r="U466" s="150" t="str">
        <f t="shared" si="8"/>
        <v/>
      </c>
      <c r="V466" s="151" t="str">
        <f>IFERROR(VLOOKUP(C466,Ativos!$A$1:$G2000,5,),)</f>
        <v/>
      </c>
    </row>
    <row r="467" ht="21.0" customHeight="1">
      <c r="A467" s="152"/>
      <c r="B467" s="160"/>
      <c r="C467" s="153"/>
      <c r="D467" s="154"/>
      <c r="E467" s="139"/>
      <c r="F467" s="139"/>
      <c r="G467" s="139"/>
      <c r="H467" s="135"/>
      <c r="I467" s="141"/>
      <c r="J467" s="147" t="str">
        <f>IFERROR(__xludf.DUMMYFUNCTION("IF(ISBLANK(A467),IFERROR(1/0),IF(COUNT(FILTER(F:F,A:A=A467))&gt;1,TRUNC(N467*F467/SUM(FILTER(N:N,A:A=A467)),3),F467))"),"")</f>
        <v/>
      </c>
      <c r="K467" s="147" t="str">
        <f>IFERROR(__xludf.DUMMYFUNCTION("IF(ISBLANK(A467),IFERROR(1/0),IF(COUNT(FILTER(G:G,((A:A=A467)*(B:B=""V""))))&gt;1,TRUNC(N467*G467/SUM(FILTER(N:N,((A:A=A467)*(B:B=""V"")))),3),G467))"),"")</f>
        <v/>
      </c>
      <c r="L467" s="148" t="str">
        <f>IFERROR(__xludf.DUMMYFUNCTION("if($C467="""","""",iferror(if(row()&lt;&gt;2,INDEX(arrayformula(filter($M$2:$M466,$C$2:$C466&lt;&gt;"""",row($C$2:$C466)=max(if($C$2:$C466=C467,row($C$2:$C466),0)))) ,1),0),0))"),"")</f>
        <v/>
      </c>
      <c r="M467" s="148" t="str">
        <f t="shared" si="1"/>
        <v/>
      </c>
      <c r="N467" s="147" t="str">
        <f t="shared" si="2"/>
        <v/>
      </c>
      <c r="O467" s="147" t="str">
        <f t="shared" si="21"/>
        <v/>
      </c>
      <c r="P467" s="147" t="str">
        <f>IFERROR(__xludf.DUMMYFUNCTION("if(C467="""","""",iferror(if(row()&lt;&gt;2,INDEX(arrayformula(filter($Q$2:$Q466,$C$2:$C466&lt;&gt;"""",row($C$2:$C466)=max(if($C$2:$C466=C467,row($C$2:$C466),0)))) ,1),0),0))"),"")</f>
        <v/>
      </c>
      <c r="Q467" s="147" t="str">
        <f t="shared" si="22"/>
        <v/>
      </c>
      <c r="R467" s="147" t="str">
        <f t="shared" si="23"/>
        <v/>
      </c>
      <c r="S467" s="147" t="str">
        <f t="shared" si="24"/>
        <v/>
      </c>
      <c r="T467" s="147" t="str">
        <f t="shared" si="7"/>
        <v/>
      </c>
      <c r="U467" s="150" t="str">
        <f t="shared" si="8"/>
        <v/>
      </c>
      <c r="V467" s="151" t="str">
        <f>IFERROR(VLOOKUP(C467,Ativos!$A$1:$G2000,5,),)</f>
        <v/>
      </c>
    </row>
    <row r="468" ht="21.0" customHeight="1">
      <c r="A468" s="152"/>
      <c r="B468" s="160"/>
      <c r="C468" s="153"/>
      <c r="D468" s="154"/>
      <c r="E468" s="139"/>
      <c r="F468" s="139"/>
      <c r="G468" s="139"/>
      <c r="H468" s="135"/>
      <c r="I468" s="141"/>
      <c r="J468" s="147" t="str">
        <f>IFERROR(__xludf.DUMMYFUNCTION("IF(ISBLANK(A468),IFERROR(1/0),IF(COUNT(FILTER(F:F,A:A=A468))&gt;1,TRUNC(N468*F468/SUM(FILTER(N:N,A:A=A468)),3),F468))"),"")</f>
        <v/>
      </c>
      <c r="K468" s="147" t="str">
        <f>IFERROR(__xludf.DUMMYFUNCTION("IF(ISBLANK(A468),IFERROR(1/0),IF(COUNT(FILTER(G:G,((A:A=A468)*(B:B=""V""))))&gt;1,TRUNC(N468*G468/SUM(FILTER(N:N,((A:A=A468)*(B:B=""V"")))),3),G468))"),"")</f>
        <v/>
      </c>
      <c r="L468" s="148" t="str">
        <f>IFERROR(__xludf.DUMMYFUNCTION("if($C468="""","""",iferror(if(row()&lt;&gt;2,INDEX(arrayformula(filter($M$2:$M467,$C$2:$C467&lt;&gt;"""",row($C$2:$C467)=max(if($C$2:$C467=C468,row($C$2:$C467),0)))) ,1),0),0))"),"")</f>
        <v/>
      </c>
      <c r="M468" s="148" t="str">
        <f t="shared" si="1"/>
        <v/>
      </c>
      <c r="N468" s="147" t="str">
        <f t="shared" si="2"/>
        <v/>
      </c>
      <c r="O468" s="147" t="str">
        <f t="shared" si="21"/>
        <v/>
      </c>
      <c r="P468" s="147" t="str">
        <f>IFERROR(__xludf.DUMMYFUNCTION("if(C468="""","""",iferror(if(row()&lt;&gt;2,INDEX(arrayformula(filter($Q$2:$Q467,$C$2:$C467&lt;&gt;"""",row($C$2:$C467)=max(if($C$2:$C467=C468,row($C$2:$C467),0)))) ,1),0),0))"),"")</f>
        <v/>
      </c>
      <c r="Q468" s="147" t="str">
        <f t="shared" si="22"/>
        <v/>
      </c>
      <c r="R468" s="147" t="str">
        <f t="shared" si="23"/>
        <v/>
      </c>
      <c r="S468" s="147" t="str">
        <f t="shared" si="24"/>
        <v/>
      </c>
      <c r="T468" s="147" t="str">
        <f t="shared" si="7"/>
        <v/>
      </c>
      <c r="U468" s="150" t="str">
        <f t="shared" si="8"/>
        <v/>
      </c>
      <c r="V468" s="151" t="str">
        <f>IFERROR(VLOOKUP(C468,Ativos!$A$1:$G2000,5,),)</f>
        <v/>
      </c>
    </row>
    <row r="469" ht="21.0" customHeight="1">
      <c r="A469" s="152"/>
      <c r="B469" s="160"/>
      <c r="C469" s="153"/>
      <c r="D469" s="154"/>
      <c r="E469" s="139"/>
      <c r="F469" s="139"/>
      <c r="G469" s="139"/>
      <c r="H469" s="135"/>
      <c r="I469" s="141"/>
      <c r="J469" s="147" t="str">
        <f>IFERROR(__xludf.DUMMYFUNCTION("IF(ISBLANK(A469),IFERROR(1/0),IF(COUNT(FILTER(F:F,A:A=A469))&gt;1,TRUNC(N469*F469/SUM(FILTER(N:N,A:A=A469)),3),F469))"),"")</f>
        <v/>
      </c>
      <c r="K469" s="147" t="str">
        <f>IFERROR(__xludf.DUMMYFUNCTION("IF(ISBLANK(A469),IFERROR(1/0),IF(COUNT(FILTER(G:G,((A:A=A469)*(B:B=""V""))))&gt;1,TRUNC(N469*G469/SUM(FILTER(N:N,((A:A=A469)*(B:B=""V"")))),3),G469))"),"")</f>
        <v/>
      </c>
      <c r="L469" s="148" t="str">
        <f>IFERROR(__xludf.DUMMYFUNCTION("if($C469="""","""",iferror(if(row()&lt;&gt;2,INDEX(arrayformula(filter($M$2:$M468,$C$2:$C468&lt;&gt;"""",row($C$2:$C468)=max(if($C$2:$C468=C469,row($C$2:$C468),0)))) ,1),0),0))"),"")</f>
        <v/>
      </c>
      <c r="M469" s="148" t="str">
        <f t="shared" si="1"/>
        <v/>
      </c>
      <c r="N469" s="147" t="str">
        <f t="shared" si="2"/>
        <v/>
      </c>
      <c r="O469" s="147" t="str">
        <f t="shared" si="21"/>
        <v/>
      </c>
      <c r="P469" s="147" t="str">
        <f>IFERROR(__xludf.DUMMYFUNCTION("if(C469="""","""",iferror(if(row()&lt;&gt;2,INDEX(arrayformula(filter($Q$2:$Q468,$C$2:$C468&lt;&gt;"""",row($C$2:$C468)=max(if($C$2:$C468=C469,row($C$2:$C468),0)))) ,1),0),0))"),"")</f>
        <v/>
      </c>
      <c r="Q469" s="147" t="str">
        <f t="shared" si="22"/>
        <v/>
      </c>
      <c r="R469" s="147" t="str">
        <f t="shared" si="23"/>
        <v/>
      </c>
      <c r="S469" s="147" t="str">
        <f t="shared" si="24"/>
        <v/>
      </c>
      <c r="T469" s="147" t="str">
        <f t="shared" si="7"/>
        <v/>
      </c>
      <c r="U469" s="150" t="str">
        <f t="shared" si="8"/>
        <v/>
      </c>
      <c r="V469" s="151" t="str">
        <f>IFERROR(VLOOKUP(C469,Ativos!$A$1:$G2000,5,),)</f>
        <v/>
      </c>
    </row>
    <row r="470" ht="21.0" customHeight="1">
      <c r="A470" s="152"/>
      <c r="B470" s="160"/>
      <c r="C470" s="153"/>
      <c r="D470" s="154"/>
      <c r="E470" s="139"/>
      <c r="F470" s="139"/>
      <c r="G470" s="139"/>
      <c r="H470" s="135"/>
      <c r="I470" s="141"/>
      <c r="J470" s="147" t="str">
        <f>IFERROR(__xludf.DUMMYFUNCTION("IF(ISBLANK(A470),IFERROR(1/0),IF(COUNT(FILTER(F:F,A:A=A470))&gt;1,TRUNC(N470*F470/SUM(FILTER(N:N,A:A=A470)),3),F470))"),"")</f>
        <v/>
      </c>
      <c r="K470" s="147" t="str">
        <f>IFERROR(__xludf.DUMMYFUNCTION("IF(ISBLANK(A470),IFERROR(1/0),IF(COUNT(FILTER(G:G,((A:A=A470)*(B:B=""V""))))&gt;1,TRUNC(N470*G470/SUM(FILTER(N:N,((A:A=A470)*(B:B=""V"")))),3),G470))"),"")</f>
        <v/>
      </c>
      <c r="L470" s="148" t="str">
        <f>IFERROR(__xludf.DUMMYFUNCTION("if($C470="""","""",iferror(if(row()&lt;&gt;2,INDEX(arrayformula(filter($M$2:$M469,$C$2:$C469&lt;&gt;"""",row($C$2:$C469)=max(if($C$2:$C469=C470,row($C$2:$C469),0)))) ,1),0),0))"),"")</f>
        <v/>
      </c>
      <c r="M470" s="148" t="str">
        <f t="shared" si="1"/>
        <v/>
      </c>
      <c r="N470" s="147" t="str">
        <f t="shared" si="2"/>
        <v/>
      </c>
      <c r="O470" s="147" t="str">
        <f t="shared" si="21"/>
        <v/>
      </c>
      <c r="P470" s="147" t="str">
        <f>IFERROR(__xludf.DUMMYFUNCTION("if(C470="""","""",iferror(if(row()&lt;&gt;2,INDEX(arrayformula(filter($Q$2:$Q469,$C$2:$C469&lt;&gt;"""",row($C$2:$C469)=max(if($C$2:$C469=C470,row($C$2:$C469),0)))) ,1),0),0))"),"")</f>
        <v/>
      </c>
      <c r="Q470" s="147" t="str">
        <f t="shared" si="22"/>
        <v/>
      </c>
      <c r="R470" s="147" t="str">
        <f t="shared" si="23"/>
        <v/>
      </c>
      <c r="S470" s="147" t="str">
        <f t="shared" si="24"/>
        <v/>
      </c>
      <c r="T470" s="147" t="str">
        <f t="shared" si="7"/>
        <v/>
      </c>
      <c r="U470" s="150" t="str">
        <f t="shared" si="8"/>
        <v/>
      </c>
      <c r="V470" s="151" t="str">
        <f>IFERROR(VLOOKUP(C470,Ativos!$A$1:$G2000,5,),)</f>
        <v/>
      </c>
    </row>
    <row r="471" ht="21.0" customHeight="1">
      <c r="A471" s="152"/>
      <c r="B471" s="160"/>
      <c r="C471" s="153"/>
      <c r="D471" s="154"/>
      <c r="E471" s="139"/>
      <c r="F471" s="139"/>
      <c r="G471" s="139"/>
      <c r="H471" s="135"/>
      <c r="I471" s="141"/>
      <c r="J471" s="147" t="str">
        <f>IFERROR(__xludf.DUMMYFUNCTION("IF(ISBLANK(A471),IFERROR(1/0),IF(COUNT(FILTER(F:F,A:A=A471))&gt;1,TRUNC(N471*F471/SUM(FILTER(N:N,A:A=A471)),3),F471))"),"")</f>
        <v/>
      </c>
      <c r="K471" s="147" t="str">
        <f>IFERROR(__xludf.DUMMYFUNCTION("IF(ISBLANK(A471),IFERROR(1/0),IF(COUNT(FILTER(G:G,((A:A=A471)*(B:B=""V""))))&gt;1,TRUNC(N471*G471/SUM(FILTER(N:N,((A:A=A471)*(B:B=""V"")))),3),G471))"),"")</f>
        <v/>
      </c>
      <c r="L471" s="148" t="str">
        <f>IFERROR(__xludf.DUMMYFUNCTION("if($C471="""","""",iferror(if(row()&lt;&gt;2,INDEX(arrayformula(filter($M$2:$M470,$C$2:$C470&lt;&gt;"""",row($C$2:$C470)=max(if($C$2:$C470=C471,row($C$2:$C470),0)))) ,1),0),0))"),"")</f>
        <v/>
      </c>
      <c r="M471" s="148" t="str">
        <f t="shared" si="1"/>
        <v/>
      </c>
      <c r="N471" s="147" t="str">
        <f t="shared" si="2"/>
        <v/>
      </c>
      <c r="O471" s="147" t="str">
        <f t="shared" si="21"/>
        <v/>
      </c>
      <c r="P471" s="147" t="str">
        <f>IFERROR(__xludf.DUMMYFUNCTION("if(C471="""","""",iferror(if(row()&lt;&gt;2,INDEX(arrayformula(filter($Q$2:$Q470,$C$2:$C470&lt;&gt;"""",row($C$2:$C470)=max(if($C$2:$C470=C471,row($C$2:$C470),0)))) ,1),0),0))"),"")</f>
        <v/>
      </c>
      <c r="Q471" s="147" t="str">
        <f t="shared" si="22"/>
        <v/>
      </c>
      <c r="R471" s="147" t="str">
        <f t="shared" si="23"/>
        <v/>
      </c>
      <c r="S471" s="147" t="str">
        <f t="shared" si="24"/>
        <v/>
      </c>
      <c r="T471" s="147" t="str">
        <f t="shared" si="7"/>
        <v/>
      </c>
      <c r="U471" s="150" t="str">
        <f t="shared" si="8"/>
        <v/>
      </c>
      <c r="V471" s="151" t="str">
        <f>IFERROR(VLOOKUP(C471,Ativos!$A$1:$G2000,5,),)</f>
        <v/>
      </c>
    </row>
    <row r="472" ht="21.0" customHeight="1">
      <c r="A472" s="152"/>
      <c r="B472" s="160"/>
      <c r="C472" s="153"/>
      <c r="D472" s="154"/>
      <c r="E472" s="139"/>
      <c r="F472" s="139"/>
      <c r="G472" s="139"/>
      <c r="H472" s="135"/>
      <c r="I472" s="141"/>
      <c r="J472" s="147" t="str">
        <f>IFERROR(__xludf.DUMMYFUNCTION("IF(ISBLANK(A472),IFERROR(1/0),IF(COUNT(FILTER(F:F,A:A=A472))&gt;1,TRUNC(N472*F472/SUM(FILTER(N:N,A:A=A472)),3),F472))"),"")</f>
        <v/>
      </c>
      <c r="K472" s="147" t="str">
        <f>IFERROR(__xludf.DUMMYFUNCTION("IF(ISBLANK(A472),IFERROR(1/0),IF(COUNT(FILTER(G:G,((A:A=A472)*(B:B=""V""))))&gt;1,TRUNC(N472*G472/SUM(FILTER(N:N,((A:A=A472)*(B:B=""V"")))),3),G472))"),"")</f>
        <v/>
      </c>
      <c r="L472" s="148" t="str">
        <f>IFERROR(__xludf.DUMMYFUNCTION("if($C472="""","""",iferror(if(row()&lt;&gt;2,INDEX(arrayformula(filter($M$2:$M471,$C$2:$C471&lt;&gt;"""",row($C$2:$C471)=max(if($C$2:$C471=C472,row($C$2:$C471),0)))) ,1),0),0))"),"")</f>
        <v/>
      </c>
      <c r="M472" s="148" t="str">
        <f t="shared" si="1"/>
        <v/>
      </c>
      <c r="N472" s="147" t="str">
        <f t="shared" si="2"/>
        <v/>
      </c>
      <c r="O472" s="147" t="str">
        <f t="shared" si="21"/>
        <v/>
      </c>
      <c r="P472" s="147" t="str">
        <f>IFERROR(__xludf.DUMMYFUNCTION("if(C472="""","""",iferror(if(row()&lt;&gt;2,INDEX(arrayformula(filter($Q$2:$Q471,$C$2:$C471&lt;&gt;"""",row($C$2:$C471)=max(if($C$2:$C471=C472,row($C$2:$C471),0)))) ,1),0),0))"),"")</f>
        <v/>
      </c>
      <c r="Q472" s="147" t="str">
        <f t="shared" si="22"/>
        <v/>
      </c>
      <c r="R472" s="147" t="str">
        <f t="shared" si="23"/>
        <v/>
      </c>
      <c r="S472" s="147" t="str">
        <f t="shared" si="24"/>
        <v/>
      </c>
      <c r="T472" s="147" t="str">
        <f t="shared" si="7"/>
        <v/>
      </c>
      <c r="U472" s="150" t="str">
        <f t="shared" si="8"/>
        <v/>
      </c>
      <c r="V472" s="151" t="str">
        <f>IFERROR(VLOOKUP(C472,Ativos!$A$1:$G2000,5,),)</f>
        <v/>
      </c>
    </row>
    <row r="473" ht="21.0" customHeight="1">
      <c r="A473" s="152"/>
      <c r="B473" s="160"/>
      <c r="C473" s="153"/>
      <c r="D473" s="154"/>
      <c r="E473" s="139"/>
      <c r="F473" s="139"/>
      <c r="G473" s="139"/>
      <c r="H473" s="135"/>
      <c r="I473" s="141"/>
      <c r="J473" s="147" t="str">
        <f>IFERROR(__xludf.DUMMYFUNCTION("IF(ISBLANK(A473),IFERROR(1/0),IF(COUNT(FILTER(F:F,A:A=A473))&gt;1,TRUNC(N473*F473/SUM(FILTER(N:N,A:A=A473)),3),F473))"),"")</f>
        <v/>
      </c>
      <c r="K473" s="147" t="str">
        <f>IFERROR(__xludf.DUMMYFUNCTION("IF(ISBLANK(A473),IFERROR(1/0),IF(COUNT(FILTER(G:G,((A:A=A473)*(B:B=""V""))))&gt;1,TRUNC(N473*G473/SUM(FILTER(N:N,((A:A=A473)*(B:B=""V"")))),3),G473))"),"")</f>
        <v/>
      </c>
      <c r="L473" s="148" t="str">
        <f>IFERROR(__xludf.DUMMYFUNCTION("if($C473="""","""",iferror(if(row()&lt;&gt;2,INDEX(arrayformula(filter($M$2:$M472,$C$2:$C472&lt;&gt;"""",row($C$2:$C472)=max(if($C$2:$C472=C473,row($C$2:$C472),0)))) ,1),0),0))"),"")</f>
        <v/>
      </c>
      <c r="M473" s="148" t="str">
        <f t="shared" si="1"/>
        <v/>
      </c>
      <c r="N473" s="147" t="str">
        <f t="shared" si="2"/>
        <v/>
      </c>
      <c r="O473" s="147" t="str">
        <f t="shared" si="21"/>
        <v/>
      </c>
      <c r="P473" s="147" t="str">
        <f>IFERROR(__xludf.DUMMYFUNCTION("if(C473="""","""",iferror(if(row()&lt;&gt;2,INDEX(arrayformula(filter($Q$2:$Q472,$C$2:$C472&lt;&gt;"""",row($C$2:$C472)=max(if($C$2:$C472=C473,row($C$2:$C472),0)))) ,1),0),0))"),"")</f>
        <v/>
      </c>
      <c r="Q473" s="147" t="str">
        <f t="shared" si="22"/>
        <v/>
      </c>
      <c r="R473" s="147" t="str">
        <f t="shared" si="23"/>
        <v/>
      </c>
      <c r="S473" s="147" t="str">
        <f t="shared" si="24"/>
        <v/>
      </c>
      <c r="T473" s="147" t="str">
        <f t="shared" si="7"/>
        <v/>
      </c>
      <c r="U473" s="150" t="str">
        <f t="shared" si="8"/>
        <v/>
      </c>
      <c r="V473" s="151" t="str">
        <f>IFERROR(VLOOKUP(C473,Ativos!$A$1:$G2000,5,),)</f>
        <v/>
      </c>
    </row>
    <row r="474" ht="21.0" customHeight="1">
      <c r="A474" s="152"/>
      <c r="B474" s="160"/>
      <c r="C474" s="153"/>
      <c r="D474" s="154"/>
      <c r="E474" s="139"/>
      <c r="F474" s="139"/>
      <c r="G474" s="139"/>
      <c r="H474" s="135"/>
      <c r="I474" s="141"/>
      <c r="J474" s="147" t="str">
        <f>IFERROR(__xludf.DUMMYFUNCTION("IF(ISBLANK(A474),IFERROR(1/0),IF(COUNT(FILTER(F:F,A:A=A474))&gt;1,TRUNC(N474*F474/SUM(FILTER(N:N,A:A=A474)),3),F474))"),"")</f>
        <v/>
      </c>
      <c r="K474" s="147" t="str">
        <f>IFERROR(__xludf.DUMMYFUNCTION("IF(ISBLANK(A474),IFERROR(1/0),IF(COUNT(FILTER(G:G,((A:A=A474)*(B:B=""V""))))&gt;1,TRUNC(N474*G474/SUM(FILTER(N:N,((A:A=A474)*(B:B=""V"")))),3),G474))"),"")</f>
        <v/>
      </c>
      <c r="L474" s="148" t="str">
        <f>IFERROR(__xludf.DUMMYFUNCTION("if($C474="""","""",iferror(if(row()&lt;&gt;2,INDEX(arrayformula(filter($M$2:$M473,$C$2:$C473&lt;&gt;"""",row($C$2:$C473)=max(if($C$2:$C473=C474,row($C$2:$C473),0)))) ,1),0),0))"),"")</f>
        <v/>
      </c>
      <c r="M474" s="148" t="str">
        <f t="shared" si="1"/>
        <v/>
      </c>
      <c r="N474" s="147" t="str">
        <f t="shared" si="2"/>
        <v/>
      </c>
      <c r="O474" s="147" t="str">
        <f t="shared" si="21"/>
        <v/>
      </c>
      <c r="P474" s="147" t="str">
        <f>IFERROR(__xludf.DUMMYFUNCTION("if(C474="""","""",iferror(if(row()&lt;&gt;2,INDEX(arrayformula(filter($Q$2:$Q473,$C$2:$C473&lt;&gt;"""",row($C$2:$C473)=max(if($C$2:$C473=C474,row($C$2:$C473),0)))) ,1),0),0))"),"")</f>
        <v/>
      </c>
      <c r="Q474" s="147" t="str">
        <f t="shared" si="22"/>
        <v/>
      </c>
      <c r="R474" s="147" t="str">
        <f t="shared" si="23"/>
        <v/>
      </c>
      <c r="S474" s="147" t="str">
        <f t="shared" si="24"/>
        <v/>
      </c>
      <c r="T474" s="147" t="str">
        <f t="shared" si="7"/>
        <v/>
      </c>
      <c r="U474" s="150" t="str">
        <f t="shared" si="8"/>
        <v/>
      </c>
      <c r="V474" s="151" t="str">
        <f>IFERROR(VLOOKUP(C474,Ativos!$A$1:$G2000,5,),)</f>
        <v/>
      </c>
    </row>
    <row r="475" ht="21.0" customHeight="1">
      <c r="A475" s="152"/>
      <c r="B475" s="160"/>
      <c r="C475" s="153"/>
      <c r="D475" s="154"/>
      <c r="E475" s="139"/>
      <c r="F475" s="139"/>
      <c r="G475" s="139"/>
      <c r="H475" s="135"/>
      <c r="I475" s="141"/>
      <c r="J475" s="147" t="str">
        <f>IFERROR(__xludf.DUMMYFUNCTION("IF(ISBLANK(A475),IFERROR(1/0),IF(COUNT(FILTER(F:F,A:A=A475))&gt;1,TRUNC(N475*F475/SUM(FILTER(N:N,A:A=A475)),3),F475))"),"")</f>
        <v/>
      </c>
      <c r="K475" s="147" t="str">
        <f>IFERROR(__xludf.DUMMYFUNCTION("IF(ISBLANK(A475),IFERROR(1/0),IF(COUNT(FILTER(G:G,((A:A=A475)*(B:B=""V""))))&gt;1,TRUNC(N475*G475/SUM(FILTER(N:N,((A:A=A475)*(B:B=""V"")))),3),G475))"),"")</f>
        <v/>
      </c>
      <c r="L475" s="148" t="str">
        <f>IFERROR(__xludf.DUMMYFUNCTION("if($C475="""","""",iferror(if(row()&lt;&gt;2,INDEX(arrayformula(filter($M$2:$M474,$C$2:$C474&lt;&gt;"""",row($C$2:$C474)=max(if($C$2:$C474=C475,row($C$2:$C474),0)))) ,1),0),0))"),"")</f>
        <v/>
      </c>
      <c r="M475" s="148" t="str">
        <f t="shared" si="1"/>
        <v/>
      </c>
      <c r="N475" s="147" t="str">
        <f t="shared" si="2"/>
        <v/>
      </c>
      <c r="O475" s="147" t="str">
        <f t="shared" si="21"/>
        <v/>
      </c>
      <c r="P475" s="147" t="str">
        <f>IFERROR(__xludf.DUMMYFUNCTION("if(C475="""","""",iferror(if(row()&lt;&gt;2,INDEX(arrayformula(filter($Q$2:$Q474,$C$2:$C474&lt;&gt;"""",row($C$2:$C474)=max(if($C$2:$C474=C475,row($C$2:$C474),0)))) ,1),0),0))"),"")</f>
        <v/>
      </c>
      <c r="Q475" s="147" t="str">
        <f t="shared" si="22"/>
        <v/>
      </c>
      <c r="R475" s="147" t="str">
        <f t="shared" si="23"/>
        <v/>
      </c>
      <c r="S475" s="147" t="str">
        <f t="shared" si="24"/>
        <v/>
      </c>
      <c r="T475" s="147" t="str">
        <f t="shared" si="7"/>
        <v/>
      </c>
      <c r="U475" s="150" t="str">
        <f t="shared" si="8"/>
        <v/>
      </c>
      <c r="V475" s="151" t="str">
        <f>IFERROR(VLOOKUP(C475,Ativos!$A$1:$G2000,5,),)</f>
        <v/>
      </c>
    </row>
    <row r="476" ht="21.0" customHeight="1">
      <c r="A476" s="152"/>
      <c r="B476" s="160"/>
      <c r="C476" s="153"/>
      <c r="D476" s="154"/>
      <c r="E476" s="139"/>
      <c r="F476" s="139"/>
      <c r="G476" s="139"/>
      <c r="H476" s="135"/>
      <c r="I476" s="141"/>
      <c r="J476" s="147" t="str">
        <f>IFERROR(__xludf.DUMMYFUNCTION("IF(ISBLANK(A476),IFERROR(1/0),IF(COUNT(FILTER(F:F,A:A=A476))&gt;1,TRUNC(N476*F476/SUM(FILTER(N:N,A:A=A476)),3),F476))"),"")</f>
        <v/>
      </c>
      <c r="K476" s="147" t="str">
        <f>IFERROR(__xludf.DUMMYFUNCTION("IF(ISBLANK(A476),IFERROR(1/0),IF(COUNT(FILTER(G:G,((A:A=A476)*(B:B=""V""))))&gt;1,TRUNC(N476*G476/SUM(FILTER(N:N,((A:A=A476)*(B:B=""V"")))),3),G476))"),"")</f>
        <v/>
      </c>
      <c r="L476" s="148" t="str">
        <f>IFERROR(__xludf.DUMMYFUNCTION("if($C476="""","""",iferror(if(row()&lt;&gt;2,INDEX(arrayformula(filter($M$2:$M475,$C$2:$C475&lt;&gt;"""",row($C$2:$C475)=max(if($C$2:$C475=C476,row($C$2:$C475),0)))) ,1),0),0))"),"")</f>
        <v/>
      </c>
      <c r="M476" s="148" t="str">
        <f t="shared" si="1"/>
        <v/>
      </c>
      <c r="N476" s="147" t="str">
        <f t="shared" si="2"/>
        <v/>
      </c>
      <c r="O476" s="147" t="str">
        <f t="shared" si="21"/>
        <v/>
      </c>
      <c r="P476" s="147" t="str">
        <f>IFERROR(__xludf.DUMMYFUNCTION("if(C476="""","""",iferror(if(row()&lt;&gt;2,INDEX(arrayformula(filter($Q$2:$Q475,$C$2:$C475&lt;&gt;"""",row($C$2:$C475)=max(if($C$2:$C475=C476,row($C$2:$C475),0)))) ,1),0),0))"),"")</f>
        <v/>
      </c>
      <c r="Q476" s="147" t="str">
        <f t="shared" si="22"/>
        <v/>
      </c>
      <c r="R476" s="147" t="str">
        <f t="shared" si="23"/>
        <v/>
      </c>
      <c r="S476" s="147" t="str">
        <f t="shared" si="24"/>
        <v/>
      </c>
      <c r="T476" s="147" t="str">
        <f t="shared" si="7"/>
        <v/>
      </c>
      <c r="U476" s="150" t="str">
        <f t="shared" si="8"/>
        <v/>
      </c>
      <c r="V476" s="151" t="str">
        <f>IFERROR(VLOOKUP(C476,Ativos!$A$1:$G2000,5,),)</f>
        <v/>
      </c>
    </row>
    <row r="477" ht="21.0" customHeight="1">
      <c r="A477" s="152"/>
      <c r="B477" s="160"/>
      <c r="C477" s="153"/>
      <c r="D477" s="154"/>
      <c r="E477" s="139"/>
      <c r="F477" s="139"/>
      <c r="G477" s="139"/>
      <c r="H477" s="135"/>
      <c r="I477" s="141"/>
      <c r="J477" s="147" t="str">
        <f>IFERROR(__xludf.DUMMYFUNCTION("IF(ISBLANK(A477),IFERROR(1/0),IF(COUNT(FILTER(F:F,A:A=A477))&gt;1,TRUNC(N477*F477/SUM(FILTER(N:N,A:A=A477)),3),F477))"),"")</f>
        <v/>
      </c>
      <c r="K477" s="147" t="str">
        <f>IFERROR(__xludf.DUMMYFUNCTION("IF(ISBLANK(A477),IFERROR(1/0),IF(COUNT(FILTER(G:G,((A:A=A477)*(B:B=""V""))))&gt;1,TRUNC(N477*G477/SUM(FILTER(N:N,((A:A=A477)*(B:B=""V"")))),3),G477))"),"")</f>
        <v/>
      </c>
      <c r="L477" s="148" t="str">
        <f>IFERROR(__xludf.DUMMYFUNCTION("if($C477="""","""",iferror(if(row()&lt;&gt;2,INDEX(arrayformula(filter($M$2:$M476,$C$2:$C476&lt;&gt;"""",row($C$2:$C476)=max(if($C$2:$C476=C477,row($C$2:$C476),0)))) ,1),0),0))"),"")</f>
        <v/>
      </c>
      <c r="M477" s="148" t="str">
        <f t="shared" si="1"/>
        <v/>
      </c>
      <c r="N477" s="147" t="str">
        <f t="shared" si="2"/>
        <v/>
      </c>
      <c r="O477" s="147" t="str">
        <f t="shared" si="21"/>
        <v/>
      </c>
      <c r="P477" s="147" t="str">
        <f>IFERROR(__xludf.DUMMYFUNCTION("if(C477="""","""",iferror(if(row()&lt;&gt;2,INDEX(arrayformula(filter($Q$2:$Q476,$C$2:$C476&lt;&gt;"""",row($C$2:$C476)=max(if($C$2:$C476=C477,row($C$2:$C476),0)))) ,1),0),0))"),"")</f>
        <v/>
      </c>
      <c r="Q477" s="147" t="str">
        <f t="shared" si="22"/>
        <v/>
      </c>
      <c r="R477" s="147" t="str">
        <f t="shared" si="23"/>
        <v/>
      </c>
      <c r="S477" s="147" t="str">
        <f t="shared" si="24"/>
        <v/>
      </c>
      <c r="T477" s="147" t="str">
        <f t="shared" si="7"/>
        <v/>
      </c>
      <c r="U477" s="150" t="str">
        <f t="shared" si="8"/>
        <v/>
      </c>
      <c r="V477" s="151" t="str">
        <f>IFERROR(VLOOKUP(C477,Ativos!$A$1:$G2000,5,),)</f>
        <v/>
      </c>
    </row>
    <row r="478" ht="21.0" customHeight="1">
      <c r="A478" s="152"/>
      <c r="B478" s="160"/>
      <c r="C478" s="153"/>
      <c r="D478" s="154"/>
      <c r="E478" s="139"/>
      <c r="F478" s="139"/>
      <c r="G478" s="139"/>
      <c r="H478" s="135"/>
      <c r="I478" s="141"/>
      <c r="J478" s="147" t="str">
        <f>IFERROR(__xludf.DUMMYFUNCTION("IF(ISBLANK(A478),IFERROR(1/0),IF(COUNT(FILTER(F:F,A:A=A478))&gt;1,TRUNC(N478*F478/SUM(FILTER(N:N,A:A=A478)),3),F478))"),"")</f>
        <v/>
      </c>
      <c r="K478" s="147" t="str">
        <f>IFERROR(__xludf.DUMMYFUNCTION("IF(ISBLANK(A478),IFERROR(1/0),IF(COUNT(FILTER(G:G,((A:A=A478)*(B:B=""V""))))&gt;1,TRUNC(N478*G478/SUM(FILTER(N:N,((A:A=A478)*(B:B=""V"")))),3),G478))"),"")</f>
        <v/>
      </c>
      <c r="L478" s="148" t="str">
        <f>IFERROR(__xludf.DUMMYFUNCTION("if($C478="""","""",iferror(if(row()&lt;&gt;2,INDEX(arrayformula(filter($M$2:$M477,$C$2:$C477&lt;&gt;"""",row($C$2:$C477)=max(if($C$2:$C477=C478,row($C$2:$C477),0)))) ,1),0),0))"),"")</f>
        <v/>
      </c>
      <c r="M478" s="148" t="str">
        <f t="shared" si="1"/>
        <v/>
      </c>
      <c r="N478" s="147" t="str">
        <f t="shared" si="2"/>
        <v/>
      </c>
      <c r="O478" s="147" t="str">
        <f t="shared" si="21"/>
        <v/>
      </c>
      <c r="P478" s="147" t="str">
        <f>IFERROR(__xludf.DUMMYFUNCTION("if(C478="""","""",iferror(if(row()&lt;&gt;2,INDEX(arrayformula(filter($Q$2:$Q477,$C$2:$C477&lt;&gt;"""",row($C$2:$C477)=max(if($C$2:$C477=C478,row($C$2:$C477),0)))) ,1),0),0))"),"")</f>
        <v/>
      </c>
      <c r="Q478" s="147" t="str">
        <f t="shared" si="22"/>
        <v/>
      </c>
      <c r="R478" s="147" t="str">
        <f t="shared" si="23"/>
        <v/>
      </c>
      <c r="S478" s="147" t="str">
        <f t="shared" si="24"/>
        <v/>
      </c>
      <c r="T478" s="147" t="str">
        <f t="shared" si="7"/>
        <v/>
      </c>
      <c r="U478" s="150" t="str">
        <f t="shared" si="8"/>
        <v/>
      </c>
      <c r="V478" s="151" t="str">
        <f>IFERROR(VLOOKUP(C478,Ativos!$A$1:$G2000,5,),)</f>
        <v/>
      </c>
    </row>
    <row r="479" ht="21.0" customHeight="1">
      <c r="A479" s="152"/>
      <c r="B479" s="160"/>
      <c r="C479" s="153"/>
      <c r="D479" s="154"/>
      <c r="E479" s="139"/>
      <c r="F479" s="139"/>
      <c r="G479" s="139"/>
      <c r="H479" s="135"/>
      <c r="I479" s="141"/>
      <c r="J479" s="147" t="str">
        <f>IFERROR(__xludf.DUMMYFUNCTION("IF(ISBLANK(A479),IFERROR(1/0),IF(COUNT(FILTER(F:F,A:A=A479))&gt;1,TRUNC(N479*F479/SUM(FILTER(N:N,A:A=A479)),3),F479))"),"")</f>
        <v/>
      </c>
      <c r="K479" s="147" t="str">
        <f>IFERROR(__xludf.DUMMYFUNCTION("IF(ISBLANK(A479),IFERROR(1/0),IF(COUNT(FILTER(G:G,((A:A=A479)*(B:B=""V""))))&gt;1,TRUNC(N479*G479/SUM(FILTER(N:N,((A:A=A479)*(B:B=""V"")))),3),G479))"),"")</f>
        <v/>
      </c>
      <c r="L479" s="148" t="str">
        <f>IFERROR(__xludf.DUMMYFUNCTION("if($C479="""","""",iferror(if(row()&lt;&gt;2,INDEX(arrayformula(filter($M$2:$M478,$C$2:$C478&lt;&gt;"""",row($C$2:$C478)=max(if($C$2:$C478=C479,row($C$2:$C478),0)))) ,1),0),0))"),"")</f>
        <v/>
      </c>
      <c r="M479" s="148" t="str">
        <f t="shared" si="1"/>
        <v/>
      </c>
      <c r="N479" s="147" t="str">
        <f t="shared" si="2"/>
        <v/>
      </c>
      <c r="O479" s="147" t="str">
        <f t="shared" si="21"/>
        <v/>
      </c>
      <c r="P479" s="147" t="str">
        <f>IFERROR(__xludf.DUMMYFUNCTION("if(C479="""","""",iferror(if(row()&lt;&gt;2,INDEX(arrayformula(filter($Q$2:$Q478,$C$2:$C478&lt;&gt;"""",row($C$2:$C478)=max(if($C$2:$C478=C479,row($C$2:$C478),0)))) ,1),0),0))"),"")</f>
        <v/>
      </c>
      <c r="Q479" s="147" t="str">
        <f t="shared" si="22"/>
        <v/>
      </c>
      <c r="R479" s="147" t="str">
        <f t="shared" si="23"/>
        <v/>
      </c>
      <c r="S479" s="147" t="str">
        <f t="shared" si="24"/>
        <v/>
      </c>
      <c r="T479" s="147" t="str">
        <f t="shared" si="7"/>
        <v/>
      </c>
      <c r="U479" s="150" t="str">
        <f t="shared" si="8"/>
        <v/>
      </c>
      <c r="V479" s="151" t="str">
        <f>IFERROR(VLOOKUP(C479,Ativos!$A$1:$G2000,5,),)</f>
        <v/>
      </c>
    </row>
    <row r="480" ht="21.0" customHeight="1">
      <c r="A480" s="152"/>
      <c r="B480" s="160"/>
      <c r="C480" s="153"/>
      <c r="D480" s="154"/>
      <c r="E480" s="139"/>
      <c r="F480" s="139"/>
      <c r="G480" s="139"/>
      <c r="H480" s="135"/>
      <c r="I480" s="141"/>
      <c r="J480" s="147" t="str">
        <f>IFERROR(__xludf.DUMMYFUNCTION("IF(ISBLANK(A480),IFERROR(1/0),IF(COUNT(FILTER(F:F,A:A=A480))&gt;1,TRUNC(N480*F480/SUM(FILTER(N:N,A:A=A480)),3),F480))"),"")</f>
        <v/>
      </c>
      <c r="K480" s="147" t="str">
        <f>IFERROR(__xludf.DUMMYFUNCTION("IF(ISBLANK(A480),IFERROR(1/0),IF(COUNT(FILTER(G:G,((A:A=A480)*(B:B=""V""))))&gt;1,TRUNC(N480*G480/SUM(FILTER(N:N,((A:A=A480)*(B:B=""V"")))),3),G480))"),"")</f>
        <v/>
      </c>
      <c r="L480" s="148" t="str">
        <f>IFERROR(__xludf.DUMMYFUNCTION("if($C480="""","""",iferror(if(row()&lt;&gt;2,INDEX(arrayformula(filter($M$2:$M479,$C$2:$C479&lt;&gt;"""",row($C$2:$C479)=max(if($C$2:$C479=C480,row($C$2:$C479),0)))) ,1),0),0))"),"")</f>
        <v/>
      </c>
      <c r="M480" s="148" t="str">
        <f t="shared" si="1"/>
        <v/>
      </c>
      <c r="N480" s="147" t="str">
        <f t="shared" si="2"/>
        <v/>
      </c>
      <c r="O480" s="147" t="str">
        <f t="shared" si="21"/>
        <v/>
      </c>
      <c r="P480" s="147" t="str">
        <f>IFERROR(__xludf.DUMMYFUNCTION("if(C480="""","""",iferror(if(row()&lt;&gt;2,INDEX(arrayformula(filter($Q$2:$Q479,$C$2:$C479&lt;&gt;"""",row($C$2:$C479)=max(if($C$2:$C479=C480,row($C$2:$C479),0)))) ,1),0),0))"),"")</f>
        <v/>
      </c>
      <c r="Q480" s="147" t="str">
        <f t="shared" si="22"/>
        <v/>
      </c>
      <c r="R480" s="147" t="str">
        <f t="shared" si="23"/>
        <v/>
      </c>
      <c r="S480" s="147" t="str">
        <f t="shared" si="24"/>
        <v/>
      </c>
      <c r="T480" s="147" t="str">
        <f t="shared" si="7"/>
        <v/>
      </c>
      <c r="U480" s="150" t="str">
        <f t="shared" si="8"/>
        <v/>
      </c>
      <c r="V480" s="151" t="str">
        <f>IFERROR(VLOOKUP(C480,Ativos!$A$1:$G2000,5,),)</f>
        <v/>
      </c>
    </row>
    <row r="481" ht="21.0" customHeight="1">
      <c r="A481" s="152"/>
      <c r="B481" s="160"/>
      <c r="C481" s="153"/>
      <c r="D481" s="154"/>
      <c r="E481" s="139"/>
      <c r="F481" s="139"/>
      <c r="G481" s="139"/>
      <c r="H481" s="135"/>
      <c r="I481" s="141"/>
      <c r="J481" s="147" t="str">
        <f>IFERROR(__xludf.DUMMYFUNCTION("IF(ISBLANK(A481),IFERROR(1/0),IF(COUNT(FILTER(F:F,A:A=A481))&gt;1,TRUNC(N481*F481/SUM(FILTER(N:N,A:A=A481)),3),F481))"),"")</f>
        <v/>
      </c>
      <c r="K481" s="147" t="str">
        <f>IFERROR(__xludf.DUMMYFUNCTION("IF(ISBLANK(A481),IFERROR(1/0),IF(COUNT(FILTER(G:G,((A:A=A481)*(B:B=""V""))))&gt;1,TRUNC(N481*G481/SUM(FILTER(N:N,((A:A=A481)*(B:B=""V"")))),3),G481))"),"")</f>
        <v/>
      </c>
      <c r="L481" s="148" t="str">
        <f>IFERROR(__xludf.DUMMYFUNCTION("if($C481="""","""",iferror(if(row()&lt;&gt;2,INDEX(arrayformula(filter($M$2:$M480,$C$2:$C480&lt;&gt;"""",row($C$2:$C480)=max(if($C$2:$C480=C481,row($C$2:$C480),0)))) ,1),0),0))"),"")</f>
        <v/>
      </c>
      <c r="M481" s="148" t="str">
        <f t="shared" si="1"/>
        <v/>
      </c>
      <c r="N481" s="147" t="str">
        <f t="shared" si="2"/>
        <v/>
      </c>
      <c r="O481" s="147" t="str">
        <f t="shared" si="21"/>
        <v/>
      </c>
      <c r="P481" s="147" t="str">
        <f>IFERROR(__xludf.DUMMYFUNCTION("if(C481="""","""",iferror(if(row()&lt;&gt;2,INDEX(arrayformula(filter($Q$2:$Q480,$C$2:$C480&lt;&gt;"""",row($C$2:$C480)=max(if($C$2:$C480=C481,row($C$2:$C480),0)))) ,1),0),0))"),"")</f>
        <v/>
      </c>
      <c r="Q481" s="147" t="str">
        <f t="shared" si="22"/>
        <v/>
      </c>
      <c r="R481" s="147" t="str">
        <f t="shared" si="23"/>
        <v/>
      </c>
      <c r="S481" s="147" t="str">
        <f t="shared" si="24"/>
        <v/>
      </c>
      <c r="T481" s="147" t="str">
        <f t="shared" si="7"/>
        <v/>
      </c>
      <c r="U481" s="150" t="str">
        <f t="shared" si="8"/>
        <v/>
      </c>
      <c r="V481" s="151" t="str">
        <f>IFERROR(VLOOKUP(C481,Ativos!$A$1:$G2000,5,),)</f>
        <v/>
      </c>
    </row>
    <row r="482" ht="21.0" customHeight="1">
      <c r="A482" s="152"/>
      <c r="B482" s="160"/>
      <c r="C482" s="153"/>
      <c r="D482" s="154"/>
      <c r="E482" s="139"/>
      <c r="F482" s="139"/>
      <c r="G482" s="139"/>
      <c r="H482" s="135"/>
      <c r="I482" s="141"/>
      <c r="J482" s="147" t="str">
        <f>IFERROR(__xludf.DUMMYFUNCTION("IF(ISBLANK(A482),IFERROR(1/0),IF(COUNT(FILTER(F:F,A:A=A482))&gt;1,TRUNC(N482*F482/SUM(FILTER(N:N,A:A=A482)),3),F482))"),"")</f>
        <v/>
      </c>
      <c r="K482" s="147" t="str">
        <f>IFERROR(__xludf.DUMMYFUNCTION("IF(ISBLANK(A482),IFERROR(1/0),IF(COUNT(FILTER(G:G,((A:A=A482)*(B:B=""V""))))&gt;1,TRUNC(N482*G482/SUM(FILTER(N:N,((A:A=A482)*(B:B=""V"")))),3),G482))"),"")</f>
        <v/>
      </c>
      <c r="L482" s="148" t="str">
        <f>IFERROR(__xludf.DUMMYFUNCTION("if($C482="""","""",iferror(if(row()&lt;&gt;2,INDEX(arrayformula(filter($M$2:$M481,$C$2:$C481&lt;&gt;"""",row($C$2:$C481)=max(if($C$2:$C481=C482,row($C$2:$C481),0)))) ,1),0),0))"),"")</f>
        <v/>
      </c>
      <c r="M482" s="148" t="str">
        <f t="shared" si="1"/>
        <v/>
      </c>
      <c r="N482" s="147" t="str">
        <f t="shared" si="2"/>
        <v/>
      </c>
      <c r="O482" s="147" t="str">
        <f t="shared" si="21"/>
        <v/>
      </c>
      <c r="P482" s="147" t="str">
        <f>IFERROR(__xludf.DUMMYFUNCTION("if(C482="""","""",iferror(if(row()&lt;&gt;2,INDEX(arrayformula(filter($Q$2:$Q481,$C$2:$C481&lt;&gt;"""",row($C$2:$C481)=max(if($C$2:$C481=C482,row($C$2:$C481),0)))) ,1),0),0))"),"")</f>
        <v/>
      </c>
      <c r="Q482" s="147" t="str">
        <f t="shared" si="22"/>
        <v/>
      </c>
      <c r="R482" s="147" t="str">
        <f t="shared" si="23"/>
        <v/>
      </c>
      <c r="S482" s="147" t="str">
        <f t="shared" si="24"/>
        <v/>
      </c>
      <c r="T482" s="147" t="str">
        <f t="shared" si="7"/>
        <v/>
      </c>
      <c r="U482" s="150" t="str">
        <f t="shared" si="8"/>
        <v/>
      </c>
      <c r="V482" s="151" t="str">
        <f>IFERROR(VLOOKUP(C482,Ativos!$A$1:$G2000,5,),)</f>
        <v/>
      </c>
    </row>
    <row r="483" ht="21.0" customHeight="1">
      <c r="A483" s="152"/>
      <c r="B483" s="160"/>
      <c r="C483" s="153"/>
      <c r="D483" s="154"/>
      <c r="E483" s="139"/>
      <c r="F483" s="139"/>
      <c r="G483" s="139"/>
      <c r="H483" s="135"/>
      <c r="I483" s="141"/>
      <c r="J483" s="147" t="str">
        <f>IFERROR(__xludf.DUMMYFUNCTION("IF(ISBLANK(A483),IFERROR(1/0),IF(COUNT(FILTER(F:F,A:A=A483))&gt;1,TRUNC(N483*F483/SUM(FILTER(N:N,A:A=A483)),3),F483))"),"")</f>
        <v/>
      </c>
      <c r="K483" s="147" t="str">
        <f>IFERROR(__xludf.DUMMYFUNCTION("IF(ISBLANK(A483),IFERROR(1/0),IF(COUNT(FILTER(G:G,((A:A=A483)*(B:B=""V""))))&gt;1,TRUNC(N483*G483/SUM(FILTER(N:N,((A:A=A483)*(B:B=""V"")))),3),G483))"),"")</f>
        <v/>
      </c>
      <c r="L483" s="148" t="str">
        <f>IFERROR(__xludf.DUMMYFUNCTION("if($C483="""","""",iferror(if(row()&lt;&gt;2,INDEX(arrayformula(filter($M$2:$M482,$C$2:$C482&lt;&gt;"""",row($C$2:$C482)=max(if($C$2:$C482=C483,row($C$2:$C482),0)))) ,1),0),0))"),"")</f>
        <v/>
      </c>
      <c r="M483" s="148" t="str">
        <f t="shared" si="1"/>
        <v/>
      </c>
      <c r="N483" s="147" t="str">
        <f t="shared" si="2"/>
        <v/>
      </c>
      <c r="O483" s="147" t="str">
        <f t="shared" si="21"/>
        <v/>
      </c>
      <c r="P483" s="147" t="str">
        <f>IFERROR(__xludf.DUMMYFUNCTION("if(C483="""","""",iferror(if(row()&lt;&gt;2,INDEX(arrayformula(filter($Q$2:$Q482,$C$2:$C482&lt;&gt;"""",row($C$2:$C482)=max(if($C$2:$C482=C483,row($C$2:$C482),0)))) ,1),0),0))"),"")</f>
        <v/>
      </c>
      <c r="Q483" s="147" t="str">
        <f t="shared" si="22"/>
        <v/>
      </c>
      <c r="R483" s="147" t="str">
        <f t="shared" si="23"/>
        <v/>
      </c>
      <c r="S483" s="147" t="str">
        <f t="shared" si="24"/>
        <v/>
      </c>
      <c r="T483" s="147" t="str">
        <f t="shared" si="7"/>
        <v/>
      </c>
      <c r="U483" s="150" t="str">
        <f t="shared" si="8"/>
        <v/>
      </c>
      <c r="V483" s="151" t="str">
        <f>IFERROR(VLOOKUP(C483,Ativos!$A$1:$G2000,5,),)</f>
        <v/>
      </c>
    </row>
    <row r="484" ht="21.0" customHeight="1">
      <c r="A484" s="152"/>
      <c r="B484" s="160"/>
      <c r="C484" s="153"/>
      <c r="D484" s="154"/>
      <c r="E484" s="139"/>
      <c r="F484" s="139"/>
      <c r="G484" s="139"/>
      <c r="H484" s="135"/>
      <c r="I484" s="141"/>
      <c r="J484" s="147" t="str">
        <f>IFERROR(__xludf.DUMMYFUNCTION("IF(ISBLANK(A484),IFERROR(1/0),IF(COUNT(FILTER(F:F,A:A=A484))&gt;1,TRUNC(N484*F484/SUM(FILTER(N:N,A:A=A484)),3),F484))"),"")</f>
        <v/>
      </c>
      <c r="K484" s="147" t="str">
        <f>IFERROR(__xludf.DUMMYFUNCTION("IF(ISBLANK(A484),IFERROR(1/0),IF(COUNT(FILTER(G:G,((A:A=A484)*(B:B=""V""))))&gt;1,TRUNC(N484*G484/SUM(FILTER(N:N,((A:A=A484)*(B:B=""V"")))),3),G484))"),"")</f>
        <v/>
      </c>
      <c r="L484" s="148" t="str">
        <f>IFERROR(__xludf.DUMMYFUNCTION("if($C484="""","""",iferror(if(row()&lt;&gt;2,INDEX(arrayformula(filter($M$2:$M483,$C$2:$C483&lt;&gt;"""",row($C$2:$C483)=max(if($C$2:$C483=C484,row($C$2:$C483),0)))) ,1),0),0))"),"")</f>
        <v/>
      </c>
      <c r="M484" s="148" t="str">
        <f t="shared" si="1"/>
        <v/>
      </c>
      <c r="N484" s="147" t="str">
        <f t="shared" si="2"/>
        <v/>
      </c>
      <c r="O484" s="147" t="str">
        <f t="shared" si="21"/>
        <v/>
      </c>
      <c r="P484" s="147" t="str">
        <f>IFERROR(__xludf.DUMMYFUNCTION("if(C484="""","""",iferror(if(row()&lt;&gt;2,INDEX(arrayformula(filter($Q$2:$Q483,$C$2:$C483&lt;&gt;"""",row($C$2:$C483)=max(if($C$2:$C483=C484,row($C$2:$C483),0)))) ,1),0),0))"),"")</f>
        <v/>
      </c>
      <c r="Q484" s="147" t="str">
        <f t="shared" si="22"/>
        <v/>
      </c>
      <c r="R484" s="147" t="str">
        <f t="shared" si="23"/>
        <v/>
      </c>
      <c r="S484" s="147" t="str">
        <f t="shared" si="24"/>
        <v/>
      </c>
      <c r="T484" s="147" t="str">
        <f t="shared" si="7"/>
        <v/>
      </c>
      <c r="U484" s="150" t="str">
        <f t="shared" si="8"/>
        <v/>
      </c>
      <c r="V484" s="151" t="str">
        <f>IFERROR(VLOOKUP(C484,Ativos!$A$1:$G2000,5,),)</f>
        <v/>
      </c>
    </row>
    <row r="485" ht="21.0" customHeight="1">
      <c r="A485" s="152"/>
      <c r="B485" s="160"/>
      <c r="C485" s="153"/>
      <c r="D485" s="154"/>
      <c r="E485" s="139"/>
      <c r="F485" s="139"/>
      <c r="G485" s="139"/>
      <c r="H485" s="135"/>
      <c r="I485" s="141"/>
      <c r="J485" s="147" t="str">
        <f>IFERROR(__xludf.DUMMYFUNCTION("IF(ISBLANK(A485),IFERROR(1/0),IF(COUNT(FILTER(F:F,A:A=A485))&gt;1,TRUNC(N485*F485/SUM(FILTER(N:N,A:A=A485)),3),F485))"),"")</f>
        <v/>
      </c>
      <c r="K485" s="147" t="str">
        <f>IFERROR(__xludf.DUMMYFUNCTION("IF(ISBLANK(A485),IFERROR(1/0),IF(COUNT(FILTER(G:G,((A:A=A485)*(B:B=""V""))))&gt;1,TRUNC(N485*G485/SUM(FILTER(N:N,((A:A=A485)*(B:B=""V"")))),3),G485))"),"")</f>
        <v/>
      </c>
      <c r="L485" s="148" t="str">
        <f>IFERROR(__xludf.DUMMYFUNCTION("if($C485="""","""",iferror(if(row()&lt;&gt;2,INDEX(arrayformula(filter($M$2:$M484,$C$2:$C484&lt;&gt;"""",row($C$2:$C484)=max(if($C$2:$C484=C485,row($C$2:$C484),0)))) ,1),0),0))"),"")</f>
        <v/>
      </c>
      <c r="M485" s="148" t="str">
        <f t="shared" si="1"/>
        <v/>
      </c>
      <c r="N485" s="147" t="str">
        <f t="shared" si="2"/>
        <v/>
      </c>
      <c r="O485" s="147" t="str">
        <f t="shared" si="21"/>
        <v/>
      </c>
      <c r="P485" s="147" t="str">
        <f>IFERROR(__xludf.DUMMYFUNCTION("if(C485="""","""",iferror(if(row()&lt;&gt;2,INDEX(arrayformula(filter($Q$2:$Q484,$C$2:$C484&lt;&gt;"""",row($C$2:$C484)=max(if($C$2:$C484=C485,row($C$2:$C484),0)))) ,1),0),0))"),"")</f>
        <v/>
      </c>
      <c r="Q485" s="147" t="str">
        <f t="shared" si="22"/>
        <v/>
      </c>
      <c r="R485" s="147" t="str">
        <f t="shared" si="23"/>
        <v/>
      </c>
      <c r="S485" s="147" t="str">
        <f t="shared" si="24"/>
        <v/>
      </c>
      <c r="T485" s="147" t="str">
        <f t="shared" si="7"/>
        <v/>
      </c>
      <c r="U485" s="150" t="str">
        <f t="shared" si="8"/>
        <v/>
      </c>
      <c r="V485" s="151" t="str">
        <f>IFERROR(VLOOKUP(C485,Ativos!$A$1:$G2000,5,),)</f>
        <v/>
      </c>
    </row>
    <row r="486" ht="21.0" customHeight="1">
      <c r="A486" s="152"/>
      <c r="B486" s="160"/>
      <c r="C486" s="153"/>
      <c r="D486" s="154"/>
      <c r="E486" s="139"/>
      <c r="F486" s="139"/>
      <c r="G486" s="139"/>
      <c r="H486" s="135"/>
      <c r="I486" s="141"/>
      <c r="J486" s="147" t="str">
        <f>IFERROR(__xludf.DUMMYFUNCTION("IF(ISBLANK(A486),IFERROR(1/0),IF(COUNT(FILTER(F:F,A:A=A486))&gt;1,TRUNC(N486*F486/SUM(FILTER(N:N,A:A=A486)),3),F486))"),"")</f>
        <v/>
      </c>
      <c r="K486" s="147" t="str">
        <f>IFERROR(__xludf.DUMMYFUNCTION("IF(ISBLANK(A486),IFERROR(1/0),IF(COUNT(FILTER(G:G,((A:A=A486)*(B:B=""V""))))&gt;1,TRUNC(N486*G486/SUM(FILTER(N:N,((A:A=A486)*(B:B=""V"")))),3),G486))"),"")</f>
        <v/>
      </c>
      <c r="L486" s="148" t="str">
        <f>IFERROR(__xludf.DUMMYFUNCTION("if($C486="""","""",iferror(if(row()&lt;&gt;2,INDEX(arrayformula(filter($M$2:$M485,$C$2:$C485&lt;&gt;"""",row($C$2:$C485)=max(if($C$2:$C485=C486,row($C$2:$C485),0)))) ,1),0),0))"),"")</f>
        <v/>
      </c>
      <c r="M486" s="148" t="str">
        <f t="shared" si="1"/>
        <v/>
      </c>
      <c r="N486" s="147" t="str">
        <f t="shared" si="2"/>
        <v/>
      </c>
      <c r="O486" s="147" t="str">
        <f t="shared" si="21"/>
        <v/>
      </c>
      <c r="P486" s="147" t="str">
        <f>IFERROR(__xludf.DUMMYFUNCTION("if(C486="""","""",iferror(if(row()&lt;&gt;2,INDEX(arrayformula(filter($Q$2:$Q485,$C$2:$C485&lt;&gt;"""",row($C$2:$C485)=max(if($C$2:$C485=C486,row($C$2:$C485),0)))) ,1),0),0))"),"")</f>
        <v/>
      </c>
      <c r="Q486" s="147" t="str">
        <f t="shared" si="22"/>
        <v/>
      </c>
      <c r="R486" s="147" t="str">
        <f t="shared" si="23"/>
        <v/>
      </c>
      <c r="S486" s="147" t="str">
        <f t="shared" si="24"/>
        <v/>
      </c>
      <c r="T486" s="147" t="str">
        <f t="shared" si="7"/>
        <v/>
      </c>
      <c r="U486" s="150" t="str">
        <f t="shared" si="8"/>
        <v/>
      </c>
      <c r="V486" s="151" t="str">
        <f>IFERROR(VLOOKUP(C486,Ativos!$A$1:$G2000,5,),)</f>
        <v/>
      </c>
    </row>
    <row r="487" ht="21.0" customHeight="1">
      <c r="A487" s="152"/>
      <c r="B487" s="160"/>
      <c r="C487" s="153"/>
      <c r="D487" s="154"/>
      <c r="E487" s="139"/>
      <c r="F487" s="139"/>
      <c r="G487" s="139"/>
      <c r="H487" s="135"/>
      <c r="I487" s="141"/>
      <c r="J487" s="147" t="str">
        <f>IFERROR(__xludf.DUMMYFUNCTION("IF(ISBLANK(A487),IFERROR(1/0),IF(COUNT(FILTER(F:F,A:A=A487))&gt;1,TRUNC(N487*F487/SUM(FILTER(N:N,A:A=A487)),3),F487))"),"")</f>
        <v/>
      </c>
      <c r="K487" s="147" t="str">
        <f>IFERROR(__xludf.DUMMYFUNCTION("IF(ISBLANK(A487),IFERROR(1/0),IF(COUNT(FILTER(G:G,((A:A=A487)*(B:B=""V""))))&gt;1,TRUNC(N487*G487/SUM(FILTER(N:N,((A:A=A487)*(B:B=""V"")))),3),G487))"),"")</f>
        <v/>
      </c>
      <c r="L487" s="148" t="str">
        <f>IFERROR(__xludf.DUMMYFUNCTION("if($C487="""","""",iferror(if(row()&lt;&gt;2,INDEX(arrayformula(filter($M$2:$M486,$C$2:$C486&lt;&gt;"""",row($C$2:$C486)=max(if($C$2:$C486=C487,row($C$2:$C486),0)))) ,1),0),0))"),"")</f>
        <v/>
      </c>
      <c r="M487" s="148" t="str">
        <f t="shared" si="1"/>
        <v/>
      </c>
      <c r="N487" s="147" t="str">
        <f t="shared" si="2"/>
        <v/>
      </c>
      <c r="O487" s="147" t="str">
        <f t="shared" si="21"/>
        <v/>
      </c>
      <c r="P487" s="147" t="str">
        <f>IFERROR(__xludf.DUMMYFUNCTION("if(C487="""","""",iferror(if(row()&lt;&gt;2,INDEX(arrayformula(filter($Q$2:$Q486,$C$2:$C486&lt;&gt;"""",row($C$2:$C486)=max(if($C$2:$C486=C487,row($C$2:$C486),0)))) ,1),0),0))"),"")</f>
        <v/>
      </c>
      <c r="Q487" s="147" t="str">
        <f t="shared" si="22"/>
        <v/>
      </c>
      <c r="R487" s="147" t="str">
        <f t="shared" si="23"/>
        <v/>
      </c>
      <c r="S487" s="147" t="str">
        <f t="shared" si="24"/>
        <v/>
      </c>
      <c r="T487" s="147" t="str">
        <f t="shared" si="7"/>
        <v/>
      </c>
      <c r="U487" s="150" t="str">
        <f t="shared" si="8"/>
        <v/>
      </c>
      <c r="V487" s="151" t="str">
        <f>IFERROR(VLOOKUP(C487,Ativos!$A$1:$G2000,5,),)</f>
        <v/>
      </c>
    </row>
    <row r="488" ht="21.0" customHeight="1">
      <c r="A488" s="152"/>
      <c r="B488" s="160"/>
      <c r="C488" s="153"/>
      <c r="D488" s="154"/>
      <c r="E488" s="139"/>
      <c r="F488" s="139"/>
      <c r="G488" s="139"/>
      <c r="H488" s="135"/>
      <c r="I488" s="141"/>
      <c r="J488" s="147" t="str">
        <f>IFERROR(__xludf.DUMMYFUNCTION("IF(ISBLANK(A488),IFERROR(1/0),IF(COUNT(FILTER(F:F,A:A=A488))&gt;1,TRUNC(N488*F488/SUM(FILTER(N:N,A:A=A488)),3),F488))"),"")</f>
        <v/>
      </c>
      <c r="K488" s="147" t="str">
        <f>IFERROR(__xludf.DUMMYFUNCTION("IF(ISBLANK(A488),IFERROR(1/0),IF(COUNT(FILTER(G:G,((A:A=A488)*(B:B=""V""))))&gt;1,TRUNC(N488*G488/SUM(FILTER(N:N,((A:A=A488)*(B:B=""V"")))),3),G488))"),"")</f>
        <v/>
      </c>
      <c r="L488" s="148" t="str">
        <f>IFERROR(__xludf.DUMMYFUNCTION("if($C488="""","""",iferror(if(row()&lt;&gt;2,INDEX(arrayformula(filter($M$2:$M487,$C$2:$C487&lt;&gt;"""",row($C$2:$C487)=max(if($C$2:$C487=C488,row($C$2:$C487),0)))) ,1),0),0))"),"")</f>
        <v/>
      </c>
      <c r="M488" s="148" t="str">
        <f t="shared" si="1"/>
        <v/>
      </c>
      <c r="N488" s="147" t="str">
        <f t="shared" si="2"/>
        <v/>
      </c>
      <c r="O488" s="147" t="str">
        <f t="shared" si="21"/>
        <v/>
      </c>
      <c r="P488" s="147" t="str">
        <f>IFERROR(__xludf.DUMMYFUNCTION("if(C488="""","""",iferror(if(row()&lt;&gt;2,INDEX(arrayformula(filter($Q$2:$Q487,$C$2:$C487&lt;&gt;"""",row($C$2:$C487)=max(if($C$2:$C487=C488,row($C$2:$C487),0)))) ,1),0),0))"),"")</f>
        <v/>
      </c>
      <c r="Q488" s="147" t="str">
        <f t="shared" si="22"/>
        <v/>
      </c>
      <c r="R488" s="147" t="str">
        <f t="shared" si="23"/>
        <v/>
      </c>
      <c r="S488" s="147" t="str">
        <f t="shared" si="24"/>
        <v/>
      </c>
      <c r="T488" s="147" t="str">
        <f t="shared" si="7"/>
        <v/>
      </c>
      <c r="U488" s="150" t="str">
        <f t="shared" si="8"/>
        <v/>
      </c>
      <c r="V488" s="151" t="str">
        <f>IFERROR(VLOOKUP(C488,Ativos!$A$1:$G2000,5,),)</f>
        <v/>
      </c>
    </row>
    <row r="489" ht="21.0" customHeight="1">
      <c r="A489" s="152"/>
      <c r="B489" s="160"/>
      <c r="C489" s="153"/>
      <c r="D489" s="154"/>
      <c r="E489" s="139"/>
      <c r="F489" s="139"/>
      <c r="G489" s="139"/>
      <c r="H489" s="135"/>
      <c r="I489" s="141"/>
      <c r="J489" s="147" t="str">
        <f>IFERROR(__xludf.DUMMYFUNCTION("IF(ISBLANK(A489),IFERROR(1/0),IF(COUNT(FILTER(F:F,A:A=A489))&gt;1,TRUNC(N489*F489/SUM(FILTER(N:N,A:A=A489)),3),F489))"),"")</f>
        <v/>
      </c>
      <c r="K489" s="147" t="str">
        <f>IFERROR(__xludf.DUMMYFUNCTION("IF(ISBLANK(A489),IFERROR(1/0),IF(COUNT(FILTER(G:G,((A:A=A489)*(B:B=""V""))))&gt;1,TRUNC(N489*G489/SUM(FILTER(N:N,((A:A=A489)*(B:B=""V"")))),3),G489))"),"")</f>
        <v/>
      </c>
      <c r="L489" s="148" t="str">
        <f>IFERROR(__xludf.DUMMYFUNCTION("if($C489="""","""",iferror(if(row()&lt;&gt;2,INDEX(arrayformula(filter($M$2:$M488,$C$2:$C488&lt;&gt;"""",row($C$2:$C488)=max(if($C$2:$C488=C489,row($C$2:$C488),0)))) ,1),0),0))"),"")</f>
        <v/>
      </c>
      <c r="M489" s="148" t="str">
        <f t="shared" si="1"/>
        <v/>
      </c>
      <c r="N489" s="147" t="str">
        <f t="shared" si="2"/>
        <v/>
      </c>
      <c r="O489" s="147" t="str">
        <f t="shared" si="21"/>
        <v/>
      </c>
      <c r="P489" s="147" t="str">
        <f>IFERROR(__xludf.DUMMYFUNCTION("if(C489="""","""",iferror(if(row()&lt;&gt;2,INDEX(arrayformula(filter($Q$2:$Q488,$C$2:$C488&lt;&gt;"""",row($C$2:$C488)=max(if($C$2:$C488=C489,row($C$2:$C488),0)))) ,1),0),0))"),"")</f>
        <v/>
      </c>
      <c r="Q489" s="147" t="str">
        <f t="shared" si="22"/>
        <v/>
      </c>
      <c r="R489" s="147" t="str">
        <f t="shared" si="23"/>
        <v/>
      </c>
      <c r="S489" s="147" t="str">
        <f t="shared" si="24"/>
        <v/>
      </c>
      <c r="T489" s="147" t="str">
        <f t="shared" si="7"/>
        <v/>
      </c>
      <c r="U489" s="150" t="str">
        <f t="shared" si="8"/>
        <v/>
      </c>
      <c r="V489" s="151" t="str">
        <f>IFERROR(VLOOKUP(C489,Ativos!$A$1:$G2000,5,),)</f>
        <v/>
      </c>
    </row>
    <row r="490" ht="21.0" customHeight="1">
      <c r="A490" s="152"/>
      <c r="B490" s="160"/>
      <c r="C490" s="153"/>
      <c r="D490" s="154"/>
      <c r="E490" s="139"/>
      <c r="F490" s="139"/>
      <c r="G490" s="139"/>
      <c r="H490" s="135"/>
      <c r="I490" s="141"/>
      <c r="J490" s="147" t="str">
        <f>IFERROR(__xludf.DUMMYFUNCTION("IF(ISBLANK(A490),IFERROR(1/0),IF(COUNT(FILTER(F:F,A:A=A490))&gt;1,TRUNC(N490*F490/SUM(FILTER(N:N,A:A=A490)),3),F490))"),"")</f>
        <v/>
      </c>
      <c r="K490" s="147" t="str">
        <f>IFERROR(__xludf.DUMMYFUNCTION("IF(ISBLANK(A490),IFERROR(1/0),IF(COUNT(FILTER(G:G,((A:A=A490)*(B:B=""V""))))&gt;1,TRUNC(N490*G490/SUM(FILTER(N:N,((A:A=A490)*(B:B=""V"")))),3),G490))"),"")</f>
        <v/>
      </c>
      <c r="L490" s="148" t="str">
        <f>IFERROR(__xludf.DUMMYFUNCTION("if($C490="""","""",iferror(if(row()&lt;&gt;2,INDEX(arrayformula(filter($M$2:$M489,$C$2:$C489&lt;&gt;"""",row($C$2:$C489)=max(if($C$2:$C489=C490,row($C$2:$C489),0)))) ,1),0),0))"),"")</f>
        <v/>
      </c>
      <c r="M490" s="148" t="str">
        <f t="shared" si="1"/>
        <v/>
      </c>
      <c r="N490" s="147" t="str">
        <f t="shared" si="2"/>
        <v/>
      </c>
      <c r="O490" s="147" t="str">
        <f t="shared" si="21"/>
        <v/>
      </c>
      <c r="P490" s="147" t="str">
        <f>IFERROR(__xludf.DUMMYFUNCTION("if(C490="""","""",iferror(if(row()&lt;&gt;2,INDEX(arrayformula(filter($Q$2:$Q489,$C$2:$C489&lt;&gt;"""",row($C$2:$C489)=max(if($C$2:$C489=C490,row($C$2:$C489),0)))) ,1),0),0))"),"")</f>
        <v/>
      </c>
      <c r="Q490" s="147" t="str">
        <f t="shared" si="22"/>
        <v/>
      </c>
      <c r="R490" s="147" t="str">
        <f t="shared" si="23"/>
        <v/>
      </c>
      <c r="S490" s="147" t="str">
        <f t="shared" si="24"/>
        <v/>
      </c>
      <c r="T490" s="147" t="str">
        <f t="shared" si="7"/>
        <v/>
      </c>
      <c r="U490" s="150" t="str">
        <f t="shared" si="8"/>
        <v/>
      </c>
      <c r="V490" s="151" t="str">
        <f>IFERROR(VLOOKUP(C490,Ativos!$A$1:$G2000,5,),)</f>
        <v/>
      </c>
    </row>
    <row r="491" ht="21.0" customHeight="1">
      <c r="A491" s="152"/>
      <c r="B491" s="160"/>
      <c r="C491" s="153"/>
      <c r="D491" s="154"/>
      <c r="E491" s="139"/>
      <c r="F491" s="139"/>
      <c r="G491" s="139"/>
      <c r="H491" s="135"/>
      <c r="I491" s="141"/>
      <c r="J491" s="147" t="str">
        <f>IFERROR(__xludf.DUMMYFUNCTION("IF(ISBLANK(A491),IFERROR(1/0),IF(COUNT(FILTER(F:F,A:A=A491))&gt;1,TRUNC(N491*F491/SUM(FILTER(N:N,A:A=A491)),3),F491))"),"")</f>
        <v/>
      </c>
      <c r="K491" s="147" t="str">
        <f>IFERROR(__xludf.DUMMYFUNCTION("IF(ISBLANK(A491),IFERROR(1/0),IF(COUNT(FILTER(G:G,((A:A=A491)*(B:B=""V""))))&gt;1,TRUNC(N491*G491/SUM(FILTER(N:N,((A:A=A491)*(B:B=""V"")))),3),G491))"),"")</f>
        <v/>
      </c>
      <c r="L491" s="148" t="str">
        <f>IFERROR(__xludf.DUMMYFUNCTION("if($C491="""","""",iferror(if(row()&lt;&gt;2,INDEX(arrayformula(filter($M$2:$M490,$C$2:$C490&lt;&gt;"""",row($C$2:$C490)=max(if($C$2:$C490=C491,row($C$2:$C490),0)))) ,1),0),0))"),"")</f>
        <v/>
      </c>
      <c r="M491" s="148" t="str">
        <f t="shared" si="1"/>
        <v/>
      </c>
      <c r="N491" s="147" t="str">
        <f t="shared" si="2"/>
        <v/>
      </c>
      <c r="O491" s="147" t="str">
        <f t="shared" si="21"/>
        <v/>
      </c>
      <c r="P491" s="147" t="str">
        <f>IFERROR(__xludf.DUMMYFUNCTION("if(C491="""","""",iferror(if(row()&lt;&gt;2,INDEX(arrayformula(filter($Q$2:$Q490,$C$2:$C490&lt;&gt;"""",row($C$2:$C490)=max(if($C$2:$C490=C491,row($C$2:$C490),0)))) ,1),0),0))"),"")</f>
        <v/>
      </c>
      <c r="Q491" s="147" t="str">
        <f t="shared" si="22"/>
        <v/>
      </c>
      <c r="R491" s="147" t="str">
        <f t="shared" si="23"/>
        <v/>
      </c>
      <c r="S491" s="147" t="str">
        <f t="shared" si="24"/>
        <v/>
      </c>
      <c r="T491" s="147" t="str">
        <f t="shared" si="7"/>
        <v/>
      </c>
      <c r="U491" s="150" t="str">
        <f t="shared" si="8"/>
        <v/>
      </c>
      <c r="V491" s="151" t="str">
        <f>IFERROR(VLOOKUP(C491,Ativos!$A$1:$G2000,5,),)</f>
        <v/>
      </c>
    </row>
    <row r="492" ht="21.0" customHeight="1">
      <c r="A492" s="152"/>
      <c r="B492" s="160"/>
      <c r="C492" s="153"/>
      <c r="D492" s="154"/>
      <c r="E492" s="139"/>
      <c r="F492" s="139"/>
      <c r="G492" s="139"/>
      <c r="H492" s="135"/>
      <c r="I492" s="141"/>
      <c r="J492" s="147" t="str">
        <f>IFERROR(__xludf.DUMMYFUNCTION("IF(ISBLANK(A492),IFERROR(1/0),IF(COUNT(FILTER(F:F,A:A=A492))&gt;1,TRUNC(N492*F492/SUM(FILTER(N:N,A:A=A492)),3),F492))"),"")</f>
        <v/>
      </c>
      <c r="K492" s="147" t="str">
        <f>IFERROR(__xludf.DUMMYFUNCTION("IF(ISBLANK(A492),IFERROR(1/0),IF(COUNT(FILTER(G:G,((A:A=A492)*(B:B=""V""))))&gt;1,TRUNC(N492*G492/SUM(FILTER(N:N,((A:A=A492)*(B:B=""V"")))),3),G492))"),"")</f>
        <v/>
      </c>
      <c r="L492" s="148" t="str">
        <f>IFERROR(__xludf.DUMMYFUNCTION("if($C492="""","""",iferror(if(row()&lt;&gt;2,INDEX(arrayformula(filter($M$2:$M491,$C$2:$C491&lt;&gt;"""",row($C$2:$C491)=max(if($C$2:$C491=C492,row($C$2:$C491),0)))) ,1),0),0))"),"")</f>
        <v/>
      </c>
      <c r="M492" s="148" t="str">
        <f t="shared" si="1"/>
        <v/>
      </c>
      <c r="N492" s="147" t="str">
        <f t="shared" si="2"/>
        <v/>
      </c>
      <c r="O492" s="147" t="str">
        <f t="shared" si="21"/>
        <v/>
      </c>
      <c r="P492" s="147" t="str">
        <f>IFERROR(__xludf.DUMMYFUNCTION("if(C492="""","""",iferror(if(row()&lt;&gt;2,INDEX(arrayformula(filter($Q$2:$Q491,$C$2:$C491&lt;&gt;"""",row($C$2:$C491)=max(if($C$2:$C491=C492,row($C$2:$C491),0)))) ,1),0),0))"),"")</f>
        <v/>
      </c>
      <c r="Q492" s="147" t="str">
        <f t="shared" si="22"/>
        <v/>
      </c>
      <c r="R492" s="147" t="str">
        <f t="shared" si="23"/>
        <v/>
      </c>
      <c r="S492" s="147" t="str">
        <f t="shared" si="24"/>
        <v/>
      </c>
      <c r="T492" s="147" t="str">
        <f t="shared" si="7"/>
        <v/>
      </c>
      <c r="U492" s="150" t="str">
        <f t="shared" si="8"/>
        <v/>
      </c>
      <c r="V492" s="151" t="str">
        <f>IFERROR(VLOOKUP(C492,Ativos!$A$1:$G2000,5,),)</f>
        <v/>
      </c>
    </row>
    <row r="493" ht="21.0" customHeight="1">
      <c r="A493" s="152"/>
      <c r="B493" s="160"/>
      <c r="C493" s="153"/>
      <c r="D493" s="154"/>
      <c r="E493" s="139"/>
      <c r="F493" s="139"/>
      <c r="G493" s="139"/>
      <c r="H493" s="135"/>
      <c r="I493" s="141"/>
      <c r="J493" s="147" t="str">
        <f>IFERROR(__xludf.DUMMYFUNCTION("IF(ISBLANK(A493),IFERROR(1/0),IF(COUNT(FILTER(F:F,A:A=A493))&gt;1,TRUNC(N493*F493/SUM(FILTER(N:N,A:A=A493)),3),F493))"),"")</f>
        <v/>
      </c>
      <c r="K493" s="147" t="str">
        <f>IFERROR(__xludf.DUMMYFUNCTION("IF(ISBLANK(A493),IFERROR(1/0),IF(COUNT(FILTER(G:G,((A:A=A493)*(B:B=""V""))))&gt;1,TRUNC(N493*G493/SUM(FILTER(N:N,((A:A=A493)*(B:B=""V"")))),3),G493))"),"")</f>
        <v/>
      </c>
      <c r="L493" s="148" t="str">
        <f>IFERROR(__xludf.DUMMYFUNCTION("if($C493="""","""",iferror(if(row()&lt;&gt;2,INDEX(arrayformula(filter($M$2:$M492,$C$2:$C492&lt;&gt;"""",row($C$2:$C492)=max(if($C$2:$C492=C493,row($C$2:$C492),0)))) ,1),0),0))"),"")</f>
        <v/>
      </c>
      <c r="M493" s="148" t="str">
        <f t="shared" si="1"/>
        <v/>
      </c>
      <c r="N493" s="147" t="str">
        <f t="shared" si="2"/>
        <v/>
      </c>
      <c r="O493" s="147" t="str">
        <f t="shared" si="21"/>
        <v/>
      </c>
      <c r="P493" s="147" t="str">
        <f>IFERROR(__xludf.DUMMYFUNCTION("if(C493="""","""",iferror(if(row()&lt;&gt;2,INDEX(arrayformula(filter($Q$2:$Q492,$C$2:$C492&lt;&gt;"""",row($C$2:$C492)=max(if($C$2:$C492=C493,row($C$2:$C492),0)))) ,1),0),0))"),"")</f>
        <v/>
      </c>
      <c r="Q493" s="147" t="str">
        <f t="shared" si="22"/>
        <v/>
      </c>
      <c r="R493" s="147" t="str">
        <f t="shared" si="23"/>
        <v/>
      </c>
      <c r="S493" s="147" t="str">
        <f t="shared" si="24"/>
        <v/>
      </c>
      <c r="T493" s="147" t="str">
        <f t="shared" si="7"/>
        <v/>
      </c>
      <c r="U493" s="150" t="str">
        <f t="shared" si="8"/>
        <v/>
      </c>
      <c r="V493" s="151" t="str">
        <f>IFERROR(VLOOKUP(C493,Ativos!$A$1:$G2000,5,),)</f>
        <v/>
      </c>
    </row>
    <row r="494" ht="21.0" customHeight="1">
      <c r="A494" s="152"/>
      <c r="B494" s="160"/>
      <c r="C494" s="153"/>
      <c r="D494" s="154"/>
      <c r="E494" s="139"/>
      <c r="F494" s="139"/>
      <c r="G494" s="139"/>
      <c r="H494" s="135"/>
      <c r="I494" s="141"/>
      <c r="J494" s="147" t="str">
        <f>IFERROR(__xludf.DUMMYFUNCTION("IF(ISBLANK(A494),IFERROR(1/0),IF(COUNT(FILTER(F:F,A:A=A494))&gt;1,TRUNC(N494*F494/SUM(FILTER(N:N,A:A=A494)),3),F494))"),"")</f>
        <v/>
      </c>
      <c r="K494" s="147" t="str">
        <f>IFERROR(__xludf.DUMMYFUNCTION("IF(ISBLANK(A494),IFERROR(1/0),IF(COUNT(FILTER(G:G,((A:A=A494)*(B:B=""V""))))&gt;1,TRUNC(N494*G494/SUM(FILTER(N:N,((A:A=A494)*(B:B=""V"")))),3),G494))"),"")</f>
        <v/>
      </c>
      <c r="L494" s="148" t="str">
        <f>IFERROR(__xludf.DUMMYFUNCTION("if($C494="""","""",iferror(if(row()&lt;&gt;2,INDEX(arrayformula(filter($M$2:$M493,$C$2:$C493&lt;&gt;"""",row($C$2:$C493)=max(if($C$2:$C493=C494,row($C$2:$C493),0)))) ,1),0),0))"),"")</f>
        <v/>
      </c>
      <c r="M494" s="148" t="str">
        <f t="shared" si="1"/>
        <v/>
      </c>
      <c r="N494" s="147" t="str">
        <f t="shared" si="2"/>
        <v/>
      </c>
      <c r="O494" s="147" t="str">
        <f t="shared" si="21"/>
        <v/>
      </c>
      <c r="P494" s="147" t="str">
        <f>IFERROR(__xludf.DUMMYFUNCTION("if(C494="""","""",iferror(if(row()&lt;&gt;2,INDEX(arrayformula(filter($Q$2:$Q493,$C$2:$C493&lt;&gt;"""",row($C$2:$C493)=max(if($C$2:$C493=C494,row($C$2:$C493),0)))) ,1),0),0))"),"")</f>
        <v/>
      </c>
      <c r="Q494" s="147" t="str">
        <f t="shared" si="22"/>
        <v/>
      </c>
      <c r="R494" s="147" t="str">
        <f t="shared" si="23"/>
        <v/>
      </c>
      <c r="S494" s="147" t="str">
        <f t="shared" si="24"/>
        <v/>
      </c>
      <c r="T494" s="147" t="str">
        <f t="shared" si="7"/>
        <v/>
      </c>
      <c r="U494" s="150" t="str">
        <f t="shared" si="8"/>
        <v/>
      </c>
      <c r="V494" s="151" t="str">
        <f>IFERROR(VLOOKUP(C494,Ativos!$A$1:$G2000,5,),)</f>
        <v/>
      </c>
    </row>
    <row r="495" ht="21.0" customHeight="1">
      <c r="A495" s="152"/>
      <c r="B495" s="160"/>
      <c r="C495" s="153"/>
      <c r="D495" s="154"/>
      <c r="E495" s="139"/>
      <c r="F495" s="139"/>
      <c r="G495" s="139"/>
      <c r="H495" s="135"/>
      <c r="I495" s="141"/>
      <c r="J495" s="147" t="str">
        <f>IFERROR(__xludf.DUMMYFUNCTION("IF(ISBLANK(A495),IFERROR(1/0),IF(COUNT(FILTER(F:F,A:A=A495))&gt;1,TRUNC(N495*F495/SUM(FILTER(N:N,A:A=A495)),3),F495))"),"")</f>
        <v/>
      </c>
      <c r="K495" s="147" t="str">
        <f>IFERROR(__xludf.DUMMYFUNCTION("IF(ISBLANK(A495),IFERROR(1/0),IF(COUNT(FILTER(G:G,((A:A=A495)*(B:B=""V""))))&gt;1,TRUNC(N495*G495/SUM(FILTER(N:N,((A:A=A495)*(B:B=""V"")))),3),G495))"),"")</f>
        <v/>
      </c>
      <c r="L495" s="148" t="str">
        <f>IFERROR(__xludf.DUMMYFUNCTION("if($C495="""","""",iferror(if(row()&lt;&gt;2,INDEX(arrayformula(filter($M$2:$M494,$C$2:$C494&lt;&gt;"""",row($C$2:$C494)=max(if($C$2:$C494=C495,row($C$2:$C494),0)))) ,1),0),0))"),"")</f>
        <v/>
      </c>
      <c r="M495" s="148" t="str">
        <f t="shared" si="1"/>
        <v/>
      </c>
      <c r="N495" s="147" t="str">
        <f t="shared" si="2"/>
        <v/>
      </c>
      <c r="O495" s="147" t="str">
        <f t="shared" si="21"/>
        <v/>
      </c>
      <c r="P495" s="147" t="str">
        <f>IFERROR(__xludf.DUMMYFUNCTION("if(C495="""","""",iferror(if(row()&lt;&gt;2,INDEX(arrayformula(filter($Q$2:$Q494,$C$2:$C494&lt;&gt;"""",row($C$2:$C494)=max(if($C$2:$C494=C495,row($C$2:$C494),0)))) ,1),0),0))"),"")</f>
        <v/>
      </c>
      <c r="Q495" s="147" t="str">
        <f t="shared" si="22"/>
        <v/>
      </c>
      <c r="R495" s="147" t="str">
        <f t="shared" si="23"/>
        <v/>
      </c>
      <c r="S495" s="147" t="str">
        <f t="shared" si="24"/>
        <v/>
      </c>
      <c r="T495" s="147" t="str">
        <f t="shared" si="7"/>
        <v/>
      </c>
      <c r="U495" s="150" t="str">
        <f t="shared" si="8"/>
        <v/>
      </c>
      <c r="V495" s="151" t="str">
        <f>IFERROR(VLOOKUP(C495,Ativos!$A$1:$G2000,5,),)</f>
        <v/>
      </c>
    </row>
    <row r="496" ht="21.0" customHeight="1">
      <c r="A496" s="152"/>
      <c r="B496" s="160"/>
      <c r="C496" s="153"/>
      <c r="D496" s="154"/>
      <c r="E496" s="139"/>
      <c r="F496" s="139"/>
      <c r="G496" s="139"/>
      <c r="H496" s="135"/>
      <c r="I496" s="141"/>
      <c r="J496" s="147" t="str">
        <f>IFERROR(__xludf.DUMMYFUNCTION("IF(ISBLANK(A496),IFERROR(1/0),IF(COUNT(FILTER(F:F,A:A=A496))&gt;1,TRUNC(N496*F496/SUM(FILTER(N:N,A:A=A496)),3),F496))"),"")</f>
        <v/>
      </c>
      <c r="K496" s="147" t="str">
        <f>IFERROR(__xludf.DUMMYFUNCTION("IF(ISBLANK(A496),IFERROR(1/0),IF(COUNT(FILTER(G:G,((A:A=A496)*(B:B=""V""))))&gt;1,TRUNC(N496*G496/SUM(FILTER(N:N,((A:A=A496)*(B:B=""V"")))),3),G496))"),"")</f>
        <v/>
      </c>
      <c r="L496" s="148" t="str">
        <f>IFERROR(__xludf.DUMMYFUNCTION("if($C496="""","""",iferror(if(row()&lt;&gt;2,INDEX(arrayformula(filter($M$2:$M495,$C$2:$C495&lt;&gt;"""",row($C$2:$C495)=max(if($C$2:$C495=C496,row($C$2:$C495),0)))) ,1),0),0))"),"")</f>
        <v/>
      </c>
      <c r="M496" s="148" t="str">
        <f t="shared" si="1"/>
        <v/>
      </c>
      <c r="N496" s="147" t="str">
        <f t="shared" si="2"/>
        <v/>
      </c>
      <c r="O496" s="147" t="str">
        <f t="shared" si="21"/>
        <v/>
      </c>
      <c r="P496" s="147" t="str">
        <f>IFERROR(__xludf.DUMMYFUNCTION("if(C496="""","""",iferror(if(row()&lt;&gt;2,INDEX(arrayformula(filter($Q$2:$Q495,$C$2:$C495&lt;&gt;"""",row($C$2:$C495)=max(if($C$2:$C495=C496,row($C$2:$C495),0)))) ,1),0),0))"),"")</f>
        <v/>
      </c>
      <c r="Q496" s="147" t="str">
        <f t="shared" si="22"/>
        <v/>
      </c>
      <c r="R496" s="147" t="str">
        <f t="shared" si="23"/>
        <v/>
      </c>
      <c r="S496" s="147" t="str">
        <f t="shared" si="24"/>
        <v/>
      </c>
      <c r="T496" s="147" t="str">
        <f t="shared" si="7"/>
        <v/>
      </c>
      <c r="U496" s="150" t="str">
        <f t="shared" si="8"/>
        <v/>
      </c>
      <c r="V496" s="151" t="str">
        <f>IFERROR(VLOOKUP(C496,Ativos!$A$1:$G2000,5,),)</f>
        <v/>
      </c>
    </row>
    <row r="497" ht="21.0" customHeight="1">
      <c r="A497" s="152"/>
      <c r="B497" s="160"/>
      <c r="C497" s="153"/>
      <c r="D497" s="154"/>
      <c r="E497" s="139"/>
      <c r="F497" s="139"/>
      <c r="G497" s="139"/>
      <c r="H497" s="135"/>
      <c r="I497" s="141"/>
      <c r="J497" s="147" t="str">
        <f>IFERROR(__xludf.DUMMYFUNCTION("IF(ISBLANK(A497),IFERROR(1/0),IF(COUNT(FILTER(F:F,A:A=A497))&gt;1,TRUNC(N497*F497/SUM(FILTER(N:N,A:A=A497)),3),F497))"),"")</f>
        <v/>
      </c>
      <c r="K497" s="147" t="str">
        <f>IFERROR(__xludf.DUMMYFUNCTION("IF(ISBLANK(A497),IFERROR(1/0),IF(COUNT(FILTER(G:G,((A:A=A497)*(B:B=""V""))))&gt;1,TRUNC(N497*G497/SUM(FILTER(N:N,((A:A=A497)*(B:B=""V"")))),3),G497))"),"")</f>
        <v/>
      </c>
      <c r="L497" s="148" t="str">
        <f>IFERROR(__xludf.DUMMYFUNCTION("if($C497="""","""",iferror(if(row()&lt;&gt;2,INDEX(arrayformula(filter($M$2:$M496,$C$2:$C496&lt;&gt;"""",row($C$2:$C496)=max(if($C$2:$C496=C497,row($C$2:$C496),0)))) ,1),0),0))"),"")</f>
        <v/>
      </c>
      <c r="M497" s="148" t="str">
        <f t="shared" si="1"/>
        <v/>
      </c>
      <c r="N497" s="147" t="str">
        <f t="shared" si="2"/>
        <v/>
      </c>
      <c r="O497" s="147" t="str">
        <f t="shared" si="21"/>
        <v/>
      </c>
      <c r="P497" s="147" t="str">
        <f>IFERROR(__xludf.DUMMYFUNCTION("if(C497="""","""",iferror(if(row()&lt;&gt;2,INDEX(arrayformula(filter($Q$2:$Q496,$C$2:$C496&lt;&gt;"""",row($C$2:$C496)=max(if($C$2:$C496=C497,row($C$2:$C496),0)))) ,1),0),0))"),"")</f>
        <v/>
      </c>
      <c r="Q497" s="147" t="str">
        <f t="shared" si="22"/>
        <v/>
      </c>
      <c r="R497" s="147" t="str">
        <f t="shared" si="23"/>
        <v/>
      </c>
      <c r="S497" s="147" t="str">
        <f t="shared" si="24"/>
        <v/>
      </c>
      <c r="T497" s="147" t="str">
        <f t="shared" si="7"/>
        <v/>
      </c>
      <c r="U497" s="150" t="str">
        <f t="shared" si="8"/>
        <v/>
      </c>
      <c r="V497" s="151" t="str">
        <f>IFERROR(VLOOKUP(C497,Ativos!$A$1:$G2000,5,),)</f>
        <v/>
      </c>
    </row>
    <row r="498" ht="21.0" customHeight="1">
      <c r="A498" s="152"/>
      <c r="B498" s="160"/>
      <c r="C498" s="153"/>
      <c r="D498" s="154"/>
      <c r="E498" s="139"/>
      <c r="F498" s="139"/>
      <c r="G498" s="139"/>
      <c r="H498" s="135"/>
      <c r="I498" s="141"/>
      <c r="J498" s="147" t="str">
        <f>IFERROR(__xludf.DUMMYFUNCTION("IF(ISBLANK(A498),IFERROR(1/0),IF(COUNT(FILTER(F:F,A:A=A498))&gt;1,TRUNC(N498*F498/SUM(FILTER(N:N,A:A=A498)),3),F498))"),"")</f>
        <v/>
      </c>
      <c r="K498" s="147" t="str">
        <f>IFERROR(__xludf.DUMMYFUNCTION("IF(ISBLANK(A498),IFERROR(1/0),IF(COUNT(FILTER(G:G,((A:A=A498)*(B:B=""V""))))&gt;1,TRUNC(N498*G498/SUM(FILTER(N:N,((A:A=A498)*(B:B=""V"")))),3),G498))"),"")</f>
        <v/>
      </c>
      <c r="L498" s="148" t="str">
        <f>IFERROR(__xludf.DUMMYFUNCTION("if($C498="""","""",iferror(if(row()&lt;&gt;2,INDEX(arrayformula(filter($M$2:$M497,$C$2:$C497&lt;&gt;"""",row($C$2:$C497)=max(if($C$2:$C497=C498,row($C$2:$C497),0)))) ,1),0),0))"),"")</f>
        <v/>
      </c>
      <c r="M498" s="148" t="str">
        <f t="shared" si="1"/>
        <v/>
      </c>
      <c r="N498" s="147" t="str">
        <f t="shared" si="2"/>
        <v/>
      </c>
      <c r="O498" s="147" t="str">
        <f t="shared" si="21"/>
        <v/>
      </c>
      <c r="P498" s="147" t="str">
        <f>IFERROR(__xludf.DUMMYFUNCTION("if(C498="""","""",iferror(if(row()&lt;&gt;2,INDEX(arrayformula(filter($Q$2:$Q497,$C$2:$C497&lt;&gt;"""",row($C$2:$C497)=max(if($C$2:$C497=C498,row($C$2:$C497),0)))) ,1),0),0))"),"")</f>
        <v/>
      </c>
      <c r="Q498" s="147" t="str">
        <f t="shared" si="22"/>
        <v/>
      </c>
      <c r="R498" s="147" t="str">
        <f t="shared" si="23"/>
        <v/>
      </c>
      <c r="S498" s="147" t="str">
        <f t="shared" si="24"/>
        <v/>
      </c>
      <c r="T498" s="147" t="str">
        <f t="shared" si="7"/>
        <v/>
      </c>
      <c r="U498" s="150" t="str">
        <f t="shared" si="8"/>
        <v/>
      </c>
      <c r="V498" s="151" t="str">
        <f>IFERROR(VLOOKUP(C498,Ativos!$A$1:$G2000,5,),)</f>
        <v/>
      </c>
    </row>
    <row r="499" ht="21.0" customHeight="1">
      <c r="A499" s="152"/>
      <c r="B499" s="160"/>
      <c r="C499" s="153"/>
      <c r="D499" s="154"/>
      <c r="E499" s="139"/>
      <c r="F499" s="139"/>
      <c r="G499" s="139"/>
      <c r="H499" s="135"/>
      <c r="I499" s="141"/>
      <c r="J499" s="147" t="str">
        <f>IFERROR(__xludf.DUMMYFUNCTION("IF(ISBLANK(A499),IFERROR(1/0),IF(COUNT(FILTER(F:F,A:A=A499))&gt;1,TRUNC(N499*F499/SUM(FILTER(N:N,A:A=A499)),3),F499))"),"")</f>
        <v/>
      </c>
      <c r="K499" s="147" t="str">
        <f>IFERROR(__xludf.DUMMYFUNCTION("IF(ISBLANK(A499),IFERROR(1/0),IF(COUNT(FILTER(G:G,((A:A=A499)*(B:B=""V""))))&gt;1,TRUNC(N499*G499/SUM(FILTER(N:N,((A:A=A499)*(B:B=""V"")))),3),G499))"),"")</f>
        <v/>
      </c>
      <c r="L499" s="148" t="str">
        <f>IFERROR(__xludf.DUMMYFUNCTION("if($C499="""","""",iferror(if(row()&lt;&gt;2,INDEX(arrayformula(filter($M$2:$M498,$C$2:$C498&lt;&gt;"""",row($C$2:$C498)=max(if($C$2:$C498=C499,row($C$2:$C498),0)))) ,1),0),0))"),"")</f>
        <v/>
      </c>
      <c r="M499" s="148" t="str">
        <f t="shared" si="1"/>
        <v/>
      </c>
      <c r="N499" s="147" t="str">
        <f t="shared" si="2"/>
        <v/>
      </c>
      <c r="O499" s="147" t="str">
        <f t="shared" si="21"/>
        <v/>
      </c>
      <c r="P499" s="147" t="str">
        <f>IFERROR(__xludf.DUMMYFUNCTION("if(C499="""","""",iferror(if(row()&lt;&gt;2,INDEX(arrayformula(filter($Q$2:$Q498,$C$2:$C498&lt;&gt;"""",row($C$2:$C498)=max(if($C$2:$C498=C499,row($C$2:$C498),0)))) ,1),0),0))"),"")</f>
        <v/>
      </c>
      <c r="Q499" s="147" t="str">
        <f t="shared" si="22"/>
        <v/>
      </c>
      <c r="R499" s="147" t="str">
        <f t="shared" si="23"/>
        <v/>
      </c>
      <c r="S499" s="147" t="str">
        <f t="shared" si="24"/>
        <v/>
      </c>
      <c r="T499" s="147" t="str">
        <f t="shared" si="7"/>
        <v/>
      </c>
      <c r="U499" s="150" t="str">
        <f t="shared" si="8"/>
        <v/>
      </c>
      <c r="V499" s="151" t="str">
        <f>IFERROR(VLOOKUP(C499,Ativos!$A$1:$G2000,5,),)</f>
        <v/>
      </c>
    </row>
    <row r="500" ht="21.0" customHeight="1">
      <c r="A500" s="152"/>
      <c r="B500" s="160"/>
      <c r="C500" s="153"/>
      <c r="D500" s="154"/>
      <c r="E500" s="139"/>
      <c r="F500" s="139"/>
      <c r="G500" s="139"/>
      <c r="H500" s="135"/>
      <c r="I500" s="141"/>
      <c r="J500" s="147" t="str">
        <f>IFERROR(__xludf.DUMMYFUNCTION("IF(ISBLANK(A500),IFERROR(1/0),IF(COUNT(FILTER(F:F,A:A=A500))&gt;1,TRUNC(N500*F500/SUM(FILTER(N:N,A:A=A500)),3),F500))"),"")</f>
        <v/>
      </c>
      <c r="K500" s="147" t="str">
        <f>IFERROR(__xludf.DUMMYFUNCTION("IF(ISBLANK(A500),IFERROR(1/0),IF(COUNT(FILTER(G:G,((A:A=A500)*(B:B=""V""))))&gt;1,TRUNC(N500*G500/SUM(FILTER(N:N,((A:A=A500)*(B:B=""V"")))),3),G500))"),"")</f>
        <v/>
      </c>
      <c r="L500" s="148" t="str">
        <f>IFERROR(__xludf.DUMMYFUNCTION("if($C500="""","""",iferror(if(row()&lt;&gt;2,INDEX(arrayformula(filter($M$2:$M499,$C$2:$C499&lt;&gt;"""",row($C$2:$C499)=max(if($C$2:$C499=C500,row($C$2:$C499),0)))) ,1),0),0))"),"")</f>
        <v/>
      </c>
      <c r="M500" s="148" t="str">
        <f t="shared" si="1"/>
        <v/>
      </c>
      <c r="N500" s="147" t="str">
        <f t="shared" si="2"/>
        <v/>
      </c>
      <c r="O500" s="147" t="str">
        <f t="shared" si="21"/>
        <v/>
      </c>
      <c r="P500" s="147" t="str">
        <f>IFERROR(__xludf.DUMMYFUNCTION("if(C500="""","""",iferror(if(row()&lt;&gt;2,INDEX(arrayformula(filter($Q$2:$Q499,$C$2:$C499&lt;&gt;"""",row($C$2:$C499)=max(if($C$2:$C499=C500,row($C$2:$C499),0)))) ,1),0),0))"),"")</f>
        <v/>
      </c>
      <c r="Q500" s="147" t="str">
        <f t="shared" si="22"/>
        <v/>
      </c>
      <c r="R500" s="147" t="str">
        <f t="shared" si="23"/>
        <v/>
      </c>
      <c r="S500" s="147" t="str">
        <f t="shared" si="24"/>
        <v/>
      </c>
      <c r="T500" s="147" t="str">
        <f t="shared" si="7"/>
        <v/>
      </c>
      <c r="U500" s="150" t="str">
        <f t="shared" si="8"/>
        <v/>
      </c>
      <c r="V500" s="151" t="str">
        <f>IFERROR(VLOOKUP(C500,Ativos!$A$1:$G2000,5,),)</f>
        <v/>
      </c>
    </row>
    <row r="501" ht="21.0" customHeight="1">
      <c r="A501" s="152"/>
      <c r="B501" s="160"/>
      <c r="C501" s="153"/>
      <c r="D501" s="154"/>
      <c r="E501" s="139"/>
      <c r="F501" s="139"/>
      <c r="G501" s="139"/>
      <c r="H501" s="135"/>
      <c r="I501" s="141"/>
      <c r="J501" s="147" t="str">
        <f>IFERROR(__xludf.DUMMYFUNCTION("IF(ISBLANK(A501),IFERROR(1/0),IF(COUNT(FILTER(F:F,A:A=A501))&gt;1,TRUNC(N501*F501/SUM(FILTER(N:N,A:A=A501)),3),F501))"),"")</f>
        <v/>
      </c>
      <c r="K501" s="147" t="str">
        <f>IFERROR(__xludf.DUMMYFUNCTION("IF(ISBLANK(A501),IFERROR(1/0),IF(COUNT(FILTER(G:G,((A:A=A501)*(B:B=""V""))))&gt;1,TRUNC(N501*G501/SUM(FILTER(N:N,((A:A=A501)*(B:B=""V"")))),3),G501))"),"")</f>
        <v/>
      </c>
      <c r="L501" s="148" t="str">
        <f>IFERROR(__xludf.DUMMYFUNCTION("if($C501="""","""",iferror(if(row()&lt;&gt;2,INDEX(arrayformula(filter($M$2:$M500,$C$2:$C500&lt;&gt;"""",row($C$2:$C500)=max(if($C$2:$C500=C501,row($C$2:$C500),0)))) ,1),0),0))"),"")</f>
        <v/>
      </c>
      <c r="M501" s="148" t="str">
        <f t="shared" si="1"/>
        <v/>
      </c>
      <c r="N501" s="147" t="str">
        <f t="shared" si="2"/>
        <v/>
      </c>
      <c r="O501" s="147" t="str">
        <f t="shared" si="21"/>
        <v/>
      </c>
      <c r="P501" s="147" t="str">
        <f>IFERROR(__xludf.DUMMYFUNCTION("if(C501="""","""",iferror(if(row()&lt;&gt;2,INDEX(arrayformula(filter($Q$2:$Q500,$C$2:$C500&lt;&gt;"""",row($C$2:$C500)=max(if($C$2:$C500=C501,row($C$2:$C500),0)))) ,1),0),0))"),"")</f>
        <v/>
      </c>
      <c r="Q501" s="147" t="str">
        <f t="shared" si="22"/>
        <v/>
      </c>
      <c r="R501" s="147" t="str">
        <f t="shared" si="23"/>
        <v/>
      </c>
      <c r="S501" s="147" t="str">
        <f t="shared" si="24"/>
        <v/>
      </c>
      <c r="T501" s="147" t="str">
        <f t="shared" si="7"/>
        <v/>
      </c>
      <c r="U501" s="150" t="str">
        <f t="shared" si="8"/>
        <v/>
      </c>
      <c r="V501" s="151" t="str">
        <f>IFERROR(VLOOKUP(C501,Ativos!$A$1:$G2000,5,),)</f>
        <v/>
      </c>
    </row>
    <row r="502" ht="21.0" customHeight="1">
      <c r="A502" s="152"/>
      <c r="B502" s="160"/>
      <c r="C502" s="153"/>
      <c r="D502" s="154"/>
      <c r="E502" s="139"/>
      <c r="F502" s="139"/>
      <c r="G502" s="139"/>
      <c r="H502" s="135"/>
      <c r="I502" s="141"/>
      <c r="J502" s="147" t="str">
        <f>IFERROR(__xludf.DUMMYFUNCTION("IF(ISBLANK(A502),IFERROR(1/0),IF(COUNT(FILTER(F:F,A:A=A502))&gt;1,TRUNC(N502*F502/SUM(FILTER(N:N,A:A=A502)),3),F502))"),"")</f>
        <v/>
      </c>
      <c r="K502" s="147" t="str">
        <f>IFERROR(__xludf.DUMMYFUNCTION("IF(ISBLANK(A502),IFERROR(1/0),IF(COUNT(FILTER(G:G,((A:A=A502)*(B:B=""V""))))&gt;1,TRUNC(N502*G502/SUM(FILTER(N:N,((A:A=A502)*(B:B=""V"")))),3),G502))"),"")</f>
        <v/>
      </c>
      <c r="L502" s="148" t="str">
        <f>IFERROR(__xludf.DUMMYFUNCTION("if($C502="""","""",iferror(if(row()&lt;&gt;2,INDEX(arrayformula(filter($M$2:$M501,$C$2:$C501&lt;&gt;"""",row($C$2:$C501)=max(if($C$2:$C501=C502,row($C$2:$C501),0)))) ,1),0),0))"),"")</f>
        <v/>
      </c>
      <c r="M502" s="148" t="str">
        <f t="shared" si="1"/>
        <v/>
      </c>
      <c r="N502" s="147" t="str">
        <f t="shared" si="2"/>
        <v/>
      </c>
      <c r="O502" s="147" t="str">
        <f t="shared" si="21"/>
        <v/>
      </c>
      <c r="P502" s="147" t="str">
        <f>IFERROR(__xludf.DUMMYFUNCTION("if(C502="""","""",iferror(if(row()&lt;&gt;2,INDEX(arrayformula(filter($Q$2:$Q501,$C$2:$C501&lt;&gt;"""",row($C$2:$C501)=max(if($C$2:$C501=C502,row($C$2:$C501),0)))) ,1),0),0))"),"")</f>
        <v/>
      </c>
      <c r="Q502" s="147" t="str">
        <f t="shared" si="22"/>
        <v/>
      </c>
      <c r="R502" s="147" t="str">
        <f t="shared" si="23"/>
        <v/>
      </c>
      <c r="S502" s="147" t="str">
        <f t="shared" si="24"/>
        <v/>
      </c>
      <c r="T502" s="147" t="str">
        <f t="shared" si="7"/>
        <v/>
      </c>
      <c r="U502" s="150" t="str">
        <f t="shared" si="8"/>
        <v/>
      </c>
      <c r="V502" s="151" t="str">
        <f>IFERROR(VLOOKUP(C502,Ativos!$A$1:$G2000,5,),)</f>
        <v/>
      </c>
    </row>
    <row r="503" ht="21.0" customHeight="1">
      <c r="A503" s="152"/>
      <c r="B503" s="160"/>
      <c r="C503" s="153"/>
      <c r="D503" s="154"/>
      <c r="E503" s="139"/>
      <c r="F503" s="139"/>
      <c r="G503" s="139"/>
      <c r="H503" s="135"/>
      <c r="I503" s="141"/>
      <c r="J503" s="147" t="str">
        <f>IFERROR(__xludf.DUMMYFUNCTION("IF(ISBLANK(A503),IFERROR(1/0),IF(COUNT(FILTER(F:F,A:A=A503))&gt;1,TRUNC(N503*F503/SUM(FILTER(N:N,A:A=A503)),3),F503))"),"")</f>
        <v/>
      </c>
      <c r="K503" s="147" t="str">
        <f>IFERROR(__xludf.DUMMYFUNCTION("IF(ISBLANK(A503),IFERROR(1/0),IF(COUNT(FILTER(G:G,((A:A=A503)*(B:B=""V""))))&gt;1,TRUNC(N503*G503/SUM(FILTER(N:N,((A:A=A503)*(B:B=""V"")))),3),G503))"),"")</f>
        <v/>
      </c>
      <c r="L503" s="148" t="str">
        <f>IFERROR(__xludf.DUMMYFUNCTION("if($C503="""","""",iferror(if(row()&lt;&gt;2,INDEX(arrayformula(filter($M$2:$M502,$C$2:$C502&lt;&gt;"""",row($C$2:$C502)=max(if($C$2:$C502=C503,row($C$2:$C502),0)))) ,1),0),0))"),"")</f>
        <v/>
      </c>
      <c r="M503" s="148" t="str">
        <f t="shared" si="1"/>
        <v/>
      </c>
      <c r="N503" s="147" t="str">
        <f t="shared" si="2"/>
        <v/>
      </c>
      <c r="O503" s="147" t="str">
        <f t="shared" si="21"/>
        <v/>
      </c>
      <c r="P503" s="147" t="str">
        <f>IFERROR(__xludf.DUMMYFUNCTION("if(C503="""","""",iferror(if(row()&lt;&gt;2,INDEX(arrayformula(filter($Q$2:$Q502,$C$2:$C502&lt;&gt;"""",row($C$2:$C502)=max(if($C$2:$C502=C503,row($C$2:$C502),0)))) ,1),0),0))"),"")</f>
        <v/>
      </c>
      <c r="Q503" s="147" t="str">
        <f t="shared" si="22"/>
        <v/>
      </c>
      <c r="R503" s="147" t="str">
        <f t="shared" si="23"/>
        <v/>
      </c>
      <c r="S503" s="147" t="str">
        <f t="shared" si="24"/>
        <v/>
      </c>
      <c r="T503" s="147" t="str">
        <f t="shared" si="7"/>
        <v/>
      </c>
      <c r="U503" s="150" t="str">
        <f t="shared" si="8"/>
        <v/>
      </c>
      <c r="V503" s="151" t="str">
        <f>IFERROR(VLOOKUP(C503,Ativos!$A$1:$G2000,5,),)</f>
        <v/>
      </c>
    </row>
    <row r="504" ht="21.0" customHeight="1">
      <c r="A504" s="152"/>
      <c r="B504" s="160"/>
      <c r="C504" s="153"/>
      <c r="D504" s="154"/>
      <c r="E504" s="139"/>
      <c r="F504" s="139"/>
      <c r="G504" s="139"/>
      <c r="H504" s="135"/>
      <c r="I504" s="141"/>
      <c r="J504" s="147" t="str">
        <f>IFERROR(__xludf.DUMMYFUNCTION("IF(ISBLANK(A504),IFERROR(1/0),IF(COUNT(FILTER(F:F,A:A=A504))&gt;1,TRUNC(N504*F504/SUM(FILTER(N:N,A:A=A504)),3),F504))"),"")</f>
        <v/>
      </c>
      <c r="K504" s="147" t="str">
        <f>IFERROR(__xludf.DUMMYFUNCTION("IF(ISBLANK(A504),IFERROR(1/0),IF(COUNT(FILTER(G:G,((A:A=A504)*(B:B=""V""))))&gt;1,TRUNC(N504*G504/SUM(FILTER(N:N,((A:A=A504)*(B:B=""V"")))),3),G504))"),"")</f>
        <v/>
      </c>
      <c r="L504" s="148" t="str">
        <f>IFERROR(__xludf.DUMMYFUNCTION("if($C504="""","""",iferror(if(row()&lt;&gt;2,INDEX(arrayformula(filter($M$2:$M503,$C$2:$C503&lt;&gt;"""",row($C$2:$C503)=max(if($C$2:$C503=C504,row($C$2:$C503),0)))) ,1),0),0))"),"")</f>
        <v/>
      </c>
      <c r="M504" s="148" t="str">
        <f t="shared" si="1"/>
        <v/>
      </c>
      <c r="N504" s="147" t="str">
        <f t="shared" si="2"/>
        <v/>
      </c>
      <c r="O504" s="147" t="str">
        <f t="shared" si="21"/>
        <v/>
      </c>
      <c r="P504" s="147" t="str">
        <f>IFERROR(__xludf.DUMMYFUNCTION("if(C504="""","""",iferror(if(row()&lt;&gt;2,INDEX(arrayformula(filter($Q$2:$Q503,$C$2:$C503&lt;&gt;"""",row($C$2:$C503)=max(if($C$2:$C503=C504,row($C$2:$C503),0)))) ,1),0),0))"),"")</f>
        <v/>
      </c>
      <c r="Q504" s="147" t="str">
        <f t="shared" si="22"/>
        <v/>
      </c>
      <c r="R504" s="147" t="str">
        <f t="shared" si="23"/>
        <v/>
      </c>
      <c r="S504" s="147" t="str">
        <f t="shared" si="24"/>
        <v/>
      </c>
      <c r="T504" s="147" t="str">
        <f t="shared" si="7"/>
        <v/>
      </c>
      <c r="U504" s="150" t="str">
        <f t="shared" si="8"/>
        <v/>
      </c>
      <c r="V504" s="151" t="str">
        <f>IFERROR(VLOOKUP(C504,Ativos!$A$1:$G2000,5,),)</f>
        <v/>
      </c>
    </row>
    <row r="505" ht="21.0" customHeight="1">
      <c r="A505" s="152"/>
      <c r="B505" s="160"/>
      <c r="C505" s="153"/>
      <c r="D505" s="154"/>
      <c r="E505" s="139"/>
      <c r="F505" s="139"/>
      <c r="G505" s="139"/>
      <c r="H505" s="135"/>
      <c r="I505" s="141"/>
      <c r="J505" s="147" t="str">
        <f>IFERROR(__xludf.DUMMYFUNCTION("IF(ISBLANK(A505),IFERROR(1/0),IF(COUNT(FILTER(F:F,A:A=A505))&gt;1,TRUNC(N505*F505/SUM(FILTER(N:N,A:A=A505)),3),F505))"),"")</f>
        <v/>
      </c>
      <c r="K505" s="147" t="str">
        <f>IFERROR(__xludf.DUMMYFUNCTION("IF(ISBLANK(A505),IFERROR(1/0),IF(COUNT(FILTER(G:G,((A:A=A505)*(B:B=""V""))))&gt;1,TRUNC(N505*G505/SUM(FILTER(N:N,((A:A=A505)*(B:B=""V"")))),3),G505))"),"")</f>
        <v/>
      </c>
      <c r="L505" s="148" t="str">
        <f>IFERROR(__xludf.DUMMYFUNCTION("if($C505="""","""",iferror(if(row()&lt;&gt;2,INDEX(arrayformula(filter($M$2:$M504,$C$2:$C504&lt;&gt;"""",row($C$2:$C504)=max(if($C$2:$C504=C505,row($C$2:$C504),0)))) ,1),0),0))"),"")</f>
        <v/>
      </c>
      <c r="M505" s="148" t="str">
        <f t="shared" si="1"/>
        <v/>
      </c>
      <c r="N505" s="147" t="str">
        <f t="shared" si="2"/>
        <v/>
      </c>
      <c r="O505" s="147" t="str">
        <f t="shared" si="21"/>
        <v/>
      </c>
      <c r="P505" s="147" t="str">
        <f>IFERROR(__xludf.DUMMYFUNCTION("if(C505="""","""",iferror(if(row()&lt;&gt;2,INDEX(arrayformula(filter($Q$2:$Q504,$C$2:$C504&lt;&gt;"""",row($C$2:$C504)=max(if($C$2:$C504=C505,row($C$2:$C504),0)))) ,1),0),0))"),"")</f>
        <v/>
      </c>
      <c r="Q505" s="147" t="str">
        <f t="shared" si="22"/>
        <v/>
      </c>
      <c r="R505" s="147" t="str">
        <f t="shared" si="23"/>
        <v/>
      </c>
      <c r="S505" s="147" t="str">
        <f t="shared" si="24"/>
        <v/>
      </c>
      <c r="T505" s="147" t="str">
        <f t="shared" si="7"/>
        <v/>
      </c>
      <c r="U505" s="150" t="str">
        <f t="shared" si="8"/>
        <v/>
      </c>
      <c r="V505" s="151" t="str">
        <f>IFERROR(VLOOKUP(C505,Ativos!$A$1:$G2000,5,),)</f>
        <v/>
      </c>
    </row>
    <row r="506" ht="21.0" customHeight="1">
      <c r="A506" s="152"/>
      <c r="B506" s="160"/>
      <c r="C506" s="153"/>
      <c r="D506" s="154"/>
      <c r="E506" s="139"/>
      <c r="F506" s="139"/>
      <c r="G506" s="139"/>
      <c r="H506" s="135"/>
      <c r="I506" s="141"/>
      <c r="J506" s="147" t="str">
        <f>IFERROR(__xludf.DUMMYFUNCTION("IF(ISBLANK(A506),IFERROR(1/0),IF(COUNT(FILTER(F:F,A:A=A506))&gt;1,TRUNC(N506*F506/SUM(FILTER(N:N,A:A=A506)),3),F506))"),"")</f>
        <v/>
      </c>
      <c r="K506" s="147" t="str">
        <f>IFERROR(__xludf.DUMMYFUNCTION("IF(ISBLANK(A506),IFERROR(1/0),IF(COUNT(FILTER(G:G,((A:A=A506)*(B:B=""V""))))&gt;1,TRUNC(N506*G506/SUM(FILTER(N:N,((A:A=A506)*(B:B=""V"")))),3),G506))"),"")</f>
        <v/>
      </c>
      <c r="L506" s="148" t="str">
        <f>IFERROR(__xludf.DUMMYFUNCTION("if($C506="""","""",iferror(if(row()&lt;&gt;2,INDEX(arrayformula(filter($M$2:$M505,$C$2:$C505&lt;&gt;"""",row($C$2:$C505)=max(if($C$2:$C505=C506,row($C$2:$C505),0)))) ,1),0),0))"),"")</f>
        <v/>
      </c>
      <c r="M506" s="148" t="str">
        <f t="shared" si="1"/>
        <v/>
      </c>
      <c r="N506" s="147" t="str">
        <f t="shared" si="2"/>
        <v/>
      </c>
      <c r="O506" s="147" t="str">
        <f t="shared" si="21"/>
        <v/>
      </c>
      <c r="P506" s="147" t="str">
        <f>IFERROR(__xludf.DUMMYFUNCTION("if(C506="""","""",iferror(if(row()&lt;&gt;2,INDEX(arrayformula(filter($Q$2:$Q505,$C$2:$C505&lt;&gt;"""",row($C$2:$C505)=max(if($C$2:$C505=C506,row($C$2:$C505),0)))) ,1),0),0))"),"")</f>
        <v/>
      </c>
      <c r="Q506" s="147" t="str">
        <f t="shared" si="22"/>
        <v/>
      </c>
      <c r="R506" s="147" t="str">
        <f t="shared" si="23"/>
        <v/>
      </c>
      <c r="S506" s="147" t="str">
        <f t="shared" si="24"/>
        <v/>
      </c>
      <c r="T506" s="147" t="str">
        <f t="shared" si="7"/>
        <v/>
      </c>
      <c r="U506" s="150" t="str">
        <f t="shared" si="8"/>
        <v/>
      </c>
      <c r="V506" s="151" t="str">
        <f>IFERROR(VLOOKUP(C506,Ativos!$A$1:$G2000,5,),)</f>
        <v/>
      </c>
    </row>
    <row r="507" ht="21.0" customHeight="1">
      <c r="A507" s="152"/>
      <c r="B507" s="160"/>
      <c r="C507" s="153"/>
      <c r="D507" s="154"/>
      <c r="E507" s="139"/>
      <c r="F507" s="139"/>
      <c r="G507" s="139"/>
      <c r="H507" s="135"/>
      <c r="I507" s="141"/>
      <c r="J507" s="147" t="str">
        <f>IFERROR(__xludf.DUMMYFUNCTION("IF(ISBLANK(A507),IFERROR(1/0),IF(COUNT(FILTER(F:F,A:A=A507))&gt;1,TRUNC(N507*F507/SUM(FILTER(N:N,A:A=A507)),3),F507))"),"")</f>
        <v/>
      </c>
      <c r="K507" s="147" t="str">
        <f>IFERROR(__xludf.DUMMYFUNCTION("IF(ISBLANK(A507),IFERROR(1/0),IF(COUNT(FILTER(G:G,((A:A=A507)*(B:B=""V""))))&gt;1,TRUNC(N507*G507/SUM(FILTER(N:N,((A:A=A507)*(B:B=""V"")))),3),G507))"),"")</f>
        <v/>
      </c>
      <c r="L507" s="148" t="str">
        <f>IFERROR(__xludf.DUMMYFUNCTION("if($C507="""","""",iferror(if(row()&lt;&gt;2,INDEX(arrayformula(filter($M$2:$M506,$C$2:$C506&lt;&gt;"""",row($C$2:$C506)=max(if($C$2:$C506=C507,row($C$2:$C506),0)))) ,1),0),0))"),"")</f>
        <v/>
      </c>
      <c r="M507" s="148" t="str">
        <f t="shared" si="1"/>
        <v/>
      </c>
      <c r="N507" s="147" t="str">
        <f t="shared" si="2"/>
        <v/>
      </c>
      <c r="O507" s="147" t="str">
        <f t="shared" si="21"/>
        <v/>
      </c>
      <c r="P507" s="147" t="str">
        <f>IFERROR(__xludf.DUMMYFUNCTION("if(C507="""","""",iferror(if(row()&lt;&gt;2,INDEX(arrayformula(filter($Q$2:$Q506,$C$2:$C506&lt;&gt;"""",row($C$2:$C506)=max(if($C$2:$C506=C507,row($C$2:$C506),0)))) ,1),0),0))"),"")</f>
        <v/>
      </c>
      <c r="Q507" s="147" t="str">
        <f t="shared" si="22"/>
        <v/>
      </c>
      <c r="R507" s="147" t="str">
        <f t="shared" si="23"/>
        <v/>
      </c>
      <c r="S507" s="147" t="str">
        <f t="shared" si="24"/>
        <v/>
      </c>
      <c r="T507" s="147" t="str">
        <f t="shared" si="7"/>
        <v/>
      </c>
      <c r="U507" s="150" t="str">
        <f t="shared" si="8"/>
        <v/>
      </c>
      <c r="V507" s="151" t="str">
        <f>IFERROR(VLOOKUP(C507,Ativos!$A$1:$G2000,5,),)</f>
        <v/>
      </c>
    </row>
    <row r="508" ht="21.0" customHeight="1">
      <c r="A508" s="152"/>
      <c r="B508" s="160"/>
      <c r="C508" s="153"/>
      <c r="D508" s="154"/>
      <c r="E508" s="139"/>
      <c r="F508" s="139"/>
      <c r="G508" s="139"/>
      <c r="H508" s="135"/>
      <c r="I508" s="141"/>
      <c r="J508" s="147" t="str">
        <f>IFERROR(__xludf.DUMMYFUNCTION("IF(ISBLANK(A508),IFERROR(1/0),IF(COUNT(FILTER(F:F,A:A=A508))&gt;1,TRUNC(N508*F508/SUM(FILTER(N:N,A:A=A508)),3),F508))"),"")</f>
        <v/>
      </c>
      <c r="K508" s="147" t="str">
        <f>IFERROR(__xludf.DUMMYFUNCTION("IF(ISBLANK(A508),IFERROR(1/0),IF(COUNT(FILTER(G:G,((A:A=A508)*(B:B=""V""))))&gt;1,TRUNC(N508*G508/SUM(FILTER(N:N,((A:A=A508)*(B:B=""V"")))),3),G508))"),"")</f>
        <v/>
      </c>
      <c r="L508" s="148" t="str">
        <f>IFERROR(__xludf.DUMMYFUNCTION("if($C508="""","""",iferror(if(row()&lt;&gt;2,INDEX(arrayformula(filter($M$2:$M507,$C$2:$C507&lt;&gt;"""",row($C$2:$C507)=max(if($C$2:$C507=C508,row($C$2:$C507),0)))) ,1),0),0))"),"")</f>
        <v/>
      </c>
      <c r="M508" s="148" t="str">
        <f t="shared" si="1"/>
        <v/>
      </c>
      <c r="N508" s="147" t="str">
        <f t="shared" si="2"/>
        <v/>
      </c>
      <c r="O508" s="147" t="str">
        <f t="shared" si="21"/>
        <v/>
      </c>
      <c r="P508" s="147" t="str">
        <f>IFERROR(__xludf.DUMMYFUNCTION("if(C508="""","""",iferror(if(row()&lt;&gt;2,INDEX(arrayformula(filter($Q$2:$Q507,$C$2:$C507&lt;&gt;"""",row($C$2:$C507)=max(if($C$2:$C507=C508,row($C$2:$C507),0)))) ,1),0),0))"),"")</f>
        <v/>
      </c>
      <c r="Q508" s="147" t="str">
        <f t="shared" si="22"/>
        <v/>
      </c>
      <c r="R508" s="147" t="str">
        <f t="shared" si="23"/>
        <v/>
      </c>
      <c r="S508" s="147" t="str">
        <f t="shared" si="24"/>
        <v/>
      </c>
      <c r="T508" s="147" t="str">
        <f t="shared" si="7"/>
        <v/>
      </c>
      <c r="U508" s="150" t="str">
        <f t="shared" si="8"/>
        <v/>
      </c>
      <c r="V508" s="151" t="str">
        <f>IFERROR(VLOOKUP(C508,Ativos!$A$1:$G2000,5,),)</f>
        <v/>
      </c>
    </row>
    <row r="509" ht="21.0" customHeight="1">
      <c r="A509" s="152"/>
      <c r="B509" s="160"/>
      <c r="C509" s="153"/>
      <c r="D509" s="154"/>
      <c r="E509" s="139"/>
      <c r="F509" s="139"/>
      <c r="G509" s="139"/>
      <c r="H509" s="135"/>
      <c r="I509" s="141"/>
      <c r="J509" s="147" t="str">
        <f>IFERROR(__xludf.DUMMYFUNCTION("IF(ISBLANK(A509),IFERROR(1/0),IF(COUNT(FILTER(F:F,A:A=A509))&gt;1,TRUNC(N509*F509/SUM(FILTER(N:N,A:A=A509)),3),F509))"),"")</f>
        <v/>
      </c>
      <c r="K509" s="147" t="str">
        <f>IFERROR(__xludf.DUMMYFUNCTION("IF(ISBLANK(A509),IFERROR(1/0),IF(COUNT(FILTER(G:G,((A:A=A509)*(B:B=""V""))))&gt;1,TRUNC(N509*G509/SUM(FILTER(N:N,((A:A=A509)*(B:B=""V"")))),3),G509))"),"")</f>
        <v/>
      </c>
      <c r="L509" s="148" t="str">
        <f>IFERROR(__xludf.DUMMYFUNCTION("if($C509="""","""",iferror(if(row()&lt;&gt;2,INDEX(arrayformula(filter($M$2:$M508,$C$2:$C508&lt;&gt;"""",row($C$2:$C508)=max(if($C$2:$C508=C509,row($C$2:$C508),0)))) ,1),0),0))"),"")</f>
        <v/>
      </c>
      <c r="M509" s="148" t="str">
        <f t="shared" si="1"/>
        <v/>
      </c>
      <c r="N509" s="147" t="str">
        <f t="shared" si="2"/>
        <v/>
      </c>
      <c r="O509" s="147" t="str">
        <f t="shared" si="21"/>
        <v/>
      </c>
      <c r="P509" s="147" t="str">
        <f>IFERROR(__xludf.DUMMYFUNCTION("if(C509="""","""",iferror(if(row()&lt;&gt;2,INDEX(arrayformula(filter($Q$2:$Q508,$C$2:$C508&lt;&gt;"""",row($C$2:$C508)=max(if($C$2:$C508=C509,row($C$2:$C508),0)))) ,1),0),0))"),"")</f>
        <v/>
      </c>
      <c r="Q509" s="147" t="str">
        <f t="shared" si="22"/>
        <v/>
      </c>
      <c r="R509" s="147" t="str">
        <f t="shared" si="23"/>
        <v/>
      </c>
      <c r="S509" s="147" t="str">
        <f t="shared" si="24"/>
        <v/>
      </c>
      <c r="T509" s="147" t="str">
        <f t="shared" si="7"/>
        <v/>
      </c>
      <c r="U509" s="150" t="str">
        <f t="shared" si="8"/>
        <v/>
      </c>
      <c r="V509" s="151" t="str">
        <f>IFERROR(VLOOKUP(C509,Ativos!$A$1:$G2000,5,),)</f>
        <v/>
      </c>
    </row>
    <row r="510" ht="21.0" customHeight="1">
      <c r="A510" s="152"/>
      <c r="B510" s="160"/>
      <c r="C510" s="153"/>
      <c r="D510" s="154"/>
      <c r="E510" s="139"/>
      <c r="F510" s="139"/>
      <c r="G510" s="139"/>
      <c r="H510" s="135"/>
      <c r="I510" s="141"/>
      <c r="J510" s="147" t="str">
        <f>IFERROR(__xludf.DUMMYFUNCTION("IF(ISBLANK(A510),IFERROR(1/0),IF(COUNT(FILTER(F:F,A:A=A510))&gt;1,TRUNC(N510*F510/SUM(FILTER(N:N,A:A=A510)),3),F510))"),"")</f>
        <v/>
      </c>
      <c r="K510" s="147" t="str">
        <f>IFERROR(__xludf.DUMMYFUNCTION("IF(ISBLANK(A510),IFERROR(1/0),IF(COUNT(FILTER(G:G,((A:A=A510)*(B:B=""V""))))&gt;1,TRUNC(N510*G510/SUM(FILTER(N:N,((A:A=A510)*(B:B=""V"")))),3),G510))"),"")</f>
        <v/>
      </c>
      <c r="L510" s="148" t="str">
        <f>IFERROR(__xludf.DUMMYFUNCTION("if($C510="""","""",iferror(if(row()&lt;&gt;2,INDEX(arrayformula(filter($M$2:$M509,$C$2:$C509&lt;&gt;"""",row($C$2:$C509)=max(if($C$2:$C509=C510,row($C$2:$C509),0)))) ,1),0),0))"),"")</f>
        <v/>
      </c>
      <c r="M510" s="148" t="str">
        <f t="shared" si="1"/>
        <v/>
      </c>
      <c r="N510" s="147" t="str">
        <f t="shared" si="2"/>
        <v/>
      </c>
      <c r="O510" s="147" t="str">
        <f t="shared" si="21"/>
        <v/>
      </c>
      <c r="P510" s="147" t="str">
        <f>IFERROR(__xludf.DUMMYFUNCTION("if(C510="""","""",iferror(if(row()&lt;&gt;2,INDEX(arrayformula(filter($Q$2:$Q509,$C$2:$C509&lt;&gt;"""",row($C$2:$C509)=max(if($C$2:$C509=C510,row($C$2:$C509),0)))) ,1),0),0))"),"")</f>
        <v/>
      </c>
      <c r="Q510" s="147" t="str">
        <f t="shared" si="22"/>
        <v/>
      </c>
      <c r="R510" s="147" t="str">
        <f t="shared" si="23"/>
        <v/>
      </c>
      <c r="S510" s="147" t="str">
        <f t="shared" si="24"/>
        <v/>
      </c>
      <c r="T510" s="147" t="str">
        <f t="shared" si="7"/>
        <v/>
      </c>
      <c r="U510" s="150" t="str">
        <f t="shared" si="8"/>
        <v/>
      </c>
      <c r="V510" s="151" t="str">
        <f>IFERROR(VLOOKUP(C510,Ativos!$A$1:$G2000,5,),)</f>
        <v/>
      </c>
    </row>
    <row r="511" ht="21.0" customHeight="1">
      <c r="A511" s="152"/>
      <c r="B511" s="160"/>
      <c r="C511" s="153"/>
      <c r="D511" s="154"/>
      <c r="E511" s="139"/>
      <c r="F511" s="139"/>
      <c r="G511" s="139"/>
      <c r="H511" s="135"/>
      <c r="I511" s="141"/>
      <c r="J511" s="147" t="str">
        <f>IFERROR(__xludf.DUMMYFUNCTION("IF(ISBLANK(A511),IFERROR(1/0),IF(COUNT(FILTER(F:F,A:A=A511))&gt;1,TRUNC(N511*F511/SUM(FILTER(N:N,A:A=A511)),3),F511))"),"")</f>
        <v/>
      </c>
      <c r="K511" s="147" t="str">
        <f>IFERROR(__xludf.DUMMYFUNCTION("IF(ISBLANK(A511),IFERROR(1/0),IF(COUNT(FILTER(G:G,((A:A=A511)*(B:B=""V""))))&gt;1,TRUNC(N511*G511/SUM(FILTER(N:N,((A:A=A511)*(B:B=""V"")))),3),G511))"),"")</f>
        <v/>
      </c>
      <c r="L511" s="148" t="str">
        <f>IFERROR(__xludf.DUMMYFUNCTION("if($C511="""","""",iferror(if(row()&lt;&gt;2,INDEX(arrayformula(filter($M$2:$M510,$C$2:$C510&lt;&gt;"""",row($C$2:$C510)=max(if($C$2:$C510=C511,row($C$2:$C510),0)))) ,1),0),0))"),"")</f>
        <v/>
      </c>
      <c r="M511" s="148" t="str">
        <f t="shared" si="1"/>
        <v/>
      </c>
      <c r="N511" s="147" t="str">
        <f t="shared" si="2"/>
        <v/>
      </c>
      <c r="O511" s="147" t="str">
        <f t="shared" si="21"/>
        <v/>
      </c>
      <c r="P511" s="147" t="str">
        <f>IFERROR(__xludf.DUMMYFUNCTION("if(C511="""","""",iferror(if(row()&lt;&gt;2,INDEX(arrayformula(filter($Q$2:$Q510,$C$2:$C510&lt;&gt;"""",row($C$2:$C510)=max(if($C$2:$C510=C511,row($C$2:$C510),0)))) ,1),0),0))"),"")</f>
        <v/>
      </c>
      <c r="Q511" s="147" t="str">
        <f t="shared" si="22"/>
        <v/>
      </c>
      <c r="R511" s="147" t="str">
        <f t="shared" si="23"/>
        <v/>
      </c>
      <c r="S511" s="147" t="str">
        <f t="shared" si="24"/>
        <v/>
      </c>
      <c r="T511" s="147" t="str">
        <f t="shared" si="7"/>
        <v/>
      </c>
      <c r="U511" s="150" t="str">
        <f t="shared" si="8"/>
        <v/>
      </c>
      <c r="V511" s="151" t="str">
        <f>IFERROR(VLOOKUP(C511,Ativos!$A$1:$G2000,5,),)</f>
        <v/>
      </c>
    </row>
    <row r="512" ht="21.0" customHeight="1">
      <c r="A512" s="152"/>
      <c r="B512" s="160"/>
      <c r="C512" s="153"/>
      <c r="D512" s="154"/>
      <c r="E512" s="139"/>
      <c r="F512" s="139"/>
      <c r="G512" s="139"/>
      <c r="H512" s="135"/>
      <c r="I512" s="141"/>
      <c r="J512" s="147" t="str">
        <f>IFERROR(__xludf.DUMMYFUNCTION("IF(ISBLANK(A512),IFERROR(1/0),IF(COUNT(FILTER(F:F,A:A=A512))&gt;1,TRUNC(N512*F512/SUM(FILTER(N:N,A:A=A512)),3),F512))"),"")</f>
        <v/>
      </c>
      <c r="K512" s="147" t="str">
        <f>IFERROR(__xludf.DUMMYFUNCTION("IF(ISBLANK(A512),IFERROR(1/0),IF(COUNT(FILTER(G:G,((A:A=A512)*(B:B=""V""))))&gt;1,TRUNC(N512*G512/SUM(FILTER(N:N,((A:A=A512)*(B:B=""V"")))),3),G512))"),"")</f>
        <v/>
      </c>
      <c r="L512" s="148" t="str">
        <f>IFERROR(__xludf.DUMMYFUNCTION("if($C512="""","""",iferror(if(row()&lt;&gt;2,INDEX(arrayformula(filter($M$2:$M511,$C$2:$C511&lt;&gt;"""",row($C$2:$C511)=max(if($C$2:$C511=C512,row($C$2:$C511),0)))) ,1),0),0))"),"")</f>
        <v/>
      </c>
      <c r="M512" s="148" t="str">
        <f t="shared" si="1"/>
        <v/>
      </c>
      <c r="N512" s="147" t="str">
        <f t="shared" si="2"/>
        <v/>
      </c>
      <c r="O512" s="147" t="str">
        <f t="shared" si="21"/>
        <v/>
      </c>
      <c r="P512" s="147" t="str">
        <f>IFERROR(__xludf.DUMMYFUNCTION("if(C512="""","""",iferror(if(row()&lt;&gt;2,INDEX(arrayformula(filter($Q$2:$Q511,$C$2:$C511&lt;&gt;"""",row($C$2:$C511)=max(if($C$2:$C511=C512,row($C$2:$C511),0)))) ,1),0),0))"),"")</f>
        <v/>
      </c>
      <c r="Q512" s="147" t="str">
        <f t="shared" si="22"/>
        <v/>
      </c>
      <c r="R512" s="147" t="str">
        <f t="shared" si="23"/>
        <v/>
      </c>
      <c r="S512" s="147" t="str">
        <f t="shared" si="24"/>
        <v/>
      </c>
      <c r="T512" s="147" t="str">
        <f t="shared" si="7"/>
        <v/>
      </c>
      <c r="U512" s="150" t="str">
        <f t="shared" si="8"/>
        <v/>
      </c>
      <c r="V512" s="151" t="str">
        <f>IFERROR(VLOOKUP(C512,Ativos!$A$1:$G2000,5,),)</f>
        <v/>
      </c>
    </row>
    <row r="513" ht="21.0" customHeight="1">
      <c r="A513" s="152"/>
      <c r="B513" s="160"/>
      <c r="C513" s="153"/>
      <c r="D513" s="154"/>
      <c r="E513" s="139"/>
      <c r="F513" s="139"/>
      <c r="G513" s="139"/>
      <c r="H513" s="135"/>
      <c r="I513" s="141"/>
      <c r="J513" s="147" t="str">
        <f>IFERROR(__xludf.DUMMYFUNCTION("IF(ISBLANK(A513),IFERROR(1/0),IF(COUNT(FILTER(F:F,A:A=A513))&gt;1,TRUNC(N513*F513/SUM(FILTER(N:N,A:A=A513)),3),F513))"),"")</f>
        <v/>
      </c>
      <c r="K513" s="147" t="str">
        <f>IFERROR(__xludf.DUMMYFUNCTION("IF(ISBLANK(A513),IFERROR(1/0),IF(COUNT(FILTER(G:G,((A:A=A513)*(B:B=""V""))))&gt;1,TRUNC(N513*G513/SUM(FILTER(N:N,((A:A=A513)*(B:B=""V"")))),3),G513))"),"")</f>
        <v/>
      </c>
      <c r="L513" s="148" t="str">
        <f>IFERROR(__xludf.DUMMYFUNCTION("if($C513="""","""",iferror(if(row()&lt;&gt;2,INDEX(arrayformula(filter($M$2:$M512,$C$2:$C512&lt;&gt;"""",row($C$2:$C512)=max(if($C$2:$C512=C513,row($C$2:$C512),0)))) ,1),0),0))"),"")</f>
        <v/>
      </c>
      <c r="M513" s="148" t="str">
        <f t="shared" si="1"/>
        <v/>
      </c>
      <c r="N513" s="147" t="str">
        <f t="shared" si="2"/>
        <v/>
      </c>
      <c r="O513" s="147" t="str">
        <f t="shared" si="21"/>
        <v/>
      </c>
      <c r="P513" s="147" t="str">
        <f>IFERROR(__xludf.DUMMYFUNCTION("if(C513="""","""",iferror(if(row()&lt;&gt;2,INDEX(arrayformula(filter($Q$2:$Q512,$C$2:$C512&lt;&gt;"""",row($C$2:$C512)=max(if($C$2:$C512=C513,row($C$2:$C512),0)))) ,1),0),0))"),"")</f>
        <v/>
      </c>
      <c r="Q513" s="147" t="str">
        <f t="shared" si="22"/>
        <v/>
      </c>
      <c r="R513" s="147" t="str">
        <f t="shared" si="23"/>
        <v/>
      </c>
      <c r="S513" s="147" t="str">
        <f t="shared" si="24"/>
        <v/>
      </c>
      <c r="T513" s="147" t="str">
        <f t="shared" si="7"/>
        <v/>
      </c>
      <c r="U513" s="150" t="str">
        <f t="shared" si="8"/>
        <v/>
      </c>
      <c r="V513" s="151" t="str">
        <f>IFERROR(VLOOKUP(C513,Ativos!$A$1:$G2000,5,),)</f>
        <v/>
      </c>
    </row>
    <row r="514" ht="21.0" customHeight="1">
      <c r="A514" s="152"/>
      <c r="B514" s="160"/>
      <c r="C514" s="153"/>
      <c r="D514" s="154"/>
      <c r="E514" s="139"/>
      <c r="F514" s="139"/>
      <c r="G514" s="139"/>
      <c r="H514" s="135"/>
      <c r="I514" s="141"/>
      <c r="J514" s="147" t="str">
        <f>IFERROR(__xludf.DUMMYFUNCTION("IF(ISBLANK(A514),IFERROR(1/0),IF(COUNT(FILTER(F:F,A:A=A514))&gt;1,TRUNC(N514*F514/SUM(FILTER(N:N,A:A=A514)),3),F514))"),"")</f>
        <v/>
      </c>
      <c r="K514" s="147" t="str">
        <f>IFERROR(__xludf.DUMMYFUNCTION("IF(ISBLANK(A514),IFERROR(1/0),IF(COUNT(FILTER(G:G,((A:A=A514)*(B:B=""V""))))&gt;1,TRUNC(N514*G514/SUM(FILTER(N:N,((A:A=A514)*(B:B=""V"")))),3),G514))"),"")</f>
        <v/>
      </c>
      <c r="L514" s="148" t="str">
        <f>IFERROR(__xludf.DUMMYFUNCTION("if($C514="""","""",iferror(if(row()&lt;&gt;2,INDEX(arrayformula(filter($M$2:$M513,$C$2:$C513&lt;&gt;"""",row($C$2:$C513)=max(if($C$2:$C513=C514,row($C$2:$C513),0)))) ,1),0),0))"),"")</f>
        <v/>
      </c>
      <c r="M514" s="148" t="str">
        <f t="shared" si="1"/>
        <v/>
      </c>
      <c r="N514" s="147" t="str">
        <f t="shared" si="2"/>
        <v/>
      </c>
      <c r="O514" s="147" t="str">
        <f t="shared" si="21"/>
        <v/>
      </c>
      <c r="P514" s="147" t="str">
        <f>IFERROR(__xludf.DUMMYFUNCTION("if(C514="""","""",iferror(if(row()&lt;&gt;2,INDEX(arrayformula(filter($Q$2:$Q513,$C$2:$C513&lt;&gt;"""",row($C$2:$C513)=max(if($C$2:$C513=C514,row($C$2:$C513),0)))) ,1),0),0))"),"")</f>
        <v/>
      </c>
      <c r="Q514" s="147" t="str">
        <f t="shared" si="22"/>
        <v/>
      </c>
      <c r="R514" s="147" t="str">
        <f t="shared" si="23"/>
        <v/>
      </c>
      <c r="S514" s="147" t="str">
        <f t="shared" si="24"/>
        <v/>
      </c>
      <c r="T514" s="147" t="str">
        <f t="shared" si="7"/>
        <v/>
      </c>
      <c r="U514" s="150" t="str">
        <f t="shared" si="8"/>
        <v/>
      </c>
      <c r="V514" s="151" t="str">
        <f>IFERROR(VLOOKUP(C514,Ativos!$A$1:$G2000,5,),)</f>
        <v/>
      </c>
    </row>
    <row r="515" ht="21.0" customHeight="1">
      <c r="A515" s="152"/>
      <c r="B515" s="160"/>
      <c r="C515" s="153"/>
      <c r="D515" s="154"/>
      <c r="E515" s="139"/>
      <c r="F515" s="139"/>
      <c r="G515" s="139"/>
      <c r="H515" s="135"/>
      <c r="I515" s="141"/>
      <c r="J515" s="147" t="str">
        <f>IFERROR(__xludf.DUMMYFUNCTION("IF(ISBLANK(A515),IFERROR(1/0),IF(COUNT(FILTER(F:F,A:A=A515))&gt;1,TRUNC(N515*F515/SUM(FILTER(N:N,A:A=A515)),3),F515))"),"")</f>
        <v/>
      </c>
      <c r="K515" s="147" t="str">
        <f>IFERROR(__xludf.DUMMYFUNCTION("IF(ISBLANK(A515),IFERROR(1/0),IF(COUNT(FILTER(G:G,((A:A=A515)*(B:B=""V""))))&gt;1,TRUNC(N515*G515/SUM(FILTER(N:N,((A:A=A515)*(B:B=""V"")))),3),G515))"),"")</f>
        <v/>
      </c>
      <c r="L515" s="148" t="str">
        <f>IFERROR(__xludf.DUMMYFUNCTION("if($C515="""","""",iferror(if(row()&lt;&gt;2,INDEX(arrayformula(filter($M$2:$M514,$C$2:$C514&lt;&gt;"""",row($C$2:$C514)=max(if($C$2:$C514=C515,row($C$2:$C514),0)))) ,1),0),0))"),"")</f>
        <v/>
      </c>
      <c r="M515" s="148" t="str">
        <f t="shared" si="1"/>
        <v/>
      </c>
      <c r="N515" s="147" t="str">
        <f t="shared" si="2"/>
        <v/>
      </c>
      <c r="O515" s="147" t="str">
        <f t="shared" si="21"/>
        <v/>
      </c>
      <c r="P515" s="147" t="str">
        <f>IFERROR(__xludf.DUMMYFUNCTION("if(C515="""","""",iferror(if(row()&lt;&gt;2,INDEX(arrayformula(filter($Q$2:$Q514,$C$2:$C514&lt;&gt;"""",row($C$2:$C514)=max(if($C$2:$C514=C515,row($C$2:$C514),0)))) ,1),0),0))"),"")</f>
        <v/>
      </c>
      <c r="Q515" s="147" t="str">
        <f t="shared" si="22"/>
        <v/>
      </c>
      <c r="R515" s="147" t="str">
        <f t="shared" si="23"/>
        <v/>
      </c>
      <c r="S515" s="147" t="str">
        <f t="shared" si="24"/>
        <v/>
      </c>
      <c r="T515" s="147" t="str">
        <f t="shared" si="7"/>
        <v/>
      </c>
      <c r="U515" s="150" t="str">
        <f t="shared" si="8"/>
        <v/>
      </c>
      <c r="V515" s="151" t="str">
        <f>IFERROR(VLOOKUP(C515,Ativos!$A$1:$G2000,5,),)</f>
        <v/>
      </c>
    </row>
    <row r="516" ht="21.0" customHeight="1">
      <c r="A516" s="152"/>
      <c r="B516" s="160"/>
      <c r="C516" s="153"/>
      <c r="D516" s="154"/>
      <c r="E516" s="139"/>
      <c r="F516" s="139"/>
      <c r="G516" s="139"/>
      <c r="H516" s="135"/>
      <c r="I516" s="141"/>
      <c r="J516" s="147" t="str">
        <f>IFERROR(__xludf.DUMMYFUNCTION("IF(ISBLANK(A516),IFERROR(1/0),IF(COUNT(FILTER(F:F,A:A=A516))&gt;1,TRUNC(N516*F516/SUM(FILTER(N:N,A:A=A516)),3),F516))"),"")</f>
        <v/>
      </c>
      <c r="K516" s="147" t="str">
        <f>IFERROR(__xludf.DUMMYFUNCTION("IF(ISBLANK(A516),IFERROR(1/0),IF(COUNT(FILTER(G:G,((A:A=A516)*(B:B=""V""))))&gt;1,TRUNC(N516*G516/SUM(FILTER(N:N,((A:A=A516)*(B:B=""V"")))),3),G516))"),"")</f>
        <v/>
      </c>
      <c r="L516" s="148" t="str">
        <f>IFERROR(__xludf.DUMMYFUNCTION("if($C516="""","""",iferror(if(row()&lt;&gt;2,INDEX(arrayformula(filter($M$2:$M515,$C$2:$C515&lt;&gt;"""",row($C$2:$C515)=max(if($C$2:$C515=C516,row($C$2:$C515),0)))) ,1),0),0))"),"")</f>
        <v/>
      </c>
      <c r="M516" s="148" t="str">
        <f t="shared" si="1"/>
        <v/>
      </c>
      <c r="N516" s="147" t="str">
        <f t="shared" si="2"/>
        <v/>
      </c>
      <c r="O516" s="147" t="str">
        <f t="shared" si="21"/>
        <v/>
      </c>
      <c r="P516" s="147" t="str">
        <f>IFERROR(__xludf.DUMMYFUNCTION("if(C516="""","""",iferror(if(row()&lt;&gt;2,INDEX(arrayformula(filter($Q$2:$Q515,$C$2:$C515&lt;&gt;"""",row($C$2:$C515)=max(if($C$2:$C515=C516,row($C$2:$C515),0)))) ,1),0),0))"),"")</f>
        <v/>
      </c>
      <c r="Q516" s="147" t="str">
        <f t="shared" si="22"/>
        <v/>
      </c>
      <c r="R516" s="147" t="str">
        <f t="shared" si="23"/>
        <v/>
      </c>
      <c r="S516" s="147" t="str">
        <f t="shared" si="24"/>
        <v/>
      </c>
      <c r="T516" s="147" t="str">
        <f t="shared" si="7"/>
        <v/>
      </c>
      <c r="U516" s="150" t="str">
        <f t="shared" si="8"/>
        <v/>
      </c>
      <c r="V516" s="151" t="str">
        <f>IFERROR(VLOOKUP(C516,Ativos!$A$1:$G2000,5,),)</f>
        <v/>
      </c>
    </row>
    <row r="517" ht="21.0" customHeight="1">
      <c r="A517" s="152"/>
      <c r="B517" s="160"/>
      <c r="C517" s="153"/>
      <c r="D517" s="154"/>
      <c r="E517" s="139"/>
      <c r="F517" s="139"/>
      <c r="G517" s="139"/>
      <c r="H517" s="135"/>
      <c r="I517" s="141"/>
      <c r="J517" s="147" t="str">
        <f>IFERROR(__xludf.DUMMYFUNCTION("IF(ISBLANK(A517),IFERROR(1/0),IF(COUNT(FILTER(F:F,A:A=A517))&gt;1,TRUNC(N517*F517/SUM(FILTER(N:N,A:A=A517)),3),F517))"),"")</f>
        <v/>
      </c>
      <c r="K517" s="147" t="str">
        <f>IFERROR(__xludf.DUMMYFUNCTION("IF(ISBLANK(A517),IFERROR(1/0),IF(COUNT(FILTER(G:G,((A:A=A517)*(B:B=""V""))))&gt;1,TRUNC(N517*G517/SUM(FILTER(N:N,((A:A=A517)*(B:B=""V"")))),3),G517))"),"")</f>
        <v/>
      </c>
      <c r="L517" s="148" t="str">
        <f>IFERROR(__xludf.DUMMYFUNCTION("if($C517="""","""",iferror(if(row()&lt;&gt;2,INDEX(arrayformula(filter($M$2:$M516,$C$2:$C516&lt;&gt;"""",row($C$2:$C516)=max(if($C$2:$C516=C517,row($C$2:$C516),0)))) ,1),0),0))"),"")</f>
        <v/>
      </c>
      <c r="M517" s="148" t="str">
        <f t="shared" si="1"/>
        <v/>
      </c>
      <c r="N517" s="147" t="str">
        <f t="shared" si="2"/>
        <v/>
      </c>
      <c r="O517" s="147" t="str">
        <f t="shared" si="21"/>
        <v/>
      </c>
      <c r="P517" s="147" t="str">
        <f>IFERROR(__xludf.DUMMYFUNCTION("if(C517="""","""",iferror(if(row()&lt;&gt;2,INDEX(arrayformula(filter($Q$2:$Q516,$C$2:$C516&lt;&gt;"""",row($C$2:$C516)=max(if($C$2:$C516=C517,row($C$2:$C516),0)))) ,1),0),0))"),"")</f>
        <v/>
      </c>
      <c r="Q517" s="147" t="str">
        <f t="shared" si="22"/>
        <v/>
      </c>
      <c r="R517" s="147" t="str">
        <f t="shared" si="23"/>
        <v/>
      </c>
      <c r="S517" s="147" t="str">
        <f t="shared" si="24"/>
        <v/>
      </c>
      <c r="T517" s="147" t="str">
        <f t="shared" si="7"/>
        <v/>
      </c>
      <c r="U517" s="150" t="str">
        <f t="shared" si="8"/>
        <v/>
      </c>
      <c r="V517" s="151" t="str">
        <f>IFERROR(VLOOKUP(C517,Ativos!$A$1:$G2000,5,),)</f>
        <v/>
      </c>
    </row>
    <row r="518" ht="21.0" customHeight="1">
      <c r="A518" s="152"/>
      <c r="B518" s="160"/>
      <c r="C518" s="153"/>
      <c r="D518" s="154"/>
      <c r="E518" s="139"/>
      <c r="F518" s="139"/>
      <c r="G518" s="139"/>
      <c r="H518" s="135"/>
      <c r="I518" s="141"/>
      <c r="J518" s="147" t="str">
        <f>IFERROR(__xludf.DUMMYFUNCTION("IF(ISBLANK(A518),IFERROR(1/0),IF(COUNT(FILTER(F:F,A:A=A518))&gt;1,TRUNC(N518*F518/SUM(FILTER(N:N,A:A=A518)),3),F518))"),"")</f>
        <v/>
      </c>
      <c r="K518" s="147" t="str">
        <f>IFERROR(__xludf.DUMMYFUNCTION("IF(ISBLANK(A518),IFERROR(1/0),IF(COUNT(FILTER(G:G,((A:A=A518)*(B:B=""V""))))&gt;1,TRUNC(N518*G518/SUM(FILTER(N:N,((A:A=A518)*(B:B=""V"")))),3),G518))"),"")</f>
        <v/>
      </c>
      <c r="L518" s="148" t="str">
        <f>IFERROR(__xludf.DUMMYFUNCTION("if($C518="""","""",iferror(if(row()&lt;&gt;2,INDEX(arrayformula(filter($M$2:$M517,$C$2:$C517&lt;&gt;"""",row($C$2:$C517)=max(if($C$2:$C517=C518,row($C$2:$C517),0)))) ,1),0),0))"),"")</f>
        <v/>
      </c>
      <c r="M518" s="148" t="str">
        <f t="shared" si="1"/>
        <v/>
      </c>
      <c r="N518" s="147" t="str">
        <f t="shared" si="2"/>
        <v/>
      </c>
      <c r="O518" s="147" t="str">
        <f t="shared" si="21"/>
        <v/>
      </c>
      <c r="P518" s="147" t="str">
        <f>IFERROR(__xludf.DUMMYFUNCTION("if(C518="""","""",iferror(if(row()&lt;&gt;2,INDEX(arrayformula(filter($Q$2:$Q517,$C$2:$C517&lt;&gt;"""",row($C$2:$C517)=max(if($C$2:$C517=C518,row($C$2:$C517),0)))) ,1),0),0))"),"")</f>
        <v/>
      </c>
      <c r="Q518" s="147" t="str">
        <f t="shared" si="22"/>
        <v/>
      </c>
      <c r="R518" s="147" t="str">
        <f t="shared" si="23"/>
        <v/>
      </c>
      <c r="S518" s="147" t="str">
        <f t="shared" si="24"/>
        <v/>
      </c>
      <c r="T518" s="147" t="str">
        <f t="shared" si="7"/>
        <v/>
      </c>
      <c r="U518" s="150" t="str">
        <f t="shared" si="8"/>
        <v/>
      </c>
      <c r="V518" s="151" t="str">
        <f>IFERROR(VLOOKUP(C518,Ativos!$A$1:$G2000,5,),)</f>
        <v/>
      </c>
    </row>
    <row r="519" ht="21.0" customHeight="1">
      <c r="A519" s="152"/>
      <c r="B519" s="160"/>
      <c r="C519" s="153"/>
      <c r="D519" s="154"/>
      <c r="E519" s="139"/>
      <c r="F519" s="139"/>
      <c r="G519" s="139"/>
      <c r="H519" s="135"/>
      <c r="I519" s="141"/>
      <c r="J519" s="147" t="str">
        <f>IFERROR(__xludf.DUMMYFUNCTION("IF(ISBLANK(A519),IFERROR(1/0),IF(COUNT(FILTER(F:F,A:A=A519))&gt;1,TRUNC(N519*F519/SUM(FILTER(N:N,A:A=A519)),3),F519))"),"")</f>
        <v/>
      </c>
      <c r="K519" s="147" t="str">
        <f>IFERROR(__xludf.DUMMYFUNCTION("IF(ISBLANK(A519),IFERROR(1/0),IF(COUNT(FILTER(G:G,((A:A=A519)*(B:B=""V""))))&gt;1,TRUNC(N519*G519/SUM(FILTER(N:N,((A:A=A519)*(B:B=""V"")))),3),G519))"),"")</f>
        <v/>
      </c>
      <c r="L519" s="148" t="str">
        <f>IFERROR(__xludf.DUMMYFUNCTION("if($C519="""","""",iferror(if(row()&lt;&gt;2,INDEX(arrayformula(filter($M$2:$M518,$C$2:$C518&lt;&gt;"""",row($C$2:$C518)=max(if($C$2:$C518=C519,row($C$2:$C518),0)))) ,1),0),0))"),"")</f>
        <v/>
      </c>
      <c r="M519" s="148" t="str">
        <f t="shared" si="1"/>
        <v/>
      </c>
      <c r="N519" s="147" t="str">
        <f t="shared" si="2"/>
        <v/>
      </c>
      <c r="O519" s="147" t="str">
        <f t="shared" si="21"/>
        <v/>
      </c>
      <c r="P519" s="147" t="str">
        <f>IFERROR(__xludf.DUMMYFUNCTION("if(C519="""","""",iferror(if(row()&lt;&gt;2,INDEX(arrayformula(filter($Q$2:$Q518,$C$2:$C518&lt;&gt;"""",row($C$2:$C518)=max(if($C$2:$C518=C519,row($C$2:$C518),0)))) ,1),0),0))"),"")</f>
        <v/>
      </c>
      <c r="Q519" s="147" t="str">
        <f t="shared" si="22"/>
        <v/>
      </c>
      <c r="R519" s="147" t="str">
        <f t="shared" si="23"/>
        <v/>
      </c>
      <c r="S519" s="147" t="str">
        <f t="shared" si="24"/>
        <v/>
      </c>
      <c r="T519" s="147" t="str">
        <f t="shared" si="7"/>
        <v/>
      </c>
      <c r="U519" s="150" t="str">
        <f t="shared" si="8"/>
        <v/>
      </c>
      <c r="V519" s="151" t="str">
        <f>IFERROR(VLOOKUP(C519,Ativos!$A$1:$G2000,5,),)</f>
        <v/>
      </c>
    </row>
    <row r="520" ht="21.0" customHeight="1">
      <c r="A520" s="152"/>
      <c r="B520" s="160"/>
      <c r="C520" s="153"/>
      <c r="D520" s="154"/>
      <c r="E520" s="139"/>
      <c r="F520" s="139"/>
      <c r="G520" s="139"/>
      <c r="H520" s="135"/>
      <c r="I520" s="141"/>
      <c r="J520" s="147" t="str">
        <f>IFERROR(__xludf.DUMMYFUNCTION("IF(ISBLANK(A520),IFERROR(1/0),IF(COUNT(FILTER(F:F,A:A=A520))&gt;1,TRUNC(N520*F520/SUM(FILTER(N:N,A:A=A520)),3),F520))"),"")</f>
        <v/>
      </c>
      <c r="K520" s="147" t="str">
        <f>IFERROR(__xludf.DUMMYFUNCTION("IF(ISBLANK(A520),IFERROR(1/0),IF(COUNT(FILTER(G:G,((A:A=A520)*(B:B=""V""))))&gt;1,TRUNC(N520*G520/SUM(FILTER(N:N,((A:A=A520)*(B:B=""V"")))),3),G520))"),"")</f>
        <v/>
      </c>
      <c r="L520" s="148" t="str">
        <f>IFERROR(__xludf.DUMMYFUNCTION("if($C520="""","""",iferror(if(row()&lt;&gt;2,INDEX(arrayformula(filter($M$2:$M519,$C$2:$C519&lt;&gt;"""",row($C$2:$C519)=max(if($C$2:$C519=C520,row($C$2:$C519),0)))) ,1),0),0))"),"")</f>
        <v/>
      </c>
      <c r="M520" s="148" t="str">
        <f t="shared" si="1"/>
        <v/>
      </c>
      <c r="N520" s="147" t="str">
        <f t="shared" si="2"/>
        <v/>
      </c>
      <c r="O520" s="147" t="str">
        <f t="shared" si="21"/>
        <v/>
      </c>
      <c r="P520" s="147" t="str">
        <f>IFERROR(__xludf.DUMMYFUNCTION("if(C520="""","""",iferror(if(row()&lt;&gt;2,INDEX(arrayformula(filter($Q$2:$Q519,$C$2:$C519&lt;&gt;"""",row($C$2:$C519)=max(if($C$2:$C519=C520,row($C$2:$C519),0)))) ,1),0),0))"),"")</f>
        <v/>
      </c>
      <c r="Q520" s="147" t="str">
        <f t="shared" si="22"/>
        <v/>
      </c>
      <c r="R520" s="147" t="str">
        <f t="shared" si="23"/>
        <v/>
      </c>
      <c r="S520" s="147" t="str">
        <f t="shared" si="24"/>
        <v/>
      </c>
      <c r="T520" s="147" t="str">
        <f t="shared" si="7"/>
        <v/>
      </c>
      <c r="U520" s="150" t="str">
        <f t="shared" si="8"/>
        <v/>
      </c>
      <c r="V520" s="151" t="str">
        <f>IFERROR(VLOOKUP(C520,Ativos!$A$1:$G2000,5,),)</f>
        <v/>
      </c>
    </row>
    <row r="521" ht="21.0" customHeight="1">
      <c r="A521" s="152"/>
      <c r="B521" s="160"/>
      <c r="C521" s="153"/>
      <c r="D521" s="154"/>
      <c r="E521" s="139"/>
      <c r="F521" s="139"/>
      <c r="G521" s="139"/>
      <c r="H521" s="135"/>
      <c r="I521" s="141"/>
      <c r="J521" s="147" t="str">
        <f>IFERROR(__xludf.DUMMYFUNCTION("IF(ISBLANK(A521),IFERROR(1/0),IF(COUNT(FILTER(F:F,A:A=A521))&gt;1,TRUNC(N521*F521/SUM(FILTER(N:N,A:A=A521)),3),F521))"),"")</f>
        <v/>
      </c>
      <c r="K521" s="147" t="str">
        <f>IFERROR(__xludf.DUMMYFUNCTION("IF(ISBLANK(A521),IFERROR(1/0),IF(COUNT(FILTER(G:G,((A:A=A521)*(B:B=""V""))))&gt;1,TRUNC(N521*G521/SUM(FILTER(N:N,((A:A=A521)*(B:B=""V"")))),3),G521))"),"")</f>
        <v/>
      </c>
      <c r="L521" s="148" t="str">
        <f>IFERROR(__xludf.DUMMYFUNCTION("if($C521="""","""",iferror(if(row()&lt;&gt;2,INDEX(arrayformula(filter($M$2:$M520,$C$2:$C520&lt;&gt;"""",row($C$2:$C520)=max(if($C$2:$C520=C521,row($C$2:$C520),0)))) ,1),0),0))"),"")</f>
        <v/>
      </c>
      <c r="M521" s="148" t="str">
        <f t="shared" si="1"/>
        <v/>
      </c>
      <c r="N521" s="147" t="str">
        <f t="shared" si="2"/>
        <v/>
      </c>
      <c r="O521" s="147" t="str">
        <f t="shared" si="21"/>
        <v/>
      </c>
      <c r="P521" s="147" t="str">
        <f>IFERROR(__xludf.DUMMYFUNCTION("if(C521="""","""",iferror(if(row()&lt;&gt;2,INDEX(arrayformula(filter($Q$2:$Q520,$C$2:$C520&lt;&gt;"""",row($C$2:$C520)=max(if($C$2:$C520=C521,row($C$2:$C520),0)))) ,1),0),0))"),"")</f>
        <v/>
      </c>
      <c r="Q521" s="147" t="str">
        <f t="shared" si="22"/>
        <v/>
      </c>
      <c r="R521" s="147" t="str">
        <f t="shared" si="23"/>
        <v/>
      </c>
      <c r="S521" s="147" t="str">
        <f t="shared" si="24"/>
        <v/>
      </c>
      <c r="T521" s="147" t="str">
        <f t="shared" si="7"/>
        <v/>
      </c>
      <c r="U521" s="150" t="str">
        <f t="shared" si="8"/>
        <v/>
      </c>
      <c r="V521" s="151" t="str">
        <f>IFERROR(VLOOKUP(C521,Ativos!$A$1:$G2000,5,),)</f>
        <v/>
      </c>
    </row>
    <row r="522" ht="21.0" customHeight="1">
      <c r="A522" s="152"/>
      <c r="B522" s="160"/>
      <c r="C522" s="153"/>
      <c r="D522" s="154"/>
      <c r="E522" s="139"/>
      <c r="F522" s="139"/>
      <c r="G522" s="139"/>
      <c r="H522" s="135"/>
      <c r="I522" s="141"/>
      <c r="J522" s="147" t="str">
        <f>IFERROR(__xludf.DUMMYFUNCTION("IF(ISBLANK(A522),IFERROR(1/0),IF(COUNT(FILTER(F:F,A:A=A522))&gt;1,TRUNC(N522*F522/SUM(FILTER(N:N,A:A=A522)),3),F522))"),"")</f>
        <v/>
      </c>
      <c r="K522" s="147" t="str">
        <f>IFERROR(__xludf.DUMMYFUNCTION("IF(ISBLANK(A522),IFERROR(1/0),IF(COUNT(FILTER(G:G,((A:A=A522)*(B:B=""V""))))&gt;1,TRUNC(N522*G522/SUM(FILTER(N:N,((A:A=A522)*(B:B=""V"")))),3),G522))"),"")</f>
        <v/>
      </c>
      <c r="L522" s="148" t="str">
        <f>IFERROR(__xludf.DUMMYFUNCTION("if($C522="""","""",iferror(if(row()&lt;&gt;2,INDEX(arrayformula(filter($M$2:$M521,$C$2:$C521&lt;&gt;"""",row($C$2:$C521)=max(if($C$2:$C521=C522,row($C$2:$C521),0)))) ,1),0),0))"),"")</f>
        <v/>
      </c>
      <c r="M522" s="148" t="str">
        <f t="shared" si="1"/>
        <v/>
      </c>
      <c r="N522" s="147" t="str">
        <f t="shared" si="2"/>
        <v/>
      </c>
      <c r="O522" s="147" t="str">
        <f t="shared" si="21"/>
        <v/>
      </c>
      <c r="P522" s="147" t="str">
        <f>IFERROR(__xludf.DUMMYFUNCTION("if(C522="""","""",iferror(if(row()&lt;&gt;2,INDEX(arrayformula(filter($Q$2:$Q521,$C$2:$C521&lt;&gt;"""",row($C$2:$C521)=max(if($C$2:$C521=C522,row($C$2:$C521),0)))) ,1),0),0))"),"")</f>
        <v/>
      </c>
      <c r="Q522" s="147" t="str">
        <f t="shared" si="22"/>
        <v/>
      </c>
      <c r="R522" s="147" t="str">
        <f t="shared" si="23"/>
        <v/>
      </c>
      <c r="S522" s="147" t="str">
        <f t="shared" si="24"/>
        <v/>
      </c>
      <c r="T522" s="147" t="str">
        <f t="shared" si="7"/>
        <v/>
      </c>
      <c r="U522" s="150" t="str">
        <f t="shared" si="8"/>
        <v/>
      </c>
      <c r="V522" s="151" t="str">
        <f>IFERROR(VLOOKUP(C522,Ativos!$A$1:$G2000,5,),)</f>
        <v/>
      </c>
    </row>
    <row r="523" ht="21.0" customHeight="1">
      <c r="A523" s="152"/>
      <c r="B523" s="160"/>
      <c r="C523" s="153"/>
      <c r="D523" s="154"/>
      <c r="E523" s="139"/>
      <c r="F523" s="139"/>
      <c r="G523" s="139"/>
      <c r="H523" s="135"/>
      <c r="I523" s="141"/>
      <c r="J523" s="147" t="str">
        <f>IFERROR(__xludf.DUMMYFUNCTION("IF(ISBLANK(A523),IFERROR(1/0),IF(COUNT(FILTER(F:F,A:A=A523))&gt;1,TRUNC(N523*F523/SUM(FILTER(N:N,A:A=A523)),3),F523))"),"")</f>
        <v/>
      </c>
      <c r="K523" s="147" t="str">
        <f>IFERROR(__xludf.DUMMYFUNCTION("IF(ISBLANK(A523),IFERROR(1/0),IF(COUNT(FILTER(G:G,((A:A=A523)*(B:B=""V""))))&gt;1,TRUNC(N523*G523/SUM(FILTER(N:N,((A:A=A523)*(B:B=""V"")))),3),G523))"),"")</f>
        <v/>
      </c>
      <c r="L523" s="148" t="str">
        <f>IFERROR(__xludf.DUMMYFUNCTION("if($C523="""","""",iferror(if(row()&lt;&gt;2,INDEX(arrayformula(filter($M$2:$M522,$C$2:$C522&lt;&gt;"""",row($C$2:$C522)=max(if($C$2:$C522=C523,row($C$2:$C522),0)))) ,1),0),0))"),"")</f>
        <v/>
      </c>
      <c r="M523" s="148" t="str">
        <f t="shared" si="1"/>
        <v/>
      </c>
      <c r="N523" s="147" t="str">
        <f t="shared" si="2"/>
        <v/>
      </c>
      <c r="O523" s="147" t="str">
        <f t="shared" si="21"/>
        <v/>
      </c>
      <c r="P523" s="147" t="str">
        <f>IFERROR(__xludf.DUMMYFUNCTION("if(C523="""","""",iferror(if(row()&lt;&gt;2,INDEX(arrayformula(filter($Q$2:$Q522,$C$2:$C522&lt;&gt;"""",row($C$2:$C522)=max(if($C$2:$C522=C523,row($C$2:$C522),0)))) ,1),0),0))"),"")</f>
        <v/>
      </c>
      <c r="Q523" s="147" t="str">
        <f t="shared" si="22"/>
        <v/>
      </c>
      <c r="R523" s="147" t="str">
        <f t="shared" si="23"/>
        <v/>
      </c>
      <c r="S523" s="147" t="str">
        <f t="shared" si="24"/>
        <v/>
      </c>
      <c r="T523" s="147" t="str">
        <f t="shared" si="7"/>
        <v/>
      </c>
      <c r="U523" s="150" t="str">
        <f t="shared" si="8"/>
        <v/>
      </c>
      <c r="V523" s="151" t="str">
        <f>IFERROR(VLOOKUP(C523,Ativos!$A$1:$G2000,5,),)</f>
        <v/>
      </c>
    </row>
    <row r="524" ht="21.0" customHeight="1">
      <c r="A524" s="152"/>
      <c r="B524" s="160"/>
      <c r="C524" s="153"/>
      <c r="D524" s="154"/>
      <c r="E524" s="139"/>
      <c r="F524" s="139"/>
      <c r="G524" s="139"/>
      <c r="H524" s="135"/>
      <c r="I524" s="141"/>
      <c r="J524" s="147" t="str">
        <f>IFERROR(__xludf.DUMMYFUNCTION("IF(ISBLANK(A524),IFERROR(1/0),IF(COUNT(FILTER(F:F,A:A=A524))&gt;1,TRUNC(N524*F524/SUM(FILTER(N:N,A:A=A524)),3),F524))"),"")</f>
        <v/>
      </c>
      <c r="K524" s="147" t="str">
        <f>IFERROR(__xludf.DUMMYFUNCTION("IF(ISBLANK(A524),IFERROR(1/0),IF(COUNT(FILTER(G:G,((A:A=A524)*(B:B=""V""))))&gt;1,TRUNC(N524*G524/SUM(FILTER(N:N,((A:A=A524)*(B:B=""V"")))),3),G524))"),"")</f>
        <v/>
      </c>
      <c r="L524" s="148" t="str">
        <f>IFERROR(__xludf.DUMMYFUNCTION("if($C524="""","""",iferror(if(row()&lt;&gt;2,INDEX(arrayformula(filter($M$2:$M523,$C$2:$C523&lt;&gt;"""",row($C$2:$C523)=max(if($C$2:$C523=C524,row($C$2:$C523),0)))) ,1),0),0))"),"")</f>
        <v/>
      </c>
      <c r="M524" s="148" t="str">
        <f t="shared" si="1"/>
        <v/>
      </c>
      <c r="N524" s="147" t="str">
        <f t="shared" si="2"/>
        <v/>
      </c>
      <c r="O524" s="147" t="str">
        <f t="shared" si="21"/>
        <v/>
      </c>
      <c r="P524" s="147" t="str">
        <f>IFERROR(__xludf.DUMMYFUNCTION("if(C524="""","""",iferror(if(row()&lt;&gt;2,INDEX(arrayformula(filter($Q$2:$Q523,$C$2:$C523&lt;&gt;"""",row($C$2:$C523)=max(if($C$2:$C523=C524,row($C$2:$C523),0)))) ,1),0),0))"),"")</f>
        <v/>
      </c>
      <c r="Q524" s="147" t="str">
        <f t="shared" si="22"/>
        <v/>
      </c>
      <c r="R524" s="147" t="str">
        <f t="shared" si="23"/>
        <v/>
      </c>
      <c r="S524" s="147" t="str">
        <f t="shared" si="24"/>
        <v/>
      </c>
      <c r="T524" s="147" t="str">
        <f t="shared" si="7"/>
        <v/>
      </c>
      <c r="U524" s="150" t="str">
        <f t="shared" si="8"/>
        <v/>
      </c>
      <c r="V524" s="151" t="str">
        <f>IFERROR(VLOOKUP(C524,Ativos!$A$1:$G2000,5,),)</f>
        <v/>
      </c>
    </row>
    <row r="525" ht="21.0" customHeight="1">
      <c r="A525" s="152"/>
      <c r="B525" s="160"/>
      <c r="C525" s="153"/>
      <c r="D525" s="154"/>
      <c r="E525" s="139"/>
      <c r="F525" s="139"/>
      <c r="G525" s="139"/>
      <c r="H525" s="135"/>
      <c r="I525" s="141"/>
      <c r="J525" s="147" t="str">
        <f>IFERROR(__xludf.DUMMYFUNCTION("IF(ISBLANK(A525),IFERROR(1/0),IF(COUNT(FILTER(F:F,A:A=A525))&gt;1,TRUNC(N525*F525/SUM(FILTER(N:N,A:A=A525)),3),F525))"),"")</f>
        <v/>
      </c>
      <c r="K525" s="147" t="str">
        <f>IFERROR(__xludf.DUMMYFUNCTION("IF(ISBLANK(A525),IFERROR(1/0),IF(COUNT(FILTER(G:G,((A:A=A525)*(B:B=""V""))))&gt;1,TRUNC(N525*G525/SUM(FILTER(N:N,((A:A=A525)*(B:B=""V"")))),3),G525))"),"")</f>
        <v/>
      </c>
      <c r="L525" s="148" t="str">
        <f>IFERROR(__xludf.DUMMYFUNCTION("if($C525="""","""",iferror(if(row()&lt;&gt;2,INDEX(arrayformula(filter($M$2:$M524,$C$2:$C524&lt;&gt;"""",row($C$2:$C524)=max(if($C$2:$C524=C525,row($C$2:$C524),0)))) ,1),0),0))"),"")</f>
        <v/>
      </c>
      <c r="M525" s="148" t="str">
        <f t="shared" si="1"/>
        <v/>
      </c>
      <c r="N525" s="147" t="str">
        <f t="shared" si="2"/>
        <v/>
      </c>
      <c r="O525" s="147" t="str">
        <f t="shared" si="21"/>
        <v/>
      </c>
      <c r="P525" s="147" t="str">
        <f>IFERROR(__xludf.DUMMYFUNCTION("if(C525="""","""",iferror(if(row()&lt;&gt;2,INDEX(arrayformula(filter($Q$2:$Q524,$C$2:$C524&lt;&gt;"""",row($C$2:$C524)=max(if($C$2:$C524=C525,row($C$2:$C524),0)))) ,1),0),0))"),"")</f>
        <v/>
      </c>
      <c r="Q525" s="147" t="str">
        <f t="shared" si="22"/>
        <v/>
      </c>
      <c r="R525" s="147" t="str">
        <f t="shared" si="23"/>
        <v/>
      </c>
      <c r="S525" s="147" t="str">
        <f t="shared" si="24"/>
        <v/>
      </c>
      <c r="T525" s="147" t="str">
        <f t="shared" si="7"/>
        <v/>
      </c>
      <c r="U525" s="150" t="str">
        <f t="shared" si="8"/>
        <v/>
      </c>
      <c r="V525" s="151" t="str">
        <f>IFERROR(VLOOKUP(C525,Ativos!$A$1:$G2000,5,),)</f>
        <v/>
      </c>
    </row>
    <row r="526" ht="21.0" customHeight="1">
      <c r="A526" s="152"/>
      <c r="B526" s="160"/>
      <c r="C526" s="153"/>
      <c r="D526" s="154"/>
      <c r="E526" s="139"/>
      <c r="F526" s="139"/>
      <c r="G526" s="139"/>
      <c r="H526" s="135"/>
      <c r="I526" s="141"/>
      <c r="J526" s="147" t="str">
        <f>IFERROR(__xludf.DUMMYFUNCTION("IF(ISBLANK(A526),IFERROR(1/0),IF(COUNT(FILTER(F:F,A:A=A526))&gt;1,TRUNC(N526*F526/SUM(FILTER(N:N,A:A=A526)),3),F526))"),"")</f>
        <v/>
      </c>
      <c r="K526" s="147" t="str">
        <f>IFERROR(__xludf.DUMMYFUNCTION("IF(ISBLANK(A526),IFERROR(1/0),IF(COUNT(FILTER(G:G,((A:A=A526)*(B:B=""V""))))&gt;1,TRUNC(N526*G526/SUM(FILTER(N:N,((A:A=A526)*(B:B=""V"")))),3),G526))"),"")</f>
        <v/>
      </c>
      <c r="L526" s="148" t="str">
        <f>IFERROR(__xludf.DUMMYFUNCTION("if($C526="""","""",iferror(if(row()&lt;&gt;2,INDEX(arrayformula(filter($M$2:$M525,$C$2:$C525&lt;&gt;"""",row($C$2:$C525)=max(if($C$2:$C525=C526,row($C$2:$C525),0)))) ,1),0),0))"),"")</f>
        <v/>
      </c>
      <c r="M526" s="148" t="str">
        <f t="shared" si="1"/>
        <v/>
      </c>
      <c r="N526" s="147" t="str">
        <f t="shared" si="2"/>
        <v/>
      </c>
      <c r="O526" s="147" t="str">
        <f t="shared" si="21"/>
        <v/>
      </c>
      <c r="P526" s="147" t="str">
        <f>IFERROR(__xludf.DUMMYFUNCTION("if(C526="""","""",iferror(if(row()&lt;&gt;2,INDEX(arrayformula(filter($Q$2:$Q525,$C$2:$C525&lt;&gt;"""",row($C$2:$C525)=max(if($C$2:$C525=C526,row($C$2:$C525),0)))) ,1),0),0))"),"")</f>
        <v/>
      </c>
      <c r="Q526" s="147" t="str">
        <f t="shared" si="22"/>
        <v/>
      </c>
      <c r="R526" s="147" t="str">
        <f t="shared" si="23"/>
        <v/>
      </c>
      <c r="S526" s="147" t="str">
        <f t="shared" si="24"/>
        <v/>
      </c>
      <c r="T526" s="147" t="str">
        <f t="shared" si="7"/>
        <v/>
      </c>
      <c r="U526" s="150" t="str">
        <f t="shared" si="8"/>
        <v/>
      </c>
      <c r="V526" s="151" t="str">
        <f>IFERROR(VLOOKUP(C526,Ativos!$A$1:$G2000,5,),)</f>
        <v/>
      </c>
    </row>
    <row r="527" ht="21.0" customHeight="1">
      <c r="A527" s="152"/>
      <c r="B527" s="160"/>
      <c r="C527" s="153"/>
      <c r="D527" s="154"/>
      <c r="E527" s="139"/>
      <c r="F527" s="139"/>
      <c r="G527" s="139"/>
      <c r="H527" s="135"/>
      <c r="I527" s="141"/>
      <c r="J527" s="147" t="str">
        <f>IFERROR(__xludf.DUMMYFUNCTION("IF(ISBLANK(A527),IFERROR(1/0),IF(COUNT(FILTER(F:F,A:A=A527))&gt;1,TRUNC(N527*F527/SUM(FILTER(N:N,A:A=A527)),3),F527))"),"")</f>
        <v/>
      </c>
      <c r="K527" s="147" t="str">
        <f>IFERROR(__xludf.DUMMYFUNCTION("IF(ISBLANK(A527),IFERROR(1/0),IF(COUNT(FILTER(G:G,((A:A=A527)*(B:B=""V""))))&gt;1,TRUNC(N527*G527/SUM(FILTER(N:N,((A:A=A527)*(B:B=""V"")))),3),G527))"),"")</f>
        <v/>
      </c>
      <c r="L527" s="148" t="str">
        <f>IFERROR(__xludf.DUMMYFUNCTION("if($C527="""","""",iferror(if(row()&lt;&gt;2,INDEX(arrayformula(filter($M$2:$M526,$C$2:$C526&lt;&gt;"""",row($C$2:$C526)=max(if($C$2:$C526=C527,row($C$2:$C526),0)))) ,1),0),0))"),"")</f>
        <v/>
      </c>
      <c r="M527" s="148" t="str">
        <f t="shared" si="1"/>
        <v/>
      </c>
      <c r="N527" s="147" t="str">
        <f t="shared" si="2"/>
        <v/>
      </c>
      <c r="O527" s="147" t="str">
        <f t="shared" si="21"/>
        <v/>
      </c>
      <c r="P527" s="147" t="str">
        <f>IFERROR(__xludf.DUMMYFUNCTION("if(C527="""","""",iferror(if(row()&lt;&gt;2,INDEX(arrayformula(filter($Q$2:$Q526,$C$2:$C526&lt;&gt;"""",row($C$2:$C526)=max(if($C$2:$C526=C527,row($C$2:$C526),0)))) ,1),0),0))"),"")</f>
        <v/>
      </c>
      <c r="Q527" s="147" t="str">
        <f t="shared" si="22"/>
        <v/>
      </c>
      <c r="R527" s="147" t="str">
        <f t="shared" si="23"/>
        <v/>
      </c>
      <c r="S527" s="147" t="str">
        <f t="shared" si="24"/>
        <v/>
      </c>
      <c r="T527" s="147" t="str">
        <f t="shared" si="7"/>
        <v/>
      </c>
      <c r="U527" s="150" t="str">
        <f t="shared" si="8"/>
        <v/>
      </c>
      <c r="V527" s="151" t="str">
        <f>IFERROR(VLOOKUP(C527,Ativos!$A$1:$G2000,5,),)</f>
        <v/>
      </c>
    </row>
    <row r="528" ht="21.0" customHeight="1">
      <c r="A528" s="152"/>
      <c r="B528" s="160"/>
      <c r="C528" s="153"/>
      <c r="D528" s="154"/>
      <c r="E528" s="139"/>
      <c r="F528" s="139"/>
      <c r="G528" s="139"/>
      <c r="H528" s="135"/>
      <c r="I528" s="141"/>
      <c r="J528" s="147" t="str">
        <f>IFERROR(__xludf.DUMMYFUNCTION("IF(ISBLANK(A528),IFERROR(1/0),IF(COUNT(FILTER(F:F,A:A=A528))&gt;1,TRUNC(N528*F528/SUM(FILTER(N:N,A:A=A528)),3),F528))"),"")</f>
        <v/>
      </c>
      <c r="K528" s="147" t="str">
        <f>IFERROR(__xludf.DUMMYFUNCTION("IF(ISBLANK(A528),IFERROR(1/0),IF(COUNT(FILTER(G:G,((A:A=A528)*(B:B=""V""))))&gt;1,TRUNC(N528*G528/SUM(FILTER(N:N,((A:A=A528)*(B:B=""V"")))),3),G528))"),"")</f>
        <v/>
      </c>
      <c r="L528" s="148" t="str">
        <f>IFERROR(__xludf.DUMMYFUNCTION("if($C528="""","""",iferror(if(row()&lt;&gt;2,INDEX(arrayformula(filter($M$2:$M527,$C$2:$C527&lt;&gt;"""",row($C$2:$C527)=max(if($C$2:$C527=C528,row($C$2:$C527),0)))) ,1),0),0))"),"")</f>
        <v/>
      </c>
      <c r="M528" s="148" t="str">
        <f t="shared" si="1"/>
        <v/>
      </c>
      <c r="N528" s="147" t="str">
        <f t="shared" si="2"/>
        <v/>
      </c>
      <c r="O528" s="147" t="str">
        <f t="shared" si="21"/>
        <v/>
      </c>
      <c r="P528" s="147" t="str">
        <f>IFERROR(__xludf.DUMMYFUNCTION("if(C528="""","""",iferror(if(row()&lt;&gt;2,INDEX(arrayformula(filter($Q$2:$Q527,$C$2:$C527&lt;&gt;"""",row($C$2:$C527)=max(if($C$2:$C527=C528,row($C$2:$C527),0)))) ,1),0),0))"),"")</f>
        <v/>
      </c>
      <c r="Q528" s="147" t="str">
        <f t="shared" si="22"/>
        <v/>
      </c>
      <c r="R528" s="147" t="str">
        <f t="shared" si="23"/>
        <v/>
      </c>
      <c r="S528" s="147" t="str">
        <f t="shared" si="24"/>
        <v/>
      </c>
      <c r="T528" s="147" t="str">
        <f t="shared" si="7"/>
        <v/>
      </c>
      <c r="U528" s="150" t="str">
        <f t="shared" si="8"/>
        <v/>
      </c>
      <c r="V528" s="151" t="str">
        <f>IFERROR(VLOOKUP(C528,Ativos!$A$1:$G2000,5,),)</f>
        <v/>
      </c>
    </row>
    <row r="529" ht="21.0" customHeight="1">
      <c r="A529" s="152"/>
      <c r="B529" s="160"/>
      <c r="C529" s="153"/>
      <c r="D529" s="154"/>
      <c r="E529" s="139"/>
      <c r="F529" s="139"/>
      <c r="G529" s="139"/>
      <c r="H529" s="135"/>
      <c r="I529" s="141"/>
      <c r="J529" s="147" t="str">
        <f>IFERROR(__xludf.DUMMYFUNCTION("IF(ISBLANK(A529),IFERROR(1/0),IF(COUNT(FILTER(F:F,A:A=A529))&gt;1,TRUNC(N529*F529/SUM(FILTER(N:N,A:A=A529)),3),F529))"),"")</f>
        <v/>
      </c>
      <c r="K529" s="147" t="str">
        <f>IFERROR(__xludf.DUMMYFUNCTION("IF(ISBLANK(A529),IFERROR(1/0),IF(COUNT(FILTER(G:G,((A:A=A529)*(B:B=""V""))))&gt;1,TRUNC(N529*G529/SUM(FILTER(N:N,((A:A=A529)*(B:B=""V"")))),3),G529))"),"")</f>
        <v/>
      </c>
      <c r="L529" s="148" t="str">
        <f>IFERROR(__xludf.DUMMYFUNCTION("if($C529="""","""",iferror(if(row()&lt;&gt;2,INDEX(arrayformula(filter($M$2:$M528,$C$2:$C528&lt;&gt;"""",row($C$2:$C528)=max(if($C$2:$C528=C529,row($C$2:$C528),0)))) ,1),0),0))"),"")</f>
        <v/>
      </c>
      <c r="M529" s="148" t="str">
        <f t="shared" si="1"/>
        <v/>
      </c>
      <c r="N529" s="147" t="str">
        <f t="shared" si="2"/>
        <v/>
      </c>
      <c r="O529" s="147" t="str">
        <f t="shared" si="21"/>
        <v/>
      </c>
      <c r="P529" s="147" t="str">
        <f>IFERROR(__xludf.DUMMYFUNCTION("if(C529="""","""",iferror(if(row()&lt;&gt;2,INDEX(arrayformula(filter($Q$2:$Q528,$C$2:$C528&lt;&gt;"""",row($C$2:$C528)=max(if($C$2:$C528=C529,row($C$2:$C528),0)))) ,1),0),0))"),"")</f>
        <v/>
      </c>
      <c r="Q529" s="147" t="str">
        <f t="shared" si="22"/>
        <v/>
      </c>
      <c r="R529" s="147" t="str">
        <f t="shared" si="23"/>
        <v/>
      </c>
      <c r="S529" s="147" t="str">
        <f t="shared" si="24"/>
        <v/>
      </c>
      <c r="T529" s="147" t="str">
        <f t="shared" si="7"/>
        <v/>
      </c>
      <c r="U529" s="150" t="str">
        <f t="shared" si="8"/>
        <v/>
      </c>
      <c r="V529" s="151" t="str">
        <f>IFERROR(VLOOKUP(C529,Ativos!$A$1:$G2000,5,),)</f>
        <v/>
      </c>
    </row>
    <row r="530" ht="21.0" customHeight="1">
      <c r="A530" s="152"/>
      <c r="B530" s="160"/>
      <c r="C530" s="153"/>
      <c r="D530" s="154"/>
      <c r="E530" s="139"/>
      <c r="F530" s="139"/>
      <c r="G530" s="139"/>
      <c r="H530" s="135"/>
      <c r="I530" s="141"/>
      <c r="J530" s="147" t="str">
        <f>IFERROR(__xludf.DUMMYFUNCTION("IF(ISBLANK(A530),IFERROR(1/0),IF(COUNT(FILTER(F:F,A:A=A530))&gt;1,TRUNC(N530*F530/SUM(FILTER(N:N,A:A=A530)),3),F530))"),"")</f>
        <v/>
      </c>
      <c r="K530" s="147" t="str">
        <f>IFERROR(__xludf.DUMMYFUNCTION("IF(ISBLANK(A530),IFERROR(1/0),IF(COUNT(FILTER(G:G,((A:A=A530)*(B:B=""V""))))&gt;1,TRUNC(N530*G530/SUM(FILTER(N:N,((A:A=A530)*(B:B=""V"")))),3),G530))"),"")</f>
        <v/>
      </c>
      <c r="L530" s="148" t="str">
        <f>IFERROR(__xludf.DUMMYFUNCTION("if($C530="""","""",iferror(if(row()&lt;&gt;2,INDEX(arrayformula(filter($M$2:$M529,$C$2:$C529&lt;&gt;"""",row($C$2:$C529)=max(if($C$2:$C529=C530,row($C$2:$C529),0)))) ,1),0),0))"),"")</f>
        <v/>
      </c>
      <c r="M530" s="148" t="str">
        <f t="shared" si="1"/>
        <v/>
      </c>
      <c r="N530" s="147" t="str">
        <f t="shared" si="2"/>
        <v/>
      </c>
      <c r="O530" s="147" t="str">
        <f t="shared" si="21"/>
        <v/>
      </c>
      <c r="P530" s="147" t="str">
        <f>IFERROR(__xludf.DUMMYFUNCTION("if(C530="""","""",iferror(if(row()&lt;&gt;2,INDEX(arrayformula(filter($Q$2:$Q529,$C$2:$C529&lt;&gt;"""",row($C$2:$C529)=max(if($C$2:$C529=C530,row($C$2:$C529),0)))) ,1),0),0))"),"")</f>
        <v/>
      </c>
      <c r="Q530" s="147" t="str">
        <f t="shared" si="22"/>
        <v/>
      </c>
      <c r="R530" s="147" t="str">
        <f t="shared" si="23"/>
        <v/>
      </c>
      <c r="S530" s="147" t="str">
        <f t="shared" si="24"/>
        <v/>
      </c>
      <c r="T530" s="147" t="str">
        <f t="shared" si="7"/>
        <v/>
      </c>
      <c r="U530" s="150" t="str">
        <f t="shared" si="8"/>
        <v/>
      </c>
      <c r="V530" s="151" t="str">
        <f>IFERROR(VLOOKUP(C530,Ativos!$A$1:$G2000,5,),)</f>
        <v/>
      </c>
    </row>
    <row r="531" ht="21.0" customHeight="1">
      <c r="A531" s="152"/>
      <c r="B531" s="160"/>
      <c r="C531" s="153"/>
      <c r="D531" s="154"/>
      <c r="E531" s="139"/>
      <c r="F531" s="139"/>
      <c r="G531" s="139"/>
      <c r="H531" s="135"/>
      <c r="I531" s="141"/>
      <c r="J531" s="147" t="str">
        <f>IFERROR(__xludf.DUMMYFUNCTION("IF(ISBLANK(A531),IFERROR(1/0),IF(COUNT(FILTER(F:F,A:A=A531))&gt;1,TRUNC(N531*F531/SUM(FILTER(N:N,A:A=A531)),3),F531))"),"")</f>
        <v/>
      </c>
      <c r="K531" s="147" t="str">
        <f>IFERROR(__xludf.DUMMYFUNCTION("IF(ISBLANK(A531),IFERROR(1/0),IF(COUNT(FILTER(G:G,((A:A=A531)*(B:B=""V""))))&gt;1,TRUNC(N531*G531/SUM(FILTER(N:N,((A:A=A531)*(B:B=""V"")))),3),G531))"),"")</f>
        <v/>
      </c>
      <c r="L531" s="148" t="str">
        <f>IFERROR(__xludf.DUMMYFUNCTION("if($C531="""","""",iferror(if(row()&lt;&gt;2,INDEX(arrayformula(filter($M$2:$M530,$C$2:$C530&lt;&gt;"""",row($C$2:$C530)=max(if($C$2:$C530=C531,row($C$2:$C530),0)))) ,1),0),0))"),"")</f>
        <v/>
      </c>
      <c r="M531" s="148" t="str">
        <f t="shared" si="1"/>
        <v/>
      </c>
      <c r="N531" s="147" t="str">
        <f t="shared" si="2"/>
        <v/>
      </c>
      <c r="O531" s="147" t="str">
        <f t="shared" si="21"/>
        <v/>
      </c>
      <c r="P531" s="147" t="str">
        <f>IFERROR(__xludf.DUMMYFUNCTION("if(C531="""","""",iferror(if(row()&lt;&gt;2,INDEX(arrayformula(filter($Q$2:$Q530,$C$2:$C530&lt;&gt;"""",row($C$2:$C530)=max(if($C$2:$C530=C531,row($C$2:$C530),0)))) ,1),0),0))"),"")</f>
        <v/>
      </c>
      <c r="Q531" s="147" t="str">
        <f t="shared" si="22"/>
        <v/>
      </c>
      <c r="R531" s="147" t="str">
        <f t="shared" si="23"/>
        <v/>
      </c>
      <c r="S531" s="147" t="str">
        <f t="shared" si="24"/>
        <v/>
      </c>
      <c r="T531" s="147" t="str">
        <f t="shared" si="7"/>
        <v/>
      </c>
      <c r="U531" s="150" t="str">
        <f t="shared" si="8"/>
        <v/>
      </c>
      <c r="V531" s="151" t="str">
        <f>IFERROR(VLOOKUP(C531,Ativos!$A$1:$G2000,5,),)</f>
        <v/>
      </c>
    </row>
    <row r="532" ht="21.0" customHeight="1">
      <c r="A532" s="152"/>
      <c r="B532" s="160"/>
      <c r="C532" s="153"/>
      <c r="D532" s="154"/>
      <c r="E532" s="139"/>
      <c r="F532" s="139"/>
      <c r="G532" s="139"/>
      <c r="H532" s="135"/>
      <c r="I532" s="141"/>
      <c r="J532" s="147" t="str">
        <f>IFERROR(__xludf.DUMMYFUNCTION("IF(ISBLANK(A532),IFERROR(1/0),IF(COUNT(FILTER(F:F,A:A=A532))&gt;1,TRUNC(N532*F532/SUM(FILTER(N:N,A:A=A532)),3),F532))"),"")</f>
        <v/>
      </c>
      <c r="K532" s="147" t="str">
        <f>IFERROR(__xludf.DUMMYFUNCTION("IF(ISBLANK(A532),IFERROR(1/0),IF(COUNT(FILTER(G:G,((A:A=A532)*(B:B=""V""))))&gt;1,TRUNC(N532*G532/SUM(FILTER(N:N,((A:A=A532)*(B:B=""V"")))),3),G532))"),"")</f>
        <v/>
      </c>
      <c r="L532" s="148" t="str">
        <f>IFERROR(__xludf.DUMMYFUNCTION("if($C532="""","""",iferror(if(row()&lt;&gt;2,INDEX(arrayformula(filter($M$2:$M531,$C$2:$C531&lt;&gt;"""",row($C$2:$C531)=max(if($C$2:$C531=C532,row($C$2:$C531),0)))) ,1),0),0))"),"")</f>
        <v/>
      </c>
      <c r="M532" s="148" t="str">
        <f t="shared" si="1"/>
        <v/>
      </c>
      <c r="N532" s="147" t="str">
        <f t="shared" si="2"/>
        <v/>
      </c>
      <c r="O532" s="147" t="str">
        <f t="shared" si="21"/>
        <v/>
      </c>
      <c r="P532" s="147" t="str">
        <f>IFERROR(__xludf.DUMMYFUNCTION("if(C532="""","""",iferror(if(row()&lt;&gt;2,INDEX(arrayformula(filter($Q$2:$Q531,$C$2:$C531&lt;&gt;"""",row($C$2:$C531)=max(if($C$2:$C531=C532,row($C$2:$C531),0)))) ,1),0),0))"),"")</f>
        <v/>
      </c>
      <c r="Q532" s="147" t="str">
        <f t="shared" si="22"/>
        <v/>
      </c>
      <c r="R532" s="147" t="str">
        <f t="shared" si="23"/>
        <v/>
      </c>
      <c r="S532" s="147" t="str">
        <f t="shared" si="24"/>
        <v/>
      </c>
      <c r="T532" s="147" t="str">
        <f t="shared" si="7"/>
        <v/>
      </c>
      <c r="U532" s="150" t="str">
        <f t="shared" si="8"/>
        <v/>
      </c>
      <c r="V532" s="151" t="str">
        <f>IFERROR(VLOOKUP(C532,Ativos!$A$1:$G2000,5,),)</f>
        <v/>
      </c>
    </row>
    <row r="533" ht="21.0" customHeight="1">
      <c r="A533" s="152"/>
      <c r="B533" s="160"/>
      <c r="C533" s="153"/>
      <c r="D533" s="154"/>
      <c r="E533" s="139"/>
      <c r="F533" s="139"/>
      <c r="G533" s="139"/>
      <c r="H533" s="135"/>
      <c r="I533" s="141"/>
      <c r="J533" s="147" t="str">
        <f>IFERROR(__xludf.DUMMYFUNCTION("IF(ISBLANK(A533),IFERROR(1/0),IF(COUNT(FILTER(F:F,A:A=A533))&gt;1,TRUNC(N533*F533/SUM(FILTER(N:N,A:A=A533)),3),F533))"),"")</f>
        <v/>
      </c>
      <c r="K533" s="147" t="str">
        <f>IFERROR(__xludf.DUMMYFUNCTION("IF(ISBLANK(A533),IFERROR(1/0),IF(COUNT(FILTER(G:G,((A:A=A533)*(B:B=""V""))))&gt;1,TRUNC(N533*G533/SUM(FILTER(N:N,((A:A=A533)*(B:B=""V"")))),3),G533))"),"")</f>
        <v/>
      </c>
      <c r="L533" s="148" t="str">
        <f>IFERROR(__xludf.DUMMYFUNCTION("if($C533="""","""",iferror(if(row()&lt;&gt;2,INDEX(arrayformula(filter($M$2:$M532,$C$2:$C532&lt;&gt;"""",row($C$2:$C532)=max(if($C$2:$C532=C533,row($C$2:$C532),0)))) ,1),0),0))"),"")</f>
        <v/>
      </c>
      <c r="M533" s="148" t="str">
        <f t="shared" si="1"/>
        <v/>
      </c>
      <c r="N533" s="147" t="str">
        <f t="shared" si="2"/>
        <v/>
      </c>
      <c r="O533" s="147" t="str">
        <f t="shared" si="21"/>
        <v/>
      </c>
      <c r="P533" s="147" t="str">
        <f>IFERROR(__xludf.DUMMYFUNCTION("if(C533="""","""",iferror(if(row()&lt;&gt;2,INDEX(arrayformula(filter($Q$2:$Q532,$C$2:$C532&lt;&gt;"""",row($C$2:$C532)=max(if($C$2:$C532=C533,row($C$2:$C532),0)))) ,1),0),0))"),"")</f>
        <v/>
      </c>
      <c r="Q533" s="147" t="str">
        <f t="shared" si="22"/>
        <v/>
      </c>
      <c r="R533" s="147" t="str">
        <f t="shared" si="23"/>
        <v/>
      </c>
      <c r="S533" s="147" t="str">
        <f t="shared" si="24"/>
        <v/>
      </c>
      <c r="T533" s="147" t="str">
        <f t="shared" si="7"/>
        <v/>
      </c>
      <c r="U533" s="150" t="str">
        <f t="shared" si="8"/>
        <v/>
      </c>
      <c r="V533" s="151" t="str">
        <f>IFERROR(VLOOKUP(C533,Ativos!$A$1:$G2000,5,),)</f>
        <v/>
      </c>
    </row>
    <row r="534" ht="21.0" customHeight="1">
      <c r="A534" s="152"/>
      <c r="B534" s="160"/>
      <c r="C534" s="153"/>
      <c r="D534" s="154"/>
      <c r="E534" s="139"/>
      <c r="F534" s="139"/>
      <c r="G534" s="139"/>
      <c r="H534" s="135"/>
      <c r="I534" s="141"/>
      <c r="J534" s="147" t="str">
        <f>IFERROR(__xludf.DUMMYFUNCTION("IF(ISBLANK(A534),IFERROR(1/0),IF(COUNT(FILTER(F:F,A:A=A534))&gt;1,TRUNC(N534*F534/SUM(FILTER(N:N,A:A=A534)),3),F534))"),"")</f>
        <v/>
      </c>
      <c r="K534" s="147" t="str">
        <f>IFERROR(__xludf.DUMMYFUNCTION("IF(ISBLANK(A534),IFERROR(1/0),IF(COUNT(FILTER(G:G,((A:A=A534)*(B:B=""V""))))&gt;1,TRUNC(N534*G534/SUM(FILTER(N:N,((A:A=A534)*(B:B=""V"")))),3),G534))"),"")</f>
        <v/>
      </c>
      <c r="L534" s="148" t="str">
        <f>IFERROR(__xludf.DUMMYFUNCTION("if($C534="""","""",iferror(if(row()&lt;&gt;2,INDEX(arrayformula(filter($M$2:$M533,$C$2:$C533&lt;&gt;"""",row($C$2:$C533)=max(if($C$2:$C533=C534,row($C$2:$C533),0)))) ,1),0),0))"),"")</f>
        <v/>
      </c>
      <c r="M534" s="148" t="str">
        <f t="shared" si="1"/>
        <v/>
      </c>
      <c r="N534" s="147" t="str">
        <f t="shared" si="2"/>
        <v/>
      </c>
      <c r="O534" s="147" t="str">
        <f t="shared" si="21"/>
        <v/>
      </c>
      <c r="P534" s="147" t="str">
        <f>IFERROR(__xludf.DUMMYFUNCTION("if(C534="""","""",iferror(if(row()&lt;&gt;2,INDEX(arrayformula(filter($Q$2:$Q533,$C$2:$C533&lt;&gt;"""",row($C$2:$C533)=max(if($C$2:$C533=C534,row($C$2:$C533),0)))) ,1),0),0))"),"")</f>
        <v/>
      </c>
      <c r="Q534" s="147" t="str">
        <f t="shared" si="22"/>
        <v/>
      </c>
      <c r="R534" s="147" t="str">
        <f t="shared" si="23"/>
        <v/>
      </c>
      <c r="S534" s="147" t="str">
        <f t="shared" si="24"/>
        <v/>
      </c>
      <c r="T534" s="147" t="str">
        <f t="shared" si="7"/>
        <v/>
      </c>
      <c r="U534" s="150" t="str">
        <f t="shared" si="8"/>
        <v/>
      </c>
      <c r="V534" s="151" t="str">
        <f>IFERROR(VLOOKUP(C534,Ativos!$A$1:$G2000,5,),)</f>
        <v/>
      </c>
    </row>
    <row r="535" ht="21.0" customHeight="1">
      <c r="A535" s="152"/>
      <c r="B535" s="160"/>
      <c r="C535" s="153"/>
      <c r="D535" s="154"/>
      <c r="E535" s="139"/>
      <c r="F535" s="139"/>
      <c r="G535" s="139"/>
      <c r="H535" s="135"/>
      <c r="I535" s="141"/>
      <c r="J535" s="147" t="str">
        <f>IFERROR(__xludf.DUMMYFUNCTION("IF(ISBLANK(A535),IFERROR(1/0),IF(COUNT(FILTER(F:F,A:A=A535))&gt;1,TRUNC(N535*F535/SUM(FILTER(N:N,A:A=A535)),3),F535))"),"")</f>
        <v/>
      </c>
      <c r="K535" s="147" t="str">
        <f>IFERROR(__xludf.DUMMYFUNCTION("IF(ISBLANK(A535),IFERROR(1/0),IF(COUNT(FILTER(G:G,((A:A=A535)*(B:B=""V""))))&gt;1,TRUNC(N535*G535/SUM(FILTER(N:N,((A:A=A535)*(B:B=""V"")))),3),G535))"),"")</f>
        <v/>
      </c>
      <c r="L535" s="148" t="str">
        <f>IFERROR(__xludf.DUMMYFUNCTION("if($C535="""","""",iferror(if(row()&lt;&gt;2,INDEX(arrayformula(filter($M$2:$M534,$C$2:$C534&lt;&gt;"""",row($C$2:$C534)=max(if($C$2:$C534=C535,row($C$2:$C534),0)))) ,1),0),0))"),"")</f>
        <v/>
      </c>
      <c r="M535" s="148" t="str">
        <f t="shared" si="1"/>
        <v/>
      </c>
      <c r="N535" s="147" t="str">
        <f t="shared" si="2"/>
        <v/>
      </c>
      <c r="O535" s="147" t="str">
        <f t="shared" si="21"/>
        <v/>
      </c>
      <c r="P535" s="147" t="str">
        <f>IFERROR(__xludf.DUMMYFUNCTION("if(C535="""","""",iferror(if(row()&lt;&gt;2,INDEX(arrayformula(filter($Q$2:$Q534,$C$2:$C534&lt;&gt;"""",row($C$2:$C534)=max(if($C$2:$C534=C535,row($C$2:$C534),0)))) ,1),0),0))"),"")</f>
        <v/>
      </c>
      <c r="Q535" s="147" t="str">
        <f t="shared" si="22"/>
        <v/>
      </c>
      <c r="R535" s="147" t="str">
        <f t="shared" si="23"/>
        <v/>
      </c>
      <c r="S535" s="147" t="str">
        <f t="shared" si="24"/>
        <v/>
      </c>
      <c r="T535" s="147" t="str">
        <f t="shared" si="7"/>
        <v/>
      </c>
      <c r="U535" s="150" t="str">
        <f t="shared" si="8"/>
        <v/>
      </c>
      <c r="V535" s="151" t="str">
        <f>IFERROR(VLOOKUP(C535,Ativos!$A$1:$G2000,5,),)</f>
        <v/>
      </c>
    </row>
    <row r="536" ht="21.0" customHeight="1">
      <c r="A536" s="152"/>
      <c r="B536" s="160"/>
      <c r="C536" s="153"/>
      <c r="D536" s="154"/>
      <c r="E536" s="139"/>
      <c r="F536" s="139"/>
      <c r="G536" s="139"/>
      <c r="H536" s="135"/>
      <c r="I536" s="141"/>
      <c r="J536" s="147" t="str">
        <f>IFERROR(__xludf.DUMMYFUNCTION("IF(ISBLANK(A536),IFERROR(1/0),IF(COUNT(FILTER(F:F,A:A=A536))&gt;1,TRUNC(N536*F536/SUM(FILTER(N:N,A:A=A536)),3),F536))"),"")</f>
        <v/>
      </c>
      <c r="K536" s="147" t="str">
        <f>IFERROR(__xludf.DUMMYFUNCTION("IF(ISBLANK(A536),IFERROR(1/0),IF(COUNT(FILTER(G:G,((A:A=A536)*(B:B=""V""))))&gt;1,TRUNC(N536*G536/SUM(FILTER(N:N,((A:A=A536)*(B:B=""V"")))),3),G536))"),"")</f>
        <v/>
      </c>
      <c r="L536" s="148" t="str">
        <f>IFERROR(__xludf.DUMMYFUNCTION("if($C536="""","""",iferror(if(row()&lt;&gt;2,INDEX(arrayformula(filter($M$2:$M535,$C$2:$C535&lt;&gt;"""",row($C$2:$C535)=max(if($C$2:$C535=C536,row($C$2:$C535),0)))) ,1),0),0))"),"")</f>
        <v/>
      </c>
      <c r="M536" s="148" t="str">
        <f t="shared" si="1"/>
        <v/>
      </c>
      <c r="N536" s="147" t="str">
        <f t="shared" si="2"/>
        <v/>
      </c>
      <c r="O536" s="147" t="str">
        <f t="shared" si="21"/>
        <v/>
      </c>
      <c r="P536" s="147" t="str">
        <f>IFERROR(__xludf.DUMMYFUNCTION("if(C536="""","""",iferror(if(row()&lt;&gt;2,INDEX(arrayformula(filter($Q$2:$Q535,$C$2:$C535&lt;&gt;"""",row($C$2:$C535)=max(if($C$2:$C535=C536,row($C$2:$C535),0)))) ,1),0),0))"),"")</f>
        <v/>
      </c>
      <c r="Q536" s="147" t="str">
        <f t="shared" si="22"/>
        <v/>
      </c>
      <c r="R536" s="147" t="str">
        <f t="shared" si="23"/>
        <v/>
      </c>
      <c r="S536" s="147" t="str">
        <f t="shared" si="24"/>
        <v/>
      </c>
      <c r="T536" s="147" t="str">
        <f t="shared" si="7"/>
        <v/>
      </c>
      <c r="U536" s="150" t="str">
        <f t="shared" si="8"/>
        <v/>
      </c>
      <c r="V536" s="151" t="str">
        <f>IFERROR(VLOOKUP(C536,Ativos!$A$1:$G2000,5,),)</f>
        <v/>
      </c>
    </row>
    <row r="537" ht="21.0" customHeight="1">
      <c r="A537" s="152"/>
      <c r="B537" s="160"/>
      <c r="C537" s="153"/>
      <c r="D537" s="154"/>
      <c r="E537" s="139"/>
      <c r="F537" s="139"/>
      <c r="G537" s="139"/>
      <c r="H537" s="135"/>
      <c r="I537" s="141"/>
      <c r="J537" s="147" t="str">
        <f>IFERROR(__xludf.DUMMYFUNCTION("IF(ISBLANK(A537),IFERROR(1/0),IF(COUNT(FILTER(F:F,A:A=A537))&gt;1,TRUNC(N537*F537/SUM(FILTER(N:N,A:A=A537)),3),F537))"),"")</f>
        <v/>
      </c>
      <c r="K537" s="147" t="str">
        <f>IFERROR(__xludf.DUMMYFUNCTION("IF(ISBLANK(A537),IFERROR(1/0),IF(COUNT(FILTER(G:G,((A:A=A537)*(B:B=""V""))))&gt;1,TRUNC(N537*G537/SUM(FILTER(N:N,((A:A=A537)*(B:B=""V"")))),3),G537))"),"")</f>
        <v/>
      </c>
      <c r="L537" s="148" t="str">
        <f>IFERROR(__xludf.DUMMYFUNCTION("if($C537="""","""",iferror(if(row()&lt;&gt;2,INDEX(arrayformula(filter($M$2:$M536,$C$2:$C536&lt;&gt;"""",row($C$2:$C536)=max(if($C$2:$C536=C537,row($C$2:$C536),0)))) ,1),0),0))"),"")</f>
        <v/>
      </c>
      <c r="M537" s="148" t="str">
        <f t="shared" si="1"/>
        <v/>
      </c>
      <c r="N537" s="147" t="str">
        <f t="shared" si="2"/>
        <v/>
      </c>
      <c r="O537" s="147" t="str">
        <f t="shared" si="21"/>
        <v/>
      </c>
      <c r="P537" s="147" t="str">
        <f>IFERROR(__xludf.DUMMYFUNCTION("if(C537="""","""",iferror(if(row()&lt;&gt;2,INDEX(arrayformula(filter($Q$2:$Q536,$C$2:$C536&lt;&gt;"""",row($C$2:$C536)=max(if($C$2:$C536=C537,row($C$2:$C536),0)))) ,1),0),0))"),"")</f>
        <v/>
      </c>
      <c r="Q537" s="147" t="str">
        <f t="shared" si="22"/>
        <v/>
      </c>
      <c r="R537" s="147" t="str">
        <f t="shared" si="23"/>
        <v/>
      </c>
      <c r="S537" s="147" t="str">
        <f t="shared" si="24"/>
        <v/>
      </c>
      <c r="T537" s="147" t="str">
        <f t="shared" si="7"/>
        <v/>
      </c>
      <c r="U537" s="150" t="str">
        <f t="shared" si="8"/>
        <v/>
      </c>
      <c r="V537" s="151" t="str">
        <f>IFERROR(VLOOKUP(C537,Ativos!$A$1:$G2000,5,),)</f>
        <v/>
      </c>
    </row>
    <row r="538" ht="21.0" customHeight="1">
      <c r="A538" s="152"/>
      <c r="B538" s="160"/>
      <c r="C538" s="153"/>
      <c r="D538" s="154"/>
      <c r="E538" s="139"/>
      <c r="F538" s="139"/>
      <c r="G538" s="139"/>
      <c r="H538" s="135"/>
      <c r="I538" s="141"/>
      <c r="J538" s="147" t="str">
        <f>IFERROR(__xludf.DUMMYFUNCTION("IF(ISBLANK(A538),IFERROR(1/0),IF(COUNT(FILTER(F:F,A:A=A538))&gt;1,TRUNC(N538*F538/SUM(FILTER(N:N,A:A=A538)),3),F538))"),"")</f>
        <v/>
      </c>
      <c r="K538" s="147" t="str">
        <f>IFERROR(__xludf.DUMMYFUNCTION("IF(ISBLANK(A538),IFERROR(1/0),IF(COUNT(FILTER(G:G,((A:A=A538)*(B:B=""V""))))&gt;1,TRUNC(N538*G538/SUM(FILTER(N:N,((A:A=A538)*(B:B=""V"")))),3),G538))"),"")</f>
        <v/>
      </c>
      <c r="L538" s="148" t="str">
        <f>IFERROR(__xludf.DUMMYFUNCTION("if($C538="""","""",iferror(if(row()&lt;&gt;2,INDEX(arrayformula(filter($M$2:$M537,$C$2:$C537&lt;&gt;"""",row($C$2:$C537)=max(if($C$2:$C537=C538,row($C$2:$C537),0)))) ,1),0),0))"),"")</f>
        <v/>
      </c>
      <c r="M538" s="148" t="str">
        <f t="shared" si="1"/>
        <v/>
      </c>
      <c r="N538" s="147" t="str">
        <f t="shared" si="2"/>
        <v/>
      </c>
      <c r="O538" s="147" t="str">
        <f t="shared" si="21"/>
        <v/>
      </c>
      <c r="P538" s="147" t="str">
        <f>IFERROR(__xludf.DUMMYFUNCTION("if(C538="""","""",iferror(if(row()&lt;&gt;2,INDEX(arrayformula(filter($Q$2:$Q537,$C$2:$C537&lt;&gt;"""",row($C$2:$C537)=max(if($C$2:$C537=C538,row($C$2:$C537),0)))) ,1),0),0))"),"")</f>
        <v/>
      </c>
      <c r="Q538" s="147" t="str">
        <f t="shared" si="22"/>
        <v/>
      </c>
      <c r="R538" s="147" t="str">
        <f t="shared" si="23"/>
        <v/>
      </c>
      <c r="S538" s="147" t="str">
        <f t="shared" si="24"/>
        <v/>
      </c>
      <c r="T538" s="147" t="str">
        <f t="shared" si="7"/>
        <v/>
      </c>
      <c r="U538" s="150" t="str">
        <f t="shared" si="8"/>
        <v/>
      </c>
      <c r="V538" s="151" t="str">
        <f>IFERROR(VLOOKUP(C538,Ativos!$A$1:$G2000,5,),)</f>
        <v/>
      </c>
    </row>
    <row r="539" ht="21.0" customHeight="1">
      <c r="A539" s="152"/>
      <c r="B539" s="160"/>
      <c r="C539" s="153"/>
      <c r="D539" s="154"/>
      <c r="E539" s="139"/>
      <c r="F539" s="139"/>
      <c r="G539" s="139"/>
      <c r="H539" s="135"/>
      <c r="I539" s="141"/>
      <c r="J539" s="147" t="str">
        <f>IFERROR(__xludf.DUMMYFUNCTION("IF(ISBLANK(A539),IFERROR(1/0),IF(COUNT(FILTER(F:F,A:A=A539))&gt;1,TRUNC(N539*F539/SUM(FILTER(N:N,A:A=A539)),3),F539))"),"")</f>
        <v/>
      </c>
      <c r="K539" s="147" t="str">
        <f>IFERROR(__xludf.DUMMYFUNCTION("IF(ISBLANK(A539),IFERROR(1/0),IF(COUNT(FILTER(G:G,((A:A=A539)*(B:B=""V""))))&gt;1,TRUNC(N539*G539/SUM(FILTER(N:N,((A:A=A539)*(B:B=""V"")))),3),G539))"),"")</f>
        <v/>
      </c>
      <c r="L539" s="148" t="str">
        <f>IFERROR(__xludf.DUMMYFUNCTION("if($C539="""","""",iferror(if(row()&lt;&gt;2,INDEX(arrayformula(filter($M$2:$M538,$C$2:$C538&lt;&gt;"""",row($C$2:$C538)=max(if($C$2:$C538=C539,row($C$2:$C538),0)))) ,1),0),0))"),"")</f>
        <v/>
      </c>
      <c r="M539" s="148" t="str">
        <f t="shared" si="1"/>
        <v/>
      </c>
      <c r="N539" s="147" t="str">
        <f t="shared" si="2"/>
        <v/>
      </c>
      <c r="O539" s="147" t="str">
        <f t="shared" si="21"/>
        <v/>
      </c>
      <c r="P539" s="147" t="str">
        <f>IFERROR(__xludf.DUMMYFUNCTION("if(C539="""","""",iferror(if(row()&lt;&gt;2,INDEX(arrayformula(filter($Q$2:$Q538,$C$2:$C538&lt;&gt;"""",row($C$2:$C538)=max(if($C$2:$C538=C539,row($C$2:$C538),0)))) ,1),0),0))"),"")</f>
        <v/>
      </c>
      <c r="Q539" s="147" t="str">
        <f t="shared" si="22"/>
        <v/>
      </c>
      <c r="R539" s="147" t="str">
        <f t="shared" si="23"/>
        <v/>
      </c>
      <c r="S539" s="147" t="str">
        <f t="shared" si="24"/>
        <v/>
      </c>
      <c r="T539" s="147" t="str">
        <f t="shared" si="7"/>
        <v/>
      </c>
      <c r="U539" s="150" t="str">
        <f t="shared" si="8"/>
        <v/>
      </c>
      <c r="V539" s="151" t="str">
        <f>IFERROR(VLOOKUP(C539,Ativos!$A$1:$G2000,5,),)</f>
        <v/>
      </c>
    </row>
    <row r="540" ht="21.0" customHeight="1">
      <c r="A540" s="152"/>
      <c r="B540" s="160"/>
      <c r="C540" s="153"/>
      <c r="D540" s="154"/>
      <c r="E540" s="139"/>
      <c r="F540" s="139"/>
      <c r="G540" s="139"/>
      <c r="H540" s="135"/>
      <c r="I540" s="141"/>
      <c r="J540" s="147" t="str">
        <f>IFERROR(__xludf.DUMMYFUNCTION("IF(ISBLANK(A540),IFERROR(1/0),IF(COUNT(FILTER(F:F,A:A=A540))&gt;1,TRUNC(N540*F540/SUM(FILTER(N:N,A:A=A540)),3),F540))"),"")</f>
        <v/>
      </c>
      <c r="K540" s="147" t="str">
        <f>IFERROR(__xludf.DUMMYFUNCTION("IF(ISBLANK(A540),IFERROR(1/0),IF(COUNT(FILTER(G:G,((A:A=A540)*(B:B=""V""))))&gt;1,TRUNC(N540*G540/SUM(FILTER(N:N,((A:A=A540)*(B:B=""V"")))),3),G540))"),"")</f>
        <v/>
      </c>
      <c r="L540" s="148" t="str">
        <f>IFERROR(__xludf.DUMMYFUNCTION("if($C540="""","""",iferror(if(row()&lt;&gt;2,INDEX(arrayformula(filter($M$2:$M539,$C$2:$C539&lt;&gt;"""",row($C$2:$C539)=max(if($C$2:$C539=C540,row($C$2:$C539),0)))) ,1),0),0))"),"")</f>
        <v/>
      </c>
      <c r="M540" s="148" t="str">
        <f t="shared" si="1"/>
        <v/>
      </c>
      <c r="N540" s="147" t="str">
        <f t="shared" si="2"/>
        <v/>
      </c>
      <c r="O540" s="147" t="str">
        <f t="shared" si="21"/>
        <v/>
      </c>
      <c r="P540" s="147" t="str">
        <f>IFERROR(__xludf.DUMMYFUNCTION("if(C540="""","""",iferror(if(row()&lt;&gt;2,INDEX(arrayformula(filter($Q$2:$Q539,$C$2:$C539&lt;&gt;"""",row($C$2:$C539)=max(if($C$2:$C539=C540,row($C$2:$C539),0)))) ,1),0),0))"),"")</f>
        <v/>
      </c>
      <c r="Q540" s="147" t="str">
        <f t="shared" si="22"/>
        <v/>
      </c>
      <c r="R540" s="147" t="str">
        <f t="shared" si="23"/>
        <v/>
      </c>
      <c r="S540" s="147" t="str">
        <f t="shared" si="24"/>
        <v/>
      </c>
      <c r="T540" s="147" t="str">
        <f t="shared" si="7"/>
        <v/>
      </c>
      <c r="U540" s="150" t="str">
        <f t="shared" si="8"/>
        <v/>
      </c>
      <c r="V540" s="151" t="str">
        <f>IFERROR(VLOOKUP(C540,Ativos!$A$1:$G2000,5,),)</f>
        <v/>
      </c>
    </row>
    <row r="541" ht="21.0" customHeight="1">
      <c r="A541" s="152"/>
      <c r="B541" s="160"/>
      <c r="C541" s="153"/>
      <c r="D541" s="154"/>
      <c r="E541" s="139"/>
      <c r="F541" s="139"/>
      <c r="G541" s="139"/>
      <c r="H541" s="135"/>
      <c r="I541" s="141"/>
      <c r="J541" s="147" t="str">
        <f>IFERROR(__xludf.DUMMYFUNCTION("IF(ISBLANK(A541),IFERROR(1/0),IF(COUNT(FILTER(F:F,A:A=A541))&gt;1,TRUNC(N541*F541/SUM(FILTER(N:N,A:A=A541)),3),F541))"),"")</f>
        <v/>
      </c>
      <c r="K541" s="147" t="str">
        <f>IFERROR(__xludf.DUMMYFUNCTION("IF(ISBLANK(A541),IFERROR(1/0),IF(COUNT(FILTER(G:G,((A:A=A541)*(B:B=""V""))))&gt;1,TRUNC(N541*G541/SUM(FILTER(N:N,((A:A=A541)*(B:B=""V"")))),3),G541))"),"")</f>
        <v/>
      </c>
      <c r="L541" s="148" t="str">
        <f>IFERROR(__xludf.DUMMYFUNCTION("if($C541="""","""",iferror(if(row()&lt;&gt;2,INDEX(arrayformula(filter($M$2:$M540,$C$2:$C540&lt;&gt;"""",row($C$2:$C540)=max(if($C$2:$C540=C541,row($C$2:$C540),0)))) ,1),0),0))"),"")</f>
        <v/>
      </c>
      <c r="M541" s="148" t="str">
        <f t="shared" si="1"/>
        <v/>
      </c>
      <c r="N541" s="147" t="str">
        <f t="shared" si="2"/>
        <v/>
      </c>
      <c r="O541" s="147" t="str">
        <f t="shared" si="21"/>
        <v/>
      </c>
      <c r="P541" s="147" t="str">
        <f>IFERROR(__xludf.DUMMYFUNCTION("if(C541="""","""",iferror(if(row()&lt;&gt;2,INDEX(arrayformula(filter($Q$2:$Q540,$C$2:$C540&lt;&gt;"""",row($C$2:$C540)=max(if($C$2:$C540=C541,row($C$2:$C540),0)))) ,1),0),0))"),"")</f>
        <v/>
      </c>
      <c r="Q541" s="147" t="str">
        <f t="shared" si="22"/>
        <v/>
      </c>
      <c r="R541" s="147" t="str">
        <f t="shared" si="23"/>
        <v/>
      </c>
      <c r="S541" s="147" t="str">
        <f t="shared" si="24"/>
        <v/>
      </c>
      <c r="T541" s="147" t="str">
        <f t="shared" si="7"/>
        <v/>
      </c>
      <c r="U541" s="150" t="str">
        <f t="shared" si="8"/>
        <v/>
      </c>
      <c r="V541" s="151" t="str">
        <f>IFERROR(VLOOKUP(C541,Ativos!$A$1:$G2000,5,),)</f>
        <v/>
      </c>
    </row>
    <row r="542" ht="21.0" customHeight="1">
      <c r="A542" s="152"/>
      <c r="B542" s="160"/>
      <c r="C542" s="153"/>
      <c r="D542" s="154"/>
      <c r="E542" s="139"/>
      <c r="F542" s="139"/>
      <c r="G542" s="139"/>
      <c r="H542" s="135"/>
      <c r="I542" s="141"/>
      <c r="J542" s="147" t="str">
        <f>IFERROR(__xludf.DUMMYFUNCTION("IF(ISBLANK(A542),IFERROR(1/0),IF(COUNT(FILTER(F:F,A:A=A542))&gt;1,TRUNC(N542*F542/SUM(FILTER(N:N,A:A=A542)),3),F542))"),"")</f>
        <v/>
      </c>
      <c r="K542" s="147" t="str">
        <f>IFERROR(__xludf.DUMMYFUNCTION("IF(ISBLANK(A542),IFERROR(1/0),IF(COUNT(FILTER(G:G,((A:A=A542)*(B:B=""V""))))&gt;1,TRUNC(N542*G542/SUM(FILTER(N:N,((A:A=A542)*(B:B=""V"")))),3),G542))"),"")</f>
        <v/>
      </c>
      <c r="L542" s="148" t="str">
        <f>IFERROR(__xludf.DUMMYFUNCTION("if($C542="""","""",iferror(if(row()&lt;&gt;2,INDEX(arrayformula(filter($M$2:$M541,$C$2:$C541&lt;&gt;"""",row($C$2:$C541)=max(if($C$2:$C541=C542,row($C$2:$C541),0)))) ,1),0),0))"),"")</f>
        <v/>
      </c>
      <c r="M542" s="148" t="str">
        <f t="shared" si="1"/>
        <v/>
      </c>
      <c r="N542" s="147" t="str">
        <f t="shared" si="2"/>
        <v/>
      </c>
      <c r="O542" s="147" t="str">
        <f t="shared" si="21"/>
        <v/>
      </c>
      <c r="P542" s="147" t="str">
        <f>IFERROR(__xludf.DUMMYFUNCTION("if(C542="""","""",iferror(if(row()&lt;&gt;2,INDEX(arrayformula(filter($Q$2:$Q541,$C$2:$C541&lt;&gt;"""",row($C$2:$C541)=max(if($C$2:$C541=C542,row($C$2:$C541),0)))) ,1),0),0))"),"")</f>
        <v/>
      </c>
      <c r="Q542" s="147" t="str">
        <f t="shared" si="22"/>
        <v/>
      </c>
      <c r="R542" s="147" t="str">
        <f t="shared" si="23"/>
        <v/>
      </c>
      <c r="S542" s="147" t="str">
        <f t="shared" si="24"/>
        <v/>
      </c>
      <c r="T542" s="147" t="str">
        <f t="shared" si="7"/>
        <v/>
      </c>
      <c r="U542" s="150" t="str">
        <f t="shared" si="8"/>
        <v/>
      </c>
      <c r="V542" s="151" t="str">
        <f>IFERROR(VLOOKUP(C542,Ativos!$A$1:$G2000,5,),)</f>
        <v/>
      </c>
    </row>
    <row r="543" ht="21.0" customHeight="1">
      <c r="A543" s="152"/>
      <c r="B543" s="160"/>
      <c r="C543" s="153"/>
      <c r="D543" s="154"/>
      <c r="E543" s="139"/>
      <c r="F543" s="139"/>
      <c r="G543" s="139"/>
      <c r="H543" s="135"/>
      <c r="I543" s="141"/>
      <c r="J543" s="147" t="str">
        <f>IFERROR(__xludf.DUMMYFUNCTION("IF(ISBLANK(A543),IFERROR(1/0),IF(COUNT(FILTER(F:F,A:A=A543))&gt;1,TRUNC(N543*F543/SUM(FILTER(N:N,A:A=A543)),3),F543))"),"")</f>
        <v/>
      </c>
      <c r="K543" s="147" t="str">
        <f>IFERROR(__xludf.DUMMYFUNCTION("IF(ISBLANK(A543),IFERROR(1/0),IF(COUNT(FILTER(G:G,((A:A=A543)*(B:B=""V""))))&gt;1,TRUNC(N543*G543/SUM(FILTER(N:N,((A:A=A543)*(B:B=""V"")))),3),G543))"),"")</f>
        <v/>
      </c>
      <c r="L543" s="148" t="str">
        <f>IFERROR(__xludf.DUMMYFUNCTION("if($C543="""","""",iferror(if(row()&lt;&gt;2,INDEX(arrayformula(filter($M$2:$M542,$C$2:$C542&lt;&gt;"""",row($C$2:$C542)=max(if($C$2:$C542=C543,row($C$2:$C542),0)))) ,1),0),0))"),"")</f>
        <v/>
      </c>
      <c r="M543" s="148" t="str">
        <f t="shared" si="1"/>
        <v/>
      </c>
      <c r="N543" s="147" t="str">
        <f t="shared" si="2"/>
        <v/>
      </c>
      <c r="O543" s="147" t="str">
        <f t="shared" si="21"/>
        <v/>
      </c>
      <c r="P543" s="147" t="str">
        <f>IFERROR(__xludf.DUMMYFUNCTION("if(C543="""","""",iferror(if(row()&lt;&gt;2,INDEX(arrayformula(filter($Q$2:$Q542,$C$2:$C542&lt;&gt;"""",row($C$2:$C542)=max(if($C$2:$C542=C543,row($C$2:$C542),0)))) ,1),0),0))"),"")</f>
        <v/>
      </c>
      <c r="Q543" s="147" t="str">
        <f t="shared" si="22"/>
        <v/>
      </c>
      <c r="R543" s="147" t="str">
        <f t="shared" si="23"/>
        <v/>
      </c>
      <c r="S543" s="147" t="str">
        <f t="shared" si="24"/>
        <v/>
      </c>
      <c r="T543" s="147" t="str">
        <f t="shared" si="7"/>
        <v/>
      </c>
      <c r="U543" s="150" t="str">
        <f t="shared" si="8"/>
        <v/>
      </c>
      <c r="V543" s="151" t="str">
        <f>IFERROR(VLOOKUP(C543,Ativos!$A$1:$G2000,5,),)</f>
        <v/>
      </c>
    </row>
    <row r="544" ht="21.0" customHeight="1">
      <c r="A544" s="152"/>
      <c r="B544" s="160"/>
      <c r="C544" s="153"/>
      <c r="D544" s="154"/>
      <c r="E544" s="139"/>
      <c r="F544" s="139"/>
      <c r="G544" s="139"/>
      <c r="H544" s="135"/>
      <c r="I544" s="141"/>
      <c r="J544" s="147" t="str">
        <f>IFERROR(__xludf.DUMMYFUNCTION("IF(ISBLANK(A544),IFERROR(1/0),IF(COUNT(FILTER(F:F,A:A=A544))&gt;1,TRUNC(N544*F544/SUM(FILTER(N:N,A:A=A544)),3),F544))"),"")</f>
        <v/>
      </c>
      <c r="K544" s="147" t="str">
        <f>IFERROR(__xludf.DUMMYFUNCTION("IF(ISBLANK(A544),IFERROR(1/0),IF(COUNT(FILTER(G:G,((A:A=A544)*(B:B=""V""))))&gt;1,TRUNC(N544*G544/SUM(FILTER(N:N,((A:A=A544)*(B:B=""V"")))),3),G544))"),"")</f>
        <v/>
      </c>
      <c r="L544" s="148" t="str">
        <f>IFERROR(__xludf.DUMMYFUNCTION("if($C544="""","""",iferror(if(row()&lt;&gt;2,INDEX(arrayformula(filter($M$2:$M543,$C$2:$C543&lt;&gt;"""",row($C$2:$C543)=max(if($C$2:$C543=C544,row($C$2:$C543),0)))) ,1),0),0))"),"")</f>
        <v/>
      </c>
      <c r="M544" s="148" t="str">
        <f t="shared" si="1"/>
        <v/>
      </c>
      <c r="N544" s="147" t="str">
        <f t="shared" si="2"/>
        <v/>
      </c>
      <c r="O544" s="147" t="str">
        <f t="shared" si="21"/>
        <v/>
      </c>
      <c r="P544" s="147" t="str">
        <f>IFERROR(__xludf.DUMMYFUNCTION("if(C544="""","""",iferror(if(row()&lt;&gt;2,INDEX(arrayformula(filter($Q$2:$Q543,$C$2:$C543&lt;&gt;"""",row($C$2:$C543)=max(if($C$2:$C543=C544,row($C$2:$C543),0)))) ,1),0),0))"),"")</f>
        <v/>
      </c>
      <c r="Q544" s="147" t="str">
        <f t="shared" si="22"/>
        <v/>
      </c>
      <c r="R544" s="147" t="str">
        <f t="shared" si="23"/>
        <v/>
      </c>
      <c r="S544" s="147" t="str">
        <f t="shared" si="24"/>
        <v/>
      </c>
      <c r="T544" s="147" t="str">
        <f t="shared" si="7"/>
        <v/>
      </c>
      <c r="U544" s="150" t="str">
        <f t="shared" si="8"/>
        <v/>
      </c>
      <c r="V544" s="151" t="str">
        <f>IFERROR(VLOOKUP(C544,Ativos!$A$1:$G2000,5,),)</f>
        <v/>
      </c>
    </row>
    <row r="545" ht="21.0" customHeight="1">
      <c r="A545" s="152"/>
      <c r="B545" s="160"/>
      <c r="C545" s="153"/>
      <c r="D545" s="154"/>
      <c r="E545" s="139"/>
      <c r="F545" s="139"/>
      <c r="G545" s="139"/>
      <c r="H545" s="135"/>
      <c r="I545" s="141"/>
      <c r="J545" s="147" t="str">
        <f>IFERROR(__xludf.DUMMYFUNCTION("IF(ISBLANK(A545),IFERROR(1/0),IF(COUNT(FILTER(F:F,A:A=A545))&gt;1,TRUNC(N545*F545/SUM(FILTER(N:N,A:A=A545)),3),F545))"),"")</f>
        <v/>
      </c>
      <c r="K545" s="147" t="str">
        <f>IFERROR(__xludf.DUMMYFUNCTION("IF(ISBLANK(A545),IFERROR(1/0),IF(COUNT(FILTER(G:G,((A:A=A545)*(B:B=""V""))))&gt;1,TRUNC(N545*G545/SUM(FILTER(N:N,((A:A=A545)*(B:B=""V"")))),3),G545))"),"")</f>
        <v/>
      </c>
      <c r="L545" s="148" t="str">
        <f>IFERROR(__xludf.DUMMYFUNCTION("if($C545="""","""",iferror(if(row()&lt;&gt;2,INDEX(arrayformula(filter($M$2:$M544,$C$2:$C544&lt;&gt;"""",row($C$2:$C544)=max(if($C$2:$C544=C545,row($C$2:$C544),0)))) ,1),0),0))"),"")</f>
        <v/>
      </c>
      <c r="M545" s="148" t="str">
        <f t="shared" si="1"/>
        <v/>
      </c>
      <c r="N545" s="147" t="str">
        <f t="shared" si="2"/>
        <v/>
      </c>
      <c r="O545" s="147" t="str">
        <f t="shared" si="21"/>
        <v/>
      </c>
      <c r="P545" s="147" t="str">
        <f>IFERROR(__xludf.DUMMYFUNCTION("if(C545="""","""",iferror(if(row()&lt;&gt;2,INDEX(arrayformula(filter($Q$2:$Q544,$C$2:$C544&lt;&gt;"""",row($C$2:$C544)=max(if($C$2:$C544=C545,row($C$2:$C544),0)))) ,1),0),0))"),"")</f>
        <v/>
      </c>
      <c r="Q545" s="147" t="str">
        <f t="shared" si="22"/>
        <v/>
      </c>
      <c r="R545" s="147" t="str">
        <f t="shared" si="23"/>
        <v/>
      </c>
      <c r="S545" s="147" t="str">
        <f t="shared" si="24"/>
        <v/>
      </c>
      <c r="T545" s="147" t="str">
        <f t="shared" si="7"/>
        <v/>
      </c>
      <c r="U545" s="150" t="str">
        <f t="shared" si="8"/>
        <v/>
      </c>
      <c r="V545" s="151" t="str">
        <f>IFERROR(VLOOKUP(C545,Ativos!$A$1:$G2000,5,),)</f>
        <v/>
      </c>
    </row>
    <row r="546" ht="21.0" customHeight="1">
      <c r="A546" s="152"/>
      <c r="B546" s="160"/>
      <c r="C546" s="153"/>
      <c r="D546" s="154"/>
      <c r="E546" s="139"/>
      <c r="F546" s="139"/>
      <c r="G546" s="139"/>
      <c r="H546" s="135"/>
      <c r="I546" s="141"/>
      <c r="J546" s="147" t="str">
        <f>IFERROR(__xludf.DUMMYFUNCTION("IF(ISBLANK(A546),IFERROR(1/0),IF(COUNT(FILTER(F:F,A:A=A546))&gt;1,TRUNC(N546*F546/SUM(FILTER(N:N,A:A=A546)),3),F546))"),"")</f>
        <v/>
      </c>
      <c r="K546" s="147" t="str">
        <f>IFERROR(__xludf.DUMMYFUNCTION("IF(ISBLANK(A546),IFERROR(1/0),IF(COUNT(FILTER(G:G,((A:A=A546)*(B:B=""V""))))&gt;1,TRUNC(N546*G546/SUM(FILTER(N:N,((A:A=A546)*(B:B=""V"")))),3),G546))"),"")</f>
        <v/>
      </c>
      <c r="L546" s="148" t="str">
        <f>IFERROR(__xludf.DUMMYFUNCTION("if($C546="""","""",iferror(if(row()&lt;&gt;2,INDEX(arrayformula(filter($M$2:$M545,$C$2:$C545&lt;&gt;"""",row($C$2:$C545)=max(if($C$2:$C545=C546,row($C$2:$C545),0)))) ,1),0),0))"),"")</f>
        <v/>
      </c>
      <c r="M546" s="148" t="str">
        <f t="shared" si="1"/>
        <v/>
      </c>
      <c r="N546" s="147" t="str">
        <f t="shared" si="2"/>
        <v/>
      </c>
      <c r="O546" s="147" t="str">
        <f t="shared" si="21"/>
        <v/>
      </c>
      <c r="P546" s="147" t="str">
        <f>IFERROR(__xludf.DUMMYFUNCTION("if(C546="""","""",iferror(if(row()&lt;&gt;2,INDEX(arrayformula(filter($Q$2:$Q545,$C$2:$C545&lt;&gt;"""",row($C$2:$C545)=max(if($C$2:$C545=C546,row($C$2:$C545),0)))) ,1),0),0))"),"")</f>
        <v/>
      </c>
      <c r="Q546" s="147" t="str">
        <f t="shared" si="22"/>
        <v/>
      </c>
      <c r="R546" s="147" t="str">
        <f t="shared" si="23"/>
        <v/>
      </c>
      <c r="S546" s="147" t="str">
        <f t="shared" si="24"/>
        <v/>
      </c>
      <c r="T546" s="147" t="str">
        <f t="shared" si="7"/>
        <v/>
      </c>
      <c r="U546" s="150" t="str">
        <f t="shared" si="8"/>
        <v/>
      </c>
      <c r="V546" s="151" t="str">
        <f>IFERROR(VLOOKUP(C546,Ativos!$A$1:$G2000,5,),)</f>
        <v/>
      </c>
    </row>
    <row r="547" ht="21.0" customHeight="1">
      <c r="A547" s="152"/>
      <c r="B547" s="160"/>
      <c r="C547" s="153"/>
      <c r="D547" s="154"/>
      <c r="E547" s="139"/>
      <c r="F547" s="139"/>
      <c r="G547" s="139"/>
      <c r="H547" s="135"/>
      <c r="I547" s="141"/>
      <c r="J547" s="147" t="str">
        <f>IFERROR(__xludf.DUMMYFUNCTION("IF(ISBLANK(A547),IFERROR(1/0),IF(COUNT(FILTER(F:F,A:A=A547))&gt;1,TRUNC(N547*F547/SUM(FILTER(N:N,A:A=A547)),3),F547))"),"")</f>
        <v/>
      </c>
      <c r="K547" s="147" t="str">
        <f>IFERROR(__xludf.DUMMYFUNCTION("IF(ISBLANK(A547),IFERROR(1/0),IF(COUNT(FILTER(G:G,((A:A=A547)*(B:B=""V""))))&gt;1,TRUNC(N547*G547/SUM(FILTER(N:N,((A:A=A547)*(B:B=""V"")))),3),G547))"),"")</f>
        <v/>
      </c>
      <c r="L547" s="148" t="str">
        <f>IFERROR(__xludf.DUMMYFUNCTION("if($C547="""","""",iferror(if(row()&lt;&gt;2,INDEX(arrayformula(filter($M$2:$M546,$C$2:$C546&lt;&gt;"""",row($C$2:$C546)=max(if($C$2:$C546=C547,row($C$2:$C546),0)))) ,1),0),0))"),"")</f>
        <v/>
      </c>
      <c r="M547" s="148" t="str">
        <f t="shared" si="1"/>
        <v/>
      </c>
      <c r="N547" s="147" t="str">
        <f t="shared" si="2"/>
        <v/>
      </c>
      <c r="O547" s="147" t="str">
        <f t="shared" si="21"/>
        <v/>
      </c>
      <c r="P547" s="147" t="str">
        <f>IFERROR(__xludf.DUMMYFUNCTION("if(C547="""","""",iferror(if(row()&lt;&gt;2,INDEX(arrayformula(filter($Q$2:$Q546,$C$2:$C546&lt;&gt;"""",row($C$2:$C546)=max(if($C$2:$C546=C547,row($C$2:$C546),0)))) ,1),0),0))"),"")</f>
        <v/>
      </c>
      <c r="Q547" s="147" t="str">
        <f t="shared" si="22"/>
        <v/>
      </c>
      <c r="R547" s="147" t="str">
        <f t="shared" si="23"/>
        <v/>
      </c>
      <c r="S547" s="147" t="str">
        <f t="shared" si="24"/>
        <v/>
      </c>
      <c r="T547" s="147" t="str">
        <f t="shared" si="7"/>
        <v/>
      </c>
      <c r="U547" s="150" t="str">
        <f t="shared" si="8"/>
        <v/>
      </c>
      <c r="V547" s="151" t="str">
        <f>IFERROR(VLOOKUP(C547,Ativos!$A$1:$G2000,5,),)</f>
        <v/>
      </c>
    </row>
    <row r="548" ht="21.0" customHeight="1">
      <c r="A548" s="152"/>
      <c r="B548" s="160"/>
      <c r="C548" s="153"/>
      <c r="D548" s="154"/>
      <c r="E548" s="139"/>
      <c r="F548" s="139"/>
      <c r="G548" s="139"/>
      <c r="H548" s="135"/>
      <c r="I548" s="141"/>
      <c r="J548" s="147" t="str">
        <f>IFERROR(__xludf.DUMMYFUNCTION("IF(ISBLANK(A548),IFERROR(1/0),IF(COUNT(FILTER(F:F,A:A=A548))&gt;1,TRUNC(N548*F548/SUM(FILTER(N:N,A:A=A548)),3),F548))"),"")</f>
        <v/>
      </c>
      <c r="K548" s="147" t="str">
        <f>IFERROR(__xludf.DUMMYFUNCTION("IF(ISBLANK(A548),IFERROR(1/0),IF(COUNT(FILTER(G:G,((A:A=A548)*(B:B=""V""))))&gt;1,TRUNC(N548*G548/SUM(FILTER(N:N,((A:A=A548)*(B:B=""V"")))),3),G548))"),"")</f>
        <v/>
      </c>
      <c r="L548" s="148" t="str">
        <f>IFERROR(__xludf.DUMMYFUNCTION("if($C548="""","""",iferror(if(row()&lt;&gt;2,INDEX(arrayformula(filter($M$2:$M547,$C$2:$C547&lt;&gt;"""",row($C$2:$C547)=max(if($C$2:$C547=C548,row($C$2:$C547),0)))) ,1),0),0))"),"")</f>
        <v/>
      </c>
      <c r="M548" s="148" t="str">
        <f t="shared" si="1"/>
        <v/>
      </c>
      <c r="N548" s="147" t="str">
        <f t="shared" si="2"/>
        <v/>
      </c>
      <c r="O548" s="147" t="str">
        <f t="shared" si="21"/>
        <v/>
      </c>
      <c r="P548" s="147" t="str">
        <f>IFERROR(__xludf.DUMMYFUNCTION("if(C548="""","""",iferror(if(row()&lt;&gt;2,INDEX(arrayformula(filter($Q$2:$Q547,$C$2:$C547&lt;&gt;"""",row($C$2:$C547)=max(if($C$2:$C547=C548,row($C$2:$C547),0)))) ,1),0),0))"),"")</f>
        <v/>
      </c>
      <c r="Q548" s="147" t="str">
        <f t="shared" si="22"/>
        <v/>
      </c>
      <c r="R548" s="147" t="str">
        <f t="shared" si="23"/>
        <v/>
      </c>
      <c r="S548" s="147" t="str">
        <f t="shared" si="24"/>
        <v/>
      </c>
      <c r="T548" s="147" t="str">
        <f t="shared" si="7"/>
        <v/>
      </c>
      <c r="U548" s="150" t="str">
        <f t="shared" si="8"/>
        <v/>
      </c>
      <c r="V548" s="151" t="str">
        <f>IFERROR(VLOOKUP(C548,Ativos!$A$1:$G2000,5,),)</f>
        <v/>
      </c>
    </row>
    <row r="549" ht="21.0" customHeight="1">
      <c r="A549" s="152"/>
      <c r="B549" s="160"/>
      <c r="C549" s="153"/>
      <c r="D549" s="154"/>
      <c r="E549" s="139"/>
      <c r="F549" s="139"/>
      <c r="G549" s="139"/>
      <c r="H549" s="135"/>
      <c r="I549" s="141"/>
      <c r="J549" s="147" t="str">
        <f>IFERROR(__xludf.DUMMYFUNCTION("IF(ISBLANK(A549),IFERROR(1/0),IF(COUNT(FILTER(F:F,A:A=A549))&gt;1,TRUNC(N549*F549/SUM(FILTER(N:N,A:A=A549)),3),F549))"),"")</f>
        <v/>
      </c>
      <c r="K549" s="147" t="str">
        <f>IFERROR(__xludf.DUMMYFUNCTION("IF(ISBLANK(A549),IFERROR(1/0),IF(COUNT(FILTER(G:G,((A:A=A549)*(B:B=""V""))))&gt;1,TRUNC(N549*G549/SUM(FILTER(N:N,((A:A=A549)*(B:B=""V"")))),3),G549))"),"")</f>
        <v/>
      </c>
      <c r="L549" s="148" t="str">
        <f>IFERROR(__xludf.DUMMYFUNCTION("if($C549="""","""",iferror(if(row()&lt;&gt;2,INDEX(arrayformula(filter($M$2:$M548,$C$2:$C548&lt;&gt;"""",row($C$2:$C548)=max(if($C$2:$C548=C549,row($C$2:$C548),0)))) ,1),0),0))"),"")</f>
        <v/>
      </c>
      <c r="M549" s="148" t="str">
        <f t="shared" si="1"/>
        <v/>
      </c>
      <c r="N549" s="147" t="str">
        <f t="shared" si="2"/>
        <v/>
      </c>
      <c r="O549" s="147" t="str">
        <f t="shared" si="21"/>
        <v/>
      </c>
      <c r="P549" s="147" t="str">
        <f>IFERROR(__xludf.DUMMYFUNCTION("if(C549="""","""",iferror(if(row()&lt;&gt;2,INDEX(arrayformula(filter($Q$2:$Q548,$C$2:$C548&lt;&gt;"""",row($C$2:$C548)=max(if($C$2:$C548=C549,row($C$2:$C548),0)))) ,1),0),0))"),"")</f>
        <v/>
      </c>
      <c r="Q549" s="147" t="str">
        <f t="shared" si="22"/>
        <v/>
      </c>
      <c r="R549" s="147" t="str">
        <f t="shared" si="23"/>
        <v/>
      </c>
      <c r="S549" s="147" t="str">
        <f t="shared" si="24"/>
        <v/>
      </c>
      <c r="T549" s="147" t="str">
        <f t="shared" si="7"/>
        <v/>
      </c>
      <c r="U549" s="150" t="str">
        <f t="shared" si="8"/>
        <v/>
      </c>
      <c r="V549" s="151" t="str">
        <f>IFERROR(VLOOKUP(C549,Ativos!$A$1:$G2000,5,),)</f>
        <v/>
      </c>
    </row>
    <row r="550" ht="21.0" customHeight="1">
      <c r="A550" s="152"/>
      <c r="B550" s="160"/>
      <c r="C550" s="153"/>
      <c r="D550" s="154"/>
      <c r="E550" s="139"/>
      <c r="F550" s="139"/>
      <c r="G550" s="139"/>
      <c r="H550" s="135"/>
      <c r="I550" s="141"/>
      <c r="J550" s="147" t="str">
        <f>IFERROR(__xludf.DUMMYFUNCTION("IF(ISBLANK(A550),IFERROR(1/0),IF(COUNT(FILTER(F:F,A:A=A550))&gt;1,TRUNC(N550*F550/SUM(FILTER(N:N,A:A=A550)),3),F550))"),"")</f>
        <v/>
      </c>
      <c r="K550" s="147" t="str">
        <f>IFERROR(__xludf.DUMMYFUNCTION("IF(ISBLANK(A550),IFERROR(1/0),IF(COUNT(FILTER(G:G,((A:A=A550)*(B:B=""V""))))&gt;1,TRUNC(N550*G550/SUM(FILTER(N:N,((A:A=A550)*(B:B=""V"")))),3),G550))"),"")</f>
        <v/>
      </c>
      <c r="L550" s="148" t="str">
        <f>IFERROR(__xludf.DUMMYFUNCTION("if($C550="""","""",iferror(if(row()&lt;&gt;2,INDEX(arrayformula(filter($M$2:$M549,$C$2:$C549&lt;&gt;"""",row($C$2:$C549)=max(if($C$2:$C549=C550,row($C$2:$C549),0)))) ,1),0),0))"),"")</f>
        <v/>
      </c>
      <c r="M550" s="148" t="str">
        <f t="shared" si="1"/>
        <v/>
      </c>
      <c r="N550" s="147" t="str">
        <f t="shared" si="2"/>
        <v/>
      </c>
      <c r="O550" s="147" t="str">
        <f t="shared" si="21"/>
        <v/>
      </c>
      <c r="P550" s="147" t="str">
        <f>IFERROR(__xludf.DUMMYFUNCTION("if(C550="""","""",iferror(if(row()&lt;&gt;2,INDEX(arrayformula(filter($Q$2:$Q549,$C$2:$C549&lt;&gt;"""",row($C$2:$C549)=max(if($C$2:$C549=C550,row($C$2:$C549),0)))) ,1),0),0))"),"")</f>
        <v/>
      </c>
      <c r="Q550" s="147" t="str">
        <f t="shared" si="22"/>
        <v/>
      </c>
      <c r="R550" s="147" t="str">
        <f t="shared" si="23"/>
        <v/>
      </c>
      <c r="S550" s="147" t="str">
        <f t="shared" si="24"/>
        <v/>
      </c>
      <c r="T550" s="147" t="str">
        <f t="shared" si="7"/>
        <v/>
      </c>
      <c r="U550" s="150" t="str">
        <f t="shared" si="8"/>
        <v/>
      </c>
      <c r="V550" s="151" t="str">
        <f>IFERROR(VLOOKUP(C550,Ativos!$A$1:$G2000,5,),)</f>
        <v/>
      </c>
    </row>
    <row r="551" ht="21.0" customHeight="1">
      <c r="A551" s="152"/>
      <c r="B551" s="160"/>
      <c r="C551" s="153"/>
      <c r="D551" s="154"/>
      <c r="E551" s="139"/>
      <c r="F551" s="139"/>
      <c r="G551" s="139"/>
      <c r="H551" s="135"/>
      <c r="I551" s="141"/>
      <c r="J551" s="147" t="str">
        <f>IFERROR(__xludf.DUMMYFUNCTION("IF(ISBLANK(A551),IFERROR(1/0),IF(COUNT(FILTER(F:F,A:A=A551))&gt;1,TRUNC(N551*F551/SUM(FILTER(N:N,A:A=A551)),3),F551))"),"")</f>
        <v/>
      </c>
      <c r="K551" s="147" t="str">
        <f>IFERROR(__xludf.DUMMYFUNCTION("IF(ISBLANK(A551),IFERROR(1/0),IF(COUNT(FILTER(G:G,((A:A=A551)*(B:B=""V""))))&gt;1,TRUNC(N551*G551/SUM(FILTER(N:N,((A:A=A551)*(B:B=""V"")))),3),G551))"),"")</f>
        <v/>
      </c>
      <c r="L551" s="148" t="str">
        <f>IFERROR(__xludf.DUMMYFUNCTION("if($C551="""","""",iferror(if(row()&lt;&gt;2,INDEX(arrayformula(filter($M$2:$M550,$C$2:$C550&lt;&gt;"""",row($C$2:$C550)=max(if($C$2:$C550=C551,row($C$2:$C550),0)))) ,1),0),0))"),"")</f>
        <v/>
      </c>
      <c r="M551" s="148" t="str">
        <f t="shared" si="1"/>
        <v/>
      </c>
      <c r="N551" s="147" t="str">
        <f t="shared" si="2"/>
        <v/>
      </c>
      <c r="O551" s="147" t="str">
        <f t="shared" si="21"/>
        <v/>
      </c>
      <c r="P551" s="147" t="str">
        <f>IFERROR(__xludf.DUMMYFUNCTION("if(C551="""","""",iferror(if(row()&lt;&gt;2,INDEX(arrayformula(filter($Q$2:$Q550,$C$2:$C550&lt;&gt;"""",row($C$2:$C550)=max(if($C$2:$C550=C551,row($C$2:$C550),0)))) ,1),0),0))"),"")</f>
        <v/>
      </c>
      <c r="Q551" s="147" t="str">
        <f t="shared" si="22"/>
        <v/>
      </c>
      <c r="R551" s="147" t="str">
        <f t="shared" si="23"/>
        <v/>
      </c>
      <c r="S551" s="147" t="str">
        <f t="shared" si="24"/>
        <v/>
      </c>
      <c r="T551" s="147" t="str">
        <f t="shared" si="7"/>
        <v/>
      </c>
      <c r="U551" s="150" t="str">
        <f t="shared" si="8"/>
        <v/>
      </c>
      <c r="V551" s="151" t="str">
        <f>IFERROR(VLOOKUP(C551,Ativos!$A$1:$G2000,5,),)</f>
        <v/>
      </c>
    </row>
    <row r="552" ht="21.0" customHeight="1">
      <c r="A552" s="152"/>
      <c r="B552" s="160"/>
      <c r="C552" s="153"/>
      <c r="D552" s="154"/>
      <c r="E552" s="139"/>
      <c r="F552" s="139"/>
      <c r="G552" s="139"/>
      <c r="H552" s="135"/>
      <c r="I552" s="141"/>
      <c r="J552" s="147" t="str">
        <f>IFERROR(__xludf.DUMMYFUNCTION("IF(ISBLANK(A552),IFERROR(1/0),IF(COUNT(FILTER(F:F,A:A=A552))&gt;1,TRUNC(N552*F552/SUM(FILTER(N:N,A:A=A552)),3),F552))"),"")</f>
        <v/>
      </c>
      <c r="K552" s="147" t="str">
        <f>IFERROR(__xludf.DUMMYFUNCTION("IF(ISBLANK(A552),IFERROR(1/0),IF(COUNT(FILTER(G:G,((A:A=A552)*(B:B=""V""))))&gt;1,TRUNC(N552*G552/SUM(FILTER(N:N,((A:A=A552)*(B:B=""V"")))),3),G552))"),"")</f>
        <v/>
      </c>
      <c r="L552" s="148" t="str">
        <f>IFERROR(__xludf.DUMMYFUNCTION("if($C552="""","""",iferror(if(row()&lt;&gt;2,INDEX(arrayformula(filter($M$2:$M551,$C$2:$C551&lt;&gt;"""",row($C$2:$C551)=max(if($C$2:$C551=C552,row($C$2:$C551),0)))) ,1),0),0))"),"")</f>
        <v/>
      </c>
      <c r="M552" s="148" t="str">
        <f t="shared" si="1"/>
        <v/>
      </c>
      <c r="N552" s="147" t="str">
        <f t="shared" si="2"/>
        <v/>
      </c>
      <c r="O552" s="147" t="str">
        <f t="shared" si="21"/>
        <v/>
      </c>
      <c r="P552" s="147" t="str">
        <f>IFERROR(__xludf.DUMMYFUNCTION("if(C552="""","""",iferror(if(row()&lt;&gt;2,INDEX(arrayformula(filter($Q$2:$Q551,$C$2:$C551&lt;&gt;"""",row($C$2:$C551)=max(if($C$2:$C551=C552,row($C$2:$C551),0)))) ,1),0),0))"),"")</f>
        <v/>
      </c>
      <c r="Q552" s="147" t="str">
        <f t="shared" si="22"/>
        <v/>
      </c>
      <c r="R552" s="147" t="str">
        <f t="shared" si="23"/>
        <v/>
      </c>
      <c r="S552" s="147" t="str">
        <f t="shared" si="24"/>
        <v/>
      </c>
      <c r="T552" s="147" t="str">
        <f t="shared" si="7"/>
        <v/>
      </c>
      <c r="U552" s="150" t="str">
        <f t="shared" si="8"/>
        <v/>
      </c>
      <c r="V552" s="151" t="str">
        <f>IFERROR(VLOOKUP(C552,Ativos!$A$1:$G2000,5,),)</f>
        <v/>
      </c>
    </row>
    <row r="553" ht="21.0" customHeight="1">
      <c r="A553" s="152"/>
      <c r="B553" s="160"/>
      <c r="C553" s="153"/>
      <c r="D553" s="154"/>
      <c r="E553" s="139"/>
      <c r="F553" s="139"/>
      <c r="G553" s="139"/>
      <c r="H553" s="135"/>
      <c r="I553" s="141"/>
      <c r="J553" s="147" t="str">
        <f>IFERROR(__xludf.DUMMYFUNCTION("IF(ISBLANK(A553),IFERROR(1/0),IF(COUNT(FILTER(F:F,A:A=A553))&gt;1,TRUNC(N553*F553/SUM(FILTER(N:N,A:A=A553)),3),F553))"),"")</f>
        <v/>
      </c>
      <c r="K553" s="147" t="str">
        <f>IFERROR(__xludf.DUMMYFUNCTION("IF(ISBLANK(A553),IFERROR(1/0),IF(COUNT(FILTER(G:G,((A:A=A553)*(B:B=""V""))))&gt;1,TRUNC(N553*G553/SUM(FILTER(N:N,((A:A=A553)*(B:B=""V"")))),3),G553))"),"")</f>
        <v/>
      </c>
      <c r="L553" s="148" t="str">
        <f>IFERROR(__xludf.DUMMYFUNCTION("if($C553="""","""",iferror(if(row()&lt;&gt;2,INDEX(arrayformula(filter($M$2:$M552,$C$2:$C552&lt;&gt;"""",row($C$2:$C552)=max(if($C$2:$C552=C553,row($C$2:$C552),0)))) ,1),0),0))"),"")</f>
        <v/>
      </c>
      <c r="M553" s="148" t="str">
        <f t="shared" si="1"/>
        <v/>
      </c>
      <c r="N553" s="147" t="str">
        <f t="shared" si="2"/>
        <v/>
      </c>
      <c r="O553" s="147" t="str">
        <f t="shared" si="21"/>
        <v/>
      </c>
      <c r="P553" s="147" t="str">
        <f>IFERROR(__xludf.DUMMYFUNCTION("if(C553="""","""",iferror(if(row()&lt;&gt;2,INDEX(arrayformula(filter($Q$2:$Q552,$C$2:$C552&lt;&gt;"""",row($C$2:$C552)=max(if($C$2:$C552=C553,row($C$2:$C552),0)))) ,1),0),0))"),"")</f>
        <v/>
      </c>
      <c r="Q553" s="147" t="str">
        <f t="shared" si="22"/>
        <v/>
      </c>
      <c r="R553" s="147" t="str">
        <f t="shared" si="23"/>
        <v/>
      </c>
      <c r="S553" s="147" t="str">
        <f t="shared" si="24"/>
        <v/>
      </c>
      <c r="T553" s="147" t="str">
        <f t="shared" si="7"/>
        <v/>
      </c>
      <c r="U553" s="150" t="str">
        <f t="shared" si="8"/>
        <v/>
      </c>
      <c r="V553" s="151" t="str">
        <f>IFERROR(VLOOKUP(C553,Ativos!$A$1:$G2000,5,),)</f>
        <v/>
      </c>
    </row>
    <row r="554" ht="21.0" customHeight="1">
      <c r="A554" s="152"/>
      <c r="B554" s="160"/>
      <c r="C554" s="153"/>
      <c r="D554" s="154"/>
      <c r="E554" s="139"/>
      <c r="F554" s="139"/>
      <c r="G554" s="139"/>
      <c r="H554" s="135"/>
      <c r="I554" s="141"/>
      <c r="J554" s="147" t="str">
        <f>IFERROR(__xludf.DUMMYFUNCTION("IF(ISBLANK(A554),IFERROR(1/0),IF(COUNT(FILTER(F:F,A:A=A554))&gt;1,TRUNC(N554*F554/SUM(FILTER(N:N,A:A=A554)),3),F554))"),"")</f>
        <v/>
      </c>
      <c r="K554" s="147" t="str">
        <f>IFERROR(__xludf.DUMMYFUNCTION("IF(ISBLANK(A554),IFERROR(1/0),IF(COUNT(FILTER(G:G,((A:A=A554)*(B:B=""V""))))&gt;1,TRUNC(N554*G554/SUM(FILTER(N:N,((A:A=A554)*(B:B=""V"")))),3),G554))"),"")</f>
        <v/>
      </c>
      <c r="L554" s="148" t="str">
        <f>IFERROR(__xludf.DUMMYFUNCTION("if($C554="""","""",iferror(if(row()&lt;&gt;2,INDEX(arrayformula(filter($M$2:$M553,$C$2:$C553&lt;&gt;"""",row($C$2:$C553)=max(if($C$2:$C553=C554,row($C$2:$C553),0)))) ,1),0),0))"),"")</f>
        <v/>
      </c>
      <c r="M554" s="148" t="str">
        <f t="shared" si="1"/>
        <v/>
      </c>
      <c r="N554" s="147" t="str">
        <f t="shared" si="2"/>
        <v/>
      </c>
      <c r="O554" s="147" t="str">
        <f t="shared" si="21"/>
        <v/>
      </c>
      <c r="P554" s="147" t="str">
        <f>IFERROR(__xludf.DUMMYFUNCTION("if(C554="""","""",iferror(if(row()&lt;&gt;2,INDEX(arrayformula(filter($Q$2:$Q553,$C$2:$C553&lt;&gt;"""",row($C$2:$C553)=max(if($C$2:$C553=C554,row($C$2:$C553),0)))) ,1),0),0))"),"")</f>
        <v/>
      </c>
      <c r="Q554" s="147" t="str">
        <f t="shared" si="22"/>
        <v/>
      </c>
      <c r="R554" s="147" t="str">
        <f t="shared" si="23"/>
        <v/>
      </c>
      <c r="S554" s="147" t="str">
        <f t="shared" si="24"/>
        <v/>
      </c>
      <c r="T554" s="147" t="str">
        <f t="shared" si="7"/>
        <v/>
      </c>
      <c r="U554" s="150" t="str">
        <f t="shared" si="8"/>
        <v/>
      </c>
      <c r="V554" s="151" t="str">
        <f>IFERROR(VLOOKUP(C554,Ativos!$A$1:$G2000,5,),)</f>
        <v/>
      </c>
    </row>
    <row r="555" ht="21.0" customHeight="1">
      <c r="A555" s="152"/>
      <c r="B555" s="160"/>
      <c r="C555" s="153"/>
      <c r="D555" s="154"/>
      <c r="E555" s="139"/>
      <c r="F555" s="139"/>
      <c r="G555" s="139"/>
      <c r="H555" s="135"/>
      <c r="I555" s="141"/>
      <c r="J555" s="147" t="str">
        <f>IFERROR(__xludf.DUMMYFUNCTION("IF(ISBLANK(A555),IFERROR(1/0),IF(COUNT(FILTER(F:F,A:A=A555))&gt;1,TRUNC(N555*F555/SUM(FILTER(N:N,A:A=A555)),3),F555))"),"")</f>
        <v/>
      </c>
      <c r="K555" s="147" t="str">
        <f>IFERROR(__xludf.DUMMYFUNCTION("IF(ISBLANK(A555),IFERROR(1/0),IF(COUNT(FILTER(G:G,((A:A=A555)*(B:B=""V""))))&gt;1,TRUNC(N555*G555/SUM(FILTER(N:N,((A:A=A555)*(B:B=""V"")))),3),G555))"),"")</f>
        <v/>
      </c>
      <c r="L555" s="148" t="str">
        <f>IFERROR(__xludf.DUMMYFUNCTION("if($C555="""","""",iferror(if(row()&lt;&gt;2,INDEX(arrayformula(filter($M$2:$M554,$C$2:$C554&lt;&gt;"""",row($C$2:$C554)=max(if($C$2:$C554=C555,row($C$2:$C554),0)))) ,1),0),0))"),"")</f>
        <v/>
      </c>
      <c r="M555" s="148" t="str">
        <f t="shared" si="1"/>
        <v/>
      </c>
      <c r="N555" s="147" t="str">
        <f t="shared" si="2"/>
        <v/>
      </c>
      <c r="O555" s="147" t="str">
        <f t="shared" si="21"/>
        <v/>
      </c>
      <c r="P555" s="147" t="str">
        <f>IFERROR(__xludf.DUMMYFUNCTION("if(C555="""","""",iferror(if(row()&lt;&gt;2,INDEX(arrayformula(filter($Q$2:$Q554,$C$2:$C554&lt;&gt;"""",row($C$2:$C554)=max(if($C$2:$C554=C555,row($C$2:$C554),0)))) ,1),0),0))"),"")</f>
        <v/>
      </c>
      <c r="Q555" s="147" t="str">
        <f t="shared" si="22"/>
        <v/>
      </c>
      <c r="R555" s="147" t="str">
        <f t="shared" si="23"/>
        <v/>
      </c>
      <c r="S555" s="147" t="str">
        <f t="shared" si="24"/>
        <v/>
      </c>
      <c r="T555" s="147" t="str">
        <f t="shared" si="7"/>
        <v/>
      </c>
      <c r="U555" s="150" t="str">
        <f t="shared" si="8"/>
        <v/>
      </c>
      <c r="V555" s="151" t="str">
        <f>IFERROR(VLOOKUP(C555,Ativos!$A$1:$G2000,5,),)</f>
        <v/>
      </c>
    </row>
    <row r="556" ht="21.0" customHeight="1">
      <c r="A556" s="152"/>
      <c r="B556" s="160"/>
      <c r="C556" s="153"/>
      <c r="D556" s="154"/>
      <c r="E556" s="139"/>
      <c r="F556" s="139"/>
      <c r="G556" s="139"/>
      <c r="H556" s="135"/>
      <c r="I556" s="141"/>
      <c r="J556" s="147" t="str">
        <f>IFERROR(__xludf.DUMMYFUNCTION("IF(ISBLANK(A556),IFERROR(1/0),IF(COUNT(FILTER(F:F,A:A=A556))&gt;1,TRUNC(N556*F556/SUM(FILTER(N:N,A:A=A556)),3),F556))"),"")</f>
        <v/>
      </c>
      <c r="K556" s="147" t="str">
        <f>IFERROR(__xludf.DUMMYFUNCTION("IF(ISBLANK(A556),IFERROR(1/0),IF(COUNT(FILTER(G:G,((A:A=A556)*(B:B=""V""))))&gt;1,TRUNC(N556*G556/SUM(FILTER(N:N,((A:A=A556)*(B:B=""V"")))),3),G556))"),"")</f>
        <v/>
      </c>
      <c r="L556" s="148" t="str">
        <f>IFERROR(__xludf.DUMMYFUNCTION("if($C556="""","""",iferror(if(row()&lt;&gt;2,INDEX(arrayformula(filter($M$2:$M555,$C$2:$C555&lt;&gt;"""",row($C$2:$C555)=max(if($C$2:$C555=C556,row($C$2:$C555),0)))) ,1),0),0))"),"")</f>
        <v/>
      </c>
      <c r="M556" s="148" t="str">
        <f t="shared" si="1"/>
        <v/>
      </c>
      <c r="N556" s="147" t="str">
        <f t="shared" si="2"/>
        <v/>
      </c>
      <c r="O556" s="147" t="str">
        <f t="shared" si="21"/>
        <v/>
      </c>
      <c r="P556" s="147" t="str">
        <f>IFERROR(__xludf.DUMMYFUNCTION("if(C556="""","""",iferror(if(row()&lt;&gt;2,INDEX(arrayformula(filter($Q$2:$Q555,$C$2:$C555&lt;&gt;"""",row($C$2:$C555)=max(if($C$2:$C555=C556,row($C$2:$C555),0)))) ,1),0),0))"),"")</f>
        <v/>
      </c>
      <c r="Q556" s="147" t="str">
        <f t="shared" si="22"/>
        <v/>
      </c>
      <c r="R556" s="147" t="str">
        <f t="shared" si="23"/>
        <v/>
      </c>
      <c r="S556" s="147" t="str">
        <f t="shared" si="24"/>
        <v/>
      </c>
      <c r="T556" s="147" t="str">
        <f t="shared" si="7"/>
        <v/>
      </c>
      <c r="U556" s="150" t="str">
        <f t="shared" si="8"/>
        <v/>
      </c>
      <c r="V556" s="151" t="str">
        <f>IFERROR(VLOOKUP(C556,Ativos!$A$1:$G2000,5,),)</f>
        <v/>
      </c>
    </row>
    <row r="557" ht="21.0" customHeight="1">
      <c r="A557" s="152"/>
      <c r="B557" s="160"/>
      <c r="C557" s="153"/>
      <c r="D557" s="154"/>
      <c r="E557" s="139"/>
      <c r="F557" s="139"/>
      <c r="G557" s="139"/>
      <c r="H557" s="135"/>
      <c r="I557" s="141"/>
      <c r="J557" s="147" t="str">
        <f>IFERROR(__xludf.DUMMYFUNCTION("IF(ISBLANK(A557),IFERROR(1/0),IF(COUNT(FILTER(F:F,A:A=A557))&gt;1,TRUNC(N557*F557/SUM(FILTER(N:N,A:A=A557)),3),F557))"),"")</f>
        <v/>
      </c>
      <c r="K557" s="147" t="str">
        <f>IFERROR(__xludf.DUMMYFUNCTION("IF(ISBLANK(A557),IFERROR(1/0),IF(COUNT(FILTER(G:G,((A:A=A557)*(B:B=""V""))))&gt;1,TRUNC(N557*G557/SUM(FILTER(N:N,((A:A=A557)*(B:B=""V"")))),3),G557))"),"")</f>
        <v/>
      </c>
      <c r="L557" s="148" t="str">
        <f>IFERROR(__xludf.DUMMYFUNCTION("if($C557="""","""",iferror(if(row()&lt;&gt;2,INDEX(arrayformula(filter($M$2:$M556,$C$2:$C556&lt;&gt;"""",row($C$2:$C556)=max(if($C$2:$C556=C557,row($C$2:$C556),0)))) ,1),0),0))"),"")</f>
        <v/>
      </c>
      <c r="M557" s="148" t="str">
        <f t="shared" si="1"/>
        <v/>
      </c>
      <c r="N557" s="147" t="str">
        <f t="shared" si="2"/>
        <v/>
      </c>
      <c r="O557" s="147" t="str">
        <f t="shared" si="21"/>
        <v/>
      </c>
      <c r="P557" s="147" t="str">
        <f>IFERROR(__xludf.DUMMYFUNCTION("if(C557="""","""",iferror(if(row()&lt;&gt;2,INDEX(arrayformula(filter($Q$2:$Q556,$C$2:$C556&lt;&gt;"""",row($C$2:$C556)=max(if($C$2:$C556=C557,row($C$2:$C556),0)))) ,1),0),0))"),"")</f>
        <v/>
      </c>
      <c r="Q557" s="147" t="str">
        <f t="shared" si="22"/>
        <v/>
      </c>
      <c r="R557" s="147" t="str">
        <f t="shared" si="23"/>
        <v/>
      </c>
      <c r="S557" s="147" t="str">
        <f t="shared" si="24"/>
        <v/>
      </c>
      <c r="T557" s="147" t="str">
        <f t="shared" si="7"/>
        <v/>
      </c>
      <c r="U557" s="150" t="str">
        <f t="shared" si="8"/>
        <v/>
      </c>
      <c r="V557" s="151" t="str">
        <f>IFERROR(VLOOKUP(C557,Ativos!$A$1:$G2000,5,),)</f>
        <v/>
      </c>
    </row>
    <row r="558" ht="21.0" customHeight="1">
      <c r="A558" s="152"/>
      <c r="B558" s="160"/>
      <c r="C558" s="153"/>
      <c r="D558" s="154"/>
      <c r="E558" s="139"/>
      <c r="F558" s="139"/>
      <c r="G558" s="139"/>
      <c r="H558" s="135"/>
      <c r="I558" s="141"/>
      <c r="J558" s="147" t="str">
        <f>IFERROR(__xludf.DUMMYFUNCTION("IF(ISBLANK(A558),IFERROR(1/0),IF(COUNT(FILTER(F:F,A:A=A558))&gt;1,TRUNC(N558*F558/SUM(FILTER(N:N,A:A=A558)),3),F558))"),"")</f>
        <v/>
      </c>
      <c r="K558" s="147" t="str">
        <f>IFERROR(__xludf.DUMMYFUNCTION("IF(ISBLANK(A558),IFERROR(1/0),IF(COUNT(FILTER(G:G,((A:A=A558)*(B:B=""V""))))&gt;1,TRUNC(N558*G558/SUM(FILTER(N:N,((A:A=A558)*(B:B=""V"")))),3),G558))"),"")</f>
        <v/>
      </c>
      <c r="L558" s="148" t="str">
        <f>IFERROR(__xludf.DUMMYFUNCTION("if($C558="""","""",iferror(if(row()&lt;&gt;2,INDEX(arrayformula(filter($M$2:$M557,$C$2:$C557&lt;&gt;"""",row($C$2:$C557)=max(if($C$2:$C557=C558,row($C$2:$C557),0)))) ,1),0),0))"),"")</f>
        <v/>
      </c>
      <c r="M558" s="148" t="str">
        <f t="shared" si="1"/>
        <v/>
      </c>
      <c r="N558" s="147" t="str">
        <f t="shared" si="2"/>
        <v/>
      </c>
      <c r="O558" s="147" t="str">
        <f t="shared" si="21"/>
        <v/>
      </c>
      <c r="P558" s="147" t="str">
        <f>IFERROR(__xludf.DUMMYFUNCTION("if(C558="""","""",iferror(if(row()&lt;&gt;2,INDEX(arrayformula(filter($Q$2:$Q557,$C$2:$C557&lt;&gt;"""",row($C$2:$C557)=max(if($C$2:$C557=C558,row($C$2:$C557),0)))) ,1),0),0))"),"")</f>
        <v/>
      </c>
      <c r="Q558" s="147" t="str">
        <f t="shared" si="22"/>
        <v/>
      </c>
      <c r="R558" s="147" t="str">
        <f t="shared" si="23"/>
        <v/>
      </c>
      <c r="S558" s="147" t="str">
        <f t="shared" si="24"/>
        <v/>
      </c>
      <c r="T558" s="147" t="str">
        <f t="shared" si="7"/>
        <v/>
      </c>
      <c r="U558" s="150" t="str">
        <f t="shared" si="8"/>
        <v/>
      </c>
      <c r="V558" s="151" t="str">
        <f>IFERROR(VLOOKUP(C558,Ativos!$A$1:$G2000,5,),)</f>
        <v/>
      </c>
    </row>
    <row r="559" ht="21.0" customHeight="1">
      <c r="A559" s="152"/>
      <c r="B559" s="160"/>
      <c r="C559" s="153"/>
      <c r="D559" s="154"/>
      <c r="E559" s="139"/>
      <c r="F559" s="139"/>
      <c r="G559" s="139"/>
      <c r="H559" s="135"/>
      <c r="I559" s="141"/>
      <c r="J559" s="147" t="str">
        <f>IFERROR(__xludf.DUMMYFUNCTION("IF(ISBLANK(A559),IFERROR(1/0),IF(COUNT(FILTER(F:F,A:A=A559))&gt;1,TRUNC(N559*F559/SUM(FILTER(N:N,A:A=A559)),3),F559))"),"")</f>
        <v/>
      </c>
      <c r="K559" s="147" t="str">
        <f>IFERROR(__xludf.DUMMYFUNCTION("IF(ISBLANK(A559),IFERROR(1/0),IF(COUNT(FILTER(G:G,((A:A=A559)*(B:B=""V""))))&gt;1,TRUNC(N559*G559/SUM(FILTER(N:N,((A:A=A559)*(B:B=""V"")))),3),G559))"),"")</f>
        <v/>
      </c>
      <c r="L559" s="148" t="str">
        <f>IFERROR(__xludf.DUMMYFUNCTION("if($C559="""","""",iferror(if(row()&lt;&gt;2,INDEX(arrayformula(filter($M$2:$M558,$C$2:$C558&lt;&gt;"""",row($C$2:$C558)=max(if($C$2:$C558=C559,row($C$2:$C558),0)))) ,1),0),0))"),"")</f>
        <v/>
      </c>
      <c r="M559" s="148" t="str">
        <f t="shared" si="1"/>
        <v/>
      </c>
      <c r="N559" s="147" t="str">
        <f t="shared" si="2"/>
        <v/>
      </c>
      <c r="O559" s="147" t="str">
        <f t="shared" si="21"/>
        <v/>
      </c>
      <c r="P559" s="147" t="str">
        <f>IFERROR(__xludf.DUMMYFUNCTION("if(C559="""","""",iferror(if(row()&lt;&gt;2,INDEX(arrayformula(filter($Q$2:$Q558,$C$2:$C558&lt;&gt;"""",row($C$2:$C558)=max(if($C$2:$C558=C559,row($C$2:$C558),0)))) ,1),0),0))"),"")</f>
        <v/>
      </c>
      <c r="Q559" s="147" t="str">
        <f t="shared" si="22"/>
        <v/>
      </c>
      <c r="R559" s="147" t="str">
        <f t="shared" si="23"/>
        <v/>
      </c>
      <c r="S559" s="147" t="str">
        <f t="shared" si="24"/>
        <v/>
      </c>
      <c r="T559" s="147" t="str">
        <f t="shared" si="7"/>
        <v/>
      </c>
      <c r="U559" s="150" t="str">
        <f t="shared" si="8"/>
        <v/>
      </c>
      <c r="V559" s="151" t="str">
        <f>IFERROR(VLOOKUP(C559,Ativos!$A$1:$G2000,5,),)</f>
        <v/>
      </c>
    </row>
    <row r="560" ht="21.0" customHeight="1">
      <c r="A560" s="152"/>
      <c r="B560" s="160"/>
      <c r="C560" s="153"/>
      <c r="D560" s="154"/>
      <c r="E560" s="139"/>
      <c r="F560" s="139"/>
      <c r="G560" s="139"/>
      <c r="H560" s="135"/>
      <c r="I560" s="141"/>
      <c r="J560" s="147" t="str">
        <f>IFERROR(__xludf.DUMMYFUNCTION("IF(ISBLANK(A560),IFERROR(1/0),IF(COUNT(FILTER(F:F,A:A=A560))&gt;1,TRUNC(N560*F560/SUM(FILTER(N:N,A:A=A560)),3),F560))"),"")</f>
        <v/>
      </c>
      <c r="K560" s="147" t="str">
        <f>IFERROR(__xludf.DUMMYFUNCTION("IF(ISBLANK(A560),IFERROR(1/0),IF(COUNT(FILTER(G:G,((A:A=A560)*(B:B=""V""))))&gt;1,TRUNC(N560*G560/SUM(FILTER(N:N,((A:A=A560)*(B:B=""V"")))),3),G560))"),"")</f>
        <v/>
      </c>
      <c r="L560" s="148" t="str">
        <f>IFERROR(__xludf.DUMMYFUNCTION("if($C560="""","""",iferror(if(row()&lt;&gt;2,INDEX(arrayformula(filter($M$2:$M559,$C$2:$C559&lt;&gt;"""",row($C$2:$C559)=max(if($C$2:$C559=C560,row($C$2:$C559),0)))) ,1),0),0))"),"")</f>
        <v/>
      </c>
      <c r="M560" s="148" t="str">
        <f t="shared" si="1"/>
        <v/>
      </c>
      <c r="N560" s="147" t="str">
        <f t="shared" si="2"/>
        <v/>
      </c>
      <c r="O560" s="147" t="str">
        <f t="shared" si="21"/>
        <v/>
      </c>
      <c r="P560" s="147" t="str">
        <f>IFERROR(__xludf.DUMMYFUNCTION("if(C560="""","""",iferror(if(row()&lt;&gt;2,INDEX(arrayformula(filter($Q$2:$Q559,$C$2:$C559&lt;&gt;"""",row($C$2:$C559)=max(if($C$2:$C559=C560,row($C$2:$C559),0)))) ,1),0),0))"),"")</f>
        <v/>
      </c>
      <c r="Q560" s="147" t="str">
        <f t="shared" si="22"/>
        <v/>
      </c>
      <c r="R560" s="147" t="str">
        <f t="shared" si="23"/>
        <v/>
      </c>
      <c r="S560" s="147" t="str">
        <f t="shared" si="24"/>
        <v/>
      </c>
      <c r="T560" s="147" t="str">
        <f t="shared" si="7"/>
        <v/>
      </c>
      <c r="U560" s="150" t="str">
        <f t="shared" si="8"/>
        <v/>
      </c>
      <c r="V560" s="151" t="str">
        <f>IFERROR(VLOOKUP(C560,Ativos!$A$1:$G2000,5,),)</f>
        <v/>
      </c>
    </row>
    <row r="561" ht="21.0" customHeight="1">
      <c r="A561" s="152"/>
      <c r="B561" s="160"/>
      <c r="C561" s="153"/>
      <c r="D561" s="154"/>
      <c r="E561" s="139"/>
      <c r="F561" s="139"/>
      <c r="G561" s="139"/>
      <c r="H561" s="135"/>
      <c r="I561" s="141"/>
      <c r="J561" s="147" t="str">
        <f>IFERROR(__xludf.DUMMYFUNCTION("IF(ISBLANK(A561),IFERROR(1/0),IF(COUNT(FILTER(F:F,A:A=A561))&gt;1,TRUNC(N561*F561/SUM(FILTER(N:N,A:A=A561)),3),F561))"),"")</f>
        <v/>
      </c>
      <c r="K561" s="147" t="str">
        <f>IFERROR(__xludf.DUMMYFUNCTION("IF(ISBLANK(A561),IFERROR(1/0),IF(COUNT(FILTER(G:G,((A:A=A561)*(B:B=""V""))))&gt;1,TRUNC(N561*G561/SUM(FILTER(N:N,((A:A=A561)*(B:B=""V"")))),3),G561))"),"")</f>
        <v/>
      </c>
      <c r="L561" s="148" t="str">
        <f>IFERROR(__xludf.DUMMYFUNCTION("if($C561="""","""",iferror(if(row()&lt;&gt;2,INDEX(arrayformula(filter($M$2:$M560,$C$2:$C560&lt;&gt;"""",row($C$2:$C560)=max(if($C$2:$C560=C561,row($C$2:$C560),0)))) ,1),0),0))"),"")</f>
        <v/>
      </c>
      <c r="M561" s="148" t="str">
        <f t="shared" si="1"/>
        <v/>
      </c>
      <c r="N561" s="147" t="str">
        <f t="shared" si="2"/>
        <v/>
      </c>
      <c r="O561" s="147" t="str">
        <f t="shared" si="21"/>
        <v/>
      </c>
      <c r="P561" s="147" t="str">
        <f>IFERROR(__xludf.DUMMYFUNCTION("if(C561="""","""",iferror(if(row()&lt;&gt;2,INDEX(arrayformula(filter($Q$2:$Q560,$C$2:$C560&lt;&gt;"""",row($C$2:$C560)=max(if($C$2:$C560=C561,row($C$2:$C560),0)))) ,1),0),0))"),"")</f>
        <v/>
      </c>
      <c r="Q561" s="147" t="str">
        <f t="shared" si="22"/>
        <v/>
      </c>
      <c r="R561" s="147" t="str">
        <f t="shared" si="23"/>
        <v/>
      </c>
      <c r="S561" s="147" t="str">
        <f t="shared" si="24"/>
        <v/>
      </c>
      <c r="T561" s="147" t="str">
        <f t="shared" si="7"/>
        <v/>
      </c>
      <c r="U561" s="150" t="str">
        <f t="shared" si="8"/>
        <v/>
      </c>
      <c r="V561" s="151" t="str">
        <f>IFERROR(VLOOKUP(C561,Ativos!$A$1:$G2000,5,),)</f>
        <v/>
      </c>
    </row>
    <row r="562" ht="21.0" customHeight="1">
      <c r="A562" s="152"/>
      <c r="B562" s="160"/>
      <c r="C562" s="153"/>
      <c r="D562" s="154"/>
      <c r="E562" s="139"/>
      <c r="F562" s="139"/>
      <c r="G562" s="139"/>
      <c r="H562" s="135"/>
      <c r="I562" s="141"/>
      <c r="J562" s="147" t="str">
        <f>IFERROR(__xludf.DUMMYFUNCTION("IF(ISBLANK(A562),IFERROR(1/0),IF(COUNT(FILTER(F:F,A:A=A562))&gt;1,TRUNC(N562*F562/SUM(FILTER(N:N,A:A=A562)),3),F562))"),"")</f>
        <v/>
      </c>
      <c r="K562" s="147" t="str">
        <f>IFERROR(__xludf.DUMMYFUNCTION("IF(ISBLANK(A562),IFERROR(1/0),IF(COUNT(FILTER(G:G,((A:A=A562)*(B:B=""V""))))&gt;1,TRUNC(N562*G562/SUM(FILTER(N:N,((A:A=A562)*(B:B=""V"")))),3),G562))"),"")</f>
        <v/>
      </c>
      <c r="L562" s="148" t="str">
        <f>IFERROR(__xludf.DUMMYFUNCTION("if($C562="""","""",iferror(if(row()&lt;&gt;2,INDEX(arrayformula(filter($M$2:$M561,$C$2:$C561&lt;&gt;"""",row($C$2:$C561)=max(if($C$2:$C561=C562,row($C$2:$C561),0)))) ,1),0),0))"),"")</f>
        <v/>
      </c>
      <c r="M562" s="148" t="str">
        <f t="shared" si="1"/>
        <v/>
      </c>
      <c r="N562" s="147" t="str">
        <f t="shared" si="2"/>
        <v/>
      </c>
      <c r="O562" s="147" t="str">
        <f t="shared" si="21"/>
        <v/>
      </c>
      <c r="P562" s="147" t="str">
        <f>IFERROR(__xludf.DUMMYFUNCTION("if(C562="""","""",iferror(if(row()&lt;&gt;2,INDEX(arrayformula(filter($Q$2:$Q561,$C$2:$C561&lt;&gt;"""",row($C$2:$C561)=max(if($C$2:$C561=C562,row($C$2:$C561),0)))) ,1),0),0))"),"")</f>
        <v/>
      </c>
      <c r="Q562" s="147" t="str">
        <f t="shared" si="22"/>
        <v/>
      </c>
      <c r="R562" s="147" t="str">
        <f t="shared" si="23"/>
        <v/>
      </c>
      <c r="S562" s="147" t="str">
        <f t="shared" si="24"/>
        <v/>
      </c>
      <c r="T562" s="147" t="str">
        <f t="shared" si="7"/>
        <v/>
      </c>
      <c r="U562" s="150" t="str">
        <f t="shared" si="8"/>
        <v/>
      </c>
      <c r="V562" s="151" t="str">
        <f>IFERROR(VLOOKUP(C562,Ativos!$A$1:$G2000,5,),)</f>
        <v/>
      </c>
    </row>
    <row r="563" ht="21.0" customHeight="1">
      <c r="A563" s="152"/>
      <c r="B563" s="160"/>
      <c r="C563" s="153"/>
      <c r="D563" s="154"/>
      <c r="E563" s="139"/>
      <c r="F563" s="139"/>
      <c r="G563" s="139"/>
      <c r="H563" s="135"/>
      <c r="I563" s="141"/>
      <c r="J563" s="147" t="str">
        <f>IFERROR(__xludf.DUMMYFUNCTION("IF(ISBLANK(A563),IFERROR(1/0),IF(COUNT(FILTER(F:F,A:A=A563))&gt;1,TRUNC(N563*F563/SUM(FILTER(N:N,A:A=A563)),3),F563))"),"")</f>
        <v/>
      </c>
      <c r="K563" s="147" t="str">
        <f>IFERROR(__xludf.DUMMYFUNCTION("IF(ISBLANK(A563),IFERROR(1/0),IF(COUNT(FILTER(G:G,((A:A=A563)*(B:B=""V""))))&gt;1,TRUNC(N563*G563/SUM(FILTER(N:N,((A:A=A563)*(B:B=""V"")))),3),G563))"),"")</f>
        <v/>
      </c>
      <c r="L563" s="148" t="str">
        <f>IFERROR(__xludf.DUMMYFUNCTION("if($C563="""","""",iferror(if(row()&lt;&gt;2,INDEX(arrayformula(filter($M$2:$M562,$C$2:$C562&lt;&gt;"""",row($C$2:$C562)=max(if($C$2:$C562=C563,row($C$2:$C562),0)))) ,1),0),0))"),"")</f>
        <v/>
      </c>
      <c r="M563" s="148" t="str">
        <f t="shared" si="1"/>
        <v/>
      </c>
      <c r="N563" s="147" t="str">
        <f t="shared" si="2"/>
        <v/>
      </c>
      <c r="O563" s="147" t="str">
        <f t="shared" si="21"/>
        <v/>
      </c>
      <c r="P563" s="147" t="str">
        <f>IFERROR(__xludf.DUMMYFUNCTION("if(C563="""","""",iferror(if(row()&lt;&gt;2,INDEX(arrayformula(filter($Q$2:$Q562,$C$2:$C562&lt;&gt;"""",row($C$2:$C562)=max(if($C$2:$C562=C563,row($C$2:$C562),0)))) ,1),0),0))"),"")</f>
        <v/>
      </c>
      <c r="Q563" s="147" t="str">
        <f t="shared" si="22"/>
        <v/>
      </c>
      <c r="R563" s="147" t="str">
        <f t="shared" si="23"/>
        <v/>
      </c>
      <c r="S563" s="147" t="str">
        <f t="shared" si="24"/>
        <v/>
      </c>
      <c r="T563" s="147" t="str">
        <f t="shared" si="7"/>
        <v/>
      </c>
      <c r="U563" s="150" t="str">
        <f t="shared" si="8"/>
        <v/>
      </c>
      <c r="V563" s="151" t="str">
        <f>IFERROR(VLOOKUP(C563,Ativos!$A$1:$G2000,5,),)</f>
        <v/>
      </c>
    </row>
    <row r="564" ht="21.0" customHeight="1">
      <c r="A564" s="152"/>
      <c r="B564" s="160"/>
      <c r="C564" s="153"/>
      <c r="D564" s="154"/>
      <c r="E564" s="139"/>
      <c r="F564" s="139"/>
      <c r="G564" s="139"/>
      <c r="H564" s="135"/>
      <c r="I564" s="141"/>
      <c r="J564" s="147" t="str">
        <f>IFERROR(__xludf.DUMMYFUNCTION("IF(ISBLANK(A564),IFERROR(1/0),IF(COUNT(FILTER(F:F,A:A=A564))&gt;1,TRUNC(N564*F564/SUM(FILTER(N:N,A:A=A564)),3),F564))"),"")</f>
        <v/>
      </c>
      <c r="K564" s="147" t="str">
        <f>IFERROR(__xludf.DUMMYFUNCTION("IF(ISBLANK(A564),IFERROR(1/0),IF(COUNT(FILTER(G:G,((A:A=A564)*(B:B=""V""))))&gt;1,TRUNC(N564*G564/SUM(FILTER(N:N,((A:A=A564)*(B:B=""V"")))),3),G564))"),"")</f>
        <v/>
      </c>
      <c r="L564" s="148" t="str">
        <f>IFERROR(__xludf.DUMMYFUNCTION("if($C564="""","""",iferror(if(row()&lt;&gt;2,INDEX(arrayformula(filter($M$2:$M563,$C$2:$C563&lt;&gt;"""",row($C$2:$C563)=max(if($C$2:$C563=C564,row($C$2:$C563),0)))) ,1),0),0))"),"")</f>
        <v/>
      </c>
      <c r="M564" s="148" t="str">
        <f t="shared" si="1"/>
        <v/>
      </c>
      <c r="N564" s="147" t="str">
        <f t="shared" si="2"/>
        <v/>
      </c>
      <c r="O564" s="147" t="str">
        <f t="shared" si="21"/>
        <v/>
      </c>
      <c r="P564" s="147" t="str">
        <f>IFERROR(__xludf.DUMMYFUNCTION("if(C564="""","""",iferror(if(row()&lt;&gt;2,INDEX(arrayformula(filter($Q$2:$Q563,$C$2:$C563&lt;&gt;"""",row($C$2:$C563)=max(if($C$2:$C563=C564,row($C$2:$C563),0)))) ,1),0),0))"),"")</f>
        <v/>
      </c>
      <c r="Q564" s="147" t="str">
        <f t="shared" si="22"/>
        <v/>
      </c>
      <c r="R564" s="147" t="str">
        <f t="shared" si="23"/>
        <v/>
      </c>
      <c r="S564" s="147" t="str">
        <f t="shared" si="24"/>
        <v/>
      </c>
      <c r="T564" s="147" t="str">
        <f t="shared" si="7"/>
        <v/>
      </c>
      <c r="U564" s="150" t="str">
        <f t="shared" si="8"/>
        <v/>
      </c>
      <c r="V564" s="151" t="str">
        <f>IFERROR(VLOOKUP(C564,Ativos!$A$1:$G2000,5,),)</f>
        <v/>
      </c>
    </row>
    <row r="565" ht="21.0" customHeight="1">
      <c r="A565" s="152"/>
      <c r="B565" s="160"/>
      <c r="C565" s="153"/>
      <c r="D565" s="154"/>
      <c r="E565" s="139"/>
      <c r="F565" s="139"/>
      <c r="G565" s="139"/>
      <c r="H565" s="135"/>
      <c r="I565" s="141"/>
      <c r="J565" s="147" t="str">
        <f>IFERROR(__xludf.DUMMYFUNCTION("IF(ISBLANK(A565),IFERROR(1/0),IF(COUNT(FILTER(F:F,A:A=A565))&gt;1,TRUNC(N565*F565/SUM(FILTER(N:N,A:A=A565)),3),F565))"),"")</f>
        <v/>
      </c>
      <c r="K565" s="147" t="str">
        <f>IFERROR(__xludf.DUMMYFUNCTION("IF(ISBLANK(A565),IFERROR(1/0),IF(COUNT(FILTER(G:G,((A:A=A565)*(B:B=""V""))))&gt;1,TRUNC(N565*G565/SUM(FILTER(N:N,((A:A=A565)*(B:B=""V"")))),3),G565))"),"")</f>
        <v/>
      </c>
      <c r="L565" s="148" t="str">
        <f>IFERROR(__xludf.DUMMYFUNCTION("if($C565="""","""",iferror(if(row()&lt;&gt;2,INDEX(arrayformula(filter($M$2:$M564,$C$2:$C564&lt;&gt;"""",row($C$2:$C564)=max(if($C$2:$C564=C565,row($C$2:$C564),0)))) ,1),0),0))"),"")</f>
        <v/>
      </c>
      <c r="M565" s="148" t="str">
        <f t="shared" si="1"/>
        <v/>
      </c>
      <c r="N565" s="147" t="str">
        <f t="shared" si="2"/>
        <v/>
      </c>
      <c r="O565" s="147" t="str">
        <f t="shared" si="21"/>
        <v/>
      </c>
      <c r="P565" s="147" t="str">
        <f>IFERROR(__xludf.DUMMYFUNCTION("if(C565="""","""",iferror(if(row()&lt;&gt;2,INDEX(arrayformula(filter($Q$2:$Q564,$C$2:$C564&lt;&gt;"""",row($C$2:$C564)=max(if($C$2:$C564=C565,row($C$2:$C564),0)))) ,1),0),0))"),"")</f>
        <v/>
      </c>
      <c r="Q565" s="147" t="str">
        <f t="shared" si="22"/>
        <v/>
      </c>
      <c r="R565" s="147" t="str">
        <f t="shared" si="23"/>
        <v/>
      </c>
      <c r="S565" s="147" t="str">
        <f t="shared" si="24"/>
        <v/>
      </c>
      <c r="T565" s="147" t="str">
        <f t="shared" si="7"/>
        <v/>
      </c>
      <c r="U565" s="150" t="str">
        <f t="shared" si="8"/>
        <v/>
      </c>
      <c r="V565" s="151" t="str">
        <f>IFERROR(VLOOKUP(C565,Ativos!$A$1:$G2000,5,),)</f>
        <v/>
      </c>
    </row>
    <row r="566" ht="21.0" customHeight="1">
      <c r="A566" s="152"/>
      <c r="B566" s="160"/>
      <c r="C566" s="153"/>
      <c r="D566" s="154"/>
      <c r="E566" s="139"/>
      <c r="F566" s="139"/>
      <c r="G566" s="139"/>
      <c r="H566" s="135"/>
      <c r="I566" s="141"/>
      <c r="J566" s="147" t="str">
        <f>IFERROR(__xludf.DUMMYFUNCTION("IF(ISBLANK(A566),IFERROR(1/0),IF(COUNT(FILTER(F:F,A:A=A566))&gt;1,TRUNC(N566*F566/SUM(FILTER(N:N,A:A=A566)),3),F566))"),"")</f>
        <v/>
      </c>
      <c r="K566" s="147" t="str">
        <f>IFERROR(__xludf.DUMMYFUNCTION("IF(ISBLANK(A566),IFERROR(1/0),IF(COUNT(FILTER(G:G,((A:A=A566)*(B:B=""V""))))&gt;1,TRUNC(N566*G566/SUM(FILTER(N:N,((A:A=A566)*(B:B=""V"")))),3),G566))"),"")</f>
        <v/>
      </c>
      <c r="L566" s="148" t="str">
        <f>IFERROR(__xludf.DUMMYFUNCTION("if($C566="""","""",iferror(if(row()&lt;&gt;2,INDEX(arrayformula(filter($M$2:$M565,$C$2:$C565&lt;&gt;"""",row($C$2:$C565)=max(if($C$2:$C565=C566,row($C$2:$C565),0)))) ,1),0),0))"),"")</f>
        <v/>
      </c>
      <c r="M566" s="148" t="str">
        <f t="shared" si="1"/>
        <v/>
      </c>
      <c r="N566" s="147" t="str">
        <f t="shared" si="2"/>
        <v/>
      </c>
      <c r="O566" s="147" t="str">
        <f t="shared" si="21"/>
        <v/>
      </c>
      <c r="P566" s="147" t="str">
        <f>IFERROR(__xludf.DUMMYFUNCTION("if(C566="""","""",iferror(if(row()&lt;&gt;2,INDEX(arrayformula(filter($Q$2:$Q565,$C$2:$C565&lt;&gt;"""",row($C$2:$C565)=max(if($C$2:$C565=C566,row($C$2:$C565),0)))) ,1),0),0))"),"")</f>
        <v/>
      </c>
      <c r="Q566" s="147" t="str">
        <f t="shared" si="22"/>
        <v/>
      </c>
      <c r="R566" s="147" t="str">
        <f t="shared" si="23"/>
        <v/>
      </c>
      <c r="S566" s="147" t="str">
        <f t="shared" si="24"/>
        <v/>
      </c>
      <c r="T566" s="147" t="str">
        <f t="shared" si="7"/>
        <v/>
      </c>
      <c r="U566" s="150" t="str">
        <f t="shared" si="8"/>
        <v/>
      </c>
      <c r="V566" s="151" t="str">
        <f>IFERROR(VLOOKUP(C566,Ativos!$A$1:$G2000,5,),)</f>
        <v/>
      </c>
    </row>
    <row r="567" ht="21.0" customHeight="1">
      <c r="A567" s="152"/>
      <c r="B567" s="160"/>
      <c r="C567" s="153"/>
      <c r="D567" s="154"/>
      <c r="E567" s="139"/>
      <c r="F567" s="139"/>
      <c r="G567" s="139"/>
      <c r="H567" s="135"/>
      <c r="I567" s="141"/>
      <c r="J567" s="147" t="str">
        <f>IFERROR(__xludf.DUMMYFUNCTION("IF(ISBLANK(A567),IFERROR(1/0),IF(COUNT(FILTER(F:F,A:A=A567))&gt;1,TRUNC(N567*F567/SUM(FILTER(N:N,A:A=A567)),3),F567))"),"")</f>
        <v/>
      </c>
      <c r="K567" s="147" t="str">
        <f>IFERROR(__xludf.DUMMYFUNCTION("IF(ISBLANK(A567),IFERROR(1/0),IF(COUNT(FILTER(G:G,((A:A=A567)*(B:B=""V""))))&gt;1,TRUNC(N567*G567/SUM(FILTER(N:N,((A:A=A567)*(B:B=""V"")))),3),G567))"),"")</f>
        <v/>
      </c>
      <c r="L567" s="148" t="str">
        <f>IFERROR(__xludf.DUMMYFUNCTION("if($C567="""","""",iferror(if(row()&lt;&gt;2,INDEX(arrayformula(filter($M$2:$M566,$C$2:$C566&lt;&gt;"""",row($C$2:$C566)=max(if($C$2:$C566=C567,row($C$2:$C566),0)))) ,1),0),0))"),"")</f>
        <v/>
      </c>
      <c r="M567" s="148" t="str">
        <f t="shared" si="1"/>
        <v/>
      </c>
      <c r="N567" s="147" t="str">
        <f t="shared" si="2"/>
        <v/>
      </c>
      <c r="O567" s="147" t="str">
        <f t="shared" si="21"/>
        <v/>
      </c>
      <c r="P567" s="147" t="str">
        <f>IFERROR(__xludf.DUMMYFUNCTION("if(C567="""","""",iferror(if(row()&lt;&gt;2,INDEX(arrayformula(filter($Q$2:$Q566,$C$2:$C566&lt;&gt;"""",row($C$2:$C566)=max(if($C$2:$C566=C567,row($C$2:$C566),0)))) ,1),0),0))"),"")</f>
        <v/>
      </c>
      <c r="Q567" s="147" t="str">
        <f t="shared" si="22"/>
        <v/>
      </c>
      <c r="R567" s="147" t="str">
        <f t="shared" si="23"/>
        <v/>
      </c>
      <c r="S567" s="147" t="str">
        <f t="shared" si="24"/>
        <v/>
      </c>
      <c r="T567" s="147" t="str">
        <f t="shared" si="7"/>
        <v/>
      </c>
      <c r="U567" s="150" t="str">
        <f t="shared" si="8"/>
        <v/>
      </c>
      <c r="V567" s="151" t="str">
        <f>IFERROR(VLOOKUP(C567,Ativos!$A$1:$G2000,5,),)</f>
        <v/>
      </c>
    </row>
    <row r="568" ht="21.0" customHeight="1">
      <c r="A568" s="152"/>
      <c r="B568" s="160"/>
      <c r="C568" s="153"/>
      <c r="D568" s="154"/>
      <c r="E568" s="139"/>
      <c r="F568" s="139"/>
      <c r="G568" s="139"/>
      <c r="H568" s="135"/>
      <c r="I568" s="141"/>
      <c r="J568" s="147" t="str">
        <f>IFERROR(__xludf.DUMMYFUNCTION("IF(ISBLANK(A568),IFERROR(1/0),IF(COUNT(FILTER(F:F,A:A=A568))&gt;1,TRUNC(N568*F568/SUM(FILTER(N:N,A:A=A568)),3),F568))"),"")</f>
        <v/>
      </c>
      <c r="K568" s="147" t="str">
        <f>IFERROR(__xludf.DUMMYFUNCTION("IF(ISBLANK(A568),IFERROR(1/0),IF(COUNT(FILTER(G:G,((A:A=A568)*(B:B=""V""))))&gt;1,TRUNC(N568*G568/SUM(FILTER(N:N,((A:A=A568)*(B:B=""V"")))),3),G568))"),"")</f>
        <v/>
      </c>
      <c r="L568" s="148" t="str">
        <f>IFERROR(__xludf.DUMMYFUNCTION("if($C568="""","""",iferror(if(row()&lt;&gt;2,INDEX(arrayformula(filter($M$2:$M567,$C$2:$C567&lt;&gt;"""",row($C$2:$C567)=max(if($C$2:$C567=C568,row($C$2:$C567),0)))) ,1),0),0))"),"")</f>
        <v/>
      </c>
      <c r="M568" s="148" t="str">
        <f t="shared" si="1"/>
        <v/>
      </c>
      <c r="N568" s="147" t="str">
        <f t="shared" si="2"/>
        <v/>
      </c>
      <c r="O568" s="147" t="str">
        <f t="shared" si="21"/>
        <v/>
      </c>
      <c r="P568" s="147" t="str">
        <f>IFERROR(__xludf.DUMMYFUNCTION("if(C568="""","""",iferror(if(row()&lt;&gt;2,INDEX(arrayformula(filter($Q$2:$Q567,$C$2:$C567&lt;&gt;"""",row($C$2:$C567)=max(if($C$2:$C567=C568,row($C$2:$C567),0)))) ,1),0),0))"),"")</f>
        <v/>
      </c>
      <c r="Q568" s="147" t="str">
        <f t="shared" si="22"/>
        <v/>
      </c>
      <c r="R568" s="147" t="str">
        <f t="shared" si="23"/>
        <v/>
      </c>
      <c r="S568" s="147" t="str">
        <f t="shared" si="24"/>
        <v/>
      </c>
      <c r="T568" s="147" t="str">
        <f t="shared" si="7"/>
        <v/>
      </c>
      <c r="U568" s="150" t="str">
        <f t="shared" si="8"/>
        <v/>
      </c>
      <c r="V568" s="151" t="str">
        <f>IFERROR(VLOOKUP(C568,Ativos!$A$1:$G2000,5,),)</f>
        <v/>
      </c>
    </row>
    <row r="569" ht="21.0" customHeight="1">
      <c r="A569" s="152"/>
      <c r="B569" s="160"/>
      <c r="C569" s="153"/>
      <c r="D569" s="154"/>
      <c r="E569" s="139"/>
      <c r="F569" s="139"/>
      <c r="G569" s="139"/>
      <c r="H569" s="135"/>
      <c r="I569" s="141"/>
      <c r="J569" s="147" t="str">
        <f>IFERROR(__xludf.DUMMYFUNCTION("IF(ISBLANK(A569),IFERROR(1/0),IF(COUNT(FILTER(F:F,A:A=A569))&gt;1,TRUNC(N569*F569/SUM(FILTER(N:N,A:A=A569)),3),F569))"),"")</f>
        <v/>
      </c>
      <c r="K569" s="147" t="str">
        <f>IFERROR(__xludf.DUMMYFUNCTION("IF(ISBLANK(A569),IFERROR(1/0),IF(COUNT(FILTER(G:G,((A:A=A569)*(B:B=""V""))))&gt;1,TRUNC(N569*G569/SUM(FILTER(N:N,((A:A=A569)*(B:B=""V"")))),3),G569))"),"")</f>
        <v/>
      </c>
      <c r="L569" s="148" t="str">
        <f>IFERROR(__xludf.DUMMYFUNCTION("if($C569="""","""",iferror(if(row()&lt;&gt;2,INDEX(arrayformula(filter($M$2:$M568,$C$2:$C568&lt;&gt;"""",row($C$2:$C568)=max(if($C$2:$C568=C569,row($C$2:$C568),0)))) ,1),0),0))"),"")</f>
        <v/>
      </c>
      <c r="M569" s="148" t="str">
        <f t="shared" si="1"/>
        <v/>
      </c>
      <c r="N569" s="147" t="str">
        <f t="shared" si="2"/>
        <v/>
      </c>
      <c r="O569" s="147" t="str">
        <f t="shared" si="21"/>
        <v/>
      </c>
      <c r="P569" s="147" t="str">
        <f>IFERROR(__xludf.DUMMYFUNCTION("if(C569="""","""",iferror(if(row()&lt;&gt;2,INDEX(arrayformula(filter($Q$2:$Q568,$C$2:$C568&lt;&gt;"""",row($C$2:$C568)=max(if($C$2:$C568=C569,row($C$2:$C568),0)))) ,1),0),0))"),"")</f>
        <v/>
      </c>
      <c r="Q569" s="147" t="str">
        <f t="shared" si="22"/>
        <v/>
      </c>
      <c r="R569" s="147" t="str">
        <f t="shared" si="23"/>
        <v/>
      </c>
      <c r="S569" s="147" t="str">
        <f t="shared" si="24"/>
        <v/>
      </c>
      <c r="T569" s="147" t="str">
        <f t="shared" si="7"/>
        <v/>
      </c>
      <c r="U569" s="150" t="str">
        <f t="shared" si="8"/>
        <v/>
      </c>
      <c r="V569" s="151" t="str">
        <f>IFERROR(VLOOKUP(C569,Ativos!$A$1:$G2000,5,),)</f>
        <v/>
      </c>
    </row>
    <row r="570" ht="21.0" customHeight="1">
      <c r="A570" s="152"/>
      <c r="B570" s="160"/>
      <c r="C570" s="153"/>
      <c r="D570" s="154"/>
      <c r="E570" s="139"/>
      <c r="F570" s="139"/>
      <c r="G570" s="139"/>
      <c r="H570" s="135"/>
      <c r="I570" s="141"/>
      <c r="J570" s="147" t="str">
        <f>IFERROR(__xludf.DUMMYFUNCTION("IF(ISBLANK(A570),IFERROR(1/0),IF(COUNT(FILTER(F:F,A:A=A570))&gt;1,TRUNC(N570*F570/SUM(FILTER(N:N,A:A=A570)),3),F570))"),"")</f>
        <v/>
      </c>
      <c r="K570" s="147" t="str">
        <f>IFERROR(__xludf.DUMMYFUNCTION("IF(ISBLANK(A570),IFERROR(1/0),IF(COUNT(FILTER(G:G,((A:A=A570)*(B:B=""V""))))&gt;1,TRUNC(N570*G570/SUM(FILTER(N:N,((A:A=A570)*(B:B=""V"")))),3),G570))"),"")</f>
        <v/>
      </c>
      <c r="L570" s="148" t="str">
        <f>IFERROR(__xludf.DUMMYFUNCTION("if($C570="""","""",iferror(if(row()&lt;&gt;2,INDEX(arrayformula(filter($M$2:$M569,$C$2:$C569&lt;&gt;"""",row($C$2:$C569)=max(if($C$2:$C569=C570,row($C$2:$C569),0)))) ,1),0),0))"),"")</f>
        <v/>
      </c>
      <c r="M570" s="148" t="str">
        <f t="shared" si="1"/>
        <v/>
      </c>
      <c r="N570" s="147" t="str">
        <f t="shared" si="2"/>
        <v/>
      </c>
      <c r="O570" s="147" t="str">
        <f t="shared" si="21"/>
        <v/>
      </c>
      <c r="P570" s="147" t="str">
        <f>IFERROR(__xludf.DUMMYFUNCTION("if(C570="""","""",iferror(if(row()&lt;&gt;2,INDEX(arrayformula(filter($Q$2:$Q569,$C$2:$C569&lt;&gt;"""",row($C$2:$C569)=max(if($C$2:$C569=C570,row($C$2:$C569),0)))) ,1),0),0))"),"")</f>
        <v/>
      </c>
      <c r="Q570" s="147" t="str">
        <f t="shared" si="22"/>
        <v/>
      </c>
      <c r="R570" s="147" t="str">
        <f t="shared" si="23"/>
        <v/>
      </c>
      <c r="S570" s="147" t="str">
        <f t="shared" si="24"/>
        <v/>
      </c>
      <c r="T570" s="147" t="str">
        <f t="shared" si="7"/>
        <v/>
      </c>
      <c r="U570" s="150" t="str">
        <f t="shared" si="8"/>
        <v/>
      </c>
      <c r="V570" s="151" t="str">
        <f>IFERROR(VLOOKUP(C570,Ativos!$A$1:$G2000,5,),)</f>
        <v/>
      </c>
    </row>
    <row r="571" ht="21.0" customHeight="1">
      <c r="A571" s="152"/>
      <c r="B571" s="160"/>
      <c r="C571" s="153"/>
      <c r="D571" s="154"/>
      <c r="E571" s="139"/>
      <c r="F571" s="139"/>
      <c r="G571" s="139"/>
      <c r="H571" s="135"/>
      <c r="I571" s="141"/>
      <c r="J571" s="147" t="str">
        <f>IFERROR(__xludf.DUMMYFUNCTION("IF(ISBLANK(A571),IFERROR(1/0),IF(COUNT(FILTER(F:F,A:A=A571))&gt;1,TRUNC(N571*F571/SUM(FILTER(N:N,A:A=A571)),3),F571))"),"")</f>
        <v/>
      </c>
      <c r="K571" s="147" t="str">
        <f>IFERROR(__xludf.DUMMYFUNCTION("IF(ISBLANK(A571),IFERROR(1/0),IF(COUNT(FILTER(G:G,((A:A=A571)*(B:B=""V""))))&gt;1,TRUNC(N571*G571/SUM(FILTER(N:N,((A:A=A571)*(B:B=""V"")))),3),G571))"),"")</f>
        <v/>
      </c>
      <c r="L571" s="148" t="str">
        <f>IFERROR(__xludf.DUMMYFUNCTION("if($C571="""","""",iferror(if(row()&lt;&gt;2,INDEX(arrayformula(filter($M$2:$M570,$C$2:$C570&lt;&gt;"""",row($C$2:$C570)=max(if($C$2:$C570=C571,row($C$2:$C570),0)))) ,1),0),0))"),"")</f>
        <v/>
      </c>
      <c r="M571" s="148" t="str">
        <f t="shared" si="1"/>
        <v/>
      </c>
      <c r="N571" s="147" t="str">
        <f t="shared" si="2"/>
        <v/>
      </c>
      <c r="O571" s="147" t="str">
        <f t="shared" si="21"/>
        <v/>
      </c>
      <c r="P571" s="147" t="str">
        <f>IFERROR(__xludf.DUMMYFUNCTION("if(C571="""","""",iferror(if(row()&lt;&gt;2,INDEX(arrayformula(filter($Q$2:$Q570,$C$2:$C570&lt;&gt;"""",row($C$2:$C570)=max(if($C$2:$C570=C571,row($C$2:$C570),0)))) ,1),0),0))"),"")</f>
        <v/>
      </c>
      <c r="Q571" s="147" t="str">
        <f t="shared" si="22"/>
        <v/>
      </c>
      <c r="R571" s="147" t="str">
        <f t="shared" si="23"/>
        <v/>
      </c>
      <c r="S571" s="147" t="str">
        <f t="shared" si="24"/>
        <v/>
      </c>
      <c r="T571" s="147" t="str">
        <f t="shared" si="7"/>
        <v/>
      </c>
      <c r="U571" s="150" t="str">
        <f t="shared" si="8"/>
        <v/>
      </c>
      <c r="V571" s="151" t="str">
        <f>IFERROR(VLOOKUP(C571,Ativos!$A$1:$G2000,5,),)</f>
        <v/>
      </c>
    </row>
    <row r="572" ht="21.0" customHeight="1">
      <c r="A572" s="152"/>
      <c r="B572" s="160"/>
      <c r="C572" s="153"/>
      <c r="D572" s="154"/>
      <c r="E572" s="139"/>
      <c r="F572" s="139"/>
      <c r="G572" s="139"/>
      <c r="H572" s="135"/>
      <c r="I572" s="141"/>
      <c r="J572" s="147" t="str">
        <f>IFERROR(__xludf.DUMMYFUNCTION("IF(ISBLANK(A572),IFERROR(1/0),IF(COUNT(FILTER(F:F,A:A=A572))&gt;1,TRUNC(N572*F572/SUM(FILTER(N:N,A:A=A572)),3),F572))"),"")</f>
        <v/>
      </c>
      <c r="K572" s="147" t="str">
        <f>IFERROR(__xludf.DUMMYFUNCTION("IF(ISBLANK(A572),IFERROR(1/0),IF(COUNT(FILTER(G:G,((A:A=A572)*(B:B=""V""))))&gt;1,TRUNC(N572*G572/SUM(FILTER(N:N,((A:A=A572)*(B:B=""V"")))),3),G572))"),"")</f>
        <v/>
      </c>
      <c r="L572" s="148" t="str">
        <f>IFERROR(__xludf.DUMMYFUNCTION("if($C572="""","""",iferror(if(row()&lt;&gt;2,INDEX(arrayformula(filter($M$2:$M571,$C$2:$C571&lt;&gt;"""",row($C$2:$C571)=max(if($C$2:$C571=C572,row($C$2:$C571),0)))) ,1),0),0))"),"")</f>
        <v/>
      </c>
      <c r="M572" s="148" t="str">
        <f t="shared" si="1"/>
        <v/>
      </c>
      <c r="N572" s="147" t="str">
        <f t="shared" si="2"/>
        <v/>
      </c>
      <c r="O572" s="147" t="str">
        <f t="shared" si="21"/>
        <v/>
      </c>
      <c r="P572" s="147" t="str">
        <f>IFERROR(__xludf.DUMMYFUNCTION("if(C572="""","""",iferror(if(row()&lt;&gt;2,INDEX(arrayformula(filter($Q$2:$Q571,$C$2:$C571&lt;&gt;"""",row($C$2:$C571)=max(if($C$2:$C571=C572,row($C$2:$C571),0)))) ,1),0),0))"),"")</f>
        <v/>
      </c>
      <c r="Q572" s="147" t="str">
        <f t="shared" si="22"/>
        <v/>
      </c>
      <c r="R572" s="147" t="str">
        <f t="shared" si="23"/>
        <v/>
      </c>
      <c r="S572" s="147" t="str">
        <f t="shared" si="24"/>
        <v/>
      </c>
      <c r="T572" s="147" t="str">
        <f t="shared" si="7"/>
        <v/>
      </c>
      <c r="U572" s="150" t="str">
        <f t="shared" si="8"/>
        <v/>
      </c>
      <c r="V572" s="151" t="str">
        <f>IFERROR(VLOOKUP(C572,Ativos!$A$1:$G2000,5,),)</f>
        <v/>
      </c>
    </row>
    <row r="573" ht="21.0" customHeight="1">
      <c r="A573" s="152"/>
      <c r="B573" s="160"/>
      <c r="C573" s="153"/>
      <c r="D573" s="154"/>
      <c r="E573" s="139"/>
      <c r="F573" s="139"/>
      <c r="G573" s="139"/>
      <c r="H573" s="135"/>
      <c r="I573" s="141"/>
      <c r="J573" s="147" t="str">
        <f>IFERROR(__xludf.DUMMYFUNCTION("IF(ISBLANK(A573),IFERROR(1/0),IF(COUNT(FILTER(F:F,A:A=A573))&gt;1,TRUNC(N573*F573/SUM(FILTER(N:N,A:A=A573)),3),F573))"),"")</f>
        <v/>
      </c>
      <c r="K573" s="147" t="str">
        <f>IFERROR(__xludf.DUMMYFUNCTION("IF(ISBLANK(A573),IFERROR(1/0),IF(COUNT(FILTER(G:G,((A:A=A573)*(B:B=""V""))))&gt;1,TRUNC(N573*G573/SUM(FILTER(N:N,((A:A=A573)*(B:B=""V"")))),3),G573))"),"")</f>
        <v/>
      </c>
      <c r="L573" s="148" t="str">
        <f>IFERROR(__xludf.DUMMYFUNCTION("if($C573="""","""",iferror(if(row()&lt;&gt;2,INDEX(arrayformula(filter($M$2:$M572,$C$2:$C572&lt;&gt;"""",row($C$2:$C572)=max(if($C$2:$C572=C573,row($C$2:$C572),0)))) ,1),0),0))"),"")</f>
        <v/>
      </c>
      <c r="M573" s="148" t="str">
        <f t="shared" si="1"/>
        <v/>
      </c>
      <c r="N573" s="147" t="str">
        <f t="shared" si="2"/>
        <v/>
      </c>
      <c r="O573" s="147" t="str">
        <f t="shared" si="21"/>
        <v/>
      </c>
      <c r="P573" s="147" t="str">
        <f>IFERROR(__xludf.DUMMYFUNCTION("if(C573="""","""",iferror(if(row()&lt;&gt;2,INDEX(arrayformula(filter($Q$2:$Q572,$C$2:$C572&lt;&gt;"""",row($C$2:$C572)=max(if($C$2:$C572=C573,row($C$2:$C572),0)))) ,1),0),0))"),"")</f>
        <v/>
      </c>
      <c r="Q573" s="147" t="str">
        <f t="shared" si="22"/>
        <v/>
      </c>
      <c r="R573" s="147" t="str">
        <f t="shared" si="23"/>
        <v/>
      </c>
      <c r="S573" s="147" t="str">
        <f t="shared" si="24"/>
        <v/>
      </c>
      <c r="T573" s="147" t="str">
        <f t="shared" si="7"/>
        <v/>
      </c>
      <c r="U573" s="150" t="str">
        <f t="shared" si="8"/>
        <v/>
      </c>
      <c r="V573" s="151" t="str">
        <f>IFERROR(VLOOKUP(C573,Ativos!$A$1:$G2000,5,),)</f>
        <v/>
      </c>
    </row>
    <row r="574" ht="21.0" customHeight="1">
      <c r="A574" s="152"/>
      <c r="B574" s="160"/>
      <c r="C574" s="153"/>
      <c r="D574" s="154"/>
      <c r="E574" s="139"/>
      <c r="F574" s="139"/>
      <c r="G574" s="139"/>
      <c r="H574" s="135"/>
      <c r="I574" s="141"/>
      <c r="J574" s="147" t="str">
        <f>IFERROR(__xludf.DUMMYFUNCTION("IF(ISBLANK(A574),IFERROR(1/0),IF(COUNT(FILTER(F:F,A:A=A574))&gt;1,TRUNC(N574*F574/SUM(FILTER(N:N,A:A=A574)),3),F574))"),"")</f>
        <v/>
      </c>
      <c r="K574" s="147" t="str">
        <f>IFERROR(__xludf.DUMMYFUNCTION("IF(ISBLANK(A574),IFERROR(1/0),IF(COUNT(FILTER(G:G,((A:A=A574)*(B:B=""V""))))&gt;1,TRUNC(N574*G574/SUM(FILTER(N:N,((A:A=A574)*(B:B=""V"")))),3),G574))"),"")</f>
        <v/>
      </c>
      <c r="L574" s="148" t="str">
        <f>IFERROR(__xludf.DUMMYFUNCTION("if($C574="""","""",iferror(if(row()&lt;&gt;2,INDEX(arrayformula(filter($M$2:$M573,$C$2:$C573&lt;&gt;"""",row($C$2:$C573)=max(if($C$2:$C573=C574,row($C$2:$C573),0)))) ,1),0),0))"),"")</f>
        <v/>
      </c>
      <c r="M574" s="148" t="str">
        <f t="shared" si="1"/>
        <v/>
      </c>
      <c r="N574" s="147" t="str">
        <f t="shared" si="2"/>
        <v/>
      </c>
      <c r="O574" s="147" t="str">
        <f t="shared" si="21"/>
        <v/>
      </c>
      <c r="P574" s="147" t="str">
        <f>IFERROR(__xludf.DUMMYFUNCTION("if(C574="""","""",iferror(if(row()&lt;&gt;2,INDEX(arrayformula(filter($Q$2:$Q573,$C$2:$C573&lt;&gt;"""",row($C$2:$C573)=max(if($C$2:$C573=C574,row($C$2:$C573),0)))) ,1),0),0))"),"")</f>
        <v/>
      </c>
      <c r="Q574" s="147" t="str">
        <f t="shared" si="22"/>
        <v/>
      </c>
      <c r="R574" s="147" t="str">
        <f t="shared" si="23"/>
        <v/>
      </c>
      <c r="S574" s="147" t="str">
        <f t="shared" si="24"/>
        <v/>
      </c>
      <c r="T574" s="147" t="str">
        <f t="shared" si="7"/>
        <v/>
      </c>
      <c r="U574" s="150" t="str">
        <f t="shared" si="8"/>
        <v/>
      </c>
      <c r="V574" s="151" t="str">
        <f>IFERROR(VLOOKUP(C574,Ativos!$A$1:$G2000,5,),)</f>
        <v/>
      </c>
    </row>
    <row r="575" ht="21.0" customHeight="1">
      <c r="A575" s="152"/>
      <c r="B575" s="160"/>
      <c r="C575" s="153"/>
      <c r="D575" s="154"/>
      <c r="E575" s="139"/>
      <c r="F575" s="139"/>
      <c r="G575" s="139"/>
      <c r="H575" s="135"/>
      <c r="I575" s="141"/>
      <c r="J575" s="147" t="str">
        <f>IFERROR(__xludf.DUMMYFUNCTION("IF(ISBLANK(A575),IFERROR(1/0),IF(COUNT(FILTER(F:F,A:A=A575))&gt;1,TRUNC(N575*F575/SUM(FILTER(N:N,A:A=A575)),3),F575))"),"")</f>
        <v/>
      </c>
      <c r="K575" s="147" t="str">
        <f>IFERROR(__xludf.DUMMYFUNCTION("IF(ISBLANK(A575),IFERROR(1/0),IF(COUNT(FILTER(G:G,((A:A=A575)*(B:B=""V""))))&gt;1,TRUNC(N575*G575/SUM(FILTER(N:N,((A:A=A575)*(B:B=""V"")))),3),G575))"),"")</f>
        <v/>
      </c>
      <c r="L575" s="148" t="str">
        <f>IFERROR(__xludf.DUMMYFUNCTION("if($C575="""","""",iferror(if(row()&lt;&gt;2,INDEX(arrayformula(filter($M$2:$M574,$C$2:$C574&lt;&gt;"""",row($C$2:$C574)=max(if($C$2:$C574=C575,row($C$2:$C574),0)))) ,1),0),0))"),"")</f>
        <v/>
      </c>
      <c r="M575" s="148" t="str">
        <f t="shared" si="1"/>
        <v/>
      </c>
      <c r="N575" s="147" t="str">
        <f t="shared" si="2"/>
        <v/>
      </c>
      <c r="O575" s="147" t="str">
        <f t="shared" si="21"/>
        <v/>
      </c>
      <c r="P575" s="147" t="str">
        <f>IFERROR(__xludf.DUMMYFUNCTION("if(C575="""","""",iferror(if(row()&lt;&gt;2,INDEX(arrayformula(filter($Q$2:$Q574,$C$2:$C574&lt;&gt;"""",row($C$2:$C574)=max(if($C$2:$C574=C575,row($C$2:$C574),0)))) ,1),0),0))"),"")</f>
        <v/>
      </c>
      <c r="Q575" s="147" t="str">
        <f t="shared" si="22"/>
        <v/>
      </c>
      <c r="R575" s="147" t="str">
        <f t="shared" si="23"/>
        <v/>
      </c>
      <c r="S575" s="147" t="str">
        <f t="shared" si="24"/>
        <v/>
      </c>
      <c r="T575" s="147" t="str">
        <f t="shared" si="7"/>
        <v/>
      </c>
      <c r="U575" s="150" t="str">
        <f t="shared" si="8"/>
        <v/>
      </c>
      <c r="V575" s="151" t="str">
        <f>IFERROR(VLOOKUP(C575,Ativos!$A$1:$G2000,5,),)</f>
        <v/>
      </c>
    </row>
    <row r="576" ht="21.0" customHeight="1">
      <c r="A576" s="152"/>
      <c r="B576" s="160"/>
      <c r="C576" s="153"/>
      <c r="D576" s="154"/>
      <c r="E576" s="139"/>
      <c r="F576" s="139"/>
      <c r="G576" s="139"/>
      <c r="H576" s="135"/>
      <c r="I576" s="141"/>
      <c r="J576" s="147" t="str">
        <f>IFERROR(__xludf.DUMMYFUNCTION("IF(ISBLANK(A576),IFERROR(1/0),IF(COUNT(FILTER(F:F,A:A=A576))&gt;1,TRUNC(N576*F576/SUM(FILTER(N:N,A:A=A576)),3),F576))"),"")</f>
        <v/>
      </c>
      <c r="K576" s="147" t="str">
        <f>IFERROR(__xludf.DUMMYFUNCTION("IF(ISBLANK(A576),IFERROR(1/0),IF(COUNT(FILTER(G:G,((A:A=A576)*(B:B=""V""))))&gt;1,TRUNC(N576*G576/SUM(FILTER(N:N,((A:A=A576)*(B:B=""V"")))),3),G576))"),"")</f>
        <v/>
      </c>
      <c r="L576" s="148" t="str">
        <f>IFERROR(__xludf.DUMMYFUNCTION("if($C576="""","""",iferror(if(row()&lt;&gt;2,INDEX(arrayformula(filter($M$2:$M575,$C$2:$C575&lt;&gt;"""",row($C$2:$C575)=max(if($C$2:$C575=C576,row($C$2:$C575),0)))) ,1),0),0))"),"")</f>
        <v/>
      </c>
      <c r="M576" s="148" t="str">
        <f t="shared" si="1"/>
        <v/>
      </c>
      <c r="N576" s="147" t="str">
        <f t="shared" si="2"/>
        <v/>
      </c>
      <c r="O576" s="147" t="str">
        <f t="shared" si="21"/>
        <v/>
      </c>
      <c r="P576" s="147" t="str">
        <f>IFERROR(__xludf.DUMMYFUNCTION("if(C576="""","""",iferror(if(row()&lt;&gt;2,INDEX(arrayformula(filter($Q$2:$Q575,$C$2:$C575&lt;&gt;"""",row($C$2:$C575)=max(if($C$2:$C575=C576,row($C$2:$C575),0)))) ,1),0),0))"),"")</f>
        <v/>
      </c>
      <c r="Q576" s="147" t="str">
        <f t="shared" si="22"/>
        <v/>
      </c>
      <c r="R576" s="147" t="str">
        <f t="shared" si="23"/>
        <v/>
      </c>
      <c r="S576" s="147" t="str">
        <f t="shared" si="24"/>
        <v/>
      </c>
      <c r="T576" s="147" t="str">
        <f t="shared" si="7"/>
        <v/>
      </c>
      <c r="U576" s="150" t="str">
        <f t="shared" si="8"/>
        <v/>
      </c>
      <c r="V576" s="151" t="str">
        <f>IFERROR(VLOOKUP(C576,Ativos!$A$1:$G2000,5,),)</f>
        <v/>
      </c>
    </row>
    <row r="577" ht="21.0" customHeight="1">
      <c r="A577" s="152"/>
      <c r="B577" s="160"/>
      <c r="C577" s="153"/>
      <c r="D577" s="154"/>
      <c r="E577" s="139"/>
      <c r="F577" s="139"/>
      <c r="G577" s="139"/>
      <c r="H577" s="135"/>
      <c r="I577" s="141"/>
      <c r="J577" s="147" t="str">
        <f>IFERROR(__xludf.DUMMYFUNCTION("IF(ISBLANK(A577),IFERROR(1/0),IF(COUNT(FILTER(F:F,A:A=A577))&gt;1,TRUNC(N577*F577/SUM(FILTER(N:N,A:A=A577)),3),F577))"),"")</f>
        <v/>
      </c>
      <c r="K577" s="147" t="str">
        <f>IFERROR(__xludf.DUMMYFUNCTION("IF(ISBLANK(A577),IFERROR(1/0),IF(COUNT(FILTER(G:G,((A:A=A577)*(B:B=""V""))))&gt;1,TRUNC(N577*G577/SUM(FILTER(N:N,((A:A=A577)*(B:B=""V"")))),3),G577))"),"")</f>
        <v/>
      </c>
      <c r="L577" s="148" t="str">
        <f>IFERROR(__xludf.DUMMYFUNCTION("if($C577="""","""",iferror(if(row()&lt;&gt;2,INDEX(arrayformula(filter($M$2:$M576,$C$2:$C576&lt;&gt;"""",row($C$2:$C576)=max(if($C$2:$C576=C577,row($C$2:$C576),0)))) ,1),0),0))"),"")</f>
        <v/>
      </c>
      <c r="M577" s="148" t="str">
        <f t="shared" si="1"/>
        <v/>
      </c>
      <c r="N577" s="147" t="str">
        <f t="shared" si="2"/>
        <v/>
      </c>
      <c r="O577" s="147" t="str">
        <f t="shared" si="21"/>
        <v/>
      </c>
      <c r="P577" s="147" t="str">
        <f>IFERROR(__xludf.DUMMYFUNCTION("if(C577="""","""",iferror(if(row()&lt;&gt;2,INDEX(arrayformula(filter($Q$2:$Q576,$C$2:$C576&lt;&gt;"""",row($C$2:$C576)=max(if($C$2:$C576=C577,row($C$2:$C576),0)))) ,1),0),0))"),"")</f>
        <v/>
      </c>
      <c r="Q577" s="147" t="str">
        <f t="shared" si="22"/>
        <v/>
      </c>
      <c r="R577" s="147" t="str">
        <f t="shared" si="23"/>
        <v/>
      </c>
      <c r="S577" s="147" t="str">
        <f t="shared" si="24"/>
        <v/>
      </c>
      <c r="T577" s="147" t="str">
        <f t="shared" si="7"/>
        <v/>
      </c>
      <c r="U577" s="150" t="str">
        <f t="shared" si="8"/>
        <v/>
      </c>
      <c r="V577" s="151" t="str">
        <f>IFERROR(VLOOKUP(C577,Ativos!$A$1:$G2000,5,),)</f>
        <v/>
      </c>
    </row>
    <row r="578" ht="21.0" customHeight="1">
      <c r="A578" s="152"/>
      <c r="B578" s="160"/>
      <c r="C578" s="153"/>
      <c r="D578" s="154"/>
      <c r="E578" s="139"/>
      <c r="F578" s="139"/>
      <c r="G578" s="139"/>
      <c r="H578" s="135"/>
      <c r="I578" s="141"/>
      <c r="J578" s="147" t="str">
        <f>IFERROR(__xludf.DUMMYFUNCTION("IF(ISBLANK(A578),IFERROR(1/0),IF(COUNT(FILTER(F:F,A:A=A578))&gt;1,TRUNC(N578*F578/SUM(FILTER(N:N,A:A=A578)),3),F578))"),"")</f>
        <v/>
      </c>
      <c r="K578" s="147" t="str">
        <f>IFERROR(__xludf.DUMMYFUNCTION("IF(ISBLANK(A578),IFERROR(1/0),IF(COUNT(FILTER(G:G,((A:A=A578)*(B:B=""V""))))&gt;1,TRUNC(N578*G578/SUM(FILTER(N:N,((A:A=A578)*(B:B=""V"")))),3),G578))"),"")</f>
        <v/>
      </c>
      <c r="L578" s="148" t="str">
        <f>IFERROR(__xludf.DUMMYFUNCTION("if($C578="""","""",iferror(if(row()&lt;&gt;2,INDEX(arrayformula(filter($M$2:$M577,$C$2:$C577&lt;&gt;"""",row($C$2:$C577)=max(if($C$2:$C577=C578,row($C$2:$C577),0)))) ,1),0),0))"),"")</f>
        <v/>
      </c>
      <c r="M578" s="148" t="str">
        <f t="shared" si="1"/>
        <v/>
      </c>
      <c r="N578" s="147" t="str">
        <f t="shared" si="2"/>
        <v/>
      </c>
      <c r="O578" s="147" t="str">
        <f t="shared" si="21"/>
        <v/>
      </c>
      <c r="P578" s="147" t="str">
        <f>IFERROR(__xludf.DUMMYFUNCTION("if(C578="""","""",iferror(if(row()&lt;&gt;2,INDEX(arrayformula(filter($Q$2:$Q577,$C$2:$C577&lt;&gt;"""",row($C$2:$C577)=max(if($C$2:$C577=C578,row($C$2:$C577),0)))) ,1),0),0))"),"")</f>
        <v/>
      </c>
      <c r="Q578" s="147" t="str">
        <f t="shared" si="22"/>
        <v/>
      </c>
      <c r="R578" s="147" t="str">
        <f t="shared" si="23"/>
        <v/>
      </c>
      <c r="S578" s="147" t="str">
        <f t="shared" si="24"/>
        <v/>
      </c>
      <c r="T578" s="147" t="str">
        <f t="shared" si="7"/>
        <v/>
      </c>
      <c r="U578" s="150" t="str">
        <f t="shared" si="8"/>
        <v/>
      </c>
      <c r="V578" s="151" t="str">
        <f>IFERROR(VLOOKUP(C578,Ativos!$A$1:$G2000,5,),)</f>
        <v/>
      </c>
    </row>
    <row r="579" ht="21.0" customHeight="1">
      <c r="A579" s="152"/>
      <c r="B579" s="160"/>
      <c r="C579" s="153"/>
      <c r="D579" s="154"/>
      <c r="E579" s="139"/>
      <c r="F579" s="139"/>
      <c r="G579" s="139"/>
      <c r="H579" s="135"/>
      <c r="I579" s="141"/>
      <c r="J579" s="147" t="str">
        <f>IFERROR(__xludf.DUMMYFUNCTION("IF(ISBLANK(A579),IFERROR(1/0),IF(COUNT(FILTER(F:F,A:A=A579))&gt;1,TRUNC(N579*F579/SUM(FILTER(N:N,A:A=A579)),3),F579))"),"")</f>
        <v/>
      </c>
      <c r="K579" s="147" t="str">
        <f>IFERROR(__xludf.DUMMYFUNCTION("IF(ISBLANK(A579),IFERROR(1/0),IF(COUNT(FILTER(G:G,((A:A=A579)*(B:B=""V""))))&gt;1,TRUNC(N579*G579/SUM(FILTER(N:N,((A:A=A579)*(B:B=""V"")))),3),G579))"),"")</f>
        <v/>
      </c>
      <c r="L579" s="148" t="str">
        <f>IFERROR(__xludf.DUMMYFUNCTION("if($C579="""","""",iferror(if(row()&lt;&gt;2,INDEX(arrayformula(filter($M$2:$M578,$C$2:$C578&lt;&gt;"""",row($C$2:$C578)=max(if($C$2:$C578=C579,row($C$2:$C578),0)))) ,1),0),0))"),"")</f>
        <v/>
      </c>
      <c r="M579" s="148" t="str">
        <f t="shared" si="1"/>
        <v/>
      </c>
      <c r="N579" s="147" t="str">
        <f t="shared" si="2"/>
        <v/>
      </c>
      <c r="O579" s="147" t="str">
        <f t="shared" si="21"/>
        <v/>
      </c>
      <c r="P579" s="147" t="str">
        <f>IFERROR(__xludf.DUMMYFUNCTION("if(C579="""","""",iferror(if(row()&lt;&gt;2,INDEX(arrayformula(filter($Q$2:$Q578,$C$2:$C578&lt;&gt;"""",row($C$2:$C578)=max(if($C$2:$C578=C579,row($C$2:$C578),0)))) ,1),0),0))"),"")</f>
        <v/>
      </c>
      <c r="Q579" s="147" t="str">
        <f t="shared" si="22"/>
        <v/>
      </c>
      <c r="R579" s="147" t="str">
        <f t="shared" si="23"/>
        <v/>
      </c>
      <c r="S579" s="147" t="str">
        <f t="shared" si="24"/>
        <v/>
      </c>
      <c r="T579" s="147" t="str">
        <f t="shared" si="7"/>
        <v/>
      </c>
      <c r="U579" s="150" t="str">
        <f t="shared" si="8"/>
        <v/>
      </c>
      <c r="V579" s="151" t="str">
        <f>IFERROR(VLOOKUP(C579,Ativos!$A$1:$G2000,5,),)</f>
        <v/>
      </c>
    </row>
    <row r="580" ht="21.0" customHeight="1">
      <c r="A580" s="152"/>
      <c r="B580" s="160"/>
      <c r="C580" s="153"/>
      <c r="D580" s="154"/>
      <c r="E580" s="139"/>
      <c r="F580" s="139"/>
      <c r="G580" s="139"/>
      <c r="H580" s="135"/>
      <c r="I580" s="141"/>
      <c r="J580" s="147" t="str">
        <f>IFERROR(__xludf.DUMMYFUNCTION("IF(ISBLANK(A580),IFERROR(1/0),IF(COUNT(FILTER(F:F,A:A=A580))&gt;1,TRUNC(N580*F580/SUM(FILTER(N:N,A:A=A580)),3),F580))"),"")</f>
        <v/>
      </c>
      <c r="K580" s="147" t="str">
        <f>IFERROR(__xludf.DUMMYFUNCTION("IF(ISBLANK(A580),IFERROR(1/0),IF(COUNT(FILTER(G:G,((A:A=A580)*(B:B=""V""))))&gt;1,TRUNC(N580*G580/SUM(FILTER(N:N,((A:A=A580)*(B:B=""V"")))),3),G580))"),"")</f>
        <v/>
      </c>
      <c r="L580" s="148" t="str">
        <f>IFERROR(__xludf.DUMMYFUNCTION("if($C580="""","""",iferror(if(row()&lt;&gt;2,INDEX(arrayformula(filter($M$2:$M579,$C$2:$C579&lt;&gt;"""",row($C$2:$C579)=max(if($C$2:$C579=C580,row($C$2:$C579),0)))) ,1),0),0))"),"")</f>
        <v/>
      </c>
      <c r="M580" s="148" t="str">
        <f t="shared" si="1"/>
        <v/>
      </c>
      <c r="N580" s="147" t="str">
        <f t="shared" si="2"/>
        <v/>
      </c>
      <c r="O580" s="147" t="str">
        <f t="shared" si="21"/>
        <v/>
      </c>
      <c r="P580" s="147" t="str">
        <f>IFERROR(__xludf.DUMMYFUNCTION("if(C580="""","""",iferror(if(row()&lt;&gt;2,INDEX(arrayformula(filter($Q$2:$Q579,$C$2:$C579&lt;&gt;"""",row($C$2:$C579)=max(if($C$2:$C579=C580,row($C$2:$C579),0)))) ,1),0),0))"),"")</f>
        <v/>
      </c>
      <c r="Q580" s="147" t="str">
        <f t="shared" si="22"/>
        <v/>
      </c>
      <c r="R580" s="147" t="str">
        <f t="shared" si="23"/>
        <v/>
      </c>
      <c r="S580" s="147" t="str">
        <f t="shared" si="24"/>
        <v/>
      </c>
      <c r="T580" s="147" t="str">
        <f t="shared" si="7"/>
        <v/>
      </c>
      <c r="U580" s="150" t="str">
        <f t="shared" si="8"/>
        <v/>
      </c>
      <c r="V580" s="151" t="str">
        <f>IFERROR(VLOOKUP(C580,Ativos!$A$1:$G2000,5,),)</f>
        <v/>
      </c>
    </row>
    <row r="581" ht="21.0" customHeight="1">
      <c r="A581" s="152"/>
      <c r="B581" s="160"/>
      <c r="C581" s="153"/>
      <c r="D581" s="154"/>
      <c r="E581" s="139"/>
      <c r="F581" s="139"/>
      <c r="G581" s="139"/>
      <c r="H581" s="135"/>
      <c r="I581" s="141"/>
      <c r="J581" s="147" t="str">
        <f>IFERROR(__xludf.DUMMYFUNCTION("IF(ISBLANK(A581),IFERROR(1/0),IF(COUNT(FILTER(F:F,A:A=A581))&gt;1,TRUNC(N581*F581/SUM(FILTER(N:N,A:A=A581)),3),F581))"),"")</f>
        <v/>
      </c>
      <c r="K581" s="147" t="str">
        <f>IFERROR(__xludf.DUMMYFUNCTION("IF(ISBLANK(A581),IFERROR(1/0),IF(COUNT(FILTER(G:G,((A:A=A581)*(B:B=""V""))))&gt;1,TRUNC(N581*G581/SUM(FILTER(N:N,((A:A=A581)*(B:B=""V"")))),3),G581))"),"")</f>
        <v/>
      </c>
      <c r="L581" s="148" t="str">
        <f>IFERROR(__xludf.DUMMYFUNCTION("if($C581="""","""",iferror(if(row()&lt;&gt;2,INDEX(arrayformula(filter($M$2:$M580,$C$2:$C580&lt;&gt;"""",row($C$2:$C580)=max(if($C$2:$C580=C581,row($C$2:$C580),0)))) ,1),0),0))"),"")</f>
        <v/>
      </c>
      <c r="M581" s="148" t="str">
        <f t="shared" si="1"/>
        <v/>
      </c>
      <c r="N581" s="147" t="str">
        <f t="shared" si="2"/>
        <v/>
      </c>
      <c r="O581" s="147" t="str">
        <f t="shared" si="21"/>
        <v/>
      </c>
      <c r="P581" s="147" t="str">
        <f>IFERROR(__xludf.DUMMYFUNCTION("if(C581="""","""",iferror(if(row()&lt;&gt;2,INDEX(arrayformula(filter($Q$2:$Q580,$C$2:$C580&lt;&gt;"""",row($C$2:$C580)=max(if($C$2:$C580=C581,row($C$2:$C580),0)))) ,1),0),0))"),"")</f>
        <v/>
      </c>
      <c r="Q581" s="147" t="str">
        <f t="shared" si="22"/>
        <v/>
      </c>
      <c r="R581" s="147" t="str">
        <f t="shared" si="23"/>
        <v/>
      </c>
      <c r="S581" s="147" t="str">
        <f t="shared" si="24"/>
        <v/>
      </c>
      <c r="T581" s="147" t="str">
        <f t="shared" si="7"/>
        <v/>
      </c>
      <c r="U581" s="150" t="str">
        <f t="shared" si="8"/>
        <v/>
      </c>
      <c r="V581" s="151" t="str">
        <f>IFERROR(VLOOKUP(C581,Ativos!$A$1:$G2000,5,),)</f>
        <v/>
      </c>
    </row>
    <row r="582" ht="21.0" customHeight="1">
      <c r="A582" s="152"/>
      <c r="B582" s="160"/>
      <c r="C582" s="153"/>
      <c r="D582" s="154"/>
      <c r="E582" s="139"/>
      <c r="F582" s="139"/>
      <c r="G582" s="139"/>
      <c r="H582" s="135"/>
      <c r="I582" s="141"/>
      <c r="J582" s="147" t="str">
        <f>IFERROR(__xludf.DUMMYFUNCTION("IF(ISBLANK(A582),IFERROR(1/0),IF(COUNT(FILTER(F:F,A:A=A582))&gt;1,TRUNC(N582*F582/SUM(FILTER(N:N,A:A=A582)),3),F582))"),"")</f>
        <v/>
      </c>
      <c r="K582" s="147" t="str">
        <f>IFERROR(__xludf.DUMMYFUNCTION("IF(ISBLANK(A582),IFERROR(1/0),IF(COUNT(FILTER(G:G,((A:A=A582)*(B:B=""V""))))&gt;1,TRUNC(N582*G582/SUM(FILTER(N:N,((A:A=A582)*(B:B=""V"")))),3),G582))"),"")</f>
        <v/>
      </c>
      <c r="L582" s="148" t="str">
        <f>IFERROR(__xludf.DUMMYFUNCTION("if($C582="""","""",iferror(if(row()&lt;&gt;2,INDEX(arrayformula(filter($M$2:$M581,$C$2:$C581&lt;&gt;"""",row($C$2:$C581)=max(if($C$2:$C581=C582,row($C$2:$C581),0)))) ,1),0),0))"),"")</f>
        <v/>
      </c>
      <c r="M582" s="148" t="str">
        <f t="shared" si="1"/>
        <v/>
      </c>
      <c r="N582" s="147" t="str">
        <f t="shared" si="2"/>
        <v/>
      </c>
      <c r="O582" s="147" t="str">
        <f t="shared" si="21"/>
        <v/>
      </c>
      <c r="P582" s="147" t="str">
        <f>IFERROR(__xludf.DUMMYFUNCTION("if(C582="""","""",iferror(if(row()&lt;&gt;2,INDEX(arrayformula(filter($Q$2:$Q581,$C$2:$C581&lt;&gt;"""",row($C$2:$C581)=max(if($C$2:$C581=C582,row($C$2:$C581),0)))) ,1),0),0))"),"")</f>
        <v/>
      </c>
      <c r="Q582" s="147" t="str">
        <f t="shared" si="22"/>
        <v/>
      </c>
      <c r="R582" s="147" t="str">
        <f t="shared" si="23"/>
        <v/>
      </c>
      <c r="S582" s="147" t="str">
        <f t="shared" si="24"/>
        <v/>
      </c>
      <c r="T582" s="147" t="str">
        <f t="shared" si="7"/>
        <v/>
      </c>
      <c r="U582" s="150" t="str">
        <f t="shared" si="8"/>
        <v/>
      </c>
      <c r="V582" s="151" t="str">
        <f>IFERROR(VLOOKUP(C582,Ativos!$A$1:$G2000,5,),)</f>
        <v/>
      </c>
    </row>
    <row r="583" ht="21.0" customHeight="1">
      <c r="A583" s="152"/>
      <c r="B583" s="160"/>
      <c r="C583" s="153"/>
      <c r="D583" s="154"/>
      <c r="E583" s="139"/>
      <c r="F583" s="139"/>
      <c r="G583" s="139"/>
      <c r="H583" s="135"/>
      <c r="I583" s="141"/>
      <c r="J583" s="147" t="str">
        <f>IFERROR(__xludf.DUMMYFUNCTION("IF(ISBLANK(A583),IFERROR(1/0),IF(COUNT(FILTER(F:F,A:A=A583))&gt;1,TRUNC(N583*F583/SUM(FILTER(N:N,A:A=A583)),3),F583))"),"")</f>
        <v/>
      </c>
      <c r="K583" s="147" t="str">
        <f>IFERROR(__xludf.DUMMYFUNCTION("IF(ISBLANK(A583),IFERROR(1/0),IF(COUNT(FILTER(G:G,((A:A=A583)*(B:B=""V""))))&gt;1,TRUNC(N583*G583/SUM(FILTER(N:N,((A:A=A583)*(B:B=""V"")))),3),G583))"),"")</f>
        <v/>
      </c>
      <c r="L583" s="148" t="str">
        <f>IFERROR(__xludf.DUMMYFUNCTION("if($C583="""","""",iferror(if(row()&lt;&gt;2,INDEX(arrayformula(filter($M$2:$M582,$C$2:$C582&lt;&gt;"""",row($C$2:$C582)=max(if($C$2:$C582=C583,row($C$2:$C582),0)))) ,1),0),0))"),"")</f>
        <v/>
      </c>
      <c r="M583" s="148" t="str">
        <f t="shared" si="1"/>
        <v/>
      </c>
      <c r="N583" s="147" t="str">
        <f t="shared" si="2"/>
        <v/>
      </c>
      <c r="O583" s="147" t="str">
        <f t="shared" si="21"/>
        <v/>
      </c>
      <c r="P583" s="147" t="str">
        <f>IFERROR(__xludf.DUMMYFUNCTION("if(C583="""","""",iferror(if(row()&lt;&gt;2,INDEX(arrayformula(filter($Q$2:$Q582,$C$2:$C582&lt;&gt;"""",row($C$2:$C582)=max(if($C$2:$C582=C583,row($C$2:$C582),0)))) ,1),0),0))"),"")</f>
        <v/>
      </c>
      <c r="Q583" s="147" t="str">
        <f t="shared" si="22"/>
        <v/>
      </c>
      <c r="R583" s="147" t="str">
        <f t="shared" si="23"/>
        <v/>
      </c>
      <c r="S583" s="147" t="str">
        <f t="shared" si="24"/>
        <v/>
      </c>
      <c r="T583" s="147" t="str">
        <f t="shared" si="7"/>
        <v/>
      </c>
      <c r="U583" s="150" t="str">
        <f t="shared" si="8"/>
        <v/>
      </c>
      <c r="V583" s="151" t="str">
        <f>IFERROR(VLOOKUP(C583,Ativos!$A$1:$G2000,5,),)</f>
        <v/>
      </c>
    </row>
    <row r="584" ht="21.0" customHeight="1">
      <c r="A584" s="152"/>
      <c r="B584" s="160"/>
      <c r="C584" s="153"/>
      <c r="D584" s="154"/>
      <c r="E584" s="139"/>
      <c r="F584" s="139"/>
      <c r="G584" s="139"/>
      <c r="H584" s="135"/>
      <c r="I584" s="141"/>
      <c r="J584" s="147" t="str">
        <f>IFERROR(__xludf.DUMMYFUNCTION("IF(ISBLANK(A584),IFERROR(1/0),IF(COUNT(FILTER(F:F,A:A=A584))&gt;1,TRUNC(N584*F584/SUM(FILTER(N:N,A:A=A584)),3),F584))"),"")</f>
        <v/>
      </c>
      <c r="K584" s="147" t="str">
        <f>IFERROR(__xludf.DUMMYFUNCTION("IF(ISBLANK(A584),IFERROR(1/0),IF(COUNT(FILTER(G:G,((A:A=A584)*(B:B=""V""))))&gt;1,TRUNC(N584*G584/SUM(FILTER(N:N,((A:A=A584)*(B:B=""V"")))),3),G584))"),"")</f>
        <v/>
      </c>
      <c r="L584" s="148" t="str">
        <f>IFERROR(__xludf.DUMMYFUNCTION("if($C584="""","""",iferror(if(row()&lt;&gt;2,INDEX(arrayformula(filter($M$2:$M583,$C$2:$C583&lt;&gt;"""",row($C$2:$C583)=max(if($C$2:$C583=C584,row($C$2:$C583),0)))) ,1),0),0))"),"")</f>
        <v/>
      </c>
      <c r="M584" s="148" t="str">
        <f t="shared" si="1"/>
        <v/>
      </c>
      <c r="N584" s="147" t="str">
        <f t="shared" si="2"/>
        <v/>
      </c>
      <c r="O584" s="147" t="str">
        <f t="shared" si="21"/>
        <v/>
      </c>
      <c r="P584" s="147" t="str">
        <f>IFERROR(__xludf.DUMMYFUNCTION("if(C584="""","""",iferror(if(row()&lt;&gt;2,INDEX(arrayformula(filter($Q$2:$Q583,$C$2:$C583&lt;&gt;"""",row($C$2:$C583)=max(if($C$2:$C583=C584,row($C$2:$C583),0)))) ,1),0),0))"),"")</f>
        <v/>
      </c>
      <c r="Q584" s="147" t="str">
        <f t="shared" si="22"/>
        <v/>
      </c>
      <c r="R584" s="147" t="str">
        <f t="shared" si="23"/>
        <v/>
      </c>
      <c r="S584" s="147" t="str">
        <f t="shared" si="24"/>
        <v/>
      </c>
      <c r="T584" s="147" t="str">
        <f t="shared" si="7"/>
        <v/>
      </c>
      <c r="U584" s="150" t="str">
        <f t="shared" si="8"/>
        <v/>
      </c>
      <c r="V584" s="151" t="str">
        <f>IFERROR(VLOOKUP(C584,Ativos!$A$1:$G2000,5,),)</f>
        <v/>
      </c>
    </row>
    <row r="585" ht="21.0" customHeight="1">
      <c r="A585" s="152"/>
      <c r="B585" s="160"/>
      <c r="C585" s="153"/>
      <c r="D585" s="154"/>
      <c r="E585" s="139"/>
      <c r="F585" s="139"/>
      <c r="G585" s="139"/>
      <c r="H585" s="135"/>
      <c r="I585" s="141"/>
      <c r="J585" s="147" t="str">
        <f>IFERROR(__xludf.DUMMYFUNCTION("IF(ISBLANK(A585),IFERROR(1/0),IF(COUNT(FILTER(F:F,A:A=A585))&gt;1,TRUNC(N585*F585/SUM(FILTER(N:N,A:A=A585)),3),F585))"),"")</f>
        <v/>
      </c>
      <c r="K585" s="147" t="str">
        <f>IFERROR(__xludf.DUMMYFUNCTION("IF(ISBLANK(A585),IFERROR(1/0),IF(COUNT(FILTER(G:G,((A:A=A585)*(B:B=""V""))))&gt;1,TRUNC(N585*G585/SUM(FILTER(N:N,((A:A=A585)*(B:B=""V"")))),3),G585))"),"")</f>
        <v/>
      </c>
      <c r="L585" s="148" t="str">
        <f>IFERROR(__xludf.DUMMYFUNCTION("if($C585="""","""",iferror(if(row()&lt;&gt;2,INDEX(arrayformula(filter($M$2:$M584,$C$2:$C584&lt;&gt;"""",row($C$2:$C584)=max(if($C$2:$C584=C585,row($C$2:$C584),0)))) ,1),0),0))"),"")</f>
        <v/>
      </c>
      <c r="M585" s="148" t="str">
        <f t="shared" si="1"/>
        <v/>
      </c>
      <c r="N585" s="147" t="str">
        <f t="shared" si="2"/>
        <v/>
      </c>
      <c r="O585" s="147" t="str">
        <f t="shared" si="21"/>
        <v/>
      </c>
      <c r="P585" s="147" t="str">
        <f>IFERROR(__xludf.DUMMYFUNCTION("if(C585="""","""",iferror(if(row()&lt;&gt;2,INDEX(arrayformula(filter($Q$2:$Q584,$C$2:$C584&lt;&gt;"""",row($C$2:$C584)=max(if($C$2:$C584=C585,row($C$2:$C584),0)))) ,1),0),0))"),"")</f>
        <v/>
      </c>
      <c r="Q585" s="147" t="str">
        <f t="shared" si="22"/>
        <v/>
      </c>
      <c r="R585" s="147" t="str">
        <f t="shared" si="23"/>
        <v/>
      </c>
      <c r="S585" s="147" t="str">
        <f t="shared" si="24"/>
        <v/>
      </c>
      <c r="T585" s="147" t="str">
        <f t="shared" si="7"/>
        <v/>
      </c>
      <c r="U585" s="150" t="str">
        <f t="shared" si="8"/>
        <v/>
      </c>
      <c r="V585" s="151" t="str">
        <f>IFERROR(VLOOKUP(C585,Ativos!$A$1:$G2000,5,),)</f>
        <v/>
      </c>
    </row>
    <row r="586" ht="21.0" customHeight="1">
      <c r="A586" s="152"/>
      <c r="B586" s="160"/>
      <c r="C586" s="153"/>
      <c r="D586" s="154"/>
      <c r="E586" s="139"/>
      <c r="F586" s="139"/>
      <c r="G586" s="139"/>
      <c r="H586" s="135"/>
      <c r="I586" s="141"/>
      <c r="J586" s="147" t="str">
        <f>IFERROR(__xludf.DUMMYFUNCTION("IF(ISBLANK(A586),IFERROR(1/0),IF(COUNT(FILTER(F:F,A:A=A586))&gt;1,TRUNC(N586*F586/SUM(FILTER(N:N,A:A=A586)),3),F586))"),"")</f>
        <v/>
      </c>
      <c r="K586" s="147" t="str">
        <f>IFERROR(__xludf.DUMMYFUNCTION("IF(ISBLANK(A586),IFERROR(1/0),IF(COUNT(FILTER(G:G,((A:A=A586)*(B:B=""V""))))&gt;1,TRUNC(N586*G586/SUM(FILTER(N:N,((A:A=A586)*(B:B=""V"")))),3),G586))"),"")</f>
        <v/>
      </c>
      <c r="L586" s="148" t="str">
        <f>IFERROR(__xludf.DUMMYFUNCTION("if($C586="""","""",iferror(if(row()&lt;&gt;2,INDEX(arrayformula(filter($M$2:$M585,$C$2:$C585&lt;&gt;"""",row($C$2:$C585)=max(if($C$2:$C585=C586,row($C$2:$C585),0)))) ,1),0),0))"),"")</f>
        <v/>
      </c>
      <c r="M586" s="148" t="str">
        <f t="shared" si="1"/>
        <v/>
      </c>
      <c r="N586" s="147" t="str">
        <f t="shared" si="2"/>
        <v/>
      </c>
      <c r="O586" s="147" t="str">
        <f t="shared" si="21"/>
        <v/>
      </c>
      <c r="P586" s="147" t="str">
        <f>IFERROR(__xludf.DUMMYFUNCTION("if(C586="""","""",iferror(if(row()&lt;&gt;2,INDEX(arrayformula(filter($Q$2:$Q585,$C$2:$C585&lt;&gt;"""",row($C$2:$C585)=max(if($C$2:$C585=C586,row($C$2:$C585),0)))) ,1),0),0))"),"")</f>
        <v/>
      </c>
      <c r="Q586" s="147" t="str">
        <f t="shared" si="22"/>
        <v/>
      </c>
      <c r="R586" s="147" t="str">
        <f t="shared" si="23"/>
        <v/>
      </c>
      <c r="S586" s="147" t="str">
        <f t="shared" si="24"/>
        <v/>
      </c>
      <c r="T586" s="147" t="str">
        <f t="shared" si="7"/>
        <v/>
      </c>
      <c r="U586" s="150" t="str">
        <f t="shared" si="8"/>
        <v/>
      </c>
      <c r="V586" s="151" t="str">
        <f>IFERROR(VLOOKUP(C586,Ativos!$A$1:$G2000,5,),)</f>
        <v/>
      </c>
    </row>
    <row r="587" ht="21.0" customHeight="1">
      <c r="A587" s="152"/>
      <c r="B587" s="160"/>
      <c r="C587" s="153"/>
      <c r="D587" s="154"/>
      <c r="E587" s="139"/>
      <c r="F587" s="139"/>
      <c r="G587" s="139"/>
      <c r="H587" s="135"/>
      <c r="I587" s="141"/>
      <c r="J587" s="147" t="str">
        <f>IFERROR(__xludf.DUMMYFUNCTION("IF(ISBLANK(A587),IFERROR(1/0),IF(COUNT(FILTER(F:F,A:A=A587))&gt;1,TRUNC(N587*F587/SUM(FILTER(N:N,A:A=A587)),3),F587))"),"")</f>
        <v/>
      </c>
      <c r="K587" s="147" t="str">
        <f>IFERROR(__xludf.DUMMYFUNCTION("IF(ISBLANK(A587),IFERROR(1/0),IF(COUNT(FILTER(G:G,((A:A=A587)*(B:B=""V""))))&gt;1,TRUNC(N587*G587/SUM(FILTER(N:N,((A:A=A587)*(B:B=""V"")))),3),G587))"),"")</f>
        <v/>
      </c>
      <c r="L587" s="148" t="str">
        <f>IFERROR(__xludf.DUMMYFUNCTION("if($C587="""","""",iferror(if(row()&lt;&gt;2,INDEX(arrayformula(filter($M$2:$M586,$C$2:$C586&lt;&gt;"""",row($C$2:$C586)=max(if($C$2:$C586=C587,row($C$2:$C586),0)))) ,1),0),0))"),"")</f>
        <v/>
      </c>
      <c r="M587" s="148" t="str">
        <f t="shared" si="1"/>
        <v/>
      </c>
      <c r="N587" s="147" t="str">
        <f t="shared" si="2"/>
        <v/>
      </c>
      <c r="O587" s="147" t="str">
        <f t="shared" si="21"/>
        <v/>
      </c>
      <c r="P587" s="147" t="str">
        <f>IFERROR(__xludf.DUMMYFUNCTION("if(C587="""","""",iferror(if(row()&lt;&gt;2,INDEX(arrayformula(filter($Q$2:$Q586,$C$2:$C586&lt;&gt;"""",row($C$2:$C586)=max(if($C$2:$C586=C587,row($C$2:$C586),0)))) ,1),0),0))"),"")</f>
        <v/>
      </c>
      <c r="Q587" s="147" t="str">
        <f t="shared" si="22"/>
        <v/>
      </c>
      <c r="R587" s="147" t="str">
        <f t="shared" si="23"/>
        <v/>
      </c>
      <c r="S587" s="147" t="str">
        <f t="shared" si="24"/>
        <v/>
      </c>
      <c r="T587" s="147" t="str">
        <f t="shared" si="7"/>
        <v/>
      </c>
      <c r="U587" s="150" t="str">
        <f t="shared" si="8"/>
        <v/>
      </c>
      <c r="V587" s="151" t="str">
        <f>IFERROR(VLOOKUP(C587,Ativos!$A$1:$G2000,5,),)</f>
        <v/>
      </c>
    </row>
    <row r="588" ht="21.0" customHeight="1">
      <c r="A588" s="152"/>
      <c r="B588" s="160"/>
      <c r="C588" s="153"/>
      <c r="D588" s="154"/>
      <c r="E588" s="139"/>
      <c r="F588" s="139"/>
      <c r="G588" s="139"/>
      <c r="H588" s="135"/>
      <c r="I588" s="141"/>
      <c r="J588" s="147" t="str">
        <f>IFERROR(__xludf.DUMMYFUNCTION("IF(ISBLANK(A588),IFERROR(1/0),IF(COUNT(FILTER(F:F,A:A=A588))&gt;1,TRUNC(N588*F588/SUM(FILTER(N:N,A:A=A588)),3),F588))"),"")</f>
        <v/>
      </c>
      <c r="K588" s="147" t="str">
        <f>IFERROR(__xludf.DUMMYFUNCTION("IF(ISBLANK(A588),IFERROR(1/0),IF(COUNT(FILTER(G:G,((A:A=A588)*(B:B=""V""))))&gt;1,TRUNC(N588*G588/SUM(FILTER(N:N,((A:A=A588)*(B:B=""V"")))),3),G588))"),"")</f>
        <v/>
      </c>
      <c r="L588" s="148" t="str">
        <f>IFERROR(__xludf.DUMMYFUNCTION("if($C588="""","""",iferror(if(row()&lt;&gt;2,INDEX(arrayformula(filter($M$2:$M587,$C$2:$C587&lt;&gt;"""",row($C$2:$C587)=max(if($C$2:$C587=C588,row($C$2:$C587),0)))) ,1),0),0))"),"")</f>
        <v/>
      </c>
      <c r="M588" s="148" t="str">
        <f t="shared" si="1"/>
        <v/>
      </c>
      <c r="N588" s="147" t="str">
        <f t="shared" si="2"/>
        <v/>
      </c>
      <c r="O588" s="147" t="str">
        <f t="shared" si="21"/>
        <v/>
      </c>
      <c r="P588" s="147" t="str">
        <f>IFERROR(__xludf.DUMMYFUNCTION("if(C588="""","""",iferror(if(row()&lt;&gt;2,INDEX(arrayformula(filter($Q$2:$Q587,$C$2:$C587&lt;&gt;"""",row($C$2:$C587)=max(if($C$2:$C587=C588,row($C$2:$C587),0)))) ,1),0),0))"),"")</f>
        <v/>
      </c>
      <c r="Q588" s="147" t="str">
        <f t="shared" si="22"/>
        <v/>
      </c>
      <c r="R588" s="147" t="str">
        <f t="shared" si="23"/>
        <v/>
      </c>
      <c r="S588" s="147" t="str">
        <f t="shared" si="24"/>
        <v/>
      </c>
      <c r="T588" s="147" t="str">
        <f t="shared" si="7"/>
        <v/>
      </c>
      <c r="U588" s="150" t="str">
        <f t="shared" si="8"/>
        <v/>
      </c>
      <c r="V588" s="151" t="str">
        <f>IFERROR(VLOOKUP(C588,Ativos!$A$1:$G2000,5,),)</f>
        <v/>
      </c>
    </row>
    <row r="589" ht="21.0" customHeight="1">
      <c r="A589" s="152"/>
      <c r="B589" s="160"/>
      <c r="C589" s="153"/>
      <c r="D589" s="154"/>
      <c r="E589" s="139"/>
      <c r="F589" s="139"/>
      <c r="G589" s="139"/>
      <c r="H589" s="135"/>
      <c r="I589" s="141"/>
      <c r="J589" s="147" t="str">
        <f>IFERROR(__xludf.DUMMYFUNCTION("IF(ISBLANK(A589),IFERROR(1/0),IF(COUNT(FILTER(F:F,A:A=A589))&gt;1,TRUNC(N589*F589/SUM(FILTER(N:N,A:A=A589)),3),F589))"),"")</f>
        <v/>
      </c>
      <c r="K589" s="147" t="str">
        <f>IFERROR(__xludf.DUMMYFUNCTION("IF(ISBLANK(A589),IFERROR(1/0),IF(COUNT(FILTER(G:G,((A:A=A589)*(B:B=""V""))))&gt;1,TRUNC(N589*G589/SUM(FILTER(N:N,((A:A=A589)*(B:B=""V"")))),3),G589))"),"")</f>
        <v/>
      </c>
      <c r="L589" s="148" t="str">
        <f>IFERROR(__xludf.DUMMYFUNCTION("if($C589="""","""",iferror(if(row()&lt;&gt;2,INDEX(arrayformula(filter($M$2:$M588,$C$2:$C588&lt;&gt;"""",row($C$2:$C588)=max(if($C$2:$C588=C589,row($C$2:$C588),0)))) ,1),0),0))"),"")</f>
        <v/>
      </c>
      <c r="M589" s="148" t="str">
        <f t="shared" si="1"/>
        <v/>
      </c>
      <c r="N589" s="147" t="str">
        <f t="shared" si="2"/>
        <v/>
      </c>
      <c r="O589" s="147" t="str">
        <f t="shared" si="21"/>
        <v/>
      </c>
      <c r="P589" s="147" t="str">
        <f>IFERROR(__xludf.DUMMYFUNCTION("if(C589="""","""",iferror(if(row()&lt;&gt;2,INDEX(arrayformula(filter($Q$2:$Q588,$C$2:$C588&lt;&gt;"""",row($C$2:$C588)=max(if($C$2:$C588=C589,row($C$2:$C588),0)))) ,1),0),0))"),"")</f>
        <v/>
      </c>
      <c r="Q589" s="147" t="str">
        <f t="shared" si="22"/>
        <v/>
      </c>
      <c r="R589" s="147" t="str">
        <f t="shared" si="23"/>
        <v/>
      </c>
      <c r="S589" s="147" t="str">
        <f t="shared" si="24"/>
        <v/>
      </c>
      <c r="T589" s="147" t="str">
        <f t="shared" si="7"/>
        <v/>
      </c>
      <c r="U589" s="150" t="str">
        <f t="shared" si="8"/>
        <v/>
      </c>
      <c r="V589" s="151" t="str">
        <f>IFERROR(VLOOKUP(C589,Ativos!$A$1:$G2000,5,),)</f>
        <v/>
      </c>
    </row>
    <row r="590" ht="21.0" customHeight="1">
      <c r="A590" s="152"/>
      <c r="B590" s="160"/>
      <c r="C590" s="153"/>
      <c r="D590" s="154"/>
      <c r="E590" s="139"/>
      <c r="F590" s="139"/>
      <c r="G590" s="139"/>
      <c r="H590" s="135"/>
      <c r="I590" s="141"/>
      <c r="J590" s="147" t="str">
        <f>IFERROR(__xludf.DUMMYFUNCTION("IF(ISBLANK(A590),IFERROR(1/0),IF(COUNT(FILTER(F:F,A:A=A590))&gt;1,TRUNC(N590*F590/SUM(FILTER(N:N,A:A=A590)),3),F590))"),"")</f>
        <v/>
      </c>
      <c r="K590" s="147" t="str">
        <f>IFERROR(__xludf.DUMMYFUNCTION("IF(ISBLANK(A590),IFERROR(1/0),IF(COUNT(FILTER(G:G,((A:A=A590)*(B:B=""V""))))&gt;1,TRUNC(N590*G590/SUM(FILTER(N:N,((A:A=A590)*(B:B=""V"")))),3),G590))"),"")</f>
        <v/>
      </c>
      <c r="L590" s="148" t="str">
        <f>IFERROR(__xludf.DUMMYFUNCTION("if($C590="""","""",iferror(if(row()&lt;&gt;2,INDEX(arrayformula(filter($M$2:$M589,$C$2:$C589&lt;&gt;"""",row($C$2:$C589)=max(if($C$2:$C589=C590,row($C$2:$C589),0)))) ,1),0),0))"),"")</f>
        <v/>
      </c>
      <c r="M590" s="148" t="str">
        <f t="shared" si="1"/>
        <v/>
      </c>
      <c r="N590" s="147" t="str">
        <f t="shared" si="2"/>
        <v/>
      </c>
      <c r="O590" s="147" t="str">
        <f t="shared" si="21"/>
        <v/>
      </c>
      <c r="P590" s="147" t="str">
        <f>IFERROR(__xludf.DUMMYFUNCTION("if(C590="""","""",iferror(if(row()&lt;&gt;2,INDEX(arrayformula(filter($Q$2:$Q589,$C$2:$C589&lt;&gt;"""",row($C$2:$C589)=max(if($C$2:$C589=C590,row($C$2:$C589),0)))) ,1),0),0))"),"")</f>
        <v/>
      </c>
      <c r="Q590" s="147" t="str">
        <f t="shared" si="22"/>
        <v/>
      </c>
      <c r="R590" s="147" t="str">
        <f t="shared" si="23"/>
        <v/>
      </c>
      <c r="S590" s="147" t="str">
        <f t="shared" si="24"/>
        <v/>
      </c>
      <c r="T590" s="147" t="str">
        <f t="shared" si="7"/>
        <v/>
      </c>
      <c r="U590" s="150" t="str">
        <f t="shared" si="8"/>
        <v/>
      </c>
      <c r="V590" s="151" t="str">
        <f>IFERROR(VLOOKUP(C590,Ativos!$A$1:$G2000,5,),)</f>
        <v/>
      </c>
    </row>
    <row r="591" ht="21.0" customHeight="1">
      <c r="A591" s="152"/>
      <c r="B591" s="160"/>
      <c r="C591" s="153"/>
      <c r="D591" s="154"/>
      <c r="E591" s="139"/>
      <c r="F591" s="139"/>
      <c r="G591" s="139"/>
      <c r="H591" s="135"/>
      <c r="I591" s="141"/>
      <c r="J591" s="147" t="str">
        <f>IFERROR(__xludf.DUMMYFUNCTION("IF(ISBLANK(A591),IFERROR(1/0),IF(COUNT(FILTER(F:F,A:A=A591))&gt;1,TRUNC(N591*F591/SUM(FILTER(N:N,A:A=A591)),3),F591))"),"")</f>
        <v/>
      </c>
      <c r="K591" s="147" t="str">
        <f>IFERROR(__xludf.DUMMYFUNCTION("IF(ISBLANK(A591),IFERROR(1/0),IF(COUNT(FILTER(G:G,((A:A=A591)*(B:B=""V""))))&gt;1,TRUNC(N591*G591/SUM(FILTER(N:N,((A:A=A591)*(B:B=""V"")))),3),G591))"),"")</f>
        <v/>
      </c>
      <c r="L591" s="148" t="str">
        <f>IFERROR(__xludf.DUMMYFUNCTION("if($C591="""","""",iferror(if(row()&lt;&gt;2,INDEX(arrayformula(filter($M$2:$M590,$C$2:$C590&lt;&gt;"""",row($C$2:$C590)=max(if($C$2:$C590=C591,row($C$2:$C590),0)))) ,1),0),0))"),"")</f>
        <v/>
      </c>
      <c r="M591" s="148" t="str">
        <f t="shared" si="1"/>
        <v/>
      </c>
      <c r="N591" s="147" t="str">
        <f t="shared" si="2"/>
        <v/>
      </c>
      <c r="O591" s="147" t="str">
        <f t="shared" si="21"/>
        <v/>
      </c>
      <c r="P591" s="147" t="str">
        <f>IFERROR(__xludf.DUMMYFUNCTION("if(C591="""","""",iferror(if(row()&lt;&gt;2,INDEX(arrayformula(filter($Q$2:$Q590,$C$2:$C590&lt;&gt;"""",row($C$2:$C590)=max(if($C$2:$C590=C591,row($C$2:$C590),0)))) ,1),0),0))"),"")</f>
        <v/>
      </c>
      <c r="Q591" s="147" t="str">
        <f t="shared" si="22"/>
        <v/>
      </c>
      <c r="R591" s="147" t="str">
        <f t="shared" si="23"/>
        <v/>
      </c>
      <c r="S591" s="147" t="str">
        <f t="shared" si="24"/>
        <v/>
      </c>
      <c r="T591" s="147" t="str">
        <f t="shared" si="7"/>
        <v/>
      </c>
      <c r="U591" s="150" t="str">
        <f t="shared" si="8"/>
        <v/>
      </c>
      <c r="V591" s="151" t="str">
        <f>IFERROR(VLOOKUP(C591,Ativos!$A$1:$G2000,5,),)</f>
        <v/>
      </c>
    </row>
    <row r="592" ht="21.0" customHeight="1">
      <c r="A592" s="152"/>
      <c r="B592" s="160"/>
      <c r="C592" s="153"/>
      <c r="D592" s="154"/>
      <c r="E592" s="139"/>
      <c r="F592" s="139"/>
      <c r="G592" s="139"/>
      <c r="H592" s="135"/>
      <c r="I592" s="141"/>
      <c r="J592" s="147" t="str">
        <f>IFERROR(__xludf.DUMMYFUNCTION("IF(ISBLANK(A592),IFERROR(1/0),IF(COUNT(FILTER(F:F,A:A=A592))&gt;1,TRUNC(N592*F592/SUM(FILTER(N:N,A:A=A592)),3),F592))"),"")</f>
        <v/>
      </c>
      <c r="K592" s="147" t="str">
        <f>IFERROR(__xludf.DUMMYFUNCTION("IF(ISBLANK(A592),IFERROR(1/0),IF(COUNT(FILTER(G:G,((A:A=A592)*(B:B=""V""))))&gt;1,TRUNC(N592*G592/SUM(FILTER(N:N,((A:A=A592)*(B:B=""V"")))),3),G592))"),"")</f>
        <v/>
      </c>
      <c r="L592" s="148" t="str">
        <f>IFERROR(__xludf.DUMMYFUNCTION("if($C592="""","""",iferror(if(row()&lt;&gt;2,INDEX(arrayformula(filter($M$2:$M591,$C$2:$C591&lt;&gt;"""",row($C$2:$C591)=max(if($C$2:$C591=C592,row($C$2:$C591),0)))) ,1),0),0))"),"")</f>
        <v/>
      </c>
      <c r="M592" s="148" t="str">
        <f t="shared" si="1"/>
        <v/>
      </c>
      <c r="N592" s="147" t="str">
        <f t="shared" si="2"/>
        <v/>
      </c>
      <c r="O592" s="147" t="str">
        <f t="shared" si="21"/>
        <v/>
      </c>
      <c r="P592" s="147" t="str">
        <f>IFERROR(__xludf.DUMMYFUNCTION("if(C592="""","""",iferror(if(row()&lt;&gt;2,INDEX(arrayformula(filter($Q$2:$Q591,$C$2:$C591&lt;&gt;"""",row($C$2:$C591)=max(if($C$2:$C591=C592,row($C$2:$C591),0)))) ,1),0),0))"),"")</f>
        <v/>
      </c>
      <c r="Q592" s="147" t="str">
        <f t="shared" si="22"/>
        <v/>
      </c>
      <c r="R592" s="147" t="str">
        <f t="shared" si="23"/>
        <v/>
      </c>
      <c r="S592" s="147" t="str">
        <f t="shared" si="24"/>
        <v/>
      </c>
      <c r="T592" s="147" t="str">
        <f t="shared" si="7"/>
        <v/>
      </c>
      <c r="U592" s="150" t="str">
        <f t="shared" si="8"/>
        <v/>
      </c>
      <c r="V592" s="151" t="str">
        <f>IFERROR(VLOOKUP(C592,Ativos!$A$1:$G2000,5,),)</f>
        <v/>
      </c>
    </row>
    <row r="593" ht="21.0" customHeight="1">
      <c r="A593" s="152"/>
      <c r="B593" s="160"/>
      <c r="C593" s="153"/>
      <c r="D593" s="154"/>
      <c r="E593" s="139"/>
      <c r="F593" s="139"/>
      <c r="G593" s="139"/>
      <c r="H593" s="135"/>
      <c r="I593" s="141"/>
      <c r="J593" s="147" t="str">
        <f>IFERROR(__xludf.DUMMYFUNCTION("IF(ISBLANK(A593),IFERROR(1/0),IF(COUNT(FILTER(F:F,A:A=A593))&gt;1,TRUNC(N593*F593/SUM(FILTER(N:N,A:A=A593)),3),F593))"),"")</f>
        <v/>
      </c>
      <c r="K593" s="147" t="str">
        <f>IFERROR(__xludf.DUMMYFUNCTION("IF(ISBLANK(A593),IFERROR(1/0),IF(COUNT(FILTER(G:G,((A:A=A593)*(B:B=""V""))))&gt;1,TRUNC(N593*G593/SUM(FILTER(N:N,((A:A=A593)*(B:B=""V"")))),3),G593))"),"")</f>
        <v/>
      </c>
      <c r="L593" s="148" t="str">
        <f>IFERROR(__xludf.DUMMYFUNCTION("if($C593="""","""",iferror(if(row()&lt;&gt;2,INDEX(arrayformula(filter($M$2:$M592,$C$2:$C592&lt;&gt;"""",row($C$2:$C592)=max(if($C$2:$C592=C593,row($C$2:$C592),0)))) ,1),0),0))"),"")</f>
        <v/>
      </c>
      <c r="M593" s="148" t="str">
        <f t="shared" si="1"/>
        <v/>
      </c>
      <c r="N593" s="147" t="str">
        <f t="shared" si="2"/>
        <v/>
      </c>
      <c r="O593" s="147" t="str">
        <f t="shared" si="21"/>
        <v/>
      </c>
      <c r="P593" s="147" t="str">
        <f>IFERROR(__xludf.DUMMYFUNCTION("if(C593="""","""",iferror(if(row()&lt;&gt;2,INDEX(arrayformula(filter($Q$2:$Q592,$C$2:$C592&lt;&gt;"""",row($C$2:$C592)=max(if($C$2:$C592=C593,row($C$2:$C592),0)))) ,1),0),0))"),"")</f>
        <v/>
      </c>
      <c r="Q593" s="147" t="str">
        <f t="shared" si="22"/>
        <v/>
      </c>
      <c r="R593" s="147" t="str">
        <f t="shared" si="23"/>
        <v/>
      </c>
      <c r="S593" s="147" t="str">
        <f t="shared" si="24"/>
        <v/>
      </c>
      <c r="T593" s="147" t="str">
        <f t="shared" si="7"/>
        <v/>
      </c>
      <c r="U593" s="150" t="str">
        <f t="shared" si="8"/>
        <v/>
      </c>
      <c r="V593" s="151" t="str">
        <f>IFERROR(VLOOKUP(C593,Ativos!$A$1:$G2000,5,),)</f>
        <v/>
      </c>
    </row>
    <row r="594" ht="21.0" customHeight="1">
      <c r="A594" s="152"/>
      <c r="B594" s="160"/>
      <c r="C594" s="153"/>
      <c r="D594" s="154"/>
      <c r="E594" s="139"/>
      <c r="F594" s="139"/>
      <c r="G594" s="139"/>
      <c r="H594" s="135"/>
      <c r="I594" s="141"/>
      <c r="J594" s="147" t="str">
        <f>IFERROR(__xludf.DUMMYFUNCTION("IF(ISBLANK(A594),IFERROR(1/0),IF(COUNT(FILTER(F:F,A:A=A594))&gt;1,TRUNC(N594*F594/SUM(FILTER(N:N,A:A=A594)),3),F594))"),"")</f>
        <v/>
      </c>
      <c r="K594" s="147" t="str">
        <f>IFERROR(__xludf.DUMMYFUNCTION("IF(ISBLANK(A594),IFERROR(1/0),IF(COUNT(FILTER(G:G,((A:A=A594)*(B:B=""V""))))&gt;1,TRUNC(N594*G594/SUM(FILTER(N:N,((A:A=A594)*(B:B=""V"")))),3),G594))"),"")</f>
        <v/>
      </c>
      <c r="L594" s="148" t="str">
        <f>IFERROR(__xludf.DUMMYFUNCTION("if($C594="""","""",iferror(if(row()&lt;&gt;2,INDEX(arrayformula(filter($M$2:$M593,$C$2:$C593&lt;&gt;"""",row($C$2:$C593)=max(if($C$2:$C593=C594,row($C$2:$C593),0)))) ,1),0),0))"),"")</f>
        <v/>
      </c>
      <c r="M594" s="148" t="str">
        <f t="shared" si="1"/>
        <v/>
      </c>
      <c r="N594" s="147" t="str">
        <f t="shared" si="2"/>
        <v/>
      </c>
      <c r="O594" s="147" t="str">
        <f t="shared" si="21"/>
        <v/>
      </c>
      <c r="P594" s="147" t="str">
        <f>IFERROR(__xludf.DUMMYFUNCTION("if(C594="""","""",iferror(if(row()&lt;&gt;2,INDEX(arrayformula(filter($Q$2:$Q593,$C$2:$C593&lt;&gt;"""",row($C$2:$C593)=max(if($C$2:$C593=C594,row($C$2:$C593),0)))) ,1),0),0))"),"")</f>
        <v/>
      </c>
      <c r="Q594" s="147" t="str">
        <f t="shared" si="22"/>
        <v/>
      </c>
      <c r="R594" s="147" t="str">
        <f t="shared" si="23"/>
        <v/>
      </c>
      <c r="S594" s="147" t="str">
        <f t="shared" si="24"/>
        <v/>
      </c>
      <c r="T594" s="147" t="str">
        <f t="shared" si="7"/>
        <v/>
      </c>
      <c r="U594" s="150" t="str">
        <f t="shared" si="8"/>
        <v/>
      </c>
      <c r="V594" s="151" t="str">
        <f>IFERROR(VLOOKUP(C594,Ativos!$A$1:$G2000,5,),)</f>
        <v/>
      </c>
    </row>
    <row r="595" ht="21.0" customHeight="1">
      <c r="A595" s="152"/>
      <c r="B595" s="160"/>
      <c r="C595" s="153"/>
      <c r="D595" s="154"/>
      <c r="E595" s="139"/>
      <c r="F595" s="139"/>
      <c r="G595" s="139"/>
      <c r="H595" s="135"/>
      <c r="I595" s="141"/>
      <c r="J595" s="147" t="str">
        <f>IFERROR(__xludf.DUMMYFUNCTION("IF(ISBLANK(A595),IFERROR(1/0),IF(COUNT(FILTER(F:F,A:A=A595))&gt;1,TRUNC(N595*F595/SUM(FILTER(N:N,A:A=A595)),3),F595))"),"")</f>
        <v/>
      </c>
      <c r="K595" s="147" t="str">
        <f>IFERROR(__xludf.DUMMYFUNCTION("IF(ISBLANK(A595),IFERROR(1/0),IF(COUNT(FILTER(G:G,((A:A=A595)*(B:B=""V""))))&gt;1,TRUNC(N595*G595/SUM(FILTER(N:N,((A:A=A595)*(B:B=""V"")))),3),G595))"),"")</f>
        <v/>
      </c>
      <c r="L595" s="148" t="str">
        <f>IFERROR(__xludf.DUMMYFUNCTION("if($C595="""","""",iferror(if(row()&lt;&gt;2,INDEX(arrayformula(filter($M$2:$M594,$C$2:$C594&lt;&gt;"""",row($C$2:$C594)=max(if($C$2:$C594=C595,row($C$2:$C594),0)))) ,1),0),0))"),"")</f>
        <v/>
      </c>
      <c r="M595" s="148" t="str">
        <f t="shared" si="1"/>
        <v/>
      </c>
      <c r="N595" s="147" t="str">
        <f t="shared" si="2"/>
        <v/>
      </c>
      <c r="O595" s="147" t="str">
        <f t="shared" si="21"/>
        <v/>
      </c>
      <c r="P595" s="147" t="str">
        <f>IFERROR(__xludf.DUMMYFUNCTION("if(C595="""","""",iferror(if(row()&lt;&gt;2,INDEX(arrayformula(filter($Q$2:$Q594,$C$2:$C594&lt;&gt;"""",row($C$2:$C594)=max(if($C$2:$C594=C595,row($C$2:$C594),0)))) ,1),0),0))"),"")</f>
        <v/>
      </c>
      <c r="Q595" s="147" t="str">
        <f t="shared" si="22"/>
        <v/>
      </c>
      <c r="R595" s="147" t="str">
        <f t="shared" si="23"/>
        <v/>
      </c>
      <c r="S595" s="147" t="str">
        <f t="shared" si="24"/>
        <v/>
      </c>
      <c r="T595" s="147" t="str">
        <f t="shared" si="7"/>
        <v/>
      </c>
      <c r="U595" s="150" t="str">
        <f t="shared" si="8"/>
        <v/>
      </c>
      <c r="V595" s="151" t="str">
        <f>IFERROR(VLOOKUP(C595,Ativos!$A$1:$G2000,5,),)</f>
        <v/>
      </c>
    </row>
    <row r="596" ht="21.0" customHeight="1">
      <c r="A596" s="152"/>
      <c r="B596" s="160"/>
      <c r="C596" s="153"/>
      <c r="D596" s="154"/>
      <c r="E596" s="139"/>
      <c r="F596" s="139"/>
      <c r="G596" s="139"/>
      <c r="H596" s="135"/>
      <c r="I596" s="141"/>
      <c r="J596" s="147" t="str">
        <f>IFERROR(__xludf.DUMMYFUNCTION("IF(ISBLANK(A596),IFERROR(1/0),IF(COUNT(FILTER(F:F,A:A=A596))&gt;1,TRUNC(N596*F596/SUM(FILTER(N:N,A:A=A596)),3),F596))"),"")</f>
        <v/>
      </c>
      <c r="K596" s="147" t="str">
        <f>IFERROR(__xludf.DUMMYFUNCTION("IF(ISBLANK(A596),IFERROR(1/0),IF(COUNT(FILTER(G:G,((A:A=A596)*(B:B=""V""))))&gt;1,TRUNC(N596*G596/SUM(FILTER(N:N,((A:A=A596)*(B:B=""V"")))),3),G596))"),"")</f>
        <v/>
      </c>
      <c r="L596" s="148" t="str">
        <f>IFERROR(__xludf.DUMMYFUNCTION("if($C596="""","""",iferror(if(row()&lt;&gt;2,INDEX(arrayformula(filter($M$2:$M595,$C$2:$C595&lt;&gt;"""",row($C$2:$C595)=max(if($C$2:$C595=C596,row($C$2:$C595),0)))) ,1),0),0))"),"")</f>
        <v/>
      </c>
      <c r="M596" s="148" t="str">
        <f t="shared" si="1"/>
        <v/>
      </c>
      <c r="N596" s="147" t="str">
        <f t="shared" si="2"/>
        <v/>
      </c>
      <c r="O596" s="147" t="str">
        <f t="shared" si="21"/>
        <v/>
      </c>
      <c r="P596" s="147" t="str">
        <f>IFERROR(__xludf.DUMMYFUNCTION("if(C596="""","""",iferror(if(row()&lt;&gt;2,INDEX(arrayformula(filter($Q$2:$Q595,$C$2:$C595&lt;&gt;"""",row($C$2:$C595)=max(if($C$2:$C595=C596,row($C$2:$C595),0)))) ,1),0),0))"),"")</f>
        <v/>
      </c>
      <c r="Q596" s="147" t="str">
        <f t="shared" si="22"/>
        <v/>
      </c>
      <c r="R596" s="147" t="str">
        <f t="shared" si="23"/>
        <v/>
      </c>
      <c r="S596" s="147" t="str">
        <f t="shared" si="24"/>
        <v/>
      </c>
      <c r="T596" s="147" t="str">
        <f t="shared" si="7"/>
        <v/>
      </c>
      <c r="U596" s="150" t="str">
        <f t="shared" si="8"/>
        <v/>
      </c>
      <c r="V596" s="151" t="str">
        <f>IFERROR(VLOOKUP(C596,Ativos!$A$1:$G2000,5,),)</f>
        <v/>
      </c>
    </row>
    <row r="597" ht="21.0" customHeight="1">
      <c r="A597" s="152"/>
      <c r="B597" s="160"/>
      <c r="C597" s="153"/>
      <c r="D597" s="154"/>
      <c r="E597" s="139"/>
      <c r="F597" s="139"/>
      <c r="G597" s="139"/>
      <c r="H597" s="135"/>
      <c r="I597" s="141"/>
      <c r="J597" s="147" t="str">
        <f>IFERROR(__xludf.DUMMYFUNCTION("IF(ISBLANK(A597),IFERROR(1/0),IF(COUNT(FILTER(F:F,A:A=A597))&gt;1,TRUNC(N597*F597/SUM(FILTER(N:N,A:A=A597)),3),F597))"),"")</f>
        <v/>
      </c>
      <c r="K597" s="147" t="str">
        <f>IFERROR(__xludf.DUMMYFUNCTION("IF(ISBLANK(A597),IFERROR(1/0),IF(COUNT(FILTER(G:G,((A:A=A597)*(B:B=""V""))))&gt;1,TRUNC(N597*G597/SUM(FILTER(N:N,((A:A=A597)*(B:B=""V"")))),3),G597))"),"")</f>
        <v/>
      </c>
      <c r="L597" s="148" t="str">
        <f>IFERROR(__xludf.DUMMYFUNCTION("if($C597="""","""",iferror(if(row()&lt;&gt;2,INDEX(arrayformula(filter($M$2:$M596,$C$2:$C596&lt;&gt;"""",row($C$2:$C596)=max(if($C$2:$C596=C597,row($C$2:$C596),0)))) ,1),0),0))"),"")</f>
        <v/>
      </c>
      <c r="M597" s="148" t="str">
        <f t="shared" si="1"/>
        <v/>
      </c>
      <c r="N597" s="147" t="str">
        <f t="shared" si="2"/>
        <v/>
      </c>
      <c r="O597" s="147" t="str">
        <f t="shared" si="21"/>
        <v/>
      </c>
      <c r="P597" s="147" t="str">
        <f>IFERROR(__xludf.DUMMYFUNCTION("if(C597="""","""",iferror(if(row()&lt;&gt;2,INDEX(arrayformula(filter($Q$2:$Q596,$C$2:$C596&lt;&gt;"""",row($C$2:$C596)=max(if($C$2:$C596=C597,row($C$2:$C596),0)))) ,1),0),0))"),"")</f>
        <v/>
      </c>
      <c r="Q597" s="147" t="str">
        <f t="shared" si="22"/>
        <v/>
      </c>
      <c r="R597" s="147" t="str">
        <f t="shared" si="23"/>
        <v/>
      </c>
      <c r="S597" s="147" t="str">
        <f t="shared" si="24"/>
        <v/>
      </c>
      <c r="T597" s="147" t="str">
        <f t="shared" si="7"/>
        <v/>
      </c>
      <c r="U597" s="150" t="str">
        <f t="shared" si="8"/>
        <v/>
      </c>
      <c r="V597" s="151" t="str">
        <f>IFERROR(VLOOKUP(C597,Ativos!$A$1:$G2000,5,),)</f>
        <v/>
      </c>
    </row>
    <row r="598" ht="21.0" customHeight="1">
      <c r="A598" s="152"/>
      <c r="B598" s="160"/>
      <c r="C598" s="153"/>
      <c r="D598" s="154"/>
      <c r="E598" s="139"/>
      <c r="F598" s="139"/>
      <c r="G598" s="139"/>
      <c r="H598" s="135"/>
      <c r="I598" s="141"/>
      <c r="J598" s="147" t="str">
        <f>IFERROR(__xludf.DUMMYFUNCTION("IF(ISBLANK(A598),IFERROR(1/0),IF(COUNT(FILTER(F:F,A:A=A598))&gt;1,TRUNC(N598*F598/SUM(FILTER(N:N,A:A=A598)),3),F598))"),"")</f>
        <v/>
      </c>
      <c r="K598" s="147" t="str">
        <f>IFERROR(__xludf.DUMMYFUNCTION("IF(ISBLANK(A598),IFERROR(1/0),IF(COUNT(FILTER(G:G,((A:A=A598)*(B:B=""V""))))&gt;1,TRUNC(N598*G598/SUM(FILTER(N:N,((A:A=A598)*(B:B=""V"")))),3),G598))"),"")</f>
        <v/>
      </c>
      <c r="L598" s="148" t="str">
        <f>IFERROR(__xludf.DUMMYFUNCTION("if($C598="""","""",iferror(if(row()&lt;&gt;2,INDEX(arrayformula(filter($M$2:$M597,$C$2:$C597&lt;&gt;"""",row($C$2:$C597)=max(if($C$2:$C597=C598,row($C$2:$C597),0)))) ,1),0),0))"),"")</f>
        <v/>
      </c>
      <c r="M598" s="148" t="str">
        <f t="shared" si="1"/>
        <v/>
      </c>
      <c r="N598" s="147" t="str">
        <f t="shared" si="2"/>
        <v/>
      </c>
      <c r="O598" s="147" t="str">
        <f t="shared" si="21"/>
        <v/>
      </c>
      <c r="P598" s="147" t="str">
        <f>IFERROR(__xludf.DUMMYFUNCTION("if(C598="""","""",iferror(if(row()&lt;&gt;2,INDEX(arrayformula(filter($Q$2:$Q597,$C$2:$C597&lt;&gt;"""",row($C$2:$C597)=max(if($C$2:$C597=C598,row($C$2:$C597),0)))) ,1),0),0))"),"")</f>
        <v/>
      </c>
      <c r="Q598" s="147" t="str">
        <f t="shared" si="22"/>
        <v/>
      </c>
      <c r="R598" s="147" t="str">
        <f t="shared" si="23"/>
        <v/>
      </c>
      <c r="S598" s="147" t="str">
        <f t="shared" si="24"/>
        <v/>
      </c>
      <c r="T598" s="147" t="str">
        <f t="shared" si="7"/>
        <v/>
      </c>
      <c r="U598" s="150" t="str">
        <f t="shared" si="8"/>
        <v/>
      </c>
      <c r="V598" s="151" t="str">
        <f>IFERROR(VLOOKUP(C598,Ativos!$A$1:$G2000,5,),)</f>
        <v/>
      </c>
    </row>
    <row r="599" ht="21.0" customHeight="1">
      <c r="A599" s="152"/>
      <c r="B599" s="160"/>
      <c r="C599" s="153"/>
      <c r="D599" s="154"/>
      <c r="E599" s="139"/>
      <c r="F599" s="139"/>
      <c r="G599" s="139"/>
      <c r="H599" s="135"/>
      <c r="I599" s="141"/>
      <c r="J599" s="147" t="str">
        <f>IFERROR(__xludf.DUMMYFUNCTION("IF(ISBLANK(A599),IFERROR(1/0),IF(COUNT(FILTER(F:F,A:A=A599))&gt;1,TRUNC(N599*F599/SUM(FILTER(N:N,A:A=A599)),3),F599))"),"")</f>
        <v/>
      </c>
      <c r="K599" s="147" t="str">
        <f>IFERROR(__xludf.DUMMYFUNCTION("IF(ISBLANK(A599),IFERROR(1/0),IF(COUNT(FILTER(G:G,((A:A=A599)*(B:B=""V""))))&gt;1,TRUNC(N599*G599/SUM(FILTER(N:N,((A:A=A599)*(B:B=""V"")))),3),G599))"),"")</f>
        <v/>
      </c>
      <c r="L599" s="148" t="str">
        <f>IFERROR(__xludf.DUMMYFUNCTION("if($C599="""","""",iferror(if(row()&lt;&gt;2,INDEX(arrayformula(filter($M$2:$M598,$C$2:$C598&lt;&gt;"""",row($C$2:$C598)=max(if($C$2:$C598=C599,row($C$2:$C598),0)))) ,1),0),0))"),"")</f>
        <v/>
      </c>
      <c r="M599" s="148" t="str">
        <f t="shared" si="1"/>
        <v/>
      </c>
      <c r="N599" s="147" t="str">
        <f t="shared" si="2"/>
        <v/>
      </c>
      <c r="O599" s="147" t="str">
        <f t="shared" si="21"/>
        <v/>
      </c>
      <c r="P599" s="147" t="str">
        <f>IFERROR(__xludf.DUMMYFUNCTION("if(C599="""","""",iferror(if(row()&lt;&gt;2,INDEX(arrayformula(filter($Q$2:$Q598,$C$2:$C598&lt;&gt;"""",row($C$2:$C598)=max(if($C$2:$C598=C599,row($C$2:$C598),0)))) ,1),0),0))"),"")</f>
        <v/>
      </c>
      <c r="Q599" s="147" t="str">
        <f t="shared" si="22"/>
        <v/>
      </c>
      <c r="R599" s="147" t="str">
        <f t="shared" si="23"/>
        <v/>
      </c>
      <c r="S599" s="147" t="str">
        <f t="shared" si="24"/>
        <v/>
      </c>
      <c r="T599" s="147" t="str">
        <f t="shared" si="7"/>
        <v/>
      </c>
      <c r="U599" s="150" t="str">
        <f t="shared" si="8"/>
        <v/>
      </c>
      <c r="V599" s="151" t="str">
        <f>IFERROR(VLOOKUP(C599,Ativos!$A$1:$G2000,5,),)</f>
        <v/>
      </c>
    </row>
    <row r="600" ht="21.0" customHeight="1">
      <c r="A600" s="152"/>
      <c r="B600" s="160"/>
      <c r="C600" s="153"/>
      <c r="D600" s="154"/>
      <c r="E600" s="139"/>
      <c r="F600" s="139"/>
      <c r="G600" s="139"/>
      <c r="H600" s="135"/>
      <c r="I600" s="141"/>
      <c r="J600" s="147" t="str">
        <f>IFERROR(__xludf.DUMMYFUNCTION("IF(ISBLANK(A600),IFERROR(1/0),IF(COUNT(FILTER(F:F,A:A=A600))&gt;1,TRUNC(N600*F600/SUM(FILTER(N:N,A:A=A600)),3),F600))"),"")</f>
        <v/>
      </c>
      <c r="K600" s="147" t="str">
        <f>IFERROR(__xludf.DUMMYFUNCTION("IF(ISBLANK(A600),IFERROR(1/0),IF(COUNT(FILTER(G:G,((A:A=A600)*(B:B=""V""))))&gt;1,TRUNC(N600*G600/SUM(FILTER(N:N,((A:A=A600)*(B:B=""V"")))),3),G600))"),"")</f>
        <v/>
      </c>
      <c r="L600" s="148" t="str">
        <f>IFERROR(__xludf.DUMMYFUNCTION("if($C600="""","""",iferror(if(row()&lt;&gt;2,INDEX(arrayformula(filter($M$2:$M599,$C$2:$C599&lt;&gt;"""",row($C$2:$C599)=max(if($C$2:$C599=C600,row($C$2:$C599),0)))) ,1),0),0))"),"")</f>
        <v/>
      </c>
      <c r="M600" s="148" t="str">
        <f t="shared" si="1"/>
        <v/>
      </c>
      <c r="N600" s="147" t="str">
        <f t="shared" si="2"/>
        <v/>
      </c>
      <c r="O600" s="147" t="str">
        <f t="shared" si="21"/>
        <v/>
      </c>
      <c r="P600" s="147" t="str">
        <f>IFERROR(__xludf.DUMMYFUNCTION("if(C600="""","""",iferror(if(row()&lt;&gt;2,INDEX(arrayformula(filter($Q$2:$Q599,$C$2:$C599&lt;&gt;"""",row($C$2:$C599)=max(if($C$2:$C599=C600,row($C$2:$C599),0)))) ,1),0),0))"),"")</f>
        <v/>
      </c>
      <c r="Q600" s="147" t="str">
        <f t="shared" si="22"/>
        <v/>
      </c>
      <c r="R600" s="147" t="str">
        <f t="shared" si="23"/>
        <v/>
      </c>
      <c r="S600" s="147" t="str">
        <f t="shared" si="24"/>
        <v/>
      </c>
      <c r="T600" s="147" t="str">
        <f t="shared" si="7"/>
        <v/>
      </c>
      <c r="U600" s="150" t="str">
        <f t="shared" si="8"/>
        <v/>
      </c>
      <c r="V600" s="151" t="str">
        <f>IFERROR(VLOOKUP(C600,Ativos!$A$1:$G2000,5,),)</f>
        <v/>
      </c>
    </row>
    <row r="601" ht="21.0" customHeight="1">
      <c r="A601" s="152"/>
      <c r="B601" s="160"/>
      <c r="C601" s="153"/>
      <c r="D601" s="154"/>
      <c r="E601" s="139"/>
      <c r="F601" s="139"/>
      <c r="G601" s="139"/>
      <c r="H601" s="135"/>
      <c r="I601" s="141"/>
      <c r="J601" s="147" t="str">
        <f>IFERROR(__xludf.DUMMYFUNCTION("IF(ISBLANK(A601),IFERROR(1/0),IF(COUNT(FILTER(F:F,A:A=A601))&gt;1,TRUNC(N601*F601/SUM(FILTER(N:N,A:A=A601)),3),F601))"),"")</f>
        <v/>
      </c>
      <c r="K601" s="147" t="str">
        <f>IFERROR(__xludf.DUMMYFUNCTION("IF(ISBLANK(A601),IFERROR(1/0),IF(COUNT(FILTER(G:G,((A:A=A601)*(B:B=""V""))))&gt;1,TRUNC(N601*G601/SUM(FILTER(N:N,((A:A=A601)*(B:B=""V"")))),3),G601))"),"")</f>
        <v/>
      </c>
      <c r="L601" s="148" t="str">
        <f>IFERROR(__xludf.DUMMYFUNCTION("if($C601="""","""",iferror(if(row()&lt;&gt;2,INDEX(arrayformula(filter($M$2:$M600,$C$2:$C600&lt;&gt;"""",row($C$2:$C600)=max(if($C$2:$C600=C601,row($C$2:$C600),0)))) ,1),0),0))"),"")</f>
        <v/>
      </c>
      <c r="M601" s="148" t="str">
        <f t="shared" si="1"/>
        <v/>
      </c>
      <c r="N601" s="147" t="str">
        <f t="shared" si="2"/>
        <v/>
      </c>
      <c r="O601" s="147" t="str">
        <f t="shared" si="21"/>
        <v/>
      </c>
      <c r="P601" s="147" t="str">
        <f>IFERROR(__xludf.DUMMYFUNCTION("if(C601="""","""",iferror(if(row()&lt;&gt;2,INDEX(arrayformula(filter($Q$2:$Q600,$C$2:$C600&lt;&gt;"""",row($C$2:$C600)=max(if($C$2:$C600=C601,row($C$2:$C600),0)))) ,1),0),0))"),"")</f>
        <v/>
      </c>
      <c r="Q601" s="147" t="str">
        <f t="shared" si="22"/>
        <v/>
      </c>
      <c r="R601" s="147" t="str">
        <f t="shared" si="23"/>
        <v/>
      </c>
      <c r="S601" s="147" t="str">
        <f t="shared" si="24"/>
        <v/>
      </c>
      <c r="T601" s="147" t="str">
        <f t="shared" si="7"/>
        <v/>
      </c>
      <c r="U601" s="150" t="str">
        <f t="shared" si="8"/>
        <v/>
      </c>
      <c r="V601" s="151" t="str">
        <f>IFERROR(VLOOKUP(C601,Ativos!$A$1:$G2000,5,),)</f>
        <v/>
      </c>
    </row>
    <row r="602" ht="21.0" customHeight="1">
      <c r="A602" s="152"/>
      <c r="B602" s="160"/>
      <c r="C602" s="153"/>
      <c r="D602" s="154"/>
      <c r="E602" s="139"/>
      <c r="F602" s="139"/>
      <c r="G602" s="139"/>
      <c r="H602" s="135"/>
      <c r="I602" s="141"/>
      <c r="J602" s="147" t="str">
        <f>IFERROR(__xludf.DUMMYFUNCTION("IF(ISBLANK(A602),IFERROR(1/0),IF(COUNT(FILTER(F:F,A:A=A602))&gt;1,TRUNC(N602*F602/SUM(FILTER(N:N,A:A=A602)),3),F602))"),"")</f>
        <v/>
      </c>
      <c r="K602" s="147" t="str">
        <f>IFERROR(__xludf.DUMMYFUNCTION("IF(ISBLANK(A602),IFERROR(1/0),IF(COUNT(FILTER(G:G,((A:A=A602)*(B:B=""V""))))&gt;1,TRUNC(N602*G602/SUM(FILTER(N:N,((A:A=A602)*(B:B=""V"")))),3),G602))"),"")</f>
        <v/>
      </c>
      <c r="L602" s="148" t="str">
        <f>IFERROR(__xludf.DUMMYFUNCTION("if($C602="""","""",iferror(if(row()&lt;&gt;2,INDEX(arrayformula(filter($M$2:$M601,$C$2:$C601&lt;&gt;"""",row($C$2:$C601)=max(if($C$2:$C601=C602,row($C$2:$C601),0)))) ,1),0),0))"),"")</f>
        <v/>
      </c>
      <c r="M602" s="148" t="str">
        <f t="shared" si="1"/>
        <v/>
      </c>
      <c r="N602" s="147" t="str">
        <f t="shared" si="2"/>
        <v/>
      </c>
      <c r="O602" s="147" t="str">
        <f t="shared" si="21"/>
        <v/>
      </c>
      <c r="P602" s="147" t="str">
        <f>IFERROR(__xludf.DUMMYFUNCTION("if(C602="""","""",iferror(if(row()&lt;&gt;2,INDEX(arrayformula(filter($Q$2:$Q601,$C$2:$C601&lt;&gt;"""",row($C$2:$C601)=max(if($C$2:$C601=C602,row($C$2:$C601),0)))) ,1),0),0))"),"")</f>
        <v/>
      </c>
      <c r="Q602" s="147" t="str">
        <f t="shared" si="22"/>
        <v/>
      </c>
      <c r="R602" s="147" t="str">
        <f t="shared" si="23"/>
        <v/>
      </c>
      <c r="S602" s="147" t="str">
        <f t="shared" si="24"/>
        <v/>
      </c>
      <c r="T602" s="147" t="str">
        <f t="shared" si="7"/>
        <v/>
      </c>
      <c r="U602" s="150" t="str">
        <f t="shared" si="8"/>
        <v/>
      </c>
      <c r="V602" s="151" t="str">
        <f>IFERROR(VLOOKUP(C602,Ativos!$A$1:$G2000,5,),)</f>
        <v/>
      </c>
    </row>
    <row r="603" ht="21.0" customHeight="1">
      <c r="A603" s="152"/>
      <c r="B603" s="160"/>
      <c r="C603" s="153"/>
      <c r="D603" s="154"/>
      <c r="E603" s="139"/>
      <c r="F603" s="139"/>
      <c r="G603" s="139"/>
      <c r="H603" s="135"/>
      <c r="I603" s="141"/>
      <c r="J603" s="147" t="str">
        <f>IFERROR(__xludf.DUMMYFUNCTION("IF(ISBLANK(A603),IFERROR(1/0),IF(COUNT(FILTER(F:F,A:A=A603))&gt;1,TRUNC(N603*F603/SUM(FILTER(N:N,A:A=A603)),3),F603))"),"")</f>
        <v/>
      </c>
      <c r="K603" s="147" t="str">
        <f>IFERROR(__xludf.DUMMYFUNCTION("IF(ISBLANK(A603),IFERROR(1/0),IF(COUNT(FILTER(G:G,((A:A=A603)*(B:B=""V""))))&gt;1,TRUNC(N603*G603/SUM(FILTER(N:N,((A:A=A603)*(B:B=""V"")))),3),G603))"),"")</f>
        <v/>
      </c>
      <c r="L603" s="148" t="str">
        <f>IFERROR(__xludf.DUMMYFUNCTION("if($C603="""","""",iferror(if(row()&lt;&gt;2,INDEX(arrayformula(filter($M$2:$M602,$C$2:$C602&lt;&gt;"""",row($C$2:$C602)=max(if($C$2:$C602=C603,row($C$2:$C602),0)))) ,1),0),0))"),"")</f>
        <v/>
      </c>
      <c r="M603" s="148" t="str">
        <f t="shared" si="1"/>
        <v/>
      </c>
      <c r="N603" s="147" t="str">
        <f t="shared" si="2"/>
        <v/>
      </c>
      <c r="O603" s="147" t="str">
        <f t="shared" si="21"/>
        <v/>
      </c>
      <c r="P603" s="147" t="str">
        <f>IFERROR(__xludf.DUMMYFUNCTION("if(C603="""","""",iferror(if(row()&lt;&gt;2,INDEX(arrayformula(filter($Q$2:$Q602,$C$2:$C602&lt;&gt;"""",row($C$2:$C602)=max(if($C$2:$C602=C603,row($C$2:$C602),0)))) ,1),0),0))"),"")</f>
        <v/>
      </c>
      <c r="Q603" s="147" t="str">
        <f t="shared" si="22"/>
        <v/>
      </c>
      <c r="R603" s="147" t="str">
        <f t="shared" si="23"/>
        <v/>
      </c>
      <c r="S603" s="147" t="str">
        <f t="shared" si="24"/>
        <v/>
      </c>
      <c r="T603" s="147" t="str">
        <f t="shared" si="7"/>
        <v/>
      </c>
      <c r="U603" s="150" t="str">
        <f t="shared" si="8"/>
        <v/>
      </c>
      <c r="V603" s="151" t="str">
        <f>IFERROR(VLOOKUP(C603,Ativos!$A$1:$G2000,5,),)</f>
        <v/>
      </c>
    </row>
    <row r="604" ht="21.0" customHeight="1">
      <c r="A604" s="152"/>
      <c r="B604" s="160"/>
      <c r="C604" s="153"/>
      <c r="D604" s="154"/>
      <c r="E604" s="139"/>
      <c r="F604" s="139"/>
      <c r="G604" s="139"/>
      <c r="H604" s="135"/>
      <c r="I604" s="141"/>
      <c r="J604" s="147" t="str">
        <f>IFERROR(__xludf.DUMMYFUNCTION("IF(ISBLANK(A604),IFERROR(1/0),IF(COUNT(FILTER(F:F,A:A=A604))&gt;1,TRUNC(N604*F604/SUM(FILTER(N:N,A:A=A604)),3),F604))"),"")</f>
        <v/>
      </c>
      <c r="K604" s="147" t="str">
        <f>IFERROR(__xludf.DUMMYFUNCTION("IF(ISBLANK(A604),IFERROR(1/0),IF(COUNT(FILTER(G:G,((A:A=A604)*(B:B=""V""))))&gt;1,TRUNC(N604*G604/SUM(FILTER(N:N,((A:A=A604)*(B:B=""V"")))),3),G604))"),"")</f>
        <v/>
      </c>
      <c r="L604" s="148" t="str">
        <f>IFERROR(__xludf.DUMMYFUNCTION("if($C604="""","""",iferror(if(row()&lt;&gt;2,INDEX(arrayformula(filter($M$2:$M603,$C$2:$C603&lt;&gt;"""",row($C$2:$C603)=max(if($C$2:$C603=C604,row($C$2:$C603),0)))) ,1),0),0))"),"")</f>
        <v/>
      </c>
      <c r="M604" s="148" t="str">
        <f t="shared" si="1"/>
        <v/>
      </c>
      <c r="N604" s="147" t="str">
        <f t="shared" si="2"/>
        <v/>
      </c>
      <c r="O604" s="147" t="str">
        <f t="shared" si="21"/>
        <v/>
      </c>
      <c r="P604" s="147" t="str">
        <f>IFERROR(__xludf.DUMMYFUNCTION("if(C604="""","""",iferror(if(row()&lt;&gt;2,INDEX(arrayformula(filter($Q$2:$Q603,$C$2:$C603&lt;&gt;"""",row($C$2:$C603)=max(if($C$2:$C603=C604,row($C$2:$C603),0)))) ,1),0),0))"),"")</f>
        <v/>
      </c>
      <c r="Q604" s="147" t="str">
        <f t="shared" si="22"/>
        <v/>
      </c>
      <c r="R604" s="147" t="str">
        <f t="shared" si="23"/>
        <v/>
      </c>
      <c r="S604" s="147" t="str">
        <f t="shared" si="24"/>
        <v/>
      </c>
      <c r="T604" s="147" t="str">
        <f t="shared" si="7"/>
        <v/>
      </c>
      <c r="U604" s="150" t="str">
        <f t="shared" si="8"/>
        <v/>
      </c>
      <c r="V604" s="151" t="str">
        <f>IFERROR(VLOOKUP(C604,Ativos!$A$1:$G2000,5,),)</f>
        <v/>
      </c>
    </row>
    <row r="605" ht="21.0" customHeight="1">
      <c r="A605" s="152"/>
      <c r="B605" s="160"/>
      <c r="C605" s="153"/>
      <c r="D605" s="154"/>
      <c r="E605" s="139"/>
      <c r="F605" s="139"/>
      <c r="G605" s="139"/>
      <c r="H605" s="135"/>
      <c r="I605" s="141"/>
      <c r="J605" s="147" t="str">
        <f>IFERROR(__xludf.DUMMYFUNCTION("IF(ISBLANK(A605),IFERROR(1/0),IF(COUNT(FILTER(F:F,A:A=A605))&gt;1,TRUNC(N605*F605/SUM(FILTER(N:N,A:A=A605)),3),F605))"),"")</f>
        <v/>
      </c>
      <c r="K605" s="147" t="str">
        <f>IFERROR(__xludf.DUMMYFUNCTION("IF(ISBLANK(A605),IFERROR(1/0),IF(COUNT(FILTER(G:G,((A:A=A605)*(B:B=""V""))))&gt;1,TRUNC(N605*G605/SUM(FILTER(N:N,((A:A=A605)*(B:B=""V"")))),3),G605))"),"")</f>
        <v/>
      </c>
      <c r="L605" s="148" t="str">
        <f>IFERROR(__xludf.DUMMYFUNCTION("if($C605="""","""",iferror(if(row()&lt;&gt;2,INDEX(arrayformula(filter($M$2:$M604,$C$2:$C604&lt;&gt;"""",row($C$2:$C604)=max(if($C$2:$C604=C605,row($C$2:$C604),0)))) ,1),0),0))"),"")</f>
        <v/>
      </c>
      <c r="M605" s="148" t="str">
        <f t="shared" si="1"/>
        <v/>
      </c>
      <c r="N605" s="147" t="str">
        <f t="shared" si="2"/>
        <v/>
      </c>
      <c r="O605" s="147" t="str">
        <f t="shared" si="21"/>
        <v/>
      </c>
      <c r="P605" s="147" t="str">
        <f>IFERROR(__xludf.DUMMYFUNCTION("if(C605="""","""",iferror(if(row()&lt;&gt;2,INDEX(arrayformula(filter($Q$2:$Q604,$C$2:$C604&lt;&gt;"""",row($C$2:$C604)=max(if($C$2:$C604=C605,row($C$2:$C604),0)))) ,1),0),0))"),"")</f>
        <v/>
      </c>
      <c r="Q605" s="147" t="str">
        <f t="shared" si="22"/>
        <v/>
      </c>
      <c r="R605" s="147" t="str">
        <f t="shared" si="23"/>
        <v/>
      </c>
      <c r="S605" s="147" t="str">
        <f t="shared" si="24"/>
        <v/>
      </c>
      <c r="T605" s="147" t="str">
        <f t="shared" si="7"/>
        <v/>
      </c>
      <c r="U605" s="150" t="str">
        <f t="shared" si="8"/>
        <v/>
      </c>
      <c r="V605" s="151" t="str">
        <f>IFERROR(VLOOKUP(C605,Ativos!$A$1:$G2000,5,),)</f>
        <v/>
      </c>
    </row>
    <row r="606" ht="21.0" customHeight="1">
      <c r="A606" s="152"/>
      <c r="B606" s="160"/>
      <c r="C606" s="153"/>
      <c r="D606" s="154"/>
      <c r="E606" s="139"/>
      <c r="F606" s="139"/>
      <c r="G606" s="139"/>
      <c r="H606" s="135"/>
      <c r="I606" s="141"/>
      <c r="J606" s="147" t="str">
        <f>IFERROR(__xludf.DUMMYFUNCTION("IF(ISBLANK(A606),IFERROR(1/0),IF(COUNT(FILTER(F:F,A:A=A606))&gt;1,TRUNC(N606*F606/SUM(FILTER(N:N,A:A=A606)),3),F606))"),"")</f>
        <v/>
      </c>
      <c r="K606" s="147" t="str">
        <f>IFERROR(__xludf.DUMMYFUNCTION("IF(ISBLANK(A606),IFERROR(1/0),IF(COUNT(FILTER(G:G,((A:A=A606)*(B:B=""V""))))&gt;1,TRUNC(N606*G606/SUM(FILTER(N:N,((A:A=A606)*(B:B=""V"")))),3),G606))"),"")</f>
        <v/>
      </c>
      <c r="L606" s="148" t="str">
        <f>IFERROR(__xludf.DUMMYFUNCTION("if($C606="""","""",iferror(if(row()&lt;&gt;2,INDEX(arrayformula(filter($M$2:$M605,$C$2:$C605&lt;&gt;"""",row($C$2:$C605)=max(if($C$2:$C605=C606,row($C$2:$C605),0)))) ,1),0),0))"),"")</f>
        <v/>
      </c>
      <c r="M606" s="148" t="str">
        <f t="shared" si="1"/>
        <v/>
      </c>
      <c r="N606" s="147" t="str">
        <f t="shared" si="2"/>
        <v/>
      </c>
      <c r="O606" s="147" t="str">
        <f t="shared" si="21"/>
        <v/>
      </c>
      <c r="P606" s="147" t="str">
        <f>IFERROR(__xludf.DUMMYFUNCTION("if(C606="""","""",iferror(if(row()&lt;&gt;2,INDEX(arrayformula(filter($Q$2:$Q605,$C$2:$C605&lt;&gt;"""",row($C$2:$C605)=max(if($C$2:$C605=C606,row($C$2:$C605),0)))) ,1),0),0))"),"")</f>
        <v/>
      </c>
      <c r="Q606" s="147" t="str">
        <f t="shared" si="22"/>
        <v/>
      </c>
      <c r="R606" s="147" t="str">
        <f t="shared" si="23"/>
        <v/>
      </c>
      <c r="S606" s="147" t="str">
        <f t="shared" si="24"/>
        <v/>
      </c>
      <c r="T606" s="147" t="str">
        <f t="shared" si="7"/>
        <v/>
      </c>
      <c r="U606" s="150" t="str">
        <f t="shared" si="8"/>
        <v/>
      </c>
      <c r="V606" s="151" t="str">
        <f>IFERROR(VLOOKUP(C606,Ativos!$A$1:$G2000,5,),)</f>
        <v/>
      </c>
    </row>
    <row r="607" ht="21.0" customHeight="1">
      <c r="A607" s="152"/>
      <c r="B607" s="160"/>
      <c r="C607" s="153"/>
      <c r="D607" s="154"/>
      <c r="E607" s="139"/>
      <c r="F607" s="139"/>
      <c r="G607" s="139"/>
      <c r="H607" s="135"/>
      <c r="I607" s="141"/>
      <c r="J607" s="147" t="str">
        <f>IFERROR(__xludf.DUMMYFUNCTION("IF(ISBLANK(A607),IFERROR(1/0),IF(COUNT(FILTER(F:F,A:A=A607))&gt;1,TRUNC(N607*F607/SUM(FILTER(N:N,A:A=A607)),3),F607))"),"")</f>
        <v/>
      </c>
      <c r="K607" s="147" t="str">
        <f>IFERROR(__xludf.DUMMYFUNCTION("IF(ISBLANK(A607),IFERROR(1/0),IF(COUNT(FILTER(G:G,((A:A=A607)*(B:B=""V""))))&gt;1,TRUNC(N607*G607/SUM(FILTER(N:N,((A:A=A607)*(B:B=""V"")))),3),G607))"),"")</f>
        <v/>
      </c>
      <c r="L607" s="148" t="str">
        <f>IFERROR(__xludf.DUMMYFUNCTION("if($C607="""","""",iferror(if(row()&lt;&gt;2,INDEX(arrayformula(filter($M$2:$M606,$C$2:$C606&lt;&gt;"""",row($C$2:$C606)=max(if($C$2:$C606=C607,row($C$2:$C606),0)))) ,1),0),0))"),"")</f>
        <v/>
      </c>
      <c r="M607" s="148" t="str">
        <f t="shared" si="1"/>
        <v/>
      </c>
      <c r="N607" s="147" t="str">
        <f t="shared" si="2"/>
        <v/>
      </c>
      <c r="O607" s="147" t="str">
        <f t="shared" si="21"/>
        <v/>
      </c>
      <c r="P607" s="147" t="str">
        <f>IFERROR(__xludf.DUMMYFUNCTION("if(C607="""","""",iferror(if(row()&lt;&gt;2,INDEX(arrayformula(filter($Q$2:$Q606,$C$2:$C606&lt;&gt;"""",row($C$2:$C606)=max(if($C$2:$C606=C607,row($C$2:$C606),0)))) ,1),0),0))"),"")</f>
        <v/>
      </c>
      <c r="Q607" s="147" t="str">
        <f t="shared" si="22"/>
        <v/>
      </c>
      <c r="R607" s="147" t="str">
        <f t="shared" si="23"/>
        <v/>
      </c>
      <c r="S607" s="147" t="str">
        <f t="shared" si="24"/>
        <v/>
      </c>
      <c r="T607" s="147" t="str">
        <f t="shared" si="7"/>
        <v/>
      </c>
      <c r="U607" s="150" t="str">
        <f t="shared" si="8"/>
        <v/>
      </c>
      <c r="V607" s="151" t="str">
        <f>IFERROR(VLOOKUP(C607,Ativos!$A$1:$G2000,5,),)</f>
        <v/>
      </c>
    </row>
    <row r="608" ht="21.0" customHeight="1">
      <c r="A608" s="152"/>
      <c r="B608" s="160"/>
      <c r="C608" s="153"/>
      <c r="D608" s="154"/>
      <c r="E608" s="139"/>
      <c r="F608" s="139"/>
      <c r="G608" s="139"/>
      <c r="H608" s="135"/>
      <c r="I608" s="141"/>
      <c r="J608" s="147" t="str">
        <f>IFERROR(__xludf.DUMMYFUNCTION("IF(ISBLANK(A608),IFERROR(1/0),IF(COUNT(FILTER(F:F,A:A=A608))&gt;1,TRUNC(N608*F608/SUM(FILTER(N:N,A:A=A608)),3),F608))"),"")</f>
        <v/>
      </c>
      <c r="K608" s="147" t="str">
        <f>IFERROR(__xludf.DUMMYFUNCTION("IF(ISBLANK(A608),IFERROR(1/0),IF(COUNT(FILTER(G:G,((A:A=A608)*(B:B=""V""))))&gt;1,TRUNC(N608*G608/SUM(FILTER(N:N,((A:A=A608)*(B:B=""V"")))),3),G608))"),"")</f>
        <v/>
      </c>
      <c r="L608" s="148" t="str">
        <f>IFERROR(__xludf.DUMMYFUNCTION("if($C608="""","""",iferror(if(row()&lt;&gt;2,INDEX(arrayformula(filter($M$2:$M607,$C$2:$C607&lt;&gt;"""",row($C$2:$C607)=max(if($C$2:$C607=C608,row($C$2:$C607),0)))) ,1),0),0))"),"")</f>
        <v/>
      </c>
      <c r="M608" s="148" t="str">
        <f t="shared" si="1"/>
        <v/>
      </c>
      <c r="N608" s="147" t="str">
        <f t="shared" si="2"/>
        <v/>
      </c>
      <c r="O608" s="147" t="str">
        <f t="shared" si="21"/>
        <v/>
      </c>
      <c r="P608" s="147" t="str">
        <f>IFERROR(__xludf.DUMMYFUNCTION("if(C608="""","""",iferror(if(row()&lt;&gt;2,INDEX(arrayformula(filter($Q$2:$Q607,$C$2:$C607&lt;&gt;"""",row($C$2:$C607)=max(if($C$2:$C607=C608,row($C$2:$C607),0)))) ,1),0),0))"),"")</f>
        <v/>
      </c>
      <c r="Q608" s="147" t="str">
        <f t="shared" si="22"/>
        <v/>
      </c>
      <c r="R608" s="147" t="str">
        <f t="shared" si="23"/>
        <v/>
      </c>
      <c r="S608" s="147" t="str">
        <f t="shared" si="24"/>
        <v/>
      </c>
      <c r="T608" s="147" t="str">
        <f t="shared" si="7"/>
        <v/>
      </c>
      <c r="U608" s="150" t="str">
        <f t="shared" si="8"/>
        <v/>
      </c>
      <c r="V608" s="151" t="str">
        <f>IFERROR(VLOOKUP(C608,Ativos!$A$1:$G2000,5,),)</f>
        <v/>
      </c>
    </row>
    <row r="609" ht="21.0" customHeight="1">
      <c r="A609" s="152"/>
      <c r="B609" s="160"/>
      <c r="C609" s="153"/>
      <c r="D609" s="154"/>
      <c r="E609" s="139"/>
      <c r="F609" s="139"/>
      <c r="G609" s="139"/>
      <c r="H609" s="135"/>
      <c r="I609" s="141"/>
      <c r="J609" s="147" t="str">
        <f>IFERROR(__xludf.DUMMYFUNCTION("IF(ISBLANK(A609),IFERROR(1/0),IF(COUNT(FILTER(F:F,A:A=A609))&gt;1,TRUNC(N609*F609/SUM(FILTER(N:N,A:A=A609)),3),F609))"),"")</f>
        <v/>
      </c>
      <c r="K609" s="147" t="str">
        <f>IFERROR(__xludf.DUMMYFUNCTION("IF(ISBLANK(A609),IFERROR(1/0),IF(COUNT(FILTER(G:G,((A:A=A609)*(B:B=""V""))))&gt;1,TRUNC(N609*G609/SUM(FILTER(N:N,((A:A=A609)*(B:B=""V"")))),3),G609))"),"")</f>
        <v/>
      </c>
      <c r="L609" s="148" t="str">
        <f>IFERROR(__xludf.DUMMYFUNCTION("if($C609="""","""",iferror(if(row()&lt;&gt;2,INDEX(arrayformula(filter($M$2:$M608,$C$2:$C608&lt;&gt;"""",row($C$2:$C608)=max(if($C$2:$C608=C609,row($C$2:$C608),0)))) ,1),0),0))"),"")</f>
        <v/>
      </c>
      <c r="M609" s="148" t="str">
        <f t="shared" si="1"/>
        <v/>
      </c>
      <c r="N609" s="147" t="str">
        <f t="shared" si="2"/>
        <v/>
      </c>
      <c r="O609" s="147" t="str">
        <f t="shared" si="21"/>
        <v/>
      </c>
      <c r="P609" s="147" t="str">
        <f>IFERROR(__xludf.DUMMYFUNCTION("if(C609="""","""",iferror(if(row()&lt;&gt;2,INDEX(arrayformula(filter($Q$2:$Q608,$C$2:$C608&lt;&gt;"""",row($C$2:$C608)=max(if($C$2:$C608=C609,row($C$2:$C608),0)))) ,1),0),0))"),"")</f>
        <v/>
      </c>
      <c r="Q609" s="147" t="str">
        <f t="shared" si="22"/>
        <v/>
      </c>
      <c r="R609" s="147" t="str">
        <f t="shared" si="23"/>
        <v/>
      </c>
      <c r="S609" s="147" t="str">
        <f t="shared" si="24"/>
        <v/>
      </c>
      <c r="T609" s="147" t="str">
        <f t="shared" si="7"/>
        <v/>
      </c>
      <c r="U609" s="150" t="str">
        <f t="shared" si="8"/>
        <v/>
      </c>
      <c r="V609" s="151" t="str">
        <f>IFERROR(VLOOKUP(C609,Ativos!$A$1:$G2000,5,),)</f>
        <v/>
      </c>
    </row>
    <row r="610" ht="21.0" customHeight="1">
      <c r="A610" s="152"/>
      <c r="B610" s="160"/>
      <c r="C610" s="153"/>
      <c r="D610" s="154"/>
      <c r="E610" s="139"/>
      <c r="F610" s="139"/>
      <c r="G610" s="139"/>
      <c r="H610" s="135"/>
      <c r="I610" s="141"/>
      <c r="J610" s="147" t="str">
        <f>IFERROR(__xludf.DUMMYFUNCTION("IF(ISBLANK(A610),IFERROR(1/0),IF(COUNT(FILTER(F:F,A:A=A610))&gt;1,TRUNC(N610*F610/SUM(FILTER(N:N,A:A=A610)),3),F610))"),"")</f>
        <v/>
      </c>
      <c r="K610" s="147" t="str">
        <f>IFERROR(__xludf.DUMMYFUNCTION("IF(ISBLANK(A610),IFERROR(1/0),IF(COUNT(FILTER(G:G,((A:A=A610)*(B:B=""V""))))&gt;1,TRUNC(N610*G610/SUM(FILTER(N:N,((A:A=A610)*(B:B=""V"")))),3),G610))"),"")</f>
        <v/>
      </c>
      <c r="L610" s="148" t="str">
        <f>IFERROR(__xludf.DUMMYFUNCTION("if($C610="""","""",iferror(if(row()&lt;&gt;2,INDEX(arrayformula(filter($M$2:$M609,$C$2:$C609&lt;&gt;"""",row($C$2:$C609)=max(if($C$2:$C609=C610,row($C$2:$C609),0)))) ,1),0),0))"),"")</f>
        <v/>
      </c>
      <c r="M610" s="148" t="str">
        <f t="shared" si="1"/>
        <v/>
      </c>
      <c r="N610" s="147" t="str">
        <f t="shared" si="2"/>
        <v/>
      </c>
      <c r="O610" s="147" t="str">
        <f t="shared" si="21"/>
        <v/>
      </c>
      <c r="P610" s="147" t="str">
        <f>IFERROR(__xludf.DUMMYFUNCTION("if(C610="""","""",iferror(if(row()&lt;&gt;2,INDEX(arrayformula(filter($Q$2:$Q609,$C$2:$C609&lt;&gt;"""",row($C$2:$C609)=max(if($C$2:$C609=C610,row($C$2:$C609),0)))) ,1),0),0))"),"")</f>
        <v/>
      </c>
      <c r="Q610" s="147" t="str">
        <f t="shared" si="22"/>
        <v/>
      </c>
      <c r="R610" s="147" t="str">
        <f t="shared" si="23"/>
        <v/>
      </c>
      <c r="S610" s="147" t="str">
        <f t="shared" si="24"/>
        <v/>
      </c>
      <c r="T610" s="147" t="str">
        <f t="shared" si="7"/>
        <v/>
      </c>
      <c r="U610" s="150" t="str">
        <f t="shared" si="8"/>
        <v/>
      </c>
      <c r="V610" s="151" t="str">
        <f>IFERROR(VLOOKUP(C610,Ativos!$A$1:$G2000,5,),)</f>
        <v/>
      </c>
    </row>
    <row r="611" ht="21.0" customHeight="1">
      <c r="A611" s="152"/>
      <c r="B611" s="160"/>
      <c r="C611" s="153"/>
      <c r="D611" s="154"/>
      <c r="E611" s="139"/>
      <c r="F611" s="139"/>
      <c r="G611" s="139"/>
      <c r="H611" s="135"/>
      <c r="I611" s="141"/>
      <c r="J611" s="147" t="str">
        <f>IFERROR(__xludf.DUMMYFUNCTION("IF(ISBLANK(A611),IFERROR(1/0),IF(COUNT(FILTER(F:F,A:A=A611))&gt;1,TRUNC(N611*F611/SUM(FILTER(N:N,A:A=A611)),3),F611))"),"")</f>
        <v/>
      </c>
      <c r="K611" s="147" t="str">
        <f>IFERROR(__xludf.DUMMYFUNCTION("IF(ISBLANK(A611),IFERROR(1/0),IF(COUNT(FILTER(G:G,((A:A=A611)*(B:B=""V""))))&gt;1,TRUNC(N611*G611/SUM(FILTER(N:N,((A:A=A611)*(B:B=""V"")))),3),G611))"),"")</f>
        <v/>
      </c>
      <c r="L611" s="148" t="str">
        <f>IFERROR(__xludf.DUMMYFUNCTION("if($C611="""","""",iferror(if(row()&lt;&gt;2,INDEX(arrayformula(filter($M$2:$M610,$C$2:$C610&lt;&gt;"""",row($C$2:$C610)=max(if($C$2:$C610=C611,row($C$2:$C610),0)))) ,1),0),0))"),"")</f>
        <v/>
      </c>
      <c r="M611" s="148" t="str">
        <f t="shared" si="1"/>
        <v/>
      </c>
      <c r="N611" s="147" t="str">
        <f t="shared" si="2"/>
        <v/>
      </c>
      <c r="O611" s="147" t="str">
        <f t="shared" si="21"/>
        <v/>
      </c>
      <c r="P611" s="147" t="str">
        <f>IFERROR(__xludf.DUMMYFUNCTION("if(C611="""","""",iferror(if(row()&lt;&gt;2,INDEX(arrayformula(filter($Q$2:$Q610,$C$2:$C610&lt;&gt;"""",row($C$2:$C610)=max(if($C$2:$C610=C611,row($C$2:$C610),0)))) ,1),0),0))"),"")</f>
        <v/>
      </c>
      <c r="Q611" s="147" t="str">
        <f t="shared" si="22"/>
        <v/>
      </c>
      <c r="R611" s="147" t="str">
        <f t="shared" si="23"/>
        <v/>
      </c>
      <c r="S611" s="147" t="str">
        <f t="shared" si="24"/>
        <v/>
      </c>
      <c r="T611" s="147" t="str">
        <f t="shared" si="7"/>
        <v/>
      </c>
      <c r="U611" s="150" t="str">
        <f t="shared" si="8"/>
        <v/>
      </c>
      <c r="V611" s="151" t="str">
        <f>IFERROR(VLOOKUP(C611,Ativos!$A$1:$G2000,5,),)</f>
        <v/>
      </c>
    </row>
    <row r="612" ht="21.0" customHeight="1">
      <c r="A612" s="152"/>
      <c r="B612" s="160"/>
      <c r="C612" s="153"/>
      <c r="D612" s="154"/>
      <c r="E612" s="139"/>
      <c r="F612" s="139"/>
      <c r="G612" s="139"/>
      <c r="H612" s="135"/>
      <c r="I612" s="141"/>
      <c r="J612" s="147" t="str">
        <f>IFERROR(__xludf.DUMMYFUNCTION("IF(ISBLANK(A612),IFERROR(1/0),IF(COUNT(FILTER(F:F,A:A=A612))&gt;1,TRUNC(N612*F612/SUM(FILTER(N:N,A:A=A612)),3),F612))"),"")</f>
        <v/>
      </c>
      <c r="K612" s="147" t="str">
        <f>IFERROR(__xludf.DUMMYFUNCTION("IF(ISBLANK(A612),IFERROR(1/0),IF(COUNT(FILTER(G:G,((A:A=A612)*(B:B=""V""))))&gt;1,TRUNC(N612*G612/SUM(FILTER(N:N,((A:A=A612)*(B:B=""V"")))),3),G612))"),"")</f>
        <v/>
      </c>
      <c r="L612" s="148" t="str">
        <f>IFERROR(__xludf.DUMMYFUNCTION("if($C612="""","""",iferror(if(row()&lt;&gt;2,INDEX(arrayformula(filter($M$2:$M611,$C$2:$C611&lt;&gt;"""",row($C$2:$C611)=max(if($C$2:$C611=C612,row($C$2:$C611),0)))) ,1),0),0))"),"")</f>
        <v/>
      </c>
      <c r="M612" s="148" t="str">
        <f t="shared" si="1"/>
        <v/>
      </c>
      <c r="N612" s="147" t="str">
        <f t="shared" si="2"/>
        <v/>
      </c>
      <c r="O612" s="147" t="str">
        <f t="shared" si="21"/>
        <v/>
      </c>
      <c r="P612" s="147" t="str">
        <f>IFERROR(__xludf.DUMMYFUNCTION("if(C612="""","""",iferror(if(row()&lt;&gt;2,INDEX(arrayformula(filter($Q$2:$Q611,$C$2:$C611&lt;&gt;"""",row($C$2:$C611)=max(if($C$2:$C611=C612,row($C$2:$C611),0)))) ,1),0),0))"),"")</f>
        <v/>
      </c>
      <c r="Q612" s="147" t="str">
        <f t="shared" si="22"/>
        <v/>
      </c>
      <c r="R612" s="147" t="str">
        <f t="shared" si="23"/>
        <v/>
      </c>
      <c r="S612" s="147" t="str">
        <f t="shared" si="24"/>
        <v/>
      </c>
      <c r="T612" s="147" t="str">
        <f t="shared" si="7"/>
        <v/>
      </c>
      <c r="U612" s="150" t="str">
        <f t="shared" si="8"/>
        <v/>
      </c>
      <c r="V612" s="151" t="str">
        <f>IFERROR(VLOOKUP(C612,Ativos!$A$1:$G2000,5,),)</f>
        <v/>
      </c>
    </row>
    <row r="613" ht="21.0" customHeight="1">
      <c r="A613" s="152"/>
      <c r="B613" s="160"/>
      <c r="C613" s="153"/>
      <c r="D613" s="154"/>
      <c r="E613" s="139"/>
      <c r="F613" s="139"/>
      <c r="G613" s="139"/>
      <c r="H613" s="135"/>
      <c r="I613" s="141"/>
      <c r="J613" s="147" t="str">
        <f>IFERROR(__xludf.DUMMYFUNCTION("IF(ISBLANK(A613),IFERROR(1/0),IF(COUNT(FILTER(F:F,A:A=A613))&gt;1,TRUNC(N613*F613/SUM(FILTER(N:N,A:A=A613)),3),F613))"),"")</f>
        <v/>
      </c>
      <c r="K613" s="147" t="str">
        <f>IFERROR(__xludf.DUMMYFUNCTION("IF(ISBLANK(A613),IFERROR(1/0),IF(COUNT(FILTER(G:G,((A:A=A613)*(B:B=""V""))))&gt;1,TRUNC(N613*G613/SUM(FILTER(N:N,((A:A=A613)*(B:B=""V"")))),3),G613))"),"")</f>
        <v/>
      </c>
      <c r="L613" s="148" t="str">
        <f>IFERROR(__xludf.DUMMYFUNCTION("if($C613="""","""",iferror(if(row()&lt;&gt;2,INDEX(arrayformula(filter($M$2:$M612,$C$2:$C612&lt;&gt;"""",row($C$2:$C612)=max(if($C$2:$C612=C613,row($C$2:$C612),0)))) ,1),0),0))"),"")</f>
        <v/>
      </c>
      <c r="M613" s="148" t="str">
        <f t="shared" si="1"/>
        <v/>
      </c>
      <c r="N613" s="147" t="str">
        <f t="shared" si="2"/>
        <v/>
      </c>
      <c r="O613" s="147" t="str">
        <f t="shared" si="21"/>
        <v/>
      </c>
      <c r="P613" s="147" t="str">
        <f>IFERROR(__xludf.DUMMYFUNCTION("if(C613="""","""",iferror(if(row()&lt;&gt;2,INDEX(arrayformula(filter($Q$2:$Q612,$C$2:$C612&lt;&gt;"""",row($C$2:$C612)=max(if($C$2:$C612=C613,row($C$2:$C612),0)))) ,1),0),0))"),"")</f>
        <v/>
      </c>
      <c r="Q613" s="147" t="str">
        <f t="shared" si="22"/>
        <v/>
      </c>
      <c r="R613" s="147" t="str">
        <f t="shared" si="23"/>
        <v/>
      </c>
      <c r="S613" s="147" t="str">
        <f t="shared" si="24"/>
        <v/>
      </c>
      <c r="T613" s="147" t="str">
        <f t="shared" si="7"/>
        <v/>
      </c>
      <c r="U613" s="150" t="str">
        <f t="shared" si="8"/>
        <v/>
      </c>
      <c r="V613" s="151" t="str">
        <f>IFERROR(VLOOKUP(C613,Ativos!$A$1:$G2000,5,),)</f>
        <v/>
      </c>
    </row>
    <row r="614" ht="21.0" customHeight="1">
      <c r="A614" s="152"/>
      <c r="B614" s="160"/>
      <c r="C614" s="153"/>
      <c r="D614" s="154"/>
      <c r="E614" s="139"/>
      <c r="F614" s="139"/>
      <c r="G614" s="139"/>
      <c r="H614" s="135"/>
      <c r="I614" s="141"/>
      <c r="J614" s="147" t="str">
        <f>IFERROR(__xludf.DUMMYFUNCTION("IF(ISBLANK(A614),IFERROR(1/0),IF(COUNT(FILTER(F:F,A:A=A614))&gt;1,TRUNC(N614*F614/SUM(FILTER(N:N,A:A=A614)),3),F614))"),"")</f>
        <v/>
      </c>
      <c r="K614" s="147" t="str">
        <f>IFERROR(__xludf.DUMMYFUNCTION("IF(ISBLANK(A614),IFERROR(1/0),IF(COUNT(FILTER(G:G,((A:A=A614)*(B:B=""V""))))&gt;1,TRUNC(N614*G614/SUM(FILTER(N:N,((A:A=A614)*(B:B=""V"")))),3),G614))"),"")</f>
        <v/>
      </c>
      <c r="L614" s="148" t="str">
        <f>IFERROR(__xludf.DUMMYFUNCTION("if($C614="""","""",iferror(if(row()&lt;&gt;2,INDEX(arrayformula(filter($M$2:$M613,$C$2:$C613&lt;&gt;"""",row($C$2:$C613)=max(if($C$2:$C613=C614,row($C$2:$C613),0)))) ,1),0),0))"),"")</f>
        <v/>
      </c>
      <c r="M614" s="148" t="str">
        <f t="shared" si="1"/>
        <v/>
      </c>
      <c r="N614" s="147" t="str">
        <f t="shared" si="2"/>
        <v/>
      </c>
      <c r="O614" s="147" t="str">
        <f t="shared" si="21"/>
        <v/>
      </c>
      <c r="P614" s="147" t="str">
        <f>IFERROR(__xludf.DUMMYFUNCTION("if(C614="""","""",iferror(if(row()&lt;&gt;2,INDEX(arrayformula(filter($Q$2:$Q613,$C$2:$C613&lt;&gt;"""",row($C$2:$C613)=max(if($C$2:$C613=C614,row($C$2:$C613),0)))) ,1),0),0))"),"")</f>
        <v/>
      </c>
      <c r="Q614" s="147" t="str">
        <f t="shared" si="22"/>
        <v/>
      </c>
      <c r="R614" s="147" t="str">
        <f t="shared" si="23"/>
        <v/>
      </c>
      <c r="S614" s="147" t="str">
        <f t="shared" si="24"/>
        <v/>
      </c>
      <c r="T614" s="147" t="str">
        <f t="shared" si="7"/>
        <v/>
      </c>
      <c r="U614" s="150" t="str">
        <f t="shared" si="8"/>
        <v/>
      </c>
      <c r="V614" s="151" t="str">
        <f>IFERROR(VLOOKUP(C614,Ativos!$A$1:$G2000,5,),)</f>
        <v/>
      </c>
    </row>
    <row r="615" ht="21.0" customHeight="1">
      <c r="A615" s="152"/>
      <c r="B615" s="160"/>
      <c r="C615" s="153"/>
      <c r="D615" s="154"/>
      <c r="E615" s="139"/>
      <c r="F615" s="139"/>
      <c r="G615" s="139"/>
      <c r="H615" s="135"/>
      <c r="I615" s="141"/>
      <c r="J615" s="147" t="str">
        <f>IFERROR(__xludf.DUMMYFUNCTION("IF(ISBLANK(A615),IFERROR(1/0),IF(COUNT(FILTER(F:F,A:A=A615))&gt;1,TRUNC(N615*F615/SUM(FILTER(N:N,A:A=A615)),3),F615))"),"")</f>
        <v/>
      </c>
      <c r="K615" s="147" t="str">
        <f>IFERROR(__xludf.DUMMYFUNCTION("IF(ISBLANK(A615),IFERROR(1/0),IF(COUNT(FILTER(G:G,((A:A=A615)*(B:B=""V""))))&gt;1,TRUNC(N615*G615/SUM(FILTER(N:N,((A:A=A615)*(B:B=""V"")))),3),G615))"),"")</f>
        <v/>
      </c>
      <c r="L615" s="148" t="str">
        <f>IFERROR(__xludf.DUMMYFUNCTION("if($C615="""","""",iferror(if(row()&lt;&gt;2,INDEX(arrayformula(filter($M$2:$M614,$C$2:$C614&lt;&gt;"""",row($C$2:$C614)=max(if($C$2:$C614=C615,row($C$2:$C614),0)))) ,1),0),0))"),"")</f>
        <v/>
      </c>
      <c r="M615" s="148" t="str">
        <f t="shared" si="1"/>
        <v/>
      </c>
      <c r="N615" s="147" t="str">
        <f t="shared" si="2"/>
        <v/>
      </c>
      <c r="O615" s="147" t="str">
        <f t="shared" si="21"/>
        <v/>
      </c>
      <c r="P615" s="147" t="str">
        <f>IFERROR(__xludf.DUMMYFUNCTION("if(C615="""","""",iferror(if(row()&lt;&gt;2,INDEX(arrayformula(filter($Q$2:$Q614,$C$2:$C614&lt;&gt;"""",row($C$2:$C614)=max(if($C$2:$C614=C615,row($C$2:$C614),0)))) ,1),0),0))"),"")</f>
        <v/>
      </c>
      <c r="Q615" s="147" t="str">
        <f t="shared" si="22"/>
        <v/>
      </c>
      <c r="R615" s="147" t="str">
        <f t="shared" si="23"/>
        <v/>
      </c>
      <c r="S615" s="147" t="str">
        <f t="shared" si="24"/>
        <v/>
      </c>
      <c r="T615" s="147" t="str">
        <f t="shared" si="7"/>
        <v/>
      </c>
      <c r="U615" s="150" t="str">
        <f t="shared" si="8"/>
        <v/>
      </c>
      <c r="V615" s="151" t="str">
        <f>IFERROR(VLOOKUP(C615,Ativos!$A$1:$G2000,5,),)</f>
        <v/>
      </c>
    </row>
    <row r="616" ht="21.0" customHeight="1">
      <c r="A616" s="152"/>
      <c r="B616" s="160"/>
      <c r="C616" s="153"/>
      <c r="D616" s="154"/>
      <c r="E616" s="139"/>
      <c r="F616" s="139"/>
      <c r="G616" s="139"/>
      <c r="H616" s="135"/>
      <c r="I616" s="141"/>
      <c r="J616" s="147" t="str">
        <f>IFERROR(__xludf.DUMMYFUNCTION("IF(ISBLANK(A616),IFERROR(1/0),IF(COUNT(FILTER(F:F,A:A=A616))&gt;1,TRUNC(N616*F616/SUM(FILTER(N:N,A:A=A616)),3),F616))"),"")</f>
        <v/>
      </c>
      <c r="K616" s="147" t="str">
        <f>IFERROR(__xludf.DUMMYFUNCTION("IF(ISBLANK(A616),IFERROR(1/0),IF(COUNT(FILTER(G:G,((A:A=A616)*(B:B=""V""))))&gt;1,TRUNC(N616*G616/SUM(FILTER(N:N,((A:A=A616)*(B:B=""V"")))),3),G616))"),"")</f>
        <v/>
      </c>
      <c r="L616" s="148" t="str">
        <f>IFERROR(__xludf.DUMMYFUNCTION("if($C616="""","""",iferror(if(row()&lt;&gt;2,INDEX(arrayformula(filter($M$2:$M615,$C$2:$C615&lt;&gt;"""",row($C$2:$C615)=max(if($C$2:$C615=C616,row($C$2:$C615),0)))) ,1),0),0))"),"")</f>
        <v/>
      </c>
      <c r="M616" s="148" t="str">
        <f t="shared" si="1"/>
        <v/>
      </c>
      <c r="N616" s="147" t="str">
        <f t="shared" si="2"/>
        <v/>
      </c>
      <c r="O616" s="147" t="str">
        <f t="shared" si="21"/>
        <v/>
      </c>
      <c r="P616" s="147" t="str">
        <f>IFERROR(__xludf.DUMMYFUNCTION("if(C616="""","""",iferror(if(row()&lt;&gt;2,INDEX(arrayformula(filter($Q$2:$Q615,$C$2:$C615&lt;&gt;"""",row($C$2:$C615)=max(if($C$2:$C615=C616,row($C$2:$C615),0)))) ,1),0),0))"),"")</f>
        <v/>
      </c>
      <c r="Q616" s="147" t="str">
        <f t="shared" si="22"/>
        <v/>
      </c>
      <c r="R616" s="147" t="str">
        <f t="shared" si="23"/>
        <v/>
      </c>
      <c r="S616" s="147" t="str">
        <f t="shared" si="24"/>
        <v/>
      </c>
      <c r="T616" s="147" t="str">
        <f t="shared" si="7"/>
        <v/>
      </c>
      <c r="U616" s="150" t="str">
        <f t="shared" si="8"/>
        <v/>
      </c>
      <c r="V616" s="151" t="str">
        <f>IFERROR(VLOOKUP(C616,Ativos!$A$1:$G2000,5,),)</f>
        <v/>
      </c>
    </row>
    <row r="617" ht="21.0" customHeight="1">
      <c r="A617" s="152"/>
      <c r="B617" s="160"/>
      <c r="C617" s="153"/>
      <c r="D617" s="154"/>
      <c r="E617" s="139"/>
      <c r="F617" s="139"/>
      <c r="G617" s="139"/>
      <c r="H617" s="135"/>
      <c r="I617" s="141"/>
      <c r="J617" s="147" t="str">
        <f>IFERROR(__xludf.DUMMYFUNCTION("IF(ISBLANK(A617),IFERROR(1/0),IF(COUNT(FILTER(F:F,A:A=A617))&gt;1,TRUNC(N617*F617/SUM(FILTER(N:N,A:A=A617)),3),F617))"),"")</f>
        <v/>
      </c>
      <c r="K617" s="147" t="str">
        <f>IFERROR(__xludf.DUMMYFUNCTION("IF(ISBLANK(A617),IFERROR(1/0),IF(COUNT(FILTER(G:G,((A:A=A617)*(B:B=""V""))))&gt;1,TRUNC(N617*G617/SUM(FILTER(N:N,((A:A=A617)*(B:B=""V"")))),3),G617))"),"")</f>
        <v/>
      </c>
      <c r="L617" s="148" t="str">
        <f>IFERROR(__xludf.DUMMYFUNCTION("if($C617="""","""",iferror(if(row()&lt;&gt;2,INDEX(arrayformula(filter($M$2:$M616,$C$2:$C616&lt;&gt;"""",row($C$2:$C616)=max(if($C$2:$C616=C617,row($C$2:$C616),0)))) ,1),0),0))"),"")</f>
        <v/>
      </c>
      <c r="M617" s="148" t="str">
        <f t="shared" si="1"/>
        <v/>
      </c>
      <c r="N617" s="147" t="str">
        <f t="shared" si="2"/>
        <v/>
      </c>
      <c r="O617" s="147" t="str">
        <f t="shared" si="21"/>
        <v/>
      </c>
      <c r="P617" s="147" t="str">
        <f>IFERROR(__xludf.DUMMYFUNCTION("if(C617="""","""",iferror(if(row()&lt;&gt;2,INDEX(arrayformula(filter($Q$2:$Q616,$C$2:$C616&lt;&gt;"""",row($C$2:$C616)=max(if($C$2:$C616=C617,row($C$2:$C616),0)))) ,1),0),0))"),"")</f>
        <v/>
      </c>
      <c r="Q617" s="147" t="str">
        <f t="shared" si="22"/>
        <v/>
      </c>
      <c r="R617" s="147" t="str">
        <f t="shared" si="23"/>
        <v/>
      </c>
      <c r="S617" s="147" t="str">
        <f t="shared" si="24"/>
        <v/>
      </c>
      <c r="T617" s="147" t="str">
        <f t="shared" si="7"/>
        <v/>
      </c>
      <c r="U617" s="150" t="str">
        <f t="shared" si="8"/>
        <v/>
      </c>
      <c r="V617" s="151" t="str">
        <f>IFERROR(VLOOKUP(C617,Ativos!$A$1:$G2000,5,),)</f>
        <v/>
      </c>
    </row>
    <row r="618" ht="21.0" customHeight="1">
      <c r="A618" s="152"/>
      <c r="B618" s="160"/>
      <c r="C618" s="153"/>
      <c r="D618" s="154"/>
      <c r="E618" s="139"/>
      <c r="F618" s="139"/>
      <c r="G618" s="139"/>
      <c r="H618" s="135"/>
      <c r="I618" s="141"/>
      <c r="J618" s="147" t="str">
        <f>IFERROR(__xludf.DUMMYFUNCTION("IF(ISBLANK(A618),IFERROR(1/0),IF(COUNT(FILTER(F:F,A:A=A618))&gt;1,TRUNC(N618*F618/SUM(FILTER(N:N,A:A=A618)),3),F618))"),"")</f>
        <v/>
      </c>
      <c r="K618" s="147" t="str">
        <f>IFERROR(__xludf.DUMMYFUNCTION("IF(ISBLANK(A618),IFERROR(1/0),IF(COUNT(FILTER(G:G,((A:A=A618)*(B:B=""V""))))&gt;1,TRUNC(N618*G618/SUM(FILTER(N:N,((A:A=A618)*(B:B=""V"")))),3),G618))"),"")</f>
        <v/>
      </c>
      <c r="L618" s="148" t="str">
        <f>IFERROR(__xludf.DUMMYFUNCTION("if($C618="""","""",iferror(if(row()&lt;&gt;2,INDEX(arrayformula(filter($M$2:$M617,$C$2:$C617&lt;&gt;"""",row($C$2:$C617)=max(if($C$2:$C617=C618,row($C$2:$C617),0)))) ,1),0),0))"),"")</f>
        <v/>
      </c>
      <c r="M618" s="148" t="str">
        <f t="shared" si="1"/>
        <v/>
      </c>
      <c r="N618" s="147" t="str">
        <f t="shared" si="2"/>
        <v/>
      </c>
      <c r="O618" s="147" t="str">
        <f t="shared" si="21"/>
        <v/>
      </c>
      <c r="P618" s="147" t="str">
        <f>IFERROR(__xludf.DUMMYFUNCTION("if(C618="""","""",iferror(if(row()&lt;&gt;2,INDEX(arrayformula(filter($Q$2:$Q617,$C$2:$C617&lt;&gt;"""",row($C$2:$C617)=max(if($C$2:$C617=C618,row($C$2:$C617),0)))) ,1),0),0))"),"")</f>
        <v/>
      </c>
      <c r="Q618" s="147" t="str">
        <f t="shared" si="22"/>
        <v/>
      </c>
      <c r="R618" s="147" t="str">
        <f t="shared" si="23"/>
        <v/>
      </c>
      <c r="S618" s="147" t="str">
        <f t="shared" si="24"/>
        <v/>
      </c>
      <c r="T618" s="147" t="str">
        <f t="shared" si="7"/>
        <v/>
      </c>
      <c r="U618" s="150" t="str">
        <f t="shared" si="8"/>
        <v/>
      </c>
      <c r="V618" s="151" t="str">
        <f>IFERROR(VLOOKUP(C618,Ativos!$A$1:$G2000,5,),)</f>
        <v/>
      </c>
    </row>
    <row r="619" ht="21.0" customHeight="1">
      <c r="A619" s="152"/>
      <c r="B619" s="160"/>
      <c r="C619" s="153"/>
      <c r="D619" s="154"/>
      <c r="E619" s="139"/>
      <c r="F619" s="139"/>
      <c r="G619" s="139"/>
      <c r="H619" s="135"/>
      <c r="I619" s="141"/>
      <c r="J619" s="147" t="str">
        <f>IFERROR(__xludf.DUMMYFUNCTION("IF(ISBLANK(A619),IFERROR(1/0),IF(COUNT(FILTER(F:F,A:A=A619))&gt;1,TRUNC(N619*F619/SUM(FILTER(N:N,A:A=A619)),3),F619))"),"")</f>
        <v/>
      </c>
      <c r="K619" s="147" t="str">
        <f>IFERROR(__xludf.DUMMYFUNCTION("IF(ISBLANK(A619),IFERROR(1/0),IF(COUNT(FILTER(G:G,((A:A=A619)*(B:B=""V""))))&gt;1,TRUNC(N619*G619/SUM(FILTER(N:N,((A:A=A619)*(B:B=""V"")))),3),G619))"),"")</f>
        <v/>
      </c>
      <c r="L619" s="148" t="str">
        <f>IFERROR(__xludf.DUMMYFUNCTION("if($C619="""","""",iferror(if(row()&lt;&gt;2,INDEX(arrayformula(filter($M$2:$M618,$C$2:$C618&lt;&gt;"""",row($C$2:$C618)=max(if($C$2:$C618=C619,row($C$2:$C618),0)))) ,1),0),0))"),"")</f>
        <v/>
      </c>
      <c r="M619" s="148" t="str">
        <f t="shared" si="1"/>
        <v/>
      </c>
      <c r="N619" s="147" t="str">
        <f t="shared" si="2"/>
        <v/>
      </c>
      <c r="O619" s="147" t="str">
        <f t="shared" si="21"/>
        <v/>
      </c>
      <c r="P619" s="147" t="str">
        <f>IFERROR(__xludf.DUMMYFUNCTION("if(C619="""","""",iferror(if(row()&lt;&gt;2,INDEX(arrayformula(filter($Q$2:$Q618,$C$2:$C618&lt;&gt;"""",row($C$2:$C618)=max(if($C$2:$C618=C619,row($C$2:$C618),0)))) ,1),0),0))"),"")</f>
        <v/>
      </c>
      <c r="Q619" s="147" t="str">
        <f t="shared" si="22"/>
        <v/>
      </c>
      <c r="R619" s="147" t="str">
        <f t="shared" si="23"/>
        <v/>
      </c>
      <c r="S619" s="147" t="str">
        <f t="shared" si="24"/>
        <v/>
      </c>
      <c r="T619" s="147" t="str">
        <f t="shared" si="7"/>
        <v/>
      </c>
      <c r="U619" s="150" t="str">
        <f t="shared" si="8"/>
        <v/>
      </c>
      <c r="V619" s="151" t="str">
        <f>IFERROR(VLOOKUP(C619,Ativos!$A$1:$G2000,5,),)</f>
        <v/>
      </c>
    </row>
    <row r="620" ht="21.0" customHeight="1">
      <c r="A620" s="152"/>
      <c r="B620" s="160"/>
      <c r="C620" s="153"/>
      <c r="D620" s="154"/>
      <c r="E620" s="139"/>
      <c r="F620" s="139"/>
      <c r="G620" s="139"/>
      <c r="H620" s="135"/>
      <c r="I620" s="141"/>
      <c r="J620" s="147" t="str">
        <f>IFERROR(__xludf.DUMMYFUNCTION("IF(ISBLANK(A620),IFERROR(1/0),IF(COUNT(FILTER(F:F,A:A=A620))&gt;1,TRUNC(N620*F620/SUM(FILTER(N:N,A:A=A620)),3),F620))"),"")</f>
        <v/>
      </c>
      <c r="K620" s="147" t="str">
        <f>IFERROR(__xludf.DUMMYFUNCTION("IF(ISBLANK(A620),IFERROR(1/0),IF(COUNT(FILTER(G:G,((A:A=A620)*(B:B=""V""))))&gt;1,TRUNC(N620*G620/SUM(FILTER(N:N,((A:A=A620)*(B:B=""V"")))),3),G620))"),"")</f>
        <v/>
      </c>
      <c r="L620" s="148" t="str">
        <f>IFERROR(__xludf.DUMMYFUNCTION("if($C620="""","""",iferror(if(row()&lt;&gt;2,INDEX(arrayformula(filter($M$2:$M619,$C$2:$C619&lt;&gt;"""",row($C$2:$C619)=max(if($C$2:$C619=C620,row($C$2:$C619),0)))) ,1),0),0))"),"")</f>
        <v/>
      </c>
      <c r="M620" s="148" t="str">
        <f t="shared" si="1"/>
        <v/>
      </c>
      <c r="N620" s="147" t="str">
        <f t="shared" si="2"/>
        <v/>
      </c>
      <c r="O620" s="147" t="str">
        <f t="shared" si="21"/>
        <v/>
      </c>
      <c r="P620" s="147" t="str">
        <f>IFERROR(__xludf.DUMMYFUNCTION("if(C620="""","""",iferror(if(row()&lt;&gt;2,INDEX(arrayformula(filter($Q$2:$Q619,$C$2:$C619&lt;&gt;"""",row($C$2:$C619)=max(if($C$2:$C619=C620,row($C$2:$C619),0)))) ,1),0),0))"),"")</f>
        <v/>
      </c>
      <c r="Q620" s="147" t="str">
        <f t="shared" si="22"/>
        <v/>
      </c>
      <c r="R620" s="147" t="str">
        <f t="shared" si="23"/>
        <v/>
      </c>
      <c r="S620" s="147" t="str">
        <f t="shared" si="24"/>
        <v/>
      </c>
      <c r="T620" s="147" t="str">
        <f t="shared" si="7"/>
        <v/>
      </c>
      <c r="U620" s="150" t="str">
        <f t="shared" si="8"/>
        <v/>
      </c>
      <c r="V620" s="151" t="str">
        <f>IFERROR(VLOOKUP(C620,Ativos!$A$1:$G2000,5,),)</f>
        <v/>
      </c>
    </row>
    <row r="621" ht="21.0" customHeight="1">
      <c r="A621" s="152"/>
      <c r="B621" s="160"/>
      <c r="C621" s="153"/>
      <c r="D621" s="154"/>
      <c r="E621" s="139"/>
      <c r="F621" s="139"/>
      <c r="G621" s="139"/>
      <c r="H621" s="135"/>
      <c r="I621" s="141"/>
      <c r="J621" s="147" t="str">
        <f>IFERROR(__xludf.DUMMYFUNCTION("IF(ISBLANK(A621),IFERROR(1/0),IF(COUNT(FILTER(F:F,A:A=A621))&gt;1,TRUNC(N621*F621/SUM(FILTER(N:N,A:A=A621)),3),F621))"),"")</f>
        <v/>
      </c>
      <c r="K621" s="147" t="str">
        <f>IFERROR(__xludf.DUMMYFUNCTION("IF(ISBLANK(A621),IFERROR(1/0),IF(COUNT(FILTER(G:G,((A:A=A621)*(B:B=""V""))))&gt;1,TRUNC(N621*G621/SUM(FILTER(N:N,((A:A=A621)*(B:B=""V"")))),3),G621))"),"")</f>
        <v/>
      </c>
      <c r="L621" s="148" t="str">
        <f>IFERROR(__xludf.DUMMYFUNCTION("if($C621="""","""",iferror(if(row()&lt;&gt;2,INDEX(arrayformula(filter($M$2:$M620,$C$2:$C620&lt;&gt;"""",row($C$2:$C620)=max(if($C$2:$C620=C621,row($C$2:$C620),0)))) ,1),0),0))"),"")</f>
        <v/>
      </c>
      <c r="M621" s="148" t="str">
        <f t="shared" si="1"/>
        <v/>
      </c>
      <c r="N621" s="147" t="str">
        <f t="shared" si="2"/>
        <v/>
      </c>
      <c r="O621" s="147" t="str">
        <f t="shared" si="21"/>
        <v/>
      </c>
      <c r="P621" s="147" t="str">
        <f>IFERROR(__xludf.DUMMYFUNCTION("if(C621="""","""",iferror(if(row()&lt;&gt;2,INDEX(arrayformula(filter($Q$2:$Q620,$C$2:$C620&lt;&gt;"""",row($C$2:$C620)=max(if($C$2:$C620=C621,row($C$2:$C620),0)))) ,1),0),0))"),"")</f>
        <v/>
      </c>
      <c r="Q621" s="147" t="str">
        <f t="shared" si="22"/>
        <v/>
      </c>
      <c r="R621" s="147" t="str">
        <f t="shared" si="23"/>
        <v/>
      </c>
      <c r="S621" s="147" t="str">
        <f t="shared" si="24"/>
        <v/>
      </c>
      <c r="T621" s="147" t="str">
        <f t="shared" si="7"/>
        <v/>
      </c>
      <c r="U621" s="150" t="str">
        <f t="shared" si="8"/>
        <v/>
      </c>
      <c r="V621" s="151" t="str">
        <f>IFERROR(VLOOKUP(C621,Ativos!$A$1:$G2000,5,),)</f>
        <v/>
      </c>
    </row>
    <row r="622" ht="21.0" customHeight="1">
      <c r="A622" s="152"/>
      <c r="B622" s="160"/>
      <c r="C622" s="153"/>
      <c r="D622" s="154"/>
      <c r="E622" s="139"/>
      <c r="F622" s="139"/>
      <c r="G622" s="139"/>
      <c r="H622" s="135"/>
      <c r="I622" s="141"/>
      <c r="J622" s="147" t="str">
        <f>IFERROR(__xludf.DUMMYFUNCTION("IF(ISBLANK(A622),IFERROR(1/0),IF(COUNT(FILTER(F:F,A:A=A622))&gt;1,TRUNC(N622*F622/SUM(FILTER(N:N,A:A=A622)),3),F622))"),"")</f>
        <v/>
      </c>
      <c r="K622" s="147" t="str">
        <f>IFERROR(__xludf.DUMMYFUNCTION("IF(ISBLANK(A622),IFERROR(1/0),IF(COUNT(FILTER(G:G,((A:A=A622)*(B:B=""V""))))&gt;1,TRUNC(N622*G622/SUM(FILTER(N:N,((A:A=A622)*(B:B=""V"")))),3),G622))"),"")</f>
        <v/>
      </c>
      <c r="L622" s="148" t="str">
        <f>IFERROR(__xludf.DUMMYFUNCTION("if($C622="""","""",iferror(if(row()&lt;&gt;2,INDEX(arrayformula(filter($M$2:$M621,$C$2:$C621&lt;&gt;"""",row($C$2:$C621)=max(if($C$2:$C621=C622,row($C$2:$C621),0)))) ,1),0),0))"),"")</f>
        <v/>
      </c>
      <c r="M622" s="148" t="str">
        <f t="shared" si="1"/>
        <v/>
      </c>
      <c r="N622" s="147" t="str">
        <f t="shared" si="2"/>
        <v/>
      </c>
      <c r="O622" s="147" t="str">
        <f t="shared" si="21"/>
        <v/>
      </c>
      <c r="P622" s="147" t="str">
        <f>IFERROR(__xludf.DUMMYFUNCTION("if(C622="""","""",iferror(if(row()&lt;&gt;2,INDEX(arrayformula(filter($Q$2:$Q621,$C$2:$C621&lt;&gt;"""",row($C$2:$C621)=max(if($C$2:$C621=C622,row($C$2:$C621),0)))) ,1),0),0))"),"")</f>
        <v/>
      </c>
      <c r="Q622" s="147" t="str">
        <f t="shared" si="22"/>
        <v/>
      </c>
      <c r="R622" s="147" t="str">
        <f t="shared" si="23"/>
        <v/>
      </c>
      <c r="S622" s="147" t="str">
        <f t="shared" si="24"/>
        <v/>
      </c>
      <c r="T622" s="147" t="str">
        <f t="shared" si="7"/>
        <v/>
      </c>
      <c r="U622" s="150" t="str">
        <f t="shared" si="8"/>
        <v/>
      </c>
      <c r="V622" s="151" t="str">
        <f>IFERROR(VLOOKUP(C622,Ativos!$A$1:$G2000,5,),)</f>
        <v/>
      </c>
    </row>
    <row r="623" ht="21.0" customHeight="1">
      <c r="A623" s="152"/>
      <c r="B623" s="160"/>
      <c r="C623" s="153"/>
      <c r="D623" s="154"/>
      <c r="E623" s="139"/>
      <c r="F623" s="139"/>
      <c r="G623" s="139"/>
      <c r="H623" s="135"/>
      <c r="I623" s="141"/>
      <c r="J623" s="147" t="str">
        <f>IFERROR(__xludf.DUMMYFUNCTION("IF(ISBLANK(A623),IFERROR(1/0),IF(COUNT(FILTER(F:F,A:A=A623))&gt;1,TRUNC(N623*F623/SUM(FILTER(N:N,A:A=A623)),3),F623))"),"")</f>
        <v/>
      </c>
      <c r="K623" s="147" t="str">
        <f>IFERROR(__xludf.DUMMYFUNCTION("IF(ISBLANK(A623),IFERROR(1/0),IF(COUNT(FILTER(G:G,((A:A=A623)*(B:B=""V""))))&gt;1,TRUNC(N623*G623/SUM(FILTER(N:N,((A:A=A623)*(B:B=""V"")))),3),G623))"),"")</f>
        <v/>
      </c>
      <c r="L623" s="148" t="str">
        <f>IFERROR(__xludf.DUMMYFUNCTION("if($C623="""","""",iferror(if(row()&lt;&gt;2,INDEX(arrayformula(filter($M$2:$M622,$C$2:$C622&lt;&gt;"""",row($C$2:$C622)=max(if($C$2:$C622=C623,row($C$2:$C622),0)))) ,1),0),0))"),"")</f>
        <v/>
      </c>
      <c r="M623" s="148" t="str">
        <f t="shared" si="1"/>
        <v/>
      </c>
      <c r="N623" s="147" t="str">
        <f t="shared" si="2"/>
        <v/>
      </c>
      <c r="O623" s="147" t="str">
        <f t="shared" si="21"/>
        <v/>
      </c>
      <c r="P623" s="147" t="str">
        <f>IFERROR(__xludf.DUMMYFUNCTION("if(C623="""","""",iferror(if(row()&lt;&gt;2,INDEX(arrayformula(filter($Q$2:$Q622,$C$2:$C622&lt;&gt;"""",row($C$2:$C622)=max(if($C$2:$C622=C623,row($C$2:$C622),0)))) ,1),0),0))"),"")</f>
        <v/>
      </c>
      <c r="Q623" s="147" t="str">
        <f t="shared" si="22"/>
        <v/>
      </c>
      <c r="R623" s="147" t="str">
        <f t="shared" si="23"/>
        <v/>
      </c>
      <c r="S623" s="147" t="str">
        <f t="shared" si="24"/>
        <v/>
      </c>
      <c r="T623" s="147" t="str">
        <f t="shared" si="7"/>
        <v/>
      </c>
      <c r="U623" s="150" t="str">
        <f t="shared" si="8"/>
        <v/>
      </c>
      <c r="V623" s="151" t="str">
        <f>IFERROR(VLOOKUP(C623,Ativos!$A$1:$G2000,5,),)</f>
        <v/>
      </c>
    </row>
    <row r="624" ht="21.0" customHeight="1">
      <c r="A624" s="152"/>
      <c r="B624" s="160"/>
      <c r="C624" s="153"/>
      <c r="D624" s="154"/>
      <c r="E624" s="139"/>
      <c r="F624" s="139"/>
      <c r="G624" s="139"/>
      <c r="H624" s="135"/>
      <c r="I624" s="141"/>
      <c r="J624" s="147" t="str">
        <f>IFERROR(__xludf.DUMMYFUNCTION("IF(ISBLANK(A624),IFERROR(1/0),IF(COUNT(FILTER(F:F,A:A=A624))&gt;1,TRUNC(N624*F624/SUM(FILTER(N:N,A:A=A624)),3),F624))"),"")</f>
        <v/>
      </c>
      <c r="K624" s="147" t="str">
        <f>IFERROR(__xludf.DUMMYFUNCTION("IF(ISBLANK(A624),IFERROR(1/0),IF(COUNT(FILTER(G:G,((A:A=A624)*(B:B=""V""))))&gt;1,TRUNC(N624*G624/SUM(FILTER(N:N,((A:A=A624)*(B:B=""V"")))),3),G624))"),"")</f>
        <v/>
      </c>
      <c r="L624" s="148" t="str">
        <f>IFERROR(__xludf.DUMMYFUNCTION("if($C624="""","""",iferror(if(row()&lt;&gt;2,INDEX(arrayformula(filter($M$2:$M623,$C$2:$C623&lt;&gt;"""",row($C$2:$C623)=max(if($C$2:$C623=C624,row($C$2:$C623),0)))) ,1),0),0))"),"")</f>
        <v/>
      </c>
      <c r="M624" s="148" t="str">
        <f t="shared" si="1"/>
        <v/>
      </c>
      <c r="N624" s="147" t="str">
        <f t="shared" si="2"/>
        <v/>
      </c>
      <c r="O624" s="147" t="str">
        <f t="shared" si="21"/>
        <v/>
      </c>
      <c r="P624" s="147" t="str">
        <f>IFERROR(__xludf.DUMMYFUNCTION("if(C624="""","""",iferror(if(row()&lt;&gt;2,INDEX(arrayformula(filter($Q$2:$Q623,$C$2:$C623&lt;&gt;"""",row($C$2:$C623)=max(if($C$2:$C623=C624,row($C$2:$C623),0)))) ,1),0),0))"),"")</f>
        <v/>
      </c>
      <c r="Q624" s="147" t="str">
        <f t="shared" si="22"/>
        <v/>
      </c>
      <c r="R624" s="147" t="str">
        <f t="shared" si="23"/>
        <v/>
      </c>
      <c r="S624" s="147" t="str">
        <f t="shared" si="24"/>
        <v/>
      </c>
      <c r="T624" s="147" t="str">
        <f t="shared" si="7"/>
        <v/>
      </c>
      <c r="U624" s="150" t="str">
        <f t="shared" si="8"/>
        <v/>
      </c>
      <c r="V624" s="151" t="str">
        <f>IFERROR(VLOOKUP(C624,Ativos!$A$1:$G2000,5,),)</f>
        <v/>
      </c>
    </row>
    <row r="625" ht="21.0" customHeight="1">
      <c r="A625" s="152"/>
      <c r="B625" s="160"/>
      <c r="C625" s="153"/>
      <c r="D625" s="154"/>
      <c r="E625" s="139"/>
      <c r="F625" s="139"/>
      <c r="G625" s="139"/>
      <c r="H625" s="135"/>
      <c r="I625" s="141"/>
      <c r="J625" s="147" t="str">
        <f>IFERROR(__xludf.DUMMYFUNCTION("IF(ISBLANK(A625),IFERROR(1/0),IF(COUNT(FILTER(F:F,A:A=A625))&gt;1,TRUNC(N625*F625/SUM(FILTER(N:N,A:A=A625)),3),F625))"),"")</f>
        <v/>
      </c>
      <c r="K625" s="147" t="str">
        <f>IFERROR(__xludf.DUMMYFUNCTION("IF(ISBLANK(A625),IFERROR(1/0),IF(COUNT(FILTER(G:G,((A:A=A625)*(B:B=""V""))))&gt;1,TRUNC(N625*G625/SUM(FILTER(N:N,((A:A=A625)*(B:B=""V"")))),3),G625))"),"")</f>
        <v/>
      </c>
      <c r="L625" s="148" t="str">
        <f>IFERROR(__xludf.DUMMYFUNCTION("if($C625="""","""",iferror(if(row()&lt;&gt;2,INDEX(arrayformula(filter($M$2:$M624,$C$2:$C624&lt;&gt;"""",row($C$2:$C624)=max(if($C$2:$C624=C625,row($C$2:$C624),0)))) ,1),0),0))"),"")</f>
        <v/>
      </c>
      <c r="M625" s="148" t="str">
        <f t="shared" si="1"/>
        <v/>
      </c>
      <c r="N625" s="147" t="str">
        <f t="shared" si="2"/>
        <v/>
      </c>
      <c r="O625" s="147" t="str">
        <f t="shared" si="21"/>
        <v/>
      </c>
      <c r="P625" s="147" t="str">
        <f>IFERROR(__xludf.DUMMYFUNCTION("if(C625="""","""",iferror(if(row()&lt;&gt;2,INDEX(arrayformula(filter($Q$2:$Q624,$C$2:$C624&lt;&gt;"""",row($C$2:$C624)=max(if($C$2:$C624=C625,row($C$2:$C624),0)))) ,1),0),0))"),"")</f>
        <v/>
      </c>
      <c r="Q625" s="147" t="str">
        <f t="shared" si="22"/>
        <v/>
      </c>
      <c r="R625" s="147" t="str">
        <f t="shared" si="23"/>
        <v/>
      </c>
      <c r="S625" s="147" t="str">
        <f t="shared" si="24"/>
        <v/>
      </c>
      <c r="T625" s="147" t="str">
        <f t="shared" si="7"/>
        <v/>
      </c>
      <c r="U625" s="150" t="str">
        <f t="shared" si="8"/>
        <v/>
      </c>
      <c r="V625" s="151" t="str">
        <f>IFERROR(VLOOKUP(C625,Ativos!$A$1:$G2000,5,),)</f>
        <v/>
      </c>
    </row>
    <row r="626" ht="21.0" customHeight="1">
      <c r="A626" s="152"/>
      <c r="B626" s="160"/>
      <c r="C626" s="153"/>
      <c r="D626" s="154"/>
      <c r="E626" s="139"/>
      <c r="F626" s="139"/>
      <c r="G626" s="139"/>
      <c r="H626" s="135"/>
      <c r="I626" s="141"/>
      <c r="J626" s="147" t="str">
        <f>IFERROR(__xludf.DUMMYFUNCTION("IF(ISBLANK(A626),IFERROR(1/0),IF(COUNT(FILTER(F:F,A:A=A626))&gt;1,TRUNC(N626*F626/SUM(FILTER(N:N,A:A=A626)),3),F626))"),"")</f>
        <v/>
      </c>
      <c r="K626" s="147" t="str">
        <f>IFERROR(__xludf.DUMMYFUNCTION("IF(ISBLANK(A626),IFERROR(1/0),IF(COUNT(FILTER(G:G,((A:A=A626)*(B:B=""V""))))&gt;1,TRUNC(N626*G626/SUM(FILTER(N:N,((A:A=A626)*(B:B=""V"")))),3),G626))"),"")</f>
        <v/>
      </c>
      <c r="L626" s="148" t="str">
        <f>IFERROR(__xludf.DUMMYFUNCTION("if($C626="""","""",iferror(if(row()&lt;&gt;2,INDEX(arrayformula(filter($M$2:$M625,$C$2:$C625&lt;&gt;"""",row($C$2:$C625)=max(if($C$2:$C625=C626,row($C$2:$C625),0)))) ,1),0),0))"),"")</f>
        <v/>
      </c>
      <c r="M626" s="148" t="str">
        <f t="shared" si="1"/>
        <v/>
      </c>
      <c r="N626" s="147" t="str">
        <f t="shared" si="2"/>
        <v/>
      </c>
      <c r="O626" s="147" t="str">
        <f t="shared" si="21"/>
        <v/>
      </c>
      <c r="P626" s="147" t="str">
        <f>IFERROR(__xludf.DUMMYFUNCTION("if(C626="""","""",iferror(if(row()&lt;&gt;2,INDEX(arrayformula(filter($Q$2:$Q625,$C$2:$C625&lt;&gt;"""",row($C$2:$C625)=max(if($C$2:$C625=C626,row($C$2:$C625),0)))) ,1),0),0))"),"")</f>
        <v/>
      </c>
      <c r="Q626" s="147" t="str">
        <f t="shared" si="22"/>
        <v/>
      </c>
      <c r="R626" s="147" t="str">
        <f t="shared" si="23"/>
        <v/>
      </c>
      <c r="S626" s="147" t="str">
        <f t="shared" si="24"/>
        <v/>
      </c>
      <c r="T626" s="147" t="str">
        <f t="shared" si="7"/>
        <v/>
      </c>
      <c r="U626" s="150" t="str">
        <f t="shared" si="8"/>
        <v/>
      </c>
      <c r="V626" s="151" t="str">
        <f>IFERROR(VLOOKUP(C626,Ativos!$A$1:$G2000,5,),)</f>
        <v/>
      </c>
    </row>
    <row r="627" ht="21.0" customHeight="1">
      <c r="A627" s="152"/>
      <c r="B627" s="160"/>
      <c r="C627" s="153"/>
      <c r="D627" s="154"/>
      <c r="E627" s="139"/>
      <c r="F627" s="139"/>
      <c r="G627" s="139"/>
      <c r="H627" s="135"/>
      <c r="I627" s="141"/>
      <c r="J627" s="147" t="str">
        <f>IFERROR(__xludf.DUMMYFUNCTION("IF(ISBLANK(A627),IFERROR(1/0),IF(COUNT(FILTER(F:F,A:A=A627))&gt;1,TRUNC(N627*F627/SUM(FILTER(N:N,A:A=A627)),3),F627))"),"")</f>
        <v/>
      </c>
      <c r="K627" s="147" t="str">
        <f>IFERROR(__xludf.DUMMYFUNCTION("IF(ISBLANK(A627),IFERROR(1/0),IF(COUNT(FILTER(G:G,((A:A=A627)*(B:B=""V""))))&gt;1,TRUNC(N627*G627/SUM(FILTER(N:N,((A:A=A627)*(B:B=""V"")))),3),G627))"),"")</f>
        <v/>
      </c>
      <c r="L627" s="148" t="str">
        <f>IFERROR(__xludf.DUMMYFUNCTION("if($C627="""","""",iferror(if(row()&lt;&gt;2,INDEX(arrayformula(filter($M$2:$M626,$C$2:$C626&lt;&gt;"""",row($C$2:$C626)=max(if($C$2:$C626=C627,row($C$2:$C626),0)))) ,1),0),0))"),"")</f>
        <v/>
      </c>
      <c r="M627" s="148" t="str">
        <f t="shared" si="1"/>
        <v/>
      </c>
      <c r="N627" s="147" t="str">
        <f t="shared" si="2"/>
        <v/>
      </c>
      <c r="O627" s="147" t="str">
        <f t="shared" si="21"/>
        <v/>
      </c>
      <c r="P627" s="147" t="str">
        <f>IFERROR(__xludf.DUMMYFUNCTION("if(C627="""","""",iferror(if(row()&lt;&gt;2,INDEX(arrayformula(filter($Q$2:$Q626,$C$2:$C626&lt;&gt;"""",row($C$2:$C626)=max(if($C$2:$C626=C627,row($C$2:$C626),0)))) ,1),0),0))"),"")</f>
        <v/>
      </c>
      <c r="Q627" s="147" t="str">
        <f t="shared" si="22"/>
        <v/>
      </c>
      <c r="R627" s="147" t="str">
        <f t="shared" si="23"/>
        <v/>
      </c>
      <c r="S627" s="147" t="str">
        <f t="shared" si="24"/>
        <v/>
      </c>
      <c r="T627" s="147" t="str">
        <f t="shared" si="7"/>
        <v/>
      </c>
      <c r="U627" s="150" t="str">
        <f t="shared" si="8"/>
        <v/>
      </c>
      <c r="V627" s="151" t="str">
        <f>IFERROR(VLOOKUP(C627,Ativos!$A$1:$G2000,5,),)</f>
        <v/>
      </c>
    </row>
    <row r="628" ht="21.0" customHeight="1">
      <c r="A628" s="152"/>
      <c r="B628" s="160"/>
      <c r="C628" s="153"/>
      <c r="D628" s="154"/>
      <c r="E628" s="139"/>
      <c r="F628" s="139"/>
      <c r="G628" s="139"/>
      <c r="H628" s="135"/>
      <c r="I628" s="141"/>
      <c r="J628" s="147" t="str">
        <f>IFERROR(__xludf.DUMMYFUNCTION("IF(ISBLANK(A628),IFERROR(1/0),IF(COUNT(FILTER(F:F,A:A=A628))&gt;1,TRUNC(N628*F628/SUM(FILTER(N:N,A:A=A628)),3),F628))"),"")</f>
        <v/>
      </c>
      <c r="K628" s="147" t="str">
        <f>IFERROR(__xludf.DUMMYFUNCTION("IF(ISBLANK(A628),IFERROR(1/0),IF(COUNT(FILTER(G:G,((A:A=A628)*(B:B=""V""))))&gt;1,TRUNC(N628*G628/SUM(FILTER(N:N,((A:A=A628)*(B:B=""V"")))),3),G628))"),"")</f>
        <v/>
      </c>
      <c r="L628" s="148" t="str">
        <f>IFERROR(__xludf.DUMMYFUNCTION("if($C628="""","""",iferror(if(row()&lt;&gt;2,INDEX(arrayformula(filter($M$2:$M627,$C$2:$C627&lt;&gt;"""",row($C$2:$C627)=max(if($C$2:$C627=C628,row($C$2:$C627),0)))) ,1),0),0))"),"")</f>
        <v/>
      </c>
      <c r="M628" s="148" t="str">
        <f t="shared" si="1"/>
        <v/>
      </c>
      <c r="N628" s="147" t="str">
        <f t="shared" si="2"/>
        <v/>
      </c>
      <c r="O628" s="147" t="str">
        <f t="shared" si="21"/>
        <v/>
      </c>
      <c r="P628" s="147" t="str">
        <f>IFERROR(__xludf.DUMMYFUNCTION("if(C628="""","""",iferror(if(row()&lt;&gt;2,INDEX(arrayformula(filter($Q$2:$Q627,$C$2:$C627&lt;&gt;"""",row($C$2:$C627)=max(if($C$2:$C627=C628,row($C$2:$C627),0)))) ,1),0),0))"),"")</f>
        <v/>
      </c>
      <c r="Q628" s="147" t="str">
        <f t="shared" si="22"/>
        <v/>
      </c>
      <c r="R628" s="147" t="str">
        <f t="shared" si="23"/>
        <v/>
      </c>
      <c r="S628" s="147" t="str">
        <f t="shared" si="24"/>
        <v/>
      </c>
      <c r="T628" s="147" t="str">
        <f t="shared" si="7"/>
        <v/>
      </c>
      <c r="U628" s="150" t="str">
        <f t="shared" si="8"/>
        <v/>
      </c>
      <c r="V628" s="151" t="str">
        <f>IFERROR(VLOOKUP(C628,Ativos!$A$1:$G2000,5,),)</f>
        <v/>
      </c>
    </row>
    <row r="629" ht="21.0" customHeight="1">
      <c r="A629" s="152"/>
      <c r="B629" s="160"/>
      <c r="C629" s="153"/>
      <c r="D629" s="154"/>
      <c r="E629" s="139"/>
      <c r="F629" s="139"/>
      <c r="G629" s="139"/>
      <c r="H629" s="135"/>
      <c r="I629" s="141"/>
      <c r="J629" s="147" t="str">
        <f>IFERROR(__xludf.DUMMYFUNCTION("IF(ISBLANK(A629),IFERROR(1/0),IF(COUNT(FILTER(F:F,A:A=A629))&gt;1,TRUNC(N629*F629/SUM(FILTER(N:N,A:A=A629)),3),F629))"),"")</f>
        <v/>
      </c>
      <c r="K629" s="147" t="str">
        <f>IFERROR(__xludf.DUMMYFUNCTION("IF(ISBLANK(A629),IFERROR(1/0),IF(COUNT(FILTER(G:G,((A:A=A629)*(B:B=""V""))))&gt;1,TRUNC(N629*G629/SUM(FILTER(N:N,((A:A=A629)*(B:B=""V"")))),3),G629))"),"")</f>
        <v/>
      </c>
      <c r="L629" s="148" t="str">
        <f>IFERROR(__xludf.DUMMYFUNCTION("if($C629="""","""",iferror(if(row()&lt;&gt;2,INDEX(arrayformula(filter($M$2:$M628,$C$2:$C628&lt;&gt;"""",row($C$2:$C628)=max(if($C$2:$C628=C629,row($C$2:$C628),0)))) ,1),0),0))"),"")</f>
        <v/>
      </c>
      <c r="M629" s="148" t="str">
        <f t="shared" si="1"/>
        <v/>
      </c>
      <c r="N629" s="147" t="str">
        <f t="shared" si="2"/>
        <v/>
      </c>
      <c r="O629" s="147" t="str">
        <f t="shared" si="21"/>
        <v/>
      </c>
      <c r="P629" s="147" t="str">
        <f>IFERROR(__xludf.DUMMYFUNCTION("if(C629="""","""",iferror(if(row()&lt;&gt;2,INDEX(arrayformula(filter($Q$2:$Q628,$C$2:$C628&lt;&gt;"""",row($C$2:$C628)=max(if($C$2:$C628=C629,row($C$2:$C628),0)))) ,1),0),0))"),"")</f>
        <v/>
      </c>
      <c r="Q629" s="147" t="str">
        <f t="shared" si="22"/>
        <v/>
      </c>
      <c r="R629" s="147" t="str">
        <f t="shared" si="23"/>
        <v/>
      </c>
      <c r="S629" s="147" t="str">
        <f t="shared" si="24"/>
        <v/>
      </c>
      <c r="T629" s="147" t="str">
        <f t="shared" si="7"/>
        <v/>
      </c>
      <c r="U629" s="150" t="str">
        <f t="shared" si="8"/>
        <v/>
      </c>
      <c r="V629" s="151" t="str">
        <f>IFERROR(VLOOKUP(C629,Ativos!$A$1:$G2000,5,),)</f>
        <v/>
      </c>
    </row>
    <row r="630" ht="21.0" customHeight="1">
      <c r="A630" s="152"/>
      <c r="B630" s="160"/>
      <c r="C630" s="153"/>
      <c r="D630" s="154"/>
      <c r="E630" s="139"/>
      <c r="F630" s="139"/>
      <c r="G630" s="139"/>
      <c r="H630" s="135"/>
      <c r="I630" s="141"/>
      <c r="J630" s="147" t="str">
        <f>IFERROR(__xludf.DUMMYFUNCTION("IF(ISBLANK(A630),IFERROR(1/0),IF(COUNT(FILTER(F:F,A:A=A630))&gt;1,TRUNC(N630*F630/SUM(FILTER(N:N,A:A=A630)),3),F630))"),"")</f>
        <v/>
      </c>
      <c r="K630" s="147" t="str">
        <f>IFERROR(__xludf.DUMMYFUNCTION("IF(ISBLANK(A630),IFERROR(1/0),IF(COUNT(FILTER(G:G,((A:A=A630)*(B:B=""V""))))&gt;1,TRUNC(N630*G630/SUM(FILTER(N:N,((A:A=A630)*(B:B=""V"")))),3),G630))"),"")</f>
        <v/>
      </c>
      <c r="L630" s="148" t="str">
        <f>IFERROR(__xludf.DUMMYFUNCTION("if($C630="""","""",iferror(if(row()&lt;&gt;2,INDEX(arrayformula(filter($M$2:$M629,$C$2:$C629&lt;&gt;"""",row($C$2:$C629)=max(if($C$2:$C629=C630,row($C$2:$C629),0)))) ,1),0),0))"),"")</f>
        <v/>
      </c>
      <c r="M630" s="148" t="str">
        <f t="shared" si="1"/>
        <v/>
      </c>
      <c r="N630" s="147" t="str">
        <f t="shared" si="2"/>
        <v/>
      </c>
      <c r="O630" s="147" t="str">
        <f t="shared" si="21"/>
        <v/>
      </c>
      <c r="P630" s="147" t="str">
        <f>IFERROR(__xludf.DUMMYFUNCTION("if(C630="""","""",iferror(if(row()&lt;&gt;2,INDEX(arrayformula(filter($Q$2:$Q629,$C$2:$C629&lt;&gt;"""",row($C$2:$C629)=max(if($C$2:$C629=C630,row($C$2:$C629),0)))) ,1),0),0))"),"")</f>
        <v/>
      </c>
      <c r="Q630" s="147" t="str">
        <f t="shared" si="22"/>
        <v/>
      </c>
      <c r="R630" s="147" t="str">
        <f t="shared" si="23"/>
        <v/>
      </c>
      <c r="S630" s="147" t="str">
        <f t="shared" si="24"/>
        <v/>
      </c>
      <c r="T630" s="147" t="str">
        <f t="shared" si="7"/>
        <v/>
      </c>
      <c r="U630" s="150" t="str">
        <f t="shared" si="8"/>
        <v/>
      </c>
      <c r="V630" s="151" t="str">
        <f>IFERROR(VLOOKUP(C630,Ativos!$A$1:$G2000,5,),)</f>
        <v/>
      </c>
    </row>
    <row r="631" ht="21.0" customHeight="1">
      <c r="A631" s="152"/>
      <c r="B631" s="160"/>
      <c r="C631" s="153"/>
      <c r="D631" s="154"/>
      <c r="E631" s="139"/>
      <c r="F631" s="139"/>
      <c r="G631" s="139"/>
      <c r="H631" s="135"/>
      <c r="I631" s="141"/>
      <c r="J631" s="147" t="str">
        <f>IFERROR(__xludf.DUMMYFUNCTION("IF(ISBLANK(A631),IFERROR(1/0),IF(COUNT(FILTER(F:F,A:A=A631))&gt;1,TRUNC(N631*F631/SUM(FILTER(N:N,A:A=A631)),3),F631))"),"")</f>
        <v/>
      </c>
      <c r="K631" s="147" t="str">
        <f>IFERROR(__xludf.DUMMYFUNCTION("IF(ISBLANK(A631),IFERROR(1/0),IF(COUNT(FILTER(G:G,((A:A=A631)*(B:B=""V""))))&gt;1,TRUNC(N631*G631/SUM(FILTER(N:N,((A:A=A631)*(B:B=""V"")))),3),G631))"),"")</f>
        <v/>
      </c>
      <c r="L631" s="148" t="str">
        <f>IFERROR(__xludf.DUMMYFUNCTION("if($C631="""","""",iferror(if(row()&lt;&gt;2,INDEX(arrayformula(filter($M$2:$M630,$C$2:$C630&lt;&gt;"""",row($C$2:$C630)=max(if($C$2:$C630=C631,row($C$2:$C630),0)))) ,1),0),0))"),"")</f>
        <v/>
      </c>
      <c r="M631" s="148" t="str">
        <f t="shared" si="1"/>
        <v/>
      </c>
      <c r="N631" s="147" t="str">
        <f t="shared" si="2"/>
        <v/>
      </c>
      <c r="O631" s="147" t="str">
        <f t="shared" si="21"/>
        <v/>
      </c>
      <c r="P631" s="147" t="str">
        <f>IFERROR(__xludf.DUMMYFUNCTION("if(C631="""","""",iferror(if(row()&lt;&gt;2,INDEX(arrayformula(filter($Q$2:$Q630,$C$2:$C630&lt;&gt;"""",row($C$2:$C630)=max(if($C$2:$C630=C631,row($C$2:$C630),0)))) ,1),0),0))"),"")</f>
        <v/>
      </c>
      <c r="Q631" s="147" t="str">
        <f t="shared" si="22"/>
        <v/>
      </c>
      <c r="R631" s="147" t="str">
        <f t="shared" si="23"/>
        <v/>
      </c>
      <c r="S631" s="147" t="str">
        <f t="shared" si="24"/>
        <v/>
      </c>
      <c r="T631" s="147" t="str">
        <f t="shared" si="7"/>
        <v/>
      </c>
      <c r="U631" s="150" t="str">
        <f t="shared" si="8"/>
        <v/>
      </c>
      <c r="V631" s="151" t="str">
        <f>IFERROR(VLOOKUP(C631,Ativos!$A$1:$G2000,5,),)</f>
        <v/>
      </c>
    </row>
    <row r="632" ht="21.0" customHeight="1">
      <c r="A632" s="152"/>
      <c r="B632" s="160"/>
      <c r="C632" s="153"/>
      <c r="D632" s="154"/>
      <c r="E632" s="139"/>
      <c r="F632" s="139"/>
      <c r="G632" s="139"/>
      <c r="H632" s="135"/>
      <c r="I632" s="141"/>
      <c r="J632" s="147" t="str">
        <f>IFERROR(__xludf.DUMMYFUNCTION("IF(ISBLANK(A632),IFERROR(1/0),IF(COUNT(FILTER(F:F,A:A=A632))&gt;1,TRUNC(N632*F632/SUM(FILTER(N:N,A:A=A632)),3),F632))"),"")</f>
        <v/>
      </c>
      <c r="K632" s="147" t="str">
        <f>IFERROR(__xludf.DUMMYFUNCTION("IF(ISBLANK(A632),IFERROR(1/0),IF(COUNT(FILTER(G:G,((A:A=A632)*(B:B=""V""))))&gt;1,TRUNC(N632*G632/SUM(FILTER(N:N,((A:A=A632)*(B:B=""V"")))),3),G632))"),"")</f>
        <v/>
      </c>
      <c r="L632" s="148" t="str">
        <f>IFERROR(__xludf.DUMMYFUNCTION("if($C632="""","""",iferror(if(row()&lt;&gt;2,INDEX(arrayformula(filter($M$2:$M631,$C$2:$C631&lt;&gt;"""",row($C$2:$C631)=max(if($C$2:$C631=C632,row($C$2:$C631),0)))) ,1),0),0))"),"")</f>
        <v/>
      </c>
      <c r="M632" s="148" t="str">
        <f t="shared" si="1"/>
        <v/>
      </c>
      <c r="N632" s="147" t="str">
        <f t="shared" si="2"/>
        <v/>
      </c>
      <c r="O632" s="147" t="str">
        <f t="shared" si="21"/>
        <v/>
      </c>
      <c r="P632" s="147" t="str">
        <f>IFERROR(__xludf.DUMMYFUNCTION("if(C632="""","""",iferror(if(row()&lt;&gt;2,INDEX(arrayformula(filter($Q$2:$Q631,$C$2:$C631&lt;&gt;"""",row($C$2:$C631)=max(if($C$2:$C631=C632,row($C$2:$C631),0)))) ,1),0),0))"),"")</f>
        <v/>
      </c>
      <c r="Q632" s="147" t="str">
        <f t="shared" si="22"/>
        <v/>
      </c>
      <c r="R632" s="147" t="str">
        <f t="shared" si="23"/>
        <v/>
      </c>
      <c r="S632" s="147" t="str">
        <f t="shared" si="24"/>
        <v/>
      </c>
      <c r="T632" s="147" t="str">
        <f t="shared" si="7"/>
        <v/>
      </c>
      <c r="U632" s="150" t="str">
        <f t="shared" si="8"/>
        <v/>
      </c>
      <c r="V632" s="151" t="str">
        <f>IFERROR(VLOOKUP(C632,Ativos!$A$1:$G2000,5,),)</f>
        <v/>
      </c>
    </row>
    <row r="633" ht="21.0" customHeight="1">
      <c r="A633" s="152"/>
      <c r="B633" s="160"/>
      <c r="C633" s="153"/>
      <c r="D633" s="154"/>
      <c r="E633" s="139"/>
      <c r="F633" s="139"/>
      <c r="G633" s="139"/>
      <c r="H633" s="135"/>
      <c r="I633" s="141"/>
      <c r="J633" s="147" t="str">
        <f>IFERROR(__xludf.DUMMYFUNCTION("IF(ISBLANK(A633),IFERROR(1/0),IF(COUNT(FILTER(F:F,A:A=A633))&gt;1,TRUNC(N633*F633/SUM(FILTER(N:N,A:A=A633)),3),F633))"),"")</f>
        <v/>
      </c>
      <c r="K633" s="147" t="str">
        <f>IFERROR(__xludf.DUMMYFUNCTION("IF(ISBLANK(A633),IFERROR(1/0),IF(COUNT(FILTER(G:G,((A:A=A633)*(B:B=""V""))))&gt;1,TRUNC(N633*G633/SUM(FILTER(N:N,((A:A=A633)*(B:B=""V"")))),3),G633))"),"")</f>
        <v/>
      </c>
      <c r="L633" s="148" t="str">
        <f>IFERROR(__xludf.DUMMYFUNCTION("if($C633="""","""",iferror(if(row()&lt;&gt;2,INDEX(arrayformula(filter($M$2:$M632,$C$2:$C632&lt;&gt;"""",row($C$2:$C632)=max(if($C$2:$C632=C633,row($C$2:$C632),0)))) ,1),0),0))"),"")</f>
        <v/>
      </c>
      <c r="M633" s="148" t="str">
        <f t="shared" si="1"/>
        <v/>
      </c>
      <c r="N633" s="147" t="str">
        <f t="shared" si="2"/>
        <v/>
      </c>
      <c r="O633" s="147" t="str">
        <f t="shared" si="21"/>
        <v/>
      </c>
      <c r="P633" s="147" t="str">
        <f>IFERROR(__xludf.DUMMYFUNCTION("if(C633="""","""",iferror(if(row()&lt;&gt;2,INDEX(arrayformula(filter($Q$2:$Q632,$C$2:$C632&lt;&gt;"""",row($C$2:$C632)=max(if($C$2:$C632=C633,row($C$2:$C632),0)))) ,1),0),0))"),"")</f>
        <v/>
      </c>
      <c r="Q633" s="147" t="str">
        <f t="shared" si="22"/>
        <v/>
      </c>
      <c r="R633" s="147" t="str">
        <f t="shared" si="23"/>
        <v/>
      </c>
      <c r="S633" s="147" t="str">
        <f t="shared" si="24"/>
        <v/>
      </c>
      <c r="T633" s="147" t="str">
        <f t="shared" si="7"/>
        <v/>
      </c>
      <c r="U633" s="150" t="str">
        <f t="shared" si="8"/>
        <v/>
      </c>
      <c r="V633" s="151" t="str">
        <f>IFERROR(VLOOKUP(C633,Ativos!$A$1:$G2000,5,),)</f>
        <v/>
      </c>
    </row>
    <row r="634" ht="21.0" customHeight="1">
      <c r="A634" s="152"/>
      <c r="B634" s="160"/>
      <c r="C634" s="153"/>
      <c r="D634" s="154"/>
      <c r="E634" s="139"/>
      <c r="F634" s="139"/>
      <c r="G634" s="139"/>
      <c r="H634" s="135"/>
      <c r="I634" s="141"/>
      <c r="J634" s="147" t="str">
        <f>IFERROR(__xludf.DUMMYFUNCTION("IF(ISBLANK(A634),IFERROR(1/0),IF(COUNT(FILTER(F:F,A:A=A634))&gt;1,TRUNC(N634*F634/SUM(FILTER(N:N,A:A=A634)),3),F634))"),"")</f>
        <v/>
      </c>
      <c r="K634" s="147" t="str">
        <f>IFERROR(__xludf.DUMMYFUNCTION("IF(ISBLANK(A634),IFERROR(1/0),IF(COUNT(FILTER(G:G,((A:A=A634)*(B:B=""V""))))&gt;1,TRUNC(N634*G634/SUM(FILTER(N:N,((A:A=A634)*(B:B=""V"")))),3),G634))"),"")</f>
        <v/>
      </c>
      <c r="L634" s="148" t="str">
        <f>IFERROR(__xludf.DUMMYFUNCTION("if($C634="""","""",iferror(if(row()&lt;&gt;2,INDEX(arrayformula(filter($M$2:$M633,$C$2:$C633&lt;&gt;"""",row($C$2:$C633)=max(if($C$2:$C633=C634,row($C$2:$C633),0)))) ,1),0),0))"),"")</f>
        <v/>
      </c>
      <c r="M634" s="148" t="str">
        <f t="shared" si="1"/>
        <v/>
      </c>
      <c r="N634" s="147" t="str">
        <f t="shared" si="2"/>
        <v/>
      </c>
      <c r="O634" s="147" t="str">
        <f t="shared" si="21"/>
        <v/>
      </c>
      <c r="P634" s="147" t="str">
        <f>IFERROR(__xludf.DUMMYFUNCTION("if(C634="""","""",iferror(if(row()&lt;&gt;2,INDEX(arrayformula(filter($Q$2:$Q633,$C$2:$C633&lt;&gt;"""",row($C$2:$C633)=max(if($C$2:$C633=C634,row($C$2:$C633),0)))) ,1),0),0))"),"")</f>
        <v/>
      </c>
      <c r="Q634" s="147" t="str">
        <f t="shared" si="22"/>
        <v/>
      </c>
      <c r="R634" s="147" t="str">
        <f t="shared" si="23"/>
        <v/>
      </c>
      <c r="S634" s="147" t="str">
        <f t="shared" si="24"/>
        <v/>
      </c>
      <c r="T634" s="147" t="str">
        <f t="shared" si="7"/>
        <v/>
      </c>
      <c r="U634" s="150" t="str">
        <f t="shared" si="8"/>
        <v/>
      </c>
      <c r="V634" s="151" t="str">
        <f>IFERROR(VLOOKUP(C634,Ativos!$A$1:$G2000,5,),)</f>
        <v/>
      </c>
    </row>
    <row r="635" ht="21.0" customHeight="1">
      <c r="A635" s="152"/>
      <c r="B635" s="160"/>
      <c r="C635" s="153"/>
      <c r="D635" s="154"/>
      <c r="E635" s="139"/>
      <c r="F635" s="139"/>
      <c r="G635" s="139"/>
      <c r="H635" s="135"/>
      <c r="I635" s="141"/>
      <c r="J635" s="147" t="str">
        <f>IFERROR(__xludf.DUMMYFUNCTION("IF(ISBLANK(A635),IFERROR(1/0),IF(COUNT(FILTER(F:F,A:A=A635))&gt;1,TRUNC(N635*F635/SUM(FILTER(N:N,A:A=A635)),3),F635))"),"")</f>
        <v/>
      </c>
      <c r="K635" s="147" t="str">
        <f>IFERROR(__xludf.DUMMYFUNCTION("IF(ISBLANK(A635),IFERROR(1/0),IF(COUNT(FILTER(G:G,((A:A=A635)*(B:B=""V""))))&gt;1,TRUNC(N635*G635/SUM(FILTER(N:N,((A:A=A635)*(B:B=""V"")))),3),G635))"),"")</f>
        <v/>
      </c>
      <c r="L635" s="148" t="str">
        <f>IFERROR(__xludf.DUMMYFUNCTION("if($C635="""","""",iferror(if(row()&lt;&gt;2,INDEX(arrayformula(filter($M$2:$M634,$C$2:$C634&lt;&gt;"""",row($C$2:$C634)=max(if($C$2:$C634=C635,row($C$2:$C634),0)))) ,1),0),0))"),"")</f>
        <v/>
      </c>
      <c r="M635" s="148" t="str">
        <f t="shared" si="1"/>
        <v/>
      </c>
      <c r="N635" s="147" t="str">
        <f t="shared" si="2"/>
        <v/>
      </c>
      <c r="O635" s="147" t="str">
        <f t="shared" si="21"/>
        <v/>
      </c>
      <c r="P635" s="147" t="str">
        <f>IFERROR(__xludf.DUMMYFUNCTION("if(C635="""","""",iferror(if(row()&lt;&gt;2,INDEX(arrayformula(filter($Q$2:$Q634,$C$2:$C634&lt;&gt;"""",row($C$2:$C634)=max(if($C$2:$C634=C635,row($C$2:$C634),0)))) ,1),0),0))"),"")</f>
        <v/>
      </c>
      <c r="Q635" s="147" t="str">
        <f t="shared" si="22"/>
        <v/>
      </c>
      <c r="R635" s="147" t="str">
        <f t="shared" si="23"/>
        <v/>
      </c>
      <c r="S635" s="147" t="str">
        <f t="shared" si="24"/>
        <v/>
      </c>
      <c r="T635" s="147" t="str">
        <f t="shared" si="7"/>
        <v/>
      </c>
      <c r="U635" s="150" t="str">
        <f t="shared" si="8"/>
        <v/>
      </c>
      <c r="V635" s="151" t="str">
        <f>IFERROR(VLOOKUP(C635,Ativos!$A$1:$G2000,5,),)</f>
        <v/>
      </c>
    </row>
    <row r="636" ht="21.0" customHeight="1">
      <c r="A636" s="152"/>
      <c r="B636" s="160"/>
      <c r="C636" s="153"/>
      <c r="D636" s="154"/>
      <c r="E636" s="139"/>
      <c r="F636" s="139"/>
      <c r="G636" s="139"/>
      <c r="H636" s="135"/>
      <c r="I636" s="141"/>
      <c r="J636" s="147" t="str">
        <f>IFERROR(__xludf.DUMMYFUNCTION("IF(ISBLANK(A636),IFERROR(1/0),IF(COUNT(FILTER(F:F,A:A=A636))&gt;1,TRUNC(N636*F636/SUM(FILTER(N:N,A:A=A636)),3),F636))"),"")</f>
        <v/>
      </c>
      <c r="K636" s="147" t="str">
        <f>IFERROR(__xludf.DUMMYFUNCTION("IF(ISBLANK(A636),IFERROR(1/0),IF(COUNT(FILTER(G:G,((A:A=A636)*(B:B=""V""))))&gt;1,TRUNC(N636*G636/SUM(FILTER(N:N,((A:A=A636)*(B:B=""V"")))),3),G636))"),"")</f>
        <v/>
      </c>
      <c r="L636" s="148" t="str">
        <f>IFERROR(__xludf.DUMMYFUNCTION("if($C636="""","""",iferror(if(row()&lt;&gt;2,INDEX(arrayformula(filter($M$2:$M635,$C$2:$C635&lt;&gt;"""",row($C$2:$C635)=max(if($C$2:$C635=C636,row($C$2:$C635),0)))) ,1),0),0))"),"")</f>
        <v/>
      </c>
      <c r="M636" s="148" t="str">
        <f t="shared" si="1"/>
        <v/>
      </c>
      <c r="N636" s="147" t="str">
        <f t="shared" si="2"/>
        <v/>
      </c>
      <c r="O636" s="147" t="str">
        <f t="shared" si="21"/>
        <v/>
      </c>
      <c r="P636" s="147" t="str">
        <f>IFERROR(__xludf.DUMMYFUNCTION("if(C636="""","""",iferror(if(row()&lt;&gt;2,INDEX(arrayformula(filter($Q$2:$Q635,$C$2:$C635&lt;&gt;"""",row($C$2:$C635)=max(if($C$2:$C635=C636,row($C$2:$C635),0)))) ,1),0),0))"),"")</f>
        <v/>
      </c>
      <c r="Q636" s="147" t="str">
        <f t="shared" si="22"/>
        <v/>
      </c>
      <c r="R636" s="147" t="str">
        <f t="shared" si="23"/>
        <v/>
      </c>
      <c r="S636" s="147" t="str">
        <f t="shared" si="24"/>
        <v/>
      </c>
      <c r="T636" s="147" t="str">
        <f t="shared" si="7"/>
        <v/>
      </c>
      <c r="U636" s="150" t="str">
        <f t="shared" si="8"/>
        <v/>
      </c>
      <c r="V636" s="151" t="str">
        <f>IFERROR(VLOOKUP(C636,Ativos!$A$1:$G2000,5,),)</f>
        <v/>
      </c>
    </row>
    <row r="637" ht="21.0" customHeight="1">
      <c r="A637" s="152"/>
      <c r="B637" s="160"/>
      <c r="C637" s="153"/>
      <c r="D637" s="154"/>
      <c r="E637" s="139"/>
      <c r="F637" s="139"/>
      <c r="G637" s="139"/>
      <c r="H637" s="135"/>
      <c r="I637" s="141"/>
      <c r="J637" s="147" t="str">
        <f>IFERROR(__xludf.DUMMYFUNCTION("IF(ISBLANK(A637),IFERROR(1/0),IF(COUNT(FILTER(F:F,A:A=A637))&gt;1,TRUNC(N637*F637/SUM(FILTER(N:N,A:A=A637)),3),F637))"),"")</f>
        <v/>
      </c>
      <c r="K637" s="147" t="str">
        <f>IFERROR(__xludf.DUMMYFUNCTION("IF(ISBLANK(A637),IFERROR(1/0),IF(COUNT(FILTER(G:G,((A:A=A637)*(B:B=""V""))))&gt;1,TRUNC(N637*G637/SUM(FILTER(N:N,((A:A=A637)*(B:B=""V"")))),3),G637))"),"")</f>
        <v/>
      </c>
      <c r="L637" s="148" t="str">
        <f>IFERROR(__xludf.DUMMYFUNCTION("if($C637="""","""",iferror(if(row()&lt;&gt;2,INDEX(arrayformula(filter($M$2:$M636,$C$2:$C636&lt;&gt;"""",row($C$2:$C636)=max(if($C$2:$C636=C637,row($C$2:$C636),0)))) ,1),0),0))"),"")</f>
        <v/>
      </c>
      <c r="M637" s="148" t="str">
        <f t="shared" si="1"/>
        <v/>
      </c>
      <c r="N637" s="147" t="str">
        <f t="shared" si="2"/>
        <v/>
      </c>
      <c r="O637" s="147" t="str">
        <f t="shared" si="21"/>
        <v/>
      </c>
      <c r="P637" s="147" t="str">
        <f>IFERROR(__xludf.DUMMYFUNCTION("if(C637="""","""",iferror(if(row()&lt;&gt;2,INDEX(arrayformula(filter($Q$2:$Q636,$C$2:$C636&lt;&gt;"""",row($C$2:$C636)=max(if($C$2:$C636=C637,row($C$2:$C636),0)))) ,1),0),0))"),"")</f>
        <v/>
      </c>
      <c r="Q637" s="147" t="str">
        <f t="shared" si="22"/>
        <v/>
      </c>
      <c r="R637" s="147" t="str">
        <f t="shared" si="23"/>
        <v/>
      </c>
      <c r="S637" s="147" t="str">
        <f t="shared" si="24"/>
        <v/>
      </c>
      <c r="T637" s="147" t="str">
        <f t="shared" si="7"/>
        <v/>
      </c>
      <c r="U637" s="150" t="str">
        <f t="shared" si="8"/>
        <v/>
      </c>
      <c r="V637" s="151" t="str">
        <f>IFERROR(VLOOKUP(C637,Ativos!$A$1:$G2000,5,),)</f>
        <v/>
      </c>
    </row>
    <row r="638" ht="21.0" customHeight="1">
      <c r="A638" s="152"/>
      <c r="B638" s="160"/>
      <c r="C638" s="153"/>
      <c r="D638" s="154"/>
      <c r="E638" s="139"/>
      <c r="F638" s="139"/>
      <c r="G638" s="139"/>
      <c r="H638" s="135"/>
      <c r="I638" s="141"/>
      <c r="J638" s="147" t="str">
        <f>IFERROR(__xludf.DUMMYFUNCTION("IF(ISBLANK(A638),IFERROR(1/0),IF(COUNT(FILTER(F:F,A:A=A638))&gt;1,TRUNC(N638*F638/SUM(FILTER(N:N,A:A=A638)),3),F638))"),"")</f>
        <v/>
      </c>
      <c r="K638" s="147" t="str">
        <f>IFERROR(__xludf.DUMMYFUNCTION("IF(ISBLANK(A638),IFERROR(1/0),IF(COUNT(FILTER(G:G,((A:A=A638)*(B:B=""V""))))&gt;1,TRUNC(N638*G638/SUM(FILTER(N:N,((A:A=A638)*(B:B=""V"")))),3),G638))"),"")</f>
        <v/>
      </c>
      <c r="L638" s="148" t="str">
        <f>IFERROR(__xludf.DUMMYFUNCTION("if($C638="""","""",iferror(if(row()&lt;&gt;2,INDEX(arrayformula(filter($M$2:$M637,$C$2:$C637&lt;&gt;"""",row($C$2:$C637)=max(if($C$2:$C637=C638,row($C$2:$C637),0)))) ,1),0),0))"),"")</f>
        <v/>
      </c>
      <c r="M638" s="148" t="str">
        <f t="shared" si="1"/>
        <v/>
      </c>
      <c r="N638" s="147" t="str">
        <f t="shared" si="2"/>
        <v/>
      </c>
      <c r="O638" s="147" t="str">
        <f t="shared" si="21"/>
        <v/>
      </c>
      <c r="P638" s="147" t="str">
        <f>IFERROR(__xludf.DUMMYFUNCTION("if(C638="""","""",iferror(if(row()&lt;&gt;2,INDEX(arrayformula(filter($Q$2:$Q637,$C$2:$C637&lt;&gt;"""",row($C$2:$C637)=max(if($C$2:$C637=C638,row($C$2:$C637),0)))) ,1),0),0))"),"")</f>
        <v/>
      </c>
      <c r="Q638" s="147" t="str">
        <f t="shared" si="22"/>
        <v/>
      </c>
      <c r="R638" s="147" t="str">
        <f t="shared" si="23"/>
        <v/>
      </c>
      <c r="S638" s="147" t="str">
        <f t="shared" si="24"/>
        <v/>
      </c>
      <c r="T638" s="147" t="str">
        <f t="shared" si="7"/>
        <v/>
      </c>
      <c r="U638" s="150" t="str">
        <f t="shared" si="8"/>
        <v/>
      </c>
      <c r="V638" s="151" t="str">
        <f>IFERROR(VLOOKUP(C638,Ativos!$A$1:$G2000,5,),)</f>
        <v/>
      </c>
    </row>
    <row r="639" ht="21.0" customHeight="1">
      <c r="A639" s="152"/>
      <c r="B639" s="160"/>
      <c r="C639" s="153"/>
      <c r="D639" s="154"/>
      <c r="E639" s="139"/>
      <c r="F639" s="139"/>
      <c r="G639" s="139"/>
      <c r="H639" s="135"/>
      <c r="I639" s="141"/>
      <c r="J639" s="147" t="str">
        <f>IFERROR(__xludf.DUMMYFUNCTION("IF(ISBLANK(A639),IFERROR(1/0),IF(COUNT(FILTER(F:F,A:A=A639))&gt;1,TRUNC(N639*F639/SUM(FILTER(N:N,A:A=A639)),3),F639))"),"")</f>
        <v/>
      </c>
      <c r="K639" s="147" t="str">
        <f>IFERROR(__xludf.DUMMYFUNCTION("IF(ISBLANK(A639),IFERROR(1/0),IF(COUNT(FILTER(G:G,((A:A=A639)*(B:B=""V""))))&gt;1,TRUNC(N639*G639/SUM(FILTER(N:N,((A:A=A639)*(B:B=""V"")))),3),G639))"),"")</f>
        <v/>
      </c>
      <c r="L639" s="148" t="str">
        <f>IFERROR(__xludf.DUMMYFUNCTION("if($C639="""","""",iferror(if(row()&lt;&gt;2,INDEX(arrayformula(filter($M$2:$M638,$C$2:$C638&lt;&gt;"""",row($C$2:$C638)=max(if($C$2:$C638=C639,row($C$2:$C638),0)))) ,1),0),0))"),"")</f>
        <v/>
      </c>
      <c r="M639" s="148" t="str">
        <f t="shared" si="1"/>
        <v/>
      </c>
      <c r="N639" s="147" t="str">
        <f t="shared" si="2"/>
        <v/>
      </c>
      <c r="O639" s="147" t="str">
        <f t="shared" si="21"/>
        <v/>
      </c>
      <c r="P639" s="147" t="str">
        <f>IFERROR(__xludf.DUMMYFUNCTION("if(C639="""","""",iferror(if(row()&lt;&gt;2,INDEX(arrayformula(filter($Q$2:$Q638,$C$2:$C638&lt;&gt;"""",row($C$2:$C638)=max(if($C$2:$C638=C639,row($C$2:$C638),0)))) ,1),0),0))"),"")</f>
        <v/>
      </c>
      <c r="Q639" s="147" t="str">
        <f t="shared" si="22"/>
        <v/>
      </c>
      <c r="R639" s="147" t="str">
        <f t="shared" si="23"/>
        <v/>
      </c>
      <c r="S639" s="147" t="str">
        <f t="shared" si="24"/>
        <v/>
      </c>
      <c r="T639" s="147" t="str">
        <f t="shared" si="7"/>
        <v/>
      </c>
      <c r="U639" s="150" t="str">
        <f t="shared" si="8"/>
        <v/>
      </c>
      <c r="V639" s="151" t="str">
        <f>IFERROR(VLOOKUP(C639,Ativos!$A$1:$G2000,5,),)</f>
        <v/>
      </c>
    </row>
    <row r="640" ht="21.0" customHeight="1">
      <c r="A640" s="152"/>
      <c r="B640" s="160"/>
      <c r="C640" s="153"/>
      <c r="D640" s="154"/>
      <c r="E640" s="139"/>
      <c r="F640" s="139"/>
      <c r="G640" s="139"/>
      <c r="H640" s="135"/>
      <c r="I640" s="141"/>
      <c r="J640" s="147" t="str">
        <f>IFERROR(__xludf.DUMMYFUNCTION("IF(ISBLANK(A640),IFERROR(1/0),IF(COUNT(FILTER(F:F,A:A=A640))&gt;1,TRUNC(N640*F640/SUM(FILTER(N:N,A:A=A640)),3),F640))"),"")</f>
        <v/>
      </c>
      <c r="K640" s="147" t="str">
        <f>IFERROR(__xludf.DUMMYFUNCTION("IF(ISBLANK(A640),IFERROR(1/0),IF(COUNT(FILTER(G:G,((A:A=A640)*(B:B=""V""))))&gt;1,TRUNC(N640*G640/SUM(FILTER(N:N,((A:A=A640)*(B:B=""V"")))),3),G640))"),"")</f>
        <v/>
      </c>
      <c r="L640" s="148" t="str">
        <f>IFERROR(__xludf.DUMMYFUNCTION("if($C640="""","""",iferror(if(row()&lt;&gt;2,INDEX(arrayformula(filter($M$2:$M639,$C$2:$C639&lt;&gt;"""",row($C$2:$C639)=max(if($C$2:$C639=C640,row($C$2:$C639),0)))) ,1),0),0))"),"")</f>
        <v/>
      </c>
      <c r="M640" s="148" t="str">
        <f t="shared" si="1"/>
        <v/>
      </c>
      <c r="N640" s="147" t="str">
        <f t="shared" si="2"/>
        <v/>
      </c>
      <c r="O640" s="147" t="str">
        <f t="shared" si="21"/>
        <v/>
      </c>
      <c r="P640" s="147" t="str">
        <f>IFERROR(__xludf.DUMMYFUNCTION("if(C640="""","""",iferror(if(row()&lt;&gt;2,INDEX(arrayformula(filter($Q$2:$Q639,$C$2:$C639&lt;&gt;"""",row($C$2:$C639)=max(if($C$2:$C639=C640,row($C$2:$C639),0)))) ,1),0),0))"),"")</f>
        <v/>
      </c>
      <c r="Q640" s="147" t="str">
        <f t="shared" si="22"/>
        <v/>
      </c>
      <c r="R640" s="147" t="str">
        <f t="shared" si="23"/>
        <v/>
      </c>
      <c r="S640" s="147" t="str">
        <f t="shared" si="24"/>
        <v/>
      </c>
      <c r="T640" s="147" t="str">
        <f t="shared" si="7"/>
        <v/>
      </c>
      <c r="U640" s="150" t="str">
        <f t="shared" si="8"/>
        <v/>
      </c>
      <c r="V640" s="151" t="str">
        <f>IFERROR(VLOOKUP(C640,Ativos!$A$1:$G2000,5,),)</f>
        <v/>
      </c>
    </row>
    <row r="641" ht="21.0" customHeight="1">
      <c r="A641" s="152"/>
      <c r="B641" s="160"/>
      <c r="C641" s="153"/>
      <c r="D641" s="154"/>
      <c r="E641" s="139"/>
      <c r="F641" s="139"/>
      <c r="G641" s="139"/>
      <c r="H641" s="135"/>
      <c r="I641" s="141"/>
      <c r="J641" s="147" t="str">
        <f>IFERROR(__xludf.DUMMYFUNCTION("IF(ISBLANK(A641),IFERROR(1/0),IF(COUNT(FILTER(F:F,A:A=A641))&gt;1,TRUNC(N641*F641/SUM(FILTER(N:N,A:A=A641)),3),F641))"),"")</f>
        <v/>
      </c>
      <c r="K641" s="147" t="str">
        <f>IFERROR(__xludf.DUMMYFUNCTION("IF(ISBLANK(A641),IFERROR(1/0),IF(COUNT(FILTER(G:G,((A:A=A641)*(B:B=""V""))))&gt;1,TRUNC(N641*G641/SUM(FILTER(N:N,((A:A=A641)*(B:B=""V"")))),3),G641))"),"")</f>
        <v/>
      </c>
      <c r="L641" s="148" t="str">
        <f>IFERROR(__xludf.DUMMYFUNCTION("if($C641="""","""",iferror(if(row()&lt;&gt;2,INDEX(arrayformula(filter($M$2:$M640,$C$2:$C640&lt;&gt;"""",row($C$2:$C640)=max(if($C$2:$C640=C641,row($C$2:$C640),0)))) ,1),0),0))"),"")</f>
        <v/>
      </c>
      <c r="M641" s="148" t="str">
        <f t="shared" si="1"/>
        <v/>
      </c>
      <c r="N641" s="147" t="str">
        <f t="shared" si="2"/>
        <v/>
      </c>
      <c r="O641" s="147" t="str">
        <f t="shared" si="21"/>
        <v/>
      </c>
      <c r="P641" s="147" t="str">
        <f>IFERROR(__xludf.DUMMYFUNCTION("if(C641="""","""",iferror(if(row()&lt;&gt;2,INDEX(arrayformula(filter($Q$2:$Q640,$C$2:$C640&lt;&gt;"""",row($C$2:$C640)=max(if($C$2:$C640=C641,row($C$2:$C640),0)))) ,1),0),0))"),"")</f>
        <v/>
      </c>
      <c r="Q641" s="147" t="str">
        <f t="shared" si="22"/>
        <v/>
      </c>
      <c r="R641" s="147" t="str">
        <f t="shared" si="23"/>
        <v/>
      </c>
      <c r="S641" s="147" t="str">
        <f t="shared" si="24"/>
        <v/>
      </c>
      <c r="T641" s="147" t="str">
        <f t="shared" si="7"/>
        <v/>
      </c>
      <c r="U641" s="150" t="str">
        <f t="shared" si="8"/>
        <v/>
      </c>
      <c r="V641" s="151" t="str">
        <f>IFERROR(VLOOKUP(C641,Ativos!$A$1:$G2000,5,),)</f>
        <v/>
      </c>
    </row>
    <row r="642" ht="21.0" customHeight="1">
      <c r="A642" s="152"/>
      <c r="B642" s="160"/>
      <c r="C642" s="153"/>
      <c r="D642" s="154"/>
      <c r="E642" s="139"/>
      <c r="F642" s="139"/>
      <c r="G642" s="139"/>
      <c r="H642" s="135"/>
      <c r="I642" s="141"/>
      <c r="J642" s="147" t="str">
        <f>IFERROR(__xludf.DUMMYFUNCTION("IF(ISBLANK(A642),IFERROR(1/0),IF(COUNT(FILTER(F:F,A:A=A642))&gt;1,TRUNC(N642*F642/SUM(FILTER(N:N,A:A=A642)),3),F642))"),"")</f>
        <v/>
      </c>
      <c r="K642" s="147" t="str">
        <f>IFERROR(__xludf.DUMMYFUNCTION("IF(ISBLANK(A642),IFERROR(1/0),IF(COUNT(FILTER(G:G,((A:A=A642)*(B:B=""V""))))&gt;1,TRUNC(N642*G642/SUM(FILTER(N:N,((A:A=A642)*(B:B=""V"")))),3),G642))"),"")</f>
        <v/>
      </c>
      <c r="L642" s="148" t="str">
        <f>IFERROR(__xludf.DUMMYFUNCTION("if($C642="""","""",iferror(if(row()&lt;&gt;2,INDEX(arrayformula(filter($M$2:$M641,$C$2:$C641&lt;&gt;"""",row($C$2:$C641)=max(if($C$2:$C641=C642,row($C$2:$C641),0)))) ,1),0),0))"),"")</f>
        <v/>
      </c>
      <c r="M642" s="148" t="str">
        <f t="shared" si="1"/>
        <v/>
      </c>
      <c r="N642" s="147" t="str">
        <f t="shared" si="2"/>
        <v/>
      </c>
      <c r="O642" s="147" t="str">
        <f t="shared" si="21"/>
        <v/>
      </c>
      <c r="P642" s="147" t="str">
        <f>IFERROR(__xludf.DUMMYFUNCTION("if(C642="""","""",iferror(if(row()&lt;&gt;2,INDEX(arrayformula(filter($Q$2:$Q641,$C$2:$C641&lt;&gt;"""",row($C$2:$C641)=max(if($C$2:$C641=C642,row($C$2:$C641),0)))) ,1),0),0))"),"")</f>
        <v/>
      </c>
      <c r="Q642" s="147" t="str">
        <f t="shared" si="22"/>
        <v/>
      </c>
      <c r="R642" s="147" t="str">
        <f t="shared" si="23"/>
        <v/>
      </c>
      <c r="S642" s="147" t="str">
        <f t="shared" si="24"/>
        <v/>
      </c>
      <c r="T642" s="147" t="str">
        <f t="shared" si="7"/>
        <v/>
      </c>
      <c r="U642" s="150" t="str">
        <f t="shared" si="8"/>
        <v/>
      </c>
      <c r="V642" s="151" t="str">
        <f>IFERROR(VLOOKUP(C642,Ativos!$A$1:$G2000,5,),)</f>
        <v/>
      </c>
    </row>
    <row r="643" ht="21.0" customHeight="1">
      <c r="A643" s="152"/>
      <c r="B643" s="160"/>
      <c r="C643" s="153"/>
      <c r="D643" s="154"/>
      <c r="E643" s="139"/>
      <c r="F643" s="139"/>
      <c r="G643" s="139"/>
      <c r="H643" s="135"/>
      <c r="I643" s="141"/>
      <c r="J643" s="147" t="str">
        <f>IFERROR(__xludf.DUMMYFUNCTION("IF(ISBLANK(A643),IFERROR(1/0),IF(COUNT(FILTER(F:F,A:A=A643))&gt;1,TRUNC(N643*F643/SUM(FILTER(N:N,A:A=A643)),3),F643))"),"")</f>
        <v/>
      </c>
      <c r="K643" s="147" t="str">
        <f>IFERROR(__xludf.DUMMYFUNCTION("IF(ISBLANK(A643),IFERROR(1/0),IF(COUNT(FILTER(G:G,((A:A=A643)*(B:B=""V""))))&gt;1,TRUNC(N643*G643/SUM(FILTER(N:N,((A:A=A643)*(B:B=""V"")))),3),G643))"),"")</f>
        <v/>
      </c>
      <c r="L643" s="148" t="str">
        <f>IFERROR(__xludf.DUMMYFUNCTION("if($C643="""","""",iferror(if(row()&lt;&gt;2,INDEX(arrayformula(filter($M$2:$M642,$C$2:$C642&lt;&gt;"""",row($C$2:$C642)=max(if($C$2:$C642=C643,row($C$2:$C642),0)))) ,1),0),0))"),"")</f>
        <v/>
      </c>
      <c r="M643" s="148" t="str">
        <f t="shared" si="1"/>
        <v/>
      </c>
      <c r="N643" s="147" t="str">
        <f t="shared" si="2"/>
        <v/>
      </c>
      <c r="O643" s="147" t="str">
        <f t="shared" si="21"/>
        <v/>
      </c>
      <c r="P643" s="147" t="str">
        <f>IFERROR(__xludf.DUMMYFUNCTION("if(C643="""","""",iferror(if(row()&lt;&gt;2,INDEX(arrayformula(filter($Q$2:$Q642,$C$2:$C642&lt;&gt;"""",row($C$2:$C642)=max(if($C$2:$C642=C643,row($C$2:$C642),0)))) ,1),0),0))"),"")</f>
        <v/>
      </c>
      <c r="Q643" s="147" t="str">
        <f t="shared" si="22"/>
        <v/>
      </c>
      <c r="R643" s="147" t="str">
        <f t="shared" si="23"/>
        <v/>
      </c>
      <c r="S643" s="147" t="str">
        <f t="shared" si="24"/>
        <v/>
      </c>
      <c r="T643" s="147" t="str">
        <f t="shared" si="7"/>
        <v/>
      </c>
      <c r="U643" s="150" t="str">
        <f t="shared" si="8"/>
        <v/>
      </c>
      <c r="V643" s="151" t="str">
        <f>IFERROR(VLOOKUP(C643,Ativos!$A$1:$G2000,5,),)</f>
        <v/>
      </c>
    </row>
    <row r="644" ht="21.0" customHeight="1">
      <c r="A644" s="152"/>
      <c r="B644" s="160"/>
      <c r="C644" s="153"/>
      <c r="D644" s="154"/>
      <c r="E644" s="139"/>
      <c r="F644" s="139"/>
      <c r="G644" s="139"/>
      <c r="H644" s="135"/>
      <c r="I644" s="141"/>
      <c r="J644" s="147" t="str">
        <f>IFERROR(__xludf.DUMMYFUNCTION("IF(ISBLANK(A644),IFERROR(1/0),IF(COUNT(FILTER(F:F,A:A=A644))&gt;1,TRUNC(N644*F644/SUM(FILTER(N:N,A:A=A644)),3),F644))"),"")</f>
        <v/>
      </c>
      <c r="K644" s="147" t="str">
        <f>IFERROR(__xludf.DUMMYFUNCTION("IF(ISBLANK(A644),IFERROR(1/0),IF(COUNT(FILTER(G:G,((A:A=A644)*(B:B=""V""))))&gt;1,TRUNC(N644*G644/SUM(FILTER(N:N,((A:A=A644)*(B:B=""V"")))),3),G644))"),"")</f>
        <v/>
      </c>
      <c r="L644" s="148" t="str">
        <f>IFERROR(__xludf.DUMMYFUNCTION("if($C644="""","""",iferror(if(row()&lt;&gt;2,INDEX(arrayformula(filter($M$2:$M643,$C$2:$C643&lt;&gt;"""",row($C$2:$C643)=max(if($C$2:$C643=C644,row($C$2:$C643),0)))) ,1),0),0))"),"")</f>
        <v/>
      </c>
      <c r="M644" s="148" t="str">
        <f t="shared" si="1"/>
        <v/>
      </c>
      <c r="N644" s="147" t="str">
        <f t="shared" si="2"/>
        <v/>
      </c>
      <c r="O644" s="147" t="str">
        <f t="shared" si="21"/>
        <v/>
      </c>
      <c r="P644" s="147" t="str">
        <f>IFERROR(__xludf.DUMMYFUNCTION("if(C644="""","""",iferror(if(row()&lt;&gt;2,INDEX(arrayformula(filter($Q$2:$Q643,$C$2:$C643&lt;&gt;"""",row($C$2:$C643)=max(if($C$2:$C643=C644,row($C$2:$C643),0)))) ,1),0),0))"),"")</f>
        <v/>
      </c>
      <c r="Q644" s="147" t="str">
        <f t="shared" si="22"/>
        <v/>
      </c>
      <c r="R644" s="147" t="str">
        <f t="shared" si="23"/>
        <v/>
      </c>
      <c r="S644" s="147" t="str">
        <f t="shared" si="24"/>
        <v/>
      </c>
      <c r="T644" s="147" t="str">
        <f t="shared" si="7"/>
        <v/>
      </c>
      <c r="U644" s="150" t="str">
        <f t="shared" si="8"/>
        <v/>
      </c>
      <c r="V644" s="151" t="str">
        <f>IFERROR(VLOOKUP(C644,Ativos!$A$1:$G2000,5,),)</f>
        <v/>
      </c>
    </row>
    <row r="645" ht="21.0" customHeight="1">
      <c r="A645" s="152"/>
      <c r="B645" s="160"/>
      <c r="C645" s="153"/>
      <c r="D645" s="154"/>
      <c r="E645" s="139"/>
      <c r="F645" s="139"/>
      <c r="G645" s="139"/>
      <c r="H645" s="135"/>
      <c r="I645" s="141"/>
      <c r="J645" s="147" t="str">
        <f>IFERROR(__xludf.DUMMYFUNCTION("IF(ISBLANK(A645),IFERROR(1/0),IF(COUNT(FILTER(F:F,A:A=A645))&gt;1,TRUNC(N645*F645/SUM(FILTER(N:N,A:A=A645)),3),F645))"),"")</f>
        <v/>
      </c>
      <c r="K645" s="147" t="str">
        <f>IFERROR(__xludf.DUMMYFUNCTION("IF(ISBLANK(A645),IFERROR(1/0),IF(COUNT(FILTER(G:G,((A:A=A645)*(B:B=""V""))))&gt;1,TRUNC(N645*G645/SUM(FILTER(N:N,((A:A=A645)*(B:B=""V"")))),3),G645))"),"")</f>
        <v/>
      </c>
      <c r="L645" s="148" t="str">
        <f>IFERROR(__xludf.DUMMYFUNCTION("if($C645="""","""",iferror(if(row()&lt;&gt;2,INDEX(arrayformula(filter($M$2:$M644,$C$2:$C644&lt;&gt;"""",row($C$2:$C644)=max(if($C$2:$C644=C645,row($C$2:$C644),0)))) ,1),0),0))"),"")</f>
        <v/>
      </c>
      <c r="M645" s="148" t="str">
        <f t="shared" si="1"/>
        <v/>
      </c>
      <c r="N645" s="147" t="str">
        <f t="shared" si="2"/>
        <v/>
      </c>
      <c r="O645" s="147" t="str">
        <f t="shared" si="21"/>
        <v/>
      </c>
      <c r="P645" s="147" t="str">
        <f>IFERROR(__xludf.DUMMYFUNCTION("if(C645="""","""",iferror(if(row()&lt;&gt;2,INDEX(arrayformula(filter($Q$2:$Q644,$C$2:$C644&lt;&gt;"""",row($C$2:$C644)=max(if($C$2:$C644=C645,row($C$2:$C644),0)))) ,1),0),0))"),"")</f>
        <v/>
      </c>
      <c r="Q645" s="147" t="str">
        <f t="shared" si="22"/>
        <v/>
      </c>
      <c r="R645" s="147" t="str">
        <f t="shared" si="23"/>
        <v/>
      </c>
      <c r="S645" s="147" t="str">
        <f t="shared" si="24"/>
        <v/>
      </c>
      <c r="T645" s="147" t="str">
        <f t="shared" si="7"/>
        <v/>
      </c>
      <c r="U645" s="150" t="str">
        <f t="shared" si="8"/>
        <v/>
      </c>
      <c r="V645" s="151" t="str">
        <f>IFERROR(VLOOKUP(C645,Ativos!$A$1:$G2000,5,),)</f>
        <v/>
      </c>
    </row>
    <row r="646" ht="21.0" customHeight="1">
      <c r="A646" s="152"/>
      <c r="B646" s="160"/>
      <c r="C646" s="153"/>
      <c r="D646" s="154"/>
      <c r="E646" s="139"/>
      <c r="F646" s="139"/>
      <c r="G646" s="139"/>
      <c r="H646" s="135"/>
      <c r="I646" s="141"/>
      <c r="J646" s="147" t="str">
        <f>IFERROR(__xludf.DUMMYFUNCTION("IF(ISBLANK(A646),IFERROR(1/0),IF(COUNT(FILTER(F:F,A:A=A646))&gt;1,TRUNC(N646*F646/SUM(FILTER(N:N,A:A=A646)),3),F646))"),"")</f>
        <v/>
      </c>
      <c r="K646" s="147" t="str">
        <f>IFERROR(__xludf.DUMMYFUNCTION("IF(ISBLANK(A646),IFERROR(1/0),IF(COUNT(FILTER(G:G,((A:A=A646)*(B:B=""V""))))&gt;1,TRUNC(N646*G646/SUM(FILTER(N:N,((A:A=A646)*(B:B=""V"")))),3),G646))"),"")</f>
        <v/>
      </c>
      <c r="L646" s="148" t="str">
        <f>IFERROR(__xludf.DUMMYFUNCTION("if($C646="""","""",iferror(if(row()&lt;&gt;2,INDEX(arrayformula(filter($M$2:$M645,$C$2:$C645&lt;&gt;"""",row($C$2:$C645)=max(if($C$2:$C645=C646,row($C$2:$C645),0)))) ,1),0),0))"),"")</f>
        <v/>
      </c>
      <c r="M646" s="148" t="str">
        <f t="shared" si="1"/>
        <v/>
      </c>
      <c r="N646" s="147" t="str">
        <f t="shared" si="2"/>
        <v/>
      </c>
      <c r="O646" s="147" t="str">
        <f t="shared" si="21"/>
        <v/>
      </c>
      <c r="P646" s="147" t="str">
        <f>IFERROR(__xludf.DUMMYFUNCTION("if(C646="""","""",iferror(if(row()&lt;&gt;2,INDEX(arrayformula(filter($Q$2:$Q645,$C$2:$C645&lt;&gt;"""",row($C$2:$C645)=max(if($C$2:$C645=C646,row($C$2:$C645),0)))) ,1),0),0))"),"")</f>
        <v/>
      </c>
      <c r="Q646" s="147" t="str">
        <f t="shared" si="22"/>
        <v/>
      </c>
      <c r="R646" s="147" t="str">
        <f t="shared" si="23"/>
        <v/>
      </c>
      <c r="S646" s="147" t="str">
        <f t="shared" si="24"/>
        <v/>
      </c>
      <c r="T646" s="147" t="str">
        <f t="shared" si="7"/>
        <v/>
      </c>
      <c r="U646" s="150" t="str">
        <f t="shared" si="8"/>
        <v/>
      </c>
      <c r="V646" s="151" t="str">
        <f>IFERROR(VLOOKUP(C646,Ativos!$A$1:$G2000,5,),)</f>
        <v/>
      </c>
    </row>
    <row r="647" ht="21.0" customHeight="1">
      <c r="A647" s="152"/>
      <c r="B647" s="160"/>
      <c r="C647" s="153"/>
      <c r="D647" s="154"/>
      <c r="E647" s="139"/>
      <c r="F647" s="139"/>
      <c r="G647" s="139"/>
      <c r="H647" s="135"/>
      <c r="I647" s="141"/>
      <c r="J647" s="147" t="str">
        <f>IFERROR(__xludf.DUMMYFUNCTION("IF(ISBLANK(A647),IFERROR(1/0),IF(COUNT(FILTER(F:F,A:A=A647))&gt;1,TRUNC(N647*F647/SUM(FILTER(N:N,A:A=A647)),3),F647))"),"")</f>
        <v/>
      </c>
      <c r="K647" s="147" t="str">
        <f>IFERROR(__xludf.DUMMYFUNCTION("IF(ISBLANK(A647),IFERROR(1/0),IF(COUNT(FILTER(G:G,((A:A=A647)*(B:B=""V""))))&gt;1,TRUNC(N647*G647/SUM(FILTER(N:N,((A:A=A647)*(B:B=""V"")))),3),G647))"),"")</f>
        <v/>
      </c>
      <c r="L647" s="148" t="str">
        <f>IFERROR(__xludf.DUMMYFUNCTION("if($C647="""","""",iferror(if(row()&lt;&gt;2,INDEX(arrayformula(filter($M$2:$M646,$C$2:$C646&lt;&gt;"""",row($C$2:$C646)=max(if($C$2:$C646=C647,row($C$2:$C646),0)))) ,1),0),0))"),"")</f>
        <v/>
      </c>
      <c r="M647" s="148" t="str">
        <f t="shared" si="1"/>
        <v/>
      </c>
      <c r="N647" s="147" t="str">
        <f t="shared" si="2"/>
        <v/>
      </c>
      <c r="O647" s="147" t="str">
        <f t="shared" si="21"/>
        <v/>
      </c>
      <c r="P647" s="147" t="str">
        <f>IFERROR(__xludf.DUMMYFUNCTION("if(C647="""","""",iferror(if(row()&lt;&gt;2,INDEX(arrayformula(filter($Q$2:$Q646,$C$2:$C646&lt;&gt;"""",row($C$2:$C646)=max(if($C$2:$C646=C647,row($C$2:$C646),0)))) ,1),0),0))"),"")</f>
        <v/>
      </c>
      <c r="Q647" s="147" t="str">
        <f t="shared" si="22"/>
        <v/>
      </c>
      <c r="R647" s="147" t="str">
        <f t="shared" si="23"/>
        <v/>
      </c>
      <c r="S647" s="147" t="str">
        <f t="shared" si="24"/>
        <v/>
      </c>
      <c r="T647" s="147" t="str">
        <f t="shared" si="7"/>
        <v/>
      </c>
      <c r="U647" s="150" t="str">
        <f t="shared" si="8"/>
        <v/>
      </c>
      <c r="V647" s="151" t="str">
        <f>IFERROR(VLOOKUP(C647,Ativos!$A$1:$G2000,5,),)</f>
        <v/>
      </c>
    </row>
    <row r="648" ht="21.0" customHeight="1">
      <c r="A648" s="152"/>
      <c r="B648" s="160"/>
      <c r="C648" s="153"/>
      <c r="D648" s="154"/>
      <c r="E648" s="139"/>
      <c r="F648" s="139"/>
      <c r="G648" s="139"/>
      <c r="H648" s="135"/>
      <c r="I648" s="141"/>
      <c r="J648" s="147" t="str">
        <f>IFERROR(__xludf.DUMMYFUNCTION("IF(ISBLANK(A648),IFERROR(1/0),IF(COUNT(FILTER(F:F,A:A=A648))&gt;1,TRUNC(N648*F648/SUM(FILTER(N:N,A:A=A648)),3),F648))"),"")</f>
        <v/>
      </c>
      <c r="K648" s="147" t="str">
        <f>IFERROR(__xludf.DUMMYFUNCTION("IF(ISBLANK(A648),IFERROR(1/0),IF(COUNT(FILTER(G:G,((A:A=A648)*(B:B=""V""))))&gt;1,TRUNC(N648*G648/SUM(FILTER(N:N,((A:A=A648)*(B:B=""V"")))),3),G648))"),"")</f>
        <v/>
      </c>
      <c r="L648" s="148" t="str">
        <f>IFERROR(__xludf.DUMMYFUNCTION("if($C648="""","""",iferror(if(row()&lt;&gt;2,INDEX(arrayformula(filter($M$2:$M647,$C$2:$C647&lt;&gt;"""",row($C$2:$C647)=max(if($C$2:$C647=C648,row($C$2:$C647),0)))) ,1),0),0))"),"")</f>
        <v/>
      </c>
      <c r="M648" s="148" t="str">
        <f t="shared" si="1"/>
        <v/>
      </c>
      <c r="N648" s="147" t="str">
        <f t="shared" si="2"/>
        <v/>
      </c>
      <c r="O648" s="147" t="str">
        <f t="shared" si="21"/>
        <v/>
      </c>
      <c r="P648" s="147" t="str">
        <f>IFERROR(__xludf.DUMMYFUNCTION("if(C648="""","""",iferror(if(row()&lt;&gt;2,INDEX(arrayformula(filter($Q$2:$Q647,$C$2:$C647&lt;&gt;"""",row($C$2:$C647)=max(if($C$2:$C647=C648,row($C$2:$C647),0)))) ,1),0),0))"),"")</f>
        <v/>
      </c>
      <c r="Q648" s="147" t="str">
        <f t="shared" si="22"/>
        <v/>
      </c>
      <c r="R648" s="147" t="str">
        <f t="shared" si="23"/>
        <v/>
      </c>
      <c r="S648" s="147" t="str">
        <f t="shared" si="24"/>
        <v/>
      </c>
      <c r="T648" s="147" t="str">
        <f t="shared" si="7"/>
        <v/>
      </c>
      <c r="U648" s="150" t="str">
        <f t="shared" si="8"/>
        <v/>
      </c>
      <c r="V648" s="151" t="str">
        <f>IFERROR(VLOOKUP(C648,Ativos!$A$1:$G2000,5,),)</f>
        <v/>
      </c>
    </row>
    <row r="649" ht="21.0" customHeight="1">
      <c r="A649" s="152"/>
      <c r="B649" s="160"/>
      <c r="C649" s="153"/>
      <c r="D649" s="154"/>
      <c r="E649" s="139"/>
      <c r="F649" s="139"/>
      <c r="G649" s="139"/>
      <c r="H649" s="135"/>
      <c r="I649" s="141"/>
      <c r="J649" s="147" t="str">
        <f>IFERROR(__xludf.DUMMYFUNCTION("IF(ISBLANK(A649),IFERROR(1/0),IF(COUNT(FILTER(F:F,A:A=A649))&gt;1,TRUNC(N649*F649/SUM(FILTER(N:N,A:A=A649)),3),F649))"),"")</f>
        <v/>
      </c>
      <c r="K649" s="147" t="str">
        <f>IFERROR(__xludf.DUMMYFUNCTION("IF(ISBLANK(A649),IFERROR(1/0),IF(COUNT(FILTER(G:G,((A:A=A649)*(B:B=""V""))))&gt;1,TRUNC(N649*G649/SUM(FILTER(N:N,((A:A=A649)*(B:B=""V"")))),3),G649))"),"")</f>
        <v/>
      </c>
      <c r="L649" s="148" t="str">
        <f>IFERROR(__xludf.DUMMYFUNCTION("if($C649="""","""",iferror(if(row()&lt;&gt;2,INDEX(arrayformula(filter($M$2:$M648,$C$2:$C648&lt;&gt;"""",row($C$2:$C648)=max(if($C$2:$C648=C649,row($C$2:$C648),0)))) ,1),0),0))"),"")</f>
        <v/>
      </c>
      <c r="M649" s="148" t="str">
        <f t="shared" si="1"/>
        <v/>
      </c>
      <c r="N649" s="147" t="str">
        <f t="shared" si="2"/>
        <v/>
      </c>
      <c r="O649" s="147" t="str">
        <f t="shared" si="21"/>
        <v/>
      </c>
      <c r="P649" s="147" t="str">
        <f>IFERROR(__xludf.DUMMYFUNCTION("if(C649="""","""",iferror(if(row()&lt;&gt;2,INDEX(arrayformula(filter($Q$2:$Q648,$C$2:$C648&lt;&gt;"""",row($C$2:$C648)=max(if($C$2:$C648=C649,row($C$2:$C648),0)))) ,1),0),0))"),"")</f>
        <v/>
      </c>
      <c r="Q649" s="147" t="str">
        <f t="shared" si="22"/>
        <v/>
      </c>
      <c r="R649" s="147" t="str">
        <f t="shared" si="23"/>
        <v/>
      </c>
      <c r="S649" s="147" t="str">
        <f t="shared" si="24"/>
        <v/>
      </c>
      <c r="T649" s="147" t="str">
        <f t="shared" si="7"/>
        <v/>
      </c>
      <c r="U649" s="150" t="str">
        <f t="shared" si="8"/>
        <v/>
      </c>
      <c r="V649" s="151" t="str">
        <f>IFERROR(VLOOKUP(C649,Ativos!$A$1:$G2000,5,),)</f>
        <v/>
      </c>
    </row>
    <row r="650" ht="21.0" customHeight="1">
      <c r="A650" s="152"/>
      <c r="B650" s="160"/>
      <c r="C650" s="153"/>
      <c r="D650" s="154"/>
      <c r="E650" s="139"/>
      <c r="F650" s="139"/>
      <c r="G650" s="139"/>
      <c r="H650" s="135"/>
      <c r="I650" s="141"/>
      <c r="J650" s="147" t="str">
        <f>IFERROR(__xludf.DUMMYFUNCTION("IF(ISBLANK(A650),IFERROR(1/0),IF(COUNT(FILTER(F:F,A:A=A650))&gt;1,TRUNC(N650*F650/SUM(FILTER(N:N,A:A=A650)),3),F650))"),"")</f>
        <v/>
      </c>
      <c r="K650" s="147" t="str">
        <f>IFERROR(__xludf.DUMMYFUNCTION("IF(ISBLANK(A650),IFERROR(1/0),IF(COUNT(FILTER(G:G,((A:A=A650)*(B:B=""V""))))&gt;1,TRUNC(N650*G650/SUM(FILTER(N:N,((A:A=A650)*(B:B=""V"")))),3),G650))"),"")</f>
        <v/>
      </c>
      <c r="L650" s="148" t="str">
        <f>IFERROR(__xludf.DUMMYFUNCTION("if($C650="""","""",iferror(if(row()&lt;&gt;2,INDEX(arrayformula(filter($M$2:$M649,$C$2:$C649&lt;&gt;"""",row($C$2:$C649)=max(if($C$2:$C649=C650,row($C$2:$C649),0)))) ,1),0),0))"),"")</f>
        <v/>
      </c>
      <c r="M650" s="148" t="str">
        <f t="shared" si="1"/>
        <v/>
      </c>
      <c r="N650" s="147" t="str">
        <f t="shared" si="2"/>
        <v/>
      </c>
      <c r="O650" s="147" t="str">
        <f t="shared" si="21"/>
        <v/>
      </c>
      <c r="P650" s="147" t="str">
        <f>IFERROR(__xludf.DUMMYFUNCTION("if(C650="""","""",iferror(if(row()&lt;&gt;2,INDEX(arrayformula(filter($Q$2:$Q649,$C$2:$C649&lt;&gt;"""",row($C$2:$C649)=max(if($C$2:$C649=C650,row($C$2:$C649),0)))) ,1),0),0))"),"")</f>
        <v/>
      </c>
      <c r="Q650" s="147" t="str">
        <f t="shared" si="22"/>
        <v/>
      </c>
      <c r="R650" s="147" t="str">
        <f t="shared" si="23"/>
        <v/>
      </c>
      <c r="S650" s="147" t="str">
        <f t="shared" si="24"/>
        <v/>
      </c>
      <c r="T650" s="147" t="str">
        <f t="shared" si="7"/>
        <v/>
      </c>
      <c r="U650" s="150" t="str">
        <f t="shared" si="8"/>
        <v/>
      </c>
      <c r="V650" s="151" t="str">
        <f>IFERROR(VLOOKUP(C650,Ativos!$A$1:$G2000,5,),)</f>
        <v/>
      </c>
    </row>
    <row r="651" ht="21.0" customHeight="1">
      <c r="A651" s="152"/>
      <c r="B651" s="160"/>
      <c r="C651" s="153"/>
      <c r="D651" s="154"/>
      <c r="E651" s="139"/>
      <c r="F651" s="139"/>
      <c r="G651" s="139"/>
      <c r="H651" s="135"/>
      <c r="I651" s="141"/>
      <c r="J651" s="147" t="str">
        <f>IFERROR(__xludf.DUMMYFUNCTION("IF(ISBLANK(A651),IFERROR(1/0),IF(COUNT(FILTER(F:F,A:A=A651))&gt;1,TRUNC(N651*F651/SUM(FILTER(N:N,A:A=A651)),3),F651))"),"")</f>
        <v/>
      </c>
      <c r="K651" s="147" t="str">
        <f>IFERROR(__xludf.DUMMYFUNCTION("IF(ISBLANK(A651),IFERROR(1/0),IF(COUNT(FILTER(G:G,((A:A=A651)*(B:B=""V""))))&gt;1,TRUNC(N651*G651/SUM(FILTER(N:N,((A:A=A651)*(B:B=""V"")))),3),G651))"),"")</f>
        <v/>
      </c>
      <c r="L651" s="148" t="str">
        <f>IFERROR(__xludf.DUMMYFUNCTION("if($C651="""","""",iferror(if(row()&lt;&gt;2,INDEX(arrayformula(filter($M$2:$M650,$C$2:$C650&lt;&gt;"""",row($C$2:$C650)=max(if($C$2:$C650=C651,row($C$2:$C650),0)))) ,1),0),0))"),"")</f>
        <v/>
      </c>
      <c r="M651" s="148" t="str">
        <f t="shared" si="1"/>
        <v/>
      </c>
      <c r="N651" s="147" t="str">
        <f t="shared" si="2"/>
        <v/>
      </c>
      <c r="O651" s="147" t="str">
        <f t="shared" si="21"/>
        <v/>
      </c>
      <c r="P651" s="147" t="str">
        <f>IFERROR(__xludf.DUMMYFUNCTION("if(C651="""","""",iferror(if(row()&lt;&gt;2,INDEX(arrayformula(filter($Q$2:$Q650,$C$2:$C650&lt;&gt;"""",row($C$2:$C650)=max(if($C$2:$C650=C651,row($C$2:$C650),0)))) ,1),0),0))"),"")</f>
        <v/>
      </c>
      <c r="Q651" s="147" t="str">
        <f t="shared" si="22"/>
        <v/>
      </c>
      <c r="R651" s="147" t="str">
        <f t="shared" si="23"/>
        <v/>
      </c>
      <c r="S651" s="147" t="str">
        <f t="shared" si="24"/>
        <v/>
      </c>
      <c r="T651" s="147" t="str">
        <f t="shared" si="7"/>
        <v/>
      </c>
      <c r="U651" s="150" t="str">
        <f t="shared" si="8"/>
        <v/>
      </c>
      <c r="V651" s="151" t="str">
        <f>IFERROR(VLOOKUP(C651,Ativos!$A$1:$G2000,5,),)</f>
        <v/>
      </c>
    </row>
    <row r="652" ht="21.0" customHeight="1">
      <c r="A652" s="152"/>
      <c r="B652" s="160"/>
      <c r="C652" s="153"/>
      <c r="D652" s="154"/>
      <c r="E652" s="139"/>
      <c r="F652" s="139"/>
      <c r="G652" s="139"/>
      <c r="H652" s="135"/>
      <c r="I652" s="141"/>
      <c r="J652" s="147" t="str">
        <f>IFERROR(__xludf.DUMMYFUNCTION("IF(ISBLANK(A652),IFERROR(1/0),IF(COUNT(FILTER(F:F,A:A=A652))&gt;1,TRUNC(N652*F652/SUM(FILTER(N:N,A:A=A652)),3),F652))"),"")</f>
        <v/>
      </c>
      <c r="K652" s="147" t="str">
        <f>IFERROR(__xludf.DUMMYFUNCTION("IF(ISBLANK(A652),IFERROR(1/0),IF(COUNT(FILTER(G:G,((A:A=A652)*(B:B=""V""))))&gt;1,TRUNC(N652*G652/SUM(FILTER(N:N,((A:A=A652)*(B:B=""V"")))),3),G652))"),"")</f>
        <v/>
      </c>
      <c r="L652" s="148" t="str">
        <f>IFERROR(__xludf.DUMMYFUNCTION("if($C652="""","""",iferror(if(row()&lt;&gt;2,INDEX(arrayformula(filter($M$2:$M651,$C$2:$C651&lt;&gt;"""",row($C$2:$C651)=max(if($C$2:$C651=C652,row($C$2:$C651),0)))) ,1),0),0))"),"")</f>
        <v/>
      </c>
      <c r="M652" s="148" t="str">
        <f t="shared" si="1"/>
        <v/>
      </c>
      <c r="N652" s="147" t="str">
        <f t="shared" si="2"/>
        <v/>
      </c>
      <c r="O652" s="147" t="str">
        <f t="shared" si="21"/>
        <v/>
      </c>
      <c r="P652" s="147" t="str">
        <f>IFERROR(__xludf.DUMMYFUNCTION("if(C652="""","""",iferror(if(row()&lt;&gt;2,INDEX(arrayformula(filter($Q$2:$Q651,$C$2:$C651&lt;&gt;"""",row($C$2:$C651)=max(if($C$2:$C651=C652,row($C$2:$C651),0)))) ,1),0),0))"),"")</f>
        <v/>
      </c>
      <c r="Q652" s="147" t="str">
        <f t="shared" si="22"/>
        <v/>
      </c>
      <c r="R652" s="147" t="str">
        <f t="shared" si="23"/>
        <v/>
      </c>
      <c r="S652" s="147" t="str">
        <f t="shared" si="24"/>
        <v/>
      </c>
      <c r="T652" s="147" t="str">
        <f t="shared" si="7"/>
        <v/>
      </c>
      <c r="U652" s="150" t="str">
        <f t="shared" si="8"/>
        <v/>
      </c>
      <c r="V652" s="151" t="str">
        <f>IFERROR(VLOOKUP(C652,Ativos!$A$1:$G2000,5,),)</f>
        <v/>
      </c>
    </row>
    <row r="653" ht="21.0" customHeight="1">
      <c r="A653" s="152"/>
      <c r="B653" s="160"/>
      <c r="C653" s="153"/>
      <c r="D653" s="154"/>
      <c r="E653" s="139"/>
      <c r="F653" s="139"/>
      <c r="G653" s="139"/>
      <c r="H653" s="135"/>
      <c r="I653" s="141"/>
      <c r="J653" s="147" t="str">
        <f>IFERROR(__xludf.DUMMYFUNCTION("IF(ISBLANK(A653),IFERROR(1/0),IF(COUNT(FILTER(F:F,A:A=A653))&gt;1,TRUNC(N653*F653/SUM(FILTER(N:N,A:A=A653)),3),F653))"),"")</f>
        <v/>
      </c>
      <c r="K653" s="147" t="str">
        <f>IFERROR(__xludf.DUMMYFUNCTION("IF(ISBLANK(A653),IFERROR(1/0),IF(COUNT(FILTER(G:G,((A:A=A653)*(B:B=""V""))))&gt;1,TRUNC(N653*G653/SUM(FILTER(N:N,((A:A=A653)*(B:B=""V"")))),3),G653))"),"")</f>
        <v/>
      </c>
      <c r="L653" s="148" t="str">
        <f>IFERROR(__xludf.DUMMYFUNCTION("if($C653="""","""",iferror(if(row()&lt;&gt;2,INDEX(arrayformula(filter($M$2:$M652,$C$2:$C652&lt;&gt;"""",row($C$2:$C652)=max(if($C$2:$C652=C653,row($C$2:$C652),0)))) ,1),0),0))"),"")</f>
        <v/>
      </c>
      <c r="M653" s="148" t="str">
        <f t="shared" si="1"/>
        <v/>
      </c>
      <c r="N653" s="147" t="str">
        <f t="shared" si="2"/>
        <v/>
      </c>
      <c r="O653" s="147" t="str">
        <f t="shared" si="21"/>
        <v/>
      </c>
      <c r="P653" s="147" t="str">
        <f>IFERROR(__xludf.DUMMYFUNCTION("if(C653="""","""",iferror(if(row()&lt;&gt;2,INDEX(arrayformula(filter($Q$2:$Q652,$C$2:$C652&lt;&gt;"""",row($C$2:$C652)=max(if($C$2:$C652=C653,row($C$2:$C652),0)))) ,1),0),0))"),"")</f>
        <v/>
      </c>
      <c r="Q653" s="147" t="str">
        <f t="shared" si="22"/>
        <v/>
      </c>
      <c r="R653" s="147" t="str">
        <f t="shared" si="23"/>
        <v/>
      </c>
      <c r="S653" s="147" t="str">
        <f t="shared" si="24"/>
        <v/>
      </c>
      <c r="T653" s="147" t="str">
        <f t="shared" si="7"/>
        <v/>
      </c>
      <c r="U653" s="150" t="str">
        <f t="shared" si="8"/>
        <v/>
      </c>
      <c r="V653" s="151" t="str">
        <f>IFERROR(VLOOKUP(C653,Ativos!$A$1:$G2000,5,),)</f>
        <v/>
      </c>
    </row>
    <row r="654" ht="21.0" customHeight="1">
      <c r="A654" s="152"/>
      <c r="B654" s="160"/>
      <c r="C654" s="153"/>
      <c r="D654" s="154"/>
      <c r="E654" s="139"/>
      <c r="F654" s="139"/>
      <c r="G654" s="139"/>
      <c r="H654" s="135"/>
      <c r="I654" s="141"/>
      <c r="J654" s="147" t="str">
        <f>IFERROR(__xludf.DUMMYFUNCTION("IF(ISBLANK(A654),IFERROR(1/0),IF(COUNT(FILTER(F:F,A:A=A654))&gt;1,TRUNC(N654*F654/SUM(FILTER(N:N,A:A=A654)),3),F654))"),"")</f>
        <v/>
      </c>
      <c r="K654" s="147" t="str">
        <f>IFERROR(__xludf.DUMMYFUNCTION("IF(ISBLANK(A654),IFERROR(1/0),IF(COUNT(FILTER(G:G,((A:A=A654)*(B:B=""V""))))&gt;1,TRUNC(N654*G654/SUM(FILTER(N:N,((A:A=A654)*(B:B=""V"")))),3),G654))"),"")</f>
        <v/>
      </c>
      <c r="L654" s="148" t="str">
        <f>IFERROR(__xludf.DUMMYFUNCTION("if($C654="""","""",iferror(if(row()&lt;&gt;2,INDEX(arrayformula(filter($M$2:$M653,$C$2:$C653&lt;&gt;"""",row($C$2:$C653)=max(if($C$2:$C653=C654,row($C$2:$C653),0)))) ,1),0),0))"),"")</f>
        <v/>
      </c>
      <c r="M654" s="148" t="str">
        <f t="shared" si="1"/>
        <v/>
      </c>
      <c r="N654" s="147" t="str">
        <f t="shared" si="2"/>
        <v/>
      </c>
      <c r="O654" s="147" t="str">
        <f t="shared" si="21"/>
        <v/>
      </c>
      <c r="P654" s="147" t="str">
        <f>IFERROR(__xludf.DUMMYFUNCTION("if(C654="""","""",iferror(if(row()&lt;&gt;2,INDEX(arrayformula(filter($Q$2:$Q653,$C$2:$C653&lt;&gt;"""",row($C$2:$C653)=max(if($C$2:$C653=C654,row($C$2:$C653),0)))) ,1),0),0))"),"")</f>
        <v/>
      </c>
      <c r="Q654" s="147" t="str">
        <f t="shared" si="22"/>
        <v/>
      </c>
      <c r="R654" s="147" t="str">
        <f t="shared" si="23"/>
        <v/>
      </c>
      <c r="S654" s="147" t="str">
        <f t="shared" si="24"/>
        <v/>
      </c>
      <c r="T654" s="147" t="str">
        <f t="shared" si="7"/>
        <v/>
      </c>
      <c r="U654" s="150" t="str">
        <f t="shared" si="8"/>
        <v/>
      </c>
      <c r="V654" s="151" t="str">
        <f>IFERROR(VLOOKUP(C654,Ativos!$A$1:$G2000,5,),)</f>
        <v/>
      </c>
    </row>
    <row r="655" ht="21.0" customHeight="1">
      <c r="A655" s="152"/>
      <c r="B655" s="160"/>
      <c r="C655" s="153"/>
      <c r="D655" s="154"/>
      <c r="E655" s="139"/>
      <c r="F655" s="139"/>
      <c r="G655" s="139"/>
      <c r="H655" s="135"/>
      <c r="I655" s="141"/>
      <c r="J655" s="147" t="str">
        <f>IFERROR(__xludf.DUMMYFUNCTION("IF(ISBLANK(A655),IFERROR(1/0),IF(COUNT(FILTER(F:F,A:A=A655))&gt;1,TRUNC(N655*F655/SUM(FILTER(N:N,A:A=A655)),3),F655))"),"")</f>
        <v/>
      </c>
      <c r="K655" s="147" t="str">
        <f>IFERROR(__xludf.DUMMYFUNCTION("IF(ISBLANK(A655),IFERROR(1/0),IF(COUNT(FILTER(G:G,((A:A=A655)*(B:B=""V""))))&gt;1,TRUNC(N655*G655/SUM(FILTER(N:N,((A:A=A655)*(B:B=""V"")))),3),G655))"),"")</f>
        <v/>
      </c>
      <c r="L655" s="148" t="str">
        <f>IFERROR(__xludf.DUMMYFUNCTION("if($C655="""","""",iferror(if(row()&lt;&gt;2,INDEX(arrayformula(filter($M$2:$M654,$C$2:$C654&lt;&gt;"""",row($C$2:$C654)=max(if($C$2:$C654=C655,row($C$2:$C654),0)))) ,1),0),0))"),"")</f>
        <v/>
      </c>
      <c r="M655" s="148" t="str">
        <f t="shared" si="1"/>
        <v/>
      </c>
      <c r="N655" s="147" t="str">
        <f t="shared" si="2"/>
        <v/>
      </c>
      <c r="O655" s="147" t="str">
        <f t="shared" si="21"/>
        <v/>
      </c>
      <c r="P655" s="147" t="str">
        <f>IFERROR(__xludf.DUMMYFUNCTION("if(C655="""","""",iferror(if(row()&lt;&gt;2,INDEX(arrayformula(filter($Q$2:$Q654,$C$2:$C654&lt;&gt;"""",row($C$2:$C654)=max(if($C$2:$C654=C655,row($C$2:$C654),0)))) ,1),0),0))"),"")</f>
        <v/>
      </c>
      <c r="Q655" s="147" t="str">
        <f t="shared" si="22"/>
        <v/>
      </c>
      <c r="R655" s="147" t="str">
        <f t="shared" si="23"/>
        <v/>
      </c>
      <c r="S655" s="147" t="str">
        <f t="shared" si="24"/>
        <v/>
      </c>
      <c r="T655" s="147" t="str">
        <f t="shared" si="7"/>
        <v/>
      </c>
      <c r="U655" s="150" t="str">
        <f t="shared" si="8"/>
        <v/>
      </c>
      <c r="V655" s="151" t="str">
        <f>IFERROR(VLOOKUP(C655,Ativos!$A$1:$G2000,5,),)</f>
        <v/>
      </c>
    </row>
    <row r="656" ht="21.0" customHeight="1">
      <c r="A656" s="152"/>
      <c r="B656" s="160"/>
      <c r="C656" s="153"/>
      <c r="D656" s="154"/>
      <c r="E656" s="139"/>
      <c r="F656" s="139"/>
      <c r="G656" s="139"/>
      <c r="H656" s="135"/>
      <c r="I656" s="141"/>
      <c r="J656" s="147" t="str">
        <f>IFERROR(__xludf.DUMMYFUNCTION("IF(ISBLANK(A656),IFERROR(1/0),IF(COUNT(FILTER(F:F,A:A=A656))&gt;1,TRUNC(N656*F656/SUM(FILTER(N:N,A:A=A656)),3),F656))"),"")</f>
        <v/>
      </c>
      <c r="K656" s="147" t="str">
        <f>IFERROR(__xludf.DUMMYFUNCTION("IF(ISBLANK(A656),IFERROR(1/0),IF(COUNT(FILTER(G:G,((A:A=A656)*(B:B=""V""))))&gt;1,TRUNC(N656*G656/SUM(FILTER(N:N,((A:A=A656)*(B:B=""V"")))),3),G656))"),"")</f>
        <v/>
      </c>
      <c r="L656" s="148" t="str">
        <f>IFERROR(__xludf.DUMMYFUNCTION("if($C656="""","""",iferror(if(row()&lt;&gt;2,INDEX(arrayformula(filter($M$2:$M655,$C$2:$C655&lt;&gt;"""",row($C$2:$C655)=max(if($C$2:$C655=C656,row($C$2:$C655),0)))) ,1),0),0))"),"")</f>
        <v/>
      </c>
      <c r="M656" s="148" t="str">
        <f t="shared" si="1"/>
        <v/>
      </c>
      <c r="N656" s="147" t="str">
        <f t="shared" si="2"/>
        <v/>
      </c>
      <c r="O656" s="147" t="str">
        <f t="shared" si="21"/>
        <v/>
      </c>
      <c r="P656" s="147" t="str">
        <f>IFERROR(__xludf.DUMMYFUNCTION("if(C656="""","""",iferror(if(row()&lt;&gt;2,INDEX(arrayformula(filter($Q$2:$Q655,$C$2:$C655&lt;&gt;"""",row($C$2:$C655)=max(if($C$2:$C655=C656,row($C$2:$C655),0)))) ,1),0),0))"),"")</f>
        <v/>
      </c>
      <c r="Q656" s="147" t="str">
        <f t="shared" si="22"/>
        <v/>
      </c>
      <c r="R656" s="147" t="str">
        <f t="shared" si="23"/>
        <v/>
      </c>
      <c r="S656" s="147" t="str">
        <f t="shared" si="24"/>
        <v/>
      </c>
      <c r="T656" s="147" t="str">
        <f t="shared" si="7"/>
        <v/>
      </c>
      <c r="U656" s="150" t="str">
        <f t="shared" si="8"/>
        <v/>
      </c>
      <c r="V656" s="151" t="str">
        <f>IFERROR(VLOOKUP(C656,Ativos!$A$1:$G2000,5,),)</f>
        <v/>
      </c>
    </row>
    <row r="657" ht="21.0" customHeight="1">
      <c r="A657" s="152"/>
      <c r="B657" s="160"/>
      <c r="C657" s="153"/>
      <c r="D657" s="154"/>
      <c r="E657" s="139"/>
      <c r="F657" s="139"/>
      <c r="G657" s="139"/>
      <c r="H657" s="135"/>
      <c r="I657" s="141"/>
      <c r="J657" s="147" t="str">
        <f>IFERROR(__xludf.DUMMYFUNCTION("IF(ISBLANK(A657),IFERROR(1/0),IF(COUNT(FILTER(F:F,A:A=A657))&gt;1,TRUNC(N657*F657/SUM(FILTER(N:N,A:A=A657)),3),F657))"),"")</f>
        <v/>
      </c>
      <c r="K657" s="147" t="str">
        <f>IFERROR(__xludf.DUMMYFUNCTION("IF(ISBLANK(A657),IFERROR(1/0),IF(COUNT(FILTER(G:G,((A:A=A657)*(B:B=""V""))))&gt;1,TRUNC(N657*G657/SUM(FILTER(N:N,((A:A=A657)*(B:B=""V"")))),3),G657))"),"")</f>
        <v/>
      </c>
      <c r="L657" s="148" t="str">
        <f>IFERROR(__xludf.DUMMYFUNCTION("if($C657="""","""",iferror(if(row()&lt;&gt;2,INDEX(arrayformula(filter($M$2:$M656,$C$2:$C656&lt;&gt;"""",row($C$2:$C656)=max(if($C$2:$C656=C657,row($C$2:$C656),0)))) ,1),0),0))"),"")</f>
        <v/>
      </c>
      <c r="M657" s="148" t="str">
        <f t="shared" si="1"/>
        <v/>
      </c>
      <c r="N657" s="147" t="str">
        <f t="shared" si="2"/>
        <v/>
      </c>
      <c r="O657" s="147" t="str">
        <f t="shared" si="21"/>
        <v/>
      </c>
      <c r="P657" s="147" t="str">
        <f>IFERROR(__xludf.DUMMYFUNCTION("if(C657="""","""",iferror(if(row()&lt;&gt;2,INDEX(arrayformula(filter($Q$2:$Q656,$C$2:$C656&lt;&gt;"""",row($C$2:$C656)=max(if($C$2:$C656=C657,row($C$2:$C656),0)))) ,1),0),0))"),"")</f>
        <v/>
      </c>
      <c r="Q657" s="147" t="str">
        <f t="shared" si="22"/>
        <v/>
      </c>
      <c r="R657" s="147" t="str">
        <f t="shared" si="23"/>
        <v/>
      </c>
      <c r="S657" s="147" t="str">
        <f t="shared" si="24"/>
        <v/>
      </c>
      <c r="T657" s="147" t="str">
        <f t="shared" si="7"/>
        <v/>
      </c>
      <c r="U657" s="150" t="str">
        <f t="shared" si="8"/>
        <v/>
      </c>
      <c r="V657" s="151" t="str">
        <f>IFERROR(VLOOKUP(C657,Ativos!$A$1:$G2000,5,),)</f>
        <v/>
      </c>
    </row>
    <row r="658" ht="21.0" customHeight="1">
      <c r="A658" s="152"/>
      <c r="B658" s="160"/>
      <c r="C658" s="153"/>
      <c r="D658" s="154"/>
      <c r="E658" s="139"/>
      <c r="F658" s="139"/>
      <c r="G658" s="139"/>
      <c r="H658" s="135"/>
      <c r="I658" s="141"/>
      <c r="J658" s="147" t="str">
        <f>IFERROR(__xludf.DUMMYFUNCTION("IF(ISBLANK(A658),IFERROR(1/0),IF(COUNT(FILTER(F:F,A:A=A658))&gt;1,TRUNC(N658*F658/SUM(FILTER(N:N,A:A=A658)),3),F658))"),"")</f>
        <v/>
      </c>
      <c r="K658" s="147" t="str">
        <f>IFERROR(__xludf.DUMMYFUNCTION("IF(ISBLANK(A658),IFERROR(1/0),IF(COUNT(FILTER(G:G,((A:A=A658)*(B:B=""V""))))&gt;1,TRUNC(N658*G658/SUM(FILTER(N:N,((A:A=A658)*(B:B=""V"")))),3),G658))"),"")</f>
        <v/>
      </c>
      <c r="L658" s="148" t="str">
        <f>IFERROR(__xludf.DUMMYFUNCTION("if($C658="""","""",iferror(if(row()&lt;&gt;2,INDEX(arrayformula(filter($M$2:$M657,$C$2:$C657&lt;&gt;"""",row($C$2:$C657)=max(if($C$2:$C657=C658,row($C$2:$C657),0)))) ,1),0),0))"),"")</f>
        <v/>
      </c>
      <c r="M658" s="148" t="str">
        <f t="shared" si="1"/>
        <v/>
      </c>
      <c r="N658" s="147" t="str">
        <f t="shared" si="2"/>
        <v/>
      </c>
      <c r="O658" s="147" t="str">
        <f t="shared" si="21"/>
        <v/>
      </c>
      <c r="P658" s="147" t="str">
        <f>IFERROR(__xludf.DUMMYFUNCTION("if(C658="""","""",iferror(if(row()&lt;&gt;2,INDEX(arrayformula(filter($Q$2:$Q657,$C$2:$C657&lt;&gt;"""",row($C$2:$C657)=max(if($C$2:$C657=C658,row($C$2:$C657),0)))) ,1),0),0))"),"")</f>
        <v/>
      </c>
      <c r="Q658" s="147" t="str">
        <f t="shared" si="22"/>
        <v/>
      </c>
      <c r="R658" s="147" t="str">
        <f t="shared" si="23"/>
        <v/>
      </c>
      <c r="S658" s="147" t="str">
        <f t="shared" si="24"/>
        <v/>
      </c>
      <c r="T658" s="147" t="str">
        <f t="shared" si="7"/>
        <v/>
      </c>
      <c r="U658" s="150" t="str">
        <f t="shared" si="8"/>
        <v/>
      </c>
      <c r="V658" s="151" t="str">
        <f>IFERROR(VLOOKUP(C658,Ativos!$A$1:$G2000,5,),)</f>
        <v/>
      </c>
    </row>
    <row r="659" ht="21.0" customHeight="1">
      <c r="A659" s="152"/>
      <c r="B659" s="160"/>
      <c r="C659" s="153"/>
      <c r="D659" s="154"/>
      <c r="E659" s="139"/>
      <c r="F659" s="139"/>
      <c r="G659" s="139"/>
      <c r="H659" s="135"/>
      <c r="I659" s="141"/>
      <c r="J659" s="147" t="str">
        <f>IFERROR(__xludf.DUMMYFUNCTION("IF(ISBLANK(A659),IFERROR(1/0),IF(COUNT(FILTER(F:F,A:A=A659))&gt;1,TRUNC(N659*F659/SUM(FILTER(N:N,A:A=A659)),3),F659))"),"")</f>
        <v/>
      </c>
      <c r="K659" s="147" t="str">
        <f>IFERROR(__xludf.DUMMYFUNCTION("IF(ISBLANK(A659),IFERROR(1/0),IF(COUNT(FILTER(G:G,((A:A=A659)*(B:B=""V""))))&gt;1,TRUNC(N659*G659/SUM(FILTER(N:N,((A:A=A659)*(B:B=""V"")))),3),G659))"),"")</f>
        <v/>
      </c>
      <c r="L659" s="148" t="str">
        <f>IFERROR(__xludf.DUMMYFUNCTION("if($C659="""","""",iferror(if(row()&lt;&gt;2,INDEX(arrayformula(filter($M$2:$M658,$C$2:$C658&lt;&gt;"""",row($C$2:$C658)=max(if($C$2:$C658=C659,row($C$2:$C658),0)))) ,1),0),0))"),"")</f>
        <v/>
      </c>
      <c r="M659" s="148" t="str">
        <f t="shared" si="1"/>
        <v/>
      </c>
      <c r="N659" s="147" t="str">
        <f t="shared" si="2"/>
        <v/>
      </c>
      <c r="O659" s="147" t="str">
        <f t="shared" si="21"/>
        <v/>
      </c>
      <c r="P659" s="147" t="str">
        <f>IFERROR(__xludf.DUMMYFUNCTION("if(C659="""","""",iferror(if(row()&lt;&gt;2,INDEX(arrayformula(filter($Q$2:$Q658,$C$2:$C658&lt;&gt;"""",row($C$2:$C658)=max(if($C$2:$C658=C659,row($C$2:$C658),0)))) ,1),0),0))"),"")</f>
        <v/>
      </c>
      <c r="Q659" s="147" t="str">
        <f t="shared" si="22"/>
        <v/>
      </c>
      <c r="R659" s="147" t="str">
        <f t="shared" si="23"/>
        <v/>
      </c>
      <c r="S659" s="147" t="str">
        <f t="shared" si="24"/>
        <v/>
      </c>
      <c r="T659" s="147" t="str">
        <f t="shared" si="7"/>
        <v/>
      </c>
      <c r="U659" s="150" t="str">
        <f t="shared" si="8"/>
        <v/>
      </c>
      <c r="V659" s="151" t="str">
        <f>IFERROR(VLOOKUP(C659,Ativos!$A$1:$G2000,5,),)</f>
        <v/>
      </c>
    </row>
    <row r="660" ht="21.0" customHeight="1">
      <c r="A660" s="152"/>
      <c r="B660" s="160"/>
      <c r="C660" s="153"/>
      <c r="D660" s="154"/>
      <c r="E660" s="139"/>
      <c r="F660" s="139"/>
      <c r="G660" s="139"/>
      <c r="H660" s="135"/>
      <c r="I660" s="141"/>
      <c r="J660" s="147" t="str">
        <f>IFERROR(__xludf.DUMMYFUNCTION("IF(ISBLANK(A660),IFERROR(1/0),IF(COUNT(FILTER(F:F,A:A=A660))&gt;1,TRUNC(N660*F660/SUM(FILTER(N:N,A:A=A660)),3),F660))"),"")</f>
        <v/>
      </c>
      <c r="K660" s="147" t="str">
        <f>IFERROR(__xludf.DUMMYFUNCTION("IF(ISBLANK(A660),IFERROR(1/0),IF(COUNT(FILTER(G:G,((A:A=A660)*(B:B=""V""))))&gt;1,TRUNC(N660*G660/SUM(FILTER(N:N,((A:A=A660)*(B:B=""V"")))),3),G660))"),"")</f>
        <v/>
      </c>
      <c r="L660" s="148" t="str">
        <f>IFERROR(__xludf.DUMMYFUNCTION("if($C660="""","""",iferror(if(row()&lt;&gt;2,INDEX(arrayformula(filter($M$2:$M659,$C$2:$C659&lt;&gt;"""",row($C$2:$C659)=max(if($C$2:$C659=C660,row($C$2:$C659),0)))) ,1),0),0))"),"")</f>
        <v/>
      </c>
      <c r="M660" s="148" t="str">
        <f t="shared" si="1"/>
        <v/>
      </c>
      <c r="N660" s="147" t="str">
        <f t="shared" si="2"/>
        <v/>
      </c>
      <c r="O660" s="147" t="str">
        <f t="shared" si="21"/>
        <v/>
      </c>
      <c r="P660" s="147" t="str">
        <f>IFERROR(__xludf.DUMMYFUNCTION("if(C660="""","""",iferror(if(row()&lt;&gt;2,INDEX(arrayformula(filter($Q$2:$Q659,$C$2:$C659&lt;&gt;"""",row($C$2:$C659)=max(if($C$2:$C659=C660,row($C$2:$C659),0)))) ,1),0),0))"),"")</f>
        <v/>
      </c>
      <c r="Q660" s="147" t="str">
        <f t="shared" si="22"/>
        <v/>
      </c>
      <c r="R660" s="147" t="str">
        <f t="shared" si="23"/>
        <v/>
      </c>
      <c r="S660" s="147" t="str">
        <f t="shared" si="24"/>
        <v/>
      </c>
      <c r="T660" s="147" t="str">
        <f t="shared" si="7"/>
        <v/>
      </c>
      <c r="U660" s="150" t="str">
        <f t="shared" si="8"/>
        <v/>
      </c>
      <c r="V660" s="151" t="str">
        <f>IFERROR(VLOOKUP(C660,Ativos!$A$1:$G2000,5,),)</f>
        <v/>
      </c>
    </row>
    <row r="661" ht="21.0" customHeight="1">
      <c r="A661" s="152"/>
      <c r="B661" s="160"/>
      <c r="C661" s="153"/>
      <c r="D661" s="154"/>
      <c r="E661" s="139"/>
      <c r="F661" s="139"/>
      <c r="G661" s="139"/>
      <c r="H661" s="135"/>
      <c r="I661" s="141"/>
      <c r="J661" s="147" t="str">
        <f>IFERROR(__xludf.DUMMYFUNCTION("IF(ISBLANK(A661),IFERROR(1/0),IF(COUNT(FILTER(F:F,A:A=A661))&gt;1,TRUNC(N661*F661/SUM(FILTER(N:N,A:A=A661)),3),F661))"),"")</f>
        <v/>
      </c>
      <c r="K661" s="147" t="str">
        <f>IFERROR(__xludf.DUMMYFUNCTION("IF(ISBLANK(A661),IFERROR(1/0),IF(COUNT(FILTER(G:G,((A:A=A661)*(B:B=""V""))))&gt;1,TRUNC(N661*G661/SUM(FILTER(N:N,((A:A=A661)*(B:B=""V"")))),3),G661))"),"")</f>
        <v/>
      </c>
      <c r="L661" s="148" t="str">
        <f>IFERROR(__xludf.DUMMYFUNCTION("if($C661="""","""",iferror(if(row()&lt;&gt;2,INDEX(arrayformula(filter($M$2:$M660,$C$2:$C660&lt;&gt;"""",row($C$2:$C660)=max(if($C$2:$C660=C661,row($C$2:$C660),0)))) ,1),0),0))"),"")</f>
        <v/>
      </c>
      <c r="M661" s="148" t="str">
        <f t="shared" si="1"/>
        <v/>
      </c>
      <c r="N661" s="147" t="str">
        <f t="shared" si="2"/>
        <v/>
      </c>
      <c r="O661" s="147" t="str">
        <f t="shared" si="21"/>
        <v/>
      </c>
      <c r="P661" s="147" t="str">
        <f>IFERROR(__xludf.DUMMYFUNCTION("if(C661="""","""",iferror(if(row()&lt;&gt;2,INDEX(arrayformula(filter($Q$2:$Q660,$C$2:$C660&lt;&gt;"""",row($C$2:$C660)=max(if($C$2:$C660=C661,row($C$2:$C660),0)))) ,1),0),0))"),"")</f>
        <v/>
      </c>
      <c r="Q661" s="147" t="str">
        <f t="shared" si="22"/>
        <v/>
      </c>
      <c r="R661" s="147" t="str">
        <f t="shared" si="23"/>
        <v/>
      </c>
      <c r="S661" s="147" t="str">
        <f t="shared" si="24"/>
        <v/>
      </c>
      <c r="T661" s="147" t="str">
        <f t="shared" si="7"/>
        <v/>
      </c>
      <c r="U661" s="150" t="str">
        <f t="shared" si="8"/>
        <v/>
      </c>
      <c r="V661" s="151" t="str">
        <f>IFERROR(VLOOKUP(C661,Ativos!$A$1:$G2000,5,),)</f>
        <v/>
      </c>
    </row>
    <row r="662" ht="21.0" customHeight="1">
      <c r="A662" s="152"/>
      <c r="B662" s="160"/>
      <c r="C662" s="153"/>
      <c r="D662" s="154"/>
      <c r="E662" s="139"/>
      <c r="F662" s="139"/>
      <c r="G662" s="139"/>
      <c r="H662" s="135"/>
      <c r="I662" s="141"/>
      <c r="J662" s="147" t="str">
        <f>IFERROR(__xludf.DUMMYFUNCTION("IF(ISBLANK(A662),IFERROR(1/0),IF(COUNT(FILTER(F:F,A:A=A662))&gt;1,TRUNC(N662*F662/SUM(FILTER(N:N,A:A=A662)),3),F662))"),"")</f>
        <v/>
      </c>
      <c r="K662" s="147" t="str">
        <f>IFERROR(__xludf.DUMMYFUNCTION("IF(ISBLANK(A662),IFERROR(1/0),IF(COUNT(FILTER(G:G,((A:A=A662)*(B:B=""V""))))&gt;1,TRUNC(N662*G662/SUM(FILTER(N:N,((A:A=A662)*(B:B=""V"")))),3),G662))"),"")</f>
        <v/>
      </c>
      <c r="L662" s="148" t="str">
        <f>IFERROR(__xludf.DUMMYFUNCTION("if($C662="""","""",iferror(if(row()&lt;&gt;2,INDEX(arrayformula(filter($M$2:$M661,$C$2:$C661&lt;&gt;"""",row($C$2:$C661)=max(if($C$2:$C661=C662,row($C$2:$C661),0)))) ,1),0),0))"),"")</f>
        <v/>
      </c>
      <c r="M662" s="148" t="str">
        <f t="shared" si="1"/>
        <v/>
      </c>
      <c r="N662" s="147" t="str">
        <f t="shared" si="2"/>
        <v/>
      </c>
      <c r="O662" s="147" t="str">
        <f t="shared" si="21"/>
        <v/>
      </c>
      <c r="P662" s="147" t="str">
        <f>IFERROR(__xludf.DUMMYFUNCTION("if(C662="""","""",iferror(if(row()&lt;&gt;2,INDEX(arrayformula(filter($Q$2:$Q661,$C$2:$C661&lt;&gt;"""",row($C$2:$C661)=max(if($C$2:$C661=C662,row($C$2:$C661),0)))) ,1),0),0))"),"")</f>
        <v/>
      </c>
      <c r="Q662" s="147" t="str">
        <f t="shared" si="22"/>
        <v/>
      </c>
      <c r="R662" s="147" t="str">
        <f t="shared" si="23"/>
        <v/>
      </c>
      <c r="S662" s="147" t="str">
        <f t="shared" si="24"/>
        <v/>
      </c>
      <c r="T662" s="147" t="str">
        <f t="shared" si="7"/>
        <v/>
      </c>
      <c r="U662" s="150" t="str">
        <f t="shared" si="8"/>
        <v/>
      </c>
      <c r="V662" s="151" t="str">
        <f>IFERROR(VLOOKUP(C662,Ativos!$A$1:$G2000,5,),)</f>
        <v/>
      </c>
    </row>
    <row r="663" ht="21.0" customHeight="1">
      <c r="A663" s="152"/>
      <c r="B663" s="160"/>
      <c r="C663" s="153"/>
      <c r="D663" s="154"/>
      <c r="E663" s="139"/>
      <c r="F663" s="139"/>
      <c r="G663" s="139"/>
      <c r="H663" s="135"/>
      <c r="I663" s="141"/>
      <c r="J663" s="147" t="str">
        <f>IFERROR(__xludf.DUMMYFUNCTION("IF(ISBLANK(A663),IFERROR(1/0),IF(COUNT(FILTER(F:F,A:A=A663))&gt;1,TRUNC(N663*F663/SUM(FILTER(N:N,A:A=A663)),3),F663))"),"")</f>
        <v/>
      </c>
      <c r="K663" s="147" t="str">
        <f>IFERROR(__xludf.DUMMYFUNCTION("IF(ISBLANK(A663),IFERROR(1/0),IF(COUNT(FILTER(G:G,((A:A=A663)*(B:B=""V""))))&gt;1,TRUNC(N663*G663/SUM(FILTER(N:N,((A:A=A663)*(B:B=""V"")))),3),G663))"),"")</f>
        <v/>
      </c>
      <c r="L663" s="148" t="str">
        <f>IFERROR(__xludf.DUMMYFUNCTION("if($C663="""","""",iferror(if(row()&lt;&gt;2,INDEX(arrayformula(filter($M$2:$M662,$C$2:$C662&lt;&gt;"""",row($C$2:$C662)=max(if($C$2:$C662=C663,row($C$2:$C662),0)))) ,1),0),0))"),"")</f>
        <v/>
      </c>
      <c r="M663" s="148" t="str">
        <f t="shared" si="1"/>
        <v/>
      </c>
      <c r="N663" s="147" t="str">
        <f t="shared" si="2"/>
        <v/>
      </c>
      <c r="O663" s="147" t="str">
        <f t="shared" si="21"/>
        <v/>
      </c>
      <c r="P663" s="147" t="str">
        <f>IFERROR(__xludf.DUMMYFUNCTION("if(C663="""","""",iferror(if(row()&lt;&gt;2,INDEX(arrayformula(filter($Q$2:$Q662,$C$2:$C662&lt;&gt;"""",row($C$2:$C662)=max(if($C$2:$C662=C663,row($C$2:$C662),0)))) ,1),0),0))"),"")</f>
        <v/>
      </c>
      <c r="Q663" s="147" t="str">
        <f t="shared" si="22"/>
        <v/>
      </c>
      <c r="R663" s="147" t="str">
        <f t="shared" si="23"/>
        <v/>
      </c>
      <c r="S663" s="147" t="str">
        <f t="shared" si="24"/>
        <v/>
      </c>
      <c r="T663" s="147" t="str">
        <f t="shared" si="7"/>
        <v/>
      </c>
      <c r="U663" s="150" t="str">
        <f t="shared" si="8"/>
        <v/>
      </c>
      <c r="V663" s="151" t="str">
        <f>IFERROR(VLOOKUP(C663,Ativos!$A$1:$G2000,5,),)</f>
        <v/>
      </c>
    </row>
    <row r="664" ht="21.0" customHeight="1">
      <c r="A664" s="152"/>
      <c r="B664" s="160"/>
      <c r="C664" s="153"/>
      <c r="D664" s="154"/>
      <c r="E664" s="139"/>
      <c r="F664" s="139"/>
      <c r="G664" s="139"/>
      <c r="H664" s="135"/>
      <c r="I664" s="141"/>
      <c r="J664" s="147" t="str">
        <f>IFERROR(__xludf.DUMMYFUNCTION("IF(ISBLANK(A664),IFERROR(1/0),IF(COUNT(FILTER(F:F,A:A=A664))&gt;1,TRUNC(N664*F664/SUM(FILTER(N:N,A:A=A664)),3),F664))"),"")</f>
        <v/>
      </c>
      <c r="K664" s="147" t="str">
        <f>IFERROR(__xludf.DUMMYFUNCTION("IF(ISBLANK(A664),IFERROR(1/0),IF(COUNT(FILTER(G:G,((A:A=A664)*(B:B=""V""))))&gt;1,TRUNC(N664*G664/SUM(FILTER(N:N,((A:A=A664)*(B:B=""V"")))),3),G664))"),"")</f>
        <v/>
      </c>
      <c r="L664" s="148" t="str">
        <f>IFERROR(__xludf.DUMMYFUNCTION("if($C664="""","""",iferror(if(row()&lt;&gt;2,INDEX(arrayformula(filter($M$2:$M663,$C$2:$C663&lt;&gt;"""",row($C$2:$C663)=max(if($C$2:$C663=C664,row($C$2:$C663),0)))) ,1),0),0))"),"")</f>
        <v/>
      </c>
      <c r="M664" s="148" t="str">
        <f t="shared" si="1"/>
        <v/>
      </c>
      <c r="N664" s="147" t="str">
        <f t="shared" si="2"/>
        <v/>
      </c>
      <c r="O664" s="147" t="str">
        <f t="shared" si="21"/>
        <v/>
      </c>
      <c r="P664" s="147" t="str">
        <f>IFERROR(__xludf.DUMMYFUNCTION("if(C664="""","""",iferror(if(row()&lt;&gt;2,INDEX(arrayformula(filter($Q$2:$Q663,$C$2:$C663&lt;&gt;"""",row($C$2:$C663)=max(if($C$2:$C663=C664,row($C$2:$C663),0)))) ,1),0),0))"),"")</f>
        <v/>
      </c>
      <c r="Q664" s="147" t="str">
        <f t="shared" si="22"/>
        <v/>
      </c>
      <c r="R664" s="147" t="str">
        <f t="shared" si="23"/>
        <v/>
      </c>
      <c r="S664" s="147" t="str">
        <f t="shared" si="24"/>
        <v/>
      </c>
      <c r="T664" s="147" t="str">
        <f t="shared" si="7"/>
        <v/>
      </c>
      <c r="U664" s="150" t="str">
        <f t="shared" si="8"/>
        <v/>
      </c>
      <c r="V664" s="151" t="str">
        <f>IFERROR(VLOOKUP(C664,Ativos!$A$1:$G2000,5,),)</f>
        <v/>
      </c>
    </row>
    <row r="665" ht="21.0" customHeight="1">
      <c r="A665" s="152"/>
      <c r="B665" s="160"/>
      <c r="C665" s="153"/>
      <c r="D665" s="154"/>
      <c r="E665" s="139"/>
      <c r="F665" s="139"/>
      <c r="G665" s="139"/>
      <c r="H665" s="135"/>
      <c r="I665" s="141"/>
      <c r="J665" s="147" t="str">
        <f>IFERROR(__xludf.DUMMYFUNCTION("IF(ISBLANK(A665),IFERROR(1/0),IF(COUNT(FILTER(F:F,A:A=A665))&gt;1,TRUNC(N665*F665/SUM(FILTER(N:N,A:A=A665)),3),F665))"),"")</f>
        <v/>
      </c>
      <c r="K665" s="147" t="str">
        <f>IFERROR(__xludf.DUMMYFUNCTION("IF(ISBLANK(A665),IFERROR(1/0),IF(COUNT(FILTER(G:G,((A:A=A665)*(B:B=""V""))))&gt;1,TRUNC(N665*G665/SUM(FILTER(N:N,((A:A=A665)*(B:B=""V"")))),3),G665))"),"")</f>
        <v/>
      </c>
      <c r="L665" s="148" t="str">
        <f>IFERROR(__xludf.DUMMYFUNCTION("if($C665="""","""",iferror(if(row()&lt;&gt;2,INDEX(arrayformula(filter($M$2:$M664,$C$2:$C664&lt;&gt;"""",row($C$2:$C664)=max(if($C$2:$C664=C665,row($C$2:$C664),0)))) ,1),0),0))"),"")</f>
        <v/>
      </c>
      <c r="M665" s="148" t="str">
        <f t="shared" si="1"/>
        <v/>
      </c>
      <c r="N665" s="147" t="str">
        <f t="shared" si="2"/>
        <v/>
      </c>
      <c r="O665" s="147" t="str">
        <f t="shared" si="21"/>
        <v/>
      </c>
      <c r="P665" s="147" t="str">
        <f>IFERROR(__xludf.DUMMYFUNCTION("if(C665="""","""",iferror(if(row()&lt;&gt;2,INDEX(arrayformula(filter($Q$2:$Q664,$C$2:$C664&lt;&gt;"""",row($C$2:$C664)=max(if($C$2:$C664=C665,row($C$2:$C664),0)))) ,1),0),0))"),"")</f>
        <v/>
      </c>
      <c r="Q665" s="147" t="str">
        <f t="shared" si="22"/>
        <v/>
      </c>
      <c r="R665" s="147" t="str">
        <f t="shared" si="23"/>
        <v/>
      </c>
      <c r="S665" s="147" t="str">
        <f t="shared" si="24"/>
        <v/>
      </c>
      <c r="T665" s="147" t="str">
        <f t="shared" si="7"/>
        <v/>
      </c>
      <c r="U665" s="150" t="str">
        <f t="shared" si="8"/>
        <v/>
      </c>
      <c r="V665" s="151" t="str">
        <f>IFERROR(VLOOKUP(C665,Ativos!$A$1:$G2000,5,),)</f>
        <v/>
      </c>
    </row>
    <row r="666" ht="21.0" customHeight="1">
      <c r="A666" s="152"/>
      <c r="B666" s="160"/>
      <c r="C666" s="153"/>
      <c r="D666" s="154"/>
      <c r="E666" s="139"/>
      <c r="F666" s="139"/>
      <c r="G666" s="139"/>
      <c r="H666" s="135"/>
      <c r="I666" s="141"/>
      <c r="J666" s="147" t="str">
        <f>IFERROR(__xludf.DUMMYFUNCTION("IF(ISBLANK(A666),IFERROR(1/0),IF(COUNT(FILTER(F:F,A:A=A666))&gt;1,TRUNC(N666*F666/SUM(FILTER(N:N,A:A=A666)),3),F666))"),"")</f>
        <v/>
      </c>
      <c r="K666" s="147" t="str">
        <f>IFERROR(__xludf.DUMMYFUNCTION("IF(ISBLANK(A666),IFERROR(1/0),IF(COUNT(FILTER(G:G,((A:A=A666)*(B:B=""V""))))&gt;1,TRUNC(N666*G666/SUM(FILTER(N:N,((A:A=A666)*(B:B=""V"")))),3),G666))"),"")</f>
        <v/>
      </c>
      <c r="L666" s="148" t="str">
        <f>IFERROR(__xludf.DUMMYFUNCTION("if($C666="""","""",iferror(if(row()&lt;&gt;2,INDEX(arrayformula(filter($M$2:$M665,$C$2:$C665&lt;&gt;"""",row($C$2:$C665)=max(if($C$2:$C665=C666,row($C$2:$C665),0)))) ,1),0),0))"),"")</f>
        <v/>
      </c>
      <c r="M666" s="148" t="str">
        <f t="shared" si="1"/>
        <v/>
      </c>
      <c r="N666" s="147" t="str">
        <f t="shared" si="2"/>
        <v/>
      </c>
      <c r="O666" s="147" t="str">
        <f t="shared" si="21"/>
        <v/>
      </c>
      <c r="P666" s="147" t="str">
        <f>IFERROR(__xludf.DUMMYFUNCTION("if(C666="""","""",iferror(if(row()&lt;&gt;2,INDEX(arrayformula(filter($Q$2:$Q665,$C$2:$C665&lt;&gt;"""",row($C$2:$C665)=max(if($C$2:$C665=C666,row($C$2:$C665),0)))) ,1),0),0))"),"")</f>
        <v/>
      </c>
      <c r="Q666" s="147" t="str">
        <f t="shared" si="22"/>
        <v/>
      </c>
      <c r="R666" s="147" t="str">
        <f t="shared" si="23"/>
        <v/>
      </c>
      <c r="S666" s="147" t="str">
        <f t="shared" si="24"/>
        <v/>
      </c>
      <c r="T666" s="147" t="str">
        <f t="shared" si="7"/>
        <v/>
      </c>
      <c r="U666" s="150" t="str">
        <f t="shared" si="8"/>
        <v/>
      </c>
      <c r="V666" s="151" t="str">
        <f>IFERROR(VLOOKUP(C666,Ativos!$A$1:$G2000,5,),)</f>
        <v/>
      </c>
    </row>
    <row r="667" ht="21.0" customHeight="1">
      <c r="A667" s="152"/>
      <c r="B667" s="160"/>
      <c r="C667" s="153"/>
      <c r="D667" s="154"/>
      <c r="E667" s="139"/>
      <c r="F667" s="139"/>
      <c r="G667" s="139"/>
      <c r="H667" s="135"/>
      <c r="I667" s="141"/>
      <c r="J667" s="147" t="str">
        <f>IFERROR(__xludf.DUMMYFUNCTION("IF(ISBLANK(A667),IFERROR(1/0),IF(COUNT(FILTER(F:F,A:A=A667))&gt;1,TRUNC(N667*F667/SUM(FILTER(N:N,A:A=A667)),3),F667))"),"")</f>
        <v/>
      </c>
      <c r="K667" s="147" t="str">
        <f>IFERROR(__xludf.DUMMYFUNCTION("IF(ISBLANK(A667),IFERROR(1/0),IF(COUNT(FILTER(G:G,((A:A=A667)*(B:B=""V""))))&gt;1,TRUNC(N667*G667/SUM(FILTER(N:N,((A:A=A667)*(B:B=""V"")))),3),G667))"),"")</f>
        <v/>
      </c>
      <c r="L667" s="148" t="str">
        <f>IFERROR(__xludf.DUMMYFUNCTION("if($C667="""","""",iferror(if(row()&lt;&gt;2,INDEX(arrayformula(filter($M$2:$M666,$C$2:$C666&lt;&gt;"""",row($C$2:$C666)=max(if($C$2:$C666=C667,row($C$2:$C666),0)))) ,1),0),0))"),"")</f>
        <v/>
      </c>
      <c r="M667" s="148" t="str">
        <f t="shared" si="1"/>
        <v/>
      </c>
      <c r="N667" s="147" t="str">
        <f t="shared" si="2"/>
        <v/>
      </c>
      <c r="O667" s="147" t="str">
        <f t="shared" si="21"/>
        <v/>
      </c>
      <c r="P667" s="147" t="str">
        <f>IFERROR(__xludf.DUMMYFUNCTION("if(C667="""","""",iferror(if(row()&lt;&gt;2,INDEX(arrayformula(filter($Q$2:$Q666,$C$2:$C666&lt;&gt;"""",row($C$2:$C666)=max(if($C$2:$C666=C667,row($C$2:$C666),0)))) ,1),0),0))"),"")</f>
        <v/>
      </c>
      <c r="Q667" s="147" t="str">
        <f t="shared" si="22"/>
        <v/>
      </c>
      <c r="R667" s="147" t="str">
        <f t="shared" si="23"/>
        <v/>
      </c>
      <c r="S667" s="147" t="str">
        <f t="shared" si="24"/>
        <v/>
      </c>
      <c r="T667" s="147" t="str">
        <f t="shared" si="7"/>
        <v/>
      </c>
      <c r="U667" s="150" t="str">
        <f t="shared" si="8"/>
        <v/>
      </c>
      <c r="V667" s="151" t="str">
        <f>IFERROR(VLOOKUP(C667,Ativos!$A$1:$G2000,5,),)</f>
        <v/>
      </c>
    </row>
    <row r="668" ht="21.0" customHeight="1">
      <c r="A668" s="152"/>
      <c r="B668" s="160"/>
      <c r="C668" s="153"/>
      <c r="D668" s="154"/>
      <c r="E668" s="139"/>
      <c r="F668" s="139"/>
      <c r="G668" s="139"/>
      <c r="H668" s="135"/>
      <c r="I668" s="141"/>
      <c r="J668" s="147" t="str">
        <f>IFERROR(__xludf.DUMMYFUNCTION("IF(ISBLANK(A668),IFERROR(1/0),IF(COUNT(FILTER(F:F,A:A=A668))&gt;1,TRUNC(N668*F668/SUM(FILTER(N:N,A:A=A668)),3),F668))"),"")</f>
        <v/>
      </c>
      <c r="K668" s="147" t="str">
        <f>IFERROR(__xludf.DUMMYFUNCTION("IF(ISBLANK(A668),IFERROR(1/0),IF(COUNT(FILTER(G:G,((A:A=A668)*(B:B=""V""))))&gt;1,TRUNC(N668*G668/SUM(FILTER(N:N,((A:A=A668)*(B:B=""V"")))),3),G668))"),"")</f>
        <v/>
      </c>
      <c r="L668" s="148" t="str">
        <f>IFERROR(__xludf.DUMMYFUNCTION("if($C668="""","""",iferror(if(row()&lt;&gt;2,INDEX(arrayformula(filter($M$2:$M667,$C$2:$C667&lt;&gt;"""",row($C$2:$C667)=max(if($C$2:$C667=C668,row($C$2:$C667),0)))) ,1),0),0))"),"")</f>
        <v/>
      </c>
      <c r="M668" s="148" t="str">
        <f t="shared" si="1"/>
        <v/>
      </c>
      <c r="N668" s="147" t="str">
        <f t="shared" si="2"/>
        <v/>
      </c>
      <c r="O668" s="147" t="str">
        <f t="shared" si="21"/>
        <v/>
      </c>
      <c r="P668" s="147" t="str">
        <f>IFERROR(__xludf.DUMMYFUNCTION("if(C668="""","""",iferror(if(row()&lt;&gt;2,INDEX(arrayformula(filter($Q$2:$Q667,$C$2:$C667&lt;&gt;"""",row($C$2:$C667)=max(if($C$2:$C667=C668,row($C$2:$C667),0)))) ,1),0),0))"),"")</f>
        <v/>
      </c>
      <c r="Q668" s="147" t="str">
        <f t="shared" si="22"/>
        <v/>
      </c>
      <c r="R668" s="147" t="str">
        <f t="shared" si="23"/>
        <v/>
      </c>
      <c r="S668" s="147" t="str">
        <f t="shared" si="24"/>
        <v/>
      </c>
      <c r="T668" s="147" t="str">
        <f t="shared" si="7"/>
        <v/>
      </c>
      <c r="U668" s="150" t="str">
        <f t="shared" si="8"/>
        <v/>
      </c>
      <c r="V668" s="151" t="str">
        <f>IFERROR(VLOOKUP(C668,Ativos!$A$1:$G2000,5,),)</f>
        <v/>
      </c>
    </row>
    <row r="669" ht="21.0" customHeight="1">
      <c r="A669" s="152"/>
      <c r="B669" s="160"/>
      <c r="C669" s="153"/>
      <c r="D669" s="154"/>
      <c r="E669" s="139"/>
      <c r="F669" s="139"/>
      <c r="G669" s="139"/>
      <c r="H669" s="135"/>
      <c r="I669" s="141"/>
      <c r="J669" s="147" t="str">
        <f>IFERROR(__xludf.DUMMYFUNCTION("IF(ISBLANK(A669),IFERROR(1/0),IF(COUNT(FILTER(F:F,A:A=A669))&gt;1,TRUNC(N669*F669/SUM(FILTER(N:N,A:A=A669)),3),F669))"),"")</f>
        <v/>
      </c>
      <c r="K669" s="147" t="str">
        <f>IFERROR(__xludf.DUMMYFUNCTION("IF(ISBLANK(A669),IFERROR(1/0),IF(COUNT(FILTER(G:G,((A:A=A669)*(B:B=""V""))))&gt;1,TRUNC(N669*G669/SUM(FILTER(N:N,((A:A=A669)*(B:B=""V"")))),3),G669))"),"")</f>
        <v/>
      </c>
      <c r="L669" s="148" t="str">
        <f>IFERROR(__xludf.DUMMYFUNCTION("if($C669="""","""",iferror(if(row()&lt;&gt;2,INDEX(arrayformula(filter($M$2:$M668,$C$2:$C668&lt;&gt;"""",row($C$2:$C668)=max(if($C$2:$C668=C669,row($C$2:$C668),0)))) ,1),0),0))"),"")</f>
        <v/>
      </c>
      <c r="M669" s="148" t="str">
        <f t="shared" si="1"/>
        <v/>
      </c>
      <c r="N669" s="147" t="str">
        <f t="shared" si="2"/>
        <v/>
      </c>
      <c r="O669" s="147" t="str">
        <f t="shared" si="21"/>
        <v/>
      </c>
      <c r="P669" s="147" t="str">
        <f>IFERROR(__xludf.DUMMYFUNCTION("if(C669="""","""",iferror(if(row()&lt;&gt;2,INDEX(arrayformula(filter($Q$2:$Q668,$C$2:$C668&lt;&gt;"""",row($C$2:$C668)=max(if($C$2:$C668=C669,row($C$2:$C668),0)))) ,1),0),0))"),"")</f>
        <v/>
      </c>
      <c r="Q669" s="147" t="str">
        <f t="shared" si="22"/>
        <v/>
      </c>
      <c r="R669" s="147" t="str">
        <f t="shared" si="23"/>
        <v/>
      </c>
      <c r="S669" s="147" t="str">
        <f t="shared" si="24"/>
        <v/>
      </c>
      <c r="T669" s="147" t="str">
        <f t="shared" si="7"/>
        <v/>
      </c>
      <c r="U669" s="150" t="str">
        <f t="shared" si="8"/>
        <v/>
      </c>
      <c r="V669" s="151" t="str">
        <f>IFERROR(VLOOKUP(C669,Ativos!$A$1:$G2000,5,),)</f>
        <v/>
      </c>
    </row>
    <row r="670" ht="21.0" customHeight="1">
      <c r="A670" s="152"/>
      <c r="B670" s="160"/>
      <c r="C670" s="153"/>
      <c r="D670" s="154"/>
      <c r="E670" s="139"/>
      <c r="F670" s="139"/>
      <c r="G670" s="139"/>
      <c r="H670" s="135"/>
      <c r="I670" s="141"/>
      <c r="J670" s="147" t="str">
        <f>IFERROR(__xludf.DUMMYFUNCTION("IF(ISBLANK(A670),IFERROR(1/0),IF(COUNT(FILTER(F:F,A:A=A670))&gt;1,TRUNC(N670*F670/SUM(FILTER(N:N,A:A=A670)),3),F670))"),"")</f>
        <v/>
      </c>
      <c r="K670" s="147" t="str">
        <f>IFERROR(__xludf.DUMMYFUNCTION("IF(ISBLANK(A670),IFERROR(1/0),IF(COUNT(FILTER(G:G,((A:A=A670)*(B:B=""V""))))&gt;1,TRUNC(N670*G670/SUM(FILTER(N:N,((A:A=A670)*(B:B=""V"")))),3),G670))"),"")</f>
        <v/>
      </c>
      <c r="L670" s="148" t="str">
        <f>IFERROR(__xludf.DUMMYFUNCTION("if($C670="""","""",iferror(if(row()&lt;&gt;2,INDEX(arrayformula(filter($M$2:$M669,$C$2:$C669&lt;&gt;"""",row($C$2:$C669)=max(if($C$2:$C669=C670,row($C$2:$C669),0)))) ,1),0),0))"),"")</f>
        <v/>
      </c>
      <c r="M670" s="148" t="str">
        <f t="shared" si="1"/>
        <v/>
      </c>
      <c r="N670" s="147" t="str">
        <f t="shared" si="2"/>
        <v/>
      </c>
      <c r="O670" s="147" t="str">
        <f t="shared" si="21"/>
        <v/>
      </c>
      <c r="P670" s="147" t="str">
        <f>IFERROR(__xludf.DUMMYFUNCTION("if(C670="""","""",iferror(if(row()&lt;&gt;2,INDEX(arrayformula(filter($Q$2:$Q669,$C$2:$C669&lt;&gt;"""",row($C$2:$C669)=max(if($C$2:$C669=C670,row($C$2:$C669),0)))) ,1),0),0))"),"")</f>
        <v/>
      </c>
      <c r="Q670" s="147" t="str">
        <f t="shared" si="22"/>
        <v/>
      </c>
      <c r="R670" s="147" t="str">
        <f t="shared" si="23"/>
        <v/>
      </c>
      <c r="S670" s="147" t="str">
        <f t="shared" si="24"/>
        <v/>
      </c>
      <c r="T670" s="147" t="str">
        <f t="shared" si="7"/>
        <v/>
      </c>
      <c r="U670" s="150" t="str">
        <f t="shared" si="8"/>
        <v/>
      </c>
      <c r="V670" s="151" t="str">
        <f>IFERROR(VLOOKUP(C670,Ativos!$A$1:$G2000,5,),)</f>
        <v/>
      </c>
    </row>
    <row r="671" ht="21.0" customHeight="1">
      <c r="A671" s="152"/>
      <c r="B671" s="160"/>
      <c r="C671" s="153"/>
      <c r="D671" s="154"/>
      <c r="E671" s="139"/>
      <c r="F671" s="139"/>
      <c r="G671" s="139"/>
      <c r="H671" s="135"/>
      <c r="I671" s="141"/>
      <c r="J671" s="147" t="str">
        <f>IFERROR(__xludf.DUMMYFUNCTION("IF(ISBLANK(A671),IFERROR(1/0),IF(COUNT(FILTER(F:F,A:A=A671))&gt;1,TRUNC(N671*F671/SUM(FILTER(N:N,A:A=A671)),3),F671))"),"")</f>
        <v/>
      </c>
      <c r="K671" s="147" t="str">
        <f>IFERROR(__xludf.DUMMYFUNCTION("IF(ISBLANK(A671),IFERROR(1/0),IF(COUNT(FILTER(G:G,((A:A=A671)*(B:B=""V""))))&gt;1,TRUNC(N671*G671/SUM(FILTER(N:N,((A:A=A671)*(B:B=""V"")))),3),G671))"),"")</f>
        <v/>
      </c>
      <c r="L671" s="148" t="str">
        <f>IFERROR(__xludf.DUMMYFUNCTION("if($C671="""","""",iferror(if(row()&lt;&gt;2,INDEX(arrayformula(filter($M$2:$M670,$C$2:$C670&lt;&gt;"""",row($C$2:$C670)=max(if($C$2:$C670=C671,row($C$2:$C670),0)))) ,1),0),0))"),"")</f>
        <v/>
      </c>
      <c r="M671" s="148" t="str">
        <f t="shared" si="1"/>
        <v/>
      </c>
      <c r="N671" s="147" t="str">
        <f t="shared" si="2"/>
        <v/>
      </c>
      <c r="O671" s="147" t="str">
        <f t="shared" si="21"/>
        <v/>
      </c>
      <c r="P671" s="147" t="str">
        <f>IFERROR(__xludf.DUMMYFUNCTION("if(C671="""","""",iferror(if(row()&lt;&gt;2,INDEX(arrayformula(filter($Q$2:$Q670,$C$2:$C670&lt;&gt;"""",row($C$2:$C670)=max(if($C$2:$C670=C671,row($C$2:$C670),0)))) ,1),0),0))"),"")</f>
        <v/>
      </c>
      <c r="Q671" s="147" t="str">
        <f t="shared" si="22"/>
        <v/>
      </c>
      <c r="R671" s="147" t="str">
        <f t="shared" si="23"/>
        <v/>
      </c>
      <c r="S671" s="147" t="str">
        <f t="shared" si="24"/>
        <v/>
      </c>
      <c r="T671" s="147" t="str">
        <f t="shared" si="7"/>
        <v/>
      </c>
      <c r="U671" s="150" t="str">
        <f t="shared" si="8"/>
        <v/>
      </c>
      <c r="V671" s="151" t="str">
        <f>IFERROR(VLOOKUP(C671,Ativos!$A$1:$G2000,5,),)</f>
        <v/>
      </c>
    </row>
    <row r="672" ht="21.0" customHeight="1">
      <c r="A672" s="152"/>
      <c r="B672" s="160"/>
      <c r="C672" s="153"/>
      <c r="D672" s="154"/>
      <c r="E672" s="139"/>
      <c r="F672" s="139"/>
      <c r="G672" s="139"/>
      <c r="H672" s="135"/>
      <c r="I672" s="141"/>
      <c r="J672" s="147" t="str">
        <f>IFERROR(__xludf.DUMMYFUNCTION("IF(ISBLANK(A672),IFERROR(1/0),IF(COUNT(FILTER(F:F,A:A=A672))&gt;1,TRUNC(N672*F672/SUM(FILTER(N:N,A:A=A672)),3),F672))"),"")</f>
        <v/>
      </c>
      <c r="K672" s="147" t="str">
        <f>IFERROR(__xludf.DUMMYFUNCTION("IF(ISBLANK(A672),IFERROR(1/0),IF(COUNT(FILTER(G:G,((A:A=A672)*(B:B=""V""))))&gt;1,TRUNC(N672*G672/SUM(FILTER(N:N,((A:A=A672)*(B:B=""V"")))),3),G672))"),"")</f>
        <v/>
      </c>
      <c r="L672" s="148" t="str">
        <f>IFERROR(__xludf.DUMMYFUNCTION("if($C672="""","""",iferror(if(row()&lt;&gt;2,INDEX(arrayformula(filter($M$2:$M671,$C$2:$C671&lt;&gt;"""",row($C$2:$C671)=max(if($C$2:$C671=C672,row($C$2:$C671),0)))) ,1),0),0))"),"")</f>
        <v/>
      </c>
      <c r="M672" s="148" t="str">
        <f t="shared" si="1"/>
        <v/>
      </c>
      <c r="N672" s="147" t="str">
        <f t="shared" si="2"/>
        <v/>
      </c>
      <c r="O672" s="147" t="str">
        <f t="shared" si="21"/>
        <v/>
      </c>
      <c r="P672" s="147" t="str">
        <f>IFERROR(__xludf.DUMMYFUNCTION("if(C672="""","""",iferror(if(row()&lt;&gt;2,INDEX(arrayformula(filter($Q$2:$Q671,$C$2:$C671&lt;&gt;"""",row($C$2:$C671)=max(if($C$2:$C671=C672,row($C$2:$C671),0)))) ,1),0),0))"),"")</f>
        <v/>
      </c>
      <c r="Q672" s="147" t="str">
        <f t="shared" si="22"/>
        <v/>
      </c>
      <c r="R672" s="147" t="str">
        <f t="shared" si="23"/>
        <v/>
      </c>
      <c r="S672" s="147" t="str">
        <f t="shared" si="24"/>
        <v/>
      </c>
      <c r="T672" s="147" t="str">
        <f t="shared" si="7"/>
        <v/>
      </c>
      <c r="U672" s="150" t="str">
        <f t="shared" si="8"/>
        <v/>
      </c>
      <c r="V672" s="151" t="str">
        <f>IFERROR(VLOOKUP(C672,Ativos!$A$1:$G2000,5,),)</f>
        <v/>
      </c>
    </row>
    <row r="673" ht="21.0" customHeight="1">
      <c r="A673" s="152"/>
      <c r="B673" s="160"/>
      <c r="C673" s="153"/>
      <c r="D673" s="154"/>
      <c r="E673" s="139"/>
      <c r="F673" s="139"/>
      <c r="G673" s="139"/>
      <c r="H673" s="135"/>
      <c r="I673" s="141"/>
      <c r="J673" s="147" t="str">
        <f>IFERROR(__xludf.DUMMYFUNCTION("IF(ISBLANK(A673),IFERROR(1/0),IF(COUNT(FILTER(F:F,A:A=A673))&gt;1,TRUNC(N673*F673/SUM(FILTER(N:N,A:A=A673)),3),F673))"),"")</f>
        <v/>
      </c>
      <c r="K673" s="147" t="str">
        <f>IFERROR(__xludf.DUMMYFUNCTION("IF(ISBLANK(A673),IFERROR(1/0),IF(COUNT(FILTER(G:G,((A:A=A673)*(B:B=""V""))))&gt;1,TRUNC(N673*G673/SUM(FILTER(N:N,((A:A=A673)*(B:B=""V"")))),3),G673))"),"")</f>
        <v/>
      </c>
      <c r="L673" s="148" t="str">
        <f>IFERROR(__xludf.DUMMYFUNCTION("if($C673="""","""",iferror(if(row()&lt;&gt;2,INDEX(arrayformula(filter($M$2:$M672,$C$2:$C672&lt;&gt;"""",row($C$2:$C672)=max(if($C$2:$C672=C673,row($C$2:$C672),0)))) ,1),0),0))"),"")</f>
        <v/>
      </c>
      <c r="M673" s="148" t="str">
        <f t="shared" si="1"/>
        <v/>
      </c>
      <c r="N673" s="147" t="str">
        <f t="shared" si="2"/>
        <v/>
      </c>
      <c r="O673" s="147" t="str">
        <f t="shared" si="21"/>
        <v/>
      </c>
      <c r="P673" s="147" t="str">
        <f>IFERROR(__xludf.DUMMYFUNCTION("if(C673="""","""",iferror(if(row()&lt;&gt;2,INDEX(arrayformula(filter($Q$2:$Q672,$C$2:$C672&lt;&gt;"""",row($C$2:$C672)=max(if($C$2:$C672=C673,row($C$2:$C672),0)))) ,1),0),0))"),"")</f>
        <v/>
      </c>
      <c r="Q673" s="147" t="str">
        <f t="shared" si="22"/>
        <v/>
      </c>
      <c r="R673" s="147" t="str">
        <f t="shared" si="23"/>
        <v/>
      </c>
      <c r="S673" s="147" t="str">
        <f t="shared" si="24"/>
        <v/>
      </c>
      <c r="T673" s="147" t="str">
        <f t="shared" si="7"/>
        <v/>
      </c>
      <c r="U673" s="150" t="str">
        <f t="shared" si="8"/>
        <v/>
      </c>
      <c r="V673" s="151" t="str">
        <f>IFERROR(VLOOKUP(C673,Ativos!$A$1:$G2000,5,),)</f>
        <v/>
      </c>
    </row>
    <row r="674" ht="21.0" customHeight="1">
      <c r="A674" s="152"/>
      <c r="B674" s="160"/>
      <c r="C674" s="153"/>
      <c r="D674" s="154"/>
      <c r="E674" s="139"/>
      <c r="F674" s="139"/>
      <c r="G674" s="139"/>
      <c r="H674" s="135"/>
      <c r="I674" s="141"/>
      <c r="J674" s="147" t="str">
        <f>IFERROR(__xludf.DUMMYFUNCTION("IF(ISBLANK(A674),IFERROR(1/0),IF(COUNT(FILTER(F:F,A:A=A674))&gt;1,TRUNC(N674*F674/SUM(FILTER(N:N,A:A=A674)),3),F674))"),"")</f>
        <v/>
      </c>
      <c r="K674" s="147" t="str">
        <f>IFERROR(__xludf.DUMMYFUNCTION("IF(ISBLANK(A674),IFERROR(1/0),IF(COUNT(FILTER(G:G,((A:A=A674)*(B:B=""V""))))&gt;1,TRUNC(N674*G674/SUM(FILTER(N:N,((A:A=A674)*(B:B=""V"")))),3),G674))"),"")</f>
        <v/>
      </c>
      <c r="L674" s="148" t="str">
        <f>IFERROR(__xludf.DUMMYFUNCTION("if($C674="""","""",iferror(if(row()&lt;&gt;2,INDEX(arrayformula(filter($M$2:$M673,$C$2:$C673&lt;&gt;"""",row($C$2:$C673)=max(if($C$2:$C673=C674,row($C$2:$C673),0)))) ,1),0),0))"),"")</f>
        <v/>
      </c>
      <c r="M674" s="148" t="str">
        <f t="shared" si="1"/>
        <v/>
      </c>
      <c r="N674" s="147" t="str">
        <f t="shared" si="2"/>
        <v/>
      </c>
      <c r="O674" s="147" t="str">
        <f t="shared" si="21"/>
        <v/>
      </c>
      <c r="P674" s="147" t="str">
        <f>IFERROR(__xludf.DUMMYFUNCTION("if(C674="""","""",iferror(if(row()&lt;&gt;2,INDEX(arrayformula(filter($Q$2:$Q673,$C$2:$C673&lt;&gt;"""",row($C$2:$C673)=max(if($C$2:$C673=C674,row($C$2:$C673),0)))) ,1),0),0))"),"")</f>
        <v/>
      </c>
      <c r="Q674" s="147" t="str">
        <f t="shared" si="22"/>
        <v/>
      </c>
      <c r="R674" s="147" t="str">
        <f t="shared" si="23"/>
        <v/>
      </c>
      <c r="S674" s="147" t="str">
        <f t="shared" si="24"/>
        <v/>
      </c>
      <c r="T674" s="147" t="str">
        <f t="shared" si="7"/>
        <v/>
      </c>
      <c r="U674" s="150" t="str">
        <f t="shared" si="8"/>
        <v/>
      </c>
      <c r="V674" s="151" t="str">
        <f>IFERROR(VLOOKUP(C674,Ativos!$A$1:$G2000,5,),)</f>
        <v/>
      </c>
    </row>
    <row r="675" ht="21.0" customHeight="1">
      <c r="A675" s="152"/>
      <c r="B675" s="160"/>
      <c r="C675" s="153"/>
      <c r="D675" s="154"/>
      <c r="E675" s="139"/>
      <c r="F675" s="139"/>
      <c r="G675" s="139"/>
      <c r="H675" s="135"/>
      <c r="I675" s="141"/>
      <c r="J675" s="147" t="str">
        <f>IFERROR(__xludf.DUMMYFUNCTION("IF(ISBLANK(A675),IFERROR(1/0),IF(COUNT(FILTER(F:F,A:A=A675))&gt;1,TRUNC(N675*F675/SUM(FILTER(N:N,A:A=A675)),3),F675))"),"")</f>
        <v/>
      </c>
      <c r="K675" s="147" t="str">
        <f>IFERROR(__xludf.DUMMYFUNCTION("IF(ISBLANK(A675),IFERROR(1/0),IF(COUNT(FILTER(G:G,((A:A=A675)*(B:B=""V""))))&gt;1,TRUNC(N675*G675/SUM(FILTER(N:N,((A:A=A675)*(B:B=""V"")))),3),G675))"),"")</f>
        <v/>
      </c>
      <c r="L675" s="148" t="str">
        <f>IFERROR(__xludf.DUMMYFUNCTION("if($C675="""","""",iferror(if(row()&lt;&gt;2,INDEX(arrayformula(filter($M$2:$M674,$C$2:$C674&lt;&gt;"""",row($C$2:$C674)=max(if($C$2:$C674=C675,row($C$2:$C674),0)))) ,1),0),0))"),"")</f>
        <v/>
      </c>
      <c r="M675" s="148" t="str">
        <f t="shared" si="1"/>
        <v/>
      </c>
      <c r="N675" s="147" t="str">
        <f t="shared" si="2"/>
        <v/>
      </c>
      <c r="O675" s="147" t="str">
        <f t="shared" si="21"/>
        <v/>
      </c>
      <c r="P675" s="147" t="str">
        <f>IFERROR(__xludf.DUMMYFUNCTION("if(C675="""","""",iferror(if(row()&lt;&gt;2,INDEX(arrayformula(filter($Q$2:$Q674,$C$2:$C674&lt;&gt;"""",row($C$2:$C674)=max(if($C$2:$C674=C675,row($C$2:$C674),0)))) ,1),0),0))"),"")</f>
        <v/>
      </c>
      <c r="Q675" s="147" t="str">
        <f t="shared" si="22"/>
        <v/>
      </c>
      <c r="R675" s="147" t="str">
        <f t="shared" si="23"/>
        <v/>
      </c>
      <c r="S675" s="147" t="str">
        <f t="shared" si="24"/>
        <v/>
      </c>
      <c r="T675" s="147" t="str">
        <f t="shared" si="7"/>
        <v/>
      </c>
      <c r="U675" s="150" t="str">
        <f t="shared" si="8"/>
        <v/>
      </c>
      <c r="V675" s="151" t="str">
        <f>IFERROR(VLOOKUP(C675,Ativos!$A$1:$G2000,5,),)</f>
        <v/>
      </c>
    </row>
    <row r="676" ht="21.0" customHeight="1">
      <c r="A676" s="152"/>
      <c r="B676" s="160"/>
      <c r="C676" s="153"/>
      <c r="D676" s="154"/>
      <c r="E676" s="139"/>
      <c r="F676" s="139"/>
      <c r="G676" s="139"/>
      <c r="H676" s="135"/>
      <c r="I676" s="141"/>
      <c r="J676" s="147" t="str">
        <f>IFERROR(__xludf.DUMMYFUNCTION("IF(ISBLANK(A676),IFERROR(1/0),IF(COUNT(FILTER(F:F,A:A=A676))&gt;1,TRUNC(N676*F676/SUM(FILTER(N:N,A:A=A676)),3),F676))"),"")</f>
        <v/>
      </c>
      <c r="K676" s="147" t="str">
        <f>IFERROR(__xludf.DUMMYFUNCTION("IF(ISBLANK(A676),IFERROR(1/0),IF(COUNT(FILTER(G:G,((A:A=A676)*(B:B=""V""))))&gt;1,TRUNC(N676*G676/SUM(FILTER(N:N,((A:A=A676)*(B:B=""V"")))),3),G676))"),"")</f>
        <v/>
      </c>
      <c r="L676" s="148" t="str">
        <f>IFERROR(__xludf.DUMMYFUNCTION("if($C676="""","""",iferror(if(row()&lt;&gt;2,INDEX(arrayformula(filter($M$2:$M675,$C$2:$C675&lt;&gt;"""",row($C$2:$C675)=max(if($C$2:$C675=C676,row($C$2:$C675),0)))) ,1),0),0))"),"")</f>
        <v/>
      </c>
      <c r="M676" s="148" t="str">
        <f t="shared" si="1"/>
        <v/>
      </c>
      <c r="N676" s="147" t="str">
        <f t="shared" si="2"/>
        <v/>
      </c>
      <c r="O676" s="147" t="str">
        <f t="shared" si="21"/>
        <v/>
      </c>
      <c r="P676" s="147" t="str">
        <f>IFERROR(__xludf.DUMMYFUNCTION("if(C676="""","""",iferror(if(row()&lt;&gt;2,INDEX(arrayformula(filter($Q$2:$Q675,$C$2:$C675&lt;&gt;"""",row($C$2:$C675)=max(if($C$2:$C675=C676,row($C$2:$C675),0)))) ,1),0),0))"),"")</f>
        <v/>
      </c>
      <c r="Q676" s="147" t="str">
        <f t="shared" si="22"/>
        <v/>
      </c>
      <c r="R676" s="147" t="str">
        <f t="shared" si="23"/>
        <v/>
      </c>
      <c r="S676" s="147" t="str">
        <f t="shared" si="24"/>
        <v/>
      </c>
      <c r="T676" s="147" t="str">
        <f t="shared" si="7"/>
        <v/>
      </c>
      <c r="U676" s="150" t="str">
        <f t="shared" si="8"/>
        <v/>
      </c>
      <c r="V676" s="151" t="str">
        <f>IFERROR(VLOOKUP(C676,Ativos!$A$1:$G2000,5,),)</f>
        <v/>
      </c>
    </row>
    <row r="677" ht="21.0" customHeight="1">
      <c r="A677" s="152"/>
      <c r="B677" s="160"/>
      <c r="C677" s="153"/>
      <c r="D677" s="154"/>
      <c r="E677" s="139"/>
      <c r="F677" s="139"/>
      <c r="G677" s="139"/>
      <c r="H677" s="135"/>
      <c r="I677" s="141"/>
      <c r="J677" s="147" t="str">
        <f>IFERROR(__xludf.DUMMYFUNCTION("IF(ISBLANK(A677),IFERROR(1/0),IF(COUNT(FILTER(F:F,A:A=A677))&gt;1,TRUNC(N677*F677/SUM(FILTER(N:N,A:A=A677)),3),F677))"),"")</f>
        <v/>
      </c>
      <c r="K677" s="147" t="str">
        <f>IFERROR(__xludf.DUMMYFUNCTION("IF(ISBLANK(A677),IFERROR(1/0),IF(COUNT(FILTER(G:G,((A:A=A677)*(B:B=""V""))))&gt;1,TRUNC(N677*G677/SUM(FILTER(N:N,((A:A=A677)*(B:B=""V"")))),3),G677))"),"")</f>
        <v/>
      </c>
      <c r="L677" s="148" t="str">
        <f>IFERROR(__xludf.DUMMYFUNCTION("if($C677="""","""",iferror(if(row()&lt;&gt;2,INDEX(arrayformula(filter($M$2:$M676,$C$2:$C676&lt;&gt;"""",row($C$2:$C676)=max(if($C$2:$C676=C677,row($C$2:$C676),0)))) ,1),0),0))"),"")</f>
        <v/>
      </c>
      <c r="M677" s="148" t="str">
        <f t="shared" si="1"/>
        <v/>
      </c>
      <c r="N677" s="147" t="str">
        <f t="shared" si="2"/>
        <v/>
      </c>
      <c r="O677" s="147" t="str">
        <f t="shared" si="21"/>
        <v/>
      </c>
      <c r="P677" s="147" t="str">
        <f>IFERROR(__xludf.DUMMYFUNCTION("if(C677="""","""",iferror(if(row()&lt;&gt;2,INDEX(arrayformula(filter($Q$2:$Q676,$C$2:$C676&lt;&gt;"""",row($C$2:$C676)=max(if($C$2:$C676=C677,row($C$2:$C676),0)))) ,1),0),0))"),"")</f>
        <v/>
      </c>
      <c r="Q677" s="147" t="str">
        <f t="shared" si="22"/>
        <v/>
      </c>
      <c r="R677" s="147" t="str">
        <f t="shared" si="23"/>
        <v/>
      </c>
      <c r="S677" s="147" t="str">
        <f t="shared" si="24"/>
        <v/>
      </c>
      <c r="T677" s="147" t="str">
        <f t="shared" si="7"/>
        <v/>
      </c>
      <c r="U677" s="150" t="str">
        <f t="shared" si="8"/>
        <v/>
      </c>
      <c r="V677" s="151" t="str">
        <f>IFERROR(VLOOKUP(C677,Ativos!$A$1:$G2000,5,),)</f>
        <v/>
      </c>
    </row>
    <row r="678" ht="21.0" customHeight="1">
      <c r="A678" s="152"/>
      <c r="B678" s="160"/>
      <c r="C678" s="153"/>
      <c r="D678" s="154"/>
      <c r="E678" s="139"/>
      <c r="F678" s="139"/>
      <c r="G678" s="139"/>
      <c r="H678" s="135"/>
      <c r="I678" s="141"/>
      <c r="J678" s="147" t="str">
        <f>IFERROR(__xludf.DUMMYFUNCTION("IF(ISBLANK(A678),IFERROR(1/0),IF(COUNT(FILTER(F:F,A:A=A678))&gt;1,TRUNC(N678*F678/SUM(FILTER(N:N,A:A=A678)),3),F678))"),"")</f>
        <v/>
      </c>
      <c r="K678" s="147" t="str">
        <f>IFERROR(__xludf.DUMMYFUNCTION("IF(ISBLANK(A678),IFERROR(1/0),IF(COUNT(FILTER(G:G,((A:A=A678)*(B:B=""V""))))&gt;1,TRUNC(N678*G678/SUM(FILTER(N:N,((A:A=A678)*(B:B=""V"")))),3),G678))"),"")</f>
        <v/>
      </c>
      <c r="L678" s="148" t="str">
        <f>IFERROR(__xludf.DUMMYFUNCTION("if($C678="""","""",iferror(if(row()&lt;&gt;2,INDEX(arrayformula(filter($M$2:$M677,$C$2:$C677&lt;&gt;"""",row($C$2:$C677)=max(if($C$2:$C677=C678,row($C$2:$C677),0)))) ,1),0),0))"),"")</f>
        <v/>
      </c>
      <c r="M678" s="148" t="str">
        <f t="shared" si="1"/>
        <v/>
      </c>
      <c r="N678" s="147" t="str">
        <f t="shared" si="2"/>
        <v/>
      </c>
      <c r="O678" s="147" t="str">
        <f t="shared" si="21"/>
        <v/>
      </c>
      <c r="P678" s="147" t="str">
        <f>IFERROR(__xludf.DUMMYFUNCTION("if(C678="""","""",iferror(if(row()&lt;&gt;2,INDEX(arrayformula(filter($Q$2:$Q677,$C$2:$C677&lt;&gt;"""",row($C$2:$C677)=max(if($C$2:$C677=C678,row($C$2:$C677),0)))) ,1),0),0))"),"")</f>
        <v/>
      </c>
      <c r="Q678" s="147" t="str">
        <f t="shared" si="22"/>
        <v/>
      </c>
      <c r="R678" s="147" t="str">
        <f t="shared" si="23"/>
        <v/>
      </c>
      <c r="S678" s="147" t="str">
        <f t="shared" si="24"/>
        <v/>
      </c>
      <c r="T678" s="147" t="str">
        <f t="shared" si="7"/>
        <v/>
      </c>
      <c r="U678" s="150" t="str">
        <f t="shared" si="8"/>
        <v/>
      </c>
      <c r="V678" s="151" t="str">
        <f>IFERROR(VLOOKUP(C678,Ativos!$A$1:$G2000,5,),)</f>
        <v/>
      </c>
    </row>
    <row r="679" ht="21.0" customHeight="1">
      <c r="A679" s="152"/>
      <c r="B679" s="160"/>
      <c r="C679" s="153"/>
      <c r="D679" s="154"/>
      <c r="E679" s="139"/>
      <c r="F679" s="139"/>
      <c r="G679" s="139"/>
      <c r="H679" s="135"/>
      <c r="I679" s="141"/>
      <c r="J679" s="147" t="str">
        <f>IFERROR(__xludf.DUMMYFUNCTION("IF(ISBLANK(A679),IFERROR(1/0),IF(COUNT(FILTER(F:F,A:A=A679))&gt;1,TRUNC(N679*F679/SUM(FILTER(N:N,A:A=A679)),3),F679))"),"")</f>
        <v/>
      </c>
      <c r="K679" s="147" t="str">
        <f>IFERROR(__xludf.DUMMYFUNCTION("IF(ISBLANK(A679),IFERROR(1/0),IF(COUNT(FILTER(G:G,((A:A=A679)*(B:B=""V""))))&gt;1,TRUNC(N679*G679/SUM(FILTER(N:N,((A:A=A679)*(B:B=""V"")))),3),G679))"),"")</f>
        <v/>
      </c>
      <c r="L679" s="148" t="str">
        <f>IFERROR(__xludf.DUMMYFUNCTION("if($C679="""","""",iferror(if(row()&lt;&gt;2,INDEX(arrayformula(filter($M$2:$M678,$C$2:$C678&lt;&gt;"""",row($C$2:$C678)=max(if($C$2:$C678=C679,row($C$2:$C678),0)))) ,1),0),0))"),"")</f>
        <v/>
      </c>
      <c r="M679" s="148" t="str">
        <f t="shared" si="1"/>
        <v/>
      </c>
      <c r="N679" s="147" t="str">
        <f t="shared" si="2"/>
        <v/>
      </c>
      <c r="O679" s="147" t="str">
        <f t="shared" si="21"/>
        <v/>
      </c>
      <c r="P679" s="147" t="str">
        <f>IFERROR(__xludf.DUMMYFUNCTION("if(C679="""","""",iferror(if(row()&lt;&gt;2,INDEX(arrayformula(filter($Q$2:$Q678,$C$2:$C678&lt;&gt;"""",row($C$2:$C678)=max(if($C$2:$C678=C679,row($C$2:$C678),0)))) ,1),0),0))"),"")</f>
        <v/>
      </c>
      <c r="Q679" s="147" t="str">
        <f t="shared" si="22"/>
        <v/>
      </c>
      <c r="R679" s="147" t="str">
        <f t="shared" si="23"/>
        <v/>
      </c>
      <c r="S679" s="147" t="str">
        <f t="shared" si="24"/>
        <v/>
      </c>
      <c r="T679" s="147" t="str">
        <f t="shared" si="7"/>
        <v/>
      </c>
      <c r="U679" s="150" t="str">
        <f t="shared" si="8"/>
        <v/>
      </c>
      <c r="V679" s="151" t="str">
        <f>IFERROR(VLOOKUP(C679,Ativos!$A$1:$G2000,5,),)</f>
        <v/>
      </c>
    </row>
    <row r="680" ht="21.0" customHeight="1">
      <c r="A680" s="152"/>
      <c r="B680" s="160"/>
      <c r="C680" s="153"/>
      <c r="D680" s="154"/>
      <c r="E680" s="139"/>
      <c r="F680" s="139"/>
      <c r="G680" s="139"/>
      <c r="H680" s="135"/>
      <c r="I680" s="141"/>
      <c r="J680" s="147" t="str">
        <f>IFERROR(__xludf.DUMMYFUNCTION("IF(ISBLANK(A680),IFERROR(1/0),IF(COUNT(FILTER(F:F,A:A=A680))&gt;1,TRUNC(N680*F680/SUM(FILTER(N:N,A:A=A680)),3),F680))"),"")</f>
        <v/>
      </c>
      <c r="K680" s="147" t="str">
        <f>IFERROR(__xludf.DUMMYFUNCTION("IF(ISBLANK(A680),IFERROR(1/0),IF(COUNT(FILTER(G:G,((A:A=A680)*(B:B=""V""))))&gt;1,TRUNC(N680*G680/SUM(FILTER(N:N,((A:A=A680)*(B:B=""V"")))),3),G680))"),"")</f>
        <v/>
      </c>
      <c r="L680" s="148" t="str">
        <f>IFERROR(__xludf.DUMMYFUNCTION("if($C680="""","""",iferror(if(row()&lt;&gt;2,INDEX(arrayformula(filter($M$2:$M679,$C$2:$C679&lt;&gt;"""",row($C$2:$C679)=max(if($C$2:$C679=C680,row($C$2:$C679),0)))) ,1),0),0))"),"")</f>
        <v/>
      </c>
      <c r="M680" s="148" t="str">
        <f t="shared" si="1"/>
        <v/>
      </c>
      <c r="N680" s="147" t="str">
        <f t="shared" si="2"/>
        <v/>
      </c>
      <c r="O680" s="147" t="str">
        <f t="shared" si="21"/>
        <v/>
      </c>
      <c r="P680" s="147" t="str">
        <f>IFERROR(__xludf.DUMMYFUNCTION("if(C680="""","""",iferror(if(row()&lt;&gt;2,INDEX(arrayformula(filter($Q$2:$Q679,$C$2:$C679&lt;&gt;"""",row($C$2:$C679)=max(if($C$2:$C679=C680,row($C$2:$C679),0)))) ,1),0),0))"),"")</f>
        <v/>
      </c>
      <c r="Q680" s="147" t="str">
        <f t="shared" si="22"/>
        <v/>
      </c>
      <c r="R680" s="147" t="str">
        <f t="shared" si="23"/>
        <v/>
      </c>
      <c r="S680" s="147" t="str">
        <f t="shared" si="24"/>
        <v/>
      </c>
      <c r="T680" s="147" t="str">
        <f t="shared" si="7"/>
        <v/>
      </c>
      <c r="U680" s="150" t="str">
        <f t="shared" si="8"/>
        <v/>
      </c>
      <c r="V680" s="151" t="str">
        <f>IFERROR(VLOOKUP(C680,Ativos!$A$1:$G2000,5,),)</f>
        <v/>
      </c>
    </row>
    <row r="681" ht="21.0" customHeight="1">
      <c r="A681" s="152"/>
      <c r="B681" s="160"/>
      <c r="C681" s="153"/>
      <c r="D681" s="154"/>
      <c r="E681" s="139"/>
      <c r="F681" s="139"/>
      <c r="G681" s="139"/>
      <c r="H681" s="135"/>
      <c r="I681" s="141"/>
      <c r="J681" s="147" t="str">
        <f>IFERROR(__xludf.DUMMYFUNCTION("IF(ISBLANK(A681),IFERROR(1/0),IF(COUNT(FILTER(F:F,A:A=A681))&gt;1,TRUNC(N681*F681/SUM(FILTER(N:N,A:A=A681)),3),F681))"),"")</f>
        <v/>
      </c>
      <c r="K681" s="147" t="str">
        <f>IFERROR(__xludf.DUMMYFUNCTION("IF(ISBLANK(A681),IFERROR(1/0),IF(COUNT(FILTER(G:G,((A:A=A681)*(B:B=""V""))))&gt;1,TRUNC(N681*G681/SUM(FILTER(N:N,((A:A=A681)*(B:B=""V"")))),3),G681))"),"")</f>
        <v/>
      </c>
      <c r="L681" s="148" t="str">
        <f>IFERROR(__xludf.DUMMYFUNCTION("if($C681="""","""",iferror(if(row()&lt;&gt;2,INDEX(arrayformula(filter($M$2:$M680,$C$2:$C680&lt;&gt;"""",row($C$2:$C680)=max(if($C$2:$C680=C681,row($C$2:$C680),0)))) ,1),0),0))"),"")</f>
        <v/>
      </c>
      <c r="M681" s="148" t="str">
        <f t="shared" si="1"/>
        <v/>
      </c>
      <c r="N681" s="147" t="str">
        <f t="shared" si="2"/>
        <v/>
      </c>
      <c r="O681" s="147" t="str">
        <f t="shared" si="21"/>
        <v/>
      </c>
      <c r="P681" s="147" t="str">
        <f>IFERROR(__xludf.DUMMYFUNCTION("if(C681="""","""",iferror(if(row()&lt;&gt;2,INDEX(arrayformula(filter($Q$2:$Q680,$C$2:$C680&lt;&gt;"""",row($C$2:$C680)=max(if($C$2:$C680=C681,row($C$2:$C680),0)))) ,1),0),0))"),"")</f>
        <v/>
      </c>
      <c r="Q681" s="147" t="str">
        <f t="shared" si="22"/>
        <v/>
      </c>
      <c r="R681" s="147" t="str">
        <f t="shared" si="23"/>
        <v/>
      </c>
      <c r="S681" s="147" t="str">
        <f t="shared" si="24"/>
        <v/>
      </c>
      <c r="T681" s="147" t="str">
        <f t="shared" si="7"/>
        <v/>
      </c>
      <c r="U681" s="150" t="str">
        <f t="shared" si="8"/>
        <v/>
      </c>
      <c r="V681" s="151" t="str">
        <f>IFERROR(VLOOKUP(C681,Ativos!$A$1:$G2000,5,),)</f>
        <v/>
      </c>
    </row>
    <row r="682" ht="21.0" customHeight="1">
      <c r="A682" s="152"/>
      <c r="B682" s="160"/>
      <c r="C682" s="153"/>
      <c r="D682" s="154"/>
      <c r="E682" s="139"/>
      <c r="F682" s="139"/>
      <c r="G682" s="139"/>
      <c r="H682" s="135"/>
      <c r="I682" s="141"/>
      <c r="J682" s="147" t="str">
        <f>IFERROR(__xludf.DUMMYFUNCTION("IF(ISBLANK(A682),IFERROR(1/0),IF(COUNT(FILTER(F:F,A:A=A682))&gt;1,TRUNC(N682*F682/SUM(FILTER(N:N,A:A=A682)),3),F682))"),"")</f>
        <v/>
      </c>
      <c r="K682" s="147" t="str">
        <f>IFERROR(__xludf.DUMMYFUNCTION("IF(ISBLANK(A682),IFERROR(1/0),IF(COUNT(FILTER(G:G,((A:A=A682)*(B:B=""V""))))&gt;1,TRUNC(N682*G682/SUM(FILTER(N:N,((A:A=A682)*(B:B=""V"")))),3),G682))"),"")</f>
        <v/>
      </c>
      <c r="L682" s="148" t="str">
        <f>IFERROR(__xludf.DUMMYFUNCTION("if($C682="""","""",iferror(if(row()&lt;&gt;2,INDEX(arrayformula(filter($M$2:$M681,$C$2:$C681&lt;&gt;"""",row($C$2:$C681)=max(if($C$2:$C681=C682,row($C$2:$C681),0)))) ,1),0),0))"),"")</f>
        <v/>
      </c>
      <c r="M682" s="148" t="str">
        <f t="shared" si="1"/>
        <v/>
      </c>
      <c r="N682" s="147" t="str">
        <f t="shared" si="2"/>
        <v/>
      </c>
      <c r="O682" s="147" t="str">
        <f t="shared" si="21"/>
        <v/>
      </c>
      <c r="P682" s="147" t="str">
        <f>IFERROR(__xludf.DUMMYFUNCTION("if(C682="""","""",iferror(if(row()&lt;&gt;2,INDEX(arrayformula(filter($Q$2:$Q681,$C$2:$C681&lt;&gt;"""",row($C$2:$C681)=max(if($C$2:$C681=C682,row($C$2:$C681),0)))) ,1),0),0))"),"")</f>
        <v/>
      </c>
      <c r="Q682" s="147" t="str">
        <f t="shared" si="22"/>
        <v/>
      </c>
      <c r="R682" s="147" t="str">
        <f t="shared" si="23"/>
        <v/>
      </c>
      <c r="S682" s="147" t="str">
        <f t="shared" si="24"/>
        <v/>
      </c>
      <c r="T682" s="147" t="str">
        <f t="shared" si="7"/>
        <v/>
      </c>
      <c r="U682" s="150" t="str">
        <f t="shared" si="8"/>
        <v/>
      </c>
      <c r="V682" s="151" t="str">
        <f>IFERROR(VLOOKUP(C682,Ativos!$A$1:$G2000,5,),)</f>
        <v/>
      </c>
    </row>
    <row r="683" ht="21.0" customHeight="1">
      <c r="A683" s="152"/>
      <c r="B683" s="160"/>
      <c r="C683" s="153"/>
      <c r="D683" s="154"/>
      <c r="E683" s="139"/>
      <c r="F683" s="139"/>
      <c r="G683" s="139"/>
      <c r="H683" s="135"/>
      <c r="I683" s="141"/>
      <c r="J683" s="147" t="str">
        <f>IFERROR(__xludf.DUMMYFUNCTION("IF(ISBLANK(A683),IFERROR(1/0),IF(COUNT(FILTER(F:F,A:A=A683))&gt;1,TRUNC(N683*F683/SUM(FILTER(N:N,A:A=A683)),3),F683))"),"")</f>
        <v/>
      </c>
      <c r="K683" s="147" t="str">
        <f>IFERROR(__xludf.DUMMYFUNCTION("IF(ISBLANK(A683),IFERROR(1/0),IF(COUNT(FILTER(G:G,((A:A=A683)*(B:B=""V""))))&gt;1,TRUNC(N683*G683/SUM(FILTER(N:N,((A:A=A683)*(B:B=""V"")))),3),G683))"),"")</f>
        <v/>
      </c>
      <c r="L683" s="148" t="str">
        <f>IFERROR(__xludf.DUMMYFUNCTION("if($C683="""","""",iferror(if(row()&lt;&gt;2,INDEX(arrayformula(filter($M$2:$M682,$C$2:$C682&lt;&gt;"""",row($C$2:$C682)=max(if($C$2:$C682=C683,row($C$2:$C682),0)))) ,1),0),0))"),"")</f>
        <v/>
      </c>
      <c r="M683" s="148" t="str">
        <f t="shared" si="1"/>
        <v/>
      </c>
      <c r="N683" s="147" t="str">
        <f t="shared" si="2"/>
        <v/>
      </c>
      <c r="O683" s="147" t="str">
        <f t="shared" si="21"/>
        <v/>
      </c>
      <c r="P683" s="147" t="str">
        <f>IFERROR(__xludf.DUMMYFUNCTION("if(C683="""","""",iferror(if(row()&lt;&gt;2,INDEX(arrayformula(filter($Q$2:$Q682,$C$2:$C682&lt;&gt;"""",row($C$2:$C682)=max(if($C$2:$C682=C683,row($C$2:$C682),0)))) ,1),0),0))"),"")</f>
        <v/>
      </c>
      <c r="Q683" s="147" t="str">
        <f t="shared" si="22"/>
        <v/>
      </c>
      <c r="R683" s="147" t="str">
        <f t="shared" si="23"/>
        <v/>
      </c>
      <c r="S683" s="147" t="str">
        <f t="shared" si="24"/>
        <v/>
      </c>
      <c r="T683" s="147" t="str">
        <f t="shared" si="7"/>
        <v/>
      </c>
      <c r="U683" s="150" t="str">
        <f t="shared" si="8"/>
        <v/>
      </c>
      <c r="V683" s="151" t="str">
        <f>IFERROR(VLOOKUP(C683,Ativos!$A$1:$G2000,5,),)</f>
        <v/>
      </c>
    </row>
    <row r="684" ht="21.0" customHeight="1">
      <c r="A684" s="152"/>
      <c r="B684" s="160"/>
      <c r="C684" s="153"/>
      <c r="D684" s="154"/>
      <c r="E684" s="139"/>
      <c r="F684" s="139"/>
      <c r="G684" s="139"/>
      <c r="H684" s="135"/>
      <c r="I684" s="141"/>
      <c r="J684" s="147" t="str">
        <f>IFERROR(__xludf.DUMMYFUNCTION("IF(ISBLANK(A684),IFERROR(1/0),IF(COUNT(FILTER(F:F,A:A=A684))&gt;1,TRUNC(N684*F684/SUM(FILTER(N:N,A:A=A684)),3),F684))"),"")</f>
        <v/>
      </c>
      <c r="K684" s="147" t="str">
        <f>IFERROR(__xludf.DUMMYFUNCTION("IF(ISBLANK(A684),IFERROR(1/0),IF(COUNT(FILTER(G:G,((A:A=A684)*(B:B=""V""))))&gt;1,TRUNC(N684*G684/SUM(FILTER(N:N,((A:A=A684)*(B:B=""V"")))),3),G684))"),"")</f>
        <v/>
      </c>
      <c r="L684" s="148" t="str">
        <f>IFERROR(__xludf.DUMMYFUNCTION("if($C684="""","""",iferror(if(row()&lt;&gt;2,INDEX(arrayformula(filter($M$2:$M683,$C$2:$C683&lt;&gt;"""",row($C$2:$C683)=max(if($C$2:$C683=C684,row($C$2:$C683),0)))) ,1),0),0))"),"")</f>
        <v/>
      </c>
      <c r="M684" s="148" t="str">
        <f t="shared" si="1"/>
        <v/>
      </c>
      <c r="N684" s="147" t="str">
        <f t="shared" si="2"/>
        <v/>
      </c>
      <c r="O684" s="147" t="str">
        <f t="shared" si="21"/>
        <v/>
      </c>
      <c r="P684" s="147" t="str">
        <f>IFERROR(__xludf.DUMMYFUNCTION("if(C684="""","""",iferror(if(row()&lt;&gt;2,INDEX(arrayformula(filter($Q$2:$Q683,$C$2:$C683&lt;&gt;"""",row($C$2:$C683)=max(if($C$2:$C683=C684,row($C$2:$C683),0)))) ,1),0),0))"),"")</f>
        <v/>
      </c>
      <c r="Q684" s="147" t="str">
        <f t="shared" si="22"/>
        <v/>
      </c>
      <c r="R684" s="147" t="str">
        <f t="shared" si="23"/>
        <v/>
      </c>
      <c r="S684" s="147" t="str">
        <f t="shared" si="24"/>
        <v/>
      </c>
      <c r="T684" s="147" t="str">
        <f t="shared" si="7"/>
        <v/>
      </c>
      <c r="U684" s="150" t="str">
        <f t="shared" si="8"/>
        <v/>
      </c>
      <c r="V684" s="151" t="str">
        <f>IFERROR(VLOOKUP(C684,Ativos!$A$1:$G2000,5,),)</f>
        <v/>
      </c>
    </row>
    <row r="685" ht="21.0" customHeight="1">
      <c r="A685" s="152"/>
      <c r="B685" s="160"/>
      <c r="C685" s="153"/>
      <c r="D685" s="154"/>
      <c r="E685" s="139"/>
      <c r="F685" s="139"/>
      <c r="G685" s="139"/>
      <c r="H685" s="135"/>
      <c r="I685" s="141"/>
      <c r="J685" s="147" t="str">
        <f>IFERROR(__xludf.DUMMYFUNCTION("IF(ISBLANK(A685),IFERROR(1/0),IF(COUNT(FILTER(F:F,A:A=A685))&gt;1,TRUNC(N685*F685/SUM(FILTER(N:N,A:A=A685)),3),F685))"),"")</f>
        <v/>
      </c>
      <c r="K685" s="147" t="str">
        <f>IFERROR(__xludf.DUMMYFUNCTION("IF(ISBLANK(A685),IFERROR(1/0),IF(COUNT(FILTER(G:G,((A:A=A685)*(B:B=""V""))))&gt;1,TRUNC(N685*G685/SUM(FILTER(N:N,((A:A=A685)*(B:B=""V"")))),3),G685))"),"")</f>
        <v/>
      </c>
      <c r="L685" s="148" t="str">
        <f>IFERROR(__xludf.DUMMYFUNCTION("if($C685="""","""",iferror(if(row()&lt;&gt;2,INDEX(arrayformula(filter($M$2:$M684,$C$2:$C684&lt;&gt;"""",row($C$2:$C684)=max(if($C$2:$C684=C685,row($C$2:$C684),0)))) ,1),0),0))"),"")</f>
        <v/>
      </c>
      <c r="M685" s="148" t="str">
        <f t="shared" si="1"/>
        <v/>
      </c>
      <c r="N685" s="147" t="str">
        <f t="shared" si="2"/>
        <v/>
      </c>
      <c r="O685" s="147" t="str">
        <f t="shared" si="21"/>
        <v/>
      </c>
      <c r="P685" s="147" t="str">
        <f>IFERROR(__xludf.DUMMYFUNCTION("if(C685="""","""",iferror(if(row()&lt;&gt;2,INDEX(arrayformula(filter($Q$2:$Q684,$C$2:$C684&lt;&gt;"""",row($C$2:$C684)=max(if($C$2:$C684=C685,row($C$2:$C684),0)))) ,1),0),0))"),"")</f>
        <v/>
      </c>
      <c r="Q685" s="147" t="str">
        <f t="shared" si="22"/>
        <v/>
      </c>
      <c r="R685" s="147" t="str">
        <f t="shared" si="23"/>
        <v/>
      </c>
      <c r="S685" s="147" t="str">
        <f t="shared" si="24"/>
        <v/>
      </c>
      <c r="T685" s="147" t="str">
        <f t="shared" si="7"/>
        <v/>
      </c>
      <c r="U685" s="150" t="str">
        <f t="shared" si="8"/>
        <v/>
      </c>
      <c r="V685" s="151" t="str">
        <f>IFERROR(VLOOKUP(C685,Ativos!$A$1:$G2000,5,),)</f>
        <v/>
      </c>
    </row>
    <row r="686" ht="21.0" customHeight="1">
      <c r="A686" s="152"/>
      <c r="B686" s="160"/>
      <c r="C686" s="153"/>
      <c r="D686" s="154"/>
      <c r="E686" s="139"/>
      <c r="F686" s="139"/>
      <c r="G686" s="139"/>
      <c r="H686" s="135"/>
      <c r="I686" s="141"/>
      <c r="J686" s="147" t="str">
        <f>IFERROR(__xludf.DUMMYFUNCTION("IF(ISBLANK(A686),IFERROR(1/0),IF(COUNT(FILTER(F:F,A:A=A686))&gt;1,TRUNC(N686*F686/SUM(FILTER(N:N,A:A=A686)),3),F686))"),"")</f>
        <v/>
      </c>
      <c r="K686" s="147" t="str">
        <f>IFERROR(__xludf.DUMMYFUNCTION("IF(ISBLANK(A686),IFERROR(1/0),IF(COUNT(FILTER(G:G,((A:A=A686)*(B:B=""V""))))&gt;1,TRUNC(N686*G686/SUM(FILTER(N:N,((A:A=A686)*(B:B=""V"")))),3),G686))"),"")</f>
        <v/>
      </c>
      <c r="L686" s="148" t="str">
        <f>IFERROR(__xludf.DUMMYFUNCTION("if($C686="""","""",iferror(if(row()&lt;&gt;2,INDEX(arrayformula(filter($M$2:$M685,$C$2:$C685&lt;&gt;"""",row($C$2:$C685)=max(if($C$2:$C685=C686,row($C$2:$C685),0)))) ,1),0),0))"),"")</f>
        <v/>
      </c>
      <c r="M686" s="148" t="str">
        <f t="shared" si="1"/>
        <v/>
      </c>
      <c r="N686" s="147" t="str">
        <f t="shared" si="2"/>
        <v/>
      </c>
      <c r="O686" s="147" t="str">
        <f t="shared" si="21"/>
        <v/>
      </c>
      <c r="P686" s="147" t="str">
        <f>IFERROR(__xludf.DUMMYFUNCTION("if(C686="""","""",iferror(if(row()&lt;&gt;2,INDEX(arrayformula(filter($Q$2:$Q685,$C$2:$C685&lt;&gt;"""",row($C$2:$C685)=max(if($C$2:$C685=C686,row($C$2:$C685),0)))) ,1),0),0))"),"")</f>
        <v/>
      </c>
      <c r="Q686" s="147" t="str">
        <f t="shared" si="22"/>
        <v/>
      </c>
      <c r="R686" s="147" t="str">
        <f t="shared" si="23"/>
        <v/>
      </c>
      <c r="S686" s="147" t="str">
        <f t="shared" si="24"/>
        <v/>
      </c>
      <c r="T686" s="147" t="str">
        <f t="shared" si="7"/>
        <v/>
      </c>
      <c r="U686" s="150" t="str">
        <f t="shared" si="8"/>
        <v/>
      </c>
      <c r="V686" s="151" t="str">
        <f>IFERROR(VLOOKUP(C686,Ativos!$A$1:$G2000,5,),)</f>
        <v/>
      </c>
    </row>
    <row r="687" ht="21.0" customHeight="1">
      <c r="A687" s="152"/>
      <c r="B687" s="160"/>
      <c r="C687" s="153"/>
      <c r="D687" s="154"/>
      <c r="E687" s="139"/>
      <c r="F687" s="139"/>
      <c r="G687" s="139"/>
      <c r="H687" s="135"/>
      <c r="I687" s="141"/>
      <c r="J687" s="147" t="str">
        <f>IFERROR(__xludf.DUMMYFUNCTION("IF(ISBLANK(A687),IFERROR(1/0),IF(COUNT(FILTER(F:F,A:A=A687))&gt;1,TRUNC(N687*F687/SUM(FILTER(N:N,A:A=A687)),3),F687))"),"")</f>
        <v/>
      </c>
      <c r="K687" s="147" t="str">
        <f>IFERROR(__xludf.DUMMYFUNCTION("IF(ISBLANK(A687),IFERROR(1/0),IF(COUNT(FILTER(G:G,((A:A=A687)*(B:B=""V""))))&gt;1,TRUNC(N687*G687/SUM(FILTER(N:N,((A:A=A687)*(B:B=""V"")))),3),G687))"),"")</f>
        <v/>
      </c>
      <c r="L687" s="148" t="str">
        <f>IFERROR(__xludf.DUMMYFUNCTION("if($C687="""","""",iferror(if(row()&lt;&gt;2,INDEX(arrayformula(filter($M$2:$M686,$C$2:$C686&lt;&gt;"""",row($C$2:$C686)=max(if($C$2:$C686=C687,row($C$2:$C686),0)))) ,1),0),0))"),"")</f>
        <v/>
      </c>
      <c r="M687" s="148" t="str">
        <f t="shared" si="1"/>
        <v/>
      </c>
      <c r="N687" s="147" t="str">
        <f t="shared" si="2"/>
        <v/>
      </c>
      <c r="O687" s="147" t="str">
        <f t="shared" si="21"/>
        <v/>
      </c>
      <c r="P687" s="147" t="str">
        <f>IFERROR(__xludf.DUMMYFUNCTION("if(C687="""","""",iferror(if(row()&lt;&gt;2,INDEX(arrayformula(filter($Q$2:$Q686,$C$2:$C686&lt;&gt;"""",row($C$2:$C686)=max(if($C$2:$C686=C687,row($C$2:$C686),0)))) ,1),0),0))"),"")</f>
        <v/>
      </c>
      <c r="Q687" s="147" t="str">
        <f t="shared" si="22"/>
        <v/>
      </c>
      <c r="R687" s="147" t="str">
        <f t="shared" si="23"/>
        <v/>
      </c>
      <c r="S687" s="147" t="str">
        <f t="shared" si="24"/>
        <v/>
      </c>
      <c r="T687" s="147" t="str">
        <f t="shared" si="7"/>
        <v/>
      </c>
      <c r="U687" s="150" t="str">
        <f t="shared" si="8"/>
        <v/>
      </c>
      <c r="V687" s="151" t="str">
        <f>IFERROR(VLOOKUP(C687,Ativos!$A$1:$G2000,5,),)</f>
        <v/>
      </c>
    </row>
    <row r="688" ht="21.0" customHeight="1">
      <c r="A688" s="152"/>
      <c r="B688" s="160"/>
      <c r="C688" s="153"/>
      <c r="D688" s="154"/>
      <c r="E688" s="139"/>
      <c r="F688" s="139"/>
      <c r="G688" s="139"/>
      <c r="H688" s="135"/>
      <c r="I688" s="141"/>
      <c r="J688" s="147" t="str">
        <f>IFERROR(__xludf.DUMMYFUNCTION("IF(ISBLANK(A688),IFERROR(1/0),IF(COUNT(FILTER(F:F,A:A=A688))&gt;1,TRUNC(N688*F688/SUM(FILTER(N:N,A:A=A688)),3),F688))"),"")</f>
        <v/>
      </c>
      <c r="K688" s="147" t="str">
        <f>IFERROR(__xludf.DUMMYFUNCTION("IF(ISBLANK(A688),IFERROR(1/0),IF(COUNT(FILTER(G:G,((A:A=A688)*(B:B=""V""))))&gt;1,TRUNC(N688*G688/SUM(FILTER(N:N,((A:A=A688)*(B:B=""V"")))),3),G688))"),"")</f>
        <v/>
      </c>
      <c r="L688" s="148" t="str">
        <f>IFERROR(__xludf.DUMMYFUNCTION("if($C688="""","""",iferror(if(row()&lt;&gt;2,INDEX(arrayformula(filter($M$2:$M687,$C$2:$C687&lt;&gt;"""",row($C$2:$C687)=max(if($C$2:$C687=C688,row($C$2:$C687),0)))) ,1),0),0))"),"")</f>
        <v/>
      </c>
      <c r="M688" s="148" t="str">
        <f t="shared" si="1"/>
        <v/>
      </c>
      <c r="N688" s="147" t="str">
        <f t="shared" si="2"/>
        <v/>
      </c>
      <c r="O688" s="147" t="str">
        <f t="shared" si="21"/>
        <v/>
      </c>
      <c r="P688" s="147" t="str">
        <f>IFERROR(__xludf.DUMMYFUNCTION("if(C688="""","""",iferror(if(row()&lt;&gt;2,INDEX(arrayformula(filter($Q$2:$Q687,$C$2:$C687&lt;&gt;"""",row($C$2:$C687)=max(if($C$2:$C687=C688,row($C$2:$C687),0)))) ,1),0),0))"),"")</f>
        <v/>
      </c>
      <c r="Q688" s="147" t="str">
        <f t="shared" si="22"/>
        <v/>
      </c>
      <c r="R688" s="147" t="str">
        <f t="shared" si="23"/>
        <v/>
      </c>
      <c r="S688" s="147" t="str">
        <f t="shared" si="24"/>
        <v/>
      </c>
      <c r="T688" s="147" t="str">
        <f t="shared" si="7"/>
        <v/>
      </c>
      <c r="U688" s="150" t="str">
        <f t="shared" si="8"/>
        <v/>
      </c>
      <c r="V688" s="151" t="str">
        <f>IFERROR(VLOOKUP(C688,Ativos!$A$1:$G2000,5,),)</f>
        <v/>
      </c>
    </row>
    <row r="689" ht="21.0" customHeight="1">
      <c r="A689" s="152"/>
      <c r="B689" s="160"/>
      <c r="C689" s="153"/>
      <c r="D689" s="154"/>
      <c r="E689" s="139"/>
      <c r="F689" s="139"/>
      <c r="G689" s="139"/>
      <c r="H689" s="135"/>
      <c r="I689" s="141"/>
      <c r="J689" s="147" t="str">
        <f>IFERROR(__xludf.DUMMYFUNCTION("IF(ISBLANK(A689),IFERROR(1/0),IF(COUNT(FILTER(F:F,A:A=A689))&gt;1,TRUNC(N689*F689/SUM(FILTER(N:N,A:A=A689)),3),F689))"),"")</f>
        <v/>
      </c>
      <c r="K689" s="147" t="str">
        <f>IFERROR(__xludf.DUMMYFUNCTION("IF(ISBLANK(A689),IFERROR(1/0),IF(COUNT(FILTER(G:G,((A:A=A689)*(B:B=""V""))))&gt;1,TRUNC(N689*G689/SUM(FILTER(N:N,((A:A=A689)*(B:B=""V"")))),3),G689))"),"")</f>
        <v/>
      </c>
      <c r="L689" s="148" t="str">
        <f>IFERROR(__xludf.DUMMYFUNCTION("if($C689="""","""",iferror(if(row()&lt;&gt;2,INDEX(arrayformula(filter($M$2:$M688,$C$2:$C688&lt;&gt;"""",row($C$2:$C688)=max(if($C$2:$C688=C689,row($C$2:$C688),0)))) ,1),0),0))"),"")</f>
        <v/>
      </c>
      <c r="M689" s="148" t="str">
        <f t="shared" si="1"/>
        <v/>
      </c>
      <c r="N689" s="147" t="str">
        <f t="shared" si="2"/>
        <v/>
      </c>
      <c r="O689" s="147" t="str">
        <f t="shared" si="21"/>
        <v/>
      </c>
      <c r="P689" s="147" t="str">
        <f>IFERROR(__xludf.DUMMYFUNCTION("if(C689="""","""",iferror(if(row()&lt;&gt;2,INDEX(arrayformula(filter($Q$2:$Q688,$C$2:$C688&lt;&gt;"""",row($C$2:$C688)=max(if($C$2:$C688=C689,row($C$2:$C688),0)))) ,1),0),0))"),"")</f>
        <v/>
      </c>
      <c r="Q689" s="147" t="str">
        <f t="shared" si="22"/>
        <v/>
      </c>
      <c r="R689" s="147" t="str">
        <f t="shared" si="23"/>
        <v/>
      </c>
      <c r="S689" s="147" t="str">
        <f t="shared" si="24"/>
        <v/>
      </c>
      <c r="T689" s="147" t="str">
        <f t="shared" si="7"/>
        <v/>
      </c>
      <c r="U689" s="150" t="str">
        <f t="shared" si="8"/>
        <v/>
      </c>
      <c r="V689" s="151" t="str">
        <f>IFERROR(VLOOKUP(C689,Ativos!$A$1:$G2000,5,),)</f>
        <v/>
      </c>
    </row>
    <row r="690" ht="21.0" customHeight="1">
      <c r="A690" s="152"/>
      <c r="B690" s="160"/>
      <c r="C690" s="153"/>
      <c r="D690" s="154"/>
      <c r="E690" s="139"/>
      <c r="F690" s="139"/>
      <c r="G690" s="139"/>
      <c r="H690" s="135"/>
      <c r="I690" s="141"/>
      <c r="J690" s="147" t="str">
        <f>IFERROR(__xludf.DUMMYFUNCTION("IF(ISBLANK(A690),IFERROR(1/0),IF(COUNT(FILTER(F:F,A:A=A690))&gt;1,TRUNC(N690*F690/SUM(FILTER(N:N,A:A=A690)),3),F690))"),"")</f>
        <v/>
      </c>
      <c r="K690" s="147" t="str">
        <f>IFERROR(__xludf.DUMMYFUNCTION("IF(ISBLANK(A690),IFERROR(1/0),IF(COUNT(FILTER(G:G,((A:A=A690)*(B:B=""V""))))&gt;1,TRUNC(N690*G690/SUM(FILTER(N:N,((A:A=A690)*(B:B=""V"")))),3),G690))"),"")</f>
        <v/>
      </c>
      <c r="L690" s="148" t="str">
        <f>IFERROR(__xludf.DUMMYFUNCTION("if($C690="""","""",iferror(if(row()&lt;&gt;2,INDEX(arrayformula(filter($M$2:$M689,$C$2:$C689&lt;&gt;"""",row($C$2:$C689)=max(if($C$2:$C689=C690,row($C$2:$C689),0)))) ,1),0),0))"),"")</f>
        <v/>
      </c>
      <c r="M690" s="148" t="str">
        <f t="shared" si="1"/>
        <v/>
      </c>
      <c r="N690" s="147" t="str">
        <f t="shared" si="2"/>
        <v/>
      </c>
      <c r="O690" s="147" t="str">
        <f t="shared" si="21"/>
        <v/>
      </c>
      <c r="P690" s="147" t="str">
        <f>IFERROR(__xludf.DUMMYFUNCTION("if(C690="""","""",iferror(if(row()&lt;&gt;2,INDEX(arrayformula(filter($Q$2:$Q689,$C$2:$C689&lt;&gt;"""",row($C$2:$C689)=max(if($C$2:$C689=C690,row($C$2:$C689),0)))) ,1),0),0))"),"")</f>
        <v/>
      </c>
      <c r="Q690" s="147" t="str">
        <f t="shared" si="22"/>
        <v/>
      </c>
      <c r="R690" s="147" t="str">
        <f t="shared" si="23"/>
        <v/>
      </c>
      <c r="S690" s="147" t="str">
        <f t="shared" si="24"/>
        <v/>
      </c>
      <c r="T690" s="147" t="str">
        <f t="shared" si="7"/>
        <v/>
      </c>
      <c r="U690" s="150" t="str">
        <f t="shared" si="8"/>
        <v/>
      </c>
      <c r="V690" s="151" t="str">
        <f>IFERROR(VLOOKUP(C690,Ativos!$A$1:$G2000,5,),)</f>
        <v/>
      </c>
    </row>
    <row r="691" ht="21.0" customHeight="1">
      <c r="A691" s="152"/>
      <c r="B691" s="160"/>
      <c r="C691" s="153"/>
      <c r="D691" s="154"/>
      <c r="E691" s="139"/>
      <c r="F691" s="139"/>
      <c r="G691" s="139"/>
      <c r="H691" s="135"/>
      <c r="I691" s="141"/>
      <c r="J691" s="147" t="str">
        <f>IFERROR(__xludf.DUMMYFUNCTION("IF(ISBLANK(A691),IFERROR(1/0),IF(COUNT(FILTER(F:F,A:A=A691))&gt;1,TRUNC(N691*F691/SUM(FILTER(N:N,A:A=A691)),3),F691))"),"")</f>
        <v/>
      </c>
      <c r="K691" s="147" t="str">
        <f>IFERROR(__xludf.DUMMYFUNCTION("IF(ISBLANK(A691),IFERROR(1/0),IF(COUNT(FILTER(G:G,((A:A=A691)*(B:B=""V""))))&gt;1,TRUNC(N691*G691/SUM(FILTER(N:N,((A:A=A691)*(B:B=""V"")))),3),G691))"),"")</f>
        <v/>
      </c>
      <c r="L691" s="148" t="str">
        <f>IFERROR(__xludf.DUMMYFUNCTION("if($C691="""","""",iferror(if(row()&lt;&gt;2,INDEX(arrayformula(filter($M$2:$M690,$C$2:$C690&lt;&gt;"""",row($C$2:$C690)=max(if($C$2:$C690=C691,row($C$2:$C690),0)))) ,1),0),0))"),"")</f>
        <v/>
      </c>
      <c r="M691" s="148" t="str">
        <f t="shared" si="1"/>
        <v/>
      </c>
      <c r="N691" s="147" t="str">
        <f t="shared" si="2"/>
        <v/>
      </c>
      <c r="O691" s="147" t="str">
        <f t="shared" si="21"/>
        <v/>
      </c>
      <c r="P691" s="147" t="str">
        <f>IFERROR(__xludf.DUMMYFUNCTION("if(C691="""","""",iferror(if(row()&lt;&gt;2,INDEX(arrayformula(filter($Q$2:$Q690,$C$2:$C690&lt;&gt;"""",row($C$2:$C690)=max(if($C$2:$C690=C691,row($C$2:$C690),0)))) ,1),0),0))"),"")</f>
        <v/>
      </c>
      <c r="Q691" s="147" t="str">
        <f t="shared" si="22"/>
        <v/>
      </c>
      <c r="R691" s="147" t="str">
        <f t="shared" si="23"/>
        <v/>
      </c>
      <c r="S691" s="147" t="str">
        <f t="shared" si="24"/>
        <v/>
      </c>
      <c r="T691" s="147" t="str">
        <f t="shared" si="7"/>
        <v/>
      </c>
      <c r="U691" s="150" t="str">
        <f t="shared" si="8"/>
        <v/>
      </c>
      <c r="V691" s="151" t="str">
        <f>IFERROR(VLOOKUP(C691,Ativos!$A$1:$G2000,5,),)</f>
        <v/>
      </c>
    </row>
    <row r="692" ht="21.0" customHeight="1">
      <c r="A692" s="152"/>
      <c r="B692" s="160"/>
      <c r="C692" s="153"/>
      <c r="D692" s="154"/>
      <c r="E692" s="139"/>
      <c r="F692" s="139"/>
      <c r="G692" s="139"/>
      <c r="H692" s="135"/>
      <c r="I692" s="141"/>
      <c r="J692" s="147" t="str">
        <f>IFERROR(__xludf.DUMMYFUNCTION("IF(ISBLANK(A692),IFERROR(1/0),IF(COUNT(FILTER(F:F,A:A=A692))&gt;1,TRUNC(N692*F692/SUM(FILTER(N:N,A:A=A692)),3),F692))"),"")</f>
        <v/>
      </c>
      <c r="K692" s="147" t="str">
        <f>IFERROR(__xludf.DUMMYFUNCTION("IF(ISBLANK(A692),IFERROR(1/0),IF(COUNT(FILTER(G:G,((A:A=A692)*(B:B=""V""))))&gt;1,TRUNC(N692*G692/SUM(FILTER(N:N,((A:A=A692)*(B:B=""V"")))),3),G692))"),"")</f>
        <v/>
      </c>
      <c r="L692" s="148" t="str">
        <f>IFERROR(__xludf.DUMMYFUNCTION("if($C692="""","""",iferror(if(row()&lt;&gt;2,INDEX(arrayformula(filter($M$2:$M691,$C$2:$C691&lt;&gt;"""",row($C$2:$C691)=max(if($C$2:$C691=C692,row($C$2:$C691),0)))) ,1),0),0))"),"")</f>
        <v/>
      </c>
      <c r="M692" s="148" t="str">
        <f t="shared" si="1"/>
        <v/>
      </c>
      <c r="N692" s="147" t="str">
        <f t="shared" si="2"/>
        <v/>
      </c>
      <c r="O692" s="147" t="str">
        <f t="shared" si="21"/>
        <v/>
      </c>
      <c r="P692" s="147" t="str">
        <f>IFERROR(__xludf.DUMMYFUNCTION("if(C692="""","""",iferror(if(row()&lt;&gt;2,INDEX(arrayformula(filter($Q$2:$Q691,$C$2:$C691&lt;&gt;"""",row($C$2:$C691)=max(if($C$2:$C691=C692,row($C$2:$C691),0)))) ,1),0),0))"),"")</f>
        <v/>
      </c>
      <c r="Q692" s="147" t="str">
        <f t="shared" si="22"/>
        <v/>
      </c>
      <c r="R692" s="147" t="str">
        <f t="shared" si="23"/>
        <v/>
      </c>
      <c r="S692" s="147" t="str">
        <f t="shared" si="24"/>
        <v/>
      </c>
      <c r="T692" s="147" t="str">
        <f t="shared" si="7"/>
        <v/>
      </c>
      <c r="U692" s="150" t="str">
        <f t="shared" si="8"/>
        <v/>
      </c>
      <c r="V692" s="151" t="str">
        <f>IFERROR(VLOOKUP(C692,Ativos!$A$1:$G2000,5,),)</f>
        <v/>
      </c>
    </row>
    <row r="693" ht="21.0" customHeight="1">
      <c r="A693" s="152"/>
      <c r="B693" s="160"/>
      <c r="C693" s="153"/>
      <c r="D693" s="154"/>
      <c r="E693" s="139"/>
      <c r="F693" s="139"/>
      <c r="G693" s="139"/>
      <c r="H693" s="135"/>
      <c r="I693" s="141"/>
      <c r="J693" s="147" t="str">
        <f>IFERROR(__xludf.DUMMYFUNCTION("IF(ISBLANK(A693),IFERROR(1/0),IF(COUNT(FILTER(F:F,A:A=A693))&gt;1,TRUNC(N693*F693/SUM(FILTER(N:N,A:A=A693)),3),F693))"),"")</f>
        <v/>
      </c>
      <c r="K693" s="147" t="str">
        <f>IFERROR(__xludf.DUMMYFUNCTION("IF(ISBLANK(A693),IFERROR(1/0),IF(COUNT(FILTER(G:G,((A:A=A693)*(B:B=""V""))))&gt;1,TRUNC(N693*G693/SUM(FILTER(N:N,((A:A=A693)*(B:B=""V"")))),3),G693))"),"")</f>
        <v/>
      </c>
      <c r="L693" s="148" t="str">
        <f>IFERROR(__xludf.DUMMYFUNCTION("if($C693="""","""",iferror(if(row()&lt;&gt;2,INDEX(arrayformula(filter($M$2:$M692,$C$2:$C692&lt;&gt;"""",row($C$2:$C692)=max(if($C$2:$C692=C693,row($C$2:$C692),0)))) ,1),0),0))"),"")</f>
        <v/>
      </c>
      <c r="M693" s="148" t="str">
        <f t="shared" si="1"/>
        <v/>
      </c>
      <c r="N693" s="147" t="str">
        <f t="shared" si="2"/>
        <v/>
      </c>
      <c r="O693" s="147" t="str">
        <f t="shared" si="21"/>
        <v/>
      </c>
      <c r="P693" s="147" t="str">
        <f>IFERROR(__xludf.DUMMYFUNCTION("if(C693="""","""",iferror(if(row()&lt;&gt;2,INDEX(arrayformula(filter($Q$2:$Q692,$C$2:$C692&lt;&gt;"""",row($C$2:$C692)=max(if($C$2:$C692=C693,row($C$2:$C692),0)))) ,1),0),0))"),"")</f>
        <v/>
      </c>
      <c r="Q693" s="147" t="str">
        <f t="shared" si="22"/>
        <v/>
      </c>
      <c r="R693" s="147" t="str">
        <f t="shared" si="23"/>
        <v/>
      </c>
      <c r="S693" s="147" t="str">
        <f t="shared" si="24"/>
        <v/>
      </c>
      <c r="T693" s="147" t="str">
        <f t="shared" si="7"/>
        <v/>
      </c>
      <c r="U693" s="150" t="str">
        <f t="shared" si="8"/>
        <v/>
      </c>
      <c r="V693" s="151" t="str">
        <f>IFERROR(VLOOKUP(C693,Ativos!$A$1:$G2000,5,),)</f>
        <v/>
      </c>
    </row>
    <row r="694" ht="21.0" customHeight="1">
      <c r="A694" s="152"/>
      <c r="B694" s="160"/>
      <c r="C694" s="153"/>
      <c r="D694" s="154"/>
      <c r="E694" s="139"/>
      <c r="F694" s="139"/>
      <c r="G694" s="139"/>
      <c r="H694" s="135"/>
      <c r="I694" s="141"/>
      <c r="J694" s="147" t="str">
        <f>IFERROR(__xludf.DUMMYFUNCTION("IF(ISBLANK(A694),IFERROR(1/0),IF(COUNT(FILTER(F:F,A:A=A694))&gt;1,TRUNC(N694*F694/SUM(FILTER(N:N,A:A=A694)),3),F694))"),"")</f>
        <v/>
      </c>
      <c r="K694" s="147" t="str">
        <f>IFERROR(__xludf.DUMMYFUNCTION("IF(ISBLANK(A694),IFERROR(1/0),IF(COUNT(FILTER(G:G,((A:A=A694)*(B:B=""V""))))&gt;1,TRUNC(N694*G694/SUM(FILTER(N:N,((A:A=A694)*(B:B=""V"")))),3),G694))"),"")</f>
        <v/>
      </c>
      <c r="L694" s="148" t="str">
        <f>IFERROR(__xludf.DUMMYFUNCTION("if($C694="""","""",iferror(if(row()&lt;&gt;2,INDEX(arrayformula(filter($M$2:$M693,$C$2:$C693&lt;&gt;"""",row($C$2:$C693)=max(if($C$2:$C693=C694,row($C$2:$C693),0)))) ,1),0),0))"),"")</f>
        <v/>
      </c>
      <c r="M694" s="148" t="str">
        <f t="shared" si="1"/>
        <v/>
      </c>
      <c r="N694" s="147" t="str">
        <f t="shared" si="2"/>
        <v/>
      </c>
      <c r="O694" s="147" t="str">
        <f t="shared" si="21"/>
        <v/>
      </c>
      <c r="P694" s="147" t="str">
        <f>IFERROR(__xludf.DUMMYFUNCTION("if(C694="""","""",iferror(if(row()&lt;&gt;2,INDEX(arrayformula(filter($Q$2:$Q693,$C$2:$C693&lt;&gt;"""",row($C$2:$C693)=max(if($C$2:$C693=C694,row($C$2:$C693),0)))) ,1),0),0))"),"")</f>
        <v/>
      </c>
      <c r="Q694" s="147" t="str">
        <f t="shared" si="22"/>
        <v/>
      </c>
      <c r="R694" s="147" t="str">
        <f t="shared" si="23"/>
        <v/>
      </c>
      <c r="S694" s="147" t="str">
        <f t="shared" si="24"/>
        <v/>
      </c>
      <c r="T694" s="147" t="str">
        <f t="shared" si="7"/>
        <v/>
      </c>
      <c r="U694" s="150" t="str">
        <f t="shared" si="8"/>
        <v/>
      </c>
      <c r="V694" s="151" t="str">
        <f>IFERROR(VLOOKUP(C694,Ativos!$A$1:$G2000,5,),)</f>
        <v/>
      </c>
    </row>
    <row r="695" ht="21.0" customHeight="1">
      <c r="A695" s="152"/>
      <c r="B695" s="160"/>
      <c r="C695" s="153"/>
      <c r="D695" s="154"/>
      <c r="E695" s="139"/>
      <c r="F695" s="139"/>
      <c r="G695" s="139"/>
      <c r="H695" s="135"/>
      <c r="I695" s="141"/>
      <c r="J695" s="147" t="str">
        <f>IFERROR(__xludf.DUMMYFUNCTION("IF(ISBLANK(A695),IFERROR(1/0),IF(COUNT(FILTER(F:F,A:A=A695))&gt;1,TRUNC(N695*F695/SUM(FILTER(N:N,A:A=A695)),3),F695))"),"")</f>
        <v/>
      </c>
      <c r="K695" s="147" t="str">
        <f>IFERROR(__xludf.DUMMYFUNCTION("IF(ISBLANK(A695),IFERROR(1/0),IF(COUNT(FILTER(G:G,((A:A=A695)*(B:B=""V""))))&gt;1,TRUNC(N695*G695/SUM(FILTER(N:N,((A:A=A695)*(B:B=""V"")))),3),G695))"),"")</f>
        <v/>
      </c>
      <c r="L695" s="148" t="str">
        <f>IFERROR(__xludf.DUMMYFUNCTION("if($C695="""","""",iferror(if(row()&lt;&gt;2,INDEX(arrayformula(filter($M$2:$M694,$C$2:$C694&lt;&gt;"""",row($C$2:$C694)=max(if($C$2:$C694=C695,row($C$2:$C694),0)))) ,1),0),0))"),"")</f>
        <v/>
      </c>
      <c r="M695" s="148" t="str">
        <f t="shared" si="1"/>
        <v/>
      </c>
      <c r="N695" s="147" t="str">
        <f t="shared" si="2"/>
        <v/>
      </c>
      <c r="O695" s="147" t="str">
        <f t="shared" si="21"/>
        <v/>
      </c>
      <c r="P695" s="147" t="str">
        <f>IFERROR(__xludf.DUMMYFUNCTION("if(C695="""","""",iferror(if(row()&lt;&gt;2,INDEX(arrayformula(filter($Q$2:$Q694,$C$2:$C694&lt;&gt;"""",row($C$2:$C694)=max(if($C$2:$C694=C695,row($C$2:$C694),0)))) ,1),0),0))"),"")</f>
        <v/>
      </c>
      <c r="Q695" s="147" t="str">
        <f t="shared" si="22"/>
        <v/>
      </c>
      <c r="R695" s="147" t="str">
        <f t="shared" si="23"/>
        <v/>
      </c>
      <c r="S695" s="147" t="str">
        <f t="shared" si="24"/>
        <v/>
      </c>
      <c r="T695" s="147" t="str">
        <f t="shared" si="7"/>
        <v/>
      </c>
      <c r="U695" s="150" t="str">
        <f t="shared" si="8"/>
        <v/>
      </c>
      <c r="V695" s="151" t="str">
        <f>IFERROR(VLOOKUP(C695,Ativos!$A$1:$G2000,5,),)</f>
        <v/>
      </c>
    </row>
    <row r="696" ht="21.0" customHeight="1">
      <c r="A696" s="152"/>
      <c r="B696" s="160"/>
      <c r="C696" s="153"/>
      <c r="D696" s="154"/>
      <c r="E696" s="139"/>
      <c r="F696" s="139"/>
      <c r="G696" s="139"/>
      <c r="H696" s="135"/>
      <c r="I696" s="141"/>
      <c r="J696" s="147" t="str">
        <f>IFERROR(__xludf.DUMMYFUNCTION("IF(ISBLANK(A696),IFERROR(1/0),IF(COUNT(FILTER(F:F,A:A=A696))&gt;1,TRUNC(N696*F696/SUM(FILTER(N:N,A:A=A696)),3),F696))"),"")</f>
        <v/>
      </c>
      <c r="K696" s="147" t="str">
        <f>IFERROR(__xludf.DUMMYFUNCTION("IF(ISBLANK(A696),IFERROR(1/0),IF(COUNT(FILTER(G:G,((A:A=A696)*(B:B=""V""))))&gt;1,TRUNC(N696*G696/SUM(FILTER(N:N,((A:A=A696)*(B:B=""V"")))),3),G696))"),"")</f>
        <v/>
      </c>
      <c r="L696" s="148" t="str">
        <f>IFERROR(__xludf.DUMMYFUNCTION("if($C696="""","""",iferror(if(row()&lt;&gt;2,INDEX(arrayformula(filter($M$2:$M695,$C$2:$C695&lt;&gt;"""",row($C$2:$C695)=max(if($C$2:$C695=C696,row($C$2:$C695),0)))) ,1),0),0))"),"")</f>
        <v/>
      </c>
      <c r="M696" s="148" t="str">
        <f t="shared" si="1"/>
        <v/>
      </c>
      <c r="N696" s="147" t="str">
        <f t="shared" si="2"/>
        <v/>
      </c>
      <c r="O696" s="147" t="str">
        <f t="shared" si="21"/>
        <v/>
      </c>
      <c r="P696" s="147" t="str">
        <f>IFERROR(__xludf.DUMMYFUNCTION("if(C696="""","""",iferror(if(row()&lt;&gt;2,INDEX(arrayformula(filter($Q$2:$Q695,$C$2:$C695&lt;&gt;"""",row($C$2:$C695)=max(if($C$2:$C695=C696,row($C$2:$C695),0)))) ,1),0),0))"),"")</f>
        <v/>
      </c>
      <c r="Q696" s="147" t="str">
        <f t="shared" si="22"/>
        <v/>
      </c>
      <c r="R696" s="147" t="str">
        <f t="shared" si="23"/>
        <v/>
      </c>
      <c r="S696" s="147" t="str">
        <f t="shared" si="24"/>
        <v/>
      </c>
      <c r="T696" s="147" t="str">
        <f t="shared" si="7"/>
        <v/>
      </c>
      <c r="U696" s="150" t="str">
        <f t="shared" si="8"/>
        <v/>
      </c>
      <c r="V696" s="151" t="str">
        <f>IFERROR(VLOOKUP(C696,Ativos!$A$1:$G2000,5,),)</f>
        <v/>
      </c>
    </row>
    <row r="697" ht="21.0" customHeight="1">
      <c r="A697" s="152"/>
      <c r="B697" s="160"/>
      <c r="C697" s="153"/>
      <c r="D697" s="154"/>
      <c r="E697" s="139"/>
      <c r="F697" s="139"/>
      <c r="G697" s="139"/>
      <c r="H697" s="135"/>
      <c r="I697" s="141"/>
      <c r="J697" s="147" t="str">
        <f>IFERROR(__xludf.DUMMYFUNCTION("IF(ISBLANK(A697),IFERROR(1/0),IF(COUNT(FILTER(F:F,A:A=A697))&gt;1,TRUNC(N697*F697/SUM(FILTER(N:N,A:A=A697)),3),F697))"),"")</f>
        <v/>
      </c>
      <c r="K697" s="147" t="str">
        <f>IFERROR(__xludf.DUMMYFUNCTION("IF(ISBLANK(A697),IFERROR(1/0),IF(COUNT(FILTER(G:G,((A:A=A697)*(B:B=""V""))))&gt;1,TRUNC(N697*G697/SUM(FILTER(N:N,((A:A=A697)*(B:B=""V"")))),3),G697))"),"")</f>
        <v/>
      </c>
      <c r="L697" s="148" t="str">
        <f>IFERROR(__xludf.DUMMYFUNCTION("if($C697="""","""",iferror(if(row()&lt;&gt;2,INDEX(arrayformula(filter($M$2:$M696,$C$2:$C696&lt;&gt;"""",row($C$2:$C696)=max(if($C$2:$C696=C697,row($C$2:$C696),0)))) ,1),0),0))"),"")</f>
        <v/>
      </c>
      <c r="M697" s="148" t="str">
        <f t="shared" si="1"/>
        <v/>
      </c>
      <c r="N697" s="147" t="str">
        <f t="shared" si="2"/>
        <v/>
      </c>
      <c r="O697" s="147" t="str">
        <f t="shared" si="21"/>
        <v/>
      </c>
      <c r="P697" s="147" t="str">
        <f>IFERROR(__xludf.DUMMYFUNCTION("if(C697="""","""",iferror(if(row()&lt;&gt;2,INDEX(arrayformula(filter($Q$2:$Q696,$C$2:$C696&lt;&gt;"""",row($C$2:$C696)=max(if($C$2:$C696=C697,row($C$2:$C696),0)))) ,1),0),0))"),"")</f>
        <v/>
      </c>
      <c r="Q697" s="147" t="str">
        <f t="shared" si="22"/>
        <v/>
      </c>
      <c r="R697" s="147" t="str">
        <f t="shared" si="23"/>
        <v/>
      </c>
      <c r="S697" s="147" t="str">
        <f t="shared" si="24"/>
        <v/>
      </c>
      <c r="T697" s="147" t="str">
        <f t="shared" si="7"/>
        <v/>
      </c>
      <c r="U697" s="150" t="str">
        <f t="shared" si="8"/>
        <v/>
      </c>
      <c r="V697" s="151" t="str">
        <f>IFERROR(VLOOKUP(C697,Ativos!$A$1:$G2000,5,),)</f>
        <v/>
      </c>
    </row>
    <row r="698" ht="21.0" customHeight="1">
      <c r="A698" s="152"/>
      <c r="B698" s="160"/>
      <c r="C698" s="153"/>
      <c r="D698" s="154"/>
      <c r="E698" s="139"/>
      <c r="F698" s="139"/>
      <c r="G698" s="139"/>
      <c r="H698" s="135"/>
      <c r="I698" s="141"/>
      <c r="J698" s="147" t="str">
        <f>IFERROR(__xludf.DUMMYFUNCTION("IF(ISBLANK(A698),IFERROR(1/0),IF(COUNT(FILTER(F:F,A:A=A698))&gt;1,TRUNC(N698*F698/SUM(FILTER(N:N,A:A=A698)),3),F698))"),"")</f>
        <v/>
      </c>
      <c r="K698" s="147" t="str">
        <f>IFERROR(__xludf.DUMMYFUNCTION("IF(ISBLANK(A698),IFERROR(1/0),IF(COUNT(FILTER(G:G,((A:A=A698)*(B:B=""V""))))&gt;1,TRUNC(N698*G698/SUM(FILTER(N:N,((A:A=A698)*(B:B=""V"")))),3),G698))"),"")</f>
        <v/>
      </c>
      <c r="L698" s="148" t="str">
        <f>IFERROR(__xludf.DUMMYFUNCTION("if($C698="""","""",iferror(if(row()&lt;&gt;2,INDEX(arrayformula(filter($M$2:$M697,$C$2:$C697&lt;&gt;"""",row($C$2:$C697)=max(if($C$2:$C697=C698,row($C$2:$C697),0)))) ,1),0),0))"),"")</f>
        <v/>
      </c>
      <c r="M698" s="148" t="str">
        <f t="shared" si="1"/>
        <v/>
      </c>
      <c r="N698" s="147" t="str">
        <f t="shared" si="2"/>
        <v/>
      </c>
      <c r="O698" s="147" t="str">
        <f t="shared" si="21"/>
        <v/>
      </c>
      <c r="P698" s="147" t="str">
        <f>IFERROR(__xludf.DUMMYFUNCTION("if(C698="""","""",iferror(if(row()&lt;&gt;2,INDEX(arrayformula(filter($Q$2:$Q697,$C$2:$C697&lt;&gt;"""",row($C$2:$C697)=max(if($C$2:$C697=C698,row($C$2:$C697),0)))) ,1),0),0))"),"")</f>
        <v/>
      </c>
      <c r="Q698" s="147" t="str">
        <f t="shared" si="22"/>
        <v/>
      </c>
      <c r="R698" s="147" t="str">
        <f t="shared" si="23"/>
        <v/>
      </c>
      <c r="S698" s="147" t="str">
        <f t="shared" si="24"/>
        <v/>
      </c>
      <c r="T698" s="147" t="str">
        <f t="shared" si="7"/>
        <v/>
      </c>
      <c r="U698" s="150" t="str">
        <f t="shared" si="8"/>
        <v/>
      </c>
      <c r="V698" s="151" t="str">
        <f>IFERROR(VLOOKUP(C698,Ativos!$A$1:$G2000,5,),)</f>
        <v/>
      </c>
    </row>
    <row r="699" ht="21.0" customHeight="1">
      <c r="A699" s="152"/>
      <c r="B699" s="160"/>
      <c r="C699" s="153"/>
      <c r="D699" s="154"/>
      <c r="E699" s="139"/>
      <c r="F699" s="139"/>
      <c r="G699" s="139"/>
      <c r="H699" s="135"/>
      <c r="I699" s="141"/>
      <c r="J699" s="147" t="str">
        <f>IFERROR(__xludf.DUMMYFUNCTION("IF(ISBLANK(A699),IFERROR(1/0),IF(COUNT(FILTER(F:F,A:A=A699))&gt;1,TRUNC(N699*F699/SUM(FILTER(N:N,A:A=A699)),3),F699))"),"")</f>
        <v/>
      </c>
      <c r="K699" s="147" t="str">
        <f>IFERROR(__xludf.DUMMYFUNCTION("IF(ISBLANK(A699),IFERROR(1/0),IF(COUNT(FILTER(G:G,((A:A=A699)*(B:B=""V""))))&gt;1,TRUNC(N699*G699/SUM(FILTER(N:N,((A:A=A699)*(B:B=""V"")))),3),G699))"),"")</f>
        <v/>
      </c>
      <c r="L699" s="148" t="str">
        <f>IFERROR(__xludf.DUMMYFUNCTION("if($C699="""","""",iferror(if(row()&lt;&gt;2,INDEX(arrayformula(filter($M$2:$M698,$C$2:$C698&lt;&gt;"""",row($C$2:$C698)=max(if($C$2:$C698=C699,row($C$2:$C698),0)))) ,1),0),0))"),"")</f>
        <v/>
      </c>
      <c r="M699" s="148" t="str">
        <f t="shared" si="1"/>
        <v/>
      </c>
      <c r="N699" s="147" t="str">
        <f t="shared" si="2"/>
        <v/>
      </c>
      <c r="O699" s="147" t="str">
        <f t="shared" si="21"/>
        <v/>
      </c>
      <c r="P699" s="147" t="str">
        <f>IFERROR(__xludf.DUMMYFUNCTION("if(C699="""","""",iferror(if(row()&lt;&gt;2,INDEX(arrayformula(filter($Q$2:$Q698,$C$2:$C698&lt;&gt;"""",row($C$2:$C698)=max(if($C$2:$C698=C699,row($C$2:$C698),0)))) ,1),0),0))"),"")</f>
        <v/>
      </c>
      <c r="Q699" s="147" t="str">
        <f t="shared" si="22"/>
        <v/>
      </c>
      <c r="R699" s="147" t="str">
        <f t="shared" si="23"/>
        <v/>
      </c>
      <c r="S699" s="147" t="str">
        <f t="shared" si="24"/>
        <v/>
      </c>
      <c r="T699" s="147" t="str">
        <f t="shared" si="7"/>
        <v/>
      </c>
      <c r="U699" s="150" t="str">
        <f t="shared" si="8"/>
        <v/>
      </c>
      <c r="V699" s="151" t="str">
        <f>IFERROR(VLOOKUP(C699,Ativos!$A$1:$G2000,5,),)</f>
        <v/>
      </c>
    </row>
    <row r="700" ht="21.0" customHeight="1">
      <c r="A700" s="152"/>
      <c r="B700" s="160"/>
      <c r="C700" s="153"/>
      <c r="D700" s="154"/>
      <c r="E700" s="139"/>
      <c r="F700" s="139"/>
      <c r="G700" s="139"/>
      <c r="H700" s="135"/>
      <c r="I700" s="141"/>
      <c r="J700" s="147" t="str">
        <f>IFERROR(__xludf.DUMMYFUNCTION("IF(ISBLANK(A700),IFERROR(1/0),IF(COUNT(FILTER(F:F,A:A=A700))&gt;1,TRUNC(N700*F700/SUM(FILTER(N:N,A:A=A700)),3),F700))"),"")</f>
        <v/>
      </c>
      <c r="K700" s="147" t="str">
        <f>IFERROR(__xludf.DUMMYFUNCTION("IF(ISBLANK(A700),IFERROR(1/0),IF(COUNT(FILTER(G:G,((A:A=A700)*(B:B=""V""))))&gt;1,TRUNC(N700*G700/SUM(FILTER(N:N,((A:A=A700)*(B:B=""V"")))),3),G700))"),"")</f>
        <v/>
      </c>
      <c r="L700" s="148" t="str">
        <f>IFERROR(__xludf.DUMMYFUNCTION("if($C700="""","""",iferror(if(row()&lt;&gt;2,INDEX(arrayformula(filter($M$2:$M699,$C$2:$C699&lt;&gt;"""",row($C$2:$C699)=max(if($C$2:$C699=C700,row($C$2:$C699),0)))) ,1),0),0))"),"")</f>
        <v/>
      </c>
      <c r="M700" s="148" t="str">
        <f t="shared" si="1"/>
        <v/>
      </c>
      <c r="N700" s="147" t="str">
        <f t="shared" si="2"/>
        <v/>
      </c>
      <c r="O700" s="147" t="str">
        <f t="shared" si="21"/>
        <v/>
      </c>
      <c r="P700" s="147" t="str">
        <f>IFERROR(__xludf.DUMMYFUNCTION("if(C700="""","""",iferror(if(row()&lt;&gt;2,INDEX(arrayformula(filter($Q$2:$Q699,$C$2:$C699&lt;&gt;"""",row($C$2:$C699)=max(if($C$2:$C699=C700,row($C$2:$C699),0)))) ,1),0),0))"),"")</f>
        <v/>
      </c>
      <c r="Q700" s="147" t="str">
        <f t="shared" si="22"/>
        <v/>
      </c>
      <c r="R700" s="147" t="str">
        <f t="shared" si="23"/>
        <v/>
      </c>
      <c r="S700" s="147" t="str">
        <f t="shared" si="24"/>
        <v/>
      </c>
      <c r="T700" s="147" t="str">
        <f t="shared" si="7"/>
        <v/>
      </c>
      <c r="U700" s="150" t="str">
        <f t="shared" si="8"/>
        <v/>
      </c>
      <c r="V700" s="151" t="str">
        <f>IFERROR(VLOOKUP(C700,Ativos!$A$1:$G2000,5,),)</f>
        <v/>
      </c>
    </row>
    <row r="701" ht="21.0" customHeight="1">
      <c r="A701" s="152"/>
      <c r="B701" s="160"/>
      <c r="C701" s="153"/>
      <c r="D701" s="154"/>
      <c r="E701" s="139"/>
      <c r="F701" s="139"/>
      <c r="G701" s="139"/>
      <c r="H701" s="135"/>
      <c r="I701" s="141"/>
      <c r="J701" s="147" t="str">
        <f>IFERROR(__xludf.DUMMYFUNCTION("IF(ISBLANK(A701),IFERROR(1/0),IF(COUNT(FILTER(F:F,A:A=A701))&gt;1,TRUNC(N701*F701/SUM(FILTER(N:N,A:A=A701)),3),F701))"),"")</f>
        <v/>
      </c>
      <c r="K701" s="147" t="str">
        <f>IFERROR(__xludf.DUMMYFUNCTION("IF(ISBLANK(A701),IFERROR(1/0),IF(COUNT(FILTER(G:G,((A:A=A701)*(B:B=""V""))))&gt;1,TRUNC(N701*G701/SUM(FILTER(N:N,((A:A=A701)*(B:B=""V"")))),3),G701))"),"")</f>
        <v/>
      </c>
      <c r="L701" s="148" t="str">
        <f>IFERROR(__xludf.DUMMYFUNCTION("if($C701="""","""",iferror(if(row()&lt;&gt;2,INDEX(arrayformula(filter($M$2:$M700,$C$2:$C700&lt;&gt;"""",row($C$2:$C700)=max(if($C$2:$C700=C701,row($C$2:$C700),0)))) ,1),0),0))"),"")</f>
        <v/>
      </c>
      <c r="M701" s="148" t="str">
        <f t="shared" si="1"/>
        <v/>
      </c>
      <c r="N701" s="147" t="str">
        <f t="shared" si="2"/>
        <v/>
      </c>
      <c r="O701" s="147" t="str">
        <f t="shared" si="21"/>
        <v/>
      </c>
      <c r="P701" s="147" t="str">
        <f>IFERROR(__xludf.DUMMYFUNCTION("if(C701="""","""",iferror(if(row()&lt;&gt;2,INDEX(arrayformula(filter($Q$2:$Q700,$C$2:$C700&lt;&gt;"""",row($C$2:$C700)=max(if($C$2:$C700=C701,row($C$2:$C700),0)))) ,1),0),0))"),"")</f>
        <v/>
      </c>
      <c r="Q701" s="147" t="str">
        <f t="shared" si="22"/>
        <v/>
      </c>
      <c r="R701" s="147" t="str">
        <f t="shared" si="23"/>
        <v/>
      </c>
      <c r="S701" s="147" t="str">
        <f t="shared" si="24"/>
        <v/>
      </c>
      <c r="T701" s="147" t="str">
        <f t="shared" si="7"/>
        <v/>
      </c>
      <c r="U701" s="150" t="str">
        <f t="shared" si="8"/>
        <v/>
      </c>
      <c r="V701" s="151" t="str">
        <f>IFERROR(VLOOKUP(C701,Ativos!$A$1:$G2000,5,),)</f>
        <v/>
      </c>
    </row>
    <row r="702" ht="21.0" customHeight="1">
      <c r="A702" s="152"/>
      <c r="B702" s="160"/>
      <c r="C702" s="153"/>
      <c r="D702" s="154"/>
      <c r="E702" s="139"/>
      <c r="F702" s="139"/>
      <c r="G702" s="139"/>
      <c r="H702" s="135"/>
      <c r="I702" s="141"/>
      <c r="J702" s="147" t="str">
        <f>IFERROR(__xludf.DUMMYFUNCTION("IF(ISBLANK(A702),IFERROR(1/0),IF(COUNT(FILTER(F:F,A:A=A702))&gt;1,TRUNC(N702*F702/SUM(FILTER(N:N,A:A=A702)),3),F702))"),"")</f>
        <v/>
      </c>
      <c r="K702" s="147" t="str">
        <f>IFERROR(__xludf.DUMMYFUNCTION("IF(ISBLANK(A702),IFERROR(1/0),IF(COUNT(FILTER(G:G,((A:A=A702)*(B:B=""V""))))&gt;1,TRUNC(N702*G702/SUM(FILTER(N:N,((A:A=A702)*(B:B=""V"")))),3),G702))"),"")</f>
        <v/>
      </c>
      <c r="L702" s="148" t="str">
        <f>IFERROR(__xludf.DUMMYFUNCTION("if($C702="""","""",iferror(if(row()&lt;&gt;2,INDEX(arrayformula(filter($M$2:$M701,$C$2:$C701&lt;&gt;"""",row($C$2:$C701)=max(if($C$2:$C701=C702,row($C$2:$C701),0)))) ,1),0),0))"),"")</f>
        <v/>
      </c>
      <c r="M702" s="148" t="str">
        <f t="shared" si="1"/>
        <v/>
      </c>
      <c r="N702" s="147" t="str">
        <f t="shared" si="2"/>
        <v/>
      </c>
      <c r="O702" s="147" t="str">
        <f t="shared" si="21"/>
        <v/>
      </c>
      <c r="P702" s="147" t="str">
        <f>IFERROR(__xludf.DUMMYFUNCTION("if(C702="""","""",iferror(if(row()&lt;&gt;2,INDEX(arrayformula(filter($Q$2:$Q701,$C$2:$C701&lt;&gt;"""",row($C$2:$C701)=max(if($C$2:$C701=C702,row($C$2:$C701),0)))) ,1),0),0))"),"")</f>
        <v/>
      </c>
      <c r="Q702" s="147" t="str">
        <f t="shared" si="22"/>
        <v/>
      </c>
      <c r="R702" s="147" t="str">
        <f t="shared" si="23"/>
        <v/>
      </c>
      <c r="S702" s="147" t="str">
        <f t="shared" si="24"/>
        <v/>
      </c>
      <c r="T702" s="147" t="str">
        <f t="shared" si="7"/>
        <v/>
      </c>
      <c r="U702" s="150" t="str">
        <f t="shared" si="8"/>
        <v/>
      </c>
      <c r="V702" s="151" t="str">
        <f>IFERROR(VLOOKUP(C702,Ativos!$A$1:$G2000,5,),)</f>
        <v/>
      </c>
    </row>
    <row r="703" ht="21.0" customHeight="1">
      <c r="A703" s="152"/>
      <c r="B703" s="160"/>
      <c r="C703" s="153"/>
      <c r="D703" s="154"/>
      <c r="E703" s="139"/>
      <c r="F703" s="139"/>
      <c r="G703" s="139"/>
      <c r="H703" s="135"/>
      <c r="I703" s="141"/>
      <c r="J703" s="147" t="str">
        <f>IFERROR(__xludf.DUMMYFUNCTION("IF(ISBLANK(A703),IFERROR(1/0),IF(COUNT(FILTER(F:F,A:A=A703))&gt;1,TRUNC(N703*F703/SUM(FILTER(N:N,A:A=A703)),3),F703))"),"")</f>
        <v/>
      </c>
      <c r="K703" s="147" t="str">
        <f>IFERROR(__xludf.DUMMYFUNCTION("IF(ISBLANK(A703),IFERROR(1/0),IF(COUNT(FILTER(G:G,((A:A=A703)*(B:B=""V""))))&gt;1,TRUNC(N703*G703/SUM(FILTER(N:N,((A:A=A703)*(B:B=""V"")))),3),G703))"),"")</f>
        <v/>
      </c>
      <c r="L703" s="148" t="str">
        <f>IFERROR(__xludf.DUMMYFUNCTION("if($C703="""","""",iferror(if(row()&lt;&gt;2,INDEX(arrayformula(filter($M$2:$M702,$C$2:$C702&lt;&gt;"""",row($C$2:$C702)=max(if($C$2:$C702=C703,row($C$2:$C702),0)))) ,1),0),0))"),"")</f>
        <v/>
      </c>
      <c r="M703" s="148" t="str">
        <f t="shared" si="1"/>
        <v/>
      </c>
      <c r="N703" s="147" t="str">
        <f t="shared" si="2"/>
        <v/>
      </c>
      <c r="O703" s="147" t="str">
        <f t="shared" si="21"/>
        <v/>
      </c>
      <c r="P703" s="147" t="str">
        <f>IFERROR(__xludf.DUMMYFUNCTION("if(C703="""","""",iferror(if(row()&lt;&gt;2,INDEX(arrayformula(filter($Q$2:$Q702,$C$2:$C702&lt;&gt;"""",row($C$2:$C702)=max(if($C$2:$C702=C703,row($C$2:$C702),0)))) ,1),0),0))"),"")</f>
        <v/>
      </c>
      <c r="Q703" s="147" t="str">
        <f t="shared" si="22"/>
        <v/>
      </c>
      <c r="R703" s="147" t="str">
        <f t="shared" si="23"/>
        <v/>
      </c>
      <c r="S703" s="147" t="str">
        <f t="shared" si="24"/>
        <v/>
      </c>
      <c r="T703" s="147" t="str">
        <f t="shared" si="7"/>
        <v/>
      </c>
      <c r="U703" s="150" t="str">
        <f t="shared" si="8"/>
        <v/>
      </c>
      <c r="V703" s="151" t="str">
        <f>IFERROR(VLOOKUP(C703,Ativos!$A$1:$G2000,5,),)</f>
        <v/>
      </c>
    </row>
    <row r="704" ht="21.0" customHeight="1">
      <c r="A704" s="152"/>
      <c r="B704" s="160"/>
      <c r="C704" s="153"/>
      <c r="D704" s="154"/>
      <c r="E704" s="139"/>
      <c r="F704" s="139"/>
      <c r="G704" s="139"/>
      <c r="H704" s="135"/>
      <c r="I704" s="141"/>
      <c r="J704" s="147" t="str">
        <f>IFERROR(__xludf.DUMMYFUNCTION("IF(ISBLANK(A704),IFERROR(1/0),IF(COUNT(FILTER(F:F,A:A=A704))&gt;1,TRUNC(N704*F704/SUM(FILTER(N:N,A:A=A704)),3),F704))"),"")</f>
        <v/>
      </c>
      <c r="K704" s="147" t="str">
        <f>IFERROR(__xludf.DUMMYFUNCTION("IF(ISBLANK(A704),IFERROR(1/0),IF(COUNT(FILTER(G:G,((A:A=A704)*(B:B=""V""))))&gt;1,TRUNC(N704*G704/SUM(FILTER(N:N,((A:A=A704)*(B:B=""V"")))),3),G704))"),"")</f>
        <v/>
      </c>
      <c r="L704" s="148" t="str">
        <f>IFERROR(__xludf.DUMMYFUNCTION("if($C704="""","""",iferror(if(row()&lt;&gt;2,INDEX(arrayformula(filter($M$2:$M703,$C$2:$C703&lt;&gt;"""",row($C$2:$C703)=max(if($C$2:$C703=C704,row($C$2:$C703),0)))) ,1),0),0))"),"")</f>
        <v/>
      </c>
      <c r="M704" s="148" t="str">
        <f t="shared" si="1"/>
        <v/>
      </c>
      <c r="N704" s="147" t="str">
        <f t="shared" si="2"/>
        <v/>
      </c>
      <c r="O704" s="147" t="str">
        <f t="shared" si="21"/>
        <v/>
      </c>
      <c r="P704" s="147" t="str">
        <f>IFERROR(__xludf.DUMMYFUNCTION("if(C704="""","""",iferror(if(row()&lt;&gt;2,INDEX(arrayformula(filter($Q$2:$Q703,$C$2:$C703&lt;&gt;"""",row($C$2:$C703)=max(if($C$2:$C703=C704,row($C$2:$C703),0)))) ,1),0),0))"),"")</f>
        <v/>
      </c>
      <c r="Q704" s="147" t="str">
        <f t="shared" si="22"/>
        <v/>
      </c>
      <c r="R704" s="147" t="str">
        <f t="shared" si="23"/>
        <v/>
      </c>
      <c r="S704" s="147" t="str">
        <f t="shared" si="24"/>
        <v/>
      </c>
      <c r="T704" s="147" t="str">
        <f t="shared" si="7"/>
        <v/>
      </c>
      <c r="U704" s="150" t="str">
        <f t="shared" si="8"/>
        <v/>
      </c>
      <c r="V704" s="151" t="str">
        <f>IFERROR(VLOOKUP(C704,Ativos!$A$1:$G2000,5,),)</f>
        <v/>
      </c>
    </row>
    <row r="705" ht="21.0" customHeight="1">
      <c r="A705" s="152"/>
      <c r="B705" s="160"/>
      <c r="C705" s="153"/>
      <c r="D705" s="154"/>
      <c r="E705" s="139"/>
      <c r="F705" s="139"/>
      <c r="G705" s="139"/>
      <c r="H705" s="135"/>
      <c r="I705" s="141"/>
      <c r="J705" s="147" t="str">
        <f>IFERROR(__xludf.DUMMYFUNCTION("IF(ISBLANK(A705),IFERROR(1/0),IF(COUNT(FILTER(F:F,A:A=A705))&gt;1,TRUNC(N705*F705/SUM(FILTER(N:N,A:A=A705)),3),F705))"),"")</f>
        <v/>
      </c>
      <c r="K705" s="147" t="str">
        <f>IFERROR(__xludf.DUMMYFUNCTION("IF(ISBLANK(A705),IFERROR(1/0),IF(COUNT(FILTER(G:G,((A:A=A705)*(B:B=""V""))))&gt;1,TRUNC(N705*G705/SUM(FILTER(N:N,((A:A=A705)*(B:B=""V"")))),3),G705))"),"")</f>
        <v/>
      </c>
      <c r="L705" s="148" t="str">
        <f>IFERROR(__xludf.DUMMYFUNCTION("if($C705="""","""",iferror(if(row()&lt;&gt;2,INDEX(arrayformula(filter($M$2:$M704,$C$2:$C704&lt;&gt;"""",row($C$2:$C704)=max(if($C$2:$C704=C705,row($C$2:$C704),0)))) ,1),0),0))"),"")</f>
        <v/>
      </c>
      <c r="M705" s="148" t="str">
        <f t="shared" si="1"/>
        <v/>
      </c>
      <c r="N705" s="147" t="str">
        <f t="shared" si="2"/>
        <v/>
      </c>
      <c r="O705" s="147" t="str">
        <f t="shared" si="21"/>
        <v/>
      </c>
      <c r="P705" s="147" t="str">
        <f>IFERROR(__xludf.DUMMYFUNCTION("if(C705="""","""",iferror(if(row()&lt;&gt;2,INDEX(arrayformula(filter($Q$2:$Q704,$C$2:$C704&lt;&gt;"""",row($C$2:$C704)=max(if($C$2:$C704=C705,row($C$2:$C704),0)))) ,1),0),0))"),"")</f>
        <v/>
      </c>
      <c r="Q705" s="147" t="str">
        <f t="shared" si="22"/>
        <v/>
      </c>
      <c r="R705" s="147" t="str">
        <f t="shared" si="23"/>
        <v/>
      </c>
      <c r="S705" s="147" t="str">
        <f t="shared" si="24"/>
        <v/>
      </c>
      <c r="T705" s="147" t="str">
        <f t="shared" si="7"/>
        <v/>
      </c>
      <c r="U705" s="150" t="str">
        <f t="shared" si="8"/>
        <v/>
      </c>
      <c r="V705" s="151" t="str">
        <f>IFERROR(VLOOKUP(C705,Ativos!$A$1:$G2000,5,),)</f>
        <v/>
      </c>
    </row>
    <row r="706" ht="21.0" customHeight="1">
      <c r="A706" s="152"/>
      <c r="B706" s="160"/>
      <c r="C706" s="153"/>
      <c r="D706" s="154"/>
      <c r="E706" s="139"/>
      <c r="F706" s="139"/>
      <c r="G706" s="139"/>
      <c r="H706" s="135"/>
      <c r="I706" s="141"/>
      <c r="J706" s="147" t="str">
        <f>IFERROR(__xludf.DUMMYFUNCTION("IF(ISBLANK(A706),IFERROR(1/0),IF(COUNT(FILTER(F:F,A:A=A706))&gt;1,TRUNC(N706*F706/SUM(FILTER(N:N,A:A=A706)),3),F706))"),"")</f>
        <v/>
      </c>
      <c r="K706" s="147" t="str">
        <f>IFERROR(__xludf.DUMMYFUNCTION("IF(ISBLANK(A706),IFERROR(1/0),IF(COUNT(FILTER(G:G,((A:A=A706)*(B:B=""V""))))&gt;1,TRUNC(N706*G706/SUM(FILTER(N:N,((A:A=A706)*(B:B=""V"")))),3),G706))"),"")</f>
        <v/>
      </c>
      <c r="L706" s="148" t="str">
        <f>IFERROR(__xludf.DUMMYFUNCTION("if($C706="""","""",iferror(if(row()&lt;&gt;2,INDEX(arrayformula(filter($M$2:$M705,$C$2:$C705&lt;&gt;"""",row($C$2:$C705)=max(if($C$2:$C705=C706,row($C$2:$C705),0)))) ,1),0),0))"),"")</f>
        <v/>
      </c>
      <c r="M706" s="148" t="str">
        <f t="shared" si="1"/>
        <v/>
      </c>
      <c r="N706" s="147" t="str">
        <f t="shared" si="2"/>
        <v/>
      </c>
      <c r="O706" s="147" t="str">
        <f t="shared" si="21"/>
        <v/>
      </c>
      <c r="P706" s="147" t="str">
        <f>IFERROR(__xludf.DUMMYFUNCTION("if(C706="""","""",iferror(if(row()&lt;&gt;2,INDEX(arrayformula(filter($Q$2:$Q705,$C$2:$C705&lt;&gt;"""",row($C$2:$C705)=max(if($C$2:$C705=C706,row($C$2:$C705),0)))) ,1),0),0))"),"")</f>
        <v/>
      </c>
      <c r="Q706" s="147" t="str">
        <f t="shared" si="22"/>
        <v/>
      </c>
      <c r="R706" s="147" t="str">
        <f t="shared" si="23"/>
        <v/>
      </c>
      <c r="S706" s="147" t="str">
        <f t="shared" si="24"/>
        <v/>
      </c>
      <c r="T706" s="147" t="str">
        <f t="shared" si="7"/>
        <v/>
      </c>
      <c r="U706" s="150" t="str">
        <f t="shared" si="8"/>
        <v/>
      </c>
      <c r="V706" s="151" t="str">
        <f>IFERROR(VLOOKUP(C706,Ativos!$A$1:$G2000,5,),)</f>
        <v/>
      </c>
    </row>
    <row r="707" ht="21.0" customHeight="1">
      <c r="A707" s="152"/>
      <c r="B707" s="160"/>
      <c r="C707" s="153"/>
      <c r="D707" s="154"/>
      <c r="E707" s="139"/>
      <c r="F707" s="139"/>
      <c r="G707" s="139"/>
      <c r="H707" s="135"/>
      <c r="I707" s="141"/>
      <c r="J707" s="147" t="str">
        <f>IFERROR(__xludf.DUMMYFUNCTION("IF(ISBLANK(A707),IFERROR(1/0),IF(COUNT(FILTER(F:F,A:A=A707))&gt;1,TRUNC(N707*F707/SUM(FILTER(N:N,A:A=A707)),3),F707))"),"")</f>
        <v/>
      </c>
      <c r="K707" s="147" t="str">
        <f>IFERROR(__xludf.DUMMYFUNCTION("IF(ISBLANK(A707),IFERROR(1/0),IF(COUNT(FILTER(G:G,((A:A=A707)*(B:B=""V""))))&gt;1,TRUNC(N707*G707/SUM(FILTER(N:N,((A:A=A707)*(B:B=""V"")))),3),G707))"),"")</f>
        <v/>
      </c>
      <c r="L707" s="148" t="str">
        <f>IFERROR(__xludf.DUMMYFUNCTION("if($C707="""","""",iferror(if(row()&lt;&gt;2,INDEX(arrayformula(filter($M$2:$M706,$C$2:$C706&lt;&gt;"""",row($C$2:$C706)=max(if($C$2:$C706=C707,row($C$2:$C706),0)))) ,1),0),0))"),"")</f>
        <v/>
      </c>
      <c r="M707" s="148" t="str">
        <f t="shared" si="1"/>
        <v/>
      </c>
      <c r="N707" s="147" t="str">
        <f t="shared" si="2"/>
        <v/>
      </c>
      <c r="O707" s="147" t="str">
        <f t="shared" si="21"/>
        <v/>
      </c>
      <c r="P707" s="147" t="str">
        <f>IFERROR(__xludf.DUMMYFUNCTION("if(C707="""","""",iferror(if(row()&lt;&gt;2,INDEX(arrayformula(filter($Q$2:$Q706,$C$2:$C706&lt;&gt;"""",row($C$2:$C706)=max(if($C$2:$C706=C707,row($C$2:$C706),0)))) ,1),0),0))"),"")</f>
        <v/>
      </c>
      <c r="Q707" s="147" t="str">
        <f t="shared" si="22"/>
        <v/>
      </c>
      <c r="R707" s="147" t="str">
        <f t="shared" si="23"/>
        <v/>
      </c>
      <c r="S707" s="147" t="str">
        <f t="shared" si="24"/>
        <v/>
      </c>
      <c r="T707" s="147" t="str">
        <f t="shared" si="7"/>
        <v/>
      </c>
      <c r="U707" s="150" t="str">
        <f t="shared" si="8"/>
        <v/>
      </c>
      <c r="V707" s="151" t="str">
        <f>IFERROR(VLOOKUP(C707,Ativos!$A$1:$G2000,5,),)</f>
        <v/>
      </c>
    </row>
    <row r="708" ht="21.0" customHeight="1">
      <c r="A708" s="152"/>
      <c r="B708" s="160"/>
      <c r="C708" s="153"/>
      <c r="D708" s="154"/>
      <c r="E708" s="139"/>
      <c r="F708" s="139"/>
      <c r="G708" s="139"/>
      <c r="H708" s="135"/>
      <c r="I708" s="141"/>
      <c r="J708" s="147" t="str">
        <f>IFERROR(__xludf.DUMMYFUNCTION("IF(ISBLANK(A708),IFERROR(1/0),IF(COUNT(FILTER(F:F,A:A=A708))&gt;1,TRUNC(N708*F708/SUM(FILTER(N:N,A:A=A708)),3),F708))"),"")</f>
        <v/>
      </c>
      <c r="K708" s="147" t="str">
        <f>IFERROR(__xludf.DUMMYFUNCTION("IF(ISBLANK(A708),IFERROR(1/0),IF(COUNT(FILTER(G:G,((A:A=A708)*(B:B=""V""))))&gt;1,TRUNC(N708*G708/SUM(FILTER(N:N,((A:A=A708)*(B:B=""V"")))),3),G708))"),"")</f>
        <v/>
      </c>
      <c r="L708" s="148" t="str">
        <f>IFERROR(__xludf.DUMMYFUNCTION("if($C708="""","""",iferror(if(row()&lt;&gt;2,INDEX(arrayformula(filter($M$2:$M707,$C$2:$C707&lt;&gt;"""",row($C$2:$C707)=max(if($C$2:$C707=C708,row($C$2:$C707),0)))) ,1),0),0))"),"")</f>
        <v/>
      </c>
      <c r="M708" s="148" t="str">
        <f t="shared" si="1"/>
        <v/>
      </c>
      <c r="N708" s="147" t="str">
        <f t="shared" si="2"/>
        <v/>
      </c>
      <c r="O708" s="147" t="str">
        <f t="shared" si="21"/>
        <v/>
      </c>
      <c r="P708" s="147" t="str">
        <f>IFERROR(__xludf.DUMMYFUNCTION("if(C708="""","""",iferror(if(row()&lt;&gt;2,INDEX(arrayformula(filter($Q$2:$Q707,$C$2:$C707&lt;&gt;"""",row($C$2:$C707)=max(if($C$2:$C707=C708,row($C$2:$C707),0)))) ,1),0),0))"),"")</f>
        <v/>
      </c>
      <c r="Q708" s="147" t="str">
        <f t="shared" si="22"/>
        <v/>
      </c>
      <c r="R708" s="147" t="str">
        <f t="shared" si="23"/>
        <v/>
      </c>
      <c r="S708" s="147" t="str">
        <f t="shared" si="24"/>
        <v/>
      </c>
      <c r="T708" s="147" t="str">
        <f t="shared" si="7"/>
        <v/>
      </c>
      <c r="U708" s="150" t="str">
        <f t="shared" si="8"/>
        <v/>
      </c>
      <c r="V708" s="151" t="str">
        <f>IFERROR(VLOOKUP(C708,Ativos!$A$1:$G2000,5,),)</f>
        <v/>
      </c>
    </row>
    <row r="709" ht="21.0" customHeight="1">
      <c r="A709" s="152"/>
      <c r="B709" s="160"/>
      <c r="C709" s="153"/>
      <c r="D709" s="154"/>
      <c r="E709" s="139"/>
      <c r="F709" s="139"/>
      <c r="G709" s="139"/>
      <c r="H709" s="135"/>
      <c r="I709" s="141"/>
      <c r="J709" s="147" t="str">
        <f>IFERROR(__xludf.DUMMYFUNCTION("IF(ISBLANK(A709),IFERROR(1/0),IF(COUNT(FILTER(F:F,A:A=A709))&gt;1,TRUNC(N709*F709/SUM(FILTER(N:N,A:A=A709)),3),F709))"),"")</f>
        <v/>
      </c>
      <c r="K709" s="147" t="str">
        <f>IFERROR(__xludf.DUMMYFUNCTION("IF(ISBLANK(A709),IFERROR(1/0),IF(COUNT(FILTER(G:G,((A:A=A709)*(B:B=""V""))))&gt;1,TRUNC(N709*G709/SUM(FILTER(N:N,((A:A=A709)*(B:B=""V"")))),3),G709))"),"")</f>
        <v/>
      </c>
      <c r="L709" s="148" t="str">
        <f>IFERROR(__xludf.DUMMYFUNCTION("if($C709="""","""",iferror(if(row()&lt;&gt;2,INDEX(arrayformula(filter($M$2:$M708,$C$2:$C708&lt;&gt;"""",row($C$2:$C708)=max(if($C$2:$C708=C709,row($C$2:$C708),0)))) ,1),0),0))"),"")</f>
        <v/>
      </c>
      <c r="M709" s="148" t="str">
        <f t="shared" si="1"/>
        <v/>
      </c>
      <c r="N709" s="147" t="str">
        <f t="shared" si="2"/>
        <v/>
      </c>
      <c r="O709" s="147" t="str">
        <f t="shared" si="21"/>
        <v/>
      </c>
      <c r="P709" s="147" t="str">
        <f>IFERROR(__xludf.DUMMYFUNCTION("if(C709="""","""",iferror(if(row()&lt;&gt;2,INDEX(arrayformula(filter($Q$2:$Q708,$C$2:$C708&lt;&gt;"""",row($C$2:$C708)=max(if($C$2:$C708=C709,row($C$2:$C708),0)))) ,1),0),0))"),"")</f>
        <v/>
      </c>
      <c r="Q709" s="147" t="str">
        <f t="shared" si="22"/>
        <v/>
      </c>
      <c r="R709" s="147" t="str">
        <f t="shared" si="23"/>
        <v/>
      </c>
      <c r="S709" s="147" t="str">
        <f t="shared" si="24"/>
        <v/>
      </c>
      <c r="T709" s="147" t="str">
        <f t="shared" si="7"/>
        <v/>
      </c>
      <c r="U709" s="150" t="str">
        <f t="shared" si="8"/>
        <v/>
      </c>
      <c r="V709" s="151" t="str">
        <f>IFERROR(VLOOKUP(C709,Ativos!$A$1:$G2000,5,),)</f>
        <v/>
      </c>
    </row>
    <row r="710" ht="21.0" customHeight="1">
      <c r="A710" s="152"/>
      <c r="B710" s="160"/>
      <c r="C710" s="153"/>
      <c r="D710" s="154"/>
      <c r="E710" s="139"/>
      <c r="F710" s="139"/>
      <c r="G710" s="139"/>
      <c r="H710" s="135"/>
      <c r="I710" s="141"/>
      <c r="J710" s="147" t="str">
        <f>IFERROR(__xludf.DUMMYFUNCTION("IF(ISBLANK(A710),IFERROR(1/0),IF(COUNT(FILTER(F:F,A:A=A710))&gt;1,TRUNC(N710*F710/SUM(FILTER(N:N,A:A=A710)),3),F710))"),"")</f>
        <v/>
      </c>
      <c r="K710" s="147" t="str">
        <f>IFERROR(__xludf.DUMMYFUNCTION("IF(ISBLANK(A710),IFERROR(1/0),IF(COUNT(FILTER(G:G,((A:A=A710)*(B:B=""V""))))&gt;1,TRUNC(N710*G710/SUM(FILTER(N:N,((A:A=A710)*(B:B=""V"")))),3),G710))"),"")</f>
        <v/>
      </c>
      <c r="L710" s="148" t="str">
        <f>IFERROR(__xludf.DUMMYFUNCTION("if($C710="""","""",iferror(if(row()&lt;&gt;2,INDEX(arrayformula(filter($M$2:$M709,$C$2:$C709&lt;&gt;"""",row($C$2:$C709)=max(if($C$2:$C709=C710,row($C$2:$C709),0)))) ,1),0),0))"),"")</f>
        <v/>
      </c>
      <c r="M710" s="148" t="str">
        <f t="shared" si="1"/>
        <v/>
      </c>
      <c r="N710" s="147" t="str">
        <f t="shared" si="2"/>
        <v/>
      </c>
      <c r="O710" s="147" t="str">
        <f t="shared" si="21"/>
        <v/>
      </c>
      <c r="P710" s="147" t="str">
        <f>IFERROR(__xludf.DUMMYFUNCTION("if(C710="""","""",iferror(if(row()&lt;&gt;2,INDEX(arrayformula(filter($Q$2:$Q709,$C$2:$C709&lt;&gt;"""",row($C$2:$C709)=max(if($C$2:$C709=C710,row($C$2:$C709),0)))) ,1),0),0))"),"")</f>
        <v/>
      </c>
      <c r="Q710" s="147" t="str">
        <f t="shared" si="22"/>
        <v/>
      </c>
      <c r="R710" s="147" t="str">
        <f t="shared" si="23"/>
        <v/>
      </c>
      <c r="S710" s="147" t="str">
        <f t="shared" si="24"/>
        <v/>
      </c>
      <c r="T710" s="147" t="str">
        <f t="shared" si="7"/>
        <v/>
      </c>
      <c r="U710" s="150" t="str">
        <f t="shared" si="8"/>
        <v/>
      </c>
      <c r="V710" s="151" t="str">
        <f>IFERROR(VLOOKUP(C710,Ativos!$A$1:$G2000,5,),)</f>
        <v/>
      </c>
    </row>
    <row r="711" ht="21.0" customHeight="1">
      <c r="A711" s="152"/>
      <c r="B711" s="160"/>
      <c r="C711" s="153"/>
      <c r="D711" s="154"/>
      <c r="E711" s="139"/>
      <c r="F711" s="139"/>
      <c r="G711" s="139"/>
      <c r="H711" s="135"/>
      <c r="I711" s="141"/>
      <c r="J711" s="147" t="str">
        <f>IFERROR(__xludf.DUMMYFUNCTION("IF(ISBLANK(A711),IFERROR(1/0),IF(COUNT(FILTER(F:F,A:A=A711))&gt;1,TRUNC(N711*F711/SUM(FILTER(N:N,A:A=A711)),3),F711))"),"")</f>
        <v/>
      </c>
      <c r="K711" s="147" t="str">
        <f>IFERROR(__xludf.DUMMYFUNCTION("IF(ISBLANK(A711),IFERROR(1/0),IF(COUNT(FILTER(G:G,((A:A=A711)*(B:B=""V""))))&gt;1,TRUNC(N711*G711/SUM(FILTER(N:N,((A:A=A711)*(B:B=""V"")))),3),G711))"),"")</f>
        <v/>
      </c>
      <c r="L711" s="148" t="str">
        <f>IFERROR(__xludf.DUMMYFUNCTION("if($C711="""","""",iferror(if(row()&lt;&gt;2,INDEX(arrayformula(filter($M$2:$M710,$C$2:$C710&lt;&gt;"""",row($C$2:$C710)=max(if($C$2:$C710=C711,row($C$2:$C710),0)))) ,1),0),0))"),"")</f>
        <v/>
      </c>
      <c r="M711" s="148" t="str">
        <f t="shared" si="1"/>
        <v/>
      </c>
      <c r="N711" s="147" t="str">
        <f t="shared" si="2"/>
        <v/>
      </c>
      <c r="O711" s="147" t="str">
        <f t="shared" si="21"/>
        <v/>
      </c>
      <c r="P711" s="147" t="str">
        <f>IFERROR(__xludf.DUMMYFUNCTION("if(C711="""","""",iferror(if(row()&lt;&gt;2,INDEX(arrayformula(filter($Q$2:$Q710,$C$2:$C710&lt;&gt;"""",row($C$2:$C710)=max(if($C$2:$C710=C711,row($C$2:$C710),0)))) ,1),0),0))"),"")</f>
        <v/>
      </c>
      <c r="Q711" s="147" t="str">
        <f t="shared" si="22"/>
        <v/>
      </c>
      <c r="R711" s="147" t="str">
        <f t="shared" si="23"/>
        <v/>
      </c>
      <c r="S711" s="147" t="str">
        <f t="shared" si="24"/>
        <v/>
      </c>
      <c r="T711" s="147" t="str">
        <f t="shared" si="7"/>
        <v/>
      </c>
      <c r="U711" s="150" t="str">
        <f t="shared" si="8"/>
        <v/>
      </c>
      <c r="V711" s="151" t="str">
        <f>IFERROR(VLOOKUP(C711,Ativos!$A$1:$G2000,5,),)</f>
        <v/>
      </c>
    </row>
    <row r="712" ht="21.0" customHeight="1">
      <c r="A712" s="152"/>
      <c r="B712" s="160"/>
      <c r="C712" s="153"/>
      <c r="D712" s="154"/>
      <c r="E712" s="139"/>
      <c r="F712" s="139"/>
      <c r="G712" s="139"/>
      <c r="H712" s="135"/>
      <c r="I712" s="141"/>
      <c r="J712" s="147" t="str">
        <f>IFERROR(__xludf.DUMMYFUNCTION("IF(ISBLANK(A712),IFERROR(1/0),IF(COUNT(FILTER(F:F,A:A=A712))&gt;1,TRUNC(N712*F712/SUM(FILTER(N:N,A:A=A712)),3),F712))"),"")</f>
        <v/>
      </c>
      <c r="K712" s="147" t="str">
        <f>IFERROR(__xludf.DUMMYFUNCTION("IF(ISBLANK(A712),IFERROR(1/0),IF(COUNT(FILTER(G:G,((A:A=A712)*(B:B=""V""))))&gt;1,TRUNC(N712*G712/SUM(FILTER(N:N,((A:A=A712)*(B:B=""V"")))),3),G712))"),"")</f>
        <v/>
      </c>
      <c r="L712" s="148" t="str">
        <f>IFERROR(__xludf.DUMMYFUNCTION("if($C712="""","""",iferror(if(row()&lt;&gt;2,INDEX(arrayformula(filter($M$2:$M711,$C$2:$C711&lt;&gt;"""",row($C$2:$C711)=max(if($C$2:$C711=C712,row($C$2:$C711),0)))) ,1),0),0))"),"")</f>
        <v/>
      </c>
      <c r="M712" s="148" t="str">
        <f t="shared" si="1"/>
        <v/>
      </c>
      <c r="N712" s="147" t="str">
        <f t="shared" si="2"/>
        <v/>
      </c>
      <c r="O712" s="147" t="str">
        <f t="shared" si="21"/>
        <v/>
      </c>
      <c r="P712" s="147" t="str">
        <f>IFERROR(__xludf.DUMMYFUNCTION("if(C712="""","""",iferror(if(row()&lt;&gt;2,INDEX(arrayformula(filter($Q$2:$Q711,$C$2:$C711&lt;&gt;"""",row($C$2:$C711)=max(if($C$2:$C711=C712,row($C$2:$C711),0)))) ,1),0),0))"),"")</f>
        <v/>
      </c>
      <c r="Q712" s="147" t="str">
        <f t="shared" si="22"/>
        <v/>
      </c>
      <c r="R712" s="147" t="str">
        <f t="shared" si="23"/>
        <v/>
      </c>
      <c r="S712" s="147" t="str">
        <f t="shared" si="24"/>
        <v/>
      </c>
      <c r="T712" s="147" t="str">
        <f t="shared" si="7"/>
        <v/>
      </c>
      <c r="U712" s="150" t="str">
        <f t="shared" si="8"/>
        <v/>
      </c>
      <c r="V712" s="151" t="str">
        <f>IFERROR(VLOOKUP(C712,Ativos!$A$1:$G2000,5,),)</f>
        <v/>
      </c>
    </row>
    <row r="713" ht="21.0" customHeight="1">
      <c r="A713" s="152"/>
      <c r="B713" s="160"/>
      <c r="C713" s="153"/>
      <c r="D713" s="154"/>
      <c r="E713" s="139"/>
      <c r="F713" s="139"/>
      <c r="G713" s="139"/>
      <c r="H713" s="135"/>
      <c r="I713" s="141"/>
      <c r="J713" s="147" t="str">
        <f>IFERROR(__xludf.DUMMYFUNCTION("IF(ISBLANK(A713),IFERROR(1/0),IF(COUNT(FILTER(F:F,A:A=A713))&gt;1,TRUNC(N713*F713/SUM(FILTER(N:N,A:A=A713)),3),F713))"),"")</f>
        <v/>
      </c>
      <c r="K713" s="147" t="str">
        <f>IFERROR(__xludf.DUMMYFUNCTION("IF(ISBLANK(A713),IFERROR(1/0),IF(COUNT(FILTER(G:G,((A:A=A713)*(B:B=""V""))))&gt;1,TRUNC(N713*G713/SUM(FILTER(N:N,((A:A=A713)*(B:B=""V"")))),3),G713))"),"")</f>
        <v/>
      </c>
      <c r="L713" s="148" t="str">
        <f>IFERROR(__xludf.DUMMYFUNCTION("if($C713="""","""",iferror(if(row()&lt;&gt;2,INDEX(arrayformula(filter($M$2:$M712,$C$2:$C712&lt;&gt;"""",row($C$2:$C712)=max(if($C$2:$C712=C713,row($C$2:$C712),0)))) ,1),0),0))"),"")</f>
        <v/>
      </c>
      <c r="M713" s="148" t="str">
        <f t="shared" si="1"/>
        <v/>
      </c>
      <c r="N713" s="147" t="str">
        <f t="shared" si="2"/>
        <v/>
      </c>
      <c r="O713" s="147" t="str">
        <f t="shared" si="21"/>
        <v/>
      </c>
      <c r="P713" s="147" t="str">
        <f>IFERROR(__xludf.DUMMYFUNCTION("if(C713="""","""",iferror(if(row()&lt;&gt;2,INDEX(arrayformula(filter($Q$2:$Q712,$C$2:$C712&lt;&gt;"""",row($C$2:$C712)=max(if($C$2:$C712=C713,row($C$2:$C712),0)))) ,1),0),0))"),"")</f>
        <v/>
      </c>
      <c r="Q713" s="147" t="str">
        <f t="shared" si="22"/>
        <v/>
      </c>
      <c r="R713" s="147" t="str">
        <f t="shared" si="23"/>
        <v/>
      </c>
      <c r="S713" s="147" t="str">
        <f t="shared" si="24"/>
        <v/>
      </c>
      <c r="T713" s="147" t="str">
        <f t="shared" si="7"/>
        <v/>
      </c>
      <c r="U713" s="150" t="str">
        <f t="shared" si="8"/>
        <v/>
      </c>
      <c r="V713" s="151" t="str">
        <f>IFERROR(VLOOKUP(C713,Ativos!$A$1:$G2000,5,),)</f>
        <v/>
      </c>
    </row>
    <row r="714" ht="21.0" customHeight="1">
      <c r="A714" s="152"/>
      <c r="B714" s="160"/>
      <c r="C714" s="153"/>
      <c r="D714" s="154"/>
      <c r="E714" s="139"/>
      <c r="F714" s="139"/>
      <c r="G714" s="139"/>
      <c r="H714" s="135"/>
      <c r="I714" s="141"/>
      <c r="J714" s="147" t="str">
        <f>IFERROR(__xludf.DUMMYFUNCTION("IF(ISBLANK(A714),IFERROR(1/0),IF(COUNT(FILTER(F:F,A:A=A714))&gt;1,TRUNC(N714*F714/SUM(FILTER(N:N,A:A=A714)),3),F714))"),"")</f>
        <v/>
      </c>
      <c r="K714" s="147" t="str">
        <f>IFERROR(__xludf.DUMMYFUNCTION("IF(ISBLANK(A714),IFERROR(1/0),IF(COUNT(FILTER(G:G,((A:A=A714)*(B:B=""V""))))&gt;1,TRUNC(N714*G714/SUM(FILTER(N:N,((A:A=A714)*(B:B=""V"")))),3),G714))"),"")</f>
        <v/>
      </c>
      <c r="L714" s="148" t="str">
        <f>IFERROR(__xludf.DUMMYFUNCTION("if($C714="""","""",iferror(if(row()&lt;&gt;2,INDEX(arrayformula(filter($M$2:$M713,$C$2:$C713&lt;&gt;"""",row($C$2:$C713)=max(if($C$2:$C713=C714,row($C$2:$C713),0)))) ,1),0),0))"),"")</f>
        <v/>
      </c>
      <c r="M714" s="148" t="str">
        <f t="shared" si="1"/>
        <v/>
      </c>
      <c r="N714" s="147" t="str">
        <f t="shared" si="2"/>
        <v/>
      </c>
      <c r="O714" s="147" t="str">
        <f t="shared" si="21"/>
        <v/>
      </c>
      <c r="P714" s="147" t="str">
        <f>IFERROR(__xludf.DUMMYFUNCTION("if(C714="""","""",iferror(if(row()&lt;&gt;2,INDEX(arrayformula(filter($Q$2:$Q713,$C$2:$C713&lt;&gt;"""",row($C$2:$C713)=max(if($C$2:$C713=C714,row($C$2:$C713),0)))) ,1),0),0))"),"")</f>
        <v/>
      </c>
      <c r="Q714" s="147" t="str">
        <f t="shared" si="22"/>
        <v/>
      </c>
      <c r="R714" s="147" t="str">
        <f t="shared" si="23"/>
        <v/>
      </c>
      <c r="S714" s="147" t="str">
        <f t="shared" si="24"/>
        <v/>
      </c>
      <c r="T714" s="147" t="str">
        <f t="shared" si="7"/>
        <v/>
      </c>
      <c r="U714" s="150" t="str">
        <f t="shared" si="8"/>
        <v/>
      </c>
      <c r="V714" s="151" t="str">
        <f>IFERROR(VLOOKUP(C714,Ativos!$A$1:$G2000,5,),)</f>
        <v/>
      </c>
    </row>
    <row r="715" ht="21.0" customHeight="1">
      <c r="A715" s="152"/>
      <c r="B715" s="160"/>
      <c r="C715" s="153"/>
      <c r="D715" s="154"/>
      <c r="E715" s="139"/>
      <c r="F715" s="139"/>
      <c r="G715" s="139"/>
      <c r="H715" s="135"/>
      <c r="I715" s="141"/>
      <c r="J715" s="147" t="str">
        <f>IFERROR(__xludf.DUMMYFUNCTION("IF(ISBLANK(A715),IFERROR(1/0),IF(COUNT(FILTER(F:F,A:A=A715))&gt;1,TRUNC(N715*F715/SUM(FILTER(N:N,A:A=A715)),3),F715))"),"")</f>
        <v/>
      </c>
      <c r="K715" s="147" t="str">
        <f>IFERROR(__xludf.DUMMYFUNCTION("IF(ISBLANK(A715),IFERROR(1/0),IF(COUNT(FILTER(G:G,((A:A=A715)*(B:B=""V""))))&gt;1,TRUNC(N715*G715/SUM(FILTER(N:N,((A:A=A715)*(B:B=""V"")))),3),G715))"),"")</f>
        <v/>
      </c>
      <c r="L715" s="148" t="str">
        <f>IFERROR(__xludf.DUMMYFUNCTION("if($C715="""","""",iferror(if(row()&lt;&gt;2,INDEX(arrayformula(filter($M$2:$M714,$C$2:$C714&lt;&gt;"""",row($C$2:$C714)=max(if($C$2:$C714=C715,row($C$2:$C714),0)))) ,1),0),0))"),"")</f>
        <v/>
      </c>
      <c r="M715" s="148" t="str">
        <f t="shared" si="1"/>
        <v/>
      </c>
      <c r="N715" s="147" t="str">
        <f t="shared" si="2"/>
        <v/>
      </c>
      <c r="O715" s="147" t="str">
        <f t="shared" si="21"/>
        <v/>
      </c>
      <c r="P715" s="147" t="str">
        <f>IFERROR(__xludf.DUMMYFUNCTION("if(C715="""","""",iferror(if(row()&lt;&gt;2,INDEX(arrayformula(filter($Q$2:$Q714,$C$2:$C714&lt;&gt;"""",row($C$2:$C714)=max(if($C$2:$C714=C715,row($C$2:$C714),0)))) ,1),0),0))"),"")</f>
        <v/>
      </c>
      <c r="Q715" s="147" t="str">
        <f t="shared" si="22"/>
        <v/>
      </c>
      <c r="R715" s="147" t="str">
        <f t="shared" si="23"/>
        <v/>
      </c>
      <c r="S715" s="147" t="str">
        <f t="shared" si="24"/>
        <v/>
      </c>
      <c r="T715" s="147" t="str">
        <f t="shared" si="7"/>
        <v/>
      </c>
      <c r="U715" s="150" t="str">
        <f t="shared" si="8"/>
        <v/>
      </c>
      <c r="V715" s="151" t="str">
        <f>IFERROR(VLOOKUP(C715,Ativos!$A$1:$G2000,5,),)</f>
        <v/>
      </c>
    </row>
    <row r="716" ht="21.0" customHeight="1">
      <c r="A716" s="152"/>
      <c r="B716" s="160"/>
      <c r="C716" s="153"/>
      <c r="D716" s="154"/>
      <c r="E716" s="139"/>
      <c r="F716" s="139"/>
      <c r="G716" s="139"/>
      <c r="H716" s="135"/>
      <c r="I716" s="141"/>
      <c r="J716" s="147" t="str">
        <f>IFERROR(__xludf.DUMMYFUNCTION("IF(ISBLANK(A716),IFERROR(1/0),IF(COUNT(FILTER(F:F,A:A=A716))&gt;1,TRUNC(N716*F716/SUM(FILTER(N:N,A:A=A716)),3),F716))"),"")</f>
        <v/>
      </c>
      <c r="K716" s="147" t="str">
        <f>IFERROR(__xludf.DUMMYFUNCTION("IF(ISBLANK(A716),IFERROR(1/0),IF(COUNT(FILTER(G:G,((A:A=A716)*(B:B=""V""))))&gt;1,TRUNC(N716*G716/SUM(FILTER(N:N,((A:A=A716)*(B:B=""V"")))),3),G716))"),"")</f>
        <v/>
      </c>
      <c r="L716" s="148" t="str">
        <f>IFERROR(__xludf.DUMMYFUNCTION("if($C716="""","""",iferror(if(row()&lt;&gt;2,INDEX(arrayformula(filter($M$2:$M715,$C$2:$C715&lt;&gt;"""",row($C$2:$C715)=max(if($C$2:$C715=C716,row($C$2:$C715),0)))) ,1),0),0))"),"")</f>
        <v/>
      </c>
      <c r="M716" s="148" t="str">
        <f t="shared" si="1"/>
        <v/>
      </c>
      <c r="N716" s="147" t="str">
        <f t="shared" si="2"/>
        <v/>
      </c>
      <c r="O716" s="147" t="str">
        <f t="shared" si="21"/>
        <v/>
      </c>
      <c r="P716" s="147" t="str">
        <f>IFERROR(__xludf.DUMMYFUNCTION("if(C716="""","""",iferror(if(row()&lt;&gt;2,INDEX(arrayformula(filter($Q$2:$Q715,$C$2:$C715&lt;&gt;"""",row($C$2:$C715)=max(if($C$2:$C715=C716,row($C$2:$C715),0)))) ,1),0),0))"),"")</f>
        <v/>
      </c>
      <c r="Q716" s="147" t="str">
        <f t="shared" si="22"/>
        <v/>
      </c>
      <c r="R716" s="147" t="str">
        <f t="shared" si="23"/>
        <v/>
      </c>
      <c r="S716" s="147" t="str">
        <f t="shared" si="24"/>
        <v/>
      </c>
      <c r="T716" s="147" t="str">
        <f t="shared" si="7"/>
        <v/>
      </c>
      <c r="U716" s="150" t="str">
        <f t="shared" si="8"/>
        <v/>
      </c>
      <c r="V716" s="151" t="str">
        <f>IFERROR(VLOOKUP(C716,Ativos!$A$1:$G2000,5,),)</f>
        <v/>
      </c>
    </row>
    <row r="717" ht="21.0" customHeight="1">
      <c r="A717" s="152"/>
      <c r="B717" s="160"/>
      <c r="C717" s="153"/>
      <c r="D717" s="154"/>
      <c r="E717" s="139"/>
      <c r="F717" s="139"/>
      <c r="G717" s="139"/>
      <c r="H717" s="135"/>
      <c r="I717" s="141"/>
      <c r="J717" s="147" t="str">
        <f>IFERROR(__xludf.DUMMYFUNCTION("IF(ISBLANK(A717),IFERROR(1/0),IF(COUNT(FILTER(F:F,A:A=A717))&gt;1,TRUNC(N717*F717/SUM(FILTER(N:N,A:A=A717)),3),F717))"),"")</f>
        <v/>
      </c>
      <c r="K717" s="147" t="str">
        <f>IFERROR(__xludf.DUMMYFUNCTION("IF(ISBLANK(A717),IFERROR(1/0),IF(COUNT(FILTER(G:G,((A:A=A717)*(B:B=""V""))))&gt;1,TRUNC(N717*G717/SUM(FILTER(N:N,((A:A=A717)*(B:B=""V"")))),3),G717))"),"")</f>
        <v/>
      </c>
      <c r="L717" s="148" t="str">
        <f>IFERROR(__xludf.DUMMYFUNCTION("if($C717="""","""",iferror(if(row()&lt;&gt;2,INDEX(arrayformula(filter($M$2:$M716,$C$2:$C716&lt;&gt;"""",row($C$2:$C716)=max(if($C$2:$C716=C717,row($C$2:$C716),0)))) ,1),0),0))"),"")</f>
        <v/>
      </c>
      <c r="M717" s="148" t="str">
        <f t="shared" si="1"/>
        <v/>
      </c>
      <c r="N717" s="147" t="str">
        <f t="shared" si="2"/>
        <v/>
      </c>
      <c r="O717" s="147" t="str">
        <f t="shared" si="21"/>
        <v/>
      </c>
      <c r="P717" s="147" t="str">
        <f>IFERROR(__xludf.DUMMYFUNCTION("if(C717="""","""",iferror(if(row()&lt;&gt;2,INDEX(arrayformula(filter($Q$2:$Q716,$C$2:$C716&lt;&gt;"""",row($C$2:$C716)=max(if($C$2:$C716=C717,row($C$2:$C716),0)))) ,1),0),0))"),"")</f>
        <v/>
      </c>
      <c r="Q717" s="147" t="str">
        <f t="shared" si="22"/>
        <v/>
      </c>
      <c r="R717" s="147" t="str">
        <f t="shared" si="23"/>
        <v/>
      </c>
      <c r="S717" s="147" t="str">
        <f t="shared" si="24"/>
        <v/>
      </c>
      <c r="T717" s="147" t="str">
        <f t="shared" si="7"/>
        <v/>
      </c>
      <c r="U717" s="150" t="str">
        <f t="shared" si="8"/>
        <v/>
      </c>
      <c r="V717" s="151" t="str">
        <f>IFERROR(VLOOKUP(C717,Ativos!$A$1:$G2000,5,),)</f>
        <v/>
      </c>
    </row>
    <row r="718" ht="21.0" customHeight="1">
      <c r="A718" s="152"/>
      <c r="B718" s="160"/>
      <c r="C718" s="153"/>
      <c r="D718" s="154"/>
      <c r="E718" s="139"/>
      <c r="F718" s="139"/>
      <c r="G718" s="139"/>
      <c r="H718" s="135"/>
      <c r="I718" s="141"/>
      <c r="J718" s="147" t="str">
        <f>IFERROR(__xludf.DUMMYFUNCTION("IF(ISBLANK(A718),IFERROR(1/0),IF(COUNT(FILTER(F:F,A:A=A718))&gt;1,TRUNC(N718*F718/SUM(FILTER(N:N,A:A=A718)),3),F718))"),"")</f>
        <v/>
      </c>
      <c r="K718" s="147" t="str">
        <f>IFERROR(__xludf.DUMMYFUNCTION("IF(ISBLANK(A718),IFERROR(1/0),IF(COUNT(FILTER(G:G,((A:A=A718)*(B:B=""V""))))&gt;1,TRUNC(N718*G718/SUM(FILTER(N:N,((A:A=A718)*(B:B=""V"")))),3),G718))"),"")</f>
        <v/>
      </c>
      <c r="L718" s="148" t="str">
        <f>IFERROR(__xludf.DUMMYFUNCTION("if($C718="""","""",iferror(if(row()&lt;&gt;2,INDEX(arrayformula(filter($M$2:$M717,$C$2:$C717&lt;&gt;"""",row($C$2:$C717)=max(if($C$2:$C717=C718,row($C$2:$C717),0)))) ,1),0),0))"),"")</f>
        <v/>
      </c>
      <c r="M718" s="148" t="str">
        <f t="shared" si="1"/>
        <v/>
      </c>
      <c r="N718" s="147" t="str">
        <f t="shared" si="2"/>
        <v/>
      </c>
      <c r="O718" s="147" t="str">
        <f t="shared" si="21"/>
        <v/>
      </c>
      <c r="P718" s="147" t="str">
        <f>IFERROR(__xludf.DUMMYFUNCTION("if(C718="""","""",iferror(if(row()&lt;&gt;2,INDEX(arrayformula(filter($Q$2:$Q717,$C$2:$C717&lt;&gt;"""",row($C$2:$C717)=max(if($C$2:$C717=C718,row($C$2:$C717),0)))) ,1),0),0))"),"")</f>
        <v/>
      </c>
      <c r="Q718" s="147" t="str">
        <f t="shared" si="22"/>
        <v/>
      </c>
      <c r="R718" s="147" t="str">
        <f t="shared" si="23"/>
        <v/>
      </c>
      <c r="S718" s="147" t="str">
        <f t="shared" si="24"/>
        <v/>
      </c>
      <c r="T718" s="147" t="str">
        <f t="shared" si="7"/>
        <v/>
      </c>
      <c r="U718" s="150" t="str">
        <f t="shared" si="8"/>
        <v/>
      </c>
      <c r="V718" s="151" t="str">
        <f>IFERROR(VLOOKUP(C718,Ativos!$A$1:$G2000,5,),)</f>
        <v/>
      </c>
    </row>
    <row r="719" ht="21.0" customHeight="1">
      <c r="A719" s="152"/>
      <c r="B719" s="160"/>
      <c r="C719" s="153"/>
      <c r="D719" s="154"/>
      <c r="E719" s="139"/>
      <c r="F719" s="139"/>
      <c r="G719" s="139"/>
      <c r="H719" s="135"/>
      <c r="I719" s="141"/>
      <c r="J719" s="147" t="str">
        <f>IFERROR(__xludf.DUMMYFUNCTION("IF(ISBLANK(A719),IFERROR(1/0),IF(COUNT(FILTER(F:F,A:A=A719))&gt;1,TRUNC(N719*F719/SUM(FILTER(N:N,A:A=A719)),3),F719))"),"")</f>
        <v/>
      </c>
      <c r="K719" s="147" t="str">
        <f>IFERROR(__xludf.DUMMYFUNCTION("IF(ISBLANK(A719),IFERROR(1/0),IF(COUNT(FILTER(G:G,((A:A=A719)*(B:B=""V""))))&gt;1,TRUNC(N719*G719/SUM(FILTER(N:N,((A:A=A719)*(B:B=""V"")))),3),G719))"),"")</f>
        <v/>
      </c>
      <c r="L719" s="148" t="str">
        <f>IFERROR(__xludf.DUMMYFUNCTION("if($C719="""","""",iferror(if(row()&lt;&gt;2,INDEX(arrayformula(filter($M$2:$M718,$C$2:$C718&lt;&gt;"""",row($C$2:$C718)=max(if($C$2:$C718=C719,row($C$2:$C718),0)))) ,1),0),0))"),"")</f>
        <v/>
      </c>
      <c r="M719" s="148" t="str">
        <f t="shared" si="1"/>
        <v/>
      </c>
      <c r="N719" s="147" t="str">
        <f t="shared" si="2"/>
        <v/>
      </c>
      <c r="O719" s="147" t="str">
        <f t="shared" si="21"/>
        <v/>
      </c>
      <c r="P719" s="147" t="str">
        <f>IFERROR(__xludf.DUMMYFUNCTION("if(C719="""","""",iferror(if(row()&lt;&gt;2,INDEX(arrayformula(filter($Q$2:$Q718,$C$2:$C718&lt;&gt;"""",row($C$2:$C718)=max(if($C$2:$C718=C719,row($C$2:$C718),0)))) ,1),0),0))"),"")</f>
        <v/>
      </c>
      <c r="Q719" s="147" t="str">
        <f t="shared" si="22"/>
        <v/>
      </c>
      <c r="R719" s="147" t="str">
        <f t="shared" si="23"/>
        <v/>
      </c>
      <c r="S719" s="147" t="str">
        <f t="shared" si="24"/>
        <v/>
      </c>
      <c r="T719" s="147" t="str">
        <f t="shared" si="7"/>
        <v/>
      </c>
      <c r="U719" s="150" t="str">
        <f t="shared" si="8"/>
        <v/>
      </c>
      <c r="V719" s="151" t="str">
        <f>IFERROR(VLOOKUP(C719,Ativos!$A$1:$G2000,5,),)</f>
        <v/>
      </c>
    </row>
    <row r="720" ht="21.0" customHeight="1">
      <c r="A720" s="152"/>
      <c r="B720" s="160"/>
      <c r="C720" s="153"/>
      <c r="D720" s="154"/>
      <c r="E720" s="139"/>
      <c r="F720" s="139"/>
      <c r="G720" s="139"/>
      <c r="H720" s="135"/>
      <c r="I720" s="141"/>
      <c r="J720" s="147" t="str">
        <f>IFERROR(__xludf.DUMMYFUNCTION("IF(ISBLANK(A720),IFERROR(1/0),IF(COUNT(FILTER(F:F,A:A=A720))&gt;1,TRUNC(N720*F720/SUM(FILTER(N:N,A:A=A720)),3),F720))"),"")</f>
        <v/>
      </c>
      <c r="K720" s="147" t="str">
        <f>IFERROR(__xludf.DUMMYFUNCTION("IF(ISBLANK(A720),IFERROR(1/0),IF(COUNT(FILTER(G:G,((A:A=A720)*(B:B=""V""))))&gt;1,TRUNC(N720*G720/SUM(FILTER(N:N,((A:A=A720)*(B:B=""V"")))),3),G720))"),"")</f>
        <v/>
      </c>
      <c r="L720" s="148" t="str">
        <f>IFERROR(__xludf.DUMMYFUNCTION("if($C720="""","""",iferror(if(row()&lt;&gt;2,INDEX(arrayformula(filter($M$2:$M719,$C$2:$C719&lt;&gt;"""",row($C$2:$C719)=max(if($C$2:$C719=C720,row($C$2:$C719),0)))) ,1),0),0))"),"")</f>
        <v/>
      </c>
      <c r="M720" s="148" t="str">
        <f t="shared" si="1"/>
        <v/>
      </c>
      <c r="N720" s="147" t="str">
        <f t="shared" si="2"/>
        <v/>
      </c>
      <c r="O720" s="147" t="str">
        <f t="shared" si="21"/>
        <v/>
      </c>
      <c r="P720" s="147" t="str">
        <f>IFERROR(__xludf.DUMMYFUNCTION("if(C720="""","""",iferror(if(row()&lt;&gt;2,INDEX(arrayformula(filter($Q$2:$Q719,$C$2:$C719&lt;&gt;"""",row($C$2:$C719)=max(if($C$2:$C719=C720,row($C$2:$C719),0)))) ,1),0),0))"),"")</f>
        <v/>
      </c>
      <c r="Q720" s="147" t="str">
        <f t="shared" si="22"/>
        <v/>
      </c>
      <c r="R720" s="147" t="str">
        <f t="shared" si="23"/>
        <v/>
      </c>
      <c r="S720" s="147" t="str">
        <f t="shared" si="24"/>
        <v/>
      </c>
      <c r="T720" s="147" t="str">
        <f t="shared" si="7"/>
        <v/>
      </c>
      <c r="U720" s="150" t="str">
        <f t="shared" si="8"/>
        <v/>
      </c>
      <c r="V720" s="151" t="str">
        <f>IFERROR(VLOOKUP(C720,Ativos!$A$1:$G2000,5,),)</f>
        <v/>
      </c>
    </row>
    <row r="721" ht="21.0" customHeight="1">
      <c r="A721" s="152"/>
      <c r="B721" s="160"/>
      <c r="C721" s="153"/>
      <c r="D721" s="154"/>
      <c r="E721" s="139"/>
      <c r="F721" s="139"/>
      <c r="G721" s="139"/>
      <c r="H721" s="135"/>
      <c r="I721" s="141"/>
      <c r="J721" s="147" t="str">
        <f>IFERROR(__xludf.DUMMYFUNCTION("IF(ISBLANK(A721),IFERROR(1/0),IF(COUNT(FILTER(F:F,A:A=A721))&gt;1,TRUNC(N721*F721/SUM(FILTER(N:N,A:A=A721)),3),F721))"),"")</f>
        <v/>
      </c>
      <c r="K721" s="147" t="str">
        <f>IFERROR(__xludf.DUMMYFUNCTION("IF(ISBLANK(A721),IFERROR(1/0),IF(COUNT(FILTER(G:G,((A:A=A721)*(B:B=""V""))))&gt;1,TRUNC(N721*G721/SUM(FILTER(N:N,((A:A=A721)*(B:B=""V"")))),3),G721))"),"")</f>
        <v/>
      </c>
      <c r="L721" s="148" t="str">
        <f>IFERROR(__xludf.DUMMYFUNCTION("if($C721="""","""",iferror(if(row()&lt;&gt;2,INDEX(arrayformula(filter($M$2:$M720,$C$2:$C720&lt;&gt;"""",row($C$2:$C720)=max(if($C$2:$C720=C721,row($C$2:$C720),0)))) ,1),0),0))"),"")</f>
        <v/>
      </c>
      <c r="M721" s="148" t="str">
        <f t="shared" si="1"/>
        <v/>
      </c>
      <c r="N721" s="147" t="str">
        <f t="shared" si="2"/>
        <v/>
      </c>
      <c r="O721" s="147" t="str">
        <f t="shared" si="21"/>
        <v/>
      </c>
      <c r="P721" s="147" t="str">
        <f>IFERROR(__xludf.DUMMYFUNCTION("if(C721="""","""",iferror(if(row()&lt;&gt;2,INDEX(arrayformula(filter($Q$2:$Q720,$C$2:$C720&lt;&gt;"""",row($C$2:$C720)=max(if($C$2:$C720=C721,row($C$2:$C720),0)))) ,1),0),0))"),"")</f>
        <v/>
      </c>
      <c r="Q721" s="147" t="str">
        <f t="shared" si="22"/>
        <v/>
      </c>
      <c r="R721" s="147" t="str">
        <f t="shared" si="23"/>
        <v/>
      </c>
      <c r="S721" s="147" t="str">
        <f t="shared" si="24"/>
        <v/>
      </c>
      <c r="T721" s="147" t="str">
        <f t="shared" si="7"/>
        <v/>
      </c>
      <c r="U721" s="150" t="str">
        <f t="shared" si="8"/>
        <v/>
      </c>
      <c r="V721" s="151" t="str">
        <f>IFERROR(VLOOKUP(C721,Ativos!$A$1:$G2000,5,),)</f>
        <v/>
      </c>
    </row>
    <row r="722" ht="21.0" customHeight="1">
      <c r="A722" s="152"/>
      <c r="B722" s="160"/>
      <c r="C722" s="153"/>
      <c r="D722" s="154"/>
      <c r="E722" s="139"/>
      <c r="F722" s="139"/>
      <c r="G722" s="139"/>
      <c r="H722" s="135"/>
      <c r="I722" s="141"/>
      <c r="J722" s="147" t="str">
        <f>IFERROR(__xludf.DUMMYFUNCTION("IF(ISBLANK(A722),IFERROR(1/0),IF(COUNT(FILTER(F:F,A:A=A722))&gt;1,TRUNC(N722*F722/SUM(FILTER(N:N,A:A=A722)),3),F722))"),"")</f>
        <v/>
      </c>
      <c r="K722" s="147" t="str">
        <f>IFERROR(__xludf.DUMMYFUNCTION("IF(ISBLANK(A722),IFERROR(1/0),IF(COUNT(FILTER(G:G,((A:A=A722)*(B:B=""V""))))&gt;1,TRUNC(N722*G722/SUM(FILTER(N:N,((A:A=A722)*(B:B=""V"")))),3),G722))"),"")</f>
        <v/>
      </c>
      <c r="L722" s="148" t="str">
        <f>IFERROR(__xludf.DUMMYFUNCTION("if($C722="""","""",iferror(if(row()&lt;&gt;2,INDEX(arrayformula(filter($M$2:$M721,$C$2:$C721&lt;&gt;"""",row($C$2:$C721)=max(if($C$2:$C721=C722,row($C$2:$C721),0)))) ,1),0),0))"),"")</f>
        <v/>
      </c>
      <c r="M722" s="148" t="str">
        <f t="shared" si="1"/>
        <v/>
      </c>
      <c r="N722" s="147" t="str">
        <f t="shared" si="2"/>
        <v/>
      </c>
      <c r="O722" s="147" t="str">
        <f t="shared" si="21"/>
        <v/>
      </c>
      <c r="P722" s="147" t="str">
        <f>IFERROR(__xludf.DUMMYFUNCTION("if(C722="""","""",iferror(if(row()&lt;&gt;2,INDEX(arrayformula(filter($Q$2:$Q721,$C$2:$C721&lt;&gt;"""",row($C$2:$C721)=max(if($C$2:$C721=C722,row($C$2:$C721),0)))) ,1),0),0))"),"")</f>
        <v/>
      </c>
      <c r="Q722" s="147" t="str">
        <f t="shared" si="22"/>
        <v/>
      </c>
      <c r="R722" s="147" t="str">
        <f t="shared" si="23"/>
        <v/>
      </c>
      <c r="S722" s="147" t="str">
        <f t="shared" si="24"/>
        <v/>
      </c>
      <c r="T722" s="147" t="str">
        <f t="shared" si="7"/>
        <v/>
      </c>
      <c r="U722" s="150" t="str">
        <f t="shared" si="8"/>
        <v/>
      </c>
      <c r="V722" s="151" t="str">
        <f>IFERROR(VLOOKUP(C722,Ativos!$A$1:$G2000,5,),)</f>
        <v/>
      </c>
    </row>
    <row r="723" ht="21.0" customHeight="1">
      <c r="A723" s="152"/>
      <c r="B723" s="160"/>
      <c r="C723" s="153"/>
      <c r="D723" s="154"/>
      <c r="E723" s="139"/>
      <c r="F723" s="139"/>
      <c r="G723" s="139"/>
      <c r="H723" s="135"/>
      <c r="I723" s="141"/>
      <c r="J723" s="147" t="str">
        <f>IFERROR(__xludf.DUMMYFUNCTION("IF(ISBLANK(A723),IFERROR(1/0),IF(COUNT(FILTER(F:F,A:A=A723))&gt;1,TRUNC(N723*F723/SUM(FILTER(N:N,A:A=A723)),3),F723))"),"")</f>
        <v/>
      </c>
      <c r="K723" s="147" t="str">
        <f>IFERROR(__xludf.DUMMYFUNCTION("IF(ISBLANK(A723),IFERROR(1/0),IF(COUNT(FILTER(G:G,((A:A=A723)*(B:B=""V""))))&gt;1,TRUNC(N723*G723/SUM(FILTER(N:N,((A:A=A723)*(B:B=""V"")))),3),G723))"),"")</f>
        <v/>
      </c>
      <c r="L723" s="148" t="str">
        <f>IFERROR(__xludf.DUMMYFUNCTION("if($C723="""","""",iferror(if(row()&lt;&gt;2,INDEX(arrayformula(filter($M$2:$M722,$C$2:$C722&lt;&gt;"""",row($C$2:$C722)=max(if($C$2:$C722=C723,row($C$2:$C722),0)))) ,1),0),0))"),"")</f>
        <v/>
      </c>
      <c r="M723" s="148" t="str">
        <f t="shared" si="1"/>
        <v/>
      </c>
      <c r="N723" s="147" t="str">
        <f t="shared" si="2"/>
        <v/>
      </c>
      <c r="O723" s="147" t="str">
        <f t="shared" si="21"/>
        <v/>
      </c>
      <c r="P723" s="147" t="str">
        <f>IFERROR(__xludf.DUMMYFUNCTION("if(C723="""","""",iferror(if(row()&lt;&gt;2,INDEX(arrayformula(filter($Q$2:$Q722,$C$2:$C722&lt;&gt;"""",row($C$2:$C722)=max(if($C$2:$C722=C723,row($C$2:$C722),0)))) ,1),0),0))"),"")</f>
        <v/>
      </c>
      <c r="Q723" s="147" t="str">
        <f t="shared" si="22"/>
        <v/>
      </c>
      <c r="R723" s="147" t="str">
        <f t="shared" si="23"/>
        <v/>
      </c>
      <c r="S723" s="147" t="str">
        <f t="shared" si="24"/>
        <v/>
      </c>
      <c r="T723" s="147" t="str">
        <f t="shared" si="7"/>
        <v/>
      </c>
      <c r="U723" s="150" t="str">
        <f t="shared" si="8"/>
        <v/>
      </c>
      <c r="V723" s="151" t="str">
        <f>IFERROR(VLOOKUP(C723,Ativos!$A$1:$G2000,5,),)</f>
        <v/>
      </c>
    </row>
    <row r="724" ht="21.0" customHeight="1">
      <c r="A724" s="152"/>
      <c r="B724" s="160"/>
      <c r="C724" s="153"/>
      <c r="D724" s="154"/>
      <c r="E724" s="139"/>
      <c r="F724" s="139"/>
      <c r="G724" s="139"/>
      <c r="H724" s="135"/>
      <c r="I724" s="141"/>
      <c r="J724" s="147" t="str">
        <f>IFERROR(__xludf.DUMMYFUNCTION("IF(ISBLANK(A724),IFERROR(1/0),IF(COUNT(FILTER(F:F,A:A=A724))&gt;1,TRUNC(N724*F724/SUM(FILTER(N:N,A:A=A724)),3),F724))"),"")</f>
        <v/>
      </c>
      <c r="K724" s="147" t="str">
        <f>IFERROR(__xludf.DUMMYFUNCTION("IF(ISBLANK(A724),IFERROR(1/0),IF(COUNT(FILTER(G:G,((A:A=A724)*(B:B=""V""))))&gt;1,TRUNC(N724*G724/SUM(FILTER(N:N,((A:A=A724)*(B:B=""V"")))),3),G724))"),"")</f>
        <v/>
      </c>
      <c r="L724" s="148" t="str">
        <f>IFERROR(__xludf.DUMMYFUNCTION("if($C724="""","""",iferror(if(row()&lt;&gt;2,INDEX(arrayformula(filter($M$2:$M723,$C$2:$C723&lt;&gt;"""",row($C$2:$C723)=max(if($C$2:$C723=C724,row($C$2:$C723),0)))) ,1),0),0))"),"")</f>
        <v/>
      </c>
      <c r="M724" s="148" t="str">
        <f t="shared" si="1"/>
        <v/>
      </c>
      <c r="N724" s="147" t="str">
        <f t="shared" si="2"/>
        <v/>
      </c>
      <c r="O724" s="147" t="str">
        <f t="shared" si="21"/>
        <v/>
      </c>
      <c r="P724" s="147" t="str">
        <f>IFERROR(__xludf.DUMMYFUNCTION("if(C724="""","""",iferror(if(row()&lt;&gt;2,INDEX(arrayformula(filter($Q$2:$Q723,$C$2:$C723&lt;&gt;"""",row($C$2:$C723)=max(if($C$2:$C723=C724,row($C$2:$C723),0)))) ,1),0),0))"),"")</f>
        <v/>
      </c>
      <c r="Q724" s="147" t="str">
        <f t="shared" si="22"/>
        <v/>
      </c>
      <c r="R724" s="147" t="str">
        <f t="shared" si="23"/>
        <v/>
      </c>
      <c r="S724" s="147" t="str">
        <f t="shared" si="24"/>
        <v/>
      </c>
      <c r="T724" s="147" t="str">
        <f t="shared" si="7"/>
        <v/>
      </c>
      <c r="U724" s="150" t="str">
        <f t="shared" si="8"/>
        <v/>
      </c>
      <c r="V724" s="151" t="str">
        <f>IFERROR(VLOOKUP(C724,Ativos!$A$1:$G2000,5,),)</f>
        <v/>
      </c>
    </row>
    <row r="725" ht="21.0" customHeight="1">
      <c r="A725" s="152"/>
      <c r="B725" s="160"/>
      <c r="C725" s="153"/>
      <c r="D725" s="154"/>
      <c r="E725" s="139"/>
      <c r="F725" s="139"/>
      <c r="G725" s="139"/>
      <c r="H725" s="135"/>
      <c r="I725" s="141"/>
      <c r="J725" s="147" t="str">
        <f>IFERROR(__xludf.DUMMYFUNCTION("IF(ISBLANK(A725),IFERROR(1/0),IF(COUNT(FILTER(F:F,A:A=A725))&gt;1,TRUNC(N725*F725/SUM(FILTER(N:N,A:A=A725)),3),F725))"),"")</f>
        <v/>
      </c>
      <c r="K725" s="147" t="str">
        <f>IFERROR(__xludf.DUMMYFUNCTION("IF(ISBLANK(A725),IFERROR(1/0),IF(COUNT(FILTER(G:G,((A:A=A725)*(B:B=""V""))))&gt;1,TRUNC(N725*G725/SUM(FILTER(N:N,((A:A=A725)*(B:B=""V"")))),3),G725))"),"")</f>
        <v/>
      </c>
      <c r="L725" s="148" t="str">
        <f>IFERROR(__xludf.DUMMYFUNCTION("if($C725="""","""",iferror(if(row()&lt;&gt;2,INDEX(arrayformula(filter($M$2:$M724,$C$2:$C724&lt;&gt;"""",row($C$2:$C724)=max(if($C$2:$C724=C725,row($C$2:$C724),0)))) ,1),0),0))"),"")</f>
        <v/>
      </c>
      <c r="M725" s="148" t="str">
        <f t="shared" si="1"/>
        <v/>
      </c>
      <c r="N725" s="147" t="str">
        <f t="shared" si="2"/>
        <v/>
      </c>
      <c r="O725" s="147" t="str">
        <f t="shared" si="21"/>
        <v/>
      </c>
      <c r="P725" s="147" t="str">
        <f>IFERROR(__xludf.DUMMYFUNCTION("if(C725="""","""",iferror(if(row()&lt;&gt;2,INDEX(arrayformula(filter($Q$2:$Q724,$C$2:$C724&lt;&gt;"""",row($C$2:$C724)=max(if($C$2:$C724=C725,row($C$2:$C724),0)))) ,1),0),0))"),"")</f>
        <v/>
      </c>
      <c r="Q725" s="147" t="str">
        <f t="shared" si="22"/>
        <v/>
      </c>
      <c r="R725" s="147" t="str">
        <f t="shared" si="23"/>
        <v/>
      </c>
      <c r="S725" s="147" t="str">
        <f t="shared" si="24"/>
        <v/>
      </c>
      <c r="T725" s="147" t="str">
        <f t="shared" si="7"/>
        <v/>
      </c>
      <c r="U725" s="150" t="str">
        <f t="shared" si="8"/>
        <v/>
      </c>
      <c r="V725" s="151" t="str">
        <f>IFERROR(VLOOKUP(C725,Ativos!$A$1:$G2000,5,),)</f>
        <v/>
      </c>
    </row>
    <row r="726" ht="21.0" customHeight="1">
      <c r="A726" s="152"/>
      <c r="B726" s="160"/>
      <c r="C726" s="153"/>
      <c r="D726" s="154"/>
      <c r="E726" s="139"/>
      <c r="F726" s="139"/>
      <c r="G726" s="139"/>
      <c r="H726" s="135"/>
      <c r="I726" s="141"/>
      <c r="J726" s="147" t="str">
        <f>IFERROR(__xludf.DUMMYFUNCTION("IF(ISBLANK(A726),IFERROR(1/0),IF(COUNT(FILTER(F:F,A:A=A726))&gt;1,TRUNC(N726*F726/SUM(FILTER(N:N,A:A=A726)),3),F726))"),"")</f>
        <v/>
      </c>
      <c r="K726" s="147" t="str">
        <f>IFERROR(__xludf.DUMMYFUNCTION("IF(ISBLANK(A726),IFERROR(1/0),IF(COUNT(FILTER(G:G,((A:A=A726)*(B:B=""V""))))&gt;1,TRUNC(N726*G726/SUM(FILTER(N:N,((A:A=A726)*(B:B=""V"")))),3),G726))"),"")</f>
        <v/>
      </c>
      <c r="L726" s="148" t="str">
        <f>IFERROR(__xludf.DUMMYFUNCTION("if($C726="""","""",iferror(if(row()&lt;&gt;2,INDEX(arrayformula(filter($M$2:$M725,$C$2:$C725&lt;&gt;"""",row($C$2:$C725)=max(if($C$2:$C725=C726,row($C$2:$C725),0)))) ,1),0),0))"),"")</f>
        <v/>
      </c>
      <c r="M726" s="148" t="str">
        <f t="shared" si="1"/>
        <v/>
      </c>
      <c r="N726" s="147" t="str">
        <f t="shared" si="2"/>
        <v/>
      </c>
      <c r="O726" s="147" t="str">
        <f t="shared" si="21"/>
        <v/>
      </c>
      <c r="P726" s="147" t="str">
        <f>IFERROR(__xludf.DUMMYFUNCTION("if(C726="""","""",iferror(if(row()&lt;&gt;2,INDEX(arrayformula(filter($Q$2:$Q725,$C$2:$C725&lt;&gt;"""",row($C$2:$C725)=max(if($C$2:$C725=C726,row($C$2:$C725),0)))) ,1),0),0))"),"")</f>
        <v/>
      </c>
      <c r="Q726" s="147" t="str">
        <f t="shared" si="22"/>
        <v/>
      </c>
      <c r="R726" s="147" t="str">
        <f t="shared" si="23"/>
        <v/>
      </c>
      <c r="S726" s="147" t="str">
        <f t="shared" si="24"/>
        <v/>
      </c>
      <c r="T726" s="147" t="str">
        <f t="shared" si="7"/>
        <v/>
      </c>
      <c r="U726" s="150" t="str">
        <f t="shared" si="8"/>
        <v/>
      </c>
      <c r="V726" s="151" t="str">
        <f>IFERROR(VLOOKUP(C726,Ativos!$A$1:$G2000,5,),)</f>
        <v/>
      </c>
    </row>
    <row r="727" ht="21.0" customHeight="1">
      <c r="A727" s="152"/>
      <c r="B727" s="160"/>
      <c r="C727" s="153"/>
      <c r="D727" s="154"/>
      <c r="E727" s="139"/>
      <c r="F727" s="139"/>
      <c r="G727" s="139"/>
      <c r="H727" s="135"/>
      <c r="I727" s="141"/>
      <c r="J727" s="147" t="str">
        <f>IFERROR(__xludf.DUMMYFUNCTION("IF(ISBLANK(A727),IFERROR(1/0),IF(COUNT(FILTER(F:F,A:A=A727))&gt;1,TRUNC(N727*F727/SUM(FILTER(N:N,A:A=A727)),3),F727))"),"")</f>
        <v/>
      </c>
      <c r="K727" s="147" t="str">
        <f>IFERROR(__xludf.DUMMYFUNCTION("IF(ISBLANK(A727),IFERROR(1/0),IF(COUNT(FILTER(G:G,((A:A=A727)*(B:B=""V""))))&gt;1,TRUNC(N727*G727/SUM(FILTER(N:N,((A:A=A727)*(B:B=""V"")))),3),G727))"),"")</f>
        <v/>
      </c>
      <c r="L727" s="148" t="str">
        <f>IFERROR(__xludf.DUMMYFUNCTION("if($C727="""","""",iferror(if(row()&lt;&gt;2,INDEX(arrayformula(filter($M$2:$M726,$C$2:$C726&lt;&gt;"""",row($C$2:$C726)=max(if($C$2:$C726=C727,row($C$2:$C726),0)))) ,1),0),0))"),"")</f>
        <v/>
      </c>
      <c r="M727" s="148" t="str">
        <f t="shared" si="1"/>
        <v/>
      </c>
      <c r="N727" s="147" t="str">
        <f t="shared" si="2"/>
        <v/>
      </c>
      <c r="O727" s="147" t="str">
        <f t="shared" si="21"/>
        <v/>
      </c>
      <c r="P727" s="147" t="str">
        <f>IFERROR(__xludf.DUMMYFUNCTION("if(C727="""","""",iferror(if(row()&lt;&gt;2,INDEX(arrayformula(filter($Q$2:$Q726,$C$2:$C726&lt;&gt;"""",row($C$2:$C726)=max(if($C$2:$C726=C727,row($C$2:$C726),0)))) ,1),0),0))"),"")</f>
        <v/>
      </c>
      <c r="Q727" s="147" t="str">
        <f t="shared" si="22"/>
        <v/>
      </c>
      <c r="R727" s="147" t="str">
        <f t="shared" si="23"/>
        <v/>
      </c>
      <c r="S727" s="147" t="str">
        <f t="shared" si="24"/>
        <v/>
      </c>
      <c r="T727" s="147" t="str">
        <f t="shared" si="7"/>
        <v/>
      </c>
      <c r="U727" s="150" t="str">
        <f t="shared" si="8"/>
        <v/>
      </c>
      <c r="V727" s="151" t="str">
        <f>IFERROR(VLOOKUP(C727,Ativos!$A$1:$G2000,5,),)</f>
        <v/>
      </c>
    </row>
    <row r="728" ht="21.0" customHeight="1">
      <c r="A728" s="152"/>
      <c r="B728" s="160"/>
      <c r="C728" s="153"/>
      <c r="D728" s="154"/>
      <c r="E728" s="139"/>
      <c r="F728" s="139"/>
      <c r="G728" s="139"/>
      <c r="H728" s="135"/>
      <c r="I728" s="141"/>
      <c r="J728" s="147" t="str">
        <f>IFERROR(__xludf.DUMMYFUNCTION("IF(ISBLANK(A728),IFERROR(1/0),IF(COUNT(FILTER(F:F,A:A=A728))&gt;1,TRUNC(N728*F728/SUM(FILTER(N:N,A:A=A728)),3),F728))"),"")</f>
        <v/>
      </c>
      <c r="K728" s="147" t="str">
        <f>IFERROR(__xludf.DUMMYFUNCTION("IF(ISBLANK(A728),IFERROR(1/0),IF(COUNT(FILTER(G:G,((A:A=A728)*(B:B=""V""))))&gt;1,TRUNC(N728*G728/SUM(FILTER(N:N,((A:A=A728)*(B:B=""V"")))),3),G728))"),"")</f>
        <v/>
      </c>
      <c r="L728" s="148" t="str">
        <f>IFERROR(__xludf.DUMMYFUNCTION("if($C728="""","""",iferror(if(row()&lt;&gt;2,INDEX(arrayformula(filter($M$2:$M727,$C$2:$C727&lt;&gt;"""",row($C$2:$C727)=max(if($C$2:$C727=C728,row($C$2:$C727),0)))) ,1),0),0))"),"")</f>
        <v/>
      </c>
      <c r="M728" s="148" t="str">
        <f t="shared" si="1"/>
        <v/>
      </c>
      <c r="N728" s="147" t="str">
        <f t="shared" si="2"/>
        <v/>
      </c>
      <c r="O728" s="147" t="str">
        <f t="shared" si="21"/>
        <v/>
      </c>
      <c r="P728" s="147" t="str">
        <f>IFERROR(__xludf.DUMMYFUNCTION("if(C728="""","""",iferror(if(row()&lt;&gt;2,INDEX(arrayformula(filter($Q$2:$Q727,$C$2:$C727&lt;&gt;"""",row($C$2:$C727)=max(if($C$2:$C727=C728,row($C$2:$C727),0)))) ,1),0),0))"),"")</f>
        <v/>
      </c>
      <c r="Q728" s="147" t="str">
        <f t="shared" si="22"/>
        <v/>
      </c>
      <c r="R728" s="147" t="str">
        <f t="shared" si="23"/>
        <v/>
      </c>
      <c r="S728" s="147" t="str">
        <f t="shared" si="24"/>
        <v/>
      </c>
      <c r="T728" s="147" t="str">
        <f t="shared" si="7"/>
        <v/>
      </c>
      <c r="U728" s="150" t="str">
        <f t="shared" si="8"/>
        <v/>
      </c>
      <c r="V728" s="151" t="str">
        <f>IFERROR(VLOOKUP(C728,Ativos!$A$1:$G2000,5,),)</f>
        <v/>
      </c>
    </row>
    <row r="729" ht="21.0" customHeight="1">
      <c r="A729" s="152"/>
      <c r="B729" s="160"/>
      <c r="C729" s="153"/>
      <c r="D729" s="154"/>
      <c r="E729" s="139"/>
      <c r="F729" s="139"/>
      <c r="G729" s="139"/>
      <c r="H729" s="135"/>
      <c r="I729" s="141"/>
      <c r="J729" s="147" t="str">
        <f>IFERROR(__xludf.DUMMYFUNCTION("IF(ISBLANK(A729),IFERROR(1/0),IF(COUNT(FILTER(F:F,A:A=A729))&gt;1,TRUNC(N729*F729/SUM(FILTER(N:N,A:A=A729)),3),F729))"),"")</f>
        <v/>
      </c>
      <c r="K729" s="147" t="str">
        <f>IFERROR(__xludf.DUMMYFUNCTION("IF(ISBLANK(A729),IFERROR(1/0),IF(COUNT(FILTER(G:G,((A:A=A729)*(B:B=""V""))))&gt;1,TRUNC(N729*G729/SUM(FILTER(N:N,((A:A=A729)*(B:B=""V"")))),3),G729))"),"")</f>
        <v/>
      </c>
      <c r="L729" s="148" t="str">
        <f>IFERROR(__xludf.DUMMYFUNCTION("if($C729="""","""",iferror(if(row()&lt;&gt;2,INDEX(arrayformula(filter($M$2:$M728,$C$2:$C728&lt;&gt;"""",row($C$2:$C728)=max(if($C$2:$C728=C729,row($C$2:$C728),0)))) ,1),0),0))"),"")</f>
        <v/>
      </c>
      <c r="M729" s="148" t="str">
        <f t="shared" si="1"/>
        <v/>
      </c>
      <c r="N729" s="147" t="str">
        <f t="shared" si="2"/>
        <v/>
      </c>
      <c r="O729" s="147" t="str">
        <f t="shared" si="21"/>
        <v/>
      </c>
      <c r="P729" s="147" t="str">
        <f>IFERROR(__xludf.DUMMYFUNCTION("if(C729="""","""",iferror(if(row()&lt;&gt;2,INDEX(arrayformula(filter($Q$2:$Q728,$C$2:$C728&lt;&gt;"""",row($C$2:$C728)=max(if($C$2:$C728=C729,row($C$2:$C728),0)))) ,1),0),0))"),"")</f>
        <v/>
      </c>
      <c r="Q729" s="147" t="str">
        <f t="shared" si="22"/>
        <v/>
      </c>
      <c r="R729" s="147" t="str">
        <f t="shared" si="23"/>
        <v/>
      </c>
      <c r="S729" s="147" t="str">
        <f t="shared" si="24"/>
        <v/>
      </c>
      <c r="T729" s="147" t="str">
        <f t="shared" si="7"/>
        <v/>
      </c>
      <c r="U729" s="150" t="str">
        <f t="shared" si="8"/>
        <v/>
      </c>
      <c r="V729" s="151" t="str">
        <f>IFERROR(VLOOKUP(C729,Ativos!$A$1:$G2000,5,),)</f>
        <v/>
      </c>
    </row>
    <row r="730" ht="21.0" customHeight="1">
      <c r="A730" s="152"/>
      <c r="B730" s="160"/>
      <c r="C730" s="153"/>
      <c r="D730" s="154"/>
      <c r="E730" s="139"/>
      <c r="F730" s="139"/>
      <c r="G730" s="139"/>
      <c r="H730" s="135"/>
      <c r="I730" s="141"/>
      <c r="J730" s="147" t="str">
        <f>IFERROR(__xludf.DUMMYFUNCTION("IF(ISBLANK(A730),IFERROR(1/0),IF(COUNT(FILTER(F:F,A:A=A730))&gt;1,TRUNC(N730*F730/SUM(FILTER(N:N,A:A=A730)),3),F730))"),"")</f>
        <v/>
      </c>
      <c r="K730" s="147" t="str">
        <f>IFERROR(__xludf.DUMMYFUNCTION("IF(ISBLANK(A730),IFERROR(1/0),IF(COUNT(FILTER(G:G,((A:A=A730)*(B:B=""V""))))&gt;1,TRUNC(N730*G730/SUM(FILTER(N:N,((A:A=A730)*(B:B=""V"")))),3),G730))"),"")</f>
        <v/>
      </c>
      <c r="L730" s="148" t="str">
        <f>IFERROR(__xludf.DUMMYFUNCTION("if($C730="""","""",iferror(if(row()&lt;&gt;2,INDEX(arrayformula(filter($M$2:$M729,$C$2:$C729&lt;&gt;"""",row($C$2:$C729)=max(if($C$2:$C729=C730,row($C$2:$C729),0)))) ,1),0),0))"),"")</f>
        <v/>
      </c>
      <c r="M730" s="148" t="str">
        <f t="shared" si="1"/>
        <v/>
      </c>
      <c r="N730" s="147" t="str">
        <f t="shared" si="2"/>
        <v/>
      </c>
      <c r="O730" s="147" t="str">
        <f t="shared" si="21"/>
        <v/>
      </c>
      <c r="P730" s="147" t="str">
        <f>IFERROR(__xludf.DUMMYFUNCTION("if(C730="""","""",iferror(if(row()&lt;&gt;2,INDEX(arrayformula(filter($Q$2:$Q729,$C$2:$C729&lt;&gt;"""",row($C$2:$C729)=max(if($C$2:$C729=C730,row($C$2:$C729),0)))) ,1),0),0))"),"")</f>
        <v/>
      </c>
      <c r="Q730" s="147" t="str">
        <f t="shared" si="22"/>
        <v/>
      </c>
      <c r="R730" s="147" t="str">
        <f t="shared" si="23"/>
        <v/>
      </c>
      <c r="S730" s="147" t="str">
        <f t="shared" si="24"/>
        <v/>
      </c>
      <c r="T730" s="147" t="str">
        <f t="shared" si="7"/>
        <v/>
      </c>
      <c r="U730" s="150" t="str">
        <f t="shared" si="8"/>
        <v/>
      </c>
      <c r="V730" s="151" t="str">
        <f>IFERROR(VLOOKUP(C730,Ativos!$A$1:$G2000,5,),)</f>
        <v/>
      </c>
    </row>
    <row r="731" ht="21.0" customHeight="1">
      <c r="A731" s="152"/>
      <c r="B731" s="160"/>
      <c r="C731" s="153"/>
      <c r="D731" s="154"/>
      <c r="E731" s="139"/>
      <c r="F731" s="139"/>
      <c r="G731" s="139"/>
      <c r="H731" s="135"/>
      <c r="I731" s="141"/>
      <c r="J731" s="147" t="str">
        <f>IFERROR(__xludf.DUMMYFUNCTION("IF(ISBLANK(A731),IFERROR(1/0),IF(COUNT(FILTER(F:F,A:A=A731))&gt;1,TRUNC(N731*F731/SUM(FILTER(N:N,A:A=A731)),3),F731))"),"")</f>
        <v/>
      </c>
      <c r="K731" s="147" t="str">
        <f>IFERROR(__xludf.DUMMYFUNCTION("IF(ISBLANK(A731),IFERROR(1/0),IF(COUNT(FILTER(G:G,((A:A=A731)*(B:B=""V""))))&gt;1,TRUNC(N731*G731/SUM(FILTER(N:N,((A:A=A731)*(B:B=""V"")))),3),G731))"),"")</f>
        <v/>
      </c>
      <c r="L731" s="148" t="str">
        <f>IFERROR(__xludf.DUMMYFUNCTION("if($C731="""","""",iferror(if(row()&lt;&gt;2,INDEX(arrayformula(filter($M$2:$M730,$C$2:$C730&lt;&gt;"""",row($C$2:$C730)=max(if($C$2:$C730=C731,row($C$2:$C730),0)))) ,1),0),0))"),"")</f>
        <v/>
      </c>
      <c r="M731" s="148" t="str">
        <f t="shared" si="1"/>
        <v/>
      </c>
      <c r="N731" s="147" t="str">
        <f t="shared" si="2"/>
        <v/>
      </c>
      <c r="O731" s="147" t="str">
        <f t="shared" si="21"/>
        <v/>
      </c>
      <c r="P731" s="147" t="str">
        <f>IFERROR(__xludf.DUMMYFUNCTION("if(C731="""","""",iferror(if(row()&lt;&gt;2,INDEX(arrayformula(filter($Q$2:$Q730,$C$2:$C730&lt;&gt;"""",row($C$2:$C730)=max(if($C$2:$C730=C731,row($C$2:$C730),0)))) ,1),0),0))"),"")</f>
        <v/>
      </c>
      <c r="Q731" s="147" t="str">
        <f t="shared" si="22"/>
        <v/>
      </c>
      <c r="R731" s="147" t="str">
        <f t="shared" si="23"/>
        <v/>
      </c>
      <c r="S731" s="147" t="str">
        <f t="shared" si="24"/>
        <v/>
      </c>
      <c r="T731" s="147" t="str">
        <f t="shared" si="7"/>
        <v/>
      </c>
      <c r="U731" s="150" t="str">
        <f t="shared" si="8"/>
        <v/>
      </c>
      <c r="V731" s="151" t="str">
        <f>IFERROR(VLOOKUP(C731,Ativos!$A$1:$G2000,5,),)</f>
        <v/>
      </c>
    </row>
    <row r="732" ht="21.0" customHeight="1">
      <c r="A732" s="152"/>
      <c r="B732" s="160"/>
      <c r="C732" s="153"/>
      <c r="D732" s="154"/>
      <c r="E732" s="139"/>
      <c r="F732" s="139"/>
      <c r="G732" s="139"/>
      <c r="H732" s="135"/>
      <c r="I732" s="141"/>
      <c r="J732" s="147" t="str">
        <f>IFERROR(__xludf.DUMMYFUNCTION("IF(ISBLANK(A732),IFERROR(1/0),IF(COUNT(FILTER(F:F,A:A=A732))&gt;1,TRUNC(N732*F732/SUM(FILTER(N:N,A:A=A732)),3),F732))"),"")</f>
        <v/>
      </c>
      <c r="K732" s="147" t="str">
        <f>IFERROR(__xludf.DUMMYFUNCTION("IF(ISBLANK(A732),IFERROR(1/0),IF(COUNT(FILTER(G:G,((A:A=A732)*(B:B=""V""))))&gt;1,TRUNC(N732*G732/SUM(FILTER(N:N,((A:A=A732)*(B:B=""V"")))),3),G732))"),"")</f>
        <v/>
      </c>
      <c r="L732" s="148" t="str">
        <f>IFERROR(__xludf.DUMMYFUNCTION("if($C732="""","""",iferror(if(row()&lt;&gt;2,INDEX(arrayformula(filter($M$2:$M731,$C$2:$C731&lt;&gt;"""",row($C$2:$C731)=max(if($C$2:$C731=C732,row($C$2:$C731),0)))) ,1),0),0))"),"")</f>
        <v/>
      </c>
      <c r="M732" s="148" t="str">
        <f t="shared" si="1"/>
        <v/>
      </c>
      <c r="N732" s="147" t="str">
        <f t="shared" si="2"/>
        <v/>
      </c>
      <c r="O732" s="147" t="str">
        <f t="shared" si="21"/>
        <v/>
      </c>
      <c r="P732" s="147" t="str">
        <f>IFERROR(__xludf.DUMMYFUNCTION("if(C732="""","""",iferror(if(row()&lt;&gt;2,INDEX(arrayformula(filter($Q$2:$Q731,$C$2:$C731&lt;&gt;"""",row($C$2:$C731)=max(if($C$2:$C731=C732,row($C$2:$C731),0)))) ,1),0),0))"),"")</f>
        <v/>
      </c>
      <c r="Q732" s="147" t="str">
        <f t="shared" si="22"/>
        <v/>
      </c>
      <c r="R732" s="147" t="str">
        <f t="shared" si="23"/>
        <v/>
      </c>
      <c r="S732" s="147" t="str">
        <f t="shared" si="24"/>
        <v/>
      </c>
      <c r="T732" s="147" t="str">
        <f t="shared" si="7"/>
        <v/>
      </c>
      <c r="U732" s="150" t="str">
        <f t="shared" si="8"/>
        <v/>
      </c>
      <c r="V732" s="151" t="str">
        <f>IFERROR(VLOOKUP(C732,Ativos!$A$1:$G2000,5,),)</f>
        <v/>
      </c>
    </row>
    <row r="733" ht="21.0" customHeight="1">
      <c r="A733" s="152"/>
      <c r="B733" s="160"/>
      <c r="C733" s="153"/>
      <c r="D733" s="154"/>
      <c r="E733" s="139"/>
      <c r="F733" s="139"/>
      <c r="G733" s="139"/>
      <c r="H733" s="135"/>
      <c r="I733" s="141"/>
      <c r="J733" s="147" t="str">
        <f>IFERROR(__xludf.DUMMYFUNCTION("IF(ISBLANK(A733),IFERROR(1/0),IF(COUNT(FILTER(F:F,A:A=A733))&gt;1,TRUNC(N733*F733/SUM(FILTER(N:N,A:A=A733)),3),F733))"),"")</f>
        <v/>
      </c>
      <c r="K733" s="147" t="str">
        <f>IFERROR(__xludf.DUMMYFUNCTION("IF(ISBLANK(A733),IFERROR(1/0),IF(COUNT(FILTER(G:G,((A:A=A733)*(B:B=""V""))))&gt;1,TRUNC(N733*G733/SUM(FILTER(N:N,((A:A=A733)*(B:B=""V"")))),3),G733))"),"")</f>
        <v/>
      </c>
      <c r="L733" s="148" t="str">
        <f>IFERROR(__xludf.DUMMYFUNCTION("if($C733="""","""",iferror(if(row()&lt;&gt;2,INDEX(arrayformula(filter($M$2:$M732,$C$2:$C732&lt;&gt;"""",row($C$2:$C732)=max(if($C$2:$C732=C733,row($C$2:$C732),0)))) ,1),0),0))"),"")</f>
        <v/>
      </c>
      <c r="M733" s="148" t="str">
        <f t="shared" si="1"/>
        <v/>
      </c>
      <c r="N733" s="147" t="str">
        <f t="shared" si="2"/>
        <v/>
      </c>
      <c r="O733" s="147" t="str">
        <f t="shared" si="21"/>
        <v/>
      </c>
      <c r="P733" s="147" t="str">
        <f>IFERROR(__xludf.DUMMYFUNCTION("if(C733="""","""",iferror(if(row()&lt;&gt;2,INDEX(arrayformula(filter($Q$2:$Q732,$C$2:$C732&lt;&gt;"""",row($C$2:$C732)=max(if($C$2:$C732=C733,row($C$2:$C732),0)))) ,1),0),0))"),"")</f>
        <v/>
      </c>
      <c r="Q733" s="147" t="str">
        <f t="shared" si="22"/>
        <v/>
      </c>
      <c r="R733" s="147" t="str">
        <f t="shared" si="23"/>
        <v/>
      </c>
      <c r="S733" s="147" t="str">
        <f t="shared" si="24"/>
        <v/>
      </c>
      <c r="T733" s="147" t="str">
        <f t="shared" si="7"/>
        <v/>
      </c>
      <c r="U733" s="150" t="str">
        <f t="shared" si="8"/>
        <v/>
      </c>
      <c r="V733" s="151" t="str">
        <f>IFERROR(VLOOKUP(C733,Ativos!$A$1:$G2000,5,),)</f>
        <v/>
      </c>
    </row>
    <row r="734" ht="21.0" customHeight="1">
      <c r="A734" s="152"/>
      <c r="B734" s="160"/>
      <c r="C734" s="153"/>
      <c r="D734" s="154"/>
      <c r="E734" s="139"/>
      <c r="F734" s="139"/>
      <c r="G734" s="139"/>
      <c r="H734" s="135"/>
      <c r="I734" s="141"/>
      <c r="J734" s="147" t="str">
        <f>IFERROR(__xludf.DUMMYFUNCTION("IF(ISBLANK(A734),IFERROR(1/0),IF(COUNT(FILTER(F:F,A:A=A734))&gt;1,TRUNC(N734*F734/SUM(FILTER(N:N,A:A=A734)),3),F734))"),"")</f>
        <v/>
      </c>
      <c r="K734" s="147" t="str">
        <f>IFERROR(__xludf.DUMMYFUNCTION("IF(ISBLANK(A734),IFERROR(1/0),IF(COUNT(FILTER(G:G,((A:A=A734)*(B:B=""V""))))&gt;1,TRUNC(N734*G734/SUM(FILTER(N:N,((A:A=A734)*(B:B=""V"")))),3),G734))"),"")</f>
        <v/>
      </c>
      <c r="L734" s="148" t="str">
        <f>IFERROR(__xludf.DUMMYFUNCTION("if($C734="""","""",iferror(if(row()&lt;&gt;2,INDEX(arrayformula(filter($M$2:$M733,$C$2:$C733&lt;&gt;"""",row($C$2:$C733)=max(if($C$2:$C733=C734,row($C$2:$C733),0)))) ,1),0),0))"),"")</f>
        <v/>
      </c>
      <c r="M734" s="148" t="str">
        <f t="shared" si="1"/>
        <v/>
      </c>
      <c r="N734" s="147" t="str">
        <f t="shared" si="2"/>
        <v/>
      </c>
      <c r="O734" s="147" t="str">
        <f t="shared" si="21"/>
        <v/>
      </c>
      <c r="P734" s="147" t="str">
        <f>IFERROR(__xludf.DUMMYFUNCTION("if(C734="""","""",iferror(if(row()&lt;&gt;2,INDEX(arrayformula(filter($Q$2:$Q733,$C$2:$C733&lt;&gt;"""",row($C$2:$C733)=max(if($C$2:$C733=C734,row($C$2:$C733),0)))) ,1),0),0))"),"")</f>
        <v/>
      </c>
      <c r="Q734" s="147" t="str">
        <f t="shared" si="22"/>
        <v/>
      </c>
      <c r="R734" s="147" t="str">
        <f t="shared" si="23"/>
        <v/>
      </c>
      <c r="S734" s="147" t="str">
        <f t="shared" si="24"/>
        <v/>
      </c>
      <c r="T734" s="147" t="str">
        <f t="shared" si="7"/>
        <v/>
      </c>
      <c r="U734" s="150" t="str">
        <f t="shared" si="8"/>
        <v/>
      </c>
      <c r="V734" s="151" t="str">
        <f>IFERROR(VLOOKUP(C734,Ativos!$A$1:$G2000,5,),)</f>
        <v/>
      </c>
    </row>
    <row r="735" ht="21.0" customHeight="1">
      <c r="A735" s="152"/>
      <c r="B735" s="160"/>
      <c r="C735" s="153"/>
      <c r="D735" s="154"/>
      <c r="E735" s="139"/>
      <c r="F735" s="139"/>
      <c r="G735" s="139"/>
      <c r="H735" s="135"/>
      <c r="I735" s="141"/>
      <c r="J735" s="147" t="str">
        <f>IFERROR(__xludf.DUMMYFUNCTION("IF(ISBLANK(A735),IFERROR(1/0),IF(COUNT(FILTER(F:F,A:A=A735))&gt;1,TRUNC(N735*F735/SUM(FILTER(N:N,A:A=A735)),3),F735))"),"")</f>
        <v/>
      </c>
      <c r="K735" s="147" t="str">
        <f>IFERROR(__xludf.DUMMYFUNCTION("IF(ISBLANK(A735),IFERROR(1/0),IF(COUNT(FILTER(G:G,((A:A=A735)*(B:B=""V""))))&gt;1,TRUNC(N735*G735/SUM(FILTER(N:N,((A:A=A735)*(B:B=""V"")))),3),G735))"),"")</f>
        <v/>
      </c>
      <c r="L735" s="148" t="str">
        <f>IFERROR(__xludf.DUMMYFUNCTION("if($C735="""","""",iferror(if(row()&lt;&gt;2,INDEX(arrayformula(filter($M$2:$M734,$C$2:$C734&lt;&gt;"""",row($C$2:$C734)=max(if($C$2:$C734=C735,row($C$2:$C734),0)))) ,1),0),0))"),"")</f>
        <v/>
      </c>
      <c r="M735" s="148" t="str">
        <f t="shared" si="1"/>
        <v/>
      </c>
      <c r="N735" s="147" t="str">
        <f t="shared" si="2"/>
        <v/>
      </c>
      <c r="O735" s="147" t="str">
        <f t="shared" si="21"/>
        <v/>
      </c>
      <c r="P735" s="147" t="str">
        <f>IFERROR(__xludf.DUMMYFUNCTION("if(C735="""","""",iferror(if(row()&lt;&gt;2,INDEX(arrayformula(filter($Q$2:$Q734,$C$2:$C734&lt;&gt;"""",row($C$2:$C734)=max(if($C$2:$C734=C735,row($C$2:$C734),0)))) ,1),0),0))"),"")</f>
        <v/>
      </c>
      <c r="Q735" s="147" t="str">
        <f t="shared" si="22"/>
        <v/>
      </c>
      <c r="R735" s="147" t="str">
        <f t="shared" si="23"/>
        <v/>
      </c>
      <c r="S735" s="147" t="str">
        <f t="shared" si="24"/>
        <v/>
      </c>
      <c r="T735" s="147" t="str">
        <f t="shared" si="7"/>
        <v/>
      </c>
      <c r="U735" s="150" t="str">
        <f t="shared" si="8"/>
        <v/>
      </c>
      <c r="V735" s="151" t="str">
        <f>IFERROR(VLOOKUP(C735,Ativos!$A$1:$G2000,5,),)</f>
        <v/>
      </c>
    </row>
    <row r="736" ht="21.0" customHeight="1">
      <c r="A736" s="152"/>
      <c r="B736" s="160"/>
      <c r="C736" s="153"/>
      <c r="D736" s="154"/>
      <c r="E736" s="139"/>
      <c r="F736" s="139"/>
      <c r="G736" s="139"/>
      <c r="H736" s="135"/>
      <c r="I736" s="141"/>
      <c r="J736" s="147" t="str">
        <f>IFERROR(__xludf.DUMMYFUNCTION("IF(ISBLANK(A736),IFERROR(1/0),IF(COUNT(FILTER(F:F,A:A=A736))&gt;1,TRUNC(N736*F736/SUM(FILTER(N:N,A:A=A736)),3),F736))"),"")</f>
        <v/>
      </c>
      <c r="K736" s="147" t="str">
        <f>IFERROR(__xludf.DUMMYFUNCTION("IF(ISBLANK(A736),IFERROR(1/0),IF(COUNT(FILTER(G:G,((A:A=A736)*(B:B=""V""))))&gt;1,TRUNC(N736*G736/SUM(FILTER(N:N,((A:A=A736)*(B:B=""V"")))),3),G736))"),"")</f>
        <v/>
      </c>
      <c r="L736" s="148" t="str">
        <f>IFERROR(__xludf.DUMMYFUNCTION("if($C736="""","""",iferror(if(row()&lt;&gt;2,INDEX(arrayformula(filter($M$2:$M735,$C$2:$C735&lt;&gt;"""",row($C$2:$C735)=max(if($C$2:$C735=C736,row($C$2:$C735),0)))) ,1),0),0))"),"")</f>
        <v/>
      </c>
      <c r="M736" s="148" t="str">
        <f t="shared" si="1"/>
        <v/>
      </c>
      <c r="N736" s="147" t="str">
        <f t="shared" si="2"/>
        <v/>
      </c>
      <c r="O736" s="147" t="str">
        <f t="shared" si="21"/>
        <v/>
      </c>
      <c r="P736" s="147" t="str">
        <f>IFERROR(__xludf.DUMMYFUNCTION("if(C736="""","""",iferror(if(row()&lt;&gt;2,INDEX(arrayformula(filter($Q$2:$Q735,$C$2:$C735&lt;&gt;"""",row($C$2:$C735)=max(if($C$2:$C735=C736,row($C$2:$C735),0)))) ,1),0),0))"),"")</f>
        <v/>
      </c>
      <c r="Q736" s="147" t="str">
        <f t="shared" si="22"/>
        <v/>
      </c>
      <c r="R736" s="147" t="str">
        <f t="shared" si="23"/>
        <v/>
      </c>
      <c r="S736" s="147" t="str">
        <f t="shared" si="24"/>
        <v/>
      </c>
      <c r="T736" s="147" t="str">
        <f t="shared" si="7"/>
        <v/>
      </c>
      <c r="U736" s="150" t="str">
        <f t="shared" si="8"/>
        <v/>
      </c>
      <c r="V736" s="151" t="str">
        <f>IFERROR(VLOOKUP(C736,Ativos!$A$1:$G2000,5,),)</f>
        <v/>
      </c>
    </row>
    <row r="737" ht="21.0" customHeight="1">
      <c r="A737" s="152"/>
      <c r="B737" s="160"/>
      <c r="C737" s="153"/>
      <c r="D737" s="154"/>
      <c r="E737" s="139"/>
      <c r="F737" s="139"/>
      <c r="G737" s="139"/>
      <c r="H737" s="135"/>
      <c r="I737" s="141"/>
      <c r="J737" s="147" t="str">
        <f>IFERROR(__xludf.DUMMYFUNCTION("IF(ISBLANK(A737),IFERROR(1/0),IF(COUNT(FILTER(F:F,A:A=A737))&gt;1,TRUNC(N737*F737/SUM(FILTER(N:N,A:A=A737)),3),F737))"),"")</f>
        <v/>
      </c>
      <c r="K737" s="147" t="str">
        <f>IFERROR(__xludf.DUMMYFUNCTION("IF(ISBLANK(A737),IFERROR(1/0),IF(COUNT(FILTER(G:G,((A:A=A737)*(B:B=""V""))))&gt;1,TRUNC(N737*G737/SUM(FILTER(N:N,((A:A=A737)*(B:B=""V"")))),3),G737))"),"")</f>
        <v/>
      </c>
      <c r="L737" s="148" t="str">
        <f>IFERROR(__xludf.DUMMYFUNCTION("if($C737="""","""",iferror(if(row()&lt;&gt;2,INDEX(arrayformula(filter($M$2:$M736,$C$2:$C736&lt;&gt;"""",row($C$2:$C736)=max(if($C$2:$C736=C737,row($C$2:$C736),0)))) ,1),0),0))"),"")</f>
        <v/>
      </c>
      <c r="M737" s="148" t="str">
        <f t="shared" si="1"/>
        <v/>
      </c>
      <c r="N737" s="147" t="str">
        <f t="shared" si="2"/>
        <v/>
      </c>
      <c r="O737" s="147" t="str">
        <f t="shared" si="21"/>
        <v/>
      </c>
      <c r="P737" s="147" t="str">
        <f>IFERROR(__xludf.DUMMYFUNCTION("if(C737="""","""",iferror(if(row()&lt;&gt;2,INDEX(arrayformula(filter($Q$2:$Q736,$C$2:$C736&lt;&gt;"""",row($C$2:$C736)=max(if($C$2:$C736=C737,row($C$2:$C736),0)))) ,1),0),0))"),"")</f>
        <v/>
      </c>
      <c r="Q737" s="147" t="str">
        <f t="shared" si="22"/>
        <v/>
      </c>
      <c r="R737" s="147" t="str">
        <f t="shared" si="23"/>
        <v/>
      </c>
      <c r="S737" s="147" t="str">
        <f t="shared" si="24"/>
        <v/>
      </c>
      <c r="T737" s="147" t="str">
        <f t="shared" si="7"/>
        <v/>
      </c>
      <c r="U737" s="150" t="str">
        <f t="shared" si="8"/>
        <v/>
      </c>
      <c r="V737" s="151" t="str">
        <f>IFERROR(VLOOKUP(C737,Ativos!$A$1:$G2000,5,),)</f>
        <v/>
      </c>
    </row>
    <row r="738" ht="21.0" customHeight="1">
      <c r="A738" s="152"/>
      <c r="B738" s="160"/>
      <c r="C738" s="153"/>
      <c r="D738" s="154"/>
      <c r="E738" s="139"/>
      <c r="F738" s="139"/>
      <c r="G738" s="139"/>
      <c r="H738" s="135"/>
      <c r="I738" s="141"/>
      <c r="J738" s="147" t="str">
        <f>IFERROR(__xludf.DUMMYFUNCTION("IF(ISBLANK(A738),IFERROR(1/0),IF(COUNT(FILTER(F:F,A:A=A738))&gt;1,TRUNC(N738*F738/SUM(FILTER(N:N,A:A=A738)),3),F738))"),"")</f>
        <v/>
      </c>
      <c r="K738" s="147" t="str">
        <f>IFERROR(__xludf.DUMMYFUNCTION("IF(ISBLANK(A738),IFERROR(1/0),IF(COUNT(FILTER(G:G,((A:A=A738)*(B:B=""V""))))&gt;1,TRUNC(N738*G738/SUM(FILTER(N:N,((A:A=A738)*(B:B=""V"")))),3),G738))"),"")</f>
        <v/>
      </c>
      <c r="L738" s="148" t="str">
        <f>IFERROR(__xludf.DUMMYFUNCTION("if($C738="""","""",iferror(if(row()&lt;&gt;2,INDEX(arrayformula(filter($M$2:$M737,$C$2:$C737&lt;&gt;"""",row($C$2:$C737)=max(if($C$2:$C737=C738,row($C$2:$C737),0)))) ,1),0),0))"),"")</f>
        <v/>
      </c>
      <c r="M738" s="148" t="str">
        <f t="shared" si="1"/>
        <v/>
      </c>
      <c r="N738" s="147" t="str">
        <f t="shared" si="2"/>
        <v/>
      </c>
      <c r="O738" s="147" t="str">
        <f t="shared" si="21"/>
        <v/>
      </c>
      <c r="P738" s="147" t="str">
        <f>IFERROR(__xludf.DUMMYFUNCTION("if(C738="""","""",iferror(if(row()&lt;&gt;2,INDEX(arrayformula(filter($Q$2:$Q737,$C$2:$C737&lt;&gt;"""",row($C$2:$C737)=max(if($C$2:$C737=C738,row($C$2:$C737),0)))) ,1),0),0))"),"")</f>
        <v/>
      </c>
      <c r="Q738" s="147" t="str">
        <f t="shared" si="22"/>
        <v/>
      </c>
      <c r="R738" s="147" t="str">
        <f t="shared" si="23"/>
        <v/>
      </c>
      <c r="S738" s="147" t="str">
        <f t="shared" si="24"/>
        <v/>
      </c>
      <c r="T738" s="147" t="str">
        <f t="shared" si="7"/>
        <v/>
      </c>
      <c r="U738" s="150" t="str">
        <f t="shared" si="8"/>
        <v/>
      </c>
      <c r="V738" s="151" t="str">
        <f>IFERROR(VLOOKUP(C738,Ativos!$A$1:$G2000,5,),)</f>
        <v/>
      </c>
    </row>
    <row r="739" ht="21.0" customHeight="1">
      <c r="A739" s="152"/>
      <c r="B739" s="160"/>
      <c r="C739" s="153"/>
      <c r="D739" s="154"/>
      <c r="E739" s="139"/>
      <c r="F739" s="139"/>
      <c r="G739" s="139"/>
      <c r="H739" s="135"/>
      <c r="I739" s="141"/>
      <c r="J739" s="147" t="str">
        <f>IFERROR(__xludf.DUMMYFUNCTION("IF(ISBLANK(A739),IFERROR(1/0),IF(COUNT(FILTER(F:F,A:A=A739))&gt;1,TRUNC(N739*F739/SUM(FILTER(N:N,A:A=A739)),3),F739))"),"")</f>
        <v/>
      </c>
      <c r="K739" s="147" t="str">
        <f>IFERROR(__xludf.DUMMYFUNCTION("IF(ISBLANK(A739),IFERROR(1/0),IF(COUNT(FILTER(G:G,((A:A=A739)*(B:B=""V""))))&gt;1,TRUNC(N739*G739/SUM(FILTER(N:N,((A:A=A739)*(B:B=""V"")))),3),G739))"),"")</f>
        <v/>
      </c>
      <c r="L739" s="148" t="str">
        <f>IFERROR(__xludf.DUMMYFUNCTION("if($C739="""","""",iferror(if(row()&lt;&gt;2,INDEX(arrayformula(filter($M$2:$M738,$C$2:$C738&lt;&gt;"""",row($C$2:$C738)=max(if($C$2:$C738=C739,row($C$2:$C738),0)))) ,1),0),0))"),"")</f>
        <v/>
      </c>
      <c r="M739" s="148" t="str">
        <f t="shared" si="1"/>
        <v/>
      </c>
      <c r="N739" s="147" t="str">
        <f t="shared" si="2"/>
        <v/>
      </c>
      <c r="O739" s="147" t="str">
        <f t="shared" si="21"/>
        <v/>
      </c>
      <c r="P739" s="147" t="str">
        <f>IFERROR(__xludf.DUMMYFUNCTION("if(C739="""","""",iferror(if(row()&lt;&gt;2,INDEX(arrayformula(filter($Q$2:$Q738,$C$2:$C738&lt;&gt;"""",row($C$2:$C738)=max(if($C$2:$C738=C739,row($C$2:$C738),0)))) ,1),0),0))"),"")</f>
        <v/>
      </c>
      <c r="Q739" s="147" t="str">
        <f t="shared" si="22"/>
        <v/>
      </c>
      <c r="R739" s="147" t="str">
        <f t="shared" si="23"/>
        <v/>
      </c>
      <c r="S739" s="147" t="str">
        <f t="shared" si="24"/>
        <v/>
      </c>
      <c r="T739" s="147" t="str">
        <f t="shared" si="7"/>
        <v/>
      </c>
      <c r="U739" s="150" t="str">
        <f t="shared" si="8"/>
        <v/>
      </c>
      <c r="V739" s="151" t="str">
        <f>IFERROR(VLOOKUP(C739,Ativos!$A$1:$G2000,5,),)</f>
        <v/>
      </c>
    </row>
    <row r="740" ht="21.0" customHeight="1">
      <c r="A740" s="152"/>
      <c r="B740" s="160"/>
      <c r="C740" s="153"/>
      <c r="D740" s="154"/>
      <c r="E740" s="139"/>
      <c r="F740" s="139"/>
      <c r="G740" s="139"/>
      <c r="H740" s="135"/>
      <c r="I740" s="141"/>
      <c r="J740" s="147" t="str">
        <f>IFERROR(__xludf.DUMMYFUNCTION("IF(ISBLANK(A740),IFERROR(1/0),IF(COUNT(FILTER(F:F,A:A=A740))&gt;1,TRUNC(N740*F740/SUM(FILTER(N:N,A:A=A740)),3),F740))"),"")</f>
        <v/>
      </c>
      <c r="K740" s="147" t="str">
        <f>IFERROR(__xludf.DUMMYFUNCTION("IF(ISBLANK(A740),IFERROR(1/0),IF(COUNT(FILTER(G:G,((A:A=A740)*(B:B=""V""))))&gt;1,TRUNC(N740*G740/SUM(FILTER(N:N,((A:A=A740)*(B:B=""V"")))),3),G740))"),"")</f>
        <v/>
      </c>
      <c r="L740" s="148" t="str">
        <f>IFERROR(__xludf.DUMMYFUNCTION("if($C740="""","""",iferror(if(row()&lt;&gt;2,INDEX(arrayformula(filter($M$2:$M739,$C$2:$C739&lt;&gt;"""",row($C$2:$C739)=max(if($C$2:$C739=C740,row($C$2:$C739),0)))) ,1),0),0))"),"")</f>
        <v/>
      </c>
      <c r="M740" s="148" t="str">
        <f t="shared" si="1"/>
        <v/>
      </c>
      <c r="N740" s="147" t="str">
        <f t="shared" si="2"/>
        <v/>
      </c>
      <c r="O740" s="147" t="str">
        <f t="shared" si="21"/>
        <v/>
      </c>
      <c r="P740" s="147" t="str">
        <f>IFERROR(__xludf.DUMMYFUNCTION("if(C740="""","""",iferror(if(row()&lt;&gt;2,INDEX(arrayformula(filter($Q$2:$Q739,$C$2:$C739&lt;&gt;"""",row($C$2:$C739)=max(if($C$2:$C739=C740,row($C$2:$C739),0)))) ,1),0),0))"),"")</f>
        <v/>
      </c>
      <c r="Q740" s="147" t="str">
        <f t="shared" si="22"/>
        <v/>
      </c>
      <c r="R740" s="147" t="str">
        <f t="shared" si="23"/>
        <v/>
      </c>
      <c r="S740" s="147" t="str">
        <f t="shared" si="24"/>
        <v/>
      </c>
      <c r="T740" s="147" t="str">
        <f t="shared" si="7"/>
        <v/>
      </c>
      <c r="U740" s="150" t="str">
        <f t="shared" si="8"/>
        <v/>
      </c>
      <c r="V740" s="151" t="str">
        <f>IFERROR(VLOOKUP(C740,Ativos!$A$1:$G2000,5,),)</f>
        <v/>
      </c>
    </row>
    <row r="741" ht="21.0" customHeight="1">
      <c r="A741" s="152"/>
      <c r="B741" s="160"/>
      <c r="C741" s="153"/>
      <c r="D741" s="154"/>
      <c r="E741" s="139"/>
      <c r="F741" s="139"/>
      <c r="G741" s="139"/>
      <c r="H741" s="135"/>
      <c r="I741" s="141"/>
      <c r="J741" s="147" t="str">
        <f>IFERROR(__xludf.DUMMYFUNCTION("IF(ISBLANK(A741),IFERROR(1/0),IF(COUNT(FILTER(F:F,A:A=A741))&gt;1,TRUNC(N741*F741/SUM(FILTER(N:N,A:A=A741)),3),F741))"),"")</f>
        <v/>
      </c>
      <c r="K741" s="147" t="str">
        <f>IFERROR(__xludf.DUMMYFUNCTION("IF(ISBLANK(A741),IFERROR(1/0),IF(COUNT(FILTER(G:G,((A:A=A741)*(B:B=""V""))))&gt;1,TRUNC(N741*G741/SUM(FILTER(N:N,((A:A=A741)*(B:B=""V"")))),3),G741))"),"")</f>
        <v/>
      </c>
      <c r="L741" s="148" t="str">
        <f>IFERROR(__xludf.DUMMYFUNCTION("if($C741="""","""",iferror(if(row()&lt;&gt;2,INDEX(arrayformula(filter($M$2:$M740,$C$2:$C740&lt;&gt;"""",row($C$2:$C740)=max(if($C$2:$C740=C741,row($C$2:$C740),0)))) ,1),0),0))"),"")</f>
        <v/>
      </c>
      <c r="M741" s="148" t="str">
        <f t="shared" si="1"/>
        <v/>
      </c>
      <c r="N741" s="147" t="str">
        <f t="shared" si="2"/>
        <v/>
      </c>
      <c r="O741" s="147" t="str">
        <f t="shared" si="21"/>
        <v/>
      </c>
      <c r="P741" s="147" t="str">
        <f>IFERROR(__xludf.DUMMYFUNCTION("if(C741="""","""",iferror(if(row()&lt;&gt;2,INDEX(arrayformula(filter($Q$2:$Q740,$C$2:$C740&lt;&gt;"""",row($C$2:$C740)=max(if($C$2:$C740=C741,row($C$2:$C740),0)))) ,1),0),0))"),"")</f>
        <v/>
      </c>
      <c r="Q741" s="147" t="str">
        <f t="shared" si="22"/>
        <v/>
      </c>
      <c r="R741" s="147" t="str">
        <f t="shared" si="23"/>
        <v/>
      </c>
      <c r="S741" s="147" t="str">
        <f t="shared" si="24"/>
        <v/>
      </c>
      <c r="T741" s="147" t="str">
        <f t="shared" si="7"/>
        <v/>
      </c>
      <c r="U741" s="150" t="str">
        <f t="shared" si="8"/>
        <v/>
      </c>
      <c r="V741" s="151" t="str">
        <f>IFERROR(VLOOKUP(C741,Ativos!$A$1:$G2000,5,),)</f>
        <v/>
      </c>
    </row>
    <row r="742" ht="21.0" customHeight="1">
      <c r="A742" s="152"/>
      <c r="B742" s="160"/>
      <c r="C742" s="153"/>
      <c r="D742" s="154"/>
      <c r="E742" s="139"/>
      <c r="F742" s="139"/>
      <c r="G742" s="139"/>
      <c r="H742" s="135"/>
      <c r="I742" s="141"/>
      <c r="J742" s="147" t="str">
        <f>IFERROR(__xludf.DUMMYFUNCTION("IF(ISBLANK(A742),IFERROR(1/0),IF(COUNT(FILTER(F:F,A:A=A742))&gt;1,TRUNC(N742*F742/SUM(FILTER(N:N,A:A=A742)),3),F742))"),"")</f>
        <v/>
      </c>
      <c r="K742" s="147" t="str">
        <f>IFERROR(__xludf.DUMMYFUNCTION("IF(ISBLANK(A742),IFERROR(1/0),IF(COUNT(FILTER(G:G,((A:A=A742)*(B:B=""V""))))&gt;1,TRUNC(N742*G742/SUM(FILTER(N:N,((A:A=A742)*(B:B=""V"")))),3),G742))"),"")</f>
        <v/>
      </c>
      <c r="L742" s="148" t="str">
        <f>IFERROR(__xludf.DUMMYFUNCTION("if($C742="""","""",iferror(if(row()&lt;&gt;2,INDEX(arrayformula(filter($M$2:$M741,$C$2:$C741&lt;&gt;"""",row($C$2:$C741)=max(if($C$2:$C741=C742,row($C$2:$C741),0)))) ,1),0),0))"),"")</f>
        <v/>
      </c>
      <c r="M742" s="148" t="str">
        <f t="shared" si="1"/>
        <v/>
      </c>
      <c r="N742" s="147" t="str">
        <f t="shared" si="2"/>
        <v/>
      </c>
      <c r="O742" s="147" t="str">
        <f t="shared" si="21"/>
        <v/>
      </c>
      <c r="P742" s="147" t="str">
        <f>IFERROR(__xludf.DUMMYFUNCTION("if(C742="""","""",iferror(if(row()&lt;&gt;2,INDEX(arrayformula(filter($Q$2:$Q741,$C$2:$C741&lt;&gt;"""",row($C$2:$C741)=max(if($C$2:$C741=C742,row($C$2:$C741),0)))) ,1),0),0))"),"")</f>
        <v/>
      </c>
      <c r="Q742" s="147" t="str">
        <f t="shared" si="22"/>
        <v/>
      </c>
      <c r="R742" s="147" t="str">
        <f t="shared" si="23"/>
        <v/>
      </c>
      <c r="S742" s="147" t="str">
        <f t="shared" si="24"/>
        <v/>
      </c>
      <c r="T742" s="147" t="str">
        <f t="shared" si="7"/>
        <v/>
      </c>
      <c r="U742" s="150" t="str">
        <f t="shared" si="8"/>
        <v/>
      </c>
      <c r="V742" s="151" t="str">
        <f>IFERROR(VLOOKUP(C742,Ativos!$A$1:$G2000,5,),)</f>
        <v/>
      </c>
    </row>
    <row r="743" ht="21.0" customHeight="1">
      <c r="A743" s="152"/>
      <c r="B743" s="160"/>
      <c r="C743" s="153"/>
      <c r="D743" s="154"/>
      <c r="E743" s="139"/>
      <c r="F743" s="139"/>
      <c r="G743" s="139"/>
      <c r="H743" s="135"/>
      <c r="I743" s="141"/>
      <c r="J743" s="147" t="str">
        <f>IFERROR(__xludf.DUMMYFUNCTION("IF(ISBLANK(A743),IFERROR(1/0),IF(COUNT(FILTER(F:F,A:A=A743))&gt;1,TRUNC(N743*F743/SUM(FILTER(N:N,A:A=A743)),3),F743))"),"")</f>
        <v/>
      </c>
      <c r="K743" s="147" t="str">
        <f>IFERROR(__xludf.DUMMYFUNCTION("IF(ISBLANK(A743),IFERROR(1/0),IF(COUNT(FILTER(G:G,((A:A=A743)*(B:B=""V""))))&gt;1,TRUNC(N743*G743/SUM(FILTER(N:N,((A:A=A743)*(B:B=""V"")))),3),G743))"),"")</f>
        <v/>
      </c>
      <c r="L743" s="148" t="str">
        <f>IFERROR(__xludf.DUMMYFUNCTION("if($C743="""","""",iferror(if(row()&lt;&gt;2,INDEX(arrayformula(filter($M$2:$M742,$C$2:$C742&lt;&gt;"""",row($C$2:$C742)=max(if($C$2:$C742=C743,row($C$2:$C742),0)))) ,1),0),0))"),"")</f>
        <v/>
      </c>
      <c r="M743" s="148" t="str">
        <f t="shared" si="1"/>
        <v/>
      </c>
      <c r="N743" s="147" t="str">
        <f t="shared" si="2"/>
        <v/>
      </c>
      <c r="O743" s="147" t="str">
        <f t="shared" si="21"/>
        <v/>
      </c>
      <c r="P743" s="147" t="str">
        <f>IFERROR(__xludf.DUMMYFUNCTION("if(C743="""","""",iferror(if(row()&lt;&gt;2,INDEX(arrayformula(filter($Q$2:$Q742,$C$2:$C742&lt;&gt;"""",row($C$2:$C742)=max(if($C$2:$C742=C743,row($C$2:$C742),0)))) ,1),0),0))"),"")</f>
        <v/>
      </c>
      <c r="Q743" s="147" t="str">
        <f t="shared" si="22"/>
        <v/>
      </c>
      <c r="R743" s="147" t="str">
        <f t="shared" si="23"/>
        <v/>
      </c>
      <c r="S743" s="147" t="str">
        <f t="shared" si="24"/>
        <v/>
      </c>
      <c r="T743" s="147" t="str">
        <f t="shared" si="7"/>
        <v/>
      </c>
      <c r="U743" s="150" t="str">
        <f t="shared" si="8"/>
        <v/>
      </c>
      <c r="V743" s="151" t="str">
        <f>IFERROR(VLOOKUP(C743,Ativos!$A$1:$G2000,5,),)</f>
        <v/>
      </c>
    </row>
    <row r="744" ht="21.0" customHeight="1">
      <c r="A744" s="152"/>
      <c r="B744" s="160"/>
      <c r="C744" s="153"/>
      <c r="D744" s="154"/>
      <c r="E744" s="139"/>
      <c r="F744" s="139"/>
      <c r="G744" s="139"/>
      <c r="H744" s="135"/>
      <c r="I744" s="141"/>
      <c r="J744" s="147" t="str">
        <f>IFERROR(__xludf.DUMMYFUNCTION("IF(ISBLANK(A744),IFERROR(1/0),IF(COUNT(FILTER(F:F,A:A=A744))&gt;1,TRUNC(N744*F744/SUM(FILTER(N:N,A:A=A744)),3),F744))"),"")</f>
        <v/>
      </c>
      <c r="K744" s="147" t="str">
        <f>IFERROR(__xludf.DUMMYFUNCTION("IF(ISBLANK(A744),IFERROR(1/0),IF(COUNT(FILTER(G:G,((A:A=A744)*(B:B=""V""))))&gt;1,TRUNC(N744*G744/SUM(FILTER(N:N,((A:A=A744)*(B:B=""V"")))),3),G744))"),"")</f>
        <v/>
      </c>
      <c r="L744" s="148" t="str">
        <f>IFERROR(__xludf.DUMMYFUNCTION("if($C744="""","""",iferror(if(row()&lt;&gt;2,INDEX(arrayformula(filter($M$2:$M743,$C$2:$C743&lt;&gt;"""",row($C$2:$C743)=max(if($C$2:$C743=C744,row($C$2:$C743),0)))) ,1),0),0))"),"")</f>
        <v/>
      </c>
      <c r="M744" s="148" t="str">
        <f t="shared" si="1"/>
        <v/>
      </c>
      <c r="N744" s="147" t="str">
        <f t="shared" si="2"/>
        <v/>
      </c>
      <c r="O744" s="147" t="str">
        <f t="shared" si="21"/>
        <v/>
      </c>
      <c r="P744" s="147" t="str">
        <f>IFERROR(__xludf.DUMMYFUNCTION("if(C744="""","""",iferror(if(row()&lt;&gt;2,INDEX(arrayformula(filter($Q$2:$Q743,$C$2:$C743&lt;&gt;"""",row($C$2:$C743)=max(if($C$2:$C743=C744,row($C$2:$C743),0)))) ,1),0),0))"),"")</f>
        <v/>
      </c>
      <c r="Q744" s="147" t="str">
        <f t="shared" si="22"/>
        <v/>
      </c>
      <c r="R744" s="147" t="str">
        <f t="shared" si="23"/>
        <v/>
      </c>
      <c r="S744" s="147" t="str">
        <f t="shared" si="24"/>
        <v/>
      </c>
      <c r="T744" s="147" t="str">
        <f t="shared" si="7"/>
        <v/>
      </c>
      <c r="U744" s="150" t="str">
        <f t="shared" si="8"/>
        <v/>
      </c>
      <c r="V744" s="151" t="str">
        <f>IFERROR(VLOOKUP(C744,Ativos!$A$1:$G2000,5,),)</f>
        <v/>
      </c>
    </row>
    <row r="745" ht="21.0" customHeight="1">
      <c r="A745" s="152"/>
      <c r="B745" s="160"/>
      <c r="C745" s="153"/>
      <c r="D745" s="154"/>
      <c r="E745" s="139"/>
      <c r="F745" s="139"/>
      <c r="G745" s="139"/>
      <c r="H745" s="135"/>
      <c r="I745" s="141"/>
      <c r="J745" s="147" t="str">
        <f>IFERROR(__xludf.DUMMYFUNCTION("IF(ISBLANK(A745),IFERROR(1/0),IF(COUNT(FILTER(F:F,A:A=A745))&gt;1,TRUNC(N745*F745/SUM(FILTER(N:N,A:A=A745)),3),F745))"),"")</f>
        <v/>
      </c>
      <c r="K745" s="147" t="str">
        <f>IFERROR(__xludf.DUMMYFUNCTION("IF(ISBLANK(A745),IFERROR(1/0),IF(COUNT(FILTER(G:G,((A:A=A745)*(B:B=""V""))))&gt;1,TRUNC(N745*G745/SUM(FILTER(N:N,((A:A=A745)*(B:B=""V"")))),3),G745))"),"")</f>
        <v/>
      </c>
      <c r="L745" s="148" t="str">
        <f>IFERROR(__xludf.DUMMYFUNCTION("if($C745="""","""",iferror(if(row()&lt;&gt;2,INDEX(arrayformula(filter($M$2:$M744,$C$2:$C744&lt;&gt;"""",row($C$2:$C744)=max(if($C$2:$C744=C745,row($C$2:$C744),0)))) ,1),0),0))"),"")</f>
        <v/>
      </c>
      <c r="M745" s="148" t="str">
        <f t="shared" si="1"/>
        <v/>
      </c>
      <c r="N745" s="147" t="str">
        <f t="shared" si="2"/>
        <v/>
      </c>
      <c r="O745" s="147" t="str">
        <f t="shared" si="21"/>
        <v/>
      </c>
      <c r="P745" s="147" t="str">
        <f>IFERROR(__xludf.DUMMYFUNCTION("if(C745="""","""",iferror(if(row()&lt;&gt;2,INDEX(arrayformula(filter($Q$2:$Q744,$C$2:$C744&lt;&gt;"""",row($C$2:$C744)=max(if($C$2:$C744=C745,row($C$2:$C744),0)))) ,1),0),0))"),"")</f>
        <v/>
      </c>
      <c r="Q745" s="147" t="str">
        <f t="shared" si="22"/>
        <v/>
      </c>
      <c r="R745" s="147" t="str">
        <f t="shared" si="23"/>
        <v/>
      </c>
      <c r="S745" s="147" t="str">
        <f t="shared" si="24"/>
        <v/>
      </c>
      <c r="T745" s="147" t="str">
        <f t="shared" si="7"/>
        <v/>
      </c>
      <c r="U745" s="150" t="str">
        <f t="shared" si="8"/>
        <v/>
      </c>
      <c r="V745" s="151" t="str">
        <f>IFERROR(VLOOKUP(C745,Ativos!$A$1:$G2000,5,),)</f>
        <v/>
      </c>
    </row>
    <row r="746" ht="21.0" customHeight="1">
      <c r="A746" s="152"/>
      <c r="B746" s="160"/>
      <c r="C746" s="153"/>
      <c r="D746" s="154"/>
      <c r="E746" s="139"/>
      <c r="F746" s="139"/>
      <c r="G746" s="139"/>
      <c r="H746" s="135"/>
      <c r="I746" s="141"/>
      <c r="J746" s="147" t="str">
        <f>IFERROR(__xludf.DUMMYFUNCTION("IF(ISBLANK(A746),IFERROR(1/0),IF(COUNT(FILTER(F:F,A:A=A746))&gt;1,TRUNC(N746*F746/SUM(FILTER(N:N,A:A=A746)),3),F746))"),"")</f>
        <v/>
      </c>
      <c r="K746" s="147" t="str">
        <f>IFERROR(__xludf.DUMMYFUNCTION("IF(ISBLANK(A746),IFERROR(1/0),IF(COUNT(FILTER(G:G,((A:A=A746)*(B:B=""V""))))&gt;1,TRUNC(N746*G746/SUM(FILTER(N:N,((A:A=A746)*(B:B=""V"")))),3),G746))"),"")</f>
        <v/>
      </c>
      <c r="L746" s="148" t="str">
        <f>IFERROR(__xludf.DUMMYFUNCTION("if($C746="""","""",iferror(if(row()&lt;&gt;2,INDEX(arrayformula(filter($M$2:$M745,$C$2:$C745&lt;&gt;"""",row($C$2:$C745)=max(if($C$2:$C745=C746,row($C$2:$C745),0)))) ,1),0),0))"),"")</f>
        <v/>
      </c>
      <c r="M746" s="148" t="str">
        <f t="shared" si="1"/>
        <v/>
      </c>
      <c r="N746" s="147" t="str">
        <f t="shared" si="2"/>
        <v/>
      </c>
      <c r="O746" s="147" t="str">
        <f t="shared" si="21"/>
        <v/>
      </c>
      <c r="P746" s="147" t="str">
        <f>IFERROR(__xludf.DUMMYFUNCTION("if(C746="""","""",iferror(if(row()&lt;&gt;2,INDEX(arrayformula(filter($Q$2:$Q745,$C$2:$C745&lt;&gt;"""",row($C$2:$C745)=max(if($C$2:$C745=C746,row($C$2:$C745),0)))) ,1),0),0))"),"")</f>
        <v/>
      </c>
      <c r="Q746" s="147" t="str">
        <f t="shared" si="22"/>
        <v/>
      </c>
      <c r="R746" s="147" t="str">
        <f t="shared" si="23"/>
        <v/>
      </c>
      <c r="S746" s="147" t="str">
        <f t="shared" si="24"/>
        <v/>
      </c>
      <c r="T746" s="147" t="str">
        <f t="shared" si="7"/>
        <v/>
      </c>
      <c r="U746" s="150" t="str">
        <f t="shared" si="8"/>
        <v/>
      </c>
      <c r="V746" s="151" t="str">
        <f>IFERROR(VLOOKUP(C746,Ativos!$A$1:$G2000,5,),)</f>
        <v/>
      </c>
    </row>
    <row r="747" ht="21.0" customHeight="1">
      <c r="A747" s="152"/>
      <c r="B747" s="160"/>
      <c r="C747" s="153"/>
      <c r="D747" s="154"/>
      <c r="E747" s="139"/>
      <c r="F747" s="139"/>
      <c r="G747" s="139"/>
      <c r="H747" s="135"/>
      <c r="I747" s="141"/>
      <c r="J747" s="147" t="str">
        <f>IFERROR(__xludf.DUMMYFUNCTION("IF(ISBLANK(A747),IFERROR(1/0),IF(COUNT(FILTER(F:F,A:A=A747))&gt;1,TRUNC(N747*F747/SUM(FILTER(N:N,A:A=A747)),3),F747))"),"")</f>
        <v/>
      </c>
      <c r="K747" s="147" t="str">
        <f>IFERROR(__xludf.DUMMYFUNCTION("IF(ISBLANK(A747),IFERROR(1/0),IF(COUNT(FILTER(G:G,((A:A=A747)*(B:B=""V""))))&gt;1,TRUNC(N747*G747/SUM(FILTER(N:N,((A:A=A747)*(B:B=""V"")))),3),G747))"),"")</f>
        <v/>
      </c>
      <c r="L747" s="148" t="str">
        <f>IFERROR(__xludf.DUMMYFUNCTION("if($C747="""","""",iferror(if(row()&lt;&gt;2,INDEX(arrayformula(filter($M$2:$M746,$C$2:$C746&lt;&gt;"""",row($C$2:$C746)=max(if($C$2:$C746=C747,row($C$2:$C746),0)))) ,1),0),0))"),"")</f>
        <v/>
      </c>
      <c r="M747" s="148" t="str">
        <f t="shared" si="1"/>
        <v/>
      </c>
      <c r="N747" s="147" t="str">
        <f t="shared" si="2"/>
        <v/>
      </c>
      <c r="O747" s="147" t="str">
        <f t="shared" si="21"/>
        <v/>
      </c>
      <c r="P747" s="147" t="str">
        <f>IFERROR(__xludf.DUMMYFUNCTION("if(C747="""","""",iferror(if(row()&lt;&gt;2,INDEX(arrayformula(filter($Q$2:$Q746,$C$2:$C746&lt;&gt;"""",row($C$2:$C746)=max(if($C$2:$C746=C747,row($C$2:$C746),0)))) ,1),0),0))"),"")</f>
        <v/>
      </c>
      <c r="Q747" s="147" t="str">
        <f t="shared" si="22"/>
        <v/>
      </c>
      <c r="R747" s="147" t="str">
        <f t="shared" si="23"/>
        <v/>
      </c>
      <c r="S747" s="147" t="str">
        <f t="shared" si="24"/>
        <v/>
      </c>
      <c r="T747" s="147" t="str">
        <f t="shared" si="7"/>
        <v/>
      </c>
      <c r="U747" s="150" t="str">
        <f t="shared" si="8"/>
        <v/>
      </c>
      <c r="V747" s="151" t="str">
        <f>IFERROR(VLOOKUP(C747,Ativos!$A$1:$G2000,5,),)</f>
        <v/>
      </c>
    </row>
    <row r="748" ht="21.0" customHeight="1">
      <c r="A748" s="152"/>
      <c r="B748" s="160"/>
      <c r="C748" s="153"/>
      <c r="D748" s="154"/>
      <c r="E748" s="139"/>
      <c r="F748" s="139"/>
      <c r="G748" s="139"/>
      <c r="H748" s="135"/>
      <c r="I748" s="141"/>
      <c r="J748" s="147" t="str">
        <f>IFERROR(__xludf.DUMMYFUNCTION("IF(ISBLANK(A748),IFERROR(1/0),IF(COUNT(FILTER(F:F,A:A=A748))&gt;1,TRUNC(N748*F748/SUM(FILTER(N:N,A:A=A748)),3),F748))"),"")</f>
        <v/>
      </c>
      <c r="K748" s="147" t="str">
        <f>IFERROR(__xludf.DUMMYFUNCTION("IF(ISBLANK(A748),IFERROR(1/0),IF(COUNT(FILTER(G:G,((A:A=A748)*(B:B=""V""))))&gt;1,TRUNC(N748*G748/SUM(FILTER(N:N,((A:A=A748)*(B:B=""V"")))),3),G748))"),"")</f>
        <v/>
      </c>
      <c r="L748" s="148" t="str">
        <f>IFERROR(__xludf.DUMMYFUNCTION("if($C748="""","""",iferror(if(row()&lt;&gt;2,INDEX(arrayformula(filter($M$2:$M747,$C$2:$C747&lt;&gt;"""",row($C$2:$C747)=max(if($C$2:$C747=C748,row($C$2:$C747),0)))) ,1),0),0))"),"")</f>
        <v/>
      </c>
      <c r="M748" s="148" t="str">
        <f t="shared" si="1"/>
        <v/>
      </c>
      <c r="N748" s="147" t="str">
        <f t="shared" si="2"/>
        <v/>
      </c>
      <c r="O748" s="147" t="str">
        <f t="shared" si="21"/>
        <v/>
      </c>
      <c r="P748" s="147" t="str">
        <f>IFERROR(__xludf.DUMMYFUNCTION("if(C748="""","""",iferror(if(row()&lt;&gt;2,INDEX(arrayformula(filter($Q$2:$Q747,$C$2:$C747&lt;&gt;"""",row($C$2:$C747)=max(if($C$2:$C747=C748,row($C$2:$C747),0)))) ,1),0),0))"),"")</f>
        <v/>
      </c>
      <c r="Q748" s="147" t="str">
        <f t="shared" si="22"/>
        <v/>
      </c>
      <c r="R748" s="147" t="str">
        <f t="shared" si="23"/>
        <v/>
      </c>
      <c r="S748" s="147" t="str">
        <f t="shared" si="24"/>
        <v/>
      </c>
      <c r="T748" s="147" t="str">
        <f t="shared" si="7"/>
        <v/>
      </c>
      <c r="U748" s="150" t="str">
        <f t="shared" si="8"/>
        <v/>
      </c>
      <c r="V748" s="151" t="str">
        <f>IFERROR(VLOOKUP(C748,Ativos!$A$1:$G2000,5,),)</f>
        <v/>
      </c>
    </row>
    <row r="749" ht="21.0" customHeight="1">
      <c r="A749" s="152"/>
      <c r="B749" s="160"/>
      <c r="C749" s="153"/>
      <c r="D749" s="154"/>
      <c r="E749" s="139"/>
      <c r="F749" s="139"/>
      <c r="G749" s="139"/>
      <c r="H749" s="135"/>
      <c r="I749" s="141"/>
      <c r="J749" s="147" t="str">
        <f>IFERROR(__xludf.DUMMYFUNCTION("IF(ISBLANK(A749),IFERROR(1/0),IF(COUNT(FILTER(F:F,A:A=A749))&gt;1,TRUNC(N749*F749/SUM(FILTER(N:N,A:A=A749)),3),F749))"),"")</f>
        <v/>
      </c>
      <c r="K749" s="147" t="str">
        <f>IFERROR(__xludf.DUMMYFUNCTION("IF(ISBLANK(A749),IFERROR(1/0),IF(COUNT(FILTER(G:G,((A:A=A749)*(B:B=""V""))))&gt;1,TRUNC(N749*G749/SUM(FILTER(N:N,((A:A=A749)*(B:B=""V"")))),3),G749))"),"")</f>
        <v/>
      </c>
      <c r="L749" s="148" t="str">
        <f>IFERROR(__xludf.DUMMYFUNCTION("if($C749="""","""",iferror(if(row()&lt;&gt;2,INDEX(arrayformula(filter($M$2:$M748,$C$2:$C748&lt;&gt;"""",row($C$2:$C748)=max(if($C$2:$C748=C749,row($C$2:$C748),0)))) ,1),0),0))"),"")</f>
        <v/>
      </c>
      <c r="M749" s="148" t="str">
        <f t="shared" si="1"/>
        <v/>
      </c>
      <c r="N749" s="147" t="str">
        <f t="shared" si="2"/>
        <v/>
      </c>
      <c r="O749" s="147" t="str">
        <f t="shared" si="21"/>
        <v/>
      </c>
      <c r="P749" s="147" t="str">
        <f>IFERROR(__xludf.DUMMYFUNCTION("if(C749="""","""",iferror(if(row()&lt;&gt;2,INDEX(arrayformula(filter($Q$2:$Q748,$C$2:$C748&lt;&gt;"""",row($C$2:$C748)=max(if($C$2:$C748=C749,row($C$2:$C748),0)))) ,1),0),0))"),"")</f>
        <v/>
      </c>
      <c r="Q749" s="147" t="str">
        <f t="shared" si="22"/>
        <v/>
      </c>
      <c r="R749" s="147" t="str">
        <f t="shared" si="23"/>
        <v/>
      </c>
      <c r="S749" s="147" t="str">
        <f t="shared" si="24"/>
        <v/>
      </c>
      <c r="T749" s="147" t="str">
        <f t="shared" si="7"/>
        <v/>
      </c>
      <c r="U749" s="150" t="str">
        <f t="shared" si="8"/>
        <v/>
      </c>
      <c r="V749" s="151" t="str">
        <f>IFERROR(VLOOKUP(C749,Ativos!$A$1:$G2000,5,),)</f>
        <v/>
      </c>
    </row>
    <row r="750" ht="21.0" customHeight="1">
      <c r="A750" s="152"/>
      <c r="B750" s="160"/>
      <c r="C750" s="153"/>
      <c r="D750" s="154"/>
      <c r="E750" s="139"/>
      <c r="F750" s="139"/>
      <c r="G750" s="139"/>
      <c r="H750" s="135"/>
      <c r="I750" s="141"/>
      <c r="J750" s="147" t="str">
        <f>IFERROR(__xludf.DUMMYFUNCTION("IF(ISBLANK(A750),IFERROR(1/0),IF(COUNT(FILTER(F:F,A:A=A750))&gt;1,TRUNC(N750*F750/SUM(FILTER(N:N,A:A=A750)),3),F750))"),"")</f>
        <v/>
      </c>
      <c r="K750" s="147" t="str">
        <f>IFERROR(__xludf.DUMMYFUNCTION("IF(ISBLANK(A750),IFERROR(1/0),IF(COUNT(FILTER(G:G,((A:A=A750)*(B:B=""V""))))&gt;1,TRUNC(N750*G750/SUM(FILTER(N:N,((A:A=A750)*(B:B=""V"")))),3),G750))"),"")</f>
        <v/>
      </c>
      <c r="L750" s="148" t="str">
        <f>IFERROR(__xludf.DUMMYFUNCTION("if($C750="""","""",iferror(if(row()&lt;&gt;2,INDEX(arrayformula(filter($M$2:$M749,$C$2:$C749&lt;&gt;"""",row($C$2:$C749)=max(if($C$2:$C749=C750,row($C$2:$C749),0)))) ,1),0),0))"),"")</f>
        <v/>
      </c>
      <c r="M750" s="148" t="str">
        <f t="shared" si="1"/>
        <v/>
      </c>
      <c r="N750" s="147" t="str">
        <f t="shared" si="2"/>
        <v/>
      </c>
      <c r="O750" s="147" t="str">
        <f t="shared" si="21"/>
        <v/>
      </c>
      <c r="P750" s="147" t="str">
        <f>IFERROR(__xludf.DUMMYFUNCTION("if(C750="""","""",iferror(if(row()&lt;&gt;2,INDEX(arrayformula(filter($Q$2:$Q749,$C$2:$C749&lt;&gt;"""",row($C$2:$C749)=max(if($C$2:$C749=C750,row($C$2:$C749),0)))) ,1),0),0))"),"")</f>
        <v/>
      </c>
      <c r="Q750" s="147" t="str">
        <f t="shared" si="22"/>
        <v/>
      </c>
      <c r="R750" s="147" t="str">
        <f t="shared" si="23"/>
        <v/>
      </c>
      <c r="S750" s="147" t="str">
        <f t="shared" si="24"/>
        <v/>
      </c>
      <c r="T750" s="147" t="str">
        <f t="shared" si="7"/>
        <v/>
      </c>
      <c r="U750" s="150" t="str">
        <f t="shared" si="8"/>
        <v/>
      </c>
      <c r="V750" s="151" t="str">
        <f>IFERROR(VLOOKUP(C750,Ativos!$A$1:$G2000,5,),)</f>
        <v/>
      </c>
    </row>
    <row r="751" ht="21.0" customHeight="1">
      <c r="A751" s="152"/>
      <c r="B751" s="160"/>
      <c r="C751" s="153"/>
      <c r="D751" s="154"/>
      <c r="E751" s="139"/>
      <c r="F751" s="139"/>
      <c r="G751" s="139"/>
      <c r="H751" s="135"/>
      <c r="I751" s="141"/>
      <c r="J751" s="147" t="str">
        <f>IFERROR(__xludf.DUMMYFUNCTION("IF(ISBLANK(A751),IFERROR(1/0),IF(COUNT(FILTER(F:F,A:A=A751))&gt;1,TRUNC(N751*F751/SUM(FILTER(N:N,A:A=A751)),3),F751))"),"")</f>
        <v/>
      </c>
      <c r="K751" s="147" t="str">
        <f>IFERROR(__xludf.DUMMYFUNCTION("IF(ISBLANK(A751),IFERROR(1/0),IF(COUNT(FILTER(G:G,((A:A=A751)*(B:B=""V""))))&gt;1,TRUNC(N751*G751/SUM(FILTER(N:N,((A:A=A751)*(B:B=""V"")))),3),G751))"),"")</f>
        <v/>
      </c>
      <c r="L751" s="148" t="str">
        <f>IFERROR(__xludf.DUMMYFUNCTION("if($C751="""","""",iferror(if(row()&lt;&gt;2,INDEX(arrayformula(filter($M$2:$M750,$C$2:$C750&lt;&gt;"""",row($C$2:$C750)=max(if($C$2:$C750=C751,row($C$2:$C750),0)))) ,1),0),0))"),"")</f>
        <v/>
      </c>
      <c r="M751" s="148" t="str">
        <f t="shared" si="1"/>
        <v/>
      </c>
      <c r="N751" s="147" t="str">
        <f t="shared" si="2"/>
        <v/>
      </c>
      <c r="O751" s="147" t="str">
        <f t="shared" si="21"/>
        <v/>
      </c>
      <c r="P751" s="147" t="str">
        <f>IFERROR(__xludf.DUMMYFUNCTION("if(C751="""","""",iferror(if(row()&lt;&gt;2,INDEX(arrayformula(filter($Q$2:$Q750,$C$2:$C750&lt;&gt;"""",row($C$2:$C750)=max(if($C$2:$C750=C751,row($C$2:$C750),0)))) ,1),0),0))"),"")</f>
        <v/>
      </c>
      <c r="Q751" s="147" t="str">
        <f t="shared" si="22"/>
        <v/>
      </c>
      <c r="R751" s="147" t="str">
        <f t="shared" si="23"/>
        <v/>
      </c>
      <c r="S751" s="147" t="str">
        <f t="shared" si="24"/>
        <v/>
      </c>
      <c r="T751" s="147" t="str">
        <f t="shared" si="7"/>
        <v/>
      </c>
      <c r="U751" s="150" t="str">
        <f t="shared" si="8"/>
        <v/>
      </c>
      <c r="V751" s="151" t="str">
        <f>IFERROR(VLOOKUP(C751,Ativos!$A$1:$G2000,5,),)</f>
        <v/>
      </c>
    </row>
    <row r="752" ht="21.0" customHeight="1">
      <c r="A752" s="152"/>
      <c r="B752" s="160"/>
      <c r="C752" s="153"/>
      <c r="D752" s="154"/>
      <c r="E752" s="139"/>
      <c r="F752" s="139"/>
      <c r="G752" s="139"/>
      <c r="H752" s="135"/>
      <c r="I752" s="141"/>
      <c r="J752" s="147" t="str">
        <f>IFERROR(__xludf.DUMMYFUNCTION("IF(ISBLANK(A752),IFERROR(1/0),IF(COUNT(FILTER(F:F,A:A=A752))&gt;1,TRUNC(N752*F752/SUM(FILTER(N:N,A:A=A752)),3),F752))"),"")</f>
        <v/>
      </c>
      <c r="K752" s="147" t="str">
        <f>IFERROR(__xludf.DUMMYFUNCTION("IF(ISBLANK(A752),IFERROR(1/0),IF(COUNT(FILTER(G:G,((A:A=A752)*(B:B=""V""))))&gt;1,TRUNC(N752*G752/SUM(FILTER(N:N,((A:A=A752)*(B:B=""V"")))),3),G752))"),"")</f>
        <v/>
      </c>
      <c r="L752" s="148" t="str">
        <f>IFERROR(__xludf.DUMMYFUNCTION("if($C752="""","""",iferror(if(row()&lt;&gt;2,INDEX(arrayformula(filter($M$2:$M751,$C$2:$C751&lt;&gt;"""",row($C$2:$C751)=max(if($C$2:$C751=C752,row($C$2:$C751),0)))) ,1),0),0))"),"")</f>
        <v/>
      </c>
      <c r="M752" s="148" t="str">
        <f t="shared" si="1"/>
        <v/>
      </c>
      <c r="N752" s="147" t="str">
        <f t="shared" si="2"/>
        <v/>
      </c>
      <c r="O752" s="147" t="str">
        <f t="shared" si="21"/>
        <v/>
      </c>
      <c r="P752" s="147" t="str">
        <f>IFERROR(__xludf.DUMMYFUNCTION("if(C752="""","""",iferror(if(row()&lt;&gt;2,INDEX(arrayformula(filter($Q$2:$Q751,$C$2:$C751&lt;&gt;"""",row($C$2:$C751)=max(if($C$2:$C751=C752,row($C$2:$C751),0)))) ,1),0),0))"),"")</f>
        <v/>
      </c>
      <c r="Q752" s="147" t="str">
        <f t="shared" si="22"/>
        <v/>
      </c>
      <c r="R752" s="147" t="str">
        <f t="shared" si="23"/>
        <v/>
      </c>
      <c r="S752" s="147" t="str">
        <f t="shared" si="24"/>
        <v/>
      </c>
      <c r="T752" s="147" t="str">
        <f t="shared" si="7"/>
        <v/>
      </c>
      <c r="U752" s="150" t="str">
        <f t="shared" si="8"/>
        <v/>
      </c>
      <c r="V752" s="151" t="str">
        <f>IFERROR(VLOOKUP(C752,Ativos!$A$1:$G2000,5,),)</f>
        <v/>
      </c>
    </row>
    <row r="753" ht="21.0" customHeight="1">
      <c r="A753" s="152"/>
      <c r="B753" s="160"/>
      <c r="C753" s="153"/>
      <c r="D753" s="154"/>
      <c r="E753" s="139"/>
      <c r="F753" s="139"/>
      <c r="G753" s="139"/>
      <c r="H753" s="135"/>
      <c r="I753" s="141"/>
      <c r="J753" s="147" t="str">
        <f>IFERROR(__xludf.DUMMYFUNCTION("IF(ISBLANK(A753),IFERROR(1/0),IF(COUNT(FILTER(F:F,A:A=A753))&gt;1,TRUNC(N753*F753/SUM(FILTER(N:N,A:A=A753)),3),F753))"),"")</f>
        <v/>
      </c>
      <c r="K753" s="147" t="str">
        <f>IFERROR(__xludf.DUMMYFUNCTION("IF(ISBLANK(A753),IFERROR(1/0),IF(COUNT(FILTER(G:G,((A:A=A753)*(B:B=""V""))))&gt;1,TRUNC(N753*G753/SUM(FILTER(N:N,((A:A=A753)*(B:B=""V"")))),3),G753))"),"")</f>
        <v/>
      </c>
      <c r="L753" s="148" t="str">
        <f>IFERROR(__xludf.DUMMYFUNCTION("if($C753="""","""",iferror(if(row()&lt;&gt;2,INDEX(arrayformula(filter($M$2:$M752,$C$2:$C752&lt;&gt;"""",row($C$2:$C752)=max(if($C$2:$C752=C753,row($C$2:$C752),0)))) ,1),0),0))"),"")</f>
        <v/>
      </c>
      <c r="M753" s="148" t="str">
        <f t="shared" si="1"/>
        <v/>
      </c>
      <c r="N753" s="147" t="str">
        <f t="shared" si="2"/>
        <v/>
      </c>
      <c r="O753" s="147" t="str">
        <f t="shared" si="21"/>
        <v/>
      </c>
      <c r="P753" s="147" t="str">
        <f>IFERROR(__xludf.DUMMYFUNCTION("if(C753="""","""",iferror(if(row()&lt;&gt;2,INDEX(arrayformula(filter($Q$2:$Q752,$C$2:$C752&lt;&gt;"""",row($C$2:$C752)=max(if($C$2:$C752=C753,row($C$2:$C752),0)))) ,1),0),0))"),"")</f>
        <v/>
      </c>
      <c r="Q753" s="147" t="str">
        <f t="shared" si="22"/>
        <v/>
      </c>
      <c r="R753" s="147" t="str">
        <f t="shared" si="23"/>
        <v/>
      </c>
      <c r="S753" s="147" t="str">
        <f t="shared" si="24"/>
        <v/>
      </c>
      <c r="T753" s="147" t="str">
        <f t="shared" si="7"/>
        <v/>
      </c>
      <c r="U753" s="150" t="str">
        <f t="shared" si="8"/>
        <v/>
      </c>
      <c r="V753" s="151" t="str">
        <f>IFERROR(VLOOKUP(C753,Ativos!$A$1:$G2000,5,),)</f>
        <v/>
      </c>
    </row>
    <row r="754" ht="21.0" customHeight="1">
      <c r="A754" s="152"/>
      <c r="B754" s="160"/>
      <c r="C754" s="153"/>
      <c r="D754" s="154"/>
      <c r="E754" s="139"/>
      <c r="F754" s="139"/>
      <c r="G754" s="139"/>
      <c r="H754" s="135"/>
      <c r="I754" s="141"/>
      <c r="J754" s="147" t="str">
        <f>IFERROR(__xludf.DUMMYFUNCTION("IF(ISBLANK(A754),IFERROR(1/0),IF(COUNT(FILTER(F:F,A:A=A754))&gt;1,TRUNC(N754*F754/SUM(FILTER(N:N,A:A=A754)),3),F754))"),"")</f>
        <v/>
      </c>
      <c r="K754" s="147" t="str">
        <f>IFERROR(__xludf.DUMMYFUNCTION("IF(ISBLANK(A754),IFERROR(1/0),IF(COUNT(FILTER(G:G,((A:A=A754)*(B:B=""V""))))&gt;1,TRUNC(N754*G754/SUM(FILTER(N:N,((A:A=A754)*(B:B=""V"")))),3),G754))"),"")</f>
        <v/>
      </c>
      <c r="L754" s="148" t="str">
        <f>IFERROR(__xludf.DUMMYFUNCTION("if($C754="""","""",iferror(if(row()&lt;&gt;2,INDEX(arrayformula(filter($M$2:$M753,$C$2:$C753&lt;&gt;"""",row($C$2:$C753)=max(if($C$2:$C753=C754,row($C$2:$C753),0)))) ,1),0),0))"),"")</f>
        <v/>
      </c>
      <c r="M754" s="148" t="str">
        <f t="shared" si="1"/>
        <v/>
      </c>
      <c r="N754" s="147" t="str">
        <f t="shared" si="2"/>
        <v/>
      </c>
      <c r="O754" s="147" t="str">
        <f t="shared" si="21"/>
        <v/>
      </c>
      <c r="P754" s="147" t="str">
        <f>IFERROR(__xludf.DUMMYFUNCTION("if(C754="""","""",iferror(if(row()&lt;&gt;2,INDEX(arrayformula(filter($Q$2:$Q753,$C$2:$C753&lt;&gt;"""",row($C$2:$C753)=max(if($C$2:$C753=C754,row($C$2:$C753),0)))) ,1),0),0))"),"")</f>
        <v/>
      </c>
      <c r="Q754" s="147" t="str">
        <f t="shared" si="22"/>
        <v/>
      </c>
      <c r="R754" s="147" t="str">
        <f t="shared" si="23"/>
        <v/>
      </c>
      <c r="S754" s="147" t="str">
        <f t="shared" si="24"/>
        <v/>
      </c>
      <c r="T754" s="147" t="str">
        <f t="shared" si="7"/>
        <v/>
      </c>
      <c r="U754" s="150" t="str">
        <f t="shared" si="8"/>
        <v/>
      </c>
      <c r="V754" s="151" t="str">
        <f>IFERROR(VLOOKUP(C754,Ativos!$A$1:$G2000,5,),)</f>
        <v/>
      </c>
    </row>
    <row r="755" ht="21.0" customHeight="1">
      <c r="A755" s="152"/>
      <c r="B755" s="160"/>
      <c r="C755" s="153"/>
      <c r="D755" s="154"/>
      <c r="E755" s="139"/>
      <c r="F755" s="139"/>
      <c r="G755" s="139"/>
      <c r="H755" s="135"/>
      <c r="I755" s="141"/>
      <c r="J755" s="147" t="str">
        <f>IFERROR(__xludf.DUMMYFUNCTION("IF(ISBLANK(A755),IFERROR(1/0),IF(COUNT(FILTER(F:F,A:A=A755))&gt;1,TRUNC(N755*F755/SUM(FILTER(N:N,A:A=A755)),3),F755))"),"")</f>
        <v/>
      </c>
      <c r="K755" s="147" t="str">
        <f>IFERROR(__xludf.DUMMYFUNCTION("IF(ISBLANK(A755),IFERROR(1/0),IF(COUNT(FILTER(G:G,((A:A=A755)*(B:B=""V""))))&gt;1,TRUNC(N755*G755/SUM(FILTER(N:N,((A:A=A755)*(B:B=""V"")))),3),G755))"),"")</f>
        <v/>
      </c>
      <c r="L755" s="148" t="str">
        <f>IFERROR(__xludf.DUMMYFUNCTION("if($C755="""","""",iferror(if(row()&lt;&gt;2,INDEX(arrayformula(filter($M$2:$M754,$C$2:$C754&lt;&gt;"""",row($C$2:$C754)=max(if($C$2:$C754=C755,row($C$2:$C754),0)))) ,1),0),0))"),"")</f>
        <v/>
      </c>
      <c r="M755" s="148" t="str">
        <f t="shared" si="1"/>
        <v/>
      </c>
      <c r="N755" s="147" t="str">
        <f t="shared" si="2"/>
        <v/>
      </c>
      <c r="O755" s="147" t="str">
        <f t="shared" si="21"/>
        <v/>
      </c>
      <c r="P755" s="147" t="str">
        <f>IFERROR(__xludf.DUMMYFUNCTION("if(C755="""","""",iferror(if(row()&lt;&gt;2,INDEX(arrayformula(filter($Q$2:$Q754,$C$2:$C754&lt;&gt;"""",row($C$2:$C754)=max(if($C$2:$C754=C755,row($C$2:$C754),0)))) ,1),0),0))"),"")</f>
        <v/>
      </c>
      <c r="Q755" s="147" t="str">
        <f t="shared" si="22"/>
        <v/>
      </c>
      <c r="R755" s="147" t="str">
        <f t="shared" si="23"/>
        <v/>
      </c>
      <c r="S755" s="147" t="str">
        <f t="shared" si="24"/>
        <v/>
      </c>
      <c r="T755" s="147" t="str">
        <f t="shared" si="7"/>
        <v/>
      </c>
      <c r="U755" s="150" t="str">
        <f t="shared" si="8"/>
        <v/>
      </c>
      <c r="V755" s="151" t="str">
        <f>IFERROR(VLOOKUP(C755,Ativos!$A$1:$G2000,5,),)</f>
        <v/>
      </c>
    </row>
    <row r="756" ht="21.0" customHeight="1">
      <c r="A756" s="152"/>
      <c r="B756" s="160"/>
      <c r="C756" s="153"/>
      <c r="D756" s="154"/>
      <c r="E756" s="139"/>
      <c r="F756" s="139"/>
      <c r="G756" s="139"/>
      <c r="H756" s="135"/>
      <c r="I756" s="141"/>
      <c r="J756" s="147" t="str">
        <f>IFERROR(__xludf.DUMMYFUNCTION("IF(ISBLANK(A756),IFERROR(1/0),IF(COUNT(FILTER(F:F,A:A=A756))&gt;1,TRUNC(N756*F756/SUM(FILTER(N:N,A:A=A756)),3),F756))"),"")</f>
        <v/>
      </c>
      <c r="K756" s="147" t="str">
        <f>IFERROR(__xludf.DUMMYFUNCTION("IF(ISBLANK(A756),IFERROR(1/0),IF(COUNT(FILTER(G:G,((A:A=A756)*(B:B=""V""))))&gt;1,TRUNC(N756*G756/SUM(FILTER(N:N,((A:A=A756)*(B:B=""V"")))),3),G756))"),"")</f>
        <v/>
      </c>
      <c r="L756" s="148" t="str">
        <f>IFERROR(__xludf.DUMMYFUNCTION("if($C756="""","""",iferror(if(row()&lt;&gt;2,INDEX(arrayformula(filter($M$2:$M755,$C$2:$C755&lt;&gt;"""",row($C$2:$C755)=max(if($C$2:$C755=C756,row($C$2:$C755),0)))) ,1),0),0))"),"")</f>
        <v/>
      </c>
      <c r="M756" s="148" t="str">
        <f t="shared" si="1"/>
        <v/>
      </c>
      <c r="N756" s="147" t="str">
        <f t="shared" si="2"/>
        <v/>
      </c>
      <c r="O756" s="147" t="str">
        <f t="shared" si="21"/>
        <v/>
      </c>
      <c r="P756" s="147" t="str">
        <f>IFERROR(__xludf.DUMMYFUNCTION("if(C756="""","""",iferror(if(row()&lt;&gt;2,INDEX(arrayformula(filter($Q$2:$Q755,$C$2:$C755&lt;&gt;"""",row($C$2:$C755)=max(if($C$2:$C755=C756,row($C$2:$C755),0)))) ,1),0),0))"),"")</f>
        <v/>
      </c>
      <c r="Q756" s="147" t="str">
        <f t="shared" si="22"/>
        <v/>
      </c>
      <c r="R756" s="147" t="str">
        <f t="shared" si="23"/>
        <v/>
      </c>
      <c r="S756" s="147" t="str">
        <f t="shared" si="24"/>
        <v/>
      </c>
      <c r="T756" s="147" t="str">
        <f t="shared" si="7"/>
        <v/>
      </c>
      <c r="U756" s="150" t="str">
        <f t="shared" si="8"/>
        <v/>
      </c>
      <c r="V756" s="151" t="str">
        <f>IFERROR(VLOOKUP(C756,Ativos!$A$1:$G2000,5,),)</f>
        <v/>
      </c>
    </row>
    <row r="757" ht="21.0" customHeight="1">
      <c r="A757" s="152"/>
      <c r="B757" s="160"/>
      <c r="C757" s="153"/>
      <c r="D757" s="154"/>
      <c r="E757" s="139"/>
      <c r="F757" s="139"/>
      <c r="G757" s="139"/>
      <c r="H757" s="135"/>
      <c r="I757" s="141"/>
      <c r="J757" s="147" t="str">
        <f>IFERROR(__xludf.DUMMYFUNCTION("IF(ISBLANK(A757),IFERROR(1/0),IF(COUNT(FILTER(F:F,A:A=A757))&gt;1,TRUNC(N757*F757/SUM(FILTER(N:N,A:A=A757)),3),F757))"),"")</f>
        <v/>
      </c>
      <c r="K757" s="147" t="str">
        <f>IFERROR(__xludf.DUMMYFUNCTION("IF(ISBLANK(A757),IFERROR(1/0),IF(COUNT(FILTER(G:G,((A:A=A757)*(B:B=""V""))))&gt;1,TRUNC(N757*G757/SUM(FILTER(N:N,((A:A=A757)*(B:B=""V"")))),3),G757))"),"")</f>
        <v/>
      </c>
      <c r="L757" s="148" t="str">
        <f>IFERROR(__xludf.DUMMYFUNCTION("if($C757="""","""",iferror(if(row()&lt;&gt;2,INDEX(arrayformula(filter($M$2:$M756,$C$2:$C756&lt;&gt;"""",row($C$2:$C756)=max(if($C$2:$C756=C757,row($C$2:$C756),0)))) ,1),0),0))"),"")</f>
        <v/>
      </c>
      <c r="M757" s="148" t="str">
        <f t="shared" si="1"/>
        <v/>
      </c>
      <c r="N757" s="147" t="str">
        <f t="shared" si="2"/>
        <v/>
      </c>
      <c r="O757" s="147" t="str">
        <f t="shared" si="21"/>
        <v/>
      </c>
      <c r="P757" s="147" t="str">
        <f>IFERROR(__xludf.DUMMYFUNCTION("if(C757="""","""",iferror(if(row()&lt;&gt;2,INDEX(arrayformula(filter($Q$2:$Q756,$C$2:$C756&lt;&gt;"""",row($C$2:$C756)=max(if($C$2:$C756=C757,row($C$2:$C756),0)))) ,1),0),0))"),"")</f>
        <v/>
      </c>
      <c r="Q757" s="147" t="str">
        <f t="shared" si="22"/>
        <v/>
      </c>
      <c r="R757" s="147" t="str">
        <f t="shared" si="23"/>
        <v/>
      </c>
      <c r="S757" s="147" t="str">
        <f t="shared" si="24"/>
        <v/>
      </c>
      <c r="T757" s="147" t="str">
        <f t="shared" si="7"/>
        <v/>
      </c>
      <c r="U757" s="150" t="str">
        <f t="shared" si="8"/>
        <v/>
      </c>
      <c r="V757" s="151" t="str">
        <f>IFERROR(VLOOKUP(C757,Ativos!$A$1:$G2000,5,),)</f>
        <v/>
      </c>
    </row>
    <row r="758" ht="21.0" customHeight="1">
      <c r="A758" s="152"/>
      <c r="B758" s="160"/>
      <c r="C758" s="153"/>
      <c r="D758" s="154"/>
      <c r="E758" s="139"/>
      <c r="F758" s="139"/>
      <c r="G758" s="139"/>
      <c r="H758" s="135"/>
      <c r="I758" s="141"/>
      <c r="J758" s="147" t="str">
        <f>IFERROR(__xludf.DUMMYFUNCTION("IF(ISBLANK(A758),IFERROR(1/0),IF(COUNT(FILTER(F:F,A:A=A758))&gt;1,TRUNC(N758*F758/SUM(FILTER(N:N,A:A=A758)),3),F758))"),"")</f>
        <v/>
      </c>
      <c r="K758" s="147" t="str">
        <f>IFERROR(__xludf.DUMMYFUNCTION("IF(ISBLANK(A758),IFERROR(1/0),IF(COUNT(FILTER(G:G,((A:A=A758)*(B:B=""V""))))&gt;1,TRUNC(N758*G758/SUM(FILTER(N:N,((A:A=A758)*(B:B=""V"")))),3),G758))"),"")</f>
        <v/>
      </c>
      <c r="L758" s="148" t="str">
        <f>IFERROR(__xludf.DUMMYFUNCTION("if($C758="""","""",iferror(if(row()&lt;&gt;2,INDEX(arrayformula(filter($M$2:$M757,$C$2:$C757&lt;&gt;"""",row($C$2:$C757)=max(if($C$2:$C757=C758,row($C$2:$C757),0)))) ,1),0),0))"),"")</f>
        <v/>
      </c>
      <c r="M758" s="148" t="str">
        <f t="shared" si="1"/>
        <v/>
      </c>
      <c r="N758" s="147" t="str">
        <f t="shared" si="2"/>
        <v/>
      </c>
      <c r="O758" s="147" t="str">
        <f t="shared" si="21"/>
        <v/>
      </c>
      <c r="P758" s="147" t="str">
        <f>IFERROR(__xludf.DUMMYFUNCTION("if(C758="""","""",iferror(if(row()&lt;&gt;2,INDEX(arrayformula(filter($Q$2:$Q757,$C$2:$C757&lt;&gt;"""",row($C$2:$C757)=max(if($C$2:$C757=C758,row($C$2:$C757),0)))) ,1),0),0))"),"")</f>
        <v/>
      </c>
      <c r="Q758" s="147" t="str">
        <f t="shared" si="22"/>
        <v/>
      </c>
      <c r="R758" s="147" t="str">
        <f t="shared" si="23"/>
        <v/>
      </c>
      <c r="S758" s="147" t="str">
        <f t="shared" si="24"/>
        <v/>
      </c>
      <c r="T758" s="147" t="str">
        <f t="shared" si="7"/>
        <v/>
      </c>
      <c r="U758" s="150" t="str">
        <f t="shared" si="8"/>
        <v/>
      </c>
      <c r="V758" s="151" t="str">
        <f>IFERROR(VLOOKUP(C758,Ativos!$A$1:$G2000,5,),)</f>
        <v/>
      </c>
    </row>
    <row r="759" ht="21.0" customHeight="1">
      <c r="A759" s="152"/>
      <c r="B759" s="160"/>
      <c r="C759" s="153"/>
      <c r="D759" s="154"/>
      <c r="E759" s="139"/>
      <c r="F759" s="139"/>
      <c r="G759" s="139"/>
      <c r="H759" s="135"/>
      <c r="I759" s="141"/>
      <c r="J759" s="147" t="str">
        <f>IFERROR(__xludf.DUMMYFUNCTION("IF(ISBLANK(A759),IFERROR(1/0),IF(COUNT(FILTER(F:F,A:A=A759))&gt;1,TRUNC(N759*F759/SUM(FILTER(N:N,A:A=A759)),3),F759))"),"")</f>
        <v/>
      </c>
      <c r="K759" s="147" t="str">
        <f>IFERROR(__xludf.DUMMYFUNCTION("IF(ISBLANK(A759),IFERROR(1/0),IF(COUNT(FILTER(G:G,((A:A=A759)*(B:B=""V""))))&gt;1,TRUNC(N759*G759/SUM(FILTER(N:N,((A:A=A759)*(B:B=""V"")))),3),G759))"),"")</f>
        <v/>
      </c>
      <c r="L759" s="148" t="str">
        <f>IFERROR(__xludf.DUMMYFUNCTION("if($C759="""","""",iferror(if(row()&lt;&gt;2,INDEX(arrayformula(filter($M$2:$M758,$C$2:$C758&lt;&gt;"""",row($C$2:$C758)=max(if($C$2:$C758=C759,row($C$2:$C758),0)))) ,1),0),0))"),"")</f>
        <v/>
      </c>
      <c r="M759" s="148" t="str">
        <f t="shared" si="1"/>
        <v/>
      </c>
      <c r="N759" s="147" t="str">
        <f t="shared" si="2"/>
        <v/>
      </c>
      <c r="O759" s="147" t="str">
        <f t="shared" si="21"/>
        <v/>
      </c>
      <c r="P759" s="147" t="str">
        <f>IFERROR(__xludf.DUMMYFUNCTION("if(C759="""","""",iferror(if(row()&lt;&gt;2,INDEX(arrayformula(filter($Q$2:$Q758,$C$2:$C758&lt;&gt;"""",row($C$2:$C758)=max(if($C$2:$C758=C759,row($C$2:$C758),0)))) ,1),0),0))"),"")</f>
        <v/>
      </c>
      <c r="Q759" s="147" t="str">
        <f t="shared" si="22"/>
        <v/>
      </c>
      <c r="R759" s="147" t="str">
        <f t="shared" si="23"/>
        <v/>
      </c>
      <c r="S759" s="147" t="str">
        <f t="shared" si="24"/>
        <v/>
      </c>
      <c r="T759" s="147" t="str">
        <f t="shared" si="7"/>
        <v/>
      </c>
      <c r="U759" s="150" t="str">
        <f t="shared" si="8"/>
        <v/>
      </c>
      <c r="V759" s="151" t="str">
        <f>IFERROR(VLOOKUP(C759,Ativos!$A$1:$G2000,5,),)</f>
        <v/>
      </c>
    </row>
    <row r="760" ht="21.0" customHeight="1">
      <c r="A760" s="152"/>
      <c r="B760" s="160"/>
      <c r="C760" s="153"/>
      <c r="D760" s="154"/>
      <c r="E760" s="139"/>
      <c r="F760" s="139"/>
      <c r="G760" s="139"/>
      <c r="H760" s="135"/>
      <c r="I760" s="141"/>
      <c r="J760" s="147" t="str">
        <f>IFERROR(__xludf.DUMMYFUNCTION("IF(ISBLANK(A760),IFERROR(1/0),IF(COUNT(FILTER(F:F,A:A=A760))&gt;1,TRUNC(N760*F760/SUM(FILTER(N:N,A:A=A760)),3),F760))"),"")</f>
        <v/>
      </c>
      <c r="K760" s="147" t="str">
        <f>IFERROR(__xludf.DUMMYFUNCTION("IF(ISBLANK(A760),IFERROR(1/0),IF(COUNT(FILTER(G:G,((A:A=A760)*(B:B=""V""))))&gt;1,TRUNC(N760*G760/SUM(FILTER(N:N,((A:A=A760)*(B:B=""V"")))),3),G760))"),"")</f>
        <v/>
      </c>
      <c r="L760" s="148" t="str">
        <f>IFERROR(__xludf.DUMMYFUNCTION("if($C760="""","""",iferror(if(row()&lt;&gt;2,INDEX(arrayformula(filter($M$2:$M759,$C$2:$C759&lt;&gt;"""",row($C$2:$C759)=max(if($C$2:$C759=C760,row($C$2:$C759),0)))) ,1),0),0))"),"")</f>
        <v/>
      </c>
      <c r="M760" s="148" t="str">
        <f t="shared" si="1"/>
        <v/>
      </c>
      <c r="N760" s="147" t="str">
        <f t="shared" si="2"/>
        <v/>
      </c>
      <c r="O760" s="147" t="str">
        <f t="shared" si="21"/>
        <v/>
      </c>
      <c r="P760" s="147" t="str">
        <f>IFERROR(__xludf.DUMMYFUNCTION("if(C760="""","""",iferror(if(row()&lt;&gt;2,INDEX(arrayformula(filter($Q$2:$Q759,$C$2:$C759&lt;&gt;"""",row($C$2:$C759)=max(if($C$2:$C759=C760,row($C$2:$C759),0)))) ,1),0),0))"),"")</f>
        <v/>
      </c>
      <c r="Q760" s="147" t="str">
        <f t="shared" si="22"/>
        <v/>
      </c>
      <c r="R760" s="147" t="str">
        <f t="shared" si="23"/>
        <v/>
      </c>
      <c r="S760" s="147" t="str">
        <f t="shared" si="24"/>
        <v/>
      </c>
      <c r="T760" s="147" t="str">
        <f t="shared" si="7"/>
        <v/>
      </c>
      <c r="U760" s="150" t="str">
        <f t="shared" si="8"/>
        <v/>
      </c>
      <c r="V760" s="151" t="str">
        <f>IFERROR(VLOOKUP(C760,Ativos!$A$1:$G2000,5,),)</f>
        <v/>
      </c>
    </row>
    <row r="761" ht="21.0" customHeight="1">
      <c r="A761" s="152"/>
      <c r="B761" s="160"/>
      <c r="C761" s="153"/>
      <c r="D761" s="154"/>
      <c r="E761" s="139"/>
      <c r="F761" s="139"/>
      <c r="G761" s="139"/>
      <c r="H761" s="135"/>
      <c r="I761" s="141"/>
      <c r="J761" s="147" t="str">
        <f>IFERROR(__xludf.DUMMYFUNCTION("IF(ISBLANK(A761),IFERROR(1/0),IF(COUNT(FILTER(F:F,A:A=A761))&gt;1,TRUNC(N761*F761/SUM(FILTER(N:N,A:A=A761)),3),F761))"),"")</f>
        <v/>
      </c>
      <c r="K761" s="147" t="str">
        <f>IFERROR(__xludf.DUMMYFUNCTION("IF(ISBLANK(A761),IFERROR(1/0),IF(COUNT(FILTER(G:G,((A:A=A761)*(B:B=""V""))))&gt;1,TRUNC(N761*G761/SUM(FILTER(N:N,((A:A=A761)*(B:B=""V"")))),3),G761))"),"")</f>
        <v/>
      </c>
      <c r="L761" s="148" t="str">
        <f>IFERROR(__xludf.DUMMYFUNCTION("if($C761="""","""",iferror(if(row()&lt;&gt;2,INDEX(arrayformula(filter($M$2:$M760,$C$2:$C760&lt;&gt;"""",row($C$2:$C760)=max(if($C$2:$C760=C761,row($C$2:$C760),0)))) ,1),0),0))"),"")</f>
        <v/>
      </c>
      <c r="M761" s="148" t="str">
        <f t="shared" si="1"/>
        <v/>
      </c>
      <c r="N761" s="147" t="str">
        <f t="shared" si="2"/>
        <v/>
      </c>
      <c r="O761" s="147" t="str">
        <f t="shared" si="21"/>
        <v/>
      </c>
      <c r="P761" s="147" t="str">
        <f>IFERROR(__xludf.DUMMYFUNCTION("if(C761="""","""",iferror(if(row()&lt;&gt;2,INDEX(arrayformula(filter($Q$2:$Q760,$C$2:$C760&lt;&gt;"""",row($C$2:$C760)=max(if($C$2:$C760=C761,row($C$2:$C760),0)))) ,1),0),0))"),"")</f>
        <v/>
      </c>
      <c r="Q761" s="147" t="str">
        <f t="shared" si="22"/>
        <v/>
      </c>
      <c r="R761" s="147" t="str">
        <f t="shared" si="23"/>
        <v/>
      </c>
      <c r="S761" s="147" t="str">
        <f t="shared" si="24"/>
        <v/>
      </c>
      <c r="T761" s="147" t="str">
        <f t="shared" si="7"/>
        <v/>
      </c>
      <c r="U761" s="150" t="str">
        <f t="shared" si="8"/>
        <v/>
      </c>
      <c r="V761" s="151" t="str">
        <f>IFERROR(VLOOKUP(C761,Ativos!$A$1:$G2000,5,),)</f>
        <v/>
      </c>
    </row>
    <row r="762" ht="21.0" customHeight="1">
      <c r="A762" s="152"/>
      <c r="B762" s="160"/>
      <c r="C762" s="153"/>
      <c r="D762" s="154"/>
      <c r="E762" s="139"/>
      <c r="F762" s="139"/>
      <c r="G762" s="139"/>
      <c r="H762" s="135"/>
      <c r="I762" s="141"/>
      <c r="J762" s="147" t="str">
        <f>IFERROR(__xludf.DUMMYFUNCTION("IF(ISBLANK(A762),IFERROR(1/0),IF(COUNT(FILTER(F:F,A:A=A762))&gt;1,TRUNC(N762*F762/SUM(FILTER(N:N,A:A=A762)),3),F762))"),"")</f>
        <v/>
      </c>
      <c r="K762" s="147" t="str">
        <f>IFERROR(__xludf.DUMMYFUNCTION("IF(ISBLANK(A762),IFERROR(1/0),IF(COUNT(FILTER(G:G,((A:A=A762)*(B:B=""V""))))&gt;1,TRUNC(N762*G762/SUM(FILTER(N:N,((A:A=A762)*(B:B=""V"")))),3),G762))"),"")</f>
        <v/>
      </c>
      <c r="L762" s="148" t="str">
        <f>IFERROR(__xludf.DUMMYFUNCTION("if($C762="""","""",iferror(if(row()&lt;&gt;2,INDEX(arrayformula(filter($M$2:$M761,$C$2:$C761&lt;&gt;"""",row($C$2:$C761)=max(if($C$2:$C761=C762,row($C$2:$C761),0)))) ,1),0),0))"),"")</f>
        <v/>
      </c>
      <c r="M762" s="148" t="str">
        <f t="shared" si="1"/>
        <v/>
      </c>
      <c r="N762" s="147" t="str">
        <f t="shared" si="2"/>
        <v/>
      </c>
      <c r="O762" s="147" t="str">
        <f t="shared" si="21"/>
        <v/>
      </c>
      <c r="P762" s="147" t="str">
        <f>IFERROR(__xludf.DUMMYFUNCTION("if(C762="""","""",iferror(if(row()&lt;&gt;2,INDEX(arrayformula(filter($Q$2:$Q761,$C$2:$C761&lt;&gt;"""",row($C$2:$C761)=max(if($C$2:$C761=C762,row($C$2:$C761),0)))) ,1),0),0))"),"")</f>
        <v/>
      </c>
      <c r="Q762" s="147" t="str">
        <f t="shared" si="22"/>
        <v/>
      </c>
      <c r="R762" s="147" t="str">
        <f t="shared" si="23"/>
        <v/>
      </c>
      <c r="S762" s="147" t="str">
        <f t="shared" si="24"/>
        <v/>
      </c>
      <c r="T762" s="147" t="str">
        <f t="shared" si="7"/>
        <v/>
      </c>
      <c r="U762" s="150" t="str">
        <f t="shared" si="8"/>
        <v/>
      </c>
      <c r="V762" s="151" t="str">
        <f>IFERROR(VLOOKUP(C762,Ativos!$A$1:$G2000,5,),)</f>
        <v/>
      </c>
    </row>
    <row r="763" ht="21.0" customHeight="1">
      <c r="A763" s="152"/>
      <c r="B763" s="160"/>
      <c r="C763" s="153"/>
      <c r="D763" s="154"/>
      <c r="E763" s="139"/>
      <c r="F763" s="139"/>
      <c r="G763" s="139"/>
      <c r="H763" s="135"/>
      <c r="I763" s="141"/>
      <c r="J763" s="147" t="str">
        <f>IFERROR(__xludf.DUMMYFUNCTION("IF(ISBLANK(A763),IFERROR(1/0),IF(COUNT(FILTER(F:F,A:A=A763))&gt;1,TRUNC(N763*F763/SUM(FILTER(N:N,A:A=A763)),3),F763))"),"")</f>
        <v/>
      </c>
      <c r="K763" s="147" t="str">
        <f>IFERROR(__xludf.DUMMYFUNCTION("IF(ISBLANK(A763),IFERROR(1/0),IF(COUNT(FILTER(G:G,((A:A=A763)*(B:B=""V""))))&gt;1,TRUNC(N763*G763/SUM(FILTER(N:N,((A:A=A763)*(B:B=""V"")))),3),G763))"),"")</f>
        <v/>
      </c>
      <c r="L763" s="148" t="str">
        <f>IFERROR(__xludf.DUMMYFUNCTION("if($C763="""","""",iferror(if(row()&lt;&gt;2,INDEX(arrayformula(filter($M$2:$M762,$C$2:$C762&lt;&gt;"""",row($C$2:$C762)=max(if($C$2:$C762=C763,row($C$2:$C762),0)))) ,1),0),0))"),"")</f>
        <v/>
      </c>
      <c r="M763" s="148" t="str">
        <f t="shared" si="1"/>
        <v/>
      </c>
      <c r="N763" s="147" t="str">
        <f t="shared" si="2"/>
        <v/>
      </c>
      <c r="O763" s="147" t="str">
        <f t="shared" si="21"/>
        <v/>
      </c>
      <c r="P763" s="147" t="str">
        <f>IFERROR(__xludf.DUMMYFUNCTION("if(C763="""","""",iferror(if(row()&lt;&gt;2,INDEX(arrayformula(filter($Q$2:$Q762,$C$2:$C762&lt;&gt;"""",row($C$2:$C762)=max(if($C$2:$C762=C763,row($C$2:$C762),0)))) ,1),0),0))"),"")</f>
        <v/>
      </c>
      <c r="Q763" s="147" t="str">
        <f t="shared" si="22"/>
        <v/>
      </c>
      <c r="R763" s="147" t="str">
        <f t="shared" si="23"/>
        <v/>
      </c>
      <c r="S763" s="147" t="str">
        <f t="shared" si="24"/>
        <v/>
      </c>
      <c r="T763" s="147" t="str">
        <f t="shared" si="7"/>
        <v/>
      </c>
      <c r="U763" s="150" t="str">
        <f t="shared" si="8"/>
        <v/>
      </c>
      <c r="V763" s="151" t="str">
        <f>IFERROR(VLOOKUP(C763,Ativos!$A$1:$G2000,5,),)</f>
        <v/>
      </c>
    </row>
    <row r="764" ht="21.0" customHeight="1">
      <c r="A764" s="152"/>
      <c r="B764" s="160"/>
      <c r="C764" s="153"/>
      <c r="D764" s="154"/>
      <c r="E764" s="139"/>
      <c r="F764" s="139"/>
      <c r="G764" s="139"/>
      <c r="H764" s="135"/>
      <c r="I764" s="141"/>
      <c r="J764" s="147" t="str">
        <f>IFERROR(__xludf.DUMMYFUNCTION("IF(ISBLANK(A764),IFERROR(1/0),IF(COUNT(FILTER(F:F,A:A=A764))&gt;1,TRUNC(N764*F764/SUM(FILTER(N:N,A:A=A764)),3),F764))"),"")</f>
        <v/>
      </c>
      <c r="K764" s="147" t="str">
        <f>IFERROR(__xludf.DUMMYFUNCTION("IF(ISBLANK(A764),IFERROR(1/0),IF(COUNT(FILTER(G:G,((A:A=A764)*(B:B=""V""))))&gt;1,TRUNC(N764*G764/SUM(FILTER(N:N,((A:A=A764)*(B:B=""V"")))),3),G764))"),"")</f>
        <v/>
      </c>
      <c r="L764" s="148" t="str">
        <f>IFERROR(__xludf.DUMMYFUNCTION("if($C764="""","""",iferror(if(row()&lt;&gt;2,INDEX(arrayformula(filter($M$2:$M763,$C$2:$C763&lt;&gt;"""",row($C$2:$C763)=max(if($C$2:$C763=C764,row($C$2:$C763),0)))) ,1),0),0))"),"")</f>
        <v/>
      </c>
      <c r="M764" s="148" t="str">
        <f t="shared" si="1"/>
        <v/>
      </c>
      <c r="N764" s="147" t="str">
        <f t="shared" si="2"/>
        <v/>
      </c>
      <c r="O764" s="147" t="str">
        <f t="shared" si="21"/>
        <v/>
      </c>
      <c r="P764" s="147" t="str">
        <f>IFERROR(__xludf.DUMMYFUNCTION("if(C764="""","""",iferror(if(row()&lt;&gt;2,INDEX(arrayformula(filter($Q$2:$Q763,$C$2:$C763&lt;&gt;"""",row($C$2:$C763)=max(if($C$2:$C763=C764,row($C$2:$C763),0)))) ,1),0),0))"),"")</f>
        <v/>
      </c>
      <c r="Q764" s="147" t="str">
        <f t="shared" si="22"/>
        <v/>
      </c>
      <c r="R764" s="147" t="str">
        <f t="shared" si="23"/>
        <v/>
      </c>
      <c r="S764" s="147" t="str">
        <f t="shared" si="24"/>
        <v/>
      </c>
      <c r="T764" s="147" t="str">
        <f t="shared" si="7"/>
        <v/>
      </c>
      <c r="U764" s="150" t="str">
        <f t="shared" si="8"/>
        <v/>
      </c>
      <c r="V764" s="151" t="str">
        <f>IFERROR(VLOOKUP(C764,Ativos!$A$1:$G2000,5,),)</f>
        <v/>
      </c>
    </row>
    <row r="765" ht="21.0" customHeight="1">
      <c r="A765" s="152"/>
      <c r="B765" s="160"/>
      <c r="C765" s="153"/>
      <c r="D765" s="154"/>
      <c r="E765" s="139"/>
      <c r="F765" s="139"/>
      <c r="G765" s="139"/>
      <c r="H765" s="135"/>
      <c r="I765" s="141"/>
      <c r="J765" s="147" t="str">
        <f>IFERROR(__xludf.DUMMYFUNCTION("IF(ISBLANK(A765),IFERROR(1/0),IF(COUNT(FILTER(F:F,A:A=A765))&gt;1,TRUNC(N765*F765/SUM(FILTER(N:N,A:A=A765)),3),F765))"),"")</f>
        <v/>
      </c>
      <c r="K765" s="147" t="str">
        <f>IFERROR(__xludf.DUMMYFUNCTION("IF(ISBLANK(A765),IFERROR(1/0),IF(COUNT(FILTER(G:G,((A:A=A765)*(B:B=""V""))))&gt;1,TRUNC(N765*G765/SUM(FILTER(N:N,((A:A=A765)*(B:B=""V"")))),3),G765))"),"")</f>
        <v/>
      </c>
      <c r="L765" s="148" t="str">
        <f>IFERROR(__xludf.DUMMYFUNCTION("if($C765="""","""",iferror(if(row()&lt;&gt;2,INDEX(arrayformula(filter($M$2:$M764,$C$2:$C764&lt;&gt;"""",row($C$2:$C764)=max(if($C$2:$C764=C765,row($C$2:$C764),0)))) ,1),0),0))"),"")</f>
        <v/>
      </c>
      <c r="M765" s="148" t="str">
        <f t="shared" si="1"/>
        <v/>
      </c>
      <c r="N765" s="147" t="str">
        <f t="shared" si="2"/>
        <v/>
      </c>
      <c r="O765" s="147" t="str">
        <f t="shared" si="21"/>
        <v/>
      </c>
      <c r="P765" s="147" t="str">
        <f>IFERROR(__xludf.DUMMYFUNCTION("if(C765="""","""",iferror(if(row()&lt;&gt;2,INDEX(arrayformula(filter($Q$2:$Q764,$C$2:$C764&lt;&gt;"""",row($C$2:$C764)=max(if($C$2:$C764=C765,row($C$2:$C764),0)))) ,1),0),0))"),"")</f>
        <v/>
      </c>
      <c r="Q765" s="147" t="str">
        <f t="shared" si="22"/>
        <v/>
      </c>
      <c r="R765" s="147" t="str">
        <f t="shared" si="23"/>
        <v/>
      </c>
      <c r="S765" s="147" t="str">
        <f t="shared" si="24"/>
        <v/>
      </c>
      <c r="T765" s="147" t="str">
        <f t="shared" si="7"/>
        <v/>
      </c>
      <c r="U765" s="150" t="str">
        <f t="shared" si="8"/>
        <v/>
      </c>
      <c r="V765" s="151" t="str">
        <f>IFERROR(VLOOKUP(C765,Ativos!$A$1:$G2000,5,),)</f>
        <v/>
      </c>
    </row>
    <row r="766" ht="21.0" customHeight="1">
      <c r="A766" s="152"/>
      <c r="B766" s="160"/>
      <c r="C766" s="153"/>
      <c r="D766" s="154"/>
      <c r="E766" s="139"/>
      <c r="F766" s="139"/>
      <c r="G766" s="139"/>
      <c r="H766" s="135"/>
      <c r="I766" s="141"/>
      <c r="J766" s="147" t="str">
        <f>IFERROR(__xludf.DUMMYFUNCTION("IF(ISBLANK(A766),IFERROR(1/0),IF(COUNT(FILTER(F:F,A:A=A766))&gt;1,TRUNC(N766*F766/SUM(FILTER(N:N,A:A=A766)),3),F766))"),"")</f>
        <v/>
      </c>
      <c r="K766" s="147" t="str">
        <f>IFERROR(__xludf.DUMMYFUNCTION("IF(ISBLANK(A766),IFERROR(1/0),IF(COUNT(FILTER(G:G,((A:A=A766)*(B:B=""V""))))&gt;1,TRUNC(N766*G766/SUM(FILTER(N:N,((A:A=A766)*(B:B=""V"")))),3),G766))"),"")</f>
        <v/>
      </c>
      <c r="L766" s="148" t="str">
        <f>IFERROR(__xludf.DUMMYFUNCTION("if($C766="""","""",iferror(if(row()&lt;&gt;2,INDEX(arrayformula(filter($M$2:$M765,$C$2:$C765&lt;&gt;"""",row($C$2:$C765)=max(if($C$2:$C765=C766,row($C$2:$C765),0)))) ,1),0),0))"),"")</f>
        <v/>
      </c>
      <c r="M766" s="148" t="str">
        <f t="shared" si="1"/>
        <v/>
      </c>
      <c r="N766" s="147" t="str">
        <f t="shared" si="2"/>
        <v/>
      </c>
      <c r="O766" s="147" t="str">
        <f t="shared" si="21"/>
        <v/>
      </c>
      <c r="P766" s="147" t="str">
        <f>IFERROR(__xludf.DUMMYFUNCTION("if(C766="""","""",iferror(if(row()&lt;&gt;2,INDEX(arrayformula(filter($Q$2:$Q765,$C$2:$C765&lt;&gt;"""",row($C$2:$C765)=max(if($C$2:$C765=C766,row($C$2:$C765),0)))) ,1),0),0))"),"")</f>
        <v/>
      </c>
      <c r="Q766" s="147" t="str">
        <f t="shared" si="22"/>
        <v/>
      </c>
      <c r="R766" s="147" t="str">
        <f t="shared" si="23"/>
        <v/>
      </c>
      <c r="S766" s="147" t="str">
        <f t="shared" si="24"/>
        <v/>
      </c>
      <c r="T766" s="147" t="str">
        <f t="shared" si="7"/>
        <v/>
      </c>
      <c r="U766" s="150" t="str">
        <f t="shared" si="8"/>
        <v/>
      </c>
      <c r="V766" s="151" t="str">
        <f>IFERROR(VLOOKUP(C766,Ativos!$A$1:$G2000,5,),)</f>
        <v/>
      </c>
    </row>
    <row r="767" ht="21.0" customHeight="1">
      <c r="A767" s="152"/>
      <c r="B767" s="160"/>
      <c r="C767" s="153"/>
      <c r="D767" s="154"/>
      <c r="E767" s="139"/>
      <c r="F767" s="139"/>
      <c r="G767" s="139"/>
      <c r="H767" s="135"/>
      <c r="I767" s="141"/>
      <c r="J767" s="147" t="str">
        <f>IFERROR(__xludf.DUMMYFUNCTION("IF(ISBLANK(A767),IFERROR(1/0),IF(COUNT(FILTER(F:F,A:A=A767))&gt;1,TRUNC(N767*F767/SUM(FILTER(N:N,A:A=A767)),3),F767))"),"")</f>
        <v/>
      </c>
      <c r="K767" s="147" t="str">
        <f>IFERROR(__xludf.DUMMYFUNCTION("IF(ISBLANK(A767),IFERROR(1/0),IF(COUNT(FILTER(G:G,((A:A=A767)*(B:B=""V""))))&gt;1,TRUNC(N767*G767/SUM(FILTER(N:N,((A:A=A767)*(B:B=""V"")))),3),G767))"),"")</f>
        <v/>
      </c>
      <c r="L767" s="148" t="str">
        <f>IFERROR(__xludf.DUMMYFUNCTION("if($C767="""","""",iferror(if(row()&lt;&gt;2,INDEX(arrayformula(filter($M$2:$M766,$C$2:$C766&lt;&gt;"""",row($C$2:$C766)=max(if($C$2:$C766=C767,row($C$2:$C766),0)))) ,1),0),0))"),"")</f>
        <v/>
      </c>
      <c r="M767" s="148" t="str">
        <f t="shared" si="1"/>
        <v/>
      </c>
      <c r="N767" s="147" t="str">
        <f t="shared" si="2"/>
        <v/>
      </c>
      <c r="O767" s="147" t="str">
        <f t="shared" si="21"/>
        <v/>
      </c>
      <c r="P767" s="147" t="str">
        <f>IFERROR(__xludf.DUMMYFUNCTION("if(C767="""","""",iferror(if(row()&lt;&gt;2,INDEX(arrayformula(filter($Q$2:$Q766,$C$2:$C766&lt;&gt;"""",row($C$2:$C766)=max(if($C$2:$C766=C767,row($C$2:$C766),0)))) ,1),0),0))"),"")</f>
        <v/>
      </c>
      <c r="Q767" s="147" t="str">
        <f t="shared" si="22"/>
        <v/>
      </c>
      <c r="R767" s="147" t="str">
        <f t="shared" si="23"/>
        <v/>
      </c>
      <c r="S767" s="147" t="str">
        <f t="shared" si="24"/>
        <v/>
      </c>
      <c r="T767" s="147" t="str">
        <f t="shared" si="7"/>
        <v/>
      </c>
      <c r="U767" s="150" t="str">
        <f t="shared" si="8"/>
        <v/>
      </c>
      <c r="V767" s="151" t="str">
        <f>IFERROR(VLOOKUP(C767,Ativos!$A$1:$G2000,5,),)</f>
        <v/>
      </c>
    </row>
    <row r="768" ht="21.0" customHeight="1">
      <c r="A768" s="152"/>
      <c r="B768" s="160"/>
      <c r="C768" s="153"/>
      <c r="D768" s="154"/>
      <c r="E768" s="139"/>
      <c r="F768" s="139"/>
      <c r="G768" s="139"/>
      <c r="H768" s="135"/>
      <c r="I768" s="141"/>
      <c r="J768" s="147" t="str">
        <f>IFERROR(__xludf.DUMMYFUNCTION("IF(ISBLANK(A768),IFERROR(1/0),IF(COUNT(FILTER(F:F,A:A=A768))&gt;1,TRUNC(N768*F768/SUM(FILTER(N:N,A:A=A768)),3),F768))"),"")</f>
        <v/>
      </c>
      <c r="K768" s="147" t="str">
        <f>IFERROR(__xludf.DUMMYFUNCTION("IF(ISBLANK(A768),IFERROR(1/0),IF(COUNT(FILTER(G:G,((A:A=A768)*(B:B=""V""))))&gt;1,TRUNC(N768*G768/SUM(FILTER(N:N,((A:A=A768)*(B:B=""V"")))),3),G768))"),"")</f>
        <v/>
      </c>
      <c r="L768" s="148" t="str">
        <f>IFERROR(__xludf.DUMMYFUNCTION("if($C768="""","""",iferror(if(row()&lt;&gt;2,INDEX(arrayformula(filter($M$2:$M767,$C$2:$C767&lt;&gt;"""",row($C$2:$C767)=max(if($C$2:$C767=C768,row($C$2:$C767),0)))) ,1),0),0))"),"")</f>
        <v/>
      </c>
      <c r="M768" s="148" t="str">
        <f t="shared" si="1"/>
        <v/>
      </c>
      <c r="N768" s="147" t="str">
        <f t="shared" si="2"/>
        <v/>
      </c>
      <c r="O768" s="147" t="str">
        <f t="shared" si="21"/>
        <v/>
      </c>
      <c r="P768" s="147" t="str">
        <f>IFERROR(__xludf.DUMMYFUNCTION("if(C768="""","""",iferror(if(row()&lt;&gt;2,INDEX(arrayformula(filter($Q$2:$Q767,$C$2:$C767&lt;&gt;"""",row($C$2:$C767)=max(if($C$2:$C767=C768,row($C$2:$C767),0)))) ,1),0),0))"),"")</f>
        <v/>
      </c>
      <c r="Q768" s="147" t="str">
        <f t="shared" si="22"/>
        <v/>
      </c>
      <c r="R768" s="147" t="str">
        <f t="shared" si="23"/>
        <v/>
      </c>
      <c r="S768" s="147" t="str">
        <f t="shared" si="24"/>
        <v/>
      </c>
      <c r="T768" s="147" t="str">
        <f t="shared" si="7"/>
        <v/>
      </c>
      <c r="U768" s="150" t="str">
        <f t="shared" si="8"/>
        <v/>
      </c>
      <c r="V768" s="151" t="str">
        <f>IFERROR(VLOOKUP(C768,Ativos!$A$1:$G2000,5,),)</f>
        <v/>
      </c>
    </row>
    <row r="769" ht="21.0" customHeight="1">
      <c r="A769" s="152"/>
      <c r="B769" s="160"/>
      <c r="C769" s="153"/>
      <c r="D769" s="154"/>
      <c r="E769" s="139"/>
      <c r="F769" s="139"/>
      <c r="G769" s="139"/>
      <c r="H769" s="135"/>
      <c r="I769" s="141"/>
      <c r="J769" s="147" t="str">
        <f>IFERROR(__xludf.DUMMYFUNCTION("IF(ISBLANK(A769),IFERROR(1/0),IF(COUNT(FILTER(F:F,A:A=A769))&gt;1,TRUNC(N769*F769/SUM(FILTER(N:N,A:A=A769)),3),F769))"),"")</f>
        <v/>
      </c>
      <c r="K769" s="147" t="str">
        <f>IFERROR(__xludf.DUMMYFUNCTION("IF(ISBLANK(A769),IFERROR(1/0),IF(COUNT(FILTER(G:G,((A:A=A769)*(B:B=""V""))))&gt;1,TRUNC(N769*G769/SUM(FILTER(N:N,((A:A=A769)*(B:B=""V"")))),3),G769))"),"")</f>
        <v/>
      </c>
      <c r="L769" s="148" t="str">
        <f>IFERROR(__xludf.DUMMYFUNCTION("if($C769="""","""",iferror(if(row()&lt;&gt;2,INDEX(arrayformula(filter($M$2:$M768,$C$2:$C768&lt;&gt;"""",row($C$2:$C768)=max(if($C$2:$C768=C769,row($C$2:$C768),0)))) ,1),0),0))"),"")</f>
        <v/>
      </c>
      <c r="M769" s="148" t="str">
        <f t="shared" si="1"/>
        <v/>
      </c>
      <c r="N769" s="147" t="str">
        <f t="shared" si="2"/>
        <v/>
      </c>
      <c r="O769" s="147" t="str">
        <f t="shared" si="21"/>
        <v/>
      </c>
      <c r="P769" s="147" t="str">
        <f>IFERROR(__xludf.DUMMYFUNCTION("if(C769="""","""",iferror(if(row()&lt;&gt;2,INDEX(arrayformula(filter($Q$2:$Q768,$C$2:$C768&lt;&gt;"""",row($C$2:$C768)=max(if($C$2:$C768=C769,row($C$2:$C768),0)))) ,1),0),0))"),"")</f>
        <v/>
      </c>
      <c r="Q769" s="147" t="str">
        <f t="shared" si="22"/>
        <v/>
      </c>
      <c r="R769" s="147" t="str">
        <f t="shared" si="23"/>
        <v/>
      </c>
      <c r="S769" s="147" t="str">
        <f t="shared" si="24"/>
        <v/>
      </c>
      <c r="T769" s="147" t="str">
        <f t="shared" si="7"/>
        <v/>
      </c>
      <c r="U769" s="150" t="str">
        <f t="shared" si="8"/>
        <v/>
      </c>
      <c r="V769" s="151" t="str">
        <f>IFERROR(VLOOKUP(C769,Ativos!$A$1:$G2000,5,),)</f>
        <v/>
      </c>
    </row>
    <row r="770" ht="21.0" customHeight="1">
      <c r="A770" s="152"/>
      <c r="B770" s="160"/>
      <c r="C770" s="153"/>
      <c r="D770" s="154"/>
      <c r="E770" s="139"/>
      <c r="F770" s="139"/>
      <c r="G770" s="139"/>
      <c r="H770" s="135"/>
      <c r="I770" s="141"/>
      <c r="J770" s="147" t="str">
        <f>IFERROR(__xludf.DUMMYFUNCTION("IF(ISBLANK(A770),IFERROR(1/0),IF(COUNT(FILTER(F:F,A:A=A770))&gt;1,TRUNC(N770*F770/SUM(FILTER(N:N,A:A=A770)),3),F770))"),"")</f>
        <v/>
      </c>
      <c r="K770" s="147" t="str">
        <f>IFERROR(__xludf.DUMMYFUNCTION("IF(ISBLANK(A770),IFERROR(1/0),IF(COUNT(FILTER(G:G,((A:A=A770)*(B:B=""V""))))&gt;1,TRUNC(N770*G770/SUM(FILTER(N:N,((A:A=A770)*(B:B=""V"")))),3),G770))"),"")</f>
        <v/>
      </c>
      <c r="L770" s="148" t="str">
        <f>IFERROR(__xludf.DUMMYFUNCTION("if($C770="""","""",iferror(if(row()&lt;&gt;2,INDEX(arrayformula(filter($M$2:$M769,$C$2:$C769&lt;&gt;"""",row($C$2:$C769)=max(if($C$2:$C769=C770,row($C$2:$C769),0)))) ,1),0),0))"),"")</f>
        <v/>
      </c>
      <c r="M770" s="148" t="str">
        <f t="shared" si="1"/>
        <v/>
      </c>
      <c r="N770" s="147" t="str">
        <f t="shared" si="2"/>
        <v/>
      </c>
      <c r="O770" s="147" t="str">
        <f t="shared" si="21"/>
        <v/>
      </c>
      <c r="P770" s="147" t="str">
        <f>IFERROR(__xludf.DUMMYFUNCTION("if(C770="""","""",iferror(if(row()&lt;&gt;2,INDEX(arrayformula(filter($Q$2:$Q769,$C$2:$C769&lt;&gt;"""",row($C$2:$C769)=max(if($C$2:$C769=C770,row($C$2:$C769),0)))) ,1),0),0))"),"")</f>
        <v/>
      </c>
      <c r="Q770" s="147" t="str">
        <f t="shared" si="22"/>
        <v/>
      </c>
      <c r="R770" s="147" t="str">
        <f t="shared" si="23"/>
        <v/>
      </c>
      <c r="S770" s="147" t="str">
        <f t="shared" si="24"/>
        <v/>
      </c>
      <c r="T770" s="147" t="str">
        <f t="shared" si="7"/>
        <v/>
      </c>
      <c r="U770" s="150" t="str">
        <f t="shared" si="8"/>
        <v/>
      </c>
      <c r="V770" s="151" t="str">
        <f>IFERROR(VLOOKUP(C770,Ativos!$A$1:$G2000,5,),)</f>
        <v/>
      </c>
    </row>
    <row r="771" ht="21.0" customHeight="1">
      <c r="A771" s="152"/>
      <c r="B771" s="160"/>
      <c r="C771" s="153"/>
      <c r="D771" s="154"/>
      <c r="E771" s="139"/>
      <c r="F771" s="139"/>
      <c r="G771" s="139"/>
      <c r="H771" s="135"/>
      <c r="I771" s="141"/>
      <c r="J771" s="147" t="str">
        <f>IFERROR(__xludf.DUMMYFUNCTION("IF(ISBLANK(A771),IFERROR(1/0),IF(COUNT(FILTER(F:F,A:A=A771))&gt;1,TRUNC(N771*F771/SUM(FILTER(N:N,A:A=A771)),3),F771))"),"")</f>
        <v/>
      </c>
      <c r="K771" s="147" t="str">
        <f>IFERROR(__xludf.DUMMYFUNCTION("IF(ISBLANK(A771),IFERROR(1/0),IF(COUNT(FILTER(G:G,((A:A=A771)*(B:B=""V""))))&gt;1,TRUNC(N771*G771/SUM(FILTER(N:N,((A:A=A771)*(B:B=""V"")))),3),G771))"),"")</f>
        <v/>
      </c>
      <c r="L771" s="148" t="str">
        <f>IFERROR(__xludf.DUMMYFUNCTION("if($C771="""","""",iferror(if(row()&lt;&gt;2,INDEX(arrayformula(filter($M$2:$M770,$C$2:$C770&lt;&gt;"""",row($C$2:$C770)=max(if($C$2:$C770=C771,row($C$2:$C770),0)))) ,1),0),0))"),"")</f>
        <v/>
      </c>
      <c r="M771" s="148" t="str">
        <f t="shared" si="1"/>
        <v/>
      </c>
      <c r="N771" s="147" t="str">
        <f t="shared" si="2"/>
        <v/>
      </c>
      <c r="O771" s="147" t="str">
        <f t="shared" si="21"/>
        <v/>
      </c>
      <c r="P771" s="147" t="str">
        <f>IFERROR(__xludf.DUMMYFUNCTION("if(C771="""","""",iferror(if(row()&lt;&gt;2,INDEX(arrayformula(filter($Q$2:$Q770,$C$2:$C770&lt;&gt;"""",row($C$2:$C770)=max(if($C$2:$C770=C771,row($C$2:$C770),0)))) ,1),0),0))"),"")</f>
        <v/>
      </c>
      <c r="Q771" s="147" t="str">
        <f t="shared" si="22"/>
        <v/>
      </c>
      <c r="R771" s="147" t="str">
        <f t="shared" si="23"/>
        <v/>
      </c>
      <c r="S771" s="147" t="str">
        <f t="shared" si="24"/>
        <v/>
      </c>
      <c r="T771" s="147" t="str">
        <f t="shared" si="7"/>
        <v/>
      </c>
      <c r="U771" s="150" t="str">
        <f t="shared" si="8"/>
        <v/>
      </c>
      <c r="V771" s="151" t="str">
        <f>IFERROR(VLOOKUP(C771,Ativos!$A$1:$G2000,5,),)</f>
        <v/>
      </c>
    </row>
    <row r="772" ht="21.0" customHeight="1">
      <c r="A772" s="152"/>
      <c r="B772" s="160"/>
      <c r="C772" s="153"/>
      <c r="D772" s="154"/>
      <c r="E772" s="139"/>
      <c r="F772" s="139"/>
      <c r="G772" s="139"/>
      <c r="H772" s="135"/>
      <c r="I772" s="141"/>
      <c r="J772" s="147" t="str">
        <f>IFERROR(__xludf.DUMMYFUNCTION("IF(ISBLANK(A772),IFERROR(1/0),IF(COUNT(FILTER(F:F,A:A=A772))&gt;1,TRUNC(N772*F772/SUM(FILTER(N:N,A:A=A772)),3),F772))"),"")</f>
        <v/>
      </c>
      <c r="K772" s="147" t="str">
        <f>IFERROR(__xludf.DUMMYFUNCTION("IF(ISBLANK(A772),IFERROR(1/0),IF(COUNT(FILTER(G:G,((A:A=A772)*(B:B=""V""))))&gt;1,TRUNC(N772*G772/SUM(FILTER(N:N,((A:A=A772)*(B:B=""V"")))),3),G772))"),"")</f>
        <v/>
      </c>
      <c r="L772" s="148" t="str">
        <f>IFERROR(__xludf.DUMMYFUNCTION("if($C772="""","""",iferror(if(row()&lt;&gt;2,INDEX(arrayformula(filter($M$2:$M771,$C$2:$C771&lt;&gt;"""",row($C$2:$C771)=max(if($C$2:$C771=C772,row($C$2:$C771),0)))) ,1),0),0))"),"")</f>
        <v/>
      </c>
      <c r="M772" s="148" t="str">
        <f t="shared" si="1"/>
        <v/>
      </c>
      <c r="N772" s="147" t="str">
        <f t="shared" si="2"/>
        <v/>
      </c>
      <c r="O772" s="147" t="str">
        <f t="shared" si="21"/>
        <v/>
      </c>
      <c r="P772" s="147" t="str">
        <f>IFERROR(__xludf.DUMMYFUNCTION("if(C772="""","""",iferror(if(row()&lt;&gt;2,INDEX(arrayformula(filter($Q$2:$Q771,$C$2:$C771&lt;&gt;"""",row($C$2:$C771)=max(if($C$2:$C771=C772,row($C$2:$C771),0)))) ,1),0),0))"),"")</f>
        <v/>
      </c>
      <c r="Q772" s="147" t="str">
        <f t="shared" si="22"/>
        <v/>
      </c>
      <c r="R772" s="147" t="str">
        <f t="shared" si="23"/>
        <v/>
      </c>
      <c r="S772" s="147" t="str">
        <f t="shared" si="24"/>
        <v/>
      </c>
      <c r="T772" s="147" t="str">
        <f t="shared" si="7"/>
        <v/>
      </c>
      <c r="U772" s="150" t="str">
        <f t="shared" si="8"/>
        <v/>
      </c>
      <c r="V772" s="151" t="str">
        <f>IFERROR(VLOOKUP(C772,Ativos!$A$1:$G2000,5,),)</f>
        <v/>
      </c>
    </row>
    <row r="773" ht="21.0" customHeight="1">
      <c r="A773" s="152"/>
      <c r="B773" s="160"/>
      <c r="C773" s="153"/>
      <c r="D773" s="154"/>
      <c r="E773" s="139"/>
      <c r="F773" s="139"/>
      <c r="G773" s="139"/>
      <c r="H773" s="135"/>
      <c r="I773" s="141"/>
      <c r="J773" s="147" t="str">
        <f>IFERROR(__xludf.DUMMYFUNCTION("IF(ISBLANK(A773),IFERROR(1/0),IF(COUNT(FILTER(F:F,A:A=A773))&gt;1,TRUNC(N773*F773/SUM(FILTER(N:N,A:A=A773)),3),F773))"),"")</f>
        <v/>
      </c>
      <c r="K773" s="147" t="str">
        <f>IFERROR(__xludf.DUMMYFUNCTION("IF(ISBLANK(A773),IFERROR(1/0),IF(COUNT(FILTER(G:G,((A:A=A773)*(B:B=""V""))))&gt;1,TRUNC(N773*G773/SUM(FILTER(N:N,((A:A=A773)*(B:B=""V"")))),3),G773))"),"")</f>
        <v/>
      </c>
      <c r="L773" s="148" t="str">
        <f>IFERROR(__xludf.DUMMYFUNCTION("if($C773="""","""",iferror(if(row()&lt;&gt;2,INDEX(arrayformula(filter($M$2:$M772,$C$2:$C772&lt;&gt;"""",row($C$2:$C772)=max(if($C$2:$C772=C773,row($C$2:$C772),0)))) ,1),0),0))"),"")</f>
        <v/>
      </c>
      <c r="M773" s="148" t="str">
        <f t="shared" si="1"/>
        <v/>
      </c>
      <c r="N773" s="147" t="str">
        <f t="shared" si="2"/>
        <v/>
      </c>
      <c r="O773" s="147" t="str">
        <f t="shared" si="21"/>
        <v/>
      </c>
      <c r="P773" s="147" t="str">
        <f>IFERROR(__xludf.DUMMYFUNCTION("if(C773="""","""",iferror(if(row()&lt;&gt;2,INDEX(arrayformula(filter($Q$2:$Q772,$C$2:$C772&lt;&gt;"""",row($C$2:$C772)=max(if($C$2:$C772=C773,row($C$2:$C772),0)))) ,1),0),0))"),"")</f>
        <v/>
      </c>
      <c r="Q773" s="147" t="str">
        <f t="shared" si="22"/>
        <v/>
      </c>
      <c r="R773" s="147" t="str">
        <f t="shared" si="23"/>
        <v/>
      </c>
      <c r="S773" s="147" t="str">
        <f t="shared" si="24"/>
        <v/>
      </c>
      <c r="T773" s="147" t="str">
        <f t="shared" si="7"/>
        <v/>
      </c>
      <c r="U773" s="150" t="str">
        <f t="shared" si="8"/>
        <v/>
      </c>
      <c r="V773" s="151" t="str">
        <f>IFERROR(VLOOKUP(C773,Ativos!$A$1:$G2000,5,),)</f>
        <v/>
      </c>
    </row>
    <row r="774" ht="21.0" customHeight="1">
      <c r="A774" s="152"/>
      <c r="B774" s="160"/>
      <c r="C774" s="153"/>
      <c r="D774" s="154"/>
      <c r="E774" s="139"/>
      <c r="F774" s="139"/>
      <c r="G774" s="139"/>
      <c r="H774" s="135"/>
      <c r="I774" s="141"/>
      <c r="J774" s="147" t="str">
        <f>IFERROR(__xludf.DUMMYFUNCTION("IF(ISBLANK(A774),IFERROR(1/0),IF(COUNT(FILTER(F:F,A:A=A774))&gt;1,TRUNC(N774*F774/SUM(FILTER(N:N,A:A=A774)),3),F774))"),"")</f>
        <v/>
      </c>
      <c r="K774" s="147" t="str">
        <f>IFERROR(__xludf.DUMMYFUNCTION("IF(ISBLANK(A774),IFERROR(1/0),IF(COUNT(FILTER(G:G,((A:A=A774)*(B:B=""V""))))&gt;1,TRUNC(N774*G774/SUM(FILTER(N:N,((A:A=A774)*(B:B=""V"")))),3),G774))"),"")</f>
        <v/>
      </c>
      <c r="L774" s="148" t="str">
        <f>IFERROR(__xludf.DUMMYFUNCTION("if($C774="""","""",iferror(if(row()&lt;&gt;2,INDEX(arrayformula(filter($M$2:$M773,$C$2:$C773&lt;&gt;"""",row($C$2:$C773)=max(if($C$2:$C773=C774,row($C$2:$C773),0)))) ,1),0),0))"),"")</f>
        <v/>
      </c>
      <c r="M774" s="148" t="str">
        <f t="shared" si="1"/>
        <v/>
      </c>
      <c r="N774" s="147" t="str">
        <f t="shared" si="2"/>
        <v/>
      </c>
      <c r="O774" s="147" t="str">
        <f t="shared" si="21"/>
        <v/>
      </c>
      <c r="P774" s="147" t="str">
        <f>IFERROR(__xludf.DUMMYFUNCTION("if(C774="""","""",iferror(if(row()&lt;&gt;2,INDEX(arrayformula(filter($Q$2:$Q773,$C$2:$C773&lt;&gt;"""",row($C$2:$C773)=max(if($C$2:$C773=C774,row($C$2:$C773),0)))) ,1),0),0))"),"")</f>
        <v/>
      </c>
      <c r="Q774" s="147" t="str">
        <f t="shared" si="22"/>
        <v/>
      </c>
      <c r="R774" s="147" t="str">
        <f t="shared" si="23"/>
        <v/>
      </c>
      <c r="S774" s="147" t="str">
        <f t="shared" si="24"/>
        <v/>
      </c>
      <c r="T774" s="147" t="str">
        <f t="shared" si="7"/>
        <v/>
      </c>
      <c r="U774" s="150" t="str">
        <f t="shared" si="8"/>
        <v/>
      </c>
      <c r="V774" s="151" t="str">
        <f>IFERROR(VLOOKUP(C774,Ativos!$A$1:$G2000,5,),)</f>
        <v/>
      </c>
    </row>
    <row r="775" ht="21.0" customHeight="1">
      <c r="A775" s="152"/>
      <c r="B775" s="160"/>
      <c r="C775" s="153"/>
      <c r="D775" s="154"/>
      <c r="E775" s="139"/>
      <c r="F775" s="139"/>
      <c r="G775" s="139"/>
      <c r="H775" s="135"/>
      <c r="I775" s="141"/>
      <c r="J775" s="147" t="str">
        <f>IFERROR(__xludf.DUMMYFUNCTION("IF(ISBLANK(A775),IFERROR(1/0),IF(COUNT(FILTER(F:F,A:A=A775))&gt;1,TRUNC(N775*F775/SUM(FILTER(N:N,A:A=A775)),3),F775))"),"")</f>
        <v/>
      </c>
      <c r="K775" s="147" t="str">
        <f>IFERROR(__xludf.DUMMYFUNCTION("IF(ISBLANK(A775),IFERROR(1/0),IF(COUNT(FILTER(G:G,((A:A=A775)*(B:B=""V""))))&gt;1,TRUNC(N775*G775/SUM(FILTER(N:N,((A:A=A775)*(B:B=""V"")))),3),G775))"),"")</f>
        <v/>
      </c>
      <c r="L775" s="148" t="str">
        <f>IFERROR(__xludf.DUMMYFUNCTION("if($C775="""","""",iferror(if(row()&lt;&gt;2,INDEX(arrayformula(filter($M$2:$M774,$C$2:$C774&lt;&gt;"""",row($C$2:$C774)=max(if($C$2:$C774=C775,row($C$2:$C774),0)))) ,1),0),0))"),"")</f>
        <v/>
      </c>
      <c r="M775" s="148" t="str">
        <f t="shared" si="1"/>
        <v/>
      </c>
      <c r="N775" s="147" t="str">
        <f t="shared" si="2"/>
        <v/>
      </c>
      <c r="O775" s="147" t="str">
        <f t="shared" si="21"/>
        <v/>
      </c>
      <c r="P775" s="147" t="str">
        <f>IFERROR(__xludf.DUMMYFUNCTION("if(C775="""","""",iferror(if(row()&lt;&gt;2,INDEX(arrayformula(filter($Q$2:$Q774,$C$2:$C774&lt;&gt;"""",row($C$2:$C774)=max(if($C$2:$C774=C775,row($C$2:$C774),0)))) ,1),0),0))"),"")</f>
        <v/>
      </c>
      <c r="Q775" s="147" t="str">
        <f t="shared" si="22"/>
        <v/>
      </c>
      <c r="R775" s="147" t="str">
        <f t="shared" si="23"/>
        <v/>
      </c>
      <c r="S775" s="147" t="str">
        <f t="shared" si="24"/>
        <v/>
      </c>
      <c r="T775" s="147" t="str">
        <f t="shared" si="7"/>
        <v/>
      </c>
      <c r="U775" s="150" t="str">
        <f t="shared" si="8"/>
        <v/>
      </c>
      <c r="V775" s="151" t="str">
        <f>IFERROR(VLOOKUP(C775,Ativos!$A$1:$G2000,5,),)</f>
        <v/>
      </c>
    </row>
    <row r="776" ht="21.0" customHeight="1">
      <c r="A776" s="152"/>
      <c r="B776" s="160"/>
      <c r="C776" s="153"/>
      <c r="D776" s="154"/>
      <c r="E776" s="139"/>
      <c r="F776" s="139"/>
      <c r="G776" s="139"/>
      <c r="H776" s="135"/>
      <c r="I776" s="141"/>
      <c r="J776" s="147" t="str">
        <f>IFERROR(__xludf.DUMMYFUNCTION("IF(ISBLANK(A776),IFERROR(1/0),IF(COUNT(FILTER(F:F,A:A=A776))&gt;1,TRUNC(N776*F776/SUM(FILTER(N:N,A:A=A776)),3),F776))"),"")</f>
        <v/>
      </c>
      <c r="K776" s="147" t="str">
        <f>IFERROR(__xludf.DUMMYFUNCTION("IF(ISBLANK(A776),IFERROR(1/0),IF(COUNT(FILTER(G:G,((A:A=A776)*(B:B=""V""))))&gt;1,TRUNC(N776*G776/SUM(FILTER(N:N,((A:A=A776)*(B:B=""V"")))),3),G776))"),"")</f>
        <v/>
      </c>
      <c r="L776" s="148" t="str">
        <f>IFERROR(__xludf.DUMMYFUNCTION("if($C776="""","""",iferror(if(row()&lt;&gt;2,INDEX(arrayformula(filter($M$2:$M775,$C$2:$C775&lt;&gt;"""",row($C$2:$C775)=max(if($C$2:$C775=C776,row($C$2:$C775),0)))) ,1),0),0))"),"")</f>
        <v/>
      </c>
      <c r="M776" s="148" t="str">
        <f t="shared" si="1"/>
        <v/>
      </c>
      <c r="N776" s="147" t="str">
        <f t="shared" si="2"/>
        <v/>
      </c>
      <c r="O776" s="147" t="str">
        <f t="shared" si="21"/>
        <v/>
      </c>
      <c r="P776" s="147" t="str">
        <f>IFERROR(__xludf.DUMMYFUNCTION("if(C776="""","""",iferror(if(row()&lt;&gt;2,INDEX(arrayformula(filter($Q$2:$Q775,$C$2:$C775&lt;&gt;"""",row($C$2:$C775)=max(if($C$2:$C775=C776,row($C$2:$C775),0)))) ,1),0),0))"),"")</f>
        <v/>
      </c>
      <c r="Q776" s="147" t="str">
        <f t="shared" si="22"/>
        <v/>
      </c>
      <c r="R776" s="147" t="str">
        <f t="shared" si="23"/>
        <v/>
      </c>
      <c r="S776" s="147" t="str">
        <f t="shared" si="24"/>
        <v/>
      </c>
      <c r="T776" s="147" t="str">
        <f t="shared" si="7"/>
        <v/>
      </c>
      <c r="U776" s="150" t="str">
        <f t="shared" si="8"/>
        <v/>
      </c>
      <c r="V776" s="151" t="str">
        <f>IFERROR(VLOOKUP(C776,Ativos!$A$1:$G2000,5,),)</f>
        <v/>
      </c>
    </row>
    <row r="777" ht="21.0" customHeight="1">
      <c r="A777" s="152"/>
      <c r="B777" s="160"/>
      <c r="C777" s="153"/>
      <c r="D777" s="154"/>
      <c r="E777" s="139"/>
      <c r="F777" s="139"/>
      <c r="G777" s="139"/>
      <c r="H777" s="135"/>
      <c r="I777" s="141"/>
      <c r="J777" s="147" t="str">
        <f>IFERROR(__xludf.DUMMYFUNCTION("IF(ISBLANK(A777),IFERROR(1/0),IF(COUNT(FILTER(F:F,A:A=A777))&gt;1,TRUNC(N777*F777/SUM(FILTER(N:N,A:A=A777)),3),F777))"),"")</f>
        <v/>
      </c>
      <c r="K777" s="147" t="str">
        <f>IFERROR(__xludf.DUMMYFUNCTION("IF(ISBLANK(A777),IFERROR(1/0),IF(COUNT(FILTER(G:G,((A:A=A777)*(B:B=""V""))))&gt;1,TRUNC(N777*G777/SUM(FILTER(N:N,((A:A=A777)*(B:B=""V"")))),3),G777))"),"")</f>
        <v/>
      </c>
      <c r="L777" s="148" t="str">
        <f>IFERROR(__xludf.DUMMYFUNCTION("if($C777="""","""",iferror(if(row()&lt;&gt;2,INDEX(arrayformula(filter($M$2:$M776,$C$2:$C776&lt;&gt;"""",row($C$2:$C776)=max(if($C$2:$C776=C777,row($C$2:$C776),0)))) ,1),0),0))"),"")</f>
        <v/>
      </c>
      <c r="M777" s="148" t="str">
        <f t="shared" si="1"/>
        <v/>
      </c>
      <c r="N777" s="147" t="str">
        <f t="shared" si="2"/>
        <v/>
      </c>
      <c r="O777" s="147" t="str">
        <f t="shared" si="21"/>
        <v/>
      </c>
      <c r="P777" s="147" t="str">
        <f>IFERROR(__xludf.DUMMYFUNCTION("if(C777="""","""",iferror(if(row()&lt;&gt;2,INDEX(arrayformula(filter($Q$2:$Q776,$C$2:$C776&lt;&gt;"""",row($C$2:$C776)=max(if($C$2:$C776=C777,row($C$2:$C776),0)))) ,1),0),0))"),"")</f>
        <v/>
      </c>
      <c r="Q777" s="147" t="str">
        <f t="shared" si="22"/>
        <v/>
      </c>
      <c r="R777" s="147" t="str">
        <f t="shared" si="23"/>
        <v/>
      </c>
      <c r="S777" s="147" t="str">
        <f t="shared" si="24"/>
        <v/>
      </c>
      <c r="T777" s="147" t="str">
        <f t="shared" si="7"/>
        <v/>
      </c>
      <c r="U777" s="150" t="str">
        <f t="shared" si="8"/>
        <v/>
      </c>
      <c r="V777" s="151" t="str">
        <f>IFERROR(VLOOKUP(C777,Ativos!$A$1:$G2000,5,),)</f>
        <v/>
      </c>
    </row>
    <row r="778" ht="21.0" customHeight="1">
      <c r="A778" s="152"/>
      <c r="B778" s="160"/>
      <c r="C778" s="153"/>
      <c r="D778" s="154"/>
      <c r="E778" s="139"/>
      <c r="F778" s="139"/>
      <c r="G778" s="139"/>
      <c r="H778" s="135"/>
      <c r="I778" s="141"/>
      <c r="J778" s="147" t="str">
        <f>IFERROR(__xludf.DUMMYFUNCTION("IF(ISBLANK(A778),IFERROR(1/0),IF(COUNT(FILTER(F:F,A:A=A778))&gt;1,TRUNC(N778*F778/SUM(FILTER(N:N,A:A=A778)),3),F778))"),"")</f>
        <v/>
      </c>
      <c r="K778" s="147" t="str">
        <f>IFERROR(__xludf.DUMMYFUNCTION("IF(ISBLANK(A778),IFERROR(1/0),IF(COUNT(FILTER(G:G,((A:A=A778)*(B:B=""V""))))&gt;1,TRUNC(N778*G778/SUM(FILTER(N:N,((A:A=A778)*(B:B=""V"")))),3),G778))"),"")</f>
        <v/>
      </c>
      <c r="L778" s="148" t="str">
        <f>IFERROR(__xludf.DUMMYFUNCTION("if($C778="""","""",iferror(if(row()&lt;&gt;2,INDEX(arrayformula(filter($M$2:$M777,$C$2:$C777&lt;&gt;"""",row($C$2:$C777)=max(if($C$2:$C777=C778,row($C$2:$C777),0)))) ,1),0),0))"),"")</f>
        <v/>
      </c>
      <c r="M778" s="148" t="str">
        <f t="shared" si="1"/>
        <v/>
      </c>
      <c r="N778" s="147" t="str">
        <f t="shared" si="2"/>
        <v/>
      </c>
      <c r="O778" s="147" t="str">
        <f t="shared" si="21"/>
        <v/>
      </c>
      <c r="P778" s="147" t="str">
        <f>IFERROR(__xludf.DUMMYFUNCTION("if(C778="""","""",iferror(if(row()&lt;&gt;2,INDEX(arrayformula(filter($Q$2:$Q777,$C$2:$C777&lt;&gt;"""",row($C$2:$C777)=max(if($C$2:$C777=C778,row($C$2:$C777),0)))) ,1),0),0))"),"")</f>
        <v/>
      </c>
      <c r="Q778" s="147" t="str">
        <f t="shared" si="22"/>
        <v/>
      </c>
      <c r="R778" s="147" t="str">
        <f t="shared" si="23"/>
        <v/>
      </c>
      <c r="S778" s="147" t="str">
        <f t="shared" si="24"/>
        <v/>
      </c>
      <c r="T778" s="147" t="str">
        <f t="shared" si="7"/>
        <v/>
      </c>
      <c r="U778" s="150" t="str">
        <f t="shared" si="8"/>
        <v/>
      </c>
      <c r="V778" s="151" t="str">
        <f>IFERROR(VLOOKUP(C778,Ativos!$A$1:$G2000,5,),)</f>
        <v/>
      </c>
    </row>
    <row r="779" ht="21.0" customHeight="1">
      <c r="A779" s="152"/>
      <c r="B779" s="160"/>
      <c r="C779" s="153"/>
      <c r="D779" s="154"/>
      <c r="E779" s="139"/>
      <c r="F779" s="139"/>
      <c r="G779" s="139"/>
      <c r="H779" s="135"/>
      <c r="I779" s="141"/>
      <c r="J779" s="147" t="str">
        <f>IFERROR(__xludf.DUMMYFUNCTION("IF(ISBLANK(A779),IFERROR(1/0),IF(COUNT(FILTER(F:F,A:A=A779))&gt;1,TRUNC(N779*F779/SUM(FILTER(N:N,A:A=A779)),3),F779))"),"")</f>
        <v/>
      </c>
      <c r="K779" s="147" t="str">
        <f>IFERROR(__xludf.DUMMYFUNCTION("IF(ISBLANK(A779),IFERROR(1/0),IF(COUNT(FILTER(G:G,((A:A=A779)*(B:B=""V""))))&gt;1,TRUNC(N779*G779/SUM(FILTER(N:N,((A:A=A779)*(B:B=""V"")))),3),G779))"),"")</f>
        <v/>
      </c>
      <c r="L779" s="148" t="str">
        <f>IFERROR(__xludf.DUMMYFUNCTION("if($C779="""","""",iferror(if(row()&lt;&gt;2,INDEX(arrayformula(filter($M$2:$M778,$C$2:$C778&lt;&gt;"""",row($C$2:$C778)=max(if($C$2:$C778=C779,row($C$2:$C778),0)))) ,1),0),0))"),"")</f>
        <v/>
      </c>
      <c r="M779" s="148" t="str">
        <f t="shared" si="1"/>
        <v/>
      </c>
      <c r="N779" s="147" t="str">
        <f t="shared" si="2"/>
        <v/>
      </c>
      <c r="O779" s="147" t="str">
        <f t="shared" si="21"/>
        <v/>
      </c>
      <c r="P779" s="147" t="str">
        <f>IFERROR(__xludf.DUMMYFUNCTION("if(C779="""","""",iferror(if(row()&lt;&gt;2,INDEX(arrayformula(filter($Q$2:$Q778,$C$2:$C778&lt;&gt;"""",row($C$2:$C778)=max(if($C$2:$C778=C779,row($C$2:$C778),0)))) ,1),0),0))"),"")</f>
        <v/>
      </c>
      <c r="Q779" s="147" t="str">
        <f t="shared" si="22"/>
        <v/>
      </c>
      <c r="R779" s="147" t="str">
        <f t="shared" si="23"/>
        <v/>
      </c>
      <c r="S779" s="147" t="str">
        <f t="shared" si="24"/>
        <v/>
      </c>
      <c r="T779" s="147" t="str">
        <f t="shared" si="7"/>
        <v/>
      </c>
      <c r="U779" s="150" t="str">
        <f t="shared" si="8"/>
        <v/>
      </c>
      <c r="V779" s="151" t="str">
        <f>IFERROR(VLOOKUP(C779,Ativos!$A$1:$G2000,5,),)</f>
        <v/>
      </c>
    </row>
    <row r="780" ht="21.0" customHeight="1">
      <c r="A780" s="152"/>
      <c r="B780" s="160"/>
      <c r="C780" s="153"/>
      <c r="D780" s="154"/>
      <c r="E780" s="139"/>
      <c r="F780" s="139"/>
      <c r="G780" s="139"/>
      <c r="H780" s="135"/>
      <c r="I780" s="141"/>
      <c r="J780" s="147" t="str">
        <f>IFERROR(__xludf.DUMMYFUNCTION("IF(ISBLANK(A780),IFERROR(1/0),IF(COUNT(FILTER(F:F,A:A=A780))&gt;1,TRUNC(N780*F780/SUM(FILTER(N:N,A:A=A780)),3),F780))"),"")</f>
        <v/>
      </c>
      <c r="K780" s="147" t="str">
        <f>IFERROR(__xludf.DUMMYFUNCTION("IF(ISBLANK(A780),IFERROR(1/0),IF(COUNT(FILTER(G:G,((A:A=A780)*(B:B=""V""))))&gt;1,TRUNC(N780*G780/SUM(FILTER(N:N,((A:A=A780)*(B:B=""V"")))),3),G780))"),"")</f>
        <v/>
      </c>
      <c r="L780" s="148" t="str">
        <f>IFERROR(__xludf.DUMMYFUNCTION("if($C780="""","""",iferror(if(row()&lt;&gt;2,INDEX(arrayformula(filter($M$2:$M779,$C$2:$C779&lt;&gt;"""",row($C$2:$C779)=max(if($C$2:$C779=C780,row($C$2:$C779),0)))) ,1),0),0))"),"")</f>
        <v/>
      </c>
      <c r="M780" s="148" t="str">
        <f t="shared" si="1"/>
        <v/>
      </c>
      <c r="N780" s="147" t="str">
        <f t="shared" si="2"/>
        <v/>
      </c>
      <c r="O780" s="147" t="str">
        <f t="shared" si="21"/>
        <v/>
      </c>
      <c r="P780" s="147" t="str">
        <f>IFERROR(__xludf.DUMMYFUNCTION("if(C780="""","""",iferror(if(row()&lt;&gt;2,INDEX(arrayformula(filter($Q$2:$Q779,$C$2:$C779&lt;&gt;"""",row($C$2:$C779)=max(if($C$2:$C779=C780,row($C$2:$C779),0)))) ,1),0),0))"),"")</f>
        <v/>
      </c>
      <c r="Q780" s="147" t="str">
        <f t="shared" si="22"/>
        <v/>
      </c>
      <c r="R780" s="147" t="str">
        <f t="shared" si="23"/>
        <v/>
      </c>
      <c r="S780" s="147" t="str">
        <f t="shared" si="24"/>
        <v/>
      </c>
      <c r="T780" s="147" t="str">
        <f t="shared" si="7"/>
        <v/>
      </c>
      <c r="U780" s="150" t="str">
        <f t="shared" si="8"/>
        <v/>
      </c>
      <c r="V780" s="151" t="str">
        <f>IFERROR(VLOOKUP(C780,Ativos!$A$1:$G2000,5,),)</f>
        <v/>
      </c>
    </row>
    <row r="781" ht="21.0" customHeight="1">
      <c r="A781" s="152"/>
      <c r="B781" s="160"/>
      <c r="C781" s="153"/>
      <c r="D781" s="154"/>
      <c r="E781" s="139"/>
      <c r="F781" s="139"/>
      <c r="G781" s="139"/>
      <c r="H781" s="135"/>
      <c r="I781" s="141"/>
      <c r="J781" s="147" t="str">
        <f>IFERROR(__xludf.DUMMYFUNCTION("IF(ISBLANK(A781),IFERROR(1/0),IF(COUNT(FILTER(F:F,A:A=A781))&gt;1,TRUNC(N781*F781/SUM(FILTER(N:N,A:A=A781)),3),F781))"),"")</f>
        <v/>
      </c>
      <c r="K781" s="147" t="str">
        <f>IFERROR(__xludf.DUMMYFUNCTION("IF(ISBLANK(A781),IFERROR(1/0),IF(COUNT(FILTER(G:G,((A:A=A781)*(B:B=""V""))))&gt;1,TRUNC(N781*G781/SUM(FILTER(N:N,((A:A=A781)*(B:B=""V"")))),3),G781))"),"")</f>
        <v/>
      </c>
      <c r="L781" s="148" t="str">
        <f>IFERROR(__xludf.DUMMYFUNCTION("if($C781="""","""",iferror(if(row()&lt;&gt;2,INDEX(arrayformula(filter($M$2:$M780,$C$2:$C780&lt;&gt;"""",row($C$2:$C780)=max(if($C$2:$C780=C781,row($C$2:$C780),0)))) ,1),0),0))"),"")</f>
        <v/>
      </c>
      <c r="M781" s="148" t="str">
        <f t="shared" si="1"/>
        <v/>
      </c>
      <c r="N781" s="147" t="str">
        <f t="shared" si="2"/>
        <v/>
      </c>
      <c r="O781" s="147" t="str">
        <f t="shared" si="21"/>
        <v/>
      </c>
      <c r="P781" s="147" t="str">
        <f>IFERROR(__xludf.DUMMYFUNCTION("if(C781="""","""",iferror(if(row()&lt;&gt;2,INDEX(arrayformula(filter($Q$2:$Q780,$C$2:$C780&lt;&gt;"""",row($C$2:$C780)=max(if($C$2:$C780=C781,row($C$2:$C780),0)))) ,1),0),0))"),"")</f>
        <v/>
      </c>
      <c r="Q781" s="147" t="str">
        <f t="shared" si="22"/>
        <v/>
      </c>
      <c r="R781" s="147" t="str">
        <f t="shared" si="23"/>
        <v/>
      </c>
      <c r="S781" s="147" t="str">
        <f t="shared" si="24"/>
        <v/>
      </c>
      <c r="T781" s="147" t="str">
        <f t="shared" si="7"/>
        <v/>
      </c>
      <c r="U781" s="150" t="str">
        <f t="shared" si="8"/>
        <v/>
      </c>
      <c r="V781" s="151" t="str">
        <f>IFERROR(VLOOKUP(C781,Ativos!$A$1:$G2000,5,),)</f>
        <v/>
      </c>
    </row>
    <row r="782" ht="21.0" customHeight="1">
      <c r="A782" s="152"/>
      <c r="B782" s="160"/>
      <c r="C782" s="153"/>
      <c r="D782" s="154"/>
      <c r="E782" s="139"/>
      <c r="F782" s="139"/>
      <c r="G782" s="139"/>
      <c r="H782" s="135"/>
      <c r="I782" s="141"/>
      <c r="J782" s="147" t="str">
        <f>IFERROR(__xludf.DUMMYFUNCTION("IF(ISBLANK(A782),IFERROR(1/0),IF(COUNT(FILTER(F:F,A:A=A782))&gt;1,TRUNC(N782*F782/SUM(FILTER(N:N,A:A=A782)),3),F782))"),"")</f>
        <v/>
      </c>
      <c r="K782" s="147" t="str">
        <f>IFERROR(__xludf.DUMMYFUNCTION("IF(ISBLANK(A782),IFERROR(1/0),IF(COUNT(FILTER(G:G,((A:A=A782)*(B:B=""V""))))&gt;1,TRUNC(N782*G782/SUM(FILTER(N:N,((A:A=A782)*(B:B=""V"")))),3),G782))"),"")</f>
        <v/>
      </c>
      <c r="L782" s="148" t="str">
        <f>IFERROR(__xludf.DUMMYFUNCTION("if($C782="""","""",iferror(if(row()&lt;&gt;2,INDEX(arrayformula(filter($M$2:$M781,$C$2:$C781&lt;&gt;"""",row($C$2:$C781)=max(if($C$2:$C781=C782,row($C$2:$C781),0)))) ,1),0),0))"),"")</f>
        <v/>
      </c>
      <c r="M782" s="148" t="str">
        <f t="shared" si="1"/>
        <v/>
      </c>
      <c r="N782" s="147" t="str">
        <f t="shared" si="2"/>
        <v/>
      </c>
      <c r="O782" s="147" t="str">
        <f t="shared" si="21"/>
        <v/>
      </c>
      <c r="P782" s="147" t="str">
        <f>IFERROR(__xludf.DUMMYFUNCTION("if(C782="""","""",iferror(if(row()&lt;&gt;2,INDEX(arrayformula(filter($Q$2:$Q781,$C$2:$C781&lt;&gt;"""",row($C$2:$C781)=max(if($C$2:$C781=C782,row($C$2:$C781),0)))) ,1),0),0))"),"")</f>
        <v/>
      </c>
      <c r="Q782" s="147" t="str">
        <f t="shared" si="22"/>
        <v/>
      </c>
      <c r="R782" s="147" t="str">
        <f t="shared" si="23"/>
        <v/>
      </c>
      <c r="S782" s="147" t="str">
        <f t="shared" si="24"/>
        <v/>
      </c>
      <c r="T782" s="147" t="str">
        <f t="shared" si="7"/>
        <v/>
      </c>
      <c r="U782" s="150" t="str">
        <f t="shared" si="8"/>
        <v/>
      </c>
      <c r="V782" s="151" t="str">
        <f>IFERROR(VLOOKUP(C782,Ativos!$A$1:$G2000,5,),)</f>
        <v/>
      </c>
    </row>
    <row r="783" ht="21.0" customHeight="1">
      <c r="A783" s="152"/>
      <c r="B783" s="160"/>
      <c r="C783" s="153"/>
      <c r="D783" s="154"/>
      <c r="E783" s="139"/>
      <c r="F783" s="139"/>
      <c r="G783" s="139"/>
      <c r="H783" s="135"/>
      <c r="I783" s="141"/>
      <c r="J783" s="147" t="str">
        <f>IFERROR(__xludf.DUMMYFUNCTION("IF(ISBLANK(A783),IFERROR(1/0),IF(COUNT(FILTER(F:F,A:A=A783))&gt;1,TRUNC(N783*F783/SUM(FILTER(N:N,A:A=A783)),3),F783))"),"")</f>
        <v/>
      </c>
      <c r="K783" s="147" t="str">
        <f>IFERROR(__xludf.DUMMYFUNCTION("IF(ISBLANK(A783),IFERROR(1/0),IF(COUNT(FILTER(G:G,((A:A=A783)*(B:B=""V""))))&gt;1,TRUNC(N783*G783/SUM(FILTER(N:N,((A:A=A783)*(B:B=""V"")))),3),G783))"),"")</f>
        <v/>
      </c>
      <c r="L783" s="148" t="str">
        <f>IFERROR(__xludf.DUMMYFUNCTION("if($C783="""","""",iferror(if(row()&lt;&gt;2,INDEX(arrayformula(filter($M$2:$M782,$C$2:$C782&lt;&gt;"""",row($C$2:$C782)=max(if($C$2:$C782=C783,row($C$2:$C782),0)))) ,1),0),0))"),"")</f>
        <v/>
      </c>
      <c r="M783" s="148" t="str">
        <f t="shared" si="1"/>
        <v/>
      </c>
      <c r="N783" s="147" t="str">
        <f t="shared" si="2"/>
        <v/>
      </c>
      <c r="O783" s="147" t="str">
        <f t="shared" si="21"/>
        <v/>
      </c>
      <c r="P783" s="147" t="str">
        <f>IFERROR(__xludf.DUMMYFUNCTION("if(C783="""","""",iferror(if(row()&lt;&gt;2,INDEX(arrayformula(filter($Q$2:$Q782,$C$2:$C782&lt;&gt;"""",row($C$2:$C782)=max(if($C$2:$C782=C783,row($C$2:$C782),0)))) ,1),0),0))"),"")</f>
        <v/>
      </c>
      <c r="Q783" s="147" t="str">
        <f t="shared" si="22"/>
        <v/>
      </c>
      <c r="R783" s="147" t="str">
        <f t="shared" si="23"/>
        <v/>
      </c>
      <c r="S783" s="147" t="str">
        <f t="shared" si="24"/>
        <v/>
      </c>
      <c r="T783" s="147" t="str">
        <f t="shared" si="7"/>
        <v/>
      </c>
      <c r="U783" s="150" t="str">
        <f t="shared" si="8"/>
        <v/>
      </c>
      <c r="V783" s="151" t="str">
        <f>IFERROR(VLOOKUP(C783,Ativos!$A$1:$G2000,5,),)</f>
        <v/>
      </c>
    </row>
    <row r="784" ht="21.0" customHeight="1">
      <c r="A784" s="152"/>
      <c r="B784" s="160"/>
      <c r="C784" s="153"/>
      <c r="D784" s="154"/>
      <c r="E784" s="139"/>
      <c r="F784" s="139"/>
      <c r="G784" s="139"/>
      <c r="H784" s="135"/>
      <c r="I784" s="141"/>
      <c r="J784" s="147" t="str">
        <f>IFERROR(__xludf.DUMMYFUNCTION("IF(ISBLANK(A784),IFERROR(1/0),IF(COUNT(FILTER(F:F,A:A=A784))&gt;1,TRUNC(N784*F784/SUM(FILTER(N:N,A:A=A784)),3),F784))"),"")</f>
        <v/>
      </c>
      <c r="K784" s="147" t="str">
        <f>IFERROR(__xludf.DUMMYFUNCTION("IF(ISBLANK(A784),IFERROR(1/0),IF(COUNT(FILTER(G:G,((A:A=A784)*(B:B=""V""))))&gt;1,TRUNC(N784*G784/SUM(FILTER(N:N,((A:A=A784)*(B:B=""V"")))),3),G784))"),"")</f>
        <v/>
      </c>
      <c r="L784" s="148" t="str">
        <f>IFERROR(__xludf.DUMMYFUNCTION("if($C784="""","""",iferror(if(row()&lt;&gt;2,INDEX(arrayformula(filter($M$2:$M783,$C$2:$C783&lt;&gt;"""",row($C$2:$C783)=max(if($C$2:$C783=C784,row($C$2:$C783),0)))) ,1),0),0))"),"")</f>
        <v/>
      </c>
      <c r="M784" s="148" t="str">
        <f t="shared" si="1"/>
        <v/>
      </c>
      <c r="N784" s="147" t="str">
        <f t="shared" si="2"/>
        <v/>
      </c>
      <c r="O784" s="147" t="str">
        <f t="shared" si="21"/>
        <v/>
      </c>
      <c r="P784" s="147" t="str">
        <f>IFERROR(__xludf.DUMMYFUNCTION("if(C784="""","""",iferror(if(row()&lt;&gt;2,INDEX(arrayformula(filter($Q$2:$Q783,$C$2:$C783&lt;&gt;"""",row($C$2:$C783)=max(if($C$2:$C783=C784,row($C$2:$C783),0)))) ,1),0),0))"),"")</f>
        <v/>
      </c>
      <c r="Q784" s="147" t="str">
        <f t="shared" si="22"/>
        <v/>
      </c>
      <c r="R784" s="147" t="str">
        <f t="shared" si="23"/>
        <v/>
      </c>
      <c r="S784" s="147" t="str">
        <f t="shared" si="24"/>
        <v/>
      </c>
      <c r="T784" s="147" t="str">
        <f t="shared" si="7"/>
        <v/>
      </c>
      <c r="U784" s="150" t="str">
        <f t="shared" si="8"/>
        <v/>
      </c>
      <c r="V784" s="151" t="str">
        <f>IFERROR(VLOOKUP(C784,Ativos!$A$1:$G2000,5,),)</f>
        <v/>
      </c>
    </row>
    <row r="785" ht="21.0" customHeight="1">
      <c r="A785" s="152"/>
      <c r="B785" s="160"/>
      <c r="C785" s="153"/>
      <c r="D785" s="154"/>
      <c r="E785" s="139"/>
      <c r="F785" s="139"/>
      <c r="G785" s="139"/>
      <c r="H785" s="135"/>
      <c r="I785" s="141"/>
      <c r="J785" s="147" t="str">
        <f>IFERROR(__xludf.DUMMYFUNCTION("IF(ISBLANK(A785),IFERROR(1/0),IF(COUNT(FILTER(F:F,A:A=A785))&gt;1,TRUNC(N785*F785/SUM(FILTER(N:N,A:A=A785)),3),F785))"),"")</f>
        <v/>
      </c>
      <c r="K785" s="147" t="str">
        <f>IFERROR(__xludf.DUMMYFUNCTION("IF(ISBLANK(A785),IFERROR(1/0),IF(COUNT(FILTER(G:G,((A:A=A785)*(B:B=""V""))))&gt;1,TRUNC(N785*G785/SUM(FILTER(N:N,((A:A=A785)*(B:B=""V"")))),3),G785))"),"")</f>
        <v/>
      </c>
      <c r="L785" s="148" t="str">
        <f>IFERROR(__xludf.DUMMYFUNCTION("if($C785="""","""",iferror(if(row()&lt;&gt;2,INDEX(arrayformula(filter($M$2:$M784,$C$2:$C784&lt;&gt;"""",row($C$2:$C784)=max(if($C$2:$C784=C785,row($C$2:$C784),0)))) ,1),0),0))"),"")</f>
        <v/>
      </c>
      <c r="M785" s="148" t="str">
        <f t="shared" si="1"/>
        <v/>
      </c>
      <c r="N785" s="147" t="str">
        <f t="shared" si="2"/>
        <v/>
      </c>
      <c r="O785" s="147" t="str">
        <f t="shared" si="21"/>
        <v/>
      </c>
      <c r="P785" s="147" t="str">
        <f>IFERROR(__xludf.DUMMYFUNCTION("if(C785="""","""",iferror(if(row()&lt;&gt;2,INDEX(arrayformula(filter($Q$2:$Q784,$C$2:$C784&lt;&gt;"""",row($C$2:$C784)=max(if($C$2:$C784=C785,row($C$2:$C784),0)))) ,1),0),0))"),"")</f>
        <v/>
      </c>
      <c r="Q785" s="147" t="str">
        <f t="shared" si="22"/>
        <v/>
      </c>
      <c r="R785" s="147" t="str">
        <f t="shared" si="23"/>
        <v/>
      </c>
      <c r="S785" s="147" t="str">
        <f t="shared" si="24"/>
        <v/>
      </c>
      <c r="T785" s="147" t="str">
        <f t="shared" si="7"/>
        <v/>
      </c>
      <c r="U785" s="150" t="str">
        <f t="shared" si="8"/>
        <v/>
      </c>
      <c r="V785" s="151" t="str">
        <f>IFERROR(VLOOKUP(C785,Ativos!$A$1:$G2000,5,),)</f>
        <v/>
      </c>
    </row>
    <row r="786" ht="21.0" customHeight="1">
      <c r="A786" s="152"/>
      <c r="B786" s="160"/>
      <c r="C786" s="153"/>
      <c r="D786" s="154"/>
      <c r="E786" s="139"/>
      <c r="F786" s="139"/>
      <c r="G786" s="139"/>
      <c r="H786" s="135"/>
      <c r="I786" s="141"/>
      <c r="J786" s="147" t="str">
        <f>IFERROR(__xludf.DUMMYFUNCTION("IF(ISBLANK(A786),IFERROR(1/0),IF(COUNT(FILTER(F:F,A:A=A786))&gt;1,TRUNC(N786*F786/SUM(FILTER(N:N,A:A=A786)),3),F786))"),"")</f>
        <v/>
      </c>
      <c r="K786" s="147" t="str">
        <f>IFERROR(__xludf.DUMMYFUNCTION("IF(ISBLANK(A786),IFERROR(1/0),IF(COUNT(FILTER(G:G,((A:A=A786)*(B:B=""V""))))&gt;1,TRUNC(N786*G786/SUM(FILTER(N:N,((A:A=A786)*(B:B=""V"")))),3),G786))"),"")</f>
        <v/>
      </c>
      <c r="L786" s="148" t="str">
        <f>IFERROR(__xludf.DUMMYFUNCTION("if($C786="""","""",iferror(if(row()&lt;&gt;2,INDEX(arrayformula(filter($M$2:$M785,$C$2:$C785&lt;&gt;"""",row($C$2:$C785)=max(if($C$2:$C785=C786,row($C$2:$C785),0)))) ,1),0),0))"),"")</f>
        <v/>
      </c>
      <c r="M786" s="148" t="str">
        <f t="shared" si="1"/>
        <v/>
      </c>
      <c r="N786" s="147" t="str">
        <f t="shared" si="2"/>
        <v/>
      </c>
      <c r="O786" s="147" t="str">
        <f t="shared" si="21"/>
        <v/>
      </c>
      <c r="P786" s="147" t="str">
        <f>IFERROR(__xludf.DUMMYFUNCTION("if(C786="""","""",iferror(if(row()&lt;&gt;2,INDEX(arrayformula(filter($Q$2:$Q785,$C$2:$C785&lt;&gt;"""",row($C$2:$C785)=max(if($C$2:$C785=C786,row($C$2:$C785),0)))) ,1),0),0))"),"")</f>
        <v/>
      </c>
      <c r="Q786" s="147" t="str">
        <f t="shared" si="22"/>
        <v/>
      </c>
      <c r="R786" s="147" t="str">
        <f t="shared" si="23"/>
        <v/>
      </c>
      <c r="S786" s="147" t="str">
        <f t="shared" si="24"/>
        <v/>
      </c>
      <c r="T786" s="147" t="str">
        <f t="shared" si="7"/>
        <v/>
      </c>
      <c r="U786" s="150" t="str">
        <f t="shared" si="8"/>
        <v/>
      </c>
      <c r="V786" s="151" t="str">
        <f>IFERROR(VLOOKUP(C786,Ativos!$A$1:$G2000,5,),)</f>
        <v/>
      </c>
    </row>
    <row r="787" ht="21.0" customHeight="1">
      <c r="A787" s="152"/>
      <c r="B787" s="160"/>
      <c r="C787" s="153"/>
      <c r="D787" s="154"/>
      <c r="E787" s="139"/>
      <c r="F787" s="139"/>
      <c r="G787" s="139"/>
      <c r="H787" s="135"/>
      <c r="I787" s="141"/>
      <c r="J787" s="147" t="str">
        <f>IFERROR(__xludf.DUMMYFUNCTION("IF(ISBLANK(A787),IFERROR(1/0),IF(COUNT(FILTER(F:F,A:A=A787))&gt;1,TRUNC(N787*F787/SUM(FILTER(N:N,A:A=A787)),3),F787))"),"")</f>
        <v/>
      </c>
      <c r="K787" s="147" t="str">
        <f>IFERROR(__xludf.DUMMYFUNCTION("IF(ISBLANK(A787),IFERROR(1/0),IF(COUNT(FILTER(G:G,((A:A=A787)*(B:B=""V""))))&gt;1,TRUNC(N787*G787/SUM(FILTER(N:N,((A:A=A787)*(B:B=""V"")))),3),G787))"),"")</f>
        <v/>
      </c>
      <c r="L787" s="148" t="str">
        <f>IFERROR(__xludf.DUMMYFUNCTION("if($C787="""","""",iferror(if(row()&lt;&gt;2,INDEX(arrayformula(filter($M$2:$M786,$C$2:$C786&lt;&gt;"""",row($C$2:$C786)=max(if($C$2:$C786=C787,row($C$2:$C786),0)))) ,1),0),0))"),"")</f>
        <v/>
      </c>
      <c r="M787" s="148" t="str">
        <f t="shared" si="1"/>
        <v/>
      </c>
      <c r="N787" s="147" t="str">
        <f t="shared" si="2"/>
        <v/>
      </c>
      <c r="O787" s="147" t="str">
        <f t="shared" si="21"/>
        <v/>
      </c>
      <c r="P787" s="147" t="str">
        <f>IFERROR(__xludf.DUMMYFUNCTION("if(C787="""","""",iferror(if(row()&lt;&gt;2,INDEX(arrayformula(filter($Q$2:$Q786,$C$2:$C786&lt;&gt;"""",row($C$2:$C786)=max(if($C$2:$C786=C787,row($C$2:$C786),0)))) ,1),0),0))"),"")</f>
        <v/>
      </c>
      <c r="Q787" s="147" t="str">
        <f t="shared" si="22"/>
        <v/>
      </c>
      <c r="R787" s="147" t="str">
        <f t="shared" si="23"/>
        <v/>
      </c>
      <c r="S787" s="147" t="str">
        <f t="shared" si="24"/>
        <v/>
      </c>
      <c r="T787" s="147" t="str">
        <f t="shared" si="7"/>
        <v/>
      </c>
      <c r="U787" s="150" t="str">
        <f t="shared" si="8"/>
        <v/>
      </c>
      <c r="V787" s="151" t="str">
        <f>IFERROR(VLOOKUP(C787,Ativos!$A$1:$G2000,5,),)</f>
        <v/>
      </c>
    </row>
    <row r="788" ht="21.0" customHeight="1">
      <c r="A788" s="152"/>
      <c r="B788" s="160"/>
      <c r="C788" s="153"/>
      <c r="D788" s="154"/>
      <c r="E788" s="139"/>
      <c r="F788" s="139"/>
      <c r="G788" s="139"/>
      <c r="H788" s="135"/>
      <c r="I788" s="141"/>
      <c r="J788" s="147" t="str">
        <f>IFERROR(__xludf.DUMMYFUNCTION("IF(ISBLANK(A788),IFERROR(1/0),IF(COUNT(FILTER(F:F,A:A=A788))&gt;1,TRUNC(N788*F788/SUM(FILTER(N:N,A:A=A788)),3),F788))"),"")</f>
        <v/>
      </c>
      <c r="K788" s="147" t="str">
        <f>IFERROR(__xludf.DUMMYFUNCTION("IF(ISBLANK(A788),IFERROR(1/0),IF(COUNT(FILTER(G:G,((A:A=A788)*(B:B=""V""))))&gt;1,TRUNC(N788*G788/SUM(FILTER(N:N,((A:A=A788)*(B:B=""V"")))),3),G788))"),"")</f>
        <v/>
      </c>
      <c r="L788" s="148" t="str">
        <f>IFERROR(__xludf.DUMMYFUNCTION("if($C788="""","""",iferror(if(row()&lt;&gt;2,INDEX(arrayformula(filter($M$2:$M787,$C$2:$C787&lt;&gt;"""",row($C$2:$C787)=max(if($C$2:$C787=C788,row($C$2:$C787),0)))) ,1),0),0))"),"")</f>
        <v/>
      </c>
      <c r="M788" s="148" t="str">
        <f t="shared" si="1"/>
        <v/>
      </c>
      <c r="N788" s="147" t="str">
        <f t="shared" si="2"/>
        <v/>
      </c>
      <c r="O788" s="147" t="str">
        <f t="shared" si="21"/>
        <v/>
      </c>
      <c r="P788" s="147" t="str">
        <f>IFERROR(__xludf.DUMMYFUNCTION("if(C788="""","""",iferror(if(row()&lt;&gt;2,INDEX(arrayformula(filter($Q$2:$Q787,$C$2:$C787&lt;&gt;"""",row($C$2:$C787)=max(if($C$2:$C787=C788,row($C$2:$C787),0)))) ,1),0),0))"),"")</f>
        <v/>
      </c>
      <c r="Q788" s="147" t="str">
        <f t="shared" si="22"/>
        <v/>
      </c>
      <c r="R788" s="147" t="str">
        <f t="shared" si="23"/>
        <v/>
      </c>
      <c r="S788" s="147" t="str">
        <f t="shared" si="24"/>
        <v/>
      </c>
      <c r="T788" s="147" t="str">
        <f t="shared" si="7"/>
        <v/>
      </c>
      <c r="U788" s="150" t="str">
        <f t="shared" si="8"/>
        <v/>
      </c>
      <c r="V788" s="151" t="str">
        <f>IFERROR(VLOOKUP(C788,Ativos!$A$1:$G2000,5,),)</f>
        <v/>
      </c>
    </row>
    <row r="789" ht="21.0" customHeight="1">
      <c r="A789" s="152"/>
      <c r="B789" s="160"/>
      <c r="C789" s="153"/>
      <c r="D789" s="154"/>
      <c r="E789" s="139"/>
      <c r="F789" s="139"/>
      <c r="G789" s="139"/>
      <c r="H789" s="135"/>
      <c r="I789" s="141"/>
      <c r="J789" s="147" t="str">
        <f>IFERROR(__xludf.DUMMYFUNCTION("IF(ISBLANK(A789),IFERROR(1/0),IF(COUNT(FILTER(F:F,A:A=A789))&gt;1,TRUNC(N789*F789/SUM(FILTER(N:N,A:A=A789)),3),F789))"),"")</f>
        <v/>
      </c>
      <c r="K789" s="147" t="str">
        <f>IFERROR(__xludf.DUMMYFUNCTION("IF(ISBLANK(A789),IFERROR(1/0),IF(COUNT(FILTER(G:G,((A:A=A789)*(B:B=""V""))))&gt;1,TRUNC(N789*G789/SUM(FILTER(N:N,((A:A=A789)*(B:B=""V"")))),3),G789))"),"")</f>
        <v/>
      </c>
      <c r="L789" s="148" t="str">
        <f>IFERROR(__xludf.DUMMYFUNCTION("if($C789="""","""",iferror(if(row()&lt;&gt;2,INDEX(arrayformula(filter($M$2:$M788,$C$2:$C788&lt;&gt;"""",row($C$2:$C788)=max(if($C$2:$C788=C789,row($C$2:$C788),0)))) ,1),0),0))"),"")</f>
        <v/>
      </c>
      <c r="M789" s="148" t="str">
        <f t="shared" si="1"/>
        <v/>
      </c>
      <c r="N789" s="147" t="str">
        <f t="shared" si="2"/>
        <v/>
      </c>
      <c r="O789" s="147" t="str">
        <f t="shared" si="21"/>
        <v/>
      </c>
      <c r="P789" s="147" t="str">
        <f>IFERROR(__xludf.DUMMYFUNCTION("if(C789="""","""",iferror(if(row()&lt;&gt;2,INDEX(arrayformula(filter($Q$2:$Q788,$C$2:$C788&lt;&gt;"""",row($C$2:$C788)=max(if($C$2:$C788=C789,row($C$2:$C788),0)))) ,1),0),0))"),"")</f>
        <v/>
      </c>
      <c r="Q789" s="147" t="str">
        <f t="shared" si="22"/>
        <v/>
      </c>
      <c r="R789" s="147" t="str">
        <f t="shared" si="23"/>
        <v/>
      </c>
      <c r="S789" s="147" t="str">
        <f t="shared" si="24"/>
        <v/>
      </c>
      <c r="T789" s="147" t="str">
        <f t="shared" si="7"/>
        <v/>
      </c>
      <c r="U789" s="150" t="str">
        <f t="shared" si="8"/>
        <v/>
      </c>
      <c r="V789" s="151" t="str">
        <f>IFERROR(VLOOKUP(C789,Ativos!$A$1:$G2000,5,),)</f>
        <v/>
      </c>
    </row>
    <row r="790" ht="21.0" customHeight="1">
      <c r="A790" s="152"/>
      <c r="B790" s="160"/>
      <c r="C790" s="153"/>
      <c r="D790" s="154"/>
      <c r="E790" s="139"/>
      <c r="F790" s="139"/>
      <c r="G790" s="139"/>
      <c r="H790" s="135"/>
      <c r="I790" s="141"/>
      <c r="J790" s="147" t="str">
        <f>IFERROR(__xludf.DUMMYFUNCTION("IF(ISBLANK(A790),IFERROR(1/0),IF(COUNT(FILTER(F:F,A:A=A790))&gt;1,TRUNC(N790*F790/SUM(FILTER(N:N,A:A=A790)),3),F790))"),"")</f>
        <v/>
      </c>
      <c r="K790" s="147" t="str">
        <f>IFERROR(__xludf.DUMMYFUNCTION("IF(ISBLANK(A790),IFERROR(1/0),IF(COUNT(FILTER(G:G,((A:A=A790)*(B:B=""V""))))&gt;1,TRUNC(N790*G790/SUM(FILTER(N:N,((A:A=A790)*(B:B=""V"")))),3),G790))"),"")</f>
        <v/>
      </c>
      <c r="L790" s="148" t="str">
        <f>IFERROR(__xludf.DUMMYFUNCTION("if($C790="""","""",iferror(if(row()&lt;&gt;2,INDEX(arrayformula(filter($M$2:$M789,$C$2:$C789&lt;&gt;"""",row($C$2:$C789)=max(if($C$2:$C789=C790,row($C$2:$C789),0)))) ,1),0),0))"),"")</f>
        <v/>
      </c>
      <c r="M790" s="148" t="str">
        <f t="shared" si="1"/>
        <v/>
      </c>
      <c r="N790" s="147" t="str">
        <f t="shared" si="2"/>
        <v/>
      </c>
      <c r="O790" s="147" t="str">
        <f t="shared" si="21"/>
        <v/>
      </c>
      <c r="P790" s="147" t="str">
        <f>IFERROR(__xludf.DUMMYFUNCTION("if(C790="""","""",iferror(if(row()&lt;&gt;2,INDEX(arrayformula(filter($Q$2:$Q789,$C$2:$C789&lt;&gt;"""",row($C$2:$C789)=max(if($C$2:$C789=C790,row($C$2:$C789),0)))) ,1),0),0))"),"")</f>
        <v/>
      </c>
      <c r="Q790" s="147" t="str">
        <f t="shared" si="22"/>
        <v/>
      </c>
      <c r="R790" s="147" t="str">
        <f t="shared" si="23"/>
        <v/>
      </c>
      <c r="S790" s="147" t="str">
        <f t="shared" si="24"/>
        <v/>
      </c>
      <c r="T790" s="147" t="str">
        <f t="shared" si="7"/>
        <v/>
      </c>
      <c r="U790" s="150" t="str">
        <f t="shared" si="8"/>
        <v/>
      </c>
      <c r="V790" s="151" t="str">
        <f>IFERROR(VLOOKUP(C790,Ativos!$A$1:$G2000,5,),)</f>
        <v/>
      </c>
    </row>
    <row r="791" ht="21.0" customHeight="1">
      <c r="A791" s="152"/>
      <c r="B791" s="160"/>
      <c r="C791" s="153"/>
      <c r="D791" s="154"/>
      <c r="E791" s="139"/>
      <c r="F791" s="139"/>
      <c r="G791" s="139"/>
      <c r="H791" s="135"/>
      <c r="I791" s="141"/>
      <c r="J791" s="147" t="str">
        <f>IFERROR(__xludf.DUMMYFUNCTION("IF(ISBLANK(A791),IFERROR(1/0),IF(COUNT(FILTER(F:F,A:A=A791))&gt;1,TRUNC(N791*F791/SUM(FILTER(N:N,A:A=A791)),3),F791))"),"")</f>
        <v/>
      </c>
      <c r="K791" s="147" t="str">
        <f>IFERROR(__xludf.DUMMYFUNCTION("IF(ISBLANK(A791),IFERROR(1/0),IF(COUNT(FILTER(G:G,((A:A=A791)*(B:B=""V""))))&gt;1,TRUNC(N791*G791/SUM(FILTER(N:N,((A:A=A791)*(B:B=""V"")))),3),G791))"),"")</f>
        <v/>
      </c>
      <c r="L791" s="148" t="str">
        <f>IFERROR(__xludf.DUMMYFUNCTION("if($C791="""","""",iferror(if(row()&lt;&gt;2,INDEX(arrayformula(filter($M$2:$M790,$C$2:$C790&lt;&gt;"""",row($C$2:$C790)=max(if($C$2:$C790=C791,row($C$2:$C790),0)))) ,1),0),0))"),"")</f>
        <v/>
      </c>
      <c r="M791" s="148" t="str">
        <f t="shared" si="1"/>
        <v/>
      </c>
      <c r="N791" s="147" t="str">
        <f t="shared" si="2"/>
        <v/>
      </c>
      <c r="O791" s="147" t="str">
        <f t="shared" si="21"/>
        <v/>
      </c>
      <c r="P791" s="147" t="str">
        <f>IFERROR(__xludf.DUMMYFUNCTION("if(C791="""","""",iferror(if(row()&lt;&gt;2,INDEX(arrayformula(filter($Q$2:$Q790,$C$2:$C790&lt;&gt;"""",row($C$2:$C790)=max(if($C$2:$C790=C791,row($C$2:$C790),0)))) ,1),0),0))"),"")</f>
        <v/>
      </c>
      <c r="Q791" s="147" t="str">
        <f t="shared" si="22"/>
        <v/>
      </c>
      <c r="R791" s="147" t="str">
        <f t="shared" si="23"/>
        <v/>
      </c>
      <c r="S791" s="147" t="str">
        <f t="shared" si="24"/>
        <v/>
      </c>
      <c r="T791" s="147" t="str">
        <f t="shared" si="7"/>
        <v/>
      </c>
      <c r="U791" s="150" t="str">
        <f t="shared" si="8"/>
        <v/>
      </c>
      <c r="V791" s="151" t="str">
        <f>IFERROR(VLOOKUP(C791,Ativos!$A$1:$G2000,5,),)</f>
        <v/>
      </c>
    </row>
    <row r="792" ht="21.0" customHeight="1">
      <c r="A792" s="152"/>
      <c r="B792" s="160"/>
      <c r="C792" s="153"/>
      <c r="D792" s="154"/>
      <c r="E792" s="139"/>
      <c r="F792" s="139"/>
      <c r="G792" s="139"/>
      <c r="H792" s="135"/>
      <c r="I792" s="141"/>
      <c r="J792" s="147" t="str">
        <f>IFERROR(__xludf.DUMMYFUNCTION("IF(ISBLANK(A792),IFERROR(1/0),IF(COUNT(FILTER(F:F,A:A=A792))&gt;1,TRUNC(N792*F792/SUM(FILTER(N:N,A:A=A792)),3),F792))"),"")</f>
        <v/>
      </c>
      <c r="K792" s="147" t="str">
        <f>IFERROR(__xludf.DUMMYFUNCTION("IF(ISBLANK(A792),IFERROR(1/0),IF(COUNT(FILTER(G:G,((A:A=A792)*(B:B=""V""))))&gt;1,TRUNC(N792*G792/SUM(FILTER(N:N,((A:A=A792)*(B:B=""V"")))),3),G792))"),"")</f>
        <v/>
      </c>
      <c r="L792" s="148" t="str">
        <f>IFERROR(__xludf.DUMMYFUNCTION("if($C792="""","""",iferror(if(row()&lt;&gt;2,INDEX(arrayformula(filter($M$2:$M791,$C$2:$C791&lt;&gt;"""",row($C$2:$C791)=max(if($C$2:$C791=C792,row($C$2:$C791),0)))) ,1),0),0))"),"")</f>
        <v/>
      </c>
      <c r="M792" s="148" t="str">
        <f t="shared" si="1"/>
        <v/>
      </c>
      <c r="N792" s="147" t="str">
        <f t="shared" si="2"/>
        <v/>
      </c>
      <c r="O792" s="147" t="str">
        <f t="shared" si="21"/>
        <v/>
      </c>
      <c r="P792" s="147" t="str">
        <f>IFERROR(__xludf.DUMMYFUNCTION("if(C792="""","""",iferror(if(row()&lt;&gt;2,INDEX(arrayformula(filter($Q$2:$Q791,$C$2:$C791&lt;&gt;"""",row($C$2:$C791)=max(if($C$2:$C791=C792,row($C$2:$C791),0)))) ,1),0),0))"),"")</f>
        <v/>
      </c>
      <c r="Q792" s="147" t="str">
        <f t="shared" si="22"/>
        <v/>
      </c>
      <c r="R792" s="147" t="str">
        <f t="shared" si="23"/>
        <v/>
      </c>
      <c r="S792" s="147" t="str">
        <f t="shared" si="24"/>
        <v/>
      </c>
      <c r="T792" s="147" t="str">
        <f t="shared" si="7"/>
        <v/>
      </c>
      <c r="U792" s="150" t="str">
        <f t="shared" si="8"/>
        <v/>
      </c>
      <c r="V792" s="151" t="str">
        <f>IFERROR(VLOOKUP(C792,Ativos!$A$1:$G2000,5,),)</f>
        <v/>
      </c>
    </row>
    <row r="793" ht="21.0" customHeight="1">
      <c r="A793" s="152"/>
      <c r="B793" s="160"/>
      <c r="C793" s="153"/>
      <c r="D793" s="154"/>
      <c r="E793" s="139"/>
      <c r="F793" s="139"/>
      <c r="G793" s="139"/>
      <c r="H793" s="135"/>
      <c r="I793" s="141"/>
      <c r="J793" s="147" t="str">
        <f>IFERROR(__xludf.DUMMYFUNCTION("IF(ISBLANK(A793),IFERROR(1/0),IF(COUNT(FILTER(F:F,A:A=A793))&gt;1,TRUNC(N793*F793/SUM(FILTER(N:N,A:A=A793)),3),F793))"),"")</f>
        <v/>
      </c>
      <c r="K793" s="147" t="str">
        <f>IFERROR(__xludf.DUMMYFUNCTION("IF(ISBLANK(A793),IFERROR(1/0),IF(COUNT(FILTER(G:G,((A:A=A793)*(B:B=""V""))))&gt;1,TRUNC(N793*G793/SUM(FILTER(N:N,((A:A=A793)*(B:B=""V"")))),3),G793))"),"")</f>
        <v/>
      </c>
      <c r="L793" s="148" t="str">
        <f>IFERROR(__xludf.DUMMYFUNCTION("if($C793="""","""",iferror(if(row()&lt;&gt;2,INDEX(arrayformula(filter($M$2:$M792,$C$2:$C792&lt;&gt;"""",row($C$2:$C792)=max(if($C$2:$C792=C793,row($C$2:$C792),0)))) ,1),0),0))"),"")</f>
        <v/>
      </c>
      <c r="M793" s="148" t="str">
        <f t="shared" si="1"/>
        <v/>
      </c>
      <c r="N793" s="147" t="str">
        <f t="shared" si="2"/>
        <v/>
      </c>
      <c r="O793" s="147" t="str">
        <f t="shared" si="21"/>
        <v/>
      </c>
      <c r="P793" s="147" t="str">
        <f>IFERROR(__xludf.DUMMYFUNCTION("if(C793="""","""",iferror(if(row()&lt;&gt;2,INDEX(arrayformula(filter($Q$2:$Q792,$C$2:$C792&lt;&gt;"""",row($C$2:$C792)=max(if($C$2:$C792=C793,row($C$2:$C792),0)))) ,1),0),0))"),"")</f>
        <v/>
      </c>
      <c r="Q793" s="147" t="str">
        <f t="shared" si="22"/>
        <v/>
      </c>
      <c r="R793" s="147" t="str">
        <f t="shared" si="23"/>
        <v/>
      </c>
      <c r="S793" s="147" t="str">
        <f t="shared" si="24"/>
        <v/>
      </c>
      <c r="T793" s="147" t="str">
        <f t="shared" si="7"/>
        <v/>
      </c>
      <c r="U793" s="150" t="str">
        <f t="shared" si="8"/>
        <v/>
      </c>
      <c r="V793" s="151" t="str">
        <f>IFERROR(VLOOKUP(C793,Ativos!$A$1:$G2000,5,),)</f>
        <v/>
      </c>
    </row>
    <row r="794" ht="21.0" customHeight="1">
      <c r="A794" s="152"/>
      <c r="B794" s="160"/>
      <c r="C794" s="153"/>
      <c r="D794" s="154"/>
      <c r="E794" s="139"/>
      <c r="F794" s="139"/>
      <c r="G794" s="139"/>
      <c r="H794" s="135"/>
      <c r="I794" s="141"/>
      <c r="J794" s="147" t="str">
        <f>IFERROR(__xludf.DUMMYFUNCTION("IF(ISBLANK(A794),IFERROR(1/0),IF(COUNT(FILTER(F:F,A:A=A794))&gt;1,TRUNC(N794*F794/SUM(FILTER(N:N,A:A=A794)),3),F794))"),"")</f>
        <v/>
      </c>
      <c r="K794" s="147" t="str">
        <f>IFERROR(__xludf.DUMMYFUNCTION("IF(ISBLANK(A794),IFERROR(1/0),IF(COUNT(FILTER(G:G,((A:A=A794)*(B:B=""V""))))&gt;1,TRUNC(N794*G794/SUM(FILTER(N:N,((A:A=A794)*(B:B=""V"")))),3),G794))"),"")</f>
        <v/>
      </c>
      <c r="L794" s="148" t="str">
        <f>IFERROR(__xludf.DUMMYFUNCTION("if($C794="""","""",iferror(if(row()&lt;&gt;2,INDEX(arrayformula(filter($M$2:$M793,$C$2:$C793&lt;&gt;"""",row($C$2:$C793)=max(if($C$2:$C793=C794,row($C$2:$C793),0)))) ,1),0),0))"),"")</f>
        <v/>
      </c>
      <c r="M794" s="148" t="str">
        <f t="shared" si="1"/>
        <v/>
      </c>
      <c r="N794" s="147" t="str">
        <f t="shared" si="2"/>
        <v/>
      </c>
      <c r="O794" s="147" t="str">
        <f t="shared" si="21"/>
        <v/>
      </c>
      <c r="P794" s="147" t="str">
        <f>IFERROR(__xludf.DUMMYFUNCTION("if(C794="""","""",iferror(if(row()&lt;&gt;2,INDEX(arrayformula(filter($Q$2:$Q793,$C$2:$C793&lt;&gt;"""",row($C$2:$C793)=max(if($C$2:$C793=C794,row($C$2:$C793),0)))) ,1),0),0))"),"")</f>
        <v/>
      </c>
      <c r="Q794" s="147" t="str">
        <f t="shared" si="22"/>
        <v/>
      </c>
      <c r="R794" s="147" t="str">
        <f t="shared" si="23"/>
        <v/>
      </c>
      <c r="S794" s="147" t="str">
        <f t="shared" si="24"/>
        <v/>
      </c>
      <c r="T794" s="147" t="str">
        <f t="shared" si="7"/>
        <v/>
      </c>
      <c r="U794" s="150" t="str">
        <f t="shared" si="8"/>
        <v/>
      </c>
      <c r="V794" s="151" t="str">
        <f>IFERROR(VLOOKUP(C794,Ativos!$A$1:$G2000,5,),)</f>
        <v/>
      </c>
    </row>
    <row r="795" ht="21.0" customHeight="1">
      <c r="A795" s="152"/>
      <c r="B795" s="160"/>
      <c r="C795" s="153"/>
      <c r="D795" s="154"/>
      <c r="E795" s="139"/>
      <c r="F795" s="139"/>
      <c r="G795" s="139"/>
      <c r="H795" s="135"/>
      <c r="I795" s="141"/>
      <c r="J795" s="147" t="str">
        <f>IFERROR(__xludf.DUMMYFUNCTION("IF(ISBLANK(A795),IFERROR(1/0),IF(COUNT(FILTER(F:F,A:A=A795))&gt;1,TRUNC(N795*F795/SUM(FILTER(N:N,A:A=A795)),3),F795))"),"")</f>
        <v/>
      </c>
      <c r="K795" s="147" t="str">
        <f>IFERROR(__xludf.DUMMYFUNCTION("IF(ISBLANK(A795),IFERROR(1/0),IF(COUNT(FILTER(G:G,((A:A=A795)*(B:B=""V""))))&gt;1,TRUNC(N795*G795/SUM(FILTER(N:N,((A:A=A795)*(B:B=""V"")))),3),G795))"),"")</f>
        <v/>
      </c>
      <c r="L795" s="148" t="str">
        <f>IFERROR(__xludf.DUMMYFUNCTION("if($C795="""","""",iferror(if(row()&lt;&gt;2,INDEX(arrayformula(filter($M$2:$M794,$C$2:$C794&lt;&gt;"""",row($C$2:$C794)=max(if($C$2:$C794=C795,row($C$2:$C794),0)))) ,1),0),0))"),"")</f>
        <v/>
      </c>
      <c r="M795" s="148" t="str">
        <f t="shared" si="1"/>
        <v/>
      </c>
      <c r="N795" s="147" t="str">
        <f t="shared" si="2"/>
        <v/>
      </c>
      <c r="O795" s="147" t="str">
        <f t="shared" si="21"/>
        <v/>
      </c>
      <c r="P795" s="147" t="str">
        <f>IFERROR(__xludf.DUMMYFUNCTION("if(C795="""","""",iferror(if(row()&lt;&gt;2,INDEX(arrayformula(filter($Q$2:$Q794,$C$2:$C794&lt;&gt;"""",row($C$2:$C794)=max(if($C$2:$C794=C795,row($C$2:$C794),0)))) ,1),0),0))"),"")</f>
        <v/>
      </c>
      <c r="Q795" s="147" t="str">
        <f t="shared" si="22"/>
        <v/>
      </c>
      <c r="R795" s="147" t="str">
        <f t="shared" si="23"/>
        <v/>
      </c>
      <c r="S795" s="147" t="str">
        <f t="shared" si="24"/>
        <v/>
      </c>
      <c r="T795" s="147" t="str">
        <f t="shared" si="7"/>
        <v/>
      </c>
      <c r="U795" s="150" t="str">
        <f t="shared" si="8"/>
        <v/>
      </c>
      <c r="V795" s="151" t="str">
        <f>IFERROR(VLOOKUP(C795,Ativos!$A$1:$G2000,5,),)</f>
        <v/>
      </c>
    </row>
    <row r="796" ht="21.0" customHeight="1">
      <c r="A796" s="152"/>
      <c r="B796" s="160"/>
      <c r="C796" s="153"/>
      <c r="D796" s="154"/>
      <c r="E796" s="139"/>
      <c r="F796" s="139"/>
      <c r="G796" s="139"/>
      <c r="H796" s="135"/>
      <c r="I796" s="141"/>
      <c r="J796" s="147" t="str">
        <f>IFERROR(__xludf.DUMMYFUNCTION("IF(ISBLANK(A796),IFERROR(1/0),IF(COUNT(FILTER(F:F,A:A=A796))&gt;1,TRUNC(N796*F796/SUM(FILTER(N:N,A:A=A796)),3),F796))"),"")</f>
        <v/>
      </c>
      <c r="K796" s="147" t="str">
        <f>IFERROR(__xludf.DUMMYFUNCTION("IF(ISBLANK(A796),IFERROR(1/0),IF(COUNT(FILTER(G:G,((A:A=A796)*(B:B=""V""))))&gt;1,TRUNC(N796*G796/SUM(FILTER(N:N,((A:A=A796)*(B:B=""V"")))),3),G796))"),"")</f>
        <v/>
      </c>
      <c r="L796" s="148" t="str">
        <f>IFERROR(__xludf.DUMMYFUNCTION("if($C796="""","""",iferror(if(row()&lt;&gt;2,INDEX(arrayformula(filter($M$2:$M795,$C$2:$C795&lt;&gt;"""",row($C$2:$C795)=max(if($C$2:$C795=C796,row($C$2:$C795),0)))) ,1),0),0))"),"")</f>
        <v/>
      </c>
      <c r="M796" s="148" t="str">
        <f t="shared" si="1"/>
        <v/>
      </c>
      <c r="N796" s="147" t="str">
        <f t="shared" si="2"/>
        <v/>
      </c>
      <c r="O796" s="147" t="str">
        <f t="shared" si="21"/>
        <v/>
      </c>
      <c r="P796" s="147" t="str">
        <f>IFERROR(__xludf.DUMMYFUNCTION("if(C796="""","""",iferror(if(row()&lt;&gt;2,INDEX(arrayformula(filter($Q$2:$Q795,$C$2:$C795&lt;&gt;"""",row($C$2:$C795)=max(if($C$2:$C795=C796,row($C$2:$C795),0)))) ,1),0),0))"),"")</f>
        <v/>
      </c>
      <c r="Q796" s="147" t="str">
        <f t="shared" si="22"/>
        <v/>
      </c>
      <c r="R796" s="147" t="str">
        <f t="shared" si="23"/>
        <v/>
      </c>
      <c r="S796" s="147" t="str">
        <f t="shared" si="24"/>
        <v/>
      </c>
      <c r="T796" s="147" t="str">
        <f t="shared" si="7"/>
        <v/>
      </c>
      <c r="U796" s="150" t="str">
        <f t="shared" si="8"/>
        <v/>
      </c>
      <c r="V796" s="151" t="str">
        <f>IFERROR(VLOOKUP(C796,Ativos!$A$1:$G2000,5,),)</f>
        <v/>
      </c>
    </row>
    <row r="797" ht="21.0" customHeight="1">
      <c r="A797" s="152"/>
      <c r="B797" s="160"/>
      <c r="C797" s="153"/>
      <c r="D797" s="154"/>
      <c r="E797" s="139"/>
      <c r="F797" s="139"/>
      <c r="G797" s="139"/>
      <c r="H797" s="135"/>
      <c r="I797" s="141"/>
      <c r="J797" s="147" t="str">
        <f>IFERROR(__xludf.DUMMYFUNCTION("IF(ISBLANK(A797),IFERROR(1/0),IF(COUNT(FILTER(F:F,A:A=A797))&gt;1,TRUNC(N797*F797/SUM(FILTER(N:N,A:A=A797)),3),F797))"),"")</f>
        <v/>
      </c>
      <c r="K797" s="147" t="str">
        <f>IFERROR(__xludf.DUMMYFUNCTION("IF(ISBLANK(A797),IFERROR(1/0),IF(COUNT(FILTER(G:G,((A:A=A797)*(B:B=""V""))))&gt;1,TRUNC(N797*G797/SUM(FILTER(N:N,((A:A=A797)*(B:B=""V"")))),3),G797))"),"")</f>
        <v/>
      </c>
      <c r="L797" s="148" t="str">
        <f>IFERROR(__xludf.DUMMYFUNCTION("if($C797="""","""",iferror(if(row()&lt;&gt;2,INDEX(arrayformula(filter($M$2:$M796,$C$2:$C796&lt;&gt;"""",row($C$2:$C796)=max(if($C$2:$C796=C797,row($C$2:$C796),0)))) ,1),0),0))"),"")</f>
        <v/>
      </c>
      <c r="M797" s="148" t="str">
        <f t="shared" si="1"/>
        <v/>
      </c>
      <c r="N797" s="147" t="str">
        <f t="shared" si="2"/>
        <v/>
      </c>
      <c r="O797" s="147" t="str">
        <f t="shared" si="21"/>
        <v/>
      </c>
      <c r="P797" s="147" t="str">
        <f>IFERROR(__xludf.DUMMYFUNCTION("if(C797="""","""",iferror(if(row()&lt;&gt;2,INDEX(arrayformula(filter($Q$2:$Q796,$C$2:$C796&lt;&gt;"""",row($C$2:$C796)=max(if($C$2:$C796=C797,row($C$2:$C796),0)))) ,1),0),0))"),"")</f>
        <v/>
      </c>
      <c r="Q797" s="147" t="str">
        <f t="shared" si="22"/>
        <v/>
      </c>
      <c r="R797" s="147" t="str">
        <f t="shared" si="23"/>
        <v/>
      </c>
      <c r="S797" s="147" t="str">
        <f t="shared" si="24"/>
        <v/>
      </c>
      <c r="T797" s="147" t="str">
        <f t="shared" si="7"/>
        <v/>
      </c>
      <c r="U797" s="150" t="str">
        <f t="shared" si="8"/>
        <v/>
      </c>
      <c r="V797" s="151" t="str">
        <f>IFERROR(VLOOKUP(C797,Ativos!$A$1:$G2000,5,),)</f>
        <v/>
      </c>
    </row>
    <row r="798" ht="21.0" customHeight="1">
      <c r="A798" s="152"/>
      <c r="B798" s="160"/>
      <c r="C798" s="153"/>
      <c r="D798" s="154"/>
      <c r="E798" s="139"/>
      <c r="F798" s="139"/>
      <c r="G798" s="139"/>
      <c r="H798" s="135"/>
      <c r="I798" s="141"/>
      <c r="J798" s="147" t="str">
        <f>IFERROR(__xludf.DUMMYFUNCTION("IF(ISBLANK(A798),IFERROR(1/0),IF(COUNT(FILTER(F:F,A:A=A798))&gt;1,TRUNC(N798*F798/SUM(FILTER(N:N,A:A=A798)),3),F798))"),"")</f>
        <v/>
      </c>
      <c r="K798" s="147" t="str">
        <f>IFERROR(__xludf.DUMMYFUNCTION("IF(ISBLANK(A798),IFERROR(1/0),IF(COUNT(FILTER(G:G,((A:A=A798)*(B:B=""V""))))&gt;1,TRUNC(N798*G798/SUM(FILTER(N:N,((A:A=A798)*(B:B=""V"")))),3),G798))"),"")</f>
        <v/>
      </c>
      <c r="L798" s="148" t="str">
        <f>IFERROR(__xludf.DUMMYFUNCTION("if($C798="""","""",iferror(if(row()&lt;&gt;2,INDEX(arrayformula(filter($M$2:$M797,$C$2:$C797&lt;&gt;"""",row($C$2:$C797)=max(if($C$2:$C797=C798,row($C$2:$C797),0)))) ,1),0),0))"),"")</f>
        <v/>
      </c>
      <c r="M798" s="148" t="str">
        <f t="shared" si="1"/>
        <v/>
      </c>
      <c r="N798" s="147" t="str">
        <f t="shared" si="2"/>
        <v/>
      </c>
      <c r="O798" s="147" t="str">
        <f t="shared" si="21"/>
        <v/>
      </c>
      <c r="P798" s="147" t="str">
        <f>IFERROR(__xludf.DUMMYFUNCTION("if(C798="""","""",iferror(if(row()&lt;&gt;2,INDEX(arrayformula(filter($Q$2:$Q797,$C$2:$C797&lt;&gt;"""",row($C$2:$C797)=max(if($C$2:$C797=C798,row($C$2:$C797),0)))) ,1),0),0))"),"")</f>
        <v/>
      </c>
      <c r="Q798" s="147" t="str">
        <f t="shared" si="22"/>
        <v/>
      </c>
      <c r="R798" s="147" t="str">
        <f t="shared" si="23"/>
        <v/>
      </c>
      <c r="S798" s="147" t="str">
        <f t="shared" si="24"/>
        <v/>
      </c>
      <c r="T798" s="147" t="str">
        <f t="shared" si="7"/>
        <v/>
      </c>
      <c r="U798" s="150" t="str">
        <f t="shared" si="8"/>
        <v/>
      </c>
      <c r="V798" s="151" t="str">
        <f>IFERROR(VLOOKUP(C798,Ativos!$A$1:$G2000,5,),)</f>
        <v/>
      </c>
    </row>
    <row r="799" ht="21.0" customHeight="1">
      <c r="A799" s="152"/>
      <c r="B799" s="160"/>
      <c r="C799" s="153"/>
      <c r="D799" s="154"/>
      <c r="E799" s="139"/>
      <c r="F799" s="139"/>
      <c r="G799" s="139"/>
      <c r="H799" s="135"/>
      <c r="I799" s="141"/>
      <c r="J799" s="147" t="str">
        <f>IFERROR(__xludf.DUMMYFUNCTION("IF(ISBLANK(A799),IFERROR(1/0),IF(COUNT(FILTER(F:F,A:A=A799))&gt;1,TRUNC(N799*F799/SUM(FILTER(N:N,A:A=A799)),3),F799))"),"")</f>
        <v/>
      </c>
      <c r="K799" s="147" t="str">
        <f>IFERROR(__xludf.DUMMYFUNCTION("IF(ISBLANK(A799),IFERROR(1/0),IF(COUNT(FILTER(G:G,((A:A=A799)*(B:B=""V""))))&gt;1,TRUNC(N799*G799/SUM(FILTER(N:N,((A:A=A799)*(B:B=""V"")))),3),G799))"),"")</f>
        <v/>
      </c>
      <c r="L799" s="148" t="str">
        <f>IFERROR(__xludf.DUMMYFUNCTION("if($C799="""","""",iferror(if(row()&lt;&gt;2,INDEX(arrayformula(filter($M$2:$M798,$C$2:$C798&lt;&gt;"""",row($C$2:$C798)=max(if($C$2:$C798=C799,row($C$2:$C798),0)))) ,1),0),0))"),"")</f>
        <v/>
      </c>
      <c r="M799" s="148" t="str">
        <f t="shared" si="1"/>
        <v/>
      </c>
      <c r="N799" s="147" t="str">
        <f t="shared" si="2"/>
        <v/>
      </c>
      <c r="O799" s="147" t="str">
        <f t="shared" si="21"/>
        <v/>
      </c>
      <c r="P799" s="147" t="str">
        <f>IFERROR(__xludf.DUMMYFUNCTION("if(C799="""","""",iferror(if(row()&lt;&gt;2,INDEX(arrayformula(filter($Q$2:$Q798,$C$2:$C798&lt;&gt;"""",row($C$2:$C798)=max(if($C$2:$C798=C799,row($C$2:$C798),0)))) ,1),0),0))"),"")</f>
        <v/>
      </c>
      <c r="Q799" s="147" t="str">
        <f t="shared" si="22"/>
        <v/>
      </c>
      <c r="R799" s="147" t="str">
        <f t="shared" si="23"/>
        <v/>
      </c>
      <c r="S799" s="147" t="str">
        <f t="shared" si="24"/>
        <v/>
      </c>
      <c r="T799" s="147" t="str">
        <f t="shared" si="7"/>
        <v/>
      </c>
      <c r="U799" s="150" t="str">
        <f t="shared" si="8"/>
        <v/>
      </c>
      <c r="V799" s="151" t="str">
        <f>IFERROR(VLOOKUP(C799,Ativos!$A$1:$G2000,5,),)</f>
        <v/>
      </c>
    </row>
    <row r="800" ht="21.0" customHeight="1">
      <c r="A800" s="152"/>
      <c r="B800" s="160"/>
      <c r="C800" s="153"/>
      <c r="D800" s="154"/>
      <c r="E800" s="139"/>
      <c r="F800" s="139"/>
      <c r="G800" s="139"/>
      <c r="H800" s="135"/>
      <c r="I800" s="141"/>
      <c r="J800" s="147" t="str">
        <f>IFERROR(__xludf.DUMMYFUNCTION("IF(ISBLANK(A800),IFERROR(1/0),IF(COUNT(FILTER(F:F,A:A=A800))&gt;1,TRUNC(N800*F800/SUM(FILTER(N:N,A:A=A800)),3),F800))"),"")</f>
        <v/>
      </c>
      <c r="K800" s="147" t="str">
        <f>IFERROR(__xludf.DUMMYFUNCTION("IF(ISBLANK(A800),IFERROR(1/0),IF(COUNT(FILTER(G:G,((A:A=A800)*(B:B=""V""))))&gt;1,TRUNC(N800*G800/SUM(FILTER(N:N,((A:A=A800)*(B:B=""V"")))),3),G800))"),"")</f>
        <v/>
      </c>
      <c r="L800" s="148" t="str">
        <f>IFERROR(__xludf.DUMMYFUNCTION("if($C800="""","""",iferror(if(row()&lt;&gt;2,INDEX(arrayformula(filter($M$2:$M799,$C$2:$C799&lt;&gt;"""",row($C$2:$C799)=max(if($C$2:$C799=C800,row($C$2:$C799),0)))) ,1),0),0))"),"")</f>
        <v/>
      </c>
      <c r="M800" s="148" t="str">
        <f t="shared" si="1"/>
        <v/>
      </c>
      <c r="N800" s="147" t="str">
        <f t="shared" si="2"/>
        <v/>
      </c>
      <c r="O800" s="147" t="str">
        <f t="shared" si="21"/>
        <v/>
      </c>
      <c r="P800" s="147" t="str">
        <f>IFERROR(__xludf.DUMMYFUNCTION("if(C800="""","""",iferror(if(row()&lt;&gt;2,INDEX(arrayformula(filter($Q$2:$Q799,$C$2:$C799&lt;&gt;"""",row($C$2:$C799)=max(if($C$2:$C799=C800,row($C$2:$C799),0)))) ,1),0),0))"),"")</f>
        <v/>
      </c>
      <c r="Q800" s="147" t="str">
        <f t="shared" si="22"/>
        <v/>
      </c>
      <c r="R800" s="147" t="str">
        <f t="shared" si="23"/>
        <v/>
      </c>
      <c r="S800" s="147" t="str">
        <f t="shared" si="24"/>
        <v/>
      </c>
      <c r="T800" s="147" t="str">
        <f t="shared" si="7"/>
        <v/>
      </c>
      <c r="U800" s="150" t="str">
        <f t="shared" si="8"/>
        <v/>
      </c>
      <c r="V800" s="151" t="str">
        <f>IFERROR(VLOOKUP(C800,Ativos!$A$1:$G2000,5,),)</f>
        <v/>
      </c>
    </row>
    <row r="801" ht="21.0" customHeight="1">
      <c r="A801" s="152"/>
      <c r="B801" s="160"/>
      <c r="C801" s="153"/>
      <c r="D801" s="154"/>
      <c r="E801" s="139"/>
      <c r="F801" s="139"/>
      <c r="G801" s="139"/>
      <c r="H801" s="135"/>
      <c r="I801" s="141"/>
      <c r="J801" s="147" t="str">
        <f>IFERROR(__xludf.DUMMYFUNCTION("IF(ISBLANK(A801),IFERROR(1/0),IF(COUNT(FILTER(F:F,A:A=A801))&gt;1,TRUNC(N801*F801/SUM(FILTER(N:N,A:A=A801)),3),F801))"),"")</f>
        <v/>
      </c>
      <c r="K801" s="147" t="str">
        <f>IFERROR(__xludf.DUMMYFUNCTION("IF(ISBLANK(A801),IFERROR(1/0),IF(COUNT(FILTER(G:G,((A:A=A801)*(B:B=""V""))))&gt;1,TRUNC(N801*G801/SUM(FILTER(N:N,((A:A=A801)*(B:B=""V"")))),3),G801))"),"")</f>
        <v/>
      </c>
      <c r="L801" s="148" t="str">
        <f>IFERROR(__xludf.DUMMYFUNCTION("if($C801="""","""",iferror(if(row()&lt;&gt;2,INDEX(arrayformula(filter($M$2:$M800,$C$2:$C800&lt;&gt;"""",row($C$2:$C800)=max(if($C$2:$C800=C801,row($C$2:$C800),0)))) ,1),0),0))"),"")</f>
        <v/>
      </c>
      <c r="M801" s="148" t="str">
        <f t="shared" si="1"/>
        <v/>
      </c>
      <c r="N801" s="147" t="str">
        <f t="shared" si="2"/>
        <v/>
      </c>
      <c r="O801" s="147" t="str">
        <f t="shared" si="21"/>
        <v/>
      </c>
      <c r="P801" s="147" t="str">
        <f>IFERROR(__xludf.DUMMYFUNCTION("if(C801="""","""",iferror(if(row()&lt;&gt;2,INDEX(arrayformula(filter($Q$2:$Q800,$C$2:$C800&lt;&gt;"""",row($C$2:$C800)=max(if($C$2:$C800=C801,row($C$2:$C800),0)))) ,1),0),0))"),"")</f>
        <v/>
      </c>
      <c r="Q801" s="147" t="str">
        <f t="shared" si="22"/>
        <v/>
      </c>
      <c r="R801" s="147" t="str">
        <f t="shared" si="23"/>
        <v/>
      </c>
      <c r="S801" s="147" t="str">
        <f t="shared" si="24"/>
        <v/>
      </c>
      <c r="T801" s="147" t="str">
        <f t="shared" si="7"/>
        <v/>
      </c>
      <c r="U801" s="150" t="str">
        <f t="shared" si="8"/>
        <v/>
      </c>
      <c r="V801" s="151" t="str">
        <f>IFERROR(VLOOKUP(C801,Ativos!$A$1:$G2000,5,),)</f>
        <v/>
      </c>
    </row>
    <row r="802" ht="21.0" customHeight="1">
      <c r="A802" s="152"/>
      <c r="B802" s="160"/>
      <c r="C802" s="153"/>
      <c r="D802" s="154"/>
      <c r="E802" s="139"/>
      <c r="F802" s="139"/>
      <c r="G802" s="139"/>
      <c r="H802" s="135"/>
      <c r="I802" s="141"/>
      <c r="J802" s="147" t="str">
        <f>IFERROR(__xludf.DUMMYFUNCTION("IF(ISBLANK(A802),IFERROR(1/0),IF(COUNT(FILTER(F:F,A:A=A802))&gt;1,TRUNC(N802*F802/SUM(FILTER(N:N,A:A=A802)),3),F802))"),"")</f>
        <v/>
      </c>
      <c r="K802" s="147" t="str">
        <f>IFERROR(__xludf.DUMMYFUNCTION("IF(ISBLANK(A802),IFERROR(1/0),IF(COUNT(FILTER(G:G,((A:A=A802)*(B:B=""V""))))&gt;1,TRUNC(N802*G802/SUM(FILTER(N:N,((A:A=A802)*(B:B=""V"")))),3),G802))"),"")</f>
        <v/>
      </c>
      <c r="L802" s="148" t="str">
        <f>IFERROR(__xludf.DUMMYFUNCTION("if($C802="""","""",iferror(if(row()&lt;&gt;2,INDEX(arrayformula(filter($M$2:$M801,$C$2:$C801&lt;&gt;"""",row($C$2:$C801)=max(if($C$2:$C801=C802,row($C$2:$C801),0)))) ,1),0),0))"),"")</f>
        <v/>
      </c>
      <c r="M802" s="148" t="str">
        <f t="shared" si="1"/>
        <v/>
      </c>
      <c r="N802" s="147" t="str">
        <f t="shared" si="2"/>
        <v/>
      </c>
      <c r="O802" s="147" t="str">
        <f t="shared" si="21"/>
        <v/>
      </c>
      <c r="P802" s="147" t="str">
        <f>IFERROR(__xludf.DUMMYFUNCTION("if(C802="""","""",iferror(if(row()&lt;&gt;2,INDEX(arrayformula(filter($Q$2:$Q801,$C$2:$C801&lt;&gt;"""",row($C$2:$C801)=max(if($C$2:$C801=C802,row($C$2:$C801),0)))) ,1),0),0))"),"")</f>
        <v/>
      </c>
      <c r="Q802" s="147" t="str">
        <f t="shared" si="22"/>
        <v/>
      </c>
      <c r="R802" s="147" t="str">
        <f t="shared" si="23"/>
        <v/>
      </c>
      <c r="S802" s="147" t="str">
        <f t="shared" si="24"/>
        <v/>
      </c>
      <c r="T802" s="147" t="str">
        <f t="shared" si="7"/>
        <v/>
      </c>
      <c r="U802" s="150" t="str">
        <f t="shared" si="8"/>
        <v/>
      </c>
      <c r="V802" s="151" t="str">
        <f>IFERROR(VLOOKUP(C802,Ativos!$A$1:$G2000,5,),)</f>
        <v/>
      </c>
    </row>
    <row r="803" ht="21.0" customHeight="1">
      <c r="A803" s="152"/>
      <c r="B803" s="160"/>
      <c r="C803" s="153"/>
      <c r="D803" s="154"/>
      <c r="E803" s="139"/>
      <c r="F803" s="139"/>
      <c r="G803" s="139"/>
      <c r="H803" s="135"/>
      <c r="I803" s="141"/>
      <c r="J803" s="147" t="str">
        <f>IFERROR(__xludf.DUMMYFUNCTION("IF(ISBLANK(A803),IFERROR(1/0),IF(COUNT(FILTER(F:F,A:A=A803))&gt;1,TRUNC(N803*F803/SUM(FILTER(N:N,A:A=A803)),3),F803))"),"")</f>
        <v/>
      </c>
      <c r="K803" s="147" t="str">
        <f>IFERROR(__xludf.DUMMYFUNCTION("IF(ISBLANK(A803),IFERROR(1/0),IF(COUNT(FILTER(G:G,((A:A=A803)*(B:B=""V""))))&gt;1,TRUNC(N803*G803/SUM(FILTER(N:N,((A:A=A803)*(B:B=""V"")))),3),G803))"),"")</f>
        <v/>
      </c>
      <c r="L803" s="148" t="str">
        <f>IFERROR(__xludf.DUMMYFUNCTION("if($C803="""","""",iferror(if(row()&lt;&gt;2,INDEX(arrayformula(filter($M$2:$M802,$C$2:$C802&lt;&gt;"""",row($C$2:$C802)=max(if($C$2:$C802=C803,row($C$2:$C802),0)))) ,1),0),0))"),"")</f>
        <v/>
      </c>
      <c r="M803" s="148" t="str">
        <f t="shared" si="1"/>
        <v/>
      </c>
      <c r="N803" s="147" t="str">
        <f t="shared" si="2"/>
        <v/>
      </c>
      <c r="O803" s="147" t="str">
        <f t="shared" si="21"/>
        <v/>
      </c>
      <c r="P803" s="147" t="str">
        <f>IFERROR(__xludf.DUMMYFUNCTION("if(C803="""","""",iferror(if(row()&lt;&gt;2,INDEX(arrayformula(filter($Q$2:$Q802,$C$2:$C802&lt;&gt;"""",row($C$2:$C802)=max(if($C$2:$C802=C803,row($C$2:$C802),0)))) ,1),0),0))"),"")</f>
        <v/>
      </c>
      <c r="Q803" s="147" t="str">
        <f t="shared" si="22"/>
        <v/>
      </c>
      <c r="R803" s="147" t="str">
        <f t="shared" si="23"/>
        <v/>
      </c>
      <c r="S803" s="147" t="str">
        <f t="shared" si="24"/>
        <v/>
      </c>
      <c r="T803" s="147" t="str">
        <f t="shared" si="7"/>
        <v/>
      </c>
      <c r="U803" s="150" t="str">
        <f t="shared" si="8"/>
        <v/>
      </c>
      <c r="V803" s="151" t="str">
        <f>IFERROR(VLOOKUP(C803,Ativos!$A$1:$G2000,5,),)</f>
        <v/>
      </c>
    </row>
    <row r="804" ht="21.0" customHeight="1">
      <c r="A804" s="152"/>
      <c r="B804" s="160"/>
      <c r="C804" s="153"/>
      <c r="D804" s="154"/>
      <c r="E804" s="139"/>
      <c r="F804" s="139"/>
      <c r="G804" s="139"/>
      <c r="H804" s="135"/>
      <c r="I804" s="141"/>
      <c r="J804" s="147" t="str">
        <f>IFERROR(__xludf.DUMMYFUNCTION("IF(ISBLANK(A804),IFERROR(1/0),IF(COUNT(FILTER(F:F,A:A=A804))&gt;1,TRUNC(N804*F804/SUM(FILTER(N:N,A:A=A804)),3),F804))"),"")</f>
        <v/>
      </c>
      <c r="K804" s="147" t="str">
        <f>IFERROR(__xludf.DUMMYFUNCTION("IF(ISBLANK(A804),IFERROR(1/0),IF(COUNT(FILTER(G:G,((A:A=A804)*(B:B=""V""))))&gt;1,TRUNC(N804*G804/SUM(FILTER(N:N,((A:A=A804)*(B:B=""V"")))),3),G804))"),"")</f>
        <v/>
      </c>
      <c r="L804" s="148" t="str">
        <f>IFERROR(__xludf.DUMMYFUNCTION("if($C804="""","""",iferror(if(row()&lt;&gt;2,INDEX(arrayformula(filter($M$2:$M803,$C$2:$C803&lt;&gt;"""",row($C$2:$C803)=max(if($C$2:$C803=C804,row($C$2:$C803),0)))) ,1),0),0))"),"")</f>
        <v/>
      </c>
      <c r="M804" s="148" t="str">
        <f t="shared" si="1"/>
        <v/>
      </c>
      <c r="N804" s="147" t="str">
        <f t="shared" si="2"/>
        <v/>
      </c>
      <c r="O804" s="147" t="str">
        <f t="shared" si="21"/>
        <v/>
      </c>
      <c r="P804" s="147" t="str">
        <f>IFERROR(__xludf.DUMMYFUNCTION("if(C804="""","""",iferror(if(row()&lt;&gt;2,INDEX(arrayformula(filter($Q$2:$Q803,$C$2:$C803&lt;&gt;"""",row($C$2:$C803)=max(if($C$2:$C803=C804,row($C$2:$C803),0)))) ,1),0),0))"),"")</f>
        <v/>
      </c>
      <c r="Q804" s="147" t="str">
        <f t="shared" si="22"/>
        <v/>
      </c>
      <c r="R804" s="147" t="str">
        <f t="shared" si="23"/>
        <v/>
      </c>
      <c r="S804" s="147" t="str">
        <f t="shared" si="24"/>
        <v/>
      </c>
      <c r="T804" s="147" t="str">
        <f t="shared" si="7"/>
        <v/>
      </c>
      <c r="U804" s="150" t="str">
        <f t="shared" si="8"/>
        <v/>
      </c>
      <c r="V804" s="151" t="str">
        <f>IFERROR(VLOOKUP(C804,Ativos!$A$1:$G2000,5,),)</f>
        <v/>
      </c>
    </row>
    <row r="805" ht="21.0" customHeight="1">
      <c r="A805" s="152"/>
      <c r="B805" s="160"/>
      <c r="C805" s="153"/>
      <c r="D805" s="154"/>
      <c r="E805" s="139"/>
      <c r="F805" s="139"/>
      <c r="G805" s="139"/>
      <c r="H805" s="135"/>
      <c r="I805" s="141"/>
      <c r="J805" s="147" t="str">
        <f>IFERROR(__xludf.DUMMYFUNCTION("IF(ISBLANK(A805),IFERROR(1/0),IF(COUNT(FILTER(F:F,A:A=A805))&gt;1,TRUNC(N805*F805/SUM(FILTER(N:N,A:A=A805)),3),F805))"),"")</f>
        <v/>
      </c>
      <c r="K805" s="147" t="str">
        <f>IFERROR(__xludf.DUMMYFUNCTION("IF(ISBLANK(A805),IFERROR(1/0),IF(COUNT(FILTER(G:G,((A:A=A805)*(B:B=""V""))))&gt;1,TRUNC(N805*G805/SUM(FILTER(N:N,((A:A=A805)*(B:B=""V"")))),3),G805))"),"")</f>
        <v/>
      </c>
      <c r="L805" s="148" t="str">
        <f>IFERROR(__xludf.DUMMYFUNCTION("if($C805="""","""",iferror(if(row()&lt;&gt;2,INDEX(arrayformula(filter($M$2:$M804,$C$2:$C804&lt;&gt;"""",row($C$2:$C804)=max(if($C$2:$C804=C805,row($C$2:$C804),0)))) ,1),0),0))"),"")</f>
        <v/>
      </c>
      <c r="M805" s="148" t="str">
        <f t="shared" si="1"/>
        <v/>
      </c>
      <c r="N805" s="147" t="str">
        <f t="shared" si="2"/>
        <v/>
      </c>
      <c r="O805" s="147" t="str">
        <f t="shared" si="21"/>
        <v/>
      </c>
      <c r="P805" s="147" t="str">
        <f>IFERROR(__xludf.DUMMYFUNCTION("if(C805="""","""",iferror(if(row()&lt;&gt;2,INDEX(arrayformula(filter($Q$2:$Q804,$C$2:$C804&lt;&gt;"""",row($C$2:$C804)=max(if($C$2:$C804=C805,row($C$2:$C804),0)))) ,1),0),0))"),"")</f>
        <v/>
      </c>
      <c r="Q805" s="147" t="str">
        <f t="shared" si="22"/>
        <v/>
      </c>
      <c r="R805" s="147" t="str">
        <f t="shared" si="23"/>
        <v/>
      </c>
      <c r="S805" s="147" t="str">
        <f t="shared" si="24"/>
        <v/>
      </c>
      <c r="T805" s="147" t="str">
        <f t="shared" si="7"/>
        <v/>
      </c>
      <c r="U805" s="150" t="str">
        <f t="shared" si="8"/>
        <v/>
      </c>
      <c r="V805" s="151" t="str">
        <f>IFERROR(VLOOKUP(C805,Ativos!$A$1:$G2000,5,),)</f>
        <v/>
      </c>
    </row>
    <row r="806" ht="21.0" customHeight="1">
      <c r="A806" s="152"/>
      <c r="B806" s="160"/>
      <c r="C806" s="153"/>
      <c r="D806" s="154"/>
      <c r="E806" s="139"/>
      <c r="F806" s="139"/>
      <c r="G806" s="139"/>
      <c r="H806" s="135"/>
      <c r="I806" s="141"/>
      <c r="J806" s="147" t="str">
        <f>IFERROR(__xludf.DUMMYFUNCTION("IF(ISBLANK(A806),IFERROR(1/0),IF(COUNT(FILTER(F:F,A:A=A806))&gt;1,TRUNC(N806*F806/SUM(FILTER(N:N,A:A=A806)),3),F806))"),"")</f>
        <v/>
      </c>
      <c r="K806" s="147" t="str">
        <f>IFERROR(__xludf.DUMMYFUNCTION("IF(ISBLANK(A806),IFERROR(1/0),IF(COUNT(FILTER(G:G,((A:A=A806)*(B:B=""V""))))&gt;1,TRUNC(N806*G806/SUM(FILTER(N:N,((A:A=A806)*(B:B=""V"")))),3),G806))"),"")</f>
        <v/>
      </c>
      <c r="L806" s="148" t="str">
        <f>IFERROR(__xludf.DUMMYFUNCTION("if($C806="""","""",iferror(if(row()&lt;&gt;2,INDEX(arrayformula(filter($M$2:$M805,$C$2:$C805&lt;&gt;"""",row($C$2:$C805)=max(if($C$2:$C805=C806,row($C$2:$C805),0)))) ,1),0),0))"),"")</f>
        <v/>
      </c>
      <c r="M806" s="148" t="str">
        <f t="shared" si="1"/>
        <v/>
      </c>
      <c r="N806" s="147" t="str">
        <f t="shared" si="2"/>
        <v/>
      </c>
      <c r="O806" s="147" t="str">
        <f t="shared" si="21"/>
        <v/>
      </c>
      <c r="P806" s="147" t="str">
        <f>IFERROR(__xludf.DUMMYFUNCTION("if(C806="""","""",iferror(if(row()&lt;&gt;2,INDEX(arrayformula(filter($Q$2:$Q805,$C$2:$C805&lt;&gt;"""",row($C$2:$C805)=max(if($C$2:$C805=C806,row($C$2:$C805),0)))) ,1),0),0))"),"")</f>
        <v/>
      </c>
      <c r="Q806" s="147" t="str">
        <f t="shared" si="22"/>
        <v/>
      </c>
      <c r="R806" s="147" t="str">
        <f t="shared" si="23"/>
        <v/>
      </c>
      <c r="S806" s="147" t="str">
        <f t="shared" si="24"/>
        <v/>
      </c>
      <c r="T806" s="147" t="str">
        <f t="shared" si="7"/>
        <v/>
      </c>
      <c r="U806" s="150" t="str">
        <f t="shared" si="8"/>
        <v/>
      </c>
      <c r="V806" s="151" t="str">
        <f>IFERROR(VLOOKUP(C806,Ativos!$A$1:$G2000,5,),)</f>
        <v/>
      </c>
    </row>
    <row r="807" ht="21.0" customHeight="1">
      <c r="A807" s="152"/>
      <c r="B807" s="160"/>
      <c r="C807" s="153"/>
      <c r="D807" s="154"/>
      <c r="E807" s="139"/>
      <c r="F807" s="139"/>
      <c r="G807" s="139"/>
      <c r="H807" s="135"/>
      <c r="I807" s="141"/>
      <c r="J807" s="147" t="str">
        <f>IFERROR(__xludf.DUMMYFUNCTION("IF(ISBLANK(A807),IFERROR(1/0),IF(COUNT(FILTER(F:F,A:A=A807))&gt;1,TRUNC(N807*F807/SUM(FILTER(N:N,A:A=A807)),3),F807))"),"")</f>
        <v/>
      </c>
      <c r="K807" s="147" t="str">
        <f>IFERROR(__xludf.DUMMYFUNCTION("IF(ISBLANK(A807),IFERROR(1/0),IF(COUNT(FILTER(G:G,((A:A=A807)*(B:B=""V""))))&gt;1,TRUNC(N807*G807/SUM(FILTER(N:N,((A:A=A807)*(B:B=""V"")))),3),G807))"),"")</f>
        <v/>
      </c>
      <c r="L807" s="148" t="str">
        <f>IFERROR(__xludf.DUMMYFUNCTION("if($C807="""","""",iferror(if(row()&lt;&gt;2,INDEX(arrayformula(filter($M$2:$M806,$C$2:$C806&lt;&gt;"""",row($C$2:$C806)=max(if($C$2:$C806=C807,row($C$2:$C806),0)))) ,1),0),0))"),"")</f>
        <v/>
      </c>
      <c r="M807" s="148" t="str">
        <f t="shared" si="1"/>
        <v/>
      </c>
      <c r="N807" s="147" t="str">
        <f t="shared" si="2"/>
        <v/>
      </c>
      <c r="O807" s="147" t="str">
        <f t="shared" si="21"/>
        <v/>
      </c>
      <c r="P807" s="147" t="str">
        <f>IFERROR(__xludf.DUMMYFUNCTION("if(C807="""","""",iferror(if(row()&lt;&gt;2,INDEX(arrayformula(filter($Q$2:$Q806,$C$2:$C806&lt;&gt;"""",row($C$2:$C806)=max(if($C$2:$C806=C807,row($C$2:$C806),0)))) ,1),0),0))"),"")</f>
        <v/>
      </c>
      <c r="Q807" s="147" t="str">
        <f t="shared" si="22"/>
        <v/>
      </c>
      <c r="R807" s="147" t="str">
        <f t="shared" si="23"/>
        <v/>
      </c>
      <c r="S807" s="147" t="str">
        <f t="shared" si="24"/>
        <v/>
      </c>
      <c r="T807" s="147" t="str">
        <f t="shared" si="7"/>
        <v/>
      </c>
      <c r="U807" s="150" t="str">
        <f t="shared" si="8"/>
        <v/>
      </c>
      <c r="V807" s="151" t="str">
        <f>IFERROR(VLOOKUP(C807,Ativos!$A$1:$G2000,5,),)</f>
        <v/>
      </c>
    </row>
    <row r="808" ht="21.0" customHeight="1">
      <c r="A808" s="152"/>
      <c r="B808" s="160"/>
      <c r="C808" s="153"/>
      <c r="D808" s="154"/>
      <c r="E808" s="139"/>
      <c r="F808" s="139"/>
      <c r="G808" s="139"/>
      <c r="H808" s="135"/>
      <c r="I808" s="141"/>
      <c r="J808" s="147" t="str">
        <f>IFERROR(__xludf.DUMMYFUNCTION("IF(ISBLANK(A808),IFERROR(1/0),IF(COUNT(FILTER(F:F,A:A=A808))&gt;1,TRUNC(N808*F808/SUM(FILTER(N:N,A:A=A808)),3),F808))"),"")</f>
        <v/>
      </c>
      <c r="K808" s="147" t="str">
        <f>IFERROR(__xludf.DUMMYFUNCTION("IF(ISBLANK(A808),IFERROR(1/0),IF(COUNT(FILTER(G:G,((A:A=A808)*(B:B=""V""))))&gt;1,TRUNC(N808*G808/SUM(FILTER(N:N,((A:A=A808)*(B:B=""V"")))),3),G808))"),"")</f>
        <v/>
      </c>
      <c r="L808" s="148" t="str">
        <f>IFERROR(__xludf.DUMMYFUNCTION("if($C808="""","""",iferror(if(row()&lt;&gt;2,INDEX(arrayformula(filter($M$2:$M807,$C$2:$C807&lt;&gt;"""",row($C$2:$C807)=max(if($C$2:$C807=C808,row($C$2:$C807),0)))) ,1),0),0))"),"")</f>
        <v/>
      </c>
      <c r="M808" s="148" t="str">
        <f t="shared" si="1"/>
        <v/>
      </c>
      <c r="N808" s="147" t="str">
        <f t="shared" si="2"/>
        <v/>
      </c>
      <c r="O808" s="147" t="str">
        <f t="shared" si="21"/>
        <v/>
      </c>
      <c r="P808" s="147" t="str">
        <f>IFERROR(__xludf.DUMMYFUNCTION("if(C808="""","""",iferror(if(row()&lt;&gt;2,INDEX(arrayformula(filter($Q$2:$Q807,$C$2:$C807&lt;&gt;"""",row($C$2:$C807)=max(if($C$2:$C807=C808,row($C$2:$C807),0)))) ,1),0),0))"),"")</f>
        <v/>
      </c>
      <c r="Q808" s="147" t="str">
        <f t="shared" si="22"/>
        <v/>
      </c>
      <c r="R808" s="147" t="str">
        <f t="shared" si="23"/>
        <v/>
      </c>
      <c r="S808" s="147" t="str">
        <f t="shared" si="24"/>
        <v/>
      </c>
      <c r="T808" s="147" t="str">
        <f t="shared" si="7"/>
        <v/>
      </c>
      <c r="U808" s="150" t="str">
        <f t="shared" si="8"/>
        <v/>
      </c>
      <c r="V808" s="151" t="str">
        <f>IFERROR(VLOOKUP(C808,Ativos!$A$1:$G2000,5,),)</f>
        <v/>
      </c>
    </row>
    <row r="809" ht="21.0" customHeight="1">
      <c r="A809" s="152"/>
      <c r="B809" s="160"/>
      <c r="C809" s="153"/>
      <c r="D809" s="154"/>
      <c r="E809" s="139"/>
      <c r="F809" s="139"/>
      <c r="G809" s="139"/>
      <c r="H809" s="135"/>
      <c r="I809" s="141"/>
      <c r="J809" s="147" t="str">
        <f>IFERROR(__xludf.DUMMYFUNCTION("IF(ISBLANK(A809),IFERROR(1/0),IF(COUNT(FILTER(F:F,A:A=A809))&gt;1,TRUNC(N809*F809/SUM(FILTER(N:N,A:A=A809)),3),F809))"),"")</f>
        <v/>
      </c>
      <c r="K809" s="147" t="str">
        <f>IFERROR(__xludf.DUMMYFUNCTION("IF(ISBLANK(A809),IFERROR(1/0),IF(COUNT(FILTER(G:G,((A:A=A809)*(B:B=""V""))))&gt;1,TRUNC(N809*G809/SUM(FILTER(N:N,((A:A=A809)*(B:B=""V"")))),3),G809))"),"")</f>
        <v/>
      </c>
      <c r="L809" s="148" t="str">
        <f>IFERROR(__xludf.DUMMYFUNCTION("if($C809="""","""",iferror(if(row()&lt;&gt;2,INDEX(arrayformula(filter($M$2:$M808,$C$2:$C808&lt;&gt;"""",row($C$2:$C808)=max(if($C$2:$C808=C809,row($C$2:$C808),0)))) ,1),0),0))"),"")</f>
        <v/>
      </c>
      <c r="M809" s="148" t="str">
        <f t="shared" si="1"/>
        <v/>
      </c>
      <c r="N809" s="147" t="str">
        <f t="shared" si="2"/>
        <v/>
      </c>
      <c r="O809" s="147" t="str">
        <f t="shared" si="21"/>
        <v/>
      </c>
      <c r="P809" s="147" t="str">
        <f>IFERROR(__xludf.DUMMYFUNCTION("if(C809="""","""",iferror(if(row()&lt;&gt;2,INDEX(arrayformula(filter($Q$2:$Q808,$C$2:$C808&lt;&gt;"""",row($C$2:$C808)=max(if($C$2:$C808=C809,row($C$2:$C808),0)))) ,1),0),0))"),"")</f>
        <v/>
      </c>
      <c r="Q809" s="147" t="str">
        <f t="shared" si="22"/>
        <v/>
      </c>
      <c r="R809" s="147" t="str">
        <f t="shared" si="23"/>
        <v/>
      </c>
      <c r="S809" s="147" t="str">
        <f t="shared" si="24"/>
        <v/>
      </c>
      <c r="T809" s="147" t="str">
        <f t="shared" si="7"/>
        <v/>
      </c>
      <c r="U809" s="150" t="str">
        <f t="shared" si="8"/>
        <v/>
      </c>
      <c r="V809" s="151" t="str">
        <f>IFERROR(VLOOKUP(C809,Ativos!$A$1:$G2000,5,),)</f>
        <v/>
      </c>
    </row>
    <row r="810" ht="21.0" customHeight="1">
      <c r="A810" s="152"/>
      <c r="B810" s="160"/>
      <c r="C810" s="153"/>
      <c r="D810" s="154"/>
      <c r="E810" s="139"/>
      <c r="F810" s="139"/>
      <c r="G810" s="139"/>
      <c r="H810" s="135"/>
      <c r="I810" s="141"/>
      <c r="J810" s="147" t="str">
        <f>IFERROR(__xludf.DUMMYFUNCTION("IF(ISBLANK(A810),IFERROR(1/0),IF(COUNT(FILTER(F:F,A:A=A810))&gt;1,TRUNC(N810*F810/SUM(FILTER(N:N,A:A=A810)),3),F810))"),"")</f>
        <v/>
      </c>
      <c r="K810" s="147" t="str">
        <f>IFERROR(__xludf.DUMMYFUNCTION("IF(ISBLANK(A810),IFERROR(1/0),IF(COUNT(FILTER(G:G,((A:A=A810)*(B:B=""V""))))&gt;1,TRUNC(N810*G810/SUM(FILTER(N:N,((A:A=A810)*(B:B=""V"")))),3),G810))"),"")</f>
        <v/>
      </c>
      <c r="L810" s="148" t="str">
        <f>IFERROR(__xludf.DUMMYFUNCTION("if($C810="""","""",iferror(if(row()&lt;&gt;2,INDEX(arrayformula(filter($M$2:$M809,$C$2:$C809&lt;&gt;"""",row($C$2:$C809)=max(if($C$2:$C809=C810,row($C$2:$C809),0)))) ,1),0),0))"),"")</f>
        <v/>
      </c>
      <c r="M810" s="148" t="str">
        <f t="shared" si="1"/>
        <v/>
      </c>
      <c r="N810" s="147" t="str">
        <f t="shared" si="2"/>
        <v/>
      </c>
      <c r="O810" s="147" t="str">
        <f t="shared" si="21"/>
        <v/>
      </c>
      <c r="P810" s="147" t="str">
        <f>IFERROR(__xludf.DUMMYFUNCTION("if(C810="""","""",iferror(if(row()&lt;&gt;2,INDEX(arrayformula(filter($Q$2:$Q809,$C$2:$C809&lt;&gt;"""",row($C$2:$C809)=max(if($C$2:$C809=C810,row($C$2:$C809),0)))) ,1),0),0))"),"")</f>
        <v/>
      </c>
      <c r="Q810" s="147" t="str">
        <f t="shared" si="22"/>
        <v/>
      </c>
      <c r="R810" s="147" t="str">
        <f t="shared" si="23"/>
        <v/>
      </c>
      <c r="S810" s="147" t="str">
        <f t="shared" si="24"/>
        <v/>
      </c>
      <c r="T810" s="147" t="str">
        <f t="shared" si="7"/>
        <v/>
      </c>
      <c r="U810" s="150" t="str">
        <f t="shared" si="8"/>
        <v/>
      </c>
      <c r="V810" s="151" t="str">
        <f>IFERROR(VLOOKUP(C810,Ativos!$A$1:$G2000,5,),)</f>
        <v/>
      </c>
    </row>
    <row r="811" ht="21.0" customHeight="1">
      <c r="A811" s="152"/>
      <c r="B811" s="160"/>
      <c r="C811" s="153"/>
      <c r="D811" s="154"/>
      <c r="E811" s="139"/>
      <c r="F811" s="139"/>
      <c r="G811" s="139"/>
      <c r="H811" s="135"/>
      <c r="I811" s="141"/>
      <c r="J811" s="147" t="str">
        <f>IFERROR(__xludf.DUMMYFUNCTION("IF(ISBLANK(A811),IFERROR(1/0),IF(COUNT(FILTER(F:F,A:A=A811))&gt;1,TRUNC(N811*F811/SUM(FILTER(N:N,A:A=A811)),3),F811))"),"")</f>
        <v/>
      </c>
      <c r="K811" s="147" t="str">
        <f>IFERROR(__xludf.DUMMYFUNCTION("IF(ISBLANK(A811),IFERROR(1/0),IF(COUNT(FILTER(G:G,((A:A=A811)*(B:B=""V""))))&gt;1,TRUNC(N811*G811/SUM(FILTER(N:N,((A:A=A811)*(B:B=""V"")))),3),G811))"),"")</f>
        <v/>
      </c>
      <c r="L811" s="148" t="str">
        <f>IFERROR(__xludf.DUMMYFUNCTION("if($C811="""","""",iferror(if(row()&lt;&gt;2,INDEX(arrayformula(filter($M$2:$M810,$C$2:$C810&lt;&gt;"""",row($C$2:$C810)=max(if($C$2:$C810=C811,row($C$2:$C810),0)))) ,1),0),0))"),"")</f>
        <v/>
      </c>
      <c r="M811" s="148" t="str">
        <f t="shared" si="1"/>
        <v/>
      </c>
      <c r="N811" s="147" t="str">
        <f t="shared" si="2"/>
        <v/>
      </c>
      <c r="O811" s="147" t="str">
        <f t="shared" si="21"/>
        <v/>
      </c>
      <c r="P811" s="147" t="str">
        <f>IFERROR(__xludf.DUMMYFUNCTION("if(C811="""","""",iferror(if(row()&lt;&gt;2,INDEX(arrayformula(filter($Q$2:$Q810,$C$2:$C810&lt;&gt;"""",row($C$2:$C810)=max(if($C$2:$C810=C811,row($C$2:$C810),0)))) ,1),0),0))"),"")</f>
        <v/>
      </c>
      <c r="Q811" s="147" t="str">
        <f t="shared" si="22"/>
        <v/>
      </c>
      <c r="R811" s="147" t="str">
        <f t="shared" si="23"/>
        <v/>
      </c>
      <c r="S811" s="147" t="str">
        <f t="shared" si="24"/>
        <v/>
      </c>
      <c r="T811" s="147" t="str">
        <f t="shared" si="7"/>
        <v/>
      </c>
      <c r="U811" s="150" t="str">
        <f t="shared" si="8"/>
        <v/>
      </c>
      <c r="V811" s="151" t="str">
        <f>IFERROR(VLOOKUP(C811,Ativos!$A$1:$G2000,5,),)</f>
        <v/>
      </c>
    </row>
    <row r="812" ht="21.0" customHeight="1">
      <c r="A812" s="152"/>
      <c r="B812" s="160"/>
      <c r="C812" s="153"/>
      <c r="D812" s="154"/>
      <c r="E812" s="139"/>
      <c r="F812" s="139"/>
      <c r="G812" s="139"/>
      <c r="H812" s="135"/>
      <c r="I812" s="141"/>
      <c r="J812" s="147" t="str">
        <f>IFERROR(__xludf.DUMMYFUNCTION("IF(ISBLANK(A812),IFERROR(1/0),IF(COUNT(FILTER(F:F,A:A=A812))&gt;1,TRUNC(N812*F812/SUM(FILTER(N:N,A:A=A812)),3),F812))"),"")</f>
        <v/>
      </c>
      <c r="K812" s="147" t="str">
        <f>IFERROR(__xludf.DUMMYFUNCTION("IF(ISBLANK(A812),IFERROR(1/0),IF(COUNT(FILTER(G:G,((A:A=A812)*(B:B=""V""))))&gt;1,TRUNC(N812*G812/SUM(FILTER(N:N,((A:A=A812)*(B:B=""V"")))),3),G812))"),"")</f>
        <v/>
      </c>
      <c r="L812" s="148" t="str">
        <f>IFERROR(__xludf.DUMMYFUNCTION("if($C812="""","""",iferror(if(row()&lt;&gt;2,INDEX(arrayformula(filter($M$2:$M811,$C$2:$C811&lt;&gt;"""",row($C$2:$C811)=max(if($C$2:$C811=C812,row($C$2:$C811),0)))) ,1),0),0))"),"")</f>
        <v/>
      </c>
      <c r="M812" s="148" t="str">
        <f t="shared" si="1"/>
        <v/>
      </c>
      <c r="N812" s="147" t="str">
        <f t="shared" si="2"/>
        <v/>
      </c>
      <c r="O812" s="147" t="str">
        <f t="shared" si="21"/>
        <v/>
      </c>
      <c r="P812" s="147" t="str">
        <f>IFERROR(__xludf.DUMMYFUNCTION("if(C812="""","""",iferror(if(row()&lt;&gt;2,INDEX(arrayformula(filter($Q$2:$Q811,$C$2:$C811&lt;&gt;"""",row($C$2:$C811)=max(if($C$2:$C811=C812,row($C$2:$C811),0)))) ,1),0),0))"),"")</f>
        <v/>
      </c>
      <c r="Q812" s="147" t="str">
        <f t="shared" si="22"/>
        <v/>
      </c>
      <c r="R812" s="147" t="str">
        <f t="shared" si="23"/>
        <v/>
      </c>
      <c r="S812" s="147" t="str">
        <f t="shared" si="24"/>
        <v/>
      </c>
      <c r="T812" s="147" t="str">
        <f t="shared" si="7"/>
        <v/>
      </c>
      <c r="U812" s="150" t="str">
        <f t="shared" si="8"/>
        <v/>
      </c>
      <c r="V812" s="151" t="str">
        <f>IFERROR(VLOOKUP(C812,Ativos!$A$1:$G2000,5,),)</f>
        <v/>
      </c>
    </row>
    <row r="813" ht="21.0" customHeight="1">
      <c r="A813" s="152"/>
      <c r="B813" s="160"/>
      <c r="C813" s="153"/>
      <c r="D813" s="154"/>
      <c r="E813" s="139"/>
      <c r="F813" s="139"/>
      <c r="G813" s="139"/>
      <c r="H813" s="135"/>
      <c r="I813" s="141"/>
      <c r="J813" s="147" t="str">
        <f>IFERROR(__xludf.DUMMYFUNCTION("IF(ISBLANK(A813),IFERROR(1/0),IF(COUNT(FILTER(F:F,A:A=A813))&gt;1,TRUNC(N813*F813/SUM(FILTER(N:N,A:A=A813)),3),F813))"),"")</f>
        <v/>
      </c>
      <c r="K813" s="147" t="str">
        <f>IFERROR(__xludf.DUMMYFUNCTION("IF(ISBLANK(A813),IFERROR(1/0),IF(COUNT(FILTER(G:G,((A:A=A813)*(B:B=""V""))))&gt;1,TRUNC(N813*G813/SUM(FILTER(N:N,((A:A=A813)*(B:B=""V"")))),3),G813))"),"")</f>
        <v/>
      </c>
      <c r="L813" s="148" t="str">
        <f>IFERROR(__xludf.DUMMYFUNCTION("if($C813="""","""",iferror(if(row()&lt;&gt;2,INDEX(arrayformula(filter($M$2:$M812,$C$2:$C812&lt;&gt;"""",row($C$2:$C812)=max(if($C$2:$C812=C813,row($C$2:$C812),0)))) ,1),0),0))"),"")</f>
        <v/>
      </c>
      <c r="M813" s="148" t="str">
        <f t="shared" si="1"/>
        <v/>
      </c>
      <c r="N813" s="147" t="str">
        <f t="shared" si="2"/>
        <v/>
      </c>
      <c r="O813" s="147" t="str">
        <f t="shared" si="21"/>
        <v/>
      </c>
      <c r="P813" s="147" t="str">
        <f>IFERROR(__xludf.DUMMYFUNCTION("if(C813="""","""",iferror(if(row()&lt;&gt;2,INDEX(arrayformula(filter($Q$2:$Q812,$C$2:$C812&lt;&gt;"""",row($C$2:$C812)=max(if($C$2:$C812=C813,row($C$2:$C812),0)))) ,1),0),0))"),"")</f>
        <v/>
      </c>
      <c r="Q813" s="147" t="str">
        <f t="shared" si="22"/>
        <v/>
      </c>
      <c r="R813" s="147" t="str">
        <f t="shared" si="23"/>
        <v/>
      </c>
      <c r="S813" s="147" t="str">
        <f t="shared" si="24"/>
        <v/>
      </c>
      <c r="T813" s="147" t="str">
        <f t="shared" si="7"/>
        <v/>
      </c>
      <c r="U813" s="150" t="str">
        <f t="shared" si="8"/>
        <v/>
      </c>
      <c r="V813" s="151" t="str">
        <f>IFERROR(VLOOKUP(C813,Ativos!$A$1:$G2000,5,),)</f>
        <v/>
      </c>
    </row>
    <row r="814" ht="21.0" customHeight="1">
      <c r="A814" s="152"/>
      <c r="B814" s="160"/>
      <c r="C814" s="153"/>
      <c r="D814" s="154"/>
      <c r="E814" s="139"/>
      <c r="F814" s="139"/>
      <c r="G814" s="139"/>
      <c r="H814" s="135"/>
      <c r="I814" s="141"/>
      <c r="J814" s="147" t="str">
        <f>IFERROR(__xludf.DUMMYFUNCTION("IF(ISBLANK(A814),IFERROR(1/0),IF(COUNT(FILTER(F:F,A:A=A814))&gt;1,TRUNC(N814*F814/SUM(FILTER(N:N,A:A=A814)),3),F814))"),"")</f>
        <v/>
      </c>
      <c r="K814" s="147" t="str">
        <f>IFERROR(__xludf.DUMMYFUNCTION("IF(ISBLANK(A814),IFERROR(1/0),IF(COUNT(FILTER(G:G,((A:A=A814)*(B:B=""V""))))&gt;1,TRUNC(N814*G814/SUM(FILTER(N:N,((A:A=A814)*(B:B=""V"")))),3),G814))"),"")</f>
        <v/>
      </c>
      <c r="L814" s="148" t="str">
        <f>IFERROR(__xludf.DUMMYFUNCTION("if($C814="""","""",iferror(if(row()&lt;&gt;2,INDEX(arrayformula(filter($M$2:$M813,$C$2:$C813&lt;&gt;"""",row($C$2:$C813)=max(if($C$2:$C813=C814,row($C$2:$C813),0)))) ,1),0),0))"),"")</f>
        <v/>
      </c>
      <c r="M814" s="148" t="str">
        <f t="shared" si="1"/>
        <v/>
      </c>
      <c r="N814" s="147" t="str">
        <f t="shared" si="2"/>
        <v/>
      </c>
      <c r="O814" s="147" t="str">
        <f t="shared" si="21"/>
        <v/>
      </c>
      <c r="P814" s="147" t="str">
        <f>IFERROR(__xludf.DUMMYFUNCTION("if(C814="""","""",iferror(if(row()&lt;&gt;2,INDEX(arrayformula(filter($Q$2:$Q813,$C$2:$C813&lt;&gt;"""",row($C$2:$C813)=max(if($C$2:$C813=C814,row($C$2:$C813),0)))) ,1),0),0))"),"")</f>
        <v/>
      </c>
      <c r="Q814" s="147" t="str">
        <f t="shared" si="22"/>
        <v/>
      </c>
      <c r="R814" s="147" t="str">
        <f t="shared" si="23"/>
        <v/>
      </c>
      <c r="S814" s="147" t="str">
        <f t="shared" si="24"/>
        <v/>
      </c>
      <c r="T814" s="147" t="str">
        <f t="shared" si="7"/>
        <v/>
      </c>
      <c r="U814" s="150" t="str">
        <f t="shared" si="8"/>
        <v/>
      </c>
      <c r="V814" s="151" t="str">
        <f>IFERROR(VLOOKUP(C814,Ativos!$A$1:$G2000,5,),)</f>
        <v/>
      </c>
    </row>
    <row r="815" ht="21.0" customHeight="1">
      <c r="A815" s="152"/>
      <c r="B815" s="160"/>
      <c r="C815" s="153"/>
      <c r="D815" s="154"/>
      <c r="E815" s="139"/>
      <c r="F815" s="139"/>
      <c r="G815" s="139"/>
      <c r="H815" s="135"/>
      <c r="I815" s="141"/>
      <c r="J815" s="147" t="str">
        <f>IFERROR(__xludf.DUMMYFUNCTION("IF(ISBLANK(A815),IFERROR(1/0),IF(COUNT(FILTER(F:F,A:A=A815))&gt;1,TRUNC(N815*F815/SUM(FILTER(N:N,A:A=A815)),3),F815))"),"")</f>
        <v/>
      </c>
      <c r="K815" s="147" t="str">
        <f>IFERROR(__xludf.DUMMYFUNCTION("IF(ISBLANK(A815),IFERROR(1/0),IF(COUNT(FILTER(G:G,((A:A=A815)*(B:B=""V""))))&gt;1,TRUNC(N815*G815/SUM(FILTER(N:N,((A:A=A815)*(B:B=""V"")))),3),G815))"),"")</f>
        <v/>
      </c>
      <c r="L815" s="148" t="str">
        <f>IFERROR(__xludf.DUMMYFUNCTION("if($C815="""","""",iferror(if(row()&lt;&gt;2,INDEX(arrayformula(filter($M$2:$M814,$C$2:$C814&lt;&gt;"""",row($C$2:$C814)=max(if($C$2:$C814=C815,row($C$2:$C814),0)))) ,1),0),0))"),"")</f>
        <v/>
      </c>
      <c r="M815" s="148" t="str">
        <f t="shared" si="1"/>
        <v/>
      </c>
      <c r="N815" s="147" t="str">
        <f t="shared" si="2"/>
        <v/>
      </c>
      <c r="O815" s="147" t="str">
        <f t="shared" si="21"/>
        <v/>
      </c>
      <c r="P815" s="147" t="str">
        <f>IFERROR(__xludf.DUMMYFUNCTION("if(C815="""","""",iferror(if(row()&lt;&gt;2,INDEX(arrayformula(filter($Q$2:$Q814,$C$2:$C814&lt;&gt;"""",row($C$2:$C814)=max(if($C$2:$C814=C815,row($C$2:$C814),0)))) ,1),0),0))"),"")</f>
        <v/>
      </c>
      <c r="Q815" s="147" t="str">
        <f t="shared" si="22"/>
        <v/>
      </c>
      <c r="R815" s="147" t="str">
        <f t="shared" si="23"/>
        <v/>
      </c>
      <c r="S815" s="147" t="str">
        <f t="shared" si="24"/>
        <v/>
      </c>
      <c r="T815" s="147" t="str">
        <f t="shared" si="7"/>
        <v/>
      </c>
      <c r="U815" s="150" t="str">
        <f t="shared" si="8"/>
        <v/>
      </c>
      <c r="V815" s="151" t="str">
        <f>IFERROR(VLOOKUP(C815,Ativos!$A$1:$G2000,5,),)</f>
        <v/>
      </c>
    </row>
    <row r="816" ht="21.0" customHeight="1">
      <c r="A816" s="152"/>
      <c r="B816" s="160"/>
      <c r="C816" s="153"/>
      <c r="D816" s="154"/>
      <c r="E816" s="139"/>
      <c r="F816" s="139"/>
      <c r="G816" s="139"/>
      <c r="H816" s="135"/>
      <c r="I816" s="141"/>
      <c r="J816" s="147" t="str">
        <f>IFERROR(__xludf.DUMMYFUNCTION("IF(ISBLANK(A816),IFERROR(1/0),IF(COUNT(FILTER(F:F,A:A=A816))&gt;1,TRUNC(N816*F816/SUM(FILTER(N:N,A:A=A816)),3),F816))"),"")</f>
        <v/>
      </c>
      <c r="K816" s="147" t="str">
        <f>IFERROR(__xludf.DUMMYFUNCTION("IF(ISBLANK(A816),IFERROR(1/0),IF(COUNT(FILTER(G:G,((A:A=A816)*(B:B=""V""))))&gt;1,TRUNC(N816*G816/SUM(FILTER(N:N,((A:A=A816)*(B:B=""V"")))),3),G816))"),"")</f>
        <v/>
      </c>
      <c r="L816" s="148" t="str">
        <f>IFERROR(__xludf.DUMMYFUNCTION("if($C816="""","""",iferror(if(row()&lt;&gt;2,INDEX(arrayformula(filter($M$2:$M815,$C$2:$C815&lt;&gt;"""",row($C$2:$C815)=max(if($C$2:$C815=C816,row($C$2:$C815),0)))) ,1),0),0))"),"")</f>
        <v/>
      </c>
      <c r="M816" s="148" t="str">
        <f t="shared" si="1"/>
        <v/>
      </c>
      <c r="N816" s="147" t="str">
        <f t="shared" si="2"/>
        <v/>
      </c>
      <c r="O816" s="147" t="str">
        <f t="shared" si="21"/>
        <v/>
      </c>
      <c r="P816" s="147" t="str">
        <f>IFERROR(__xludf.DUMMYFUNCTION("if(C816="""","""",iferror(if(row()&lt;&gt;2,INDEX(arrayformula(filter($Q$2:$Q815,$C$2:$C815&lt;&gt;"""",row($C$2:$C815)=max(if($C$2:$C815=C816,row($C$2:$C815),0)))) ,1),0),0))"),"")</f>
        <v/>
      </c>
      <c r="Q816" s="147" t="str">
        <f t="shared" si="22"/>
        <v/>
      </c>
      <c r="R816" s="147" t="str">
        <f t="shared" si="23"/>
        <v/>
      </c>
      <c r="S816" s="147" t="str">
        <f t="shared" si="24"/>
        <v/>
      </c>
      <c r="T816" s="147" t="str">
        <f t="shared" si="7"/>
        <v/>
      </c>
      <c r="U816" s="150" t="str">
        <f t="shared" si="8"/>
        <v/>
      </c>
      <c r="V816" s="151" t="str">
        <f>IFERROR(VLOOKUP(C816,Ativos!$A$1:$G2000,5,),)</f>
        <v/>
      </c>
    </row>
    <row r="817" ht="21.0" customHeight="1">
      <c r="A817" s="152"/>
      <c r="B817" s="160"/>
      <c r="C817" s="153"/>
      <c r="D817" s="154"/>
      <c r="E817" s="139"/>
      <c r="F817" s="139"/>
      <c r="G817" s="139"/>
      <c r="H817" s="135"/>
      <c r="I817" s="141"/>
      <c r="J817" s="147" t="str">
        <f>IFERROR(__xludf.DUMMYFUNCTION("IF(ISBLANK(A817),IFERROR(1/0),IF(COUNT(FILTER(F:F,A:A=A817))&gt;1,TRUNC(N817*F817/SUM(FILTER(N:N,A:A=A817)),3),F817))"),"")</f>
        <v/>
      </c>
      <c r="K817" s="147" t="str">
        <f>IFERROR(__xludf.DUMMYFUNCTION("IF(ISBLANK(A817),IFERROR(1/0),IF(COUNT(FILTER(G:G,((A:A=A817)*(B:B=""V""))))&gt;1,TRUNC(N817*G817/SUM(FILTER(N:N,((A:A=A817)*(B:B=""V"")))),3),G817))"),"")</f>
        <v/>
      </c>
      <c r="L817" s="148" t="str">
        <f>IFERROR(__xludf.DUMMYFUNCTION("if($C817="""","""",iferror(if(row()&lt;&gt;2,INDEX(arrayformula(filter($M$2:$M816,$C$2:$C816&lt;&gt;"""",row($C$2:$C816)=max(if($C$2:$C816=C817,row($C$2:$C816),0)))) ,1),0),0))"),"")</f>
        <v/>
      </c>
      <c r="M817" s="148" t="str">
        <f t="shared" si="1"/>
        <v/>
      </c>
      <c r="N817" s="147" t="str">
        <f t="shared" si="2"/>
        <v/>
      </c>
      <c r="O817" s="147" t="str">
        <f t="shared" si="21"/>
        <v/>
      </c>
      <c r="P817" s="147" t="str">
        <f>IFERROR(__xludf.DUMMYFUNCTION("if(C817="""","""",iferror(if(row()&lt;&gt;2,INDEX(arrayformula(filter($Q$2:$Q816,$C$2:$C816&lt;&gt;"""",row($C$2:$C816)=max(if($C$2:$C816=C817,row($C$2:$C816),0)))) ,1),0),0))"),"")</f>
        <v/>
      </c>
      <c r="Q817" s="147" t="str">
        <f t="shared" si="22"/>
        <v/>
      </c>
      <c r="R817" s="147" t="str">
        <f t="shared" si="23"/>
        <v/>
      </c>
      <c r="S817" s="147" t="str">
        <f t="shared" si="24"/>
        <v/>
      </c>
      <c r="T817" s="147" t="str">
        <f t="shared" si="7"/>
        <v/>
      </c>
      <c r="U817" s="150" t="str">
        <f t="shared" si="8"/>
        <v/>
      </c>
      <c r="V817" s="151" t="str">
        <f>IFERROR(VLOOKUP(C817,Ativos!$A$1:$G2000,5,),)</f>
        <v/>
      </c>
    </row>
    <row r="818" ht="21.0" customHeight="1">
      <c r="A818" s="152"/>
      <c r="B818" s="160"/>
      <c r="C818" s="153"/>
      <c r="D818" s="154"/>
      <c r="E818" s="139"/>
      <c r="F818" s="139"/>
      <c r="G818" s="139"/>
      <c r="H818" s="135"/>
      <c r="I818" s="141"/>
      <c r="J818" s="147" t="str">
        <f>IFERROR(__xludf.DUMMYFUNCTION("IF(ISBLANK(A818),IFERROR(1/0),IF(COUNT(FILTER(F:F,A:A=A818))&gt;1,TRUNC(N818*F818/SUM(FILTER(N:N,A:A=A818)),3),F818))"),"")</f>
        <v/>
      </c>
      <c r="K818" s="147" t="str">
        <f>IFERROR(__xludf.DUMMYFUNCTION("IF(ISBLANK(A818),IFERROR(1/0),IF(COUNT(FILTER(G:G,((A:A=A818)*(B:B=""V""))))&gt;1,TRUNC(N818*G818/SUM(FILTER(N:N,((A:A=A818)*(B:B=""V"")))),3),G818))"),"")</f>
        <v/>
      </c>
      <c r="L818" s="148" t="str">
        <f>IFERROR(__xludf.DUMMYFUNCTION("if($C818="""","""",iferror(if(row()&lt;&gt;2,INDEX(arrayformula(filter($M$2:$M817,$C$2:$C817&lt;&gt;"""",row($C$2:$C817)=max(if($C$2:$C817=C818,row($C$2:$C817),0)))) ,1),0),0))"),"")</f>
        <v/>
      </c>
      <c r="M818" s="148" t="str">
        <f t="shared" si="1"/>
        <v/>
      </c>
      <c r="N818" s="147" t="str">
        <f t="shared" si="2"/>
        <v/>
      </c>
      <c r="O818" s="147" t="str">
        <f t="shared" si="21"/>
        <v/>
      </c>
      <c r="P818" s="147" t="str">
        <f>IFERROR(__xludf.DUMMYFUNCTION("if(C818="""","""",iferror(if(row()&lt;&gt;2,INDEX(arrayformula(filter($Q$2:$Q817,$C$2:$C817&lt;&gt;"""",row($C$2:$C817)=max(if($C$2:$C817=C818,row($C$2:$C817),0)))) ,1),0),0))"),"")</f>
        <v/>
      </c>
      <c r="Q818" s="147" t="str">
        <f t="shared" si="22"/>
        <v/>
      </c>
      <c r="R818" s="147" t="str">
        <f t="shared" si="23"/>
        <v/>
      </c>
      <c r="S818" s="147" t="str">
        <f t="shared" si="24"/>
        <v/>
      </c>
      <c r="T818" s="147" t="str">
        <f t="shared" si="7"/>
        <v/>
      </c>
      <c r="U818" s="150" t="str">
        <f t="shared" si="8"/>
        <v/>
      </c>
      <c r="V818" s="151" t="str">
        <f>IFERROR(VLOOKUP(C818,Ativos!$A$1:$G2000,5,),)</f>
        <v/>
      </c>
    </row>
    <row r="819" ht="21.0" customHeight="1">
      <c r="A819" s="152"/>
      <c r="B819" s="160"/>
      <c r="C819" s="153"/>
      <c r="D819" s="154"/>
      <c r="E819" s="139"/>
      <c r="F819" s="139"/>
      <c r="G819" s="139"/>
      <c r="H819" s="135"/>
      <c r="I819" s="141"/>
      <c r="J819" s="147" t="str">
        <f>IFERROR(__xludf.DUMMYFUNCTION("IF(ISBLANK(A819),IFERROR(1/0),IF(COUNT(FILTER(F:F,A:A=A819))&gt;1,TRUNC(N819*F819/SUM(FILTER(N:N,A:A=A819)),3),F819))"),"")</f>
        <v/>
      </c>
      <c r="K819" s="147" t="str">
        <f>IFERROR(__xludf.DUMMYFUNCTION("IF(ISBLANK(A819),IFERROR(1/0),IF(COUNT(FILTER(G:G,((A:A=A819)*(B:B=""V""))))&gt;1,TRUNC(N819*G819/SUM(FILTER(N:N,((A:A=A819)*(B:B=""V"")))),3),G819))"),"")</f>
        <v/>
      </c>
      <c r="L819" s="148" t="str">
        <f>IFERROR(__xludf.DUMMYFUNCTION("if($C819="""","""",iferror(if(row()&lt;&gt;2,INDEX(arrayformula(filter($M$2:$M818,$C$2:$C818&lt;&gt;"""",row($C$2:$C818)=max(if($C$2:$C818=C819,row($C$2:$C818),0)))) ,1),0),0))"),"")</f>
        <v/>
      </c>
      <c r="M819" s="148" t="str">
        <f t="shared" si="1"/>
        <v/>
      </c>
      <c r="N819" s="147" t="str">
        <f t="shared" si="2"/>
        <v/>
      </c>
      <c r="O819" s="147" t="str">
        <f t="shared" si="21"/>
        <v/>
      </c>
      <c r="P819" s="147" t="str">
        <f>IFERROR(__xludf.DUMMYFUNCTION("if(C819="""","""",iferror(if(row()&lt;&gt;2,INDEX(arrayformula(filter($Q$2:$Q818,$C$2:$C818&lt;&gt;"""",row($C$2:$C818)=max(if($C$2:$C818=C819,row($C$2:$C818),0)))) ,1),0),0))"),"")</f>
        <v/>
      </c>
      <c r="Q819" s="147" t="str">
        <f t="shared" si="22"/>
        <v/>
      </c>
      <c r="R819" s="147" t="str">
        <f t="shared" si="23"/>
        <v/>
      </c>
      <c r="S819" s="147" t="str">
        <f t="shared" si="24"/>
        <v/>
      </c>
      <c r="T819" s="147" t="str">
        <f t="shared" si="7"/>
        <v/>
      </c>
      <c r="U819" s="150" t="str">
        <f t="shared" si="8"/>
        <v/>
      </c>
      <c r="V819" s="151" t="str">
        <f>IFERROR(VLOOKUP(C819,Ativos!$A$1:$G2000,5,),)</f>
        <v/>
      </c>
    </row>
    <row r="820" ht="21.0" customHeight="1">
      <c r="A820" s="152"/>
      <c r="B820" s="160"/>
      <c r="C820" s="153"/>
      <c r="D820" s="154"/>
      <c r="E820" s="139"/>
      <c r="F820" s="139"/>
      <c r="G820" s="139"/>
      <c r="H820" s="135"/>
      <c r="I820" s="141"/>
      <c r="J820" s="147" t="str">
        <f>IFERROR(__xludf.DUMMYFUNCTION("IF(ISBLANK(A820),IFERROR(1/0),IF(COUNT(FILTER(F:F,A:A=A820))&gt;1,TRUNC(N820*F820/SUM(FILTER(N:N,A:A=A820)),3),F820))"),"")</f>
        <v/>
      </c>
      <c r="K820" s="147" t="str">
        <f>IFERROR(__xludf.DUMMYFUNCTION("IF(ISBLANK(A820),IFERROR(1/0),IF(COUNT(FILTER(G:G,((A:A=A820)*(B:B=""V""))))&gt;1,TRUNC(N820*G820/SUM(FILTER(N:N,((A:A=A820)*(B:B=""V"")))),3),G820))"),"")</f>
        <v/>
      </c>
      <c r="L820" s="148" t="str">
        <f>IFERROR(__xludf.DUMMYFUNCTION("if($C820="""","""",iferror(if(row()&lt;&gt;2,INDEX(arrayformula(filter($M$2:$M819,$C$2:$C819&lt;&gt;"""",row($C$2:$C819)=max(if($C$2:$C819=C820,row($C$2:$C819),0)))) ,1),0),0))"),"")</f>
        <v/>
      </c>
      <c r="M820" s="148" t="str">
        <f t="shared" si="1"/>
        <v/>
      </c>
      <c r="N820" s="147" t="str">
        <f t="shared" si="2"/>
        <v/>
      </c>
      <c r="O820" s="147" t="str">
        <f t="shared" si="21"/>
        <v/>
      </c>
      <c r="P820" s="147" t="str">
        <f>IFERROR(__xludf.DUMMYFUNCTION("if(C820="""","""",iferror(if(row()&lt;&gt;2,INDEX(arrayformula(filter($Q$2:$Q819,$C$2:$C819&lt;&gt;"""",row($C$2:$C819)=max(if($C$2:$C819=C820,row($C$2:$C819),0)))) ,1),0),0))"),"")</f>
        <v/>
      </c>
      <c r="Q820" s="147" t="str">
        <f t="shared" si="22"/>
        <v/>
      </c>
      <c r="R820" s="147" t="str">
        <f t="shared" si="23"/>
        <v/>
      </c>
      <c r="S820" s="147" t="str">
        <f t="shared" si="24"/>
        <v/>
      </c>
      <c r="T820" s="147" t="str">
        <f t="shared" si="7"/>
        <v/>
      </c>
      <c r="U820" s="150" t="str">
        <f t="shared" si="8"/>
        <v/>
      </c>
      <c r="V820" s="151" t="str">
        <f>IFERROR(VLOOKUP(C820,Ativos!$A$1:$G2000,5,),)</f>
        <v/>
      </c>
    </row>
    <row r="821" ht="21.0" customHeight="1">
      <c r="A821" s="152"/>
      <c r="B821" s="160"/>
      <c r="C821" s="153"/>
      <c r="D821" s="154"/>
      <c r="E821" s="139"/>
      <c r="F821" s="139"/>
      <c r="G821" s="139"/>
      <c r="H821" s="135"/>
      <c r="I821" s="141"/>
      <c r="J821" s="147" t="str">
        <f>IFERROR(__xludf.DUMMYFUNCTION("IF(ISBLANK(A821),IFERROR(1/0),IF(COUNT(FILTER(F:F,A:A=A821))&gt;1,TRUNC(N821*F821/SUM(FILTER(N:N,A:A=A821)),3),F821))"),"")</f>
        <v/>
      </c>
      <c r="K821" s="147" t="str">
        <f>IFERROR(__xludf.DUMMYFUNCTION("IF(ISBLANK(A821),IFERROR(1/0),IF(COUNT(FILTER(G:G,((A:A=A821)*(B:B=""V""))))&gt;1,TRUNC(N821*G821/SUM(FILTER(N:N,((A:A=A821)*(B:B=""V"")))),3),G821))"),"")</f>
        <v/>
      </c>
      <c r="L821" s="148" t="str">
        <f>IFERROR(__xludf.DUMMYFUNCTION("if($C821="""","""",iferror(if(row()&lt;&gt;2,INDEX(arrayformula(filter($M$2:$M820,$C$2:$C820&lt;&gt;"""",row($C$2:$C820)=max(if($C$2:$C820=C821,row($C$2:$C820),0)))) ,1),0),0))"),"")</f>
        <v/>
      </c>
      <c r="M821" s="148" t="str">
        <f t="shared" si="1"/>
        <v/>
      </c>
      <c r="N821" s="147" t="str">
        <f t="shared" si="2"/>
        <v/>
      </c>
      <c r="O821" s="147" t="str">
        <f t="shared" si="21"/>
        <v/>
      </c>
      <c r="P821" s="147" t="str">
        <f>IFERROR(__xludf.DUMMYFUNCTION("if(C821="""","""",iferror(if(row()&lt;&gt;2,INDEX(arrayformula(filter($Q$2:$Q820,$C$2:$C820&lt;&gt;"""",row($C$2:$C820)=max(if($C$2:$C820=C821,row($C$2:$C820),0)))) ,1),0),0))"),"")</f>
        <v/>
      </c>
      <c r="Q821" s="147" t="str">
        <f t="shared" si="22"/>
        <v/>
      </c>
      <c r="R821" s="147" t="str">
        <f t="shared" si="23"/>
        <v/>
      </c>
      <c r="S821" s="147" t="str">
        <f t="shared" si="24"/>
        <v/>
      </c>
      <c r="T821" s="147" t="str">
        <f t="shared" si="7"/>
        <v/>
      </c>
      <c r="U821" s="150" t="str">
        <f t="shared" si="8"/>
        <v/>
      </c>
      <c r="V821" s="151" t="str">
        <f>IFERROR(VLOOKUP(C821,Ativos!$A$1:$G2000,5,),)</f>
        <v/>
      </c>
    </row>
    <row r="822" ht="21.0" customHeight="1">
      <c r="A822" s="152"/>
      <c r="B822" s="160"/>
      <c r="C822" s="153"/>
      <c r="D822" s="154"/>
      <c r="E822" s="139"/>
      <c r="F822" s="139"/>
      <c r="G822" s="139"/>
      <c r="H822" s="135"/>
      <c r="I822" s="141"/>
      <c r="J822" s="147" t="str">
        <f>IFERROR(__xludf.DUMMYFUNCTION("IF(ISBLANK(A822),IFERROR(1/0),IF(COUNT(FILTER(F:F,A:A=A822))&gt;1,TRUNC(N822*F822/SUM(FILTER(N:N,A:A=A822)),3),F822))"),"")</f>
        <v/>
      </c>
      <c r="K822" s="147" t="str">
        <f>IFERROR(__xludf.DUMMYFUNCTION("IF(ISBLANK(A822),IFERROR(1/0),IF(COUNT(FILTER(G:G,((A:A=A822)*(B:B=""V""))))&gt;1,TRUNC(N822*G822/SUM(FILTER(N:N,((A:A=A822)*(B:B=""V"")))),3),G822))"),"")</f>
        <v/>
      </c>
      <c r="L822" s="148" t="str">
        <f>IFERROR(__xludf.DUMMYFUNCTION("if($C822="""","""",iferror(if(row()&lt;&gt;2,INDEX(arrayformula(filter($M$2:$M821,$C$2:$C821&lt;&gt;"""",row($C$2:$C821)=max(if($C$2:$C821=C822,row($C$2:$C821),0)))) ,1),0),0))"),"")</f>
        <v/>
      </c>
      <c r="M822" s="148" t="str">
        <f t="shared" si="1"/>
        <v/>
      </c>
      <c r="N822" s="147" t="str">
        <f t="shared" si="2"/>
        <v/>
      </c>
      <c r="O822" s="147" t="str">
        <f t="shared" si="21"/>
        <v/>
      </c>
      <c r="P822" s="147" t="str">
        <f>IFERROR(__xludf.DUMMYFUNCTION("if(C822="""","""",iferror(if(row()&lt;&gt;2,INDEX(arrayformula(filter($Q$2:$Q821,$C$2:$C821&lt;&gt;"""",row($C$2:$C821)=max(if($C$2:$C821=C822,row($C$2:$C821),0)))) ,1),0),0))"),"")</f>
        <v/>
      </c>
      <c r="Q822" s="147" t="str">
        <f t="shared" si="22"/>
        <v/>
      </c>
      <c r="R822" s="147" t="str">
        <f t="shared" si="23"/>
        <v/>
      </c>
      <c r="S822" s="147" t="str">
        <f t="shared" si="24"/>
        <v/>
      </c>
      <c r="T822" s="147" t="str">
        <f t="shared" si="7"/>
        <v/>
      </c>
      <c r="U822" s="150" t="str">
        <f t="shared" si="8"/>
        <v/>
      </c>
      <c r="V822" s="151" t="str">
        <f>IFERROR(VLOOKUP(C822,Ativos!$A$1:$G2000,5,),)</f>
        <v/>
      </c>
    </row>
    <row r="823" ht="21.0" customHeight="1">
      <c r="A823" s="152"/>
      <c r="B823" s="160"/>
      <c r="C823" s="153"/>
      <c r="D823" s="154"/>
      <c r="E823" s="139"/>
      <c r="F823" s="139"/>
      <c r="G823" s="139"/>
      <c r="H823" s="135"/>
      <c r="I823" s="141"/>
      <c r="J823" s="147" t="str">
        <f>IFERROR(__xludf.DUMMYFUNCTION("IF(ISBLANK(A823),IFERROR(1/0),IF(COUNT(FILTER(F:F,A:A=A823))&gt;1,TRUNC(N823*F823/SUM(FILTER(N:N,A:A=A823)),3),F823))"),"")</f>
        <v/>
      </c>
      <c r="K823" s="147" t="str">
        <f>IFERROR(__xludf.DUMMYFUNCTION("IF(ISBLANK(A823),IFERROR(1/0),IF(COUNT(FILTER(G:G,((A:A=A823)*(B:B=""V""))))&gt;1,TRUNC(N823*G823/SUM(FILTER(N:N,((A:A=A823)*(B:B=""V"")))),3),G823))"),"")</f>
        <v/>
      </c>
      <c r="L823" s="148" t="str">
        <f>IFERROR(__xludf.DUMMYFUNCTION("if($C823="""","""",iferror(if(row()&lt;&gt;2,INDEX(arrayformula(filter($M$2:$M822,$C$2:$C822&lt;&gt;"""",row($C$2:$C822)=max(if($C$2:$C822=C823,row($C$2:$C822),0)))) ,1),0),0))"),"")</f>
        <v/>
      </c>
      <c r="M823" s="148" t="str">
        <f t="shared" si="1"/>
        <v/>
      </c>
      <c r="N823" s="147" t="str">
        <f t="shared" si="2"/>
        <v/>
      </c>
      <c r="O823" s="147" t="str">
        <f t="shared" si="21"/>
        <v/>
      </c>
      <c r="P823" s="147" t="str">
        <f>IFERROR(__xludf.DUMMYFUNCTION("if(C823="""","""",iferror(if(row()&lt;&gt;2,INDEX(arrayformula(filter($Q$2:$Q822,$C$2:$C822&lt;&gt;"""",row($C$2:$C822)=max(if($C$2:$C822=C823,row($C$2:$C822),0)))) ,1),0),0))"),"")</f>
        <v/>
      </c>
      <c r="Q823" s="147" t="str">
        <f t="shared" si="22"/>
        <v/>
      </c>
      <c r="R823" s="147" t="str">
        <f t="shared" si="23"/>
        <v/>
      </c>
      <c r="S823" s="147" t="str">
        <f t="shared" si="24"/>
        <v/>
      </c>
      <c r="T823" s="147" t="str">
        <f t="shared" si="7"/>
        <v/>
      </c>
      <c r="U823" s="150" t="str">
        <f t="shared" si="8"/>
        <v/>
      </c>
      <c r="V823" s="151" t="str">
        <f>IFERROR(VLOOKUP(C823,Ativos!$A$1:$G2000,5,),)</f>
        <v/>
      </c>
    </row>
    <row r="824" ht="21.0" customHeight="1">
      <c r="A824" s="152"/>
      <c r="B824" s="160"/>
      <c r="C824" s="153"/>
      <c r="D824" s="154"/>
      <c r="E824" s="139"/>
      <c r="F824" s="139"/>
      <c r="G824" s="139"/>
      <c r="H824" s="135"/>
      <c r="I824" s="141"/>
      <c r="J824" s="147" t="str">
        <f>IFERROR(__xludf.DUMMYFUNCTION("IF(ISBLANK(A824),IFERROR(1/0),IF(COUNT(FILTER(F:F,A:A=A824))&gt;1,TRUNC(N824*F824/SUM(FILTER(N:N,A:A=A824)),3),F824))"),"")</f>
        <v/>
      </c>
      <c r="K824" s="147" t="str">
        <f>IFERROR(__xludf.DUMMYFUNCTION("IF(ISBLANK(A824),IFERROR(1/0),IF(COUNT(FILTER(G:G,((A:A=A824)*(B:B=""V""))))&gt;1,TRUNC(N824*G824/SUM(FILTER(N:N,((A:A=A824)*(B:B=""V"")))),3),G824))"),"")</f>
        <v/>
      </c>
      <c r="L824" s="148" t="str">
        <f>IFERROR(__xludf.DUMMYFUNCTION("if($C824="""","""",iferror(if(row()&lt;&gt;2,INDEX(arrayformula(filter($M$2:$M823,$C$2:$C823&lt;&gt;"""",row($C$2:$C823)=max(if($C$2:$C823=C824,row($C$2:$C823),0)))) ,1),0),0))"),"")</f>
        <v/>
      </c>
      <c r="M824" s="148" t="str">
        <f t="shared" si="1"/>
        <v/>
      </c>
      <c r="N824" s="147" t="str">
        <f t="shared" si="2"/>
        <v/>
      </c>
      <c r="O824" s="147" t="str">
        <f t="shared" si="21"/>
        <v/>
      </c>
      <c r="P824" s="147" t="str">
        <f>IFERROR(__xludf.DUMMYFUNCTION("if(C824="""","""",iferror(if(row()&lt;&gt;2,INDEX(arrayformula(filter($Q$2:$Q823,$C$2:$C823&lt;&gt;"""",row($C$2:$C823)=max(if($C$2:$C823=C824,row($C$2:$C823),0)))) ,1),0),0))"),"")</f>
        <v/>
      </c>
      <c r="Q824" s="147" t="str">
        <f t="shared" si="22"/>
        <v/>
      </c>
      <c r="R824" s="147" t="str">
        <f t="shared" si="23"/>
        <v/>
      </c>
      <c r="S824" s="147" t="str">
        <f t="shared" si="24"/>
        <v/>
      </c>
      <c r="T824" s="147" t="str">
        <f t="shared" si="7"/>
        <v/>
      </c>
      <c r="U824" s="150" t="str">
        <f t="shared" si="8"/>
        <v/>
      </c>
      <c r="V824" s="151" t="str">
        <f>IFERROR(VLOOKUP(C824,Ativos!$A$1:$G2000,5,),)</f>
        <v/>
      </c>
    </row>
    <row r="825" ht="21.0" customHeight="1">
      <c r="A825" s="152"/>
      <c r="B825" s="160"/>
      <c r="C825" s="153"/>
      <c r="D825" s="154"/>
      <c r="E825" s="139"/>
      <c r="F825" s="139"/>
      <c r="G825" s="139"/>
      <c r="H825" s="135"/>
      <c r="I825" s="141"/>
      <c r="J825" s="147" t="str">
        <f>IFERROR(__xludf.DUMMYFUNCTION("IF(ISBLANK(A825),IFERROR(1/0),IF(COUNT(FILTER(F:F,A:A=A825))&gt;1,TRUNC(N825*F825/SUM(FILTER(N:N,A:A=A825)),3),F825))"),"")</f>
        <v/>
      </c>
      <c r="K825" s="147" t="str">
        <f>IFERROR(__xludf.DUMMYFUNCTION("IF(ISBLANK(A825),IFERROR(1/0),IF(COUNT(FILTER(G:G,((A:A=A825)*(B:B=""V""))))&gt;1,TRUNC(N825*G825/SUM(FILTER(N:N,((A:A=A825)*(B:B=""V"")))),3),G825))"),"")</f>
        <v/>
      </c>
      <c r="L825" s="148" t="str">
        <f>IFERROR(__xludf.DUMMYFUNCTION("if($C825="""","""",iferror(if(row()&lt;&gt;2,INDEX(arrayformula(filter($M$2:$M824,$C$2:$C824&lt;&gt;"""",row($C$2:$C824)=max(if($C$2:$C824=C825,row($C$2:$C824),0)))) ,1),0),0))"),"")</f>
        <v/>
      </c>
      <c r="M825" s="148" t="str">
        <f t="shared" si="1"/>
        <v/>
      </c>
      <c r="N825" s="147" t="str">
        <f t="shared" si="2"/>
        <v/>
      </c>
      <c r="O825" s="147" t="str">
        <f t="shared" si="21"/>
        <v/>
      </c>
      <c r="P825" s="147" t="str">
        <f>IFERROR(__xludf.DUMMYFUNCTION("if(C825="""","""",iferror(if(row()&lt;&gt;2,INDEX(arrayformula(filter($Q$2:$Q824,$C$2:$C824&lt;&gt;"""",row($C$2:$C824)=max(if($C$2:$C824=C825,row($C$2:$C824),0)))) ,1),0),0))"),"")</f>
        <v/>
      </c>
      <c r="Q825" s="147" t="str">
        <f t="shared" si="22"/>
        <v/>
      </c>
      <c r="R825" s="147" t="str">
        <f t="shared" si="23"/>
        <v/>
      </c>
      <c r="S825" s="147" t="str">
        <f t="shared" si="24"/>
        <v/>
      </c>
      <c r="T825" s="147" t="str">
        <f t="shared" si="7"/>
        <v/>
      </c>
      <c r="U825" s="150" t="str">
        <f t="shared" si="8"/>
        <v/>
      </c>
      <c r="V825" s="151" t="str">
        <f>IFERROR(VLOOKUP(C825,Ativos!$A$1:$G2000,5,),)</f>
        <v/>
      </c>
    </row>
    <row r="826" ht="21.0" customHeight="1">
      <c r="A826" s="152"/>
      <c r="B826" s="160"/>
      <c r="C826" s="153"/>
      <c r="D826" s="154"/>
      <c r="E826" s="139"/>
      <c r="F826" s="139"/>
      <c r="G826" s="139"/>
      <c r="H826" s="135"/>
      <c r="I826" s="141"/>
      <c r="J826" s="147" t="str">
        <f>IFERROR(__xludf.DUMMYFUNCTION("IF(ISBLANK(A826),IFERROR(1/0),IF(COUNT(FILTER(F:F,A:A=A826))&gt;1,TRUNC(N826*F826/SUM(FILTER(N:N,A:A=A826)),3),F826))"),"")</f>
        <v/>
      </c>
      <c r="K826" s="147" t="str">
        <f>IFERROR(__xludf.DUMMYFUNCTION("IF(ISBLANK(A826),IFERROR(1/0),IF(COUNT(FILTER(G:G,((A:A=A826)*(B:B=""V""))))&gt;1,TRUNC(N826*G826/SUM(FILTER(N:N,((A:A=A826)*(B:B=""V"")))),3),G826))"),"")</f>
        <v/>
      </c>
      <c r="L826" s="148" t="str">
        <f>IFERROR(__xludf.DUMMYFUNCTION("if($C826="""","""",iferror(if(row()&lt;&gt;2,INDEX(arrayformula(filter($M$2:$M825,$C$2:$C825&lt;&gt;"""",row($C$2:$C825)=max(if($C$2:$C825=C826,row($C$2:$C825),0)))) ,1),0),0))"),"")</f>
        <v/>
      </c>
      <c r="M826" s="148" t="str">
        <f t="shared" si="1"/>
        <v/>
      </c>
      <c r="N826" s="147" t="str">
        <f t="shared" si="2"/>
        <v/>
      </c>
      <c r="O826" s="147" t="str">
        <f t="shared" si="21"/>
        <v/>
      </c>
      <c r="P826" s="147" t="str">
        <f>IFERROR(__xludf.DUMMYFUNCTION("if(C826="""","""",iferror(if(row()&lt;&gt;2,INDEX(arrayformula(filter($Q$2:$Q825,$C$2:$C825&lt;&gt;"""",row($C$2:$C825)=max(if($C$2:$C825=C826,row($C$2:$C825),0)))) ,1),0),0))"),"")</f>
        <v/>
      </c>
      <c r="Q826" s="147" t="str">
        <f t="shared" si="22"/>
        <v/>
      </c>
      <c r="R826" s="147" t="str">
        <f t="shared" si="23"/>
        <v/>
      </c>
      <c r="S826" s="147" t="str">
        <f t="shared" si="24"/>
        <v/>
      </c>
      <c r="T826" s="147" t="str">
        <f t="shared" si="7"/>
        <v/>
      </c>
      <c r="U826" s="150" t="str">
        <f t="shared" si="8"/>
        <v/>
      </c>
      <c r="V826" s="151" t="str">
        <f>IFERROR(VLOOKUP(C826,Ativos!$A$1:$G2000,5,),)</f>
        <v/>
      </c>
    </row>
    <row r="827" ht="21.0" customHeight="1">
      <c r="A827" s="152"/>
      <c r="B827" s="160"/>
      <c r="C827" s="153"/>
      <c r="D827" s="154"/>
      <c r="E827" s="139"/>
      <c r="F827" s="139"/>
      <c r="G827" s="139"/>
      <c r="H827" s="135"/>
      <c r="I827" s="141"/>
      <c r="J827" s="147" t="str">
        <f>IFERROR(__xludf.DUMMYFUNCTION("IF(ISBLANK(A827),IFERROR(1/0),IF(COUNT(FILTER(F:F,A:A=A827))&gt;1,TRUNC(N827*F827/SUM(FILTER(N:N,A:A=A827)),3),F827))"),"")</f>
        <v/>
      </c>
      <c r="K827" s="147" t="str">
        <f>IFERROR(__xludf.DUMMYFUNCTION("IF(ISBLANK(A827),IFERROR(1/0),IF(COUNT(FILTER(G:G,((A:A=A827)*(B:B=""V""))))&gt;1,TRUNC(N827*G827/SUM(FILTER(N:N,((A:A=A827)*(B:B=""V"")))),3),G827))"),"")</f>
        <v/>
      </c>
      <c r="L827" s="148" t="str">
        <f>IFERROR(__xludf.DUMMYFUNCTION("if($C827="""","""",iferror(if(row()&lt;&gt;2,INDEX(arrayformula(filter($M$2:$M826,$C$2:$C826&lt;&gt;"""",row($C$2:$C826)=max(if($C$2:$C826=C827,row($C$2:$C826),0)))) ,1),0),0))"),"")</f>
        <v/>
      </c>
      <c r="M827" s="148" t="str">
        <f t="shared" si="1"/>
        <v/>
      </c>
      <c r="N827" s="147" t="str">
        <f t="shared" si="2"/>
        <v/>
      </c>
      <c r="O827" s="147" t="str">
        <f t="shared" si="21"/>
        <v/>
      </c>
      <c r="P827" s="147" t="str">
        <f>IFERROR(__xludf.DUMMYFUNCTION("if(C827="""","""",iferror(if(row()&lt;&gt;2,INDEX(arrayformula(filter($Q$2:$Q826,$C$2:$C826&lt;&gt;"""",row($C$2:$C826)=max(if($C$2:$C826=C827,row($C$2:$C826),0)))) ,1),0),0))"),"")</f>
        <v/>
      </c>
      <c r="Q827" s="147" t="str">
        <f t="shared" si="22"/>
        <v/>
      </c>
      <c r="R827" s="147" t="str">
        <f t="shared" si="23"/>
        <v/>
      </c>
      <c r="S827" s="147" t="str">
        <f t="shared" si="24"/>
        <v/>
      </c>
      <c r="T827" s="147" t="str">
        <f t="shared" si="7"/>
        <v/>
      </c>
      <c r="U827" s="150" t="str">
        <f t="shared" si="8"/>
        <v/>
      </c>
      <c r="V827" s="151" t="str">
        <f>IFERROR(VLOOKUP(C827,Ativos!$A$1:$G2000,5,),)</f>
        <v/>
      </c>
    </row>
    <row r="828" ht="21.0" customHeight="1">
      <c r="A828" s="152"/>
      <c r="B828" s="160"/>
      <c r="C828" s="153"/>
      <c r="D828" s="154"/>
      <c r="E828" s="139"/>
      <c r="F828" s="139"/>
      <c r="G828" s="139"/>
      <c r="H828" s="135"/>
      <c r="I828" s="141"/>
      <c r="J828" s="147" t="str">
        <f>IFERROR(__xludf.DUMMYFUNCTION("IF(ISBLANK(A828),IFERROR(1/0),IF(COUNT(FILTER(F:F,A:A=A828))&gt;1,TRUNC(N828*F828/SUM(FILTER(N:N,A:A=A828)),3),F828))"),"")</f>
        <v/>
      </c>
      <c r="K828" s="147" t="str">
        <f>IFERROR(__xludf.DUMMYFUNCTION("IF(ISBLANK(A828),IFERROR(1/0),IF(COUNT(FILTER(G:G,((A:A=A828)*(B:B=""V""))))&gt;1,TRUNC(N828*G828/SUM(FILTER(N:N,((A:A=A828)*(B:B=""V"")))),3),G828))"),"")</f>
        <v/>
      </c>
      <c r="L828" s="148" t="str">
        <f>IFERROR(__xludf.DUMMYFUNCTION("if($C828="""","""",iferror(if(row()&lt;&gt;2,INDEX(arrayformula(filter($M$2:$M827,$C$2:$C827&lt;&gt;"""",row($C$2:$C827)=max(if($C$2:$C827=C828,row($C$2:$C827),0)))) ,1),0),0))"),"")</f>
        <v/>
      </c>
      <c r="M828" s="148" t="str">
        <f t="shared" si="1"/>
        <v/>
      </c>
      <c r="N828" s="147" t="str">
        <f t="shared" si="2"/>
        <v/>
      </c>
      <c r="O828" s="147" t="str">
        <f t="shared" si="21"/>
        <v/>
      </c>
      <c r="P828" s="147" t="str">
        <f>IFERROR(__xludf.DUMMYFUNCTION("if(C828="""","""",iferror(if(row()&lt;&gt;2,INDEX(arrayformula(filter($Q$2:$Q827,$C$2:$C827&lt;&gt;"""",row($C$2:$C827)=max(if($C$2:$C827=C828,row($C$2:$C827),0)))) ,1),0),0))"),"")</f>
        <v/>
      </c>
      <c r="Q828" s="147" t="str">
        <f t="shared" si="22"/>
        <v/>
      </c>
      <c r="R828" s="147" t="str">
        <f t="shared" si="23"/>
        <v/>
      </c>
      <c r="S828" s="147" t="str">
        <f t="shared" si="24"/>
        <v/>
      </c>
      <c r="T828" s="147" t="str">
        <f t="shared" si="7"/>
        <v/>
      </c>
      <c r="U828" s="150" t="str">
        <f t="shared" si="8"/>
        <v/>
      </c>
      <c r="V828" s="151" t="str">
        <f>IFERROR(VLOOKUP(C828,Ativos!$A$1:$G2000,5,),)</f>
        <v/>
      </c>
    </row>
    <row r="829" ht="21.0" customHeight="1">
      <c r="A829" s="152"/>
      <c r="B829" s="160"/>
      <c r="C829" s="153"/>
      <c r="D829" s="154"/>
      <c r="E829" s="139"/>
      <c r="F829" s="139"/>
      <c r="G829" s="139"/>
      <c r="H829" s="135"/>
      <c r="I829" s="141"/>
      <c r="J829" s="147" t="str">
        <f>IFERROR(__xludf.DUMMYFUNCTION("IF(ISBLANK(A829),IFERROR(1/0),IF(COUNT(FILTER(F:F,A:A=A829))&gt;1,TRUNC(N829*F829/SUM(FILTER(N:N,A:A=A829)),3),F829))"),"")</f>
        <v/>
      </c>
      <c r="K829" s="147" t="str">
        <f>IFERROR(__xludf.DUMMYFUNCTION("IF(ISBLANK(A829),IFERROR(1/0),IF(COUNT(FILTER(G:G,((A:A=A829)*(B:B=""V""))))&gt;1,TRUNC(N829*G829/SUM(FILTER(N:N,((A:A=A829)*(B:B=""V"")))),3),G829))"),"")</f>
        <v/>
      </c>
      <c r="L829" s="148" t="str">
        <f>IFERROR(__xludf.DUMMYFUNCTION("if($C829="""","""",iferror(if(row()&lt;&gt;2,INDEX(arrayformula(filter($M$2:$M828,$C$2:$C828&lt;&gt;"""",row($C$2:$C828)=max(if($C$2:$C828=C829,row($C$2:$C828),0)))) ,1),0),0))"),"")</f>
        <v/>
      </c>
      <c r="M829" s="148" t="str">
        <f t="shared" si="1"/>
        <v/>
      </c>
      <c r="N829" s="147" t="str">
        <f t="shared" si="2"/>
        <v/>
      </c>
      <c r="O829" s="147" t="str">
        <f t="shared" si="21"/>
        <v/>
      </c>
      <c r="P829" s="147" t="str">
        <f>IFERROR(__xludf.DUMMYFUNCTION("if(C829="""","""",iferror(if(row()&lt;&gt;2,INDEX(arrayformula(filter($Q$2:$Q828,$C$2:$C828&lt;&gt;"""",row($C$2:$C828)=max(if($C$2:$C828=C829,row($C$2:$C828),0)))) ,1),0),0))"),"")</f>
        <v/>
      </c>
      <c r="Q829" s="147" t="str">
        <f t="shared" si="22"/>
        <v/>
      </c>
      <c r="R829" s="147" t="str">
        <f t="shared" si="23"/>
        <v/>
      </c>
      <c r="S829" s="147" t="str">
        <f t="shared" si="24"/>
        <v/>
      </c>
      <c r="T829" s="147" t="str">
        <f t="shared" si="7"/>
        <v/>
      </c>
      <c r="U829" s="150" t="str">
        <f t="shared" si="8"/>
        <v/>
      </c>
      <c r="V829" s="151" t="str">
        <f>IFERROR(VLOOKUP(C829,Ativos!$A$1:$G2000,5,),)</f>
        <v/>
      </c>
    </row>
    <row r="830" ht="21.0" customHeight="1">
      <c r="A830" s="152"/>
      <c r="B830" s="160"/>
      <c r="C830" s="153"/>
      <c r="D830" s="154"/>
      <c r="E830" s="139"/>
      <c r="F830" s="139"/>
      <c r="G830" s="139"/>
      <c r="H830" s="135"/>
      <c r="I830" s="141"/>
      <c r="J830" s="147" t="str">
        <f>IFERROR(__xludf.DUMMYFUNCTION("IF(ISBLANK(A830),IFERROR(1/0),IF(COUNT(FILTER(F:F,A:A=A830))&gt;1,TRUNC(N830*F830/SUM(FILTER(N:N,A:A=A830)),3),F830))"),"")</f>
        <v/>
      </c>
      <c r="K830" s="147" t="str">
        <f>IFERROR(__xludf.DUMMYFUNCTION("IF(ISBLANK(A830),IFERROR(1/0),IF(COUNT(FILTER(G:G,((A:A=A830)*(B:B=""V""))))&gt;1,TRUNC(N830*G830/SUM(FILTER(N:N,((A:A=A830)*(B:B=""V"")))),3),G830))"),"")</f>
        <v/>
      </c>
      <c r="L830" s="148" t="str">
        <f>IFERROR(__xludf.DUMMYFUNCTION("if($C830="""","""",iferror(if(row()&lt;&gt;2,INDEX(arrayformula(filter($M$2:$M829,$C$2:$C829&lt;&gt;"""",row($C$2:$C829)=max(if($C$2:$C829=C830,row($C$2:$C829),0)))) ,1),0),0))"),"")</f>
        <v/>
      </c>
      <c r="M830" s="148" t="str">
        <f t="shared" si="1"/>
        <v/>
      </c>
      <c r="N830" s="147" t="str">
        <f t="shared" si="2"/>
        <v/>
      </c>
      <c r="O830" s="147" t="str">
        <f t="shared" si="21"/>
        <v/>
      </c>
      <c r="P830" s="147" t="str">
        <f>IFERROR(__xludf.DUMMYFUNCTION("if(C830="""","""",iferror(if(row()&lt;&gt;2,INDEX(arrayformula(filter($Q$2:$Q829,$C$2:$C829&lt;&gt;"""",row($C$2:$C829)=max(if($C$2:$C829=C830,row($C$2:$C829),0)))) ,1),0),0))"),"")</f>
        <v/>
      </c>
      <c r="Q830" s="147" t="str">
        <f t="shared" si="22"/>
        <v/>
      </c>
      <c r="R830" s="147" t="str">
        <f t="shared" si="23"/>
        <v/>
      </c>
      <c r="S830" s="147" t="str">
        <f t="shared" si="24"/>
        <v/>
      </c>
      <c r="T830" s="147" t="str">
        <f t="shared" si="7"/>
        <v/>
      </c>
      <c r="U830" s="150" t="str">
        <f t="shared" si="8"/>
        <v/>
      </c>
      <c r="V830" s="151" t="str">
        <f>IFERROR(VLOOKUP(C830,Ativos!$A$1:$G2000,5,),)</f>
        <v/>
      </c>
    </row>
    <row r="831" ht="21.0" customHeight="1">
      <c r="A831" s="152"/>
      <c r="B831" s="160"/>
      <c r="C831" s="153"/>
      <c r="D831" s="154"/>
      <c r="E831" s="139"/>
      <c r="F831" s="139"/>
      <c r="G831" s="139"/>
      <c r="H831" s="135"/>
      <c r="I831" s="141"/>
      <c r="J831" s="147" t="str">
        <f>IFERROR(__xludf.DUMMYFUNCTION("IF(ISBLANK(A831),IFERROR(1/0),IF(COUNT(FILTER(F:F,A:A=A831))&gt;1,TRUNC(N831*F831/SUM(FILTER(N:N,A:A=A831)),3),F831))"),"")</f>
        <v/>
      </c>
      <c r="K831" s="147" t="str">
        <f>IFERROR(__xludf.DUMMYFUNCTION("IF(ISBLANK(A831),IFERROR(1/0),IF(COUNT(FILTER(G:G,((A:A=A831)*(B:B=""V""))))&gt;1,TRUNC(N831*G831/SUM(FILTER(N:N,((A:A=A831)*(B:B=""V"")))),3),G831))"),"")</f>
        <v/>
      </c>
      <c r="L831" s="148" t="str">
        <f>IFERROR(__xludf.DUMMYFUNCTION("if($C831="""","""",iferror(if(row()&lt;&gt;2,INDEX(arrayformula(filter($M$2:$M830,$C$2:$C830&lt;&gt;"""",row($C$2:$C830)=max(if($C$2:$C830=C831,row($C$2:$C830),0)))) ,1),0),0))"),"")</f>
        <v/>
      </c>
      <c r="M831" s="148" t="str">
        <f t="shared" si="1"/>
        <v/>
      </c>
      <c r="N831" s="147" t="str">
        <f t="shared" si="2"/>
        <v/>
      </c>
      <c r="O831" s="147" t="str">
        <f t="shared" si="21"/>
        <v/>
      </c>
      <c r="P831" s="147" t="str">
        <f>IFERROR(__xludf.DUMMYFUNCTION("if(C831="""","""",iferror(if(row()&lt;&gt;2,INDEX(arrayformula(filter($Q$2:$Q830,$C$2:$C830&lt;&gt;"""",row($C$2:$C830)=max(if($C$2:$C830=C831,row($C$2:$C830),0)))) ,1),0),0))"),"")</f>
        <v/>
      </c>
      <c r="Q831" s="147" t="str">
        <f t="shared" si="22"/>
        <v/>
      </c>
      <c r="R831" s="147" t="str">
        <f t="shared" si="23"/>
        <v/>
      </c>
      <c r="S831" s="147" t="str">
        <f t="shared" si="24"/>
        <v/>
      </c>
      <c r="T831" s="147" t="str">
        <f t="shared" si="7"/>
        <v/>
      </c>
      <c r="U831" s="150" t="str">
        <f t="shared" si="8"/>
        <v/>
      </c>
      <c r="V831" s="151" t="str">
        <f>IFERROR(VLOOKUP(C831,Ativos!$A$1:$G2000,5,),)</f>
        <v/>
      </c>
    </row>
    <row r="832" ht="21.0" customHeight="1">
      <c r="A832" s="152"/>
      <c r="B832" s="160"/>
      <c r="C832" s="153"/>
      <c r="D832" s="154"/>
      <c r="E832" s="139"/>
      <c r="F832" s="139"/>
      <c r="G832" s="139"/>
      <c r="H832" s="135"/>
      <c r="I832" s="141"/>
      <c r="J832" s="147" t="str">
        <f>IFERROR(__xludf.DUMMYFUNCTION("IF(ISBLANK(A832),IFERROR(1/0),IF(COUNT(FILTER(F:F,A:A=A832))&gt;1,TRUNC(N832*F832/SUM(FILTER(N:N,A:A=A832)),3),F832))"),"")</f>
        <v/>
      </c>
      <c r="K832" s="147" t="str">
        <f>IFERROR(__xludf.DUMMYFUNCTION("IF(ISBLANK(A832),IFERROR(1/0),IF(COUNT(FILTER(G:G,((A:A=A832)*(B:B=""V""))))&gt;1,TRUNC(N832*G832/SUM(FILTER(N:N,((A:A=A832)*(B:B=""V"")))),3),G832))"),"")</f>
        <v/>
      </c>
      <c r="L832" s="148" t="str">
        <f>IFERROR(__xludf.DUMMYFUNCTION("if($C832="""","""",iferror(if(row()&lt;&gt;2,INDEX(arrayformula(filter($M$2:$M831,$C$2:$C831&lt;&gt;"""",row($C$2:$C831)=max(if($C$2:$C831=C832,row($C$2:$C831),0)))) ,1),0),0))"),"")</f>
        <v/>
      </c>
      <c r="M832" s="148" t="str">
        <f t="shared" si="1"/>
        <v/>
      </c>
      <c r="N832" s="147" t="str">
        <f t="shared" si="2"/>
        <v/>
      </c>
      <c r="O832" s="147" t="str">
        <f t="shared" si="21"/>
        <v/>
      </c>
      <c r="P832" s="147" t="str">
        <f>IFERROR(__xludf.DUMMYFUNCTION("if(C832="""","""",iferror(if(row()&lt;&gt;2,INDEX(arrayformula(filter($Q$2:$Q831,$C$2:$C831&lt;&gt;"""",row($C$2:$C831)=max(if($C$2:$C831=C832,row($C$2:$C831),0)))) ,1),0),0))"),"")</f>
        <v/>
      </c>
      <c r="Q832" s="147" t="str">
        <f t="shared" si="22"/>
        <v/>
      </c>
      <c r="R832" s="147" t="str">
        <f t="shared" si="23"/>
        <v/>
      </c>
      <c r="S832" s="147" t="str">
        <f t="shared" si="24"/>
        <v/>
      </c>
      <c r="T832" s="147" t="str">
        <f t="shared" si="7"/>
        <v/>
      </c>
      <c r="U832" s="150" t="str">
        <f t="shared" si="8"/>
        <v/>
      </c>
      <c r="V832" s="151" t="str">
        <f>IFERROR(VLOOKUP(C832,Ativos!$A$1:$G2000,5,),)</f>
        <v/>
      </c>
    </row>
    <row r="833" ht="21.0" customHeight="1">
      <c r="A833" s="152"/>
      <c r="B833" s="160"/>
      <c r="C833" s="153"/>
      <c r="D833" s="154"/>
      <c r="E833" s="139"/>
      <c r="F833" s="139"/>
      <c r="G833" s="139"/>
      <c r="H833" s="135"/>
      <c r="I833" s="141"/>
      <c r="J833" s="147" t="str">
        <f>IFERROR(__xludf.DUMMYFUNCTION("IF(ISBLANK(A833),IFERROR(1/0),IF(COUNT(FILTER(F:F,A:A=A833))&gt;1,TRUNC(N833*F833/SUM(FILTER(N:N,A:A=A833)),3),F833))"),"")</f>
        <v/>
      </c>
      <c r="K833" s="147" t="str">
        <f>IFERROR(__xludf.DUMMYFUNCTION("IF(ISBLANK(A833),IFERROR(1/0),IF(COUNT(FILTER(G:G,((A:A=A833)*(B:B=""V""))))&gt;1,TRUNC(N833*G833/SUM(FILTER(N:N,((A:A=A833)*(B:B=""V"")))),3),G833))"),"")</f>
        <v/>
      </c>
      <c r="L833" s="148" t="str">
        <f>IFERROR(__xludf.DUMMYFUNCTION("if($C833="""","""",iferror(if(row()&lt;&gt;2,INDEX(arrayformula(filter($M$2:$M832,$C$2:$C832&lt;&gt;"""",row($C$2:$C832)=max(if($C$2:$C832=C833,row($C$2:$C832),0)))) ,1),0),0))"),"")</f>
        <v/>
      </c>
      <c r="M833" s="148" t="str">
        <f t="shared" si="1"/>
        <v/>
      </c>
      <c r="N833" s="147" t="str">
        <f t="shared" si="2"/>
        <v/>
      </c>
      <c r="O833" s="147" t="str">
        <f t="shared" si="21"/>
        <v/>
      </c>
      <c r="P833" s="147" t="str">
        <f>IFERROR(__xludf.DUMMYFUNCTION("if(C833="""","""",iferror(if(row()&lt;&gt;2,INDEX(arrayformula(filter($Q$2:$Q832,$C$2:$C832&lt;&gt;"""",row($C$2:$C832)=max(if($C$2:$C832=C833,row($C$2:$C832),0)))) ,1),0),0))"),"")</f>
        <v/>
      </c>
      <c r="Q833" s="147" t="str">
        <f t="shared" si="22"/>
        <v/>
      </c>
      <c r="R833" s="147" t="str">
        <f t="shared" si="23"/>
        <v/>
      </c>
      <c r="S833" s="147" t="str">
        <f t="shared" si="24"/>
        <v/>
      </c>
      <c r="T833" s="147" t="str">
        <f t="shared" si="7"/>
        <v/>
      </c>
      <c r="U833" s="150" t="str">
        <f t="shared" si="8"/>
        <v/>
      </c>
      <c r="V833" s="151" t="str">
        <f>IFERROR(VLOOKUP(C833,Ativos!$A$1:$G2000,5,),)</f>
        <v/>
      </c>
    </row>
    <row r="834" ht="21.0" customHeight="1">
      <c r="A834" s="152"/>
      <c r="B834" s="160"/>
      <c r="C834" s="153"/>
      <c r="D834" s="154"/>
      <c r="E834" s="139"/>
      <c r="F834" s="139"/>
      <c r="G834" s="139"/>
      <c r="H834" s="135"/>
      <c r="I834" s="141"/>
      <c r="J834" s="147" t="str">
        <f>IFERROR(__xludf.DUMMYFUNCTION("IF(ISBLANK(A834),IFERROR(1/0),IF(COUNT(FILTER(F:F,A:A=A834))&gt;1,TRUNC(N834*F834/SUM(FILTER(N:N,A:A=A834)),3),F834))"),"")</f>
        <v/>
      </c>
      <c r="K834" s="147" t="str">
        <f>IFERROR(__xludf.DUMMYFUNCTION("IF(ISBLANK(A834),IFERROR(1/0),IF(COUNT(FILTER(G:G,((A:A=A834)*(B:B=""V""))))&gt;1,TRUNC(N834*G834/SUM(FILTER(N:N,((A:A=A834)*(B:B=""V"")))),3),G834))"),"")</f>
        <v/>
      </c>
      <c r="L834" s="148" t="str">
        <f>IFERROR(__xludf.DUMMYFUNCTION("if($C834="""","""",iferror(if(row()&lt;&gt;2,INDEX(arrayformula(filter($M$2:$M833,$C$2:$C833&lt;&gt;"""",row($C$2:$C833)=max(if($C$2:$C833=C834,row($C$2:$C833),0)))) ,1),0),0))"),"")</f>
        <v/>
      </c>
      <c r="M834" s="148" t="str">
        <f t="shared" si="1"/>
        <v/>
      </c>
      <c r="N834" s="147" t="str">
        <f t="shared" si="2"/>
        <v/>
      </c>
      <c r="O834" s="147" t="str">
        <f t="shared" si="21"/>
        <v/>
      </c>
      <c r="P834" s="147" t="str">
        <f>IFERROR(__xludf.DUMMYFUNCTION("if(C834="""","""",iferror(if(row()&lt;&gt;2,INDEX(arrayformula(filter($Q$2:$Q833,$C$2:$C833&lt;&gt;"""",row($C$2:$C833)=max(if($C$2:$C833=C834,row($C$2:$C833),0)))) ,1),0),0))"),"")</f>
        <v/>
      </c>
      <c r="Q834" s="147" t="str">
        <f t="shared" si="22"/>
        <v/>
      </c>
      <c r="R834" s="147" t="str">
        <f t="shared" si="23"/>
        <v/>
      </c>
      <c r="S834" s="147" t="str">
        <f t="shared" si="24"/>
        <v/>
      </c>
      <c r="T834" s="147" t="str">
        <f t="shared" si="7"/>
        <v/>
      </c>
      <c r="U834" s="150" t="str">
        <f t="shared" si="8"/>
        <v/>
      </c>
      <c r="V834" s="151" t="str">
        <f>IFERROR(VLOOKUP(C834,Ativos!$A$1:$G2000,5,),)</f>
        <v/>
      </c>
    </row>
    <row r="835" ht="21.0" customHeight="1">
      <c r="A835" s="152"/>
      <c r="B835" s="160"/>
      <c r="C835" s="153"/>
      <c r="D835" s="154"/>
      <c r="E835" s="139"/>
      <c r="F835" s="139"/>
      <c r="G835" s="139"/>
      <c r="H835" s="135"/>
      <c r="I835" s="141"/>
      <c r="J835" s="147" t="str">
        <f>IFERROR(__xludf.DUMMYFUNCTION("IF(ISBLANK(A835),IFERROR(1/0),IF(COUNT(FILTER(F:F,A:A=A835))&gt;1,TRUNC(N835*F835/SUM(FILTER(N:N,A:A=A835)),3),F835))"),"")</f>
        <v/>
      </c>
      <c r="K835" s="147" t="str">
        <f>IFERROR(__xludf.DUMMYFUNCTION("IF(ISBLANK(A835),IFERROR(1/0),IF(COUNT(FILTER(G:G,((A:A=A835)*(B:B=""V""))))&gt;1,TRUNC(N835*G835/SUM(FILTER(N:N,((A:A=A835)*(B:B=""V"")))),3),G835))"),"")</f>
        <v/>
      </c>
      <c r="L835" s="148" t="str">
        <f>IFERROR(__xludf.DUMMYFUNCTION("if($C835="""","""",iferror(if(row()&lt;&gt;2,INDEX(arrayformula(filter($M$2:$M834,$C$2:$C834&lt;&gt;"""",row($C$2:$C834)=max(if($C$2:$C834=C835,row($C$2:$C834),0)))) ,1),0),0))"),"")</f>
        <v/>
      </c>
      <c r="M835" s="148" t="str">
        <f t="shared" si="1"/>
        <v/>
      </c>
      <c r="N835" s="147" t="str">
        <f t="shared" si="2"/>
        <v/>
      </c>
      <c r="O835" s="147" t="str">
        <f t="shared" si="21"/>
        <v/>
      </c>
      <c r="P835" s="147" t="str">
        <f>IFERROR(__xludf.DUMMYFUNCTION("if(C835="""","""",iferror(if(row()&lt;&gt;2,INDEX(arrayformula(filter($Q$2:$Q834,$C$2:$C834&lt;&gt;"""",row($C$2:$C834)=max(if($C$2:$C834=C835,row($C$2:$C834),0)))) ,1),0),0))"),"")</f>
        <v/>
      </c>
      <c r="Q835" s="147" t="str">
        <f t="shared" si="22"/>
        <v/>
      </c>
      <c r="R835" s="147" t="str">
        <f t="shared" si="23"/>
        <v/>
      </c>
      <c r="S835" s="147" t="str">
        <f t="shared" si="24"/>
        <v/>
      </c>
      <c r="T835" s="147" t="str">
        <f t="shared" si="7"/>
        <v/>
      </c>
      <c r="U835" s="150" t="str">
        <f t="shared" si="8"/>
        <v/>
      </c>
      <c r="V835" s="151" t="str">
        <f>IFERROR(VLOOKUP(C835,Ativos!$A$1:$G2000,5,),)</f>
        <v/>
      </c>
    </row>
    <row r="836" ht="21.0" customHeight="1">
      <c r="A836" s="152"/>
      <c r="B836" s="160"/>
      <c r="C836" s="153"/>
      <c r="D836" s="154"/>
      <c r="E836" s="139"/>
      <c r="F836" s="139"/>
      <c r="G836" s="139"/>
      <c r="H836" s="135"/>
      <c r="I836" s="141"/>
      <c r="J836" s="147" t="str">
        <f>IFERROR(__xludf.DUMMYFUNCTION("IF(ISBLANK(A836),IFERROR(1/0),IF(COUNT(FILTER(F:F,A:A=A836))&gt;1,TRUNC(N836*F836/SUM(FILTER(N:N,A:A=A836)),3),F836))"),"")</f>
        <v/>
      </c>
      <c r="K836" s="147" t="str">
        <f>IFERROR(__xludf.DUMMYFUNCTION("IF(ISBLANK(A836),IFERROR(1/0),IF(COUNT(FILTER(G:G,((A:A=A836)*(B:B=""V""))))&gt;1,TRUNC(N836*G836/SUM(FILTER(N:N,((A:A=A836)*(B:B=""V"")))),3),G836))"),"")</f>
        <v/>
      </c>
      <c r="L836" s="148" t="str">
        <f>IFERROR(__xludf.DUMMYFUNCTION("if($C836="""","""",iferror(if(row()&lt;&gt;2,INDEX(arrayformula(filter($M$2:$M835,$C$2:$C835&lt;&gt;"""",row($C$2:$C835)=max(if($C$2:$C835=C836,row($C$2:$C835),0)))) ,1),0),0))"),"")</f>
        <v/>
      </c>
      <c r="M836" s="148" t="str">
        <f t="shared" si="1"/>
        <v/>
      </c>
      <c r="N836" s="147" t="str">
        <f t="shared" si="2"/>
        <v/>
      </c>
      <c r="O836" s="147" t="str">
        <f t="shared" si="21"/>
        <v/>
      </c>
      <c r="P836" s="147" t="str">
        <f>IFERROR(__xludf.DUMMYFUNCTION("if(C836="""","""",iferror(if(row()&lt;&gt;2,INDEX(arrayformula(filter($Q$2:$Q835,$C$2:$C835&lt;&gt;"""",row($C$2:$C835)=max(if($C$2:$C835=C836,row($C$2:$C835),0)))) ,1),0),0))"),"")</f>
        <v/>
      </c>
      <c r="Q836" s="147" t="str">
        <f t="shared" si="22"/>
        <v/>
      </c>
      <c r="R836" s="147" t="str">
        <f t="shared" si="23"/>
        <v/>
      </c>
      <c r="S836" s="147" t="str">
        <f t="shared" si="24"/>
        <v/>
      </c>
      <c r="T836" s="147" t="str">
        <f t="shared" si="7"/>
        <v/>
      </c>
      <c r="U836" s="150" t="str">
        <f t="shared" si="8"/>
        <v/>
      </c>
      <c r="V836" s="151" t="str">
        <f>IFERROR(VLOOKUP(C836,Ativos!$A$1:$G2000,5,),)</f>
        <v/>
      </c>
    </row>
    <row r="837" ht="21.0" customHeight="1">
      <c r="A837" s="152"/>
      <c r="B837" s="160"/>
      <c r="C837" s="153"/>
      <c r="D837" s="154"/>
      <c r="E837" s="139"/>
      <c r="F837" s="139"/>
      <c r="G837" s="139"/>
      <c r="H837" s="135"/>
      <c r="I837" s="141"/>
      <c r="J837" s="147" t="str">
        <f>IFERROR(__xludf.DUMMYFUNCTION("IF(ISBLANK(A837),IFERROR(1/0),IF(COUNT(FILTER(F:F,A:A=A837))&gt;1,TRUNC(N837*F837/SUM(FILTER(N:N,A:A=A837)),3),F837))"),"")</f>
        <v/>
      </c>
      <c r="K837" s="147" t="str">
        <f>IFERROR(__xludf.DUMMYFUNCTION("IF(ISBLANK(A837),IFERROR(1/0),IF(COUNT(FILTER(G:G,((A:A=A837)*(B:B=""V""))))&gt;1,TRUNC(N837*G837/SUM(FILTER(N:N,((A:A=A837)*(B:B=""V"")))),3),G837))"),"")</f>
        <v/>
      </c>
      <c r="L837" s="148" t="str">
        <f>IFERROR(__xludf.DUMMYFUNCTION("if($C837="""","""",iferror(if(row()&lt;&gt;2,INDEX(arrayformula(filter($M$2:$M836,$C$2:$C836&lt;&gt;"""",row($C$2:$C836)=max(if($C$2:$C836=C837,row($C$2:$C836),0)))) ,1),0),0))"),"")</f>
        <v/>
      </c>
      <c r="M837" s="148" t="str">
        <f t="shared" si="1"/>
        <v/>
      </c>
      <c r="N837" s="147" t="str">
        <f t="shared" si="2"/>
        <v/>
      </c>
      <c r="O837" s="147" t="str">
        <f t="shared" si="21"/>
        <v/>
      </c>
      <c r="P837" s="147" t="str">
        <f>IFERROR(__xludf.DUMMYFUNCTION("if(C837="""","""",iferror(if(row()&lt;&gt;2,INDEX(arrayformula(filter($Q$2:$Q836,$C$2:$C836&lt;&gt;"""",row($C$2:$C836)=max(if($C$2:$C836=C837,row($C$2:$C836),0)))) ,1),0),0))"),"")</f>
        <v/>
      </c>
      <c r="Q837" s="147" t="str">
        <f t="shared" si="22"/>
        <v/>
      </c>
      <c r="R837" s="147" t="str">
        <f t="shared" si="23"/>
        <v/>
      </c>
      <c r="S837" s="147" t="str">
        <f t="shared" si="24"/>
        <v/>
      </c>
      <c r="T837" s="147" t="str">
        <f t="shared" si="7"/>
        <v/>
      </c>
      <c r="U837" s="150" t="str">
        <f t="shared" si="8"/>
        <v/>
      </c>
      <c r="V837" s="151" t="str">
        <f>IFERROR(VLOOKUP(C837,Ativos!$A$1:$G2000,5,),)</f>
        <v/>
      </c>
    </row>
    <row r="838" ht="21.0" customHeight="1">
      <c r="A838" s="152"/>
      <c r="B838" s="160"/>
      <c r="C838" s="153"/>
      <c r="D838" s="154"/>
      <c r="E838" s="139"/>
      <c r="F838" s="139"/>
      <c r="G838" s="139"/>
      <c r="H838" s="135"/>
      <c r="I838" s="141"/>
      <c r="J838" s="147" t="str">
        <f>IFERROR(__xludf.DUMMYFUNCTION("IF(ISBLANK(A838),IFERROR(1/0),IF(COUNT(FILTER(F:F,A:A=A838))&gt;1,TRUNC(N838*F838/SUM(FILTER(N:N,A:A=A838)),3),F838))"),"")</f>
        <v/>
      </c>
      <c r="K838" s="147" t="str">
        <f>IFERROR(__xludf.DUMMYFUNCTION("IF(ISBLANK(A838),IFERROR(1/0),IF(COUNT(FILTER(G:G,((A:A=A838)*(B:B=""V""))))&gt;1,TRUNC(N838*G838/SUM(FILTER(N:N,((A:A=A838)*(B:B=""V"")))),3),G838))"),"")</f>
        <v/>
      </c>
      <c r="L838" s="148" t="str">
        <f>IFERROR(__xludf.DUMMYFUNCTION("if($C838="""","""",iferror(if(row()&lt;&gt;2,INDEX(arrayformula(filter($M$2:$M837,$C$2:$C837&lt;&gt;"""",row($C$2:$C837)=max(if($C$2:$C837=C838,row($C$2:$C837),0)))) ,1),0),0))"),"")</f>
        <v/>
      </c>
      <c r="M838" s="148" t="str">
        <f t="shared" si="1"/>
        <v/>
      </c>
      <c r="N838" s="147" t="str">
        <f t="shared" si="2"/>
        <v/>
      </c>
      <c r="O838" s="147" t="str">
        <f t="shared" si="21"/>
        <v/>
      </c>
      <c r="P838" s="147" t="str">
        <f>IFERROR(__xludf.DUMMYFUNCTION("if(C838="""","""",iferror(if(row()&lt;&gt;2,INDEX(arrayformula(filter($Q$2:$Q837,$C$2:$C837&lt;&gt;"""",row($C$2:$C837)=max(if($C$2:$C837=C838,row($C$2:$C837),0)))) ,1),0),0))"),"")</f>
        <v/>
      </c>
      <c r="Q838" s="147" t="str">
        <f t="shared" si="22"/>
        <v/>
      </c>
      <c r="R838" s="147" t="str">
        <f t="shared" si="23"/>
        <v/>
      </c>
      <c r="S838" s="147" t="str">
        <f t="shared" si="24"/>
        <v/>
      </c>
      <c r="T838" s="147" t="str">
        <f t="shared" si="7"/>
        <v/>
      </c>
      <c r="U838" s="150" t="str">
        <f t="shared" si="8"/>
        <v/>
      </c>
      <c r="V838" s="151" t="str">
        <f>IFERROR(VLOOKUP(C838,Ativos!$A$1:$G2000,5,),)</f>
        <v/>
      </c>
    </row>
    <row r="839" ht="21.0" customHeight="1">
      <c r="A839" s="152"/>
      <c r="B839" s="160"/>
      <c r="C839" s="153"/>
      <c r="D839" s="154"/>
      <c r="E839" s="139"/>
      <c r="F839" s="139"/>
      <c r="G839" s="139"/>
      <c r="H839" s="135"/>
      <c r="I839" s="141"/>
      <c r="J839" s="147" t="str">
        <f>IFERROR(__xludf.DUMMYFUNCTION("IF(ISBLANK(A839),IFERROR(1/0),IF(COUNT(FILTER(F:F,A:A=A839))&gt;1,TRUNC(N839*F839/SUM(FILTER(N:N,A:A=A839)),3),F839))"),"")</f>
        <v/>
      </c>
      <c r="K839" s="147" t="str">
        <f>IFERROR(__xludf.DUMMYFUNCTION("IF(ISBLANK(A839),IFERROR(1/0),IF(COUNT(FILTER(G:G,((A:A=A839)*(B:B=""V""))))&gt;1,TRUNC(N839*G839/SUM(FILTER(N:N,((A:A=A839)*(B:B=""V"")))),3),G839))"),"")</f>
        <v/>
      </c>
      <c r="L839" s="148" t="str">
        <f>IFERROR(__xludf.DUMMYFUNCTION("if($C839="""","""",iferror(if(row()&lt;&gt;2,INDEX(arrayformula(filter($M$2:$M838,$C$2:$C838&lt;&gt;"""",row($C$2:$C838)=max(if($C$2:$C838=C839,row($C$2:$C838),0)))) ,1),0),0))"),"")</f>
        <v/>
      </c>
      <c r="M839" s="148" t="str">
        <f t="shared" si="1"/>
        <v/>
      </c>
      <c r="N839" s="147" t="str">
        <f t="shared" si="2"/>
        <v/>
      </c>
      <c r="O839" s="147" t="str">
        <f t="shared" si="21"/>
        <v/>
      </c>
      <c r="P839" s="147" t="str">
        <f>IFERROR(__xludf.DUMMYFUNCTION("if(C839="""","""",iferror(if(row()&lt;&gt;2,INDEX(arrayformula(filter($Q$2:$Q838,$C$2:$C838&lt;&gt;"""",row($C$2:$C838)=max(if($C$2:$C838=C839,row($C$2:$C838),0)))) ,1),0),0))"),"")</f>
        <v/>
      </c>
      <c r="Q839" s="147" t="str">
        <f t="shared" si="22"/>
        <v/>
      </c>
      <c r="R839" s="147" t="str">
        <f t="shared" si="23"/>
        <v/>
      </c>
      <c r="S839" s="147" t="str">
        <f t="shared" si="24"/>
        <v/>
      </c>
      <c r="T839" s="147" t="str">
        <f t="shared" si="7"/>
        <v/>
      </c>
      <c r="U839" s="150" t="str">
        <f t="shared" si="8"/>
        <v/>
      </c>
      <c r="V839" s="151" t="str">
        <f>IFERROR(VLOOKUP(C839,Ativos!$A$1:$G2000,5,),)</f>
        <v/>
      </c>
    </row>
    <row r="840" ht="21.0" customHeight="1">
      <c r="A840" s="152"/>
      <c r="B840" s="160"/>
      <c r="C840" s="153"/>
      <c r="D840" s="154"/>
      <c r="E840" s="139"/>
      <c r="F840" s="139"/>
      <c r="G840" s="139"/>
      <c r="H840" s="135"/>
      <c r="I840" s="141"/>
      <c r="J840" s="147" t="str">
        <f>IFERROR(__xludf.DUMMYFUNCTION("IF(ISBLANK(A840),IFERROR(1/0),IF(COUNT(FILTER(F:F,A:A=A840))&gt;1,TRUNC(N840*F840/SUM(FILTER(N:N,A:A=A840)),3),F840))"),"")</f>
        <v/>
      </c>
      <c r="K840" s="147" t="str">
        <f>IFERROR(__xludf.DUMMYFUNCTION("IF(ISBLANK(A840),IFERROR(1/0),IF(COUNT(FILTER(G:G,((A:A=A840)*(B:B=""V""))))&gt;1,TRUNC(N840*G840/SUM(FILTER(N:N,((A:A=A840)*(B:B=""V"")))),3),G840))"),"")</f>
        <v/>
      </c>
      <c r="L840" s="148" t="str">
        <f>IFERROR(__xludf.DUMMYFUNCTION("if($C840="""","""",iferror(if(row()&lt;&gt;2,INDEX(arrayformula(filter($M$2:$M839,$C$2:$C839&lt;&gt;"""",row($C$2:$C839)=max(if($C$2:$C839=C840,row($C$2:$C839),0)))) ,1),0),0))"),"")</f>
        <v/>
      </c>
      <c r="M840" s="148" t="str">
        <f t="shared" si="1"/>
        <v/>
      </c>
      <c r="N840" s="147" t="str">
        <f t="shared" si="2"/>
        <v/>
      </c>
      <c r="O840" s="147" t="str">
        <f t="shared" si="21"/>
        <v/>
      </c>
      <c r="P840" s="147" t="str">
        <f>IFERROR(__xludf.DUMMYFUNCTION("if(C840="""","""",iferror(if(row()&lt;&gt;2,INDEX(arrayformula(filter($Q$2:$Q839,$C$2:$C839&lt;&gt;"""",row($C$2:$C839)=max(if($C$2:$C839=C840,row($C$2:$C839),0)))) ,1),0),0))"),"")</f>
        <v/>
      </c>
      <c r="Q840" s="147" t="str">
        <f t="shared" si="22"/>
        <v/>
      </c>
      <c r="R840" s="147" t="str">
        <f t="shared" si="23"/>
        <v/>
      </c>
      <c r="S840" s="147" t="str">
        <f t="shared" si="24"/>
        <v/>
      </c>
      <c r="T840" s="147" t="str">
        <f t="shared" si="7"/>
        <v/>
      </c>
      <c r="U840" s="150" t="str">
        <f t="shared" si="8"/>
        <v/>
      </c>
      <c r="V840" s="151" t="str">
        <f>IFERROR(VLOOKUP(C840,Ativos!$A$1:$G2000,5,),)</f>
        <v/>
      </c>
    </row>
    <row r="841" ht="21.0" customHeight="1">
      <c r="A841" s="152"/>
      <c r="B841" s="160"/>
      <c r="C841" s="153"/>
      <c r="D841" s="154"/>
      <c r="E841" s="139"/>
      <c r="F841" s="139"/>
      <c r="G841" s="139"/>
      <c r="H841" s="135"/>
      <c r="I841" s="141"/>
      <c r="J841" s="147" t="str">
        <f>IFERROR(__xludf.DUMMYFUNCTION("IF(ISBLANK(A841),IFERROR(1/0),IF(COUNT(FILTER(F:F,A:A=A841))&gt;1,TRUNC(N841*F841/SUM(FILTER(N:N,A:A=A841)),3),F841))"),"")</f>
        <v/>
      </c>
      <c r="K841" s="147" t="str">
        <f>IFERROR(__xludf.DUMMYFUNCTION("IF(ISBLANK(A841),IFERROR(1/0),IF(COUNT(FILTER(G:G,((A:A=A841)*(B:B=""V""))))&gt;1,TRUNC(N841*G841/SUM(FILTER(N:N,((A:A=A841)*(B:B=""V"")))),3),G841))"),"")</f>
        <v/>
      </c>
      <c r="L841" s="148" t="str">
        <f>IFERROR(__xludf.DUMMYFUNCTION("if($C841="""","""",iferror(if(row()&lt;&gt;2,INDEX(arrayformula(filter($M$2:$M840,$C$2:$C840&lt;&gt;"""",row($C$2:$C840)=max(if($C$2:$C840=C841,row($C$2:$C840),0)))) ,1),0),0))"),"")</f>
        <v/>
      </c>
      <c r="M841" s="148" t="str">
        <f t="shared" si="1"/>
        <v/>
      </c>
      <c r="N841" s="147" t="str">
        <f t="shared" si="2"/>
        <v/>
      </c>
      <c r="O841" s="147" t="str">
        <f t="shared" si="21"/>
        <v/>
      </c>
      <c r="P841" s="147" t="str">
        <f>IFERROR(__xludf.DUMMYFUNCTION("if(C841="""","""",iferror(if(row()&lt;&gt;2,INDEX(arrayformula(filter($Q$2:$Q840,$C$2:$C840&lt;&gt;"""",row($C$2:$C840)=max(if($C$2:$C840=C841,row($C$2:$C840),0)))) ,1),0),0))"),"")</f>
        <v/>
      </c>
      <c r="Q841" s="147" t="str">
        <f t="shared" si="22"/>
        <v/>
      </c>
      <c r="R841" s="147" t="str">
        <f t="shared" si="23"/>
        <v/>
      </c>
      <c r="S841" s="147" t="str">
        <f t="shared" si="24"/>
        <v/>
      </c>
      <c r="T841" s="147" t="str">
        <f t="shared" si="7"/>
        <v/>
      </c>
      <c r="U841" s="150" t="str">
        <f t="shared" si="8"/>
        <v/>
      </c>
      <c r="V841" s="151" t="str">
        <f>IFERROR(VLOOKUP(C841,Ativos!$A$1:$G2000,5,),)</f>
        <v/>
      </c>
    </row>
    <row r="842" ht="21.0" customHeight="1">
      <c r="A842" s="152"/>
      <c r="B842" s="160"/>
      <c r="C842" s="153"/>
      <c r="D842" s="154"/>
      <c r="E842" s="139"/>
      <c r="F842" s="139"/>
      <c r="G842" s="139"/>
      <c r="H842" s="135"/>
      <c r="I842" s="141"/>
      <c r="J842" s="147" t="str">
        <f>IFERROR(__xludf.DUMMYFUNCTION("IF(ISBLANK(A842),IFERROR(1/0),IF(COUNT(FILTER(F:F,A:A=A842))&gt;1,TRUNC(N842*F842/SUM(FILTER(N:N,A:A=A842)),3),F842))"),"")</f>
        <v/>
      </c>
      <c r="K842" s="147" t="str">
        <f>IFERROR(__xludf.DUMMYFUNCTION("IF(ISBLANK(A842),IFERROR(1/0),IF(COUNT(FILTER(G:G,((A:A=A842)*(B:B=""V""))))&gt;1,TRUNC(N842*G842/SUM(FILTER(N:N,((A:A=A842)*(B:B=""V"")))),3),G842))"),"")</f>
        <v/>
      </c>
      <c r="L842" s="148" t="str">
        <f>IFERROR(__xludf.DUMMYFUNCTION("if($C842="""","""",iferror(if(row()&lt;&gt;2,INDEX(arrayformula(filter($M$2:$M841,$C$2:$C841&lt;&gt;"""",row($C$2:$C841)=max(if($C$2:$C841=C842,row($C$2:$C841),0)))) ,1),0),0))"),"")</f>
        <v/>
      </c>
      <c r="M842" s="148" t="str">
        <f t="shared" si="1"/>
        <v/>
      </c>
      <c r="N842" s="147" t="str">
        <f t="shared" si="2"/>
        <v/>
      </c>
      <c r="O842" s="147" t="str">
        <f t="shared" si="21"/>
        <v/>
      </c>
      <c r="P842" s="147" t="str">
        <f>IFERROR(__xludf.DUMMYFUNCTION("if(C842="""","""",iferror(if(row()&lt;&gt;2,INDEX(arrayformula(filter($Q$2:$Q841,$C$2:$C841&lt;&gt;"""",row($C$2:$C841)=max(if($C$2:$C841=C842,row($C$2:$C841),0)))) ,1),0),0))"),"")</f>
        <v/>
      </c>
      <c r="Q842" s="147" t="str">
        <f t="shared" si="22"/>
        <v/>
      </c>
      <c r="R842" s="147" t="str">
        <f t="shared" si="23"/>
        <v/>
      </c>
      <c r="S842" s="147" t="str">
        <f t="shared" si="24"/>
        <v/>
      </c>
      <c r="T842" s="147" t="str">
        <f t="shared" si="7"/>
        <v/>
      </c>
      <c r="U842" s="150" t="str">
        <f t="shared" si="8"/>
        <v/>
      </c>
      <c r="V842" s="151" t="str">
        <f>IFERROR(VLOOKUP(C842,Ativos!$A$1:$G2000,5,),)</f>
        <v/>
      </c>
    </row>
    <row r="843" ht="21.0" customHeight="1">
      <c r="A843" s="152"/>
      <c r="B843" s="160"/>
      <c r="C843" s="153"/>
      <c r="D843" s="154"/>
      <c r="E843" s="139"/>
      <c r="F843" s="139"/>
      <c r="G843" s="139"/>
      <c r="H843" s="135"/>
      <c r="I843" s="141"/>
      <c r="J843" s="147" t="str">
        <f>IFERROR(__xludf.DUMMYFUNCTION("IF(ISBLANK(A843),IFERROR(1/0),IF(COUNT(FILTER(F:F,A:A=A843))&gt;1,TRUNC(N843*F843/SUM(FILTER(N:N,A:A=A843)),3),F843))"),"")</f>
        <v/>
      </c>
      <c r="K843" s="147" t="str">
        <f>IFERROR(__xludf.DUMMYFUNCTION("IF(ISBLANK(A843),IFERROR(1/0),IF(COUNT(FILTER(G:G,((A:A=A843)*(B:B=""V""))))&gt;1,TRUNC(N843*G843/SUM(FILTER(N:N,((A:A=A843)*(B:B=""V"")))),3),G843))"),"")</f>
        <v/>
      </c>
      <c r="L843" s="148" t="str">
        <f>IFERROR(__xludf.DUMMYFUNCTION("if($C843="""","""",iferror(if(row()&lt;&gt;2,INDEX(arrayformula(filter($M$2:$M842,$C$2:$C842&lt;&gt;"""",row($C$2:$C842)=max(if($C$2:$C842=C843,row($C$2:$C842),0)))) ,1),0),0))"),"")</f>
        <v/>
      </c>
      <c r="M843" s="148" t="str">
        <f t="shared" si="1"/>
        <v/>
      </c>
      <c r="N843" s="147" t="str">
        <f t="shared" si="2"/>
        <v/>
      </c>
      <c r="O843" s="147" t="str">
        <f t="shared" si="21"/>
        <v/>
      </c>
      <c r="P843" s="147" t="str">
        <f>IFERROR(__xludf.DUMMYFUNCTION("if(C843="""","""",iferror(if(row()&lt;&gt;2,INDEX(arrayformula(filter($Q$2:$Q842,$C$2:$C842&lt;&gt;"""",row($C$2:$C842)=max(if($C$2:$C842=C843,row($C$2:$C842),0)))) ,1),0),0))"),"")</f>
        <v/>
      </c>
      <c r="Q843" s="147" t="str">
        <f t="shared" si="22"/>
        <v/>
      </c>
      <c r="R843" s="147" t="str">
        <f t="shared" si="23"/>
        <v/>
      </c>
      <c r="S843" s="147" t="str">
        <f t="shared" si="24"/>
        <v/>
      </c>
      <c r="T843" s="147" t="str">
        <f t="shared" si="7"/>
        <v/>
      </c>
      <c r="U843" s="150" t="str">
        <f t="shared" si="8"/>
        <v/>
      </c>
      <c r="V843" s="151" t="str">
        <f>IFERROR(VLOOKUP(C843,Ativos!$A$1:$G2000,5,),)</f>
        <v/>
      </c>
    </row>
    <row r="844" ht="21.0" customHeight="1">
      <c r="A844" s="152"/>
      <c r="B844" s="160"/>
      <c r="C844" s="153"/>
      <c r="D844" s="154"/>
      <c r="E844" s="139"/>
      <c r="F844" s="139"/>
      <c r="G844" s="139"/>
      <c r="H844" s="135"/>
      <c r="I844" s="141"/>
      <c r="J844" s="147" t="str">
        <f>IFERROR(__xludf.DUMMYFUNCTION("IF(ISBLANK(A844),IFERROR(1/0),IF(COUNT(FILTER(F:F,A:A=A844))&gt;1,TRUNC(N844*F844/SUM(FILTER(N:N,A:A=A844)),3),F844))"),"")</f>
        <v/>
      </c>
      <c r="K844" s="147" t="str">
        <f>IFERROR(__xludf.DUMMYFUNCTION("IF(ISBLANK(A844),IFERROR(1/0),IF(COUNT(FILTER(G:G,((A:A=A844)*(B:B=""V""))))&gt;1,TRUNC(N844*G844/SUM(FILTER(N:N,((A:A=A844)*(B:B=""V"")))),3),G844))"),"")</f>
        <v/>
      </c>
      <c r="L844" s="148" t="str">
        <f>IFERROR(__xludf.DUMMYFUNCTION("if($C844="""","""",iferror(if(row()&lt;&gt;2,INDEX(arrayformula(filter($M$2:$M843,$C$2:$C843&lt;&gt;"""",row($C$2:$C843)=max(if($C$2:$C843=C844,row($C$2:$C843),0)))) ,1),0),0))"),"")</f>
        <v/>
      </c>
      <c r="M844" s="148" t="str">
        <f t="shared" si="1"/>
        <v/>
      </c>
      <c r="N844" s="147" t="str">
        <f t="shared" si="2"/>
        <v/>
      </c>
      <c r="O844" s="147" t="str">
        <f t="shared" si="21"/>
        <v/>
      </c>
      <c r="P844" s="147" t="str">
        <f>IFERROR(__xludf.DUMMYFUNCTION("if(C844="""","""",iferror(if(row()&lt;&gt;2,INDEX(arrayformula(filter($Q$2:$Q843,$C$2:$C843&lt;&gt;"""",row($C$2:$C843)=max(if($C$2:$C843=C844,row($C$2:$C843),0)))) ,1),0),0))"),"")</f>
        <v/>
      </c>
      <c r="Q844" s="147" t="str">
        <f t="shared" si="22"/>
        <v/>
      </c>
      <c r="R844" s="147" t="str">
        <f t="shared" si="23"/>
        <v/>
      </c>
      <c r="S844" s="147" t="str">
        <f t="shared" si="24"/>
        <v/>
      </c>
      <c r="T844" s="147" t="str">
        <f t="shared" si="7"/>
        <v/>
      </c>
      <c r="U844" s="150" t="str">
        <f t="shared" si="8"/>
        <v/>
      </c>
      <c r="V844" s="151" t="str">
        <f>IFERROR(VLOOKUP(C844,Ativos!$A$1:$G2000,5,),)</f>
        <v/>
      </c>
    </row>
    <row r="845" ht="21.0" customHeight="1">
      <c r="A845" s="152"/>
      <c r="B845" s="160"/>
      <c r="C845" s="153"/>
      <c r="D845" s="154"/>
      <c r="E845" s="139"/>
      <c r="F845" s="139"/>
      <c r="G845" s="139"/>
      <c r="H845" s="135"/>
      <c r="I845" s="141"/>
      <c r="J845" s="147" t="str">
        <f>IFERROR(__xludf.DUMMYFUNCTION("IF(ISBLANK(A845),IFERROR(1/0),IF(COUNT(FILTER(F:F,A:A=A845))&gt;1,TRUNC(N845*F845/SUM(FILTER(N:N,A:A=A845)),3),F845))"),"")</f>
        <v/>
      </c>
      <c r="K845" s="147" t="str">
        <f>IFERROR(__xludf.DUMMYFUNCTION("IF(ISBLANK(A845),IFERROR(1/0),IF(COUNT(FILTER(G:G,((A:A=A845)*(B:B=""V""))))&gt;1,TRUNC(N845*G845/SUM(FILTER(N:N,((A:A=A845)*(B:B=""V"")))),3),G845))"),"")</f>
        <v/>
      </c>
      <c r="L845" s="148" t="str">
        <f>IFERROR(__xludf.DUMMYFUNCTION("if($C845="""","""",iferror(if(row()&lt;&gt;2,INDEX(arrayformula(filter($M$2:$M844,$C$2:$C844&lt;&gt;"""",row($C$2:$C844)=max(if($C$2:$C844=C845,row($C$2:$C844),0)))) ,1),0),0))"),"")</f>
        <v/>
      </c>
      <c r="M845" s="148" t="str">
        <f t="shared" si="1"/>
        <v/>
      </c>
      <c r="N845" s="147" t="str">
        <f t="shared" si="2"/>
        <v/>
      </c>
      <c r="O845" s="147" t="str">
        <f t="shared" si="21"/>
        <v/>
      </c>
      <c r="P845" s="147" t="str">
        <f>IFERROR(__xludf.DUMMYFUNCTION("if(C845="""","""",iferror(if(row()&lt;&gt;2,INDEX(arrayformula(filter($Q$2:$Q844,$C$2:$C844&lt;&gt;"""",row($C$2:$C844)=max(if($C$2:$C844=C845,row($C$2:$C844),0)))) ,1),0),0))"),"")</f>
        <v/>
      </c>
      <c r="Q845" s="147" t="str">
        <f t="shared" si="22"/>
        <v/>
      </c>
      <c r="R845" s="147" t="str">
        <f t="shared" si="23"/>
        <v/>
      </c>
      <c r="S845" s="147" t="str">
        <f t="shared" si="24"/>
        <v/>
      </c>
      <c r="T845" s="147" t="str">
        <f t="shared" si="7"/>
        <v/>
      </c>
      <c r="U845" s="150" t="str">
        <f t="shared" si="8"/>
        <v/>
      </c>
      <c r="V845" s="151" t="str">
        <f>IFERROR(VLOOKUP(C845,Ativos!$A$1:$G2000,5,),)</f>
        <v/>
      </c>
    </row>
    <row r="846" ht="21.0" customHeight="1">
      <c r="A846" s="152"/>
      <c r="B846" s="160"/>
      <c r="C846" s="153"/>
      <c r="D846" s="154"/>
      <c r="E846" s="139"/>
      <c r="F846" s="139"/>
      <c r="G846" s="139"/>
      <c r="H846" s="135"/>
      <c r="I846" s="141"/>
      <c r="J846" s="147" t="str">
        <f>IFERROR(__xludf.DUMMYFUNCTION("IF(ISBLANK(A846),IFERROR(1/0),IF(COUNT(FILTER(F:F,A:A=A846))&gt;1,TRUNC(N846*F846/SUM(FILTER(N:N,A:A=A846)),3),F846))"),"")</f>
        <v/>
      </c>
      <c r="K846" s="147" t="str">
        <f>IFERROR(__xludf.DUMMYFUNCTION("IF(ISBLANK(A846),IFERROR(1/0),IF(COUNT(FILTER(G:G,((A:A=A846)*(B:B=""V""))))&gt;1,TRUNC(N846*G846/SUM(FILTER(N:N,((A:A=A846)*(B:B=""V"")))),3),G846))"),"")</f>
        <v/>
      </c>
      <c r="L846" s="148" t="str">
        <f>IFERROR(__xludf.DUMMYFUNCTION("if($C846="""","""",iferror(if(row()&lt;&gt;2,INDEX(arrayformula(filter($M$2:$M845,$C$2:$C845&lt;&gt;"""",row($C$2:$C845)=max(if($C$2:$C845=C846,row($C$2:$C845),0)))) ,1),0),0))"),"")</f>
        <v/>
      </c>
      <c r="M846" s="148" t="str">
        <f t="shared" si="1"/>
        <v/>
      </c>
      <c r="N846" s="147" t="str">
        <f t="shared" si="2"/>
        <v/>
      </c>
      <c r="O846" s="147" t="str">
        <f t="shared" si="21"/>
        <v/>
      </c>
      <c r="P846" s="147" t="str">
        <f>IFERROR(__xludf.DUMMYFUNCTION("if(C846="""","""",iferror(if(row()&lt;&gt;2,INDEX(arrayformula(filter($Q$2:$Q845,$C$2:$C845&lt;&gt;"""",row($C$2:$C845)=max(if($C$2:$C845=C846,row($C$2:$C845),0)))) ,1),0),0))"),"")</f>
        <v/>
      </c>
      <c r="Q846" s="147" t="str">
        <f t="shared" si="22"/>
        <v/>
      </c>
      <c r="R846" s="147" t="str">
        <f t="shared" si="23"/>
        <v/>
      </c>
      <c r="S846" s="147" t="str">
        <f t="shared" si="24"/>
        <v/>
      </c>
      <c r="T846" s="147" t="str">
        <f t="shared" si="7"/>
        <v/>
      </c>
      <c r="U846" s="150" t="str">
        <f t="shared" si="8"/>
        <v/>
      </c>
      <c r="V846" s="151" t="str">
        <f>IFERROR(VLOOKUP(C846,Ativos!$A$1:$G2000,5,),)</f>
        <v/>
      </c>
    </row>
    <row r="847" ht="21.0" customHeight="1">
      <c r="A847" s="152"/>
      <c r="B847" s="160"/>
      <c r="C847" s="153"/>
      <c r="D847" s="154"/>
      <c r="E847" s="139"/>
      <c r="F847" s="139"/>
      <c r="G847" s="139"/>
      <c r="H847" s="135"/>
      <c r="I847" s="141"/>
      <c r="J847" s="147" t="str">
        <f>IFERROR(__xludf.DUMMYFUNCTION("IF(ISBLANK(A847),IFERROR(1/0),IF(COUNT(FILTER(F:F,A:A=A847))&gt;1,TRUNC(N847*F847/SUM(FILTER(N:N,A:A=A847)),3),F847))"),"")</f>
        <v/>
      </c>
      <c r="K847" s="147" t="str">
        <f>IFERROR(__xludf.DUMMYFUNCTION("IF(ISBLANK(A847),IFERROR(1/0),IF(COUNT(FILTER(G:G,((A:A=A847)*(B:B=""V""))))&gt;1,TRUNC(N847*G847/SUM(FILTER(N:N,((A:A=A847)*(B:B=""V"")))),3),G847))"),"")</f>
        <v/>
      </c>
      <c r="L847" s="148" t="str">
        <f>IFERROR(__xludf.DUMMYFUNCTION("if($C847="""","""",iferror(if(row()&lt;&gt;2,INDEX(arrayformula(filter($M$2:$M846,$C$2:$C846&lt;&gt;"""",row($C$2:$C846)=max(if($C$2:$C846=C847,row($C$2:$C846),0)))) ,1),0),0))"),"")</f>
        <v/>
      </c>
      <c r="M847" s="148" t="str">
        <f t="shared" si="1"/>
        <v/>
      </c>
      <c r="N847" s="147" t="str">
        <f t="shared" si="2"/>
        <v/>
      </c>
      <c r="O847" s="147" t="str">
        <f t="shared" si="21"/>
        <v/>
      </c>
      <c r="P847" s="147" t="str">
        <f>IFERROR(__xludf.DUMMYFUNCTION("if(C847="""","""",iferror(if(row()&lt;&gt;2,INDEX(arrayformula(filter($Q$2:$Q846,$C$2:$C846&lt;&gt;"""",row($C$2:$C846)=max(if($C$2:$C846=C847,row($C$2:$C846),0)))) ,1),0),0))"),"")</f>
        <v/>
      </c>
      <c r="Q847" s="147" t="str">
        <f t="shared" si="22"/>
        <v/>
      </c>
      <c r="R847" s="147" t="str">
        <f t="shared" si="23"/>
        <v/>
      </c>
      <c r="S847" s="147" t="str">
        <f t="shared" si="24"/>
        <v/>
      </c>
      <c r="T847" s="147" t="str">
        <f t="shared" si="7"/>
        <v/>
      </c>
      <c r="U847" s="150" t="str">
        <f t="shared" si="8"/>
        <v/>
      </c>
      <c r="V847" s="151" t="str">
        <f>IFERROR(VLOOKUP(C847,Ativos!$A$1:$G2000,5,),)</f>
        <v/>
      </c>
    </row>
    <row r="848" ht="21.0" customHeight="1">
      <c r="A848" s="152"/>
      <c r="B848" s="160"/>
      <c r="C848" s="153"/>
      <c r="D848" s="154"/>
      <c r="E848" s="139"/>
      <c r="F848" s="139"/>
      <c r="G848" s="139"/>
      <c r="H848" s="135"/>
      <c r="I848" s="141"/>
      <c r="J848" s="147" t="str">
        <f>IFERROR(__xludf.DUMMYFUNCTION("IF(ISBLANK(A848),IFERROR(1/0),IF(COUNT(FILTER(F:F,A:A=A848))&gt;1,TRUNC(N848*F848/SUM(FILTER(N:N,A:A=A848)),3),F848))"),"")</f>
        <v/>
      </c>
      <c r="K848" s="147" t="str">
        <f>IFERROR(__xludf.DUMMYFUNCTION("IF(ISBLANK(A848),IFERROR(1/0),IF(COUNT(FILTER(G:G,((A:A=A848)*(B:B=""V""))))&gt;1,TRUNC(N848*G848/SUM(FILTER(N:N,((A:A=A848)*(B:B=""V"")))),3),G848))"),"")</f>
        <v/>
      </c>
      <c r="L848" s="148" t="str">
        <f>IFERROR(__xludf.DUMMYFUNCTION("if($C848="""","""",iferror(if(row()&lt;&gt;2,INDEX(arrayformula(filter($M$2:$M847,$C$2:$C847&lt;&gt;"""",row($C$2:$C847)=max(if($C$2:$C847=C848,row($C$2:$C847),0)))) ,1),0),0))"),"")</f>
        <v/>
      </c>
      <c r="M848" s="148" t="str">
        <f t="shared" si="1"/>
        <v/>
      </c>
      <c r="N848" s="147" t="str">
        <f t="shared" si="2"/>
        <v/>
      </c>
      <c r="O848" s="147" t="str">
        <f t="shared" si="21"/>
        <v/>
      </c>
      <c r="P848" s="147" t="str">
        <f>IFERROR(__xludf.DUMMYFUNCTION("if(C848="""","""",iferror(if(row()&lt;&gt;2,INDEX(arrayformula(filter($Q$2:$Q847,$C$2:$C847&lt;&gt;"""",row($C$2:$C847)=max(if($C$2:$C847=C848,row($C$2:$C847),0)))) ,1),0),0))"),"")</f>
        <v/>
      </c>
      <c r="Q848" s="147" t="str">
        <f t="shared" si="22"/>
        <v/>
      </c>
      <c r="R848" s="147" t="str">
        <f t="shared" si="23"/>
        <v/>
      </c>
      <c r="S848" s="147" t="str">
        <f t="shared" si="24"/>
        <v/>
      </c>
      <c r="T848" s="147" t="str">
        <f t="shared" si="7"/>
        <v/>
      </c>
      <c r="U848" s="150" t="str">
        <f t="shared" si="8"/>
        <v/>
      </c>
      <c r="V848" s="151" t="str">
        <f>IFERROR(VLOOKUP(C848,Ativos!$A$1:$G2000,5,),)</f>
        <v/>
      </c>
    </row>
    <row r="849" ht="21.0" customHeight="1">
      <c r="A849" s="152"/>
      <c r="B849" s="160"/>
      <c r="C849" s="153"/>
      <c r="D849" s="154"/>
      <c r="E849" s="139"/>
      <c r="F849" s="139"/>
      <c r="G849" s="139"/>
      <c r="H849" s="135"/>
      <c r="I849" s="141"/>
      <c r="J849" s="147" t="str">
        <f>IFERROR(__xludf.DUMMYFUNCTION("IF(ISBLANK(A849),IFERROR(1/0),IF(COUNT(FILTER(F:F,A:A=A849))&gt;1,TRUNC(N849*F849/SUM(FILTER(N:N,A:A=A849)),3),F849))"),"")</f>
        <v/>
      </c>
      <c r="K849" s="147" t="str">
        <f>IFERROR(__xludf.DUMMYFUNCTION("IF(ISBLANK(A849),IFERROR(1/0),IF(COUNT(FILTER(G:G,((A:A=A849)*(B:B=""V""))))&gt;1,TRUNC(N849*G849/SUM(FILTER(N:N,((A:A=A849)*(B:B=""V"")))),3),G849))"),"")</f>
        <v/>
      </c>
      <c r="L849" s="148" t="str">
        <f>IFERROR(__xludf.DUMMYFUNCTION("if($C849="""","""",iferror(if(row()&lt;&gt;2,INDEX(arrayformula(filter($M$2:$M848,$C$2:$C848&lt;&gt;"""",row($C$2:$C848)=max(if($C$2:$C848=C849,row($C$2:$C848),0)))) ,1),0),0))"),"")</f>
        <v/>
      </c>
      <c r="M849" s="148" t="str">
        <f t="shared" si="1"/>
        <v/>
      </c>
      <c r="N849" s="147" t="str">
        <f t="shared" si="2"/>
        <v/>
      </c>
      <c r="O849" s="147" t="str">
        <f t="shared" si="21"/>
        <v/>
      </c>
      <c r="P849" s="147" t="str">
        <f>IFERROR(__xludf.DUMMYFUNCTION("if(C849="""","""",iferror(if(row()&lt;&gt;2,INDEX(arrayformula(filter($Q$2:$Q848,$C$2:$C848&lt;&gt;"""",row($C$2:$C848)=max(if($C$2:$C848=C849,row($C$2:$C848),0)))) ,1),0),0))"),"")</f>
        <v/>
      </c>
      <c r="Q849" s="147" t="str">
        <f t="shared" si="22"/>
        <v/>
      </c>
      <c r="R849" s="147" t="str">
        <f t="shared" si="23"/>
        <v/>
      </c>
      <c r="S849" s="147" t="str">
        <f t="shared" si="24"/>
        <v/>
      </c>
      <c r="T849" s="147" t="str">
        <f t="shared" si="7"/>
        <v/>
      </c>
      <c r="U849" s="150" t="str">
        <f t="shared" si="8"/>
        <v/>
      </c>
      <c r="V849" s="151" t="str">
        <f>IFERROR(VLOOKUP(C849,Ativos!$A$1:$G2000,5,),)</f>
        <v/>
      </c>
    </row>
    <row r="850" ht="21.0" customHeight="1">
      <c r="A850" s="152"/>
      <c r="B850" s="160"/>
      <c r="C850" s="153"/>
      <c r="D850" s="154"/>
      <c r="E850" s="139"/>
      <c r="F850" s="139"/>
      <c r="G850" s="139"/>
      <c r="H850" s="135"/>
      <c r="I850" s="141"/>
      <c r="J850" s="147" t="str">
        <f>IFERROR(__xludf.DUMMYFUNCTION("IF(ISBLANK(A850),IFERROR(1/0),IF(COUNT(FILTER(F:F,A:A=A850))&gt;1,TRUNC(N850*F850/SUM(FILTER(N:N,A:A=A850)),3),F850))"),"")</f>
        <v/>
      </c>
      <c r="K850" s="147" t="str">
        <f>IFERROR(__xludf.DUMMYFUNCTION("IF(ISBLANK(A850),IFERROR(1/0),IF(COUNT(FILTER(G:G,((A:A=A850)*(B:B=""V""))))&gt;1,TRUNC(N850*G850/SUM(FILTER(N:N,((A:A=A850)*(B:B=""V"")))),3),G850))"),"")</f>
        <v/>
      </c>
      <c r="L850" s="148" t="str">
        <f>IFERROR(__xludf.DUMMYFUNCTION("if($C850="""","""",iferror(if(row()&lt;&gt;2,INDEX(arrayformula(filter($M$2:$M849,$C$2:$C849&lt;&gt;"""",row($C$2:$C849)=max(if($C$2:$C849=C850,row($C$2:$C849),0)))) ,1),0),0))"),"")</f>
        <v/>
      </c>
      <c r="M850" s="148" t="str">
        <f t="shared" si="1"/>
        <v/>
      </c>
      <c r="N850" s="147" t="str">
        <f t="shared" si="2"/>
        <v/>
      </c>
      <c r="O850" s="147" t="str">
        <f t="shared" si="21"/>
        <v/>
      </c>
      <c r="P850" s="147" t="str">
        <f>IFERROR(__xludf.DUMMYFUNCTION("if(C850="""","""",iferror(if(row()&lt;&gt;2,INDEX(arrayformula(filter($Q$2:$Q849,$C$2:$C849&lt;&gt;"""",row($C$2:$C849)=max(if($C$2:$C849=C850,row($C$2:$C849),0)))) ,1),0),0))"),"")</f>
        <v/>
      </c>
      <c r="Q850" s="147" t="str">
        <f t="shared" si="22"/>
        <v/>
      </c>
      <c r="R850" s="147" t="str">
        <f t="shared" si="23"/>
        <v/>
      </c>
      <c r="S850" s="147" t="str">
        <f t="shared" si="24"/>
        <v/>
      </c>
      <c r="T850" s="147" t="str">
        <f t="shared" si="7"/>
        <v/>
      </c>
      <c r="U850" s="150" t="str">
        <f t="shared" si="8"/>
        <v/>
      </c>
      <c r="V850" s="151" t="str">
        <f>IFERROR(VLOOKUP(C850,Ativos!$A$1:$G2000,5,),)</f>
        <v/>
      </c>
    </row>
    <row r="851" ht="21.0" customHeight="1">
      <c r="A851" s="152"/>
      <c r="B851" s="160"/>
      <c r="C851" s="153"/>
      <c r="D851" s="154"/>
      <c r="E851" s="139"/>
      <c r="F851" s="139"/>
      <c r="G851" s="139"/>
      <c r="H851" s="135"/>
      <c r="I851" s="141"/>
      <c r="J851" s="147" t="str">
        <f>IFERROR(__xludf.DUMMYFUNCTION("IF(ISBLANK(A851),IFERROR(1/0),IF(COUNT(FILTER(F:F,A:A=A851))&gt;1,TRUNC(N851*F851/SUM(FILTER(N:N,A:A=A851)),3),F851))"),"")</f>
        <v/>
      </c>
      <c r="K851" s="147" t="str">
        <f>IFERROR(__xludf.DUMMYFUNCTION("IF(ISBLANK(A851),IFERROR(1/0),IF(COUNT(FILTER(G:G,((A:A=A851)*(B:B=""V""))))&gt;1,TRUNC(N851*G851/SUM(FILTER(N:N,((A:A=A851)*(B:B=""V"")))),3),G851))"),"")</f>
        <v/>
      </c>
      <c r="L851" s="148" t="str">
        <f>IFERROR(__xludf.DUMMYFUNCTION("if($C851="""","""",iferror(if(row()&lt;&gt;2,INDEX(arrayformula(filter($M$2:$M850,$C$2:$C850&lt;&gt;"""",row($C$2:$C850)=max(if($C$2:$C850=C851,row($C$2:$C850),0)))) ,1),0),0))"),"")</f>
        <v/>
      </c>
      <c r="M851" s="148" t="str">
        <f t="shared" si="1"/>
        <v/>
      </c>
      <c r="N851" s="147" t="str">
        <f t="shared" si="2"/>
        <v/>
      </c>
      <c r="O851" s="147" t="str">
        <f t="shared" si="21"/>
        <v/>
      </c>
      <c r="P851" s="147" t="str">
        <f>IFERROR(__xludf.DUMMYFUNCTION("if(C851="""","""",iferror(if(row()&lt;&gt;2,INDEX(arrayformula(filter($Q$2:$Q850,$C$2:$C850&lt;&gt;"""",row($C$2:$C850)=max(if($C$2:$C850=C851,row($C$2:$C850),0)))) ,1),0),0))"),"")</f>
        <v/>
      </c>
      <c r="Q851" s="147" t="str">
        <f t="shared" si="22"/>
        <v/>
      </c>
      <c r="R851" s="147" t="str">
        <f t="shared" si="23"/>
        <v/>
      </c>
      <c r="S851" s="147" t="str">
        <f t="shared" si="24"/>
        <v/>
      </c>
      <c r="T851" s="147" t="str">
        <f t="shared" si="7"/>
        <v/>
      </c>
      <c r="U851" s="150" t="str">
        <f t="shared" si="8"/>
        <v/>
      </c>
      <c r="V851" s="151" t="str">
        <f>IFERROR(VLOOKUP(C851,Ativos!$A$1:$G2000,5,),)</f>
        <v/>
      </c>
    </row>
    <row r="852" ht="21.0" customHeight="1">
      <c r="A852" s="152"/>
      <c r="B852" s="160"/>
      <c r="C852" s="153"/>
      <c r="D852" s="154"/>
      <c r="E852" s="139"/>
      <c r="F852" s="139"/>
      <c r="G852" s="139"/>
      <c r="H852" s="135"/>
      <c r="I852" s="141"/>
      <c r="J852" s="147" t="str">
        <f>IFERROR(__xludf.DUMMYFUNCTION("IF(ISBLANK(A852),IFERROR(1/0),IF(COUNT(FILTER(F:F,A:A=A852))&gt;1,TRUNC(N852*F852/SUM(FILTER(N:N,A:A=A852)),3),F852))"),"")</f>
        <v/>
      </c>
      <c r="K852" s="147" t="str">
        <f>IFERROR(__xludf.DUMMYFUNCTION("IF(ISBLANK(A852),IFERROR(1/0),IF(COUNT(FILTER(G:G,((A:A=A852)*(B:B=""V""))))&gt;1,TRUNC(N852*G852/SUM(FILTER(N:N,((A:A=A852)*(B:B=""V"")))),3),G852))"),"")</f>
        <v/>
      </c>
      <c r="L852" s="148" t="str">
        <f>IFERROR(__xludf.DUMMYFUNCTION("if($C852="""","""",iferror(if(row()&lt;&gt;2,INDEX(arrayformula(filter($M$2:$M851,$C$2:$C851&lt;&gt;"""",row($C$2:$C851)=max(if($C$2:$C851=C852,row($C$2:$C851),0)))) ,1),0),0))"),"")</f>
        <v/>
      </c>
      <c r="M852" s="148" t="str">
        <f t="shared" si="1"/>
        <v/>
      </c>
      <c r="N852" s="147" t="str">
        <f t="shared" si="2"/>
        <v/>
      </c>
      <c r="O852" s="147" t="str">
        <f t="shared" si="21"/>
        <v/>
      </c>
      <c r="P852" s="147" t="str">
        <f>IFERROR(__xludf.DUMMYFUNCTION("if(C852="""","""",iferror(if(row()&lt;&gt;2,INDEX(arrayformula(filter($Q$2:$Q851,$C$2:$C851&lt;&gt;"""",row($C$2:$C851)=max(if($C$2:$C851=C852,row($C$2:$C851),0)))) ,1),0),0))"),"")</f>
        <v/>
      </c>
      <c r="Q852" s="147" t="str">
        <f t="shared" si="22"/>
        <v/>
      </c>
      <c r="R852" s="147" t="str">
        <f t="shared" si="23"/>
        <v/>
      </c>
      <c r="S852" s="147" t="str">
        <f t="shared" si="24"/>
        <v/>
      </c>
      <c r="T852" s="147" t="str">
        <f t="shared" si="7"/>
        <v/>
      </c>
      <c r="U852" s="150" t="str">
        <f t="shared" si="8"/>
        <v/>
      </c>
      <c r="V852" s="151" t="str">
        <f>IFERROR(VLOOKUP(C852,Ativos!$A$1:$G2000,5,),)</f>
        <v/>
      </c>
    </row>
    <row r="853" ht="21.0" customHeight="1">
      <c r="A853" s="152"/>
      <c r="B853" s="160"/>
      <c r="C853" s="153"/>
      <c r="D853" s="154"/>
      <c r="E853" s="139"/>
      <c r="F853" s="139"/>
      <c r="G853" s="139"/>
      <c r="H853" s="135"/>
      <c r="I853" s="141"/>
      <c r="J853" s="147" t="str">
        <f>IFERROR(__xludf.DUMMYFUNCTION("IF(ISBLANK(A853),IFERROR(1/0),IF(COUNT(FILTER(F:F,A:A=A853))&gt;1,TRUNC(N853*F853/SUM(FILTER(N:N,A:A=A853)),3),F853))"),"")</f>
        <v/>
      </c>
      <c r="K853" s="147" t="str">
        <f>IFERROR(__xludf.DUMMYFUNCTION("IF(ISBLANK(A853),IFERROR(1/0),IF(COUNT(FILTER(G:G,((A:A=A853)*(B:B=""V""))))&gt;1,TRUNC(N853*G853/SUM(FILTER(N:N,((A:A=A853)*(B:B=""V"")))),3),G853))"),"")</f>
        <v/>
      </c>
      <c r="L853" s="148" t="str">
        <f>IFERROR(__xludf.DUMMYFUNCTION("if($C853="""","""",iferror(if(row()&lt;&gt;2,INDEX(arrayformula(filter($M$2:$M852,$C$2:$C852&lt;&gt;"""",row($C$2:$C852)=max(if($C$2:$C852=C853,row($C$2:$C852),0)))) ,1),0),0))"),"")</f>
        <v/>
      </c>
      <c r="M853" s="148" t="str">
        <f t="shared" si="1"/>
        <v/>
      </c>
      <c r="N853" s="147" t="str">
        <f t="shared" si="2"/>
        <v/>
      </c>
      <c r="O853" s="147" t="str">
        <f t="shared" si="21"/>
        <v/>
      </c>
      <c r="P853" s="147" t="str">
        <f>IFERROR(__xludf.DUMMYFUNCTION("if(C853="""","""",iferror(if(row()&lt;&gt;2,INDEX(arrayformula(filter($Q$2:$Q852,$C$2:$C852&lt;&gt;"""",row($C$2:$C852)=max(if($C$2:$C852=C853,row($C$2:$C852),0)))) ,1),0),0))"),"")</f>
        <v/>
      </c>
      <c r="Q853" s="147" t="str">
        <f t="shared" si="22"/>
        <v/>
      </c>
      <c r="R853" s="147" t="str">
        <f t="shared" si="23"/>
        <v/>
      </c>
      <c r="S853" s="147" t="str">
        <f t="shared" si="24"/>
        <v/>
      </c>
      <c r="T853" s="147" t="str">
        <f t="shared" si="7"/>
        <v/>
      </c>
      <c r="U853" s="150" t="str">
        <f t="shared" si="8"/>
        <v/>
      </c>
      <c r="V853" s="151" t="str">
        <f>IFERROR(VLOOKUP(C853,Ativos!$A$1:$G2000,5,),)</f>
        <v/>
      </c>
    </row>
    <row r="854" ht="21.0" customHeight="1">
      <c r="A854" s="152"/>
      <c r="B854" s="160"/>
      <c r="C854" s="153"/>
      <c r="D854" s="154"/>
      <c r="E854" s="139"/>
      <c r="F854" s="139"/>
      <c r="G854" s="139"/>
      <c r="H854" s="135"/>
      <c r="I854" s="141"/>
      <c r="J854" s="147" t="str">
        <f>IFERROR(__xludf.DUMMYFUNCTION("IF(ISBLANK(A854),IFERROR(1/0),IF(COUNT(FILTER(F:F,A:A=A854))&gt;1,TRUNC(N854*F854/SUM(FILTER(N:N,A:A=A854)),3),F854))"),"")</f>
        <v/>
      </c>
      <c r="K854" s="147" t="str">
        <f>IFERROR(__xludf.DUMMYFUNCTION("IF(ISBLANK(A854),IFERROR(1/0),IF(COUNT(FILTER(G:G,((A:A=A854)*(B:B=""V""))))&gt;1,TRUNC(N854*G854/SUM(FILTER(N:N,((A:A=A854)*(B:B=""V"")))),3),G854))"),"")</f>
        <v/>
      </c>
      <c r="L854" s="148" t="str">
        <f>IFERROR(__xludf.DUMMYFUNCTION("if($C854="""","""",iferror(if(row()&lt;&gt;2,INDEX(arrayformula(filter($M$2:$M853,$C$2:$C853&lt;&gt;"""",row($C$2:$C853)=max(if($C$2:$C853=C854,row($C$2:$C853),0)))) ,1),0),0))"),"")</f>
        <v/>
      </c>
      <c r="M854" s="148" t="str">
        <f t="shared" si="1"/>
        <v/>
      </c>
      <c r="N854" s="147" t="str">
        <f t="shared" si="2"/>
        <v/>
      </c>
      <c r="O854" s="147" t="str">
        <f t="shared" si="21"/>
        <v/>
      </c>
      <c r="P854" s="147" t="str">
        <f>IFERROR(__xludf.DUMMYFUNCTION("if(C854="""","""",iferror(if(row()&lt;&gt;2,INDEX(arrayformula(filter($Q$2:$Q853,$C$2:$C853&lt;&gt;"""",row($C$2:$C853)=max(if($C$2:$C853=C854,row($C$2:$C853),0)))) ,1),0),0))"),"")</f>
        <v/>
      </c>
      <c r="Q854" s="147" t="str">
        <f t="shared" si="22"/>
        <v/>
      </c>
      <c r="R854" s="147" t="str">
        <f t="shared" si="23"/>
        <v/>
      </c>
      <c r="S854" s="147" t="str">
        <f t="shared" si="24"/>
        <v/>
      </c>
      <c r="T854" s="147" t="str">
        <f t="shared" si="7"/>
        <v/>
      </c>
      <c r="U854" s="150" t="str">
        <f t="shared" si="8"/>
        <v/>
      </c>
      <c r="V854" s="151" t="str">
        <f>IFERROR(VLOOKUP(C854,Ativos!$A$1:$G2000,5,),)</f>
        <v/>
      </c>
    </row>
    <row r="855" ht="21.0" customHeight="1">
      <c r="A855" s="152"/>
      <c r="B855" s="160"/>
      <c r="C855" s="153"/>
      <c r="D855" s="154"/>
      <c r="E855" s="139"/>
      <c r="F855" s="139"/>
      <c r="G855" s="139"/>
      <c r="H855" s="135"/>
      <c r="I855" s="141"/>
      <c r="J855" s="147" t="str">
        <f>IFERROR(__xludf.DUMMYFUNCTION("IF(ISBLANK(A855),IFERROR(1/0),IF(COUNT(FILTER(F:F,A:A=A855))&gt;1,TRUNC(N855*F855/SUM(FILTER(N:N,A:A=A855)),3),F855))"),"")</f>
        <v/>
      </c>
      <c r="K855" s="147" t="str">
        <f>IFERROR(__xludf.DUMMYFUNCTION("IF(ISBLANK(A855),IFERROR(1/0),IF(COUNT(FILTER(G:G,((A:A=A855)*(B:B=""V""))))&gt;1,TRUNC(N855*G855/SUM(FILTER(N:N,((A:A=A855)*(B:B=""V"")))),3),G855))"),"")</f>
        <v/>
      </c>
      <c r="L855" s="148" t="str">
        <f>IFERROR(__xludf.DUMMYFUNCTION("if($C855="""","""",iferror(if(row()&lt;&gt;2,INDEX(arrayformula(filter($M$2:$M854,$C$2:$C854&lt;&gt;"""",row($C$2:$C854)=max(if($C$2:$C854=C855,row($C$2:$C854),0)))) ,1),0),0))"),"")</f>
        <v/>
      </c>
      <c r="M855" s="148" t="str">
        <f t="shared" si="1"/>
        <v/>
      </c>
      <c r="N855" s="147" t="str">
        <f t="shared" si="2"/>
        <v/>
      </c>
      <c r="O855" s="147" t="str">
        <f t="shared" si="21"/>
        <v/>
      </c>
      <c r="P855" s="147" t="str">
        <f>IFERROR(__xludf.DUMMYFUNCTION("if(C855="""","""",iferror(if(row()&lt;&gt;2,INDEX(arrayformula(filter($Q$2:$Q854,$C$2:$C854&lt;&gt;"""",row($C$2:$C854)=max(if($C$2:$C854=C855,row($C$2:$C854),0)))) ,1),0),0))"),"")</f>
        <v/>
      </c>
      <c r="Q855" s="147" t="str">
        <f t="shared" si="22"/>
        <v/>
      </c>
      <c r="R855" s="147" t="str">
        <f t="shared" si="23"/>
        <v/>
      </c>
      <c r="S855" s="147" t="str">
        <f t="shared" si="24"/>
        <v/>
      </c>
      <c r="T855" s="147" t="str">
        <f t="shared" si="7"/>
        <v/>
      </c>
      <c r="U855" s="150" t="str">
        <f t="shared" si="8"/>
        <v/>
      </c>
      <c r="V855" s="151" t="str">
        <f>IFERROR(VLOOKUP(C855,Ativos!$A$1:$G2000,5,),)</f>
        <v/>
      </c>
    </row>
    <row r="856" ht="21.0" customHeight="1">
      <c r="A856" s="152"/>
      <c r="B856" s="160"/>
      <c r="C856" s="153"/>
      <c r="D856" s="154"/>
      <c r="E856" s="139"/>
      <c r="F856" s="139"/>
      <c r="G856" s="139"/>
      <c r="H856" s="135"/>
      <c r="I856" s="141"/>
      <c r="J856" s="147" t="str">
        <f>IFERROR(__xludf.DUMMYFUNCTION("IF(ISBLANK(A856),IFERROR(1/0),IF(COUNT(FILTER(F:F,A:A=A856))&gt;1,TRUNC(N856*F856/SUM(FILTER(N:N,A:A=A856)),3),F856))"),"")</f>
        <v/>
      </c>
      <c r="K856" s="147" t="str">
        <f>IFERROR(__xludf.DUMMYFUNCTION("IF(ISBLANK(A856),IFERROR(1/0),IF(COUNT(FILTER(G:G,((A:A=A856)*(B:B=""V""))))&gt;1,TRUNC(N856*G856/SUM(FILTER(N:N,((A:A=A856)*(B:B=""V"")))),3),G856))"),"")</f>
        <v/>
      </c>
      <c r="L856" s="148" t="str">
        <f>IFERROR(__xludf.DUMMYFUNCTION("if($C856="""","""",iferror(if(row()&lt;&gt;2,INDEX(arrayformula(filter($M$2:$M855,$C$2:$C855&lt;&gt;"""",row($C$2:$C855)=max(if($C$2:$C855=C856,row($C$2:$C855),0)))) ,1),0),0))"),"")</f>
        <v/>
      </c>
      <c r="M856" s="148" t="str">
        <f t="shared" si="1"/>
        <v/>
      </c>
      <c r="N856" s="147" t="str">
        <f t="shared" si="2"/>
        <v/>
      </c>
      <c r="O856" s="147" t="str">
        <f t="shared" si="21"/>
        <v/>
      </c>
      <c r="P856" s="147" t="str">
        <f>IFERROR(__xludf.DUMMYFUNCTION("if(C856="""","""",iferror(if(row()&lt;&gt;2,INDEX(arrayformula(filter($Q$2:$Q855,$C$2:$C855&lt;&gt;"""",row($C$2:$C855)=max(if($C$2:$C855=C856,row($C$2:$C855),0)))) ,1),0),0))"),"")</f>
        <v/>
      </c>
      <c r="Q856" s="147" t="str">
        <f t="shared" si="22"/>
        <v/>
      </c>
      <c r="R856" s="147" t="str">
        <f t="shared" si="23"/>
        <v/>
      </c>
      <c r="S856" s="147" t="str">
        <f t="shared" si="24"/>
        <v/>
      </c>
      <c r="T856" s="147" t="str">
        <f t="shared" si="7"/>
        <v/>
      </c>
      <c r="U856" s="150" t="str">
        <f t="shared" si="8"/>
        <v/>
      </c>
      <c r="V856" s="151" t="str">
        <f>IFERROR(VLOOKUP(C856,Ativos!$A$1:$G2000,5,),)</f>
        <v/>
      </c>
    </row>
    <row r="857" ht="21.0" customHeight="1">
      <c r="A857" s="152"/>
      <c r="B857" s="160"/>
      <c r="C857" s="153"/>
      <c r="D857" s="154"/>
      <c r="E857" s="139"/>
      <c r="F857" s="139"/>
      <c r="G857" s="139"/>
      <c r="H857" s="135"/>
      <c r="I857" s="141"/>
      <c r="J857" s="147" t="str">
        <f>IFERROR(__xludf.DUMMYFUNCTION("IF(ISBLANK(A857),IFERROR(1/0),IF(COUNT(FILTER(F:F,A:A=A857))&gt;1,TRUNC(N857*F857/SUM(FILTER(N:N,A:A=A857)),3),F857))"),"")</f>
        <v/>
      </c>
      <c r="K857" s="147" t="str">
        <f>IFERROR(__xludf.DUMMYFUNCTION("IF(ISBLANK(A857),IFERROR(1/0),IF(COUNT(FILTER(G:G,((A:A=A857)*(B:B=""V""))))&gt;1,TRUNC(N857*G857/SUM(FILTER(N:N,((A:A=A857)*(B:B=""V"")))),3),G857))"),"")</f>
        <v/>
      </c>
      <c r="L857" s="148" t="str">
        <f>IFERROR(__xludf.DUMMYFUNCTION("if($C857="""","""",iferror(if(row()&lt;&gt;2,INDEX(arrayformula(filter($M$2:$M856,$C$2:$C856&lt;&gt;"""",row($C$2:$C856)=max(if($C$2:$C856=C857,row($C$2:$C856),0)))) ,1),0),0))"),"")</f>
        <v/>
      </c>
      <c r="M857" s="148" t="str">
        <f t="shared" si="1"/>
        <v/>
      </c>
      <c r="N857" s="147" t="str">
        <f t="shared" si="2"/>
        <v/>
      </c>
      <c r="O857" s="147" t="str">
        <f t="shared" si="21"/>
        <v/>
      </c>
      <c r="P857" s="147" t="str">
        <f>IFERROR(__xludf.DUMMYFUNCTION("if(C857="""","""",iferror(if(row()&lt;&gt;2,INDEX(arrayformula(filter($Q$2:$Q856,$C$2:$C856&lt;&gt;"""",row($C$2:$C856)=max(if($C$2:$C856=C857,row($C$2:$C856),0)))) ,1),0),0))"),"")</f>
        <v/>
      </c>
      <c r="Q857" s="147" t="str">
        <f t="shared" si="22"/>
        <v/>
      </c>
      <c r="R857" s="147" t="str">
        <f t="shared" si="23"/>
        <v/>
      </c>
      <c r="S857" s="147" t="str">
        <f t="shared" si="24"/>
        <v/>
      </c>
      <c r="T857" s="147" t="str">
        <f t="shared" si="7"/>
        <v/>
      </c>
      <c r="U857" s="150" t="str">
        <f t="shared" si="8"/>
        <v/>
      </c>
      <c r="V857" s="151" t="str">
        <f>IFERROR(VLOOKUP(C857,Ativos!$A$1:$G2000,5,),)</f>
        <v/>
      </c>
    </row>
    <row r="858" ht="21.0" customHeight="1">
      <c r="A858" s="152"/>
      <c r="B858" s="160"/>
      <c r="C858" s="153"/>
      <c r="D858" s="154"/>
      <c r="E858" s="139"/>
      <c r="F858" s="139"/>
      <c r="G858" s="139"/>
      <c r="H858" s="135"/>
      <c r="I858" s="141"/>
      <c r="J858" s="147" t="str">
        <f>IFERROR(__xludf.DUMMYFUNCTION("IF(ISBLANK(A858),IFERROR(1/0),IF(COUNT(FILTER(F:F,A:A=A858))&gt;1,TRUNC(N858*F858/SUM(FILTER(N:N,A:A=A858)),3),F858))"),"")</f>
        <v/>
      </c>
      <c r="K858" s="147" t="str">
        <f>IFERROR(__xludf.DUMMYFUNCTION("IF(ISBLANK(A858),IFERROR(1/0),IF(COUNT(FILTER(G:G,((A:A=A858)*(B:B=""V""))))&gt;1,TRUNC(N858*G858/SUM(FILTER(N:N,((A:A=A858)*(B:B=""V"")))),3),G858))"),"")</f>
        <v/>
      </c>
      <c r="L858" s="148" t="str">
        <f>IFERROR(__xludf.DUMMYFUNCTION("if($C858="""","""",iferror(if(row()&lt;&gt;2,INDEX(arrayformula(filter($M$2:$M857,$C$2:$C857&lt;&gt;"""",row($C$2:$C857)=max(if($C$2:$C857=C858,row($C$2:$C857),0)))) ,1),0),0))"),"")</f>
        <v/>
      </c>
      <c r="M858" s="148" t="str">
        <f t="shared" si="1"/>
        <v/>
      </c>
      <c r="N858" s="147" t="str">
        <f t="shared" si="2"/>
        <v/>
      </c>
      <c r="O858" s="147" t="str">
        <f t="shared" si="21"/>
        <v/>
      </c>
      <c r="P858" s="147" t="str">
        <f>IFERROR(__xludf.DUMMYFUNCTION("if(C858="""","""",iferror(if(row()&lt;&gt;2,INDEX(arrayformula(filter($Q$2:$Q857,$C$2:$C857&lt;&gt;"""",row($C$2:$C857)=max(if($C$2:$C857=C858,row($C$2:$C857),0)))) ,1),0),0))"),"")</f>
        <v/>
      </c>
      <c r="Q858" s="147" t="str">
        <f t="shared" si="22"/>
        <v/>
      </c>
      <c r="R858" s="147" t="str">
        <f t="shared" si="23"/>
        <v/>
      </c>
      <c r="S858" s="147" t="str">
        <f t="shared" si="24"/>
        <v/>
      </c>
      <c r="T858" s="147" t="str">
        <f t="shared" si="7"/>
        <v/>
      </c>
      <c r="U858" s="150" t="str">
        <f t="shared" si="8"/>
        <v/>
      </c>
      <c r="V858" s="151" t="str">
        <f>IFERROR(VLOOKUP(C858,Ativos!$A$1:$G2000,5,),)</f>
        <v/>
      </c>
    </row>
    <row r="859" ht="21.0" customHeight="1">
      <c r="A859" s="152"/>
      <c r="B859" s="160"/>
      <c r="C859" s="153"/>
      <c r="D859" s="154"/>
      <c r="E859" s="139"/>
      <c r="F859" s="139"/>
      <c r="G859" s="139"/>
      <c r="H859" s="135"/>
      <c r="I859" s="141"/>
      <c r="J859" s="147" t="str">
        <f>IFERROR(__xludf.DUMMYFUNCTION("IF(ISBLANK(A859),IFERROR(1/0),IF(COUNT(FILTER(F:F,A:A=A859))&gt;1,TRUNC(N859*F859/SUM(FILTER(N:N,A:A=A859)),3),F859))"),"")</f>
        <v/>
      </c>
      <c r="K859" s="147" t="str">
        <f>IFERROR(__xludf.DUMMYFUNCTION("IF(ISBLANK(A859),IFERROR(1/0),IF(COUNT(FILTER(G:G,((A:A=A859)*(B:B=""V""))))&gt;1,TRUNC(N859*G859/SUM(FILTER(N:N,((A:A=A859)*(B:B=""V"")))),3),G859))"),"")</f>
        <v/>
      </c>
      <c r="L859" s="148" t="str">
        <f>IFERROR(__xludf.DUMMYFUNCTION("if($C859="""","""",iferror(if(row()&lt;&gt;2,INDEX(arrayformula(filter($M$2:$M858,$C$2:$C858&lt;&gt;"""",row($C$2:$C858)=max(if($C$2:$C858=C859,row($C$2:$C858),0)))) ,1),0),0))"),"")</f>
        <v/>
      </c>
      <c r="M859" s="148" t="str">
        <f t="shared" si="1"/>
        <v/>
      </c>
      <c r="N859" s="147" t="str">
        <f t="shared" si="2"/>
        <v/>
      </c>
      <c r="O859" s="147" t="str">
        <f t="shared" si="21"/>
        <v/>
      </c>
      <c r="P859" s="147" t="str">
        <f>IFERROR(__xludf.DUMMYFUNCTION("if(C859="""","""",iferror(if(row()&lt;&gt;2,INDEX(arrayformula(filter($Q$2:$Q858,$C$2:$C858&lt;&gt;"""",row($C$2:$C858)=max(if($C$2:$C858=C859,row($C$2:$C858),0)))) ,1),0),0))"),"")</f>
        <v/>
      </c>
      <c r="Q859" s="147" t="str">
        <f t="shared" si="22"/>
        <v/>
      </c>
      <c r="R859" s="147" t="str">
        <f t="shared" si="23"/>
        <v/>
      </c>
      <c r="S859" s="147" t="str">
        <f t="shared" si="24"/>
        <v/>
      </c>
      <c r="T859" s="147" t="str">
        <f t="shared" si="7"/>
        <v/>
      </c>
      <c r="U859" s="150" t="str">
        <f t="shared" si="8"/>
        <v/>
      </c>
      <c r="V859" s="151" t="str">
        <f>IFERROR(VLOOKUP(C859,Ativos!$A$1:$G2000,5,),)</f>
        <v/>
      </c>
    </row>
    <row r="860" ht="21.0" customHeight="1">
      <c r="A860" s="152"/>
      <c r="B860" s="160"/>
      <c r="C860" s="153"/>
      <c r="D860" s="154"/>
      <c r="E860" s="139"/>
      <c r="F860" s="139"/>
      <c r="G860" s="139"/>
      <c r="H860" s="135"/>
      <c r="I860" s="141"/>
      <c r="J860" s="147" t="str">
        <f>IFERROR(__xludf.DUMMYFUNCTION("IF(ISBLANK(A860),IFERROR(1/0),IF(COUNT(FILTER(F:F,A:A=A860))&gt;1,TRUNC(N860*F860/SUM(FILTER(N:N,A:A=A860)),3),F860))"),"")</f>
        <v/>
      </c>
      <c r="K860" s="147" t="str">
        <f>IFERROR(__xludf.DUMMYFUNCTION("IF(ISBLANK(A860),IFERROR(1/0),IF(COUNT(FILTER(G:G,((A:A=A860)*(B:B=""V""))))&gt;1,TRUNC(N860*G860/SUM(FILTER(N:N,((A:A=A860)*(B:B=""V"")))),3),G860))"),"")</f>
        <v/>
      </c>
      <c r="L860" s="148" t="str">
        <f>IFERROR(__xludf.DUMMYFUNCTION("if($C860="""","""",iferror(if(row()&lt;&gt;2,INDEX(arrayformula(filter($M$2:$M859,$C$2:$C859&lt;&gt;"""",row($C$2:$C859)=max(if($C$2:$C859=C860,row($C$2:$C859),0)))) ,1),0),0))"),"")</f>
        <v/>
      </c>
      <c r="M860" s="148" t="str">
        <f t="shared" si="1"/>
        <v/>
      </c>
      <c r="N860" s="147" t="str">
        <f t="shared" si="2"/>
        <v/>
      </c>
      <c r="O860" s="147" t="str">
        <f t="shared" si="21"/>
        <v/>
      </c>
      <c r="P860" s="147" t="str">
        <f>IFERROR(__xludf.DUMMYFUNCTION("if(C860="""","""",iferror(if(row()&lt;&gt;2,INDEX(arrayformula(filter($Q$2:$Q859,$C$2:$C859&lt;&gt;"""",row($C$2:$C859)=max(if($C$2:$C859=C860,row($C$2:$C859),0)))) ,1),0),0))"),"")</f>
        <v/>
      </c>
      <c r="Q860" s="147" t="str">
        <f t="shared" si="22"/>
        <v/>
      </c>
      <c r="R860" s="147" t="str">
        <f t="shared" si="23"/>
        <v/>
      </c>
      <c r="S860" s="147" t="str">
        <f t="shared" si="24"/>
        <v/>
      </c>
      <c r="T860" s="147" t="str">
        <f t="shared" si="7"/>
        <v/>
      </c>
      <c r="U860" s="150" t="str">
        <f t="shared" si="8"/>
        <v/>
      </c>
      <c r="V860" s="151" t="str">
        <f>IFERROR(VLOOKUP(C860,Ativos!$A$1:$G2000,5,),)</f>
        <v/>
      </c>
    </row>
    <row r="861" ht="21.0" customHeight="1">
      <c r="A861" s="152"/>
      <c r="B861" s="160"/>
      <c r="C861" s="153"/>
      <c r="D861" s="154"/>
      <c r="E861" s="139"/>
      <c r="F861" s="139"/>
      <c r="G861" s="139"/>
      <c r="H861" s="135"/>
      <c r="I861" s="141"/>
      <c r="J861" s="147" t="str">
        <f>IFERROR(__xludf.DUMMYFUNCTION("IF(ISBLANK(A861),IFERROR(1/0),IF(COUNT(FILTER(F:F,A:A=A861))&gt;1,TRUNC(N861*F861/SUM(FILTER(N:N,A:A=A861)),3),F861))"),"")</f>
        <v/>
      </c>
      <c r="K861" s="147" t="str">
        <f>IFERROR(__xludf.DUMMYFUNCTION("IF(ISBLANK(A861),IFERROR(1/0),IF(COUNT(FILTER(G:G,((A:A=A861)*(B:B=""V""))))&gt;1,TRUNC(N861*G861/SUM(FILTER(N:N,((A:A=A861)*(B:B=""V"")))),3),G861))"),"")</f>
        <v/>
      </c>
      <c r="L861" s="148" t="str">
        <f>IFERROR(__xludf.DUMMYFUNCTION("if($C861="""","""",iferror(if(row()&lt;&gt;2,INDEX(arrayformula(filter($M$2:$M860,$C$2:$C860&lt;&gt;"""",row($C$2:$C860)=max(if($C$2:$C860=C861,row($C$2:$C860),0)))) ,1),0),0))"),"")</f>
        <v/>
      </c>
      <c r="M861" s="148" t="str">
        <f t="shared" si="1"/>
        <v/>
      </c>
      <c r="N861" s="147" t="str">
        <f t="shared" si="2"/>
        <v/>
      </c>
      <c r="O861" s="147" t="str">
        <f t="shared" si="21"/>
        <v/>
      </c>
      <c r="P861" s="147" t="str">
        <f>IFERROR(__xludf.DUMMYFUNCTION("if(C861="""","""",iferror(if(row()&lt;&gt;2,INDEX(arrayformula(filter($Q$2:$Q860,$C$2:$C860&lt;&gt;"""",row($C$2:$C860)=max(if($C$2:$C860=C861,row($C$2:$C860),0)))) ,1),0),0))"),"")</f>
        <v/>
      </c>
      <c r="Q861" s="147" t="str">
        <f t="shared" si="22"/>
        <v/>
      </c>
      <c r="R861" s="147" t="str">
        <f t="shared" si="23"/>
        <v/>
      </c>
      <c r="S861" s="147" t="str">
        <f t="shared" si="24"/>
        <v/>
      </c>
      <c r="T861" s="147" t="str">
        <f t="shared" si="7"/>
        <v/>
      </c>
      <c r="U861" s="150" t="str">
        <f t="shared" si="8"/>
        <v/>
      </c>
      <c r="V861" s="151" t="str">
        <f>IFERROR(VLOOKUP(C861,Ativos!$A$1:$G2000,5,),)</f>
        <v/>
      </c>
    </row>
    <row r="862" ht="21.0" customHeight="1">
      <c r="A862" s="152"/>
      <c r="B862" s="160"/>
      <c r="C862" s="153"/>
      <c r="D862" s="154"/>
      <c r="E862" s="139"/>
      <c r="F862" s="139"/>
      <c r="G862" s="139"/>
      <c r="H862" s="135"/>
      <c r="I862" s="141"/>
      <c r="J862" s="147" t="str">
        <f>IFERROR(__xludf.DUMMYFUNCTION("IF(ISBLANK(A862),IFERROR(1/0),IF(COUNT(FILTER(F:F,A:A=A862))&gt;1,TRUNC(N862*F862/SUM(FILTER(N:N,A:A=A862)),3),F862))"),"")</f>
        <v/>
      </c>
      <c r="K862" s="147" t="str">
        <f>IFERROR(__xludf.DUMMYFUNCTION("IF(ISBLANK(A862),IFERROR(1/0),IF(COUNT(FILTER(G:G,((A:A=A862)*(B:B=""V""))))&gt;1,TRUNC(N862*G862/SUM(FILTER(N:N,((A:A=A862)*(B:B=""V"")))),3),G862))"),"")</f>
        <v/>
      </c>
      <c r="L862" s="148" t="str">
        <f>IFERROR(__xludf.DUMMYFUNCTION("if($C862="""","""",iferror(if(row()&lt;&gt;2,INDEX(arrayformula(filter($M$2:$M861,$C$2:$C861&lt;&gt;"""",row($C$2:$C861)=max(if($C$2:$C861=C862,row($C$2:$C861),0)))) ,1),0),0))"),"")</f>
        <v/>
      </c>
      <c r="M862" s="148" t="str">
        <f t="shared" si="1"/>
        <v/>
      </c>
      <c r="N862" s="147" t="str">
        <f t="shared" si="2"/>
        <v/>
      </c>
      <c r="O862" s="147" t="str">
        <f t="shared" si="21"/>
        <v/>
      </c>
      <c r="P862" s="147" t="str">
        <f>IFERROR(__xludf.DUMMYFUNCTION("if(C862="""","""",iferror(if(row()&lt;&gt;2,INDEX(arrayformula(filter($Q$2:$Q861,$C$2:$C861&lt;&gt;"""",row($C$2:$C861)=max(if($C$2:$C861=C862,row($C$2:$C861),0)))) ,1),0),0))"),"")</f>
        <v/>
      </c>
      <c r="Q862" s="147" t="str">
        <f t="shared" si="22"/>
        <v/>
      </c>
      <c r="R862" s="147" t="str">
        <f t="shared" si="23"/>
        <v/>
      </c>
      <c r="S862" s="147" t="str">
        <f t="shared" si="24"/>
        <v/>
      </c>
      <c r="T862" s="147" t="str">
        <f t="shared" si="7"/>
        <v/>
      </c>
      <c r="U862" s="150" t="str">
        <f t="shared" si="8"/>
        <v/>
      </c>
      <c r="V862" s="151" t="str">
        <f>IFERROR(VLOOKUP(C862,Ativos!$A$1:$G2000,5,),)</f>
        <v/>
      </c>
    </row>
    <row r="863" ht="21.0" customHeight="1">
      <c r="A863" s="152"/>
      <c r="B863" s="160"/>
      <c r="C863" s="153"/>
      <c r="D863" s="154"/>
      <c r="E863" s="139"/>
      <c r="F863" s="139"/>
      <c r="G863" s="139"/>
      <c r="H863" s="135"/>
      <c r="I863" s="141"/>
      <c r="J863" s="147" t="str">
        <f>IFERROR(__xludf.DUMMYFUNCTION("IF(ISBLANK(A863),IFERROR(1/0),IF(COUNT(FILTER(F:F,A:A=A863))&gt;1,TRUNC(N863*F863/SUM(FILTER(N:N,A:A=A863)),3),F863))"),"")</f>
        <v/>
      </c>
      <c r="K863" s="147" t="str">
        <f>IFERROR(__xludf.DUMMYFUNCTION("IF(ISBLANK(A863),IFERROR(1/0),IF(COUNT(FILTER(G:G,((A:A=A863)*(B:B=""V""))))&gt;1,TRUNC(N863*G863/SUM(FILTER(N:N,((A:A=A863)*(B:B=""V"")))),3),G863))"),"")</f>
        <v/>
      </c>
      <c r="L863" s="148" t="str">
        <f>IFERROR(__xludf.DUMMYFUNCTION("if($C863="""","""",iferror(if(row()&lt;&gt;2,INDEX(arrayformula(filter($M$2:$M862,$C$2:$C862&lt;&gt;"""",row($C$2:$C862)=max(if($C$2:$C862=C863,row($C$2:$C862),0)))) ,1),0),0))"),"")</f>
        <v/>
      </c>
      <c r="M863" s="148" t="str">
        <f t="shared" si="1"/>
        <v/>
      </c>
      <c r="N863" s="147" t="str">
        <f t="shared" si="2"/>
        <v/>
      </c>
      <c r="O863" s="147" t="str">
        <f t="shared" si="21"/>
        <v/>
      </c>
      <c r="P863" s="147" t="str">
        <f>IFERROR(__xludf.DUMMYFUNCTION("if(C863="""","""",iferror(if(row()&lt;&gt;2,INDEX(arrayformula(filter($Q$2:$Q862,$C$2:$C862&lt;&gt;"""",row($C$2:$C862)=max(if($C$2:$C862=C863,row($C$2:$C862),0)))) ,1),0),0))"),"")</f>
        <v/>
      </c>
      <c r="Q863" s="147" t="str">
        <f t="shared" si="22"/>
        <v/>
      </c>
      <c r="R863" s="147" t="str">
        <f t="shared" si="23"/>
        <v/>
      </c>
      <c r="S863" s="147" t="str">
        <f t="shared" si="24"/>
        <v/>
      </c>
      <c r="T863" s="147" t="str">
        <f t="shared" si="7"/>
        <v/>
      </c>
      <c r="U863" s="150" t="str">
        <f t="shared" si="8"/>
        <v/>
      </c>
      <c r="V863" s="151" t="str">
        <f>IFERROR(VLOOKUP(C863,Ativos!$A$1:$G2000,5,),)</f>
        <v/>
      </c>
    </row>
    <row r="864" ht="21.0" customHeight="1">
      <c r="A864" s="152"/>
      <c r="B864" s="160"/>
      <c r="C864" s="153"/>
      <c r="D864" s="154"/>
      <c r="E864" s="139"/>
      <c r="F864" s="139"/>
      <c r="G864" s="139"/>
      <c r="H864" s="135"/>
      <c r="I864" s="141"/>
      <c r="J864" s="147" t="str">
        <f>IFERROR(__xludf.DUMMYFUNCTION("IF(ISBLANK(A864),IFERROR(1/0),IF(COUNT(FILTER(F:F,A:A=A864))&gt;1,TRUNC(N864*F864/SUM(FILTER(N:N,A:A=A864)),3),F864))"),"")</f>
        <v/>
      </c>
      <c r="K864" s="147" t="str">
        <f>IFERROR(__xludf.DUMMYFUNCTION("IF(ISBLANK(A864),IFERROR(1/0),IF(COUNT(FILTER(G:G,((A:A=A864)*(B:B=""V""))))&gt;1,TRUNC(N864*G864/SUM(FILTER(N:N,((A:A=A864)*(B:B=""V"")))),3),G864))"),"")</f>
        <v/>
      </c>
      <c r="L864" s="148" t="str">
        <f>IFERROR(__xludf.DUMMYFUNCTION("if($C864="""","""",iferror(if(row()&lt;&gt;2,INDEX(arrayformula(filter($M$2:$M863,$C$2:$C863&lt;&gt;"""",row($C$2:$C863)=max(if($C$2:$C863=C864,row($C$2:$C863),0)))) ,1),0),0))"),"")</f>
        <v/>
      </c>
      <c r="M864" s="148" t="str">
        <f t="shared" si="1"/>
        <v/>
      </c>
      <c r="N864" s="147" t="str">
        <f t="shared" si="2"/>
        <v/>
      </c>
      <c r="O864" s="147" t="str">
        <f t="shared" si="21"/>
        <v/>
      </c>
      <c r="P864" s="147" t="str">
        <f>IFERROR(__xludf.DUMMYFUNCTION("if(C864="""","""",iferror(if(row()&lt;&gt;2,INDEX(arrayformula(filter($Q$2:$Q863,$C$2:$C863&lt;&gt;"""",row($C$2:$C863)=max(if($C$2:$C863=C864,row($C$2:$C863),0)))) ,1),0),0))"),"")</f>
        <v/>
      </c>
      <c r="Q864" s="147" t="str">
        <f t="shared" si="22"/>
        <v/>
      </c>
      <c r="R864" s="147" t="str">
        <f t="shared" si="23"/>
        <v/>
      </c>
      <c r="S864" s="147" t="str">
        <f t="shared" si="24"/>
        <v/>
      </c>
      <c r="T864" s="147" t="str">
        <f t="shared" si="7"/>
        <v/>
      </c>
      <c r="U864" s="150" t="str">
        <f t="shared" si="8"/>
        <v/>
      </c>
      <c r="V864" s="151" t="str">
        <f>IFERROR(VLOOKUP(C864,Ativos!$A$1:$G2000,5,),)</f>
        <v/>
      </c>
    </row>
    <row r="865" ht="21.0" customHeight="1">
      <c r="A865" s="152"/>
      <c r="B865" s="160"/>
      <c r="C865" s="153"/>
      <c r="D865" s="154"/>
      <c r="E865" s="139"/>
      <c r="F865" s="139"/>
      <c r="G865" s="139"/>
      <c r="H865" s="135"/>
      <c r="I865" s="141"/>
      <c r="J865" s="147" t="str">
        <f>IFERROR(__xludf.DUMMYFUNCTION("IF(ISBLANK(A865),IFERROR(1/0),IF(COUNT(FILTER(F:F,A:A=A865))&gt;1,TRUNC(N865*F865/SUM(FILTER(N:N,A:A=A865)),3),F865))"),"")</f>
        <v/>
      </c>
      <c r="K865" s="147" t="str">
        <f>IFERROR(__xludf.DUMMYFUNCTION("IF(ISBLANK(A865),IFERROR(1/0),IF(COUNT(FILTER(G:G,((A:A=A865)*(B:B=""V""))))&gt;1,TRUNC(N865*G865/SUM(FILTER(N:N,((A:A=A865)*(B:B=""V"")))),3),G865))"),"")</f>
        <v/>
      </c>
      <c r="L865" s="148" t="str">
        <f>IFERROR(__xludf.DUMMYFUNCTION("if($C865="""","""",iferror(if(row()&lt;&gt;2,INDEX(arrayformula(filter($M$2:$M864,$C$2:$C864&lt;&gt;"""",row($C$2:$C864)=max(if($C$2:$C864=C865,row($C$2:$C864),0)))) ,1),0),0))"),"")</f>
        <v/>
      </c>
      <c r="M865" s="148" t="str">
        <f t="shared" si="1"/>
        <v/>
      </c>
      <c r="N865" s="147" t="str">
        <f t="shared" si="2"/>
        <v/>
      </c>
      <c r="O865" s="147" t="str">
        <f t="shared" si="21"/>
        <v/>
      </c>
      <c r="P865" s="147" t="str">
        <f>IFERROR(__xludf.DUMMYFUNCTION("if(C865="""","""",iferror(if(row()&lt;&gt;2,INDEX(arrayformula(filter($Q$2:$Q864,$C$2:$C864&lt;&gt;"""",row($C$2:$C864)=max(if($C$2:$C864=C865,row($C$2:$C864),0)))) ,1),0),0))"),"")</f>
        <v/>
      </c>
      <c r="Q865" s="147" t="str">
        <f t="shared" si="22"/>
        <v/>
      </c>
      <c r="R865" s="147" t="str">
        <f t="shared" si="23"/>
        <v/>
      </c>
      <c r="S865" s="147" t="str">
        <f t="shared" si="24"/>
        <v/>
      </c>
      <c r="T865" s="147" t="str">
        <f t="shared" si="7"/>
        <v/>
      </c>
      <c r="U865" s="150" t="str">
        <f t="shared" si="8"/>
        <v/>
      </c>
      <c r="V865" s="151" t="str">
        <f>IFERROR(VLOOKUP(C865,Ativos!$A$1:$G2000,5,),)</f>
        <v/>
      </c>
    </row>
    <row r="866" ht="21.0" customHeight="1">
      <c r="A866" s="152"/>
      <c r="B866" s="160"/>
      <c r="C866" s="153"/>
      <c r="D866" s="154"/>
      <c r="E866" s="139"/>
      <c r="F866" s="139"/>
      <c r="G866" s="139"/>
      <c r="H866" s="135"/>
      <c r="I866" s="141"/>
      <c r="J866" s="147" t="str">
        <f>IFERROR(__xludf.DUMMYFUNCTION("IF(ISBLANK(A866),IFERROR(1/0),IF(COUNT(FILTER(F:F,A:A=A866))&gt;1,TRUNC(N866*F866/SUM(FILTER(N:N,A:A=A866)),3),F866))"),"")</f>
        <v/>
      </c>
      <c r="K866" s="147" t="str">
        <f>IFERROR(__xludf.DUMMYFUNCTION("IF(ISBLANK(A866),IFERROR(1/0),IF(COUNT(FILTER(G:G,((A:A=A866)*(B:B=""V""))))&gt;1,TRUNC(N866*G866/SUM(FILTER(N:N,((A:A=A866)*(B:B=""V"")))),3),G866))"),"")</f>
        <v/>
      </c>
      <c r="L866" s="148" t="str">
        <f>IFERROR(__xludf.DUMMYFUNCTION("if($C866="""","""",iferror(if(row()&lt;&gt;2,INDEX(arrayformula(filter($M$2:$M865,$C$2:$C865&lt;&gt;"""",row($C$2:$C865)=max(if($C$2:$C865=C866,row($C$2:$C865),0)))) ,1),0),0))"),"")</f>
        <v/>
      </c>
      <c r="M866" s="148" t="str">
        <f t="shared" si="1"/>
        <v/>
      </c>
      <c r="N866" s="147" t="str">
        <f t="shared" si="2"/>
        <v/>
      </c>
      <c r="O866" s="147" t="str">
        <f t="shared" si="21"/>
        <v/>
      </c>
      <c r="P866" s="147" t="str">
        <f>IFERROR(__xludf.DUMMYFUNCTION("if(C866="""","""",iferror(if(row()&lt;&gt;2,INDEX(arrayformula(filter($Q$2:$Q865,$C$2:$C865&lt;&gt;"""",row($C$2:$C865)=max(if($C$2:$C865=C866,row($C$2:$C865),0)))) ,1),0),0))"),"")</f>
        <v/>
      </c>
      <c r="Q866" s="147" t="str">
        <f t="shared" si="22"/>
        <v/>
      </c>
      <c r="R866" s="147" t="str">
        <f t="shared" si="23"/>
        <v/>
      </c>
      <c r="S866" s="147" t="str">
        <f t="shared" si="24"/>
        <v/>
      </c>
      <c r="T866" s="147" t="str">
        <f t="shared" si="7"/>
        <v/>
      </c>
      <c r="U866" s="150" t="str">
        <f t="shared" si="8"/>
        <v/>
      </c>
      <c r="V866" s="151" t="str">
        <f>IFERROR(VLOOKUP(C866,Ativos!$A$1:$G2000,5,),)</f>
        <v/>
      </c>
    </row>
    <row r="867" ht="21.0" customHeight="1">
      <c r="A867" s="152"/>
      <c r="B867" s="160"/>
      <c r="C867" s="153"/>
      <c r="D867" s="154"/>
      <c r="E867" s="139"/>
      <c r="F867" s="139"/>
      <c r="G867" s="139"/>
      <c r="H867" s="135"/>
      <c r="I867" s="141"/>
      <c r="J867" s="147" t="str">
        <f>IFERROR(__xludf.DUMMYFUNCTION("IF(ISBLANK(A867),IFERROR(1/0),IF(COUNT(FILTER(F:F,A:A=A867))&gt;1,TRUNC(N867*F867/SUM(FILTER(N:N,A:A=A867)),3),F867))"),"")</f>
        <v/>
      </c>
      <c r="K867" s="147" t="str">
        <f>IFERROR(__xludf.DUMMYFUNCTION("IF(ISBLANK(A867),IFERROR(1/0),IF(COUNT(FILTER(G:G,((A:A=A867)*(B:B=""V""))))&gt;1,TRUNC(N867*G867/SUM(FILTER(N:N,((A:A=A867)*(B:B=""V"")))),3),G867))"),"")</f>
        <v/>
      </c>
      <c r="L867" s="148" t="str">
        <f>IFERROR(__xludf.DUMMYFUNCTION("if($C867="""","""",iferror(if(row()&lt;&gt;2,INDEX(arrayformula(filter($M$2:$M866,$C$2:$C866&lt;&gt;"""",row($C$2:$C866)=max(if($C$2:$C866=C867,row($C$2:$C866),0)))) ,1),0),0))"),"")</f>
        <v/>
      </c>
      <c r="M867" s="148" t="str">
        <f t="shared" si="1"/>
        <v/>
      </c>
      <c r="N867" s="147" t="str">
        <f t="shared" si="2"/>
        <v/>
      </c>
      <c r="O867" s="147" t="str">
        <f t="shared" si="21"/>
        <v/>
      </c>
      <c r="P867" s="147" t="str">
        <f>IFERROR(__xludf.DUMMYFUNCTION("if(C867="""","""",iferror(if(row()&lt;&gt;2,INDEX(arrayformula(filter($Q$2:$Q866,$C$2:$C866&lt;&gt;"""",row($C$2:$C866)=max(if($C$2:$C866=C867,row($C$2:$C866),0)))) ,1),0),0))"),"")</f>
        <v/>
      </c>
      <c r="Q867" s="147" t="str">
        <f t="shared" si="22"/>
        <v/>
      </c>
      <c r="R867" s="147" t="str">
        <f t="shared" si="23"/>
        <v/>
      </c>
      <c r="S867" s="147" t="str">
        <f t="shared" si="24"/>
        <v/>
      </c>
      <c r="T867" s="147" t="str">
        <f t="shared" si="7"/>
        <v/>
      </c>
      <c r="U867" s="150" t="str">
        <f t="shared" si="8"/>
        <v/>
      </c>
      <c r="V867" s="151" t="str">
        <f>IFERROR(VLOOKUP(C867,Ativos!$A$1:$G2000,5,),)</f>
        <v/>
      </c>
    </row>
    <row r="868" ht="21.0" customHeight="1">
      <c r="A868" s="152"/>
      <c r="B868" s="160"/>
      <c r="C868" s="153"/>
      <c r="D868" s="154"/>
      <c r="E868" s="139"/>
      <c r="F868" s="139"/>
      <c r="G868" s="139"/>
      <c r="H868" s="135"/>
      <c r="I868" s="141"/>
      <c r="J868" s="147" t="str">
        <f>IFERROR(__xludf.DUMMYFUNCTION("IF(ISBLANK(A868),IFERROR(1/0),IF(COUNT(FILTER(F:F,A:A=A868))&gt;1,TRUNC(N868*F868/SUM(FILTER(N:N,A:A=A868)),3),F868))"),"")</f>
        <v/>
      </c>
      <c r="K868" s="147" t="str">
        <f>IFERROR(__xludf.DUMMYFUNCTION("IF(ISBLANK(A868),IFERROR(1/0),IF(COUNT(FILTER(G:G,((A:A=A868)*(B:B=""V""))))&gt;1,TRUNC(N868*G868/SUM(FILTER(N:N,((A:A=A868)*(B:B=""V"")))),3),G868))"),"")</f>
        <v/>
      </c>
      <c r="L868" s="148" t="str">
        <f>IFERROR(__xludf.DUMMYFUNCTION("if($C868="""","""",iferror(if(row()&lt;&gt;2,INDEX(arrayformula(filter($M$2:$M867,$C$2:$C867&lt;&gt;"""",row($C$2:$C867)=max(if($C$2:$C867=C868,row($C$2:$C867),0)))) ,1),0),0))"),"")</f>
        <v/>
      </c>
      <c r="M868" s="148" t="str">
        <f t="shared" si="1"/>
        <v/>
      </c>
      <c r="N868" s="147" t="str">
        <f t="shared" si="2"/>
        <v/>
      </c>
      <c r="O868" s="147" t="str">
        <f t="shared" si="21"/>
        <v/>
      </c>
      <c r="P868" s="147" t="str">
        <f>IFERROR(__xludf.DUMMYFUNCTION("if(C868="""","""",iferror(if(row()&lt;&gt;2,INDEX(arrayformula(filter($Q$2:$Q867,$C$2:$C867&lt;&gt;"""",row($C$2:$C867)=max(if($C$2:$C867=C868,row($C$2:$C867),0)))) ,1),0),0))"),"")</f>
        <v/>
      </c>
      <c r="Q868" s="147" t="str">
        <f t="shared" si="22"/>
        <v/>
      </c>
      <c r="R868" s="147" t="str">
        <f t="shared" si="23"/>
        <v/>
      </c>
      <c r="S868" s="147" t="str">
        <f t="shared" si="24"/>
        <v/>
      </c>
      <c r="T868" s="147" t="str">
        <f t="shared" si="7"/>
        <v/>
      </c>
      <c r="U868" s="150" t="str">
        <f t="shared" si="8"/>
        <v/>
      </c>
      <c r="V868" s="151" t="str">
        <f>IFERROR(VLOOKUP(C868,Ativos!$A$1:$G2000,5,),)</f>
        <v/>
      </c>
    </row>
    <row r="869" ht="21.0" customHeight="1">
      <c r="A869" s="152"/>
      <c r="B869" s="160"/>
      <c r="C869" s="153"/>
      <c r="D869" s="154"/>
      <c r="E869" s="139"/>
      <c r="F869" s="139"/>
      <c r="G869" s="139"/>
      <c r="H869" s="135"/>
      <c r="I869" s="141"/>
      <c r="J869" s="147" t="str">
        <f>IFERROR(__xludf.DUMMYFUNCTION("IF(ISBLANK(A869),IFERROR(1/0),IF(COUNT(FILTER(F:F,A:A=A869))&gt;1,TRUNC(N869*F869/SUM(FILTER(N:N,A:A=A869)),3),F869))"),"")</f>
        <v/>
      </c>
      <c r="K869" s="147" t="str">
        <f>IFERROR(__xludf.DUMMYFUNCTION("IF(ISBLANK(A869),IFERROR(1/0),IF(COUNT(FILTER(G:G,((A:A=A869)*(B:B=""V""))))&gt;1,TRUNC(N869*G869/SUM(FILTER(N:N,((A:A=A869)*(B:B=""V"")))),3),G869))"),"")</f>
        <v/>
      </c>
      <c r="L869" s="148" t="str">
        <f>IFERROR(__xludf.DUMMYFUNCTION("if($C869="""","""",iferror(if(row()&lt;&gt;2,INDEX(arrayformula(filter($M$2:$M868,$C$2:$C868&lt;&gt;"""",row($C$2:$C868)=max(if($C$2:$C868=C869,row($C$2:$C868),0)))) ,1),0),0))"),"")</f>
        <v/>
      </c>
      <c r="M869" s="148" t="str">
        <f t="shared" si="1"/>
        <v/>
      </c>
      <c r="N869" s="147" t="str">
        <f t="shared" si="2"/>
        <v/>
      </c>
      <c r="O869" s="147" t="str">
        <f t="shared" si="21"/>
        <v/>
      </c>
      <c r="P869" s="147" t="str">
        <f>IFERROR(__xludf.DUMMYFUNCTION("if(C869="""","""",iferror(if(row()&lt;&gt;2,INDEX(arrayformula(filter($Q$2:$Q868,$C$2:$C868&lt;&gt;"""",row($C$2:$C868)=max(if($C$2:$C868=C869,row($C$2:$C868),0)))) ,1),0),0))"),"")</f>
        <v/>
      </c>
      <c r="Q869" s="147" t="str">
        <f t="shared" si="22"/>
        <v/>
      </c>
      <c r="R869" s="147" t="str">
        <f t="shared" si="23"/>
        <v/>
      </c>
      <c r="S869" s="147" t="str">
        <f t="shared" si="24"/>
        <v/>
      </c>
      <c r="T869" s="147" t="str">
        <f t="shared" si="7"/>
        <v/>
      </c>
      <c r="U869" s="150" t="str">
        <f t="shared" si="8"/>
        <v/>
      </c>
      <c r="V869" s="151" t="str">
        <f>IFERROR(VLOOKUP(C869,Ativos!$A$1:$G2000,5,),)</f>
        <v/>
      </c>
    </row>
    <row r="870" ht="21.0" customHeight="1">
      <c r="A870" s="152"/>
      <c r="B870" s="160"/>
      <c r="C870" s="153"/>
      <c r="D870" s="154"/>
      <c r="E870" s="139"/>
      <c r="F870" s="139"/>
      <c r="G870" s="139"/>
      <c r="H870" s="135"/>
      <c r="I870" s="141"/>
      <c r="J870" s="147" t="str">
        <f>IFERROR(__xludf.DUMMYFUNCTION("IF(ISBLANK(A870),IFERROR(1/0),IF(COUNT(FILTER(F:F,A:A=A870))&gt;1,TRUNC(N870*F870/SUM(FILTER(N:N,A:A=A870)),3),F870))"),"")</f>
        <v/>
      </c>
      <c r="K870" s="147" t="str">
        <f>IFERROR(__xludf.DUMMYFUNCTION("IF(ISBLANK(A870),IFERROR(1/0),IF(COUNT(FILTER(G:G,((A:A=A870)*(B:B=""V""))))&gt;1,TRUNC(N870*G870/SUM(FILTER(N:N,((A:A=A870)*(B:B=""V"")))),3),G870))"),"")</f>
        <v/>
      </c>
      <c r="L870" s="148" t="str">
        <f>IFERROR(__xludf.DUMMYFUNCTION("if($C870="""","""",iferror(if(row()&lt;&gt;2,INDEX(arrayformula(filter($M$2:$M869,$C$2:$C869&lt;&gt;"""",row($C$2:$C869)=max(if($C$2:$C869=C870,row($C$2:$C869),0)))) ,1),0),0))"),"")</f>
        <v/>
      </c>
      <c r="M870" s="148" t="str">
        <f t="shared" si="1"/>
        <v/>
      </c>
      <c r="N870" s="147" t="str">
        <f t="shared" si="2"/>
        <v/>
      </c>
      <c r="O870" s="147" t="str">
        <f t="shared" si="21"/>
        <v/>
      </c>
      <c r="P870" s="147" t="str">
        <f>IFERROR(__xludf.DUMMYFUNCTION("if(C870="""","""",iferror(if(row()&lt;&gt;2,INDEX(arrayformula(filter($Q$2:$Q869,$C$2:$C869&lt;&gt;"""",row($C$2:$C869)=max(if($C$2:$C869=C870,row($C$2:$C869),0)))) ,1),0),0))"),"")</f>
        <v/>
      </c>
      <c r="Q870" s="147" t="str">
        <f t="shared" si="22"/>
        <v/>
      </c>
      <c r="R870" s="147" t="str">
        <f t="shared" si="23"/>
        <v/>
      </c>
      <c r="S870" s="147" t="str">
        <f t="shared" si="24"/>
        <v/>
      </c>
      <c r="T870" s="147" t="str">
        <f t="shared" si="7"/>
        <v/>
      </c>
      <c r="U870" s="150" t="str">
        <f t="shared" si="8"/>
        <v/>
      </c>
      <c r="V870" s="151" t="str">
        <f>IFERROR(VLOOKUP(C870,Ativos!$A$1:$G2000,5,),)</f>
        <v/>
      </c>
    </row>
    <row r="871" ht="21.0" customHeight="1">
      <c r="A871" s="152"/>
      <c r="B871" s="160"/>
      <c r="C871" s="153"/>
      <c r="D871" s="154"/>
      <c r="E871" s="139"/>
      <c r="F871" s="139"/>
      <c r="G871" s="139"/>
      <c r="H871" s="135"/>
      <c r="I871" s="141"/>
      <c r="J871" s="147" t="str">
        <f>IFERROR(__xludf.DUMMYFUNCTION("IF(ISBLANK(A871),IFERROR(1/0),IF(COUNT(FILTER(F:F,A:A=A871))&gt;1,TRUNC(N871*F871/SUM(FILTER(N:N,A:A=A871)),3),F871))"),"")</f>
        <v/>
      </c>
      <c r="K871" s="147" t="str">
        <f>IFERROR(__xludf.DUMMYFUNCTION("IF(ISBLANK(A871),IFERROR(1/0),IF(COUNT(FILTER(G:G,((A:A=A871)*(B:B=""V""))))&gt;1,TRUNC(N871*G871/SUM(FILTER(N:N,((A:A=A871)*(B:B=""V"")))),3),G871))"),"")</f>
        <v/>
      </c>
      <c r="L871" s="148" t="str">
        <f>IFERROR(__xludf.DUMMYFUNCTION("if($C871="""","""",iferror(if(row()&lt;&gt;2,INDEX(arrayformula(filter($M$2:$M870,$C$2:$C870&lt;&gt;"""",row($C$2:$C870)=max(if($C$2:$C870=C871,row($C$2:$C870),0)))) ,1),0),0))"),"")</f>
        <v/>
      </c>
      <c r="M871" s="148" t="str">
        <f t="shared" si="1"/>
        <v/>
      </c>
      <c r="N871" s="147" t="str">
        <f t="shared" si="2"/>
        <v/>
      </c>
      <c r="O871" s="147" t="str">
        <f t="shared" si="21"/>
        <v/>
      </c>
      <c r="P871" s="147" t="str">
        <f>IFERROR(__xludf.DUMMYFUNCTION("if(C871="""","""",iferror(if(row()&lt;&gt;2,INDEX(arrayformula(filter($Q$2:$Q870,$C$2:$C870&lt;&gt;"""",row($C$2:$C870)=max(if($C$2:$C870=C871,row($C$2:$C870),0)))) ,1),0),0))"),"")</f>
        <v/>
      </c>
      <c r="Q871" s="147" t="str">
        <f t="shared" si="22"/>
        <v/>
      </c>
      <c r="R871" s="147" t="str">
        <f t="shared" si="23"/>
        <v/>
      </c>
      <c r="S871" s="147" t="str">
        <f t="shared" si="24"/>
        <v/>
      </c>
      <c r="T871" s="147" t="str">
        <f t="shared" si="7"/>
        <v/>
      </c>
      <c r="U871" s="150" t="str">
        <f t="shared" si="8"/>
        <v/>
      </c>
      <c r="V871" s="151" t="str">
        <f>IFERROR(VLOOKUP(C871,Ativos!$A$1:$G2000,5,),)</f>
        <v/>
      </c>
    </row>
    <row r="872" ht="21.0" customHeight="1">
      <c r="A872" s="152"/>
      <c r="B872" s="160"/>
      <c r="C872" s="153"/>
      <c r="D872" s="154"/>
      <c r="E872" s="139"/>
      <c r="F872" s="139"/>
      <c r="G872" s="139"/>
      <c r="H872" s="135"/>
      <c r="I872" s="141"/>
      <c r="J872" s="147" t="str">
        <f>IFERROR(__xludf.DUMMYFUNCTION("IF(ISBLANK(A872),IFERROR(1/0),IF(COUNT(FILTER(F:F,A:A=A872))&gt;1,TRUNC(N872*F872/SUM(FILTER(N:N,A:A=A872)),3),F872))"),"")</f>
        <v/>
      </c>
      <c r="K872" s="147" t="str">
        <f>IFERROR(__xludf.DUMMYFUNCTION("IF(ISBLANK(A872),IFERROR(1/0),IF(COUNT(FILTER(G:G,((A:A=A872)*(B:B=""V""))))&gt;1,TRUNC(N872*G872/SUM(FILTER(N:N,((A:A=A872)*(B:B=""V"")))),3),G872))"),"")</f>
        <v/>
      </c>
      <c r="L872" s="148" t="str">
        <f>IFERROR(__xludf.DUMMYFUNCTION("if($C872="""","""",iferror(if(row()&lt;&gt;2,INDEX(arrayformula(filter($M$2:$M871,$C$2:$C871&lt;&gt;"""",row($C$2:$C871)=max(if($C$2:$C871=C872,row($C$2:$C871),0)))) ,1),0),0))"),"")</f>
        <v/>
      </c>
      <c r="M872" s="148" t="str">
        <f t="shared" si="1"/>
        <v/>
      </c>
      <c r="N872" s="147" t="str">
        <f t="shared" si="2"/>
        <v/>
      </c>
      <c r="O872" s="147" t="str">
        <f t="shared" si="21"/>
        <v/>
      </c>
      <c r="P872" s="147" t="str">
        <f>IFERROR(__xludf.DUMMYFUNCTION("if(C872="""","""",iferror(if(row()&lt;&gt;2,INDEX(arrayformula(filter($Q$2:$Q871,$C$2:$C871&lt;&gt;"""",row($C$2:$C871)=max(if($C$2:$C871=C872,row($C$2:$C871),0)))) ,1),0),0))"),"")</f>
        <v/>
      </c>
      <c r="Q872" s="147" t="str">
        <f t="shared" si="22"/>
        <v/>
      </c>
      <c r="R872" s="147" t="str">
        <f t="shared" si="23"/>
        <v/>
      </c>
      <c r="S872" s="147" t="str">
        <f t="shared" si="24"/>
        <v/>
      </c>
      <c r="T872" s="147" t="str">
        <f t="shared" si="7"/>
        <v/>
      </c>
      <c r="U872" s="150" t="str">
        <f t="shared" si="8"/>
        <v/>
      </c>
      <c r="V872" s="151" t="str">
        <f>IFERROR(VLOOKUP(C872,Ativos!$A$1:$G2000,5,),)</f>
        <v/>
      </c>
    </row>
    <row r="873" ht="21.0" customHeight="1">
      <c r="A873" s="152"/>
      <c r="B873" s="160"/>
      <c r="C873" s="153"/>
      <c r="D873" s="154"/>
      <c r="E873" s="139"/>
      <c r="F873" s="139"/>
      <c r="G873" s="139"/>
      <c r="H873" s="135"/>
      <c r="I873" s="141"/>
      <c r="J873" s="147" t="str">
        <f>IFERROR(__xludf.DUMMYFUNCTION("IF(ISBLANK(A873),IFERROR(1/0),IF(COUNT(FILTER(F:F,A:A=A873))&gt;1,TRUNC(N873*F873/SUM(FILTER(N:N,A:A=A873)),3),F873))"),"")</f>
        <v/>
      </c>
      <c r="K873" s="147" t="str">
        <f>IFERROR(__xludf.DUMMYFUNCTION("IF(ISBLANK(A873),IFERROR(1/0),IF(COUNT(FILTER(G:G,((A:A=A873)*(B:B=""V""))))&gt;1,TRUNC(N873*G873/SUM(FILTER(N:N,((A:A=A873)*(B:B=""V"")))),3),G873))"),"")</f>
        <v/>
      </c>
      <c r="L873" s="148" t="str">
        <f>IFERROR(__xludf.DUMMYFUNCTION("if($C873="""","""",iferror(if(row()&lt;&gt;2,INDEX(arrayformula(filter($M$2:$M872,$C$2:$C872&lt;&gt;"""",row($C$2:$C872)=max(if($C$2:$C872=C873,row($C$2:$C872),0)))) ,1),0),0))"),"")</f>
        <v/>
      </c>
      <c r="M873" s="148" t="str">
        <f t="shared" si="1"/>
        <v/>
      </c>
      <c r="N873" s="147" t="str">
        <f t="shared" si="2"/>
        <v/>
      </c>
      <c r="O873" s="147" t="str">
        <f t="shared" si="21"/>
        <v/>
      </c>
      <c r="P873" s="147" t="str">
        <f>IFERROR(__xludf.DUMMYFUNCTION("if(C873="""","""",iferror(if(row()&lt;&gt;2,INDEX(arrayformula(filter($Q$2:$Q872,$C$2:$C872&lt;&gt;"""",row($C$2:$C872)=max(if($C$2:$C872=C873,row($C$2:$C872),0)))) ,1),0),0))"),"")</f>
        <v/>
      </c>
      <c r="Q873" s="147" t="str">
        <f t="shared" si="22"/>
        <v/>
      </c>
      <c r="R873" s="147" t="str">
        <f t="shared" si="23"/>
        <v/>
      </c>
      <c r="S873" s="147" t="str">
        <f t="shared" si="24"/>
        <v/>
      </c>
      <c r="T873" s="147" t="str">
        <f t="shared" si="7"/>
        <v/>
      </c>
      <c r="U873" s="150" t="str">
        <f t="shared" si="8"/>
        <v/>
      </c>
      <c r="V873" s="151" t="str">
        <f>IFERROR(VLOOKUP(C873,Ativos!$A$1:$G2000,5,),)</f>
        <v/>
      </c>
    </row>
    <row r="874" ht="21.0" customHeight="1">
      <c r="A874" s="152"/>
      <c r="B874" s="160"/>
      <c r="C874" s="153"/>
      <c r="D874" s="154"/>
      <c r="E874" s="139"/>
      <c r="F874" s="139"/>
      <c r="G874" s="139"/>
      <c r="H874" s="135"/>
      <c r="I874" s="141"/>
      <c r="J874" s="147" t="str">
        <f>IFERROR(__xludf.DUMMYFUNCTION("IF(ISBLANK(A874),IFERROR(1/0),IF(COUNT(FILTER(F:F,A:A=A874))&gt;1,TRUNC(N874*F874/SUM(FILTER(N:N,A:A=A874)),3),F874))"),"")</f>
        <v/>
      </c>
      <c r="K874" s="147" t="str">
        <f>IFERROR(__xludf.DUMMYFUNCTION("IF(ISBLANK(A874),IFERROR(1/0),IF(COUNT(FILTER(G:G,((A:A=A874)*(B:B=""V""))))&gt;1,TRUNC(N874*G874/SUM(FILTER(N:N,((A:A=A874)*(B:B=""V"")))),3),G874))"),"")</f>
        <v/>
      </c>
      <c r="L874" s="148" t="str">
        <f>IFERROR(__xludf.DUMMYFUNCTION("if($C874="""","""",iferror(if(row()&lt;&gt;2,INDEX(arrayformula(filter($M$2:$M873,$C$2:$C873&lt;&gt;"""",row($C$2:$C873)=max(if($C$2:$C873=C874,row($C$2:$C873),0)))) ,1),0),0))"),"")</f>
        <v/>
      </c>
      <c r="M874" s="148" t="str">
        <f t="shared" si="1"/>
        <v/>
      </c>
      <c r="N874" s="147" t="str">
        <f t="shared" si="2"/>
        <v/>
      </c>
      <c r="O874" s="147" t="str">
        <f t="shared" si="21"/>
        <v/>
      </c>
      <c r="P874" s="147" t="str">
        <f>IFERROR(__xludf.DUMMYFUNCTION("if(C874="""","""",iferror(if(row()&lt;&gt;2,INDEX(arrayformula(filter($Q$2:$Q873,$C$2:$C873&lt;&gt;"""",row($C$2:$C873)=max(if($C$2:$C873=C874,row($C$2:$C873),0)))) ,1),0),0))"),"")</f>
        <v/>
      </c>
      <c r="Q874" s="147" t="str">
        <f t="shared" si="22"/>
        <v/>
      </c>
      <c r="R874" s="147" t="str">
        <f t="shared" si="23"/>
        <v/>
      </c>
      <c r="S874" s="147" t="str">
        <f t="shared" si="24"/>
        <v/>
      </c>
      <c r="T874" s="147" t="str">
        <f t="shared" si="7"/>
        <v/>
      </c>
      <c r="U874" s="150" t="str">
        <f t="shared" si="8"/>
        <v/>
      </c>
      <c r="V874" s="151" t="str">
        <f>IFERROR(VLOOKUP(C874,Ativos!$A$1:$G2000,5,),)</f>
        <v/>
      </c>
    </row>
    <row r="875" ht="21.0" customHeight="1">
      <c r="A875" s="152"/>
      <c r="B875" s="160"/>
      <c r="C875" s="153"/>
      <c r="D875" s="154"/>
      <c r="E875" s="139"/>
      <c r="F875" s="139"/>
      <c r="G875" s="139"/>
      <c r="H875" s="135"/>
      <c r="I875" s="141"/>
      <c r="J875" s="147" t="str">
        <f>IFERROR(__xludf.DUMMYFUNCTION("IF(ISBLANK(A875),IFERROR(1/0),IF(COUNT(FILTER(F:F,A:A=A875))&gt;1,TRUNC(N875*F875/SUM(FILTER(N:N,A:A=A875)),3),F875))"),"")</f>
        <v/>
      </c>
      <c r="K875" s="147" t="str">
        <f>IFERROR(__xludf.DUMMYFUNCTION("IF(ISBLANK(A875),IFERROR(1/0),IF(COUNT(FILTER(G:G,((A:A=A875)*(B:B=""V""))))&gt;1,TRUNC(N875*G875/SUM(FILTER(N:N,((A:A=A875)*(B:B=""V"")))),3),G875))"),"")</f>
        <v/>
      </c>
      <c r="L875" s="148" t="str">
        <f>IFERROR(__xludf.DUMMYFUNCTION("if($C875="""","""",iferror(if(row()&lt;&gt;2,INDEX(arrayformula(filter($M$2:$M874,$C$2:$C874&lt;&gt;"""",row($C$2:$C874)=max(if($C$2:$C874=C875,row($C$2:$C874),0)))) ,1),0),0))"),"")</f>
        <v/>
      </c>
      <c r="M875" s="148" t="str">
        <f t="shared" si="1"/>
        <v/>
      </c>
      <c r="N875" s="147" t="str">
        <f t="shared" si="2"/>
        <v/>
      </c>
      <c r="O875" s="147" t="str">
        <f t="shared" si="21"/>
        <v/>
      </c>
      <c r="P875" s="147" t="str">
        <f>IFERROR(__xludf.DUMMYFUNCTION("if(C875="""","""",iferror(if(row()&lt;&gt;2,INDEX(arrayformula(filter($Q$2:$Q874,$C$2:$C874&lt;&gt;"""",row($C$2:$C874)=max(if($C$2:$C874=C875,row($C$2:$C874),0)))) ,1),0),0))"),"")</f>
        <v/>
      </c>
      <c r="Q875" s="147" t="str">
        <f t="shared" si="22"/>
        <v/>
      </c>
      <c r="R875" s="147" t="str">
        <f t="shared" si="23"/>
        <v/>
      </c>
      <c r="S875" s="147" t="str">
        <f t="shared" si="24"/>
        <v/>
      </c>
      <c r="T875" s="147" t="str">
        <f t="shared" si="7"/>
        <v/>
      </c>
      <c r="U875" s="150" t="str">
        <f t="shared" si="8"/>
        <v/>
      </c>
      <c r="V875" s="151" t="str">
        <f>IFERROR(VLOOKUP(C875,Ativos!$A$1:$G2000,5,),)</f>
        <v/>
      </c>
    </row>
    <row r="876" ht="21.0" customHeight="1">
      <c r="A876" s="152"/>
      <c r="B876" s="160"/>
      <c r="C876" s="153"/>
      <c r="D876" s="154"/>
      <c r="E876" s="139"/>
      <c r="F876" s="139"/>
      <c r="G876" s="139"/>
      <c r="H876" s="135"/>
      <c r="I876" s="141"/>
      <c r="J876" s="147" t="str">
        <f>IFERROR(__xludf.DUMMYFUNCTION("IF(ISBLANK(A876),IFERROR(1/0),IF(COUNT(FILTER(F:F,A:A=A876))&gt;1,TRUNC(N876*F876/SUM(FILTER(N:N,A:A=A876)),3),F876))"),"")</f>
        <v/>
      </c>
      <c r="K876" s="147" t="str">
        <f>IFERROR(__xludf.DUMMYFUNCTION("IF(ISBLANK(A876),IFERROR(1/0),IF(COUNT(FILTER(G:G,((A:A=A876)*(B:B=""V""))))&gt;1,TRUNC(N876*G876/SUM(FILTER(N:N,((A:A=A876)*(B:B=""V"")))),3),G876))"),"")</f>
        <v/>
      </c>
      <c r="L876" s="148" t="str">
        <f>IFERROR(__xludf.DUMMYFUNCTION("if($C876="""","""",iferror(if(row()&lt;&gt;2,INDEX(arrayformula(filter($M$2:$M875,$C$2:$C875&lt;&gt;"""",row($C$2:$C875)=max(if($C$2:$C875=C876,row($C$2:$C875),0)))) ,1),0),0))"),"")</f>
        <v/>
      </c>
      <c r="M876" s="148" t="str">
        <f t="shared" si="1"/>
        <v/>
      </c>
      <c r="N876" s="147" t="str">
        <f t="shared" si="2"/>
        <v/>
      </c>
      <c r="O876" s="147" t="str">
        <f t="shared" si="21"/>
        <v/>
      </c>
      <c r="P876" s="147" t="str">
        <f>IFERROR(__xludf.DUMMYFUNCTION("if(C876="""","""",iferror(if(row()&lt;&gt;2,INDEX(arrayformula(filter($Q$2:$Q875,$C$2:$C875&lt;&gt;"""",row($C$2:$C875)=max(if($C$2:$C875=C876,row($C$2:$C875),0)))) ,1),0),0))"),"")</f>
        <v/>
      </c>
      <c r="Q876" s="147" t="str">
        <f t="shared" si="22"/>
        <v/>
      </c>
      <c r="R876" s="147" t="str">
        <f t="shared" si="23"/>
        <v/>
      </c>
      <c r="S876" s="147" t="str">
        <f t="shared" si="24"/>
        <v/>
      </c>
      <c r="T876" s="147" t="str">
        <f t="shared" si="7"/>
        <v/>
      </c>
      <c r="U876" s="150" t="str">
        <f t="shared" si="8"/>
        <v/>
      </c>
      <c r="V876" s="151" t="str">
        <f>IFERROR(VLOOKUP(C876,Ativos!$A$1:$G2000,5,),)</f>
        <v/>
      </c>
    </row>
    <row r="877" ht="21.0" customHeight="1">
      <c r="A877" s="152"/>
      <c r="B877" s="160"/>
      <c r="C877" s="153"/>
      <c r="D877" s="154"/>
      <c r="E877" s="139"/>
      <c r="F877" s="139"/>
      <c r="G877" s="139"/>
      <c r="H877" s="135"/>
      <c r="I877" s="141"/>
      <c r="J877" s="147" t="str">
        <f>IFERROR(__xludf.DUMMYFUNCTION("IF(ISBLANK(A877),IFERROR(1/0),IF(COUNT(FILTER(F:F,A:A=A877))&gt;1,TRUNC(N877*F877/SUM(FILTER(N:N,A:A=A877)),3),F877))"),"")</f>
        <v/>
      </c>
      <c r="K877" s="147" t="str">
        <f>IFERROR(__xludf.DUMMYFUNCTION("IF(ISBLANK(A877),IFERROR(1/0),IF(COUNT(FILTER(G:G,((A:A=A877)*(B:B=""V""))))&gt;1,TRUNC(N877*G877/SUM(FILTER(N:N,((A:A=A877)*(B:B=""V"")))),3),G877))"),"")</f>
        <v/>
      </c>
      <c r="L877" s="148" t="str">
        <f>IFERROR(__xludf.DUMMYFUNCTION("if($C877="""","""",iferror(if(row()&lt;&gt;2,INDEX(arrayformula(filter($M$2:$M876,$C$2:$C876&lt;&gt;"""",row($C$2:$C876)=max(if($C$2:$C876=C877,row($C$2:$C876),0)))) ,1),0),0))"),"")</f>
        <v/>
      </c>
      <c r="M877" s="148" t="str">
        <f t="shared" si="1"/>
        <v/>
      </c>
      <c r="N877" s="147" t="str">
        <f t="shared" si="2"/>
        <v/>
      </c>
      <c r="O877" s="147" t="str">
        <f t="shared" si="21"/>
        <v/>
      </c>
      <c r="P877" s="147" t="str">
        <f>IFERROR(__xludf.DUMMYFUNCTION("if(C877="""","""",iferror(if(row()&lt;&gt;2,INDEX(arrayformula(filter($Q$2:$Q876,$C$2:$C876&lt;&gt;"""",row($C$2:$C876)=max(if($C$2:$C876=C877,row($C$2:$C876),0)))) ,1),0),0))"),"")</f>
        <v/>
      </c>
      <c r="Q877" s="147" t="str">
        <f t="shared" si="22"/>
        <v/>
      </c>
      <c r="R877" s="147" t="str">
        <f t="shared" si="23"/>
        <v/>
      </c>
      <c r="S877" s="147" t="str">
        <f t="shared" si="24"/>
        <v/>
      </c>
      <c r="T877" s="147" t="str">
        <f t="shared" si="7"/>
        <v/>
      </c>
      <c r="U877" s="150" t="str">
        <f t="shared" si="8"/>
        <v/>
      </c>
      <c r="V877" s="151" t="str">
        <f>IFERROR(VLOOKUP(C877,Ativos!$A$1:$G2000,5,),)</f>
        <v/>
      </c>
    </row>
    <row r="878" ht="21.0" customHeight="1">
      <c r="A878" s="152"/>
      <c r="B878" s="160"/>
      <c r="C878" s="153"/>
      <c r="D878" s="154"/>
      <c r="E878" s="139"/>
      <c r="F878" s="139"/>
      <c r="G878" s="139"/>
      <c r="H878" s="135"/>
      <c r="I878" s="141"/>
      <c r="J878" s="147" t="str">
        <f>IFERROR(__xludf.DUMMYFUNCTION("IF(ISBLANK(A878),IFERROR(1/0),IF(COUNT(FILTER(F:F,A:A=A878))&gt;1,TRUNC(N878*F878/SUM(FILTER(N:N,A:A=A878)),3),F878))"),"")</f>
        <v/>
      </c>
      <c r="K878" s="147" t="str">
        <f>IFERROR(__xludf.DUMMYFUNCTION("IF(ISBLANK(A878),IFERROR(1/0),IF(COUNT(FILTER(G:G,((A:A=A878)*(B:B=""V""))))&gt;1,TRUNC(N878*G878/SUM(FILTER(N:N,((A:A=A878)*(B:B=""V"")))),3),G878))"),"")</f>
        <v/>
      </c>
      <c r="L878" s="148" t="str">
        <f>IFERROR(__xludf.DUMMYFUNCTION("if($C878="""","""",iferror(if(row()&lt;&gt;2,INDEX(arrayformula(filter($M$2:$M877,$C$2:$C877&lt;&gt;"""",row($C$2:$C877)=max(if($C$2:$C877=C878,row($C$2:$C877),0)))) ,1),0),0))"),"")</f>
        <v/>
      </c>
      <c r="M878" s="148" t="str">
        <f t="shared" si="1"/>
        <v/>
      </c>
      <c r="N878" s="147" t="str">
        <f t="shared" si="2"/>
        <v/>
      </c>
      <c r="O878" s="147" t="str">
        <f t="shared" si="21"/>
        <v/>
      </c>
      <c r="P878" s="147" t="str">
        <f>IFERROR(__xludf.DUMMYFUNCTION("if(C878="""","""",iferror(if(row()&lt;&gt;2,INDEX(arrayformula(filter($Q$2:$Q877,$C$2:$C877&lt;&gt;"""",row($C$2:$C877)=max(if($C$2:$C877=C878,row($C$2:$C877),0)))) ,1),0),0))"),"")</f>
        <v/>
      </c>
      <c r="Q878" s="147" t="str">
        <f t="shared" si="22"/>
        <v/>
      </c>
      <c r="R878" s="147" t="str">
        <f t="shared" si="23"/>
        <v/>
      </c>
      <c r="S878" s="147" t="str">
        <f t="shared" si="24"/>
        <v/>
      </c>
      <c r="T878" s="147" t="str">
        <f t="shared" si="7"/>
        <v/>
      </c>
      <c r="U878" s="150" t="str">
        <f t="shared" si="8"/>
        <v/>
      </c>
      <c r="V878" s="151" t="str">
        <f>IFERROR(VLOOKUP(C878,Ativos!$A$1:$G2000,5,),)</f>
        <v/>
      </c>
    </row>
    <row r="879" ht="21.0" customHeight="1">
      <c r="A879" s="152"/>
      <c r="B879" s="160"/>
      <c r="C879" s="153"/>
      <c r="D879" s="154"/>
      <c r="E879" s="139"/>
      <c r="F879" s="139"/>
      <c r="G879" s="139"/>
      <c r="H879" s="135"/>
      <c r="I879" s="141"/>
      <c r="J879" s="147" t="str">
        <f>IFERROR(__xludf.DUMMYFUNCTION("IF(ISBLANK(A879),IFERROR(1/0),IF(COUNT(FILTER(F:F,A:A=A879))&gt;1,TRUNC(N879*F879/SUM(FILTER(N:N,A:A=A879)),3),F879))"),"")</f>
        <v/>
      </c>
      <c r="K879" s="147" t="str">
        <f>IFERROR(__xludf.DUMMYFUNCTION("IF(ISBLANK(A879),IFERROR(1/0),IF(COUNT(FILTER(G:G,((A:A=A879)*(B:B=""V""))))&gt;1,TRUNC(N879*G879/SUM(FILTER(N:N,((A:A=A879)*(B:B=""V"")))),3),G879))"),"")</f>
        <v/>
      </c>
      <c r="L879" s="148" t="str">
        <f>IFERROR(__xludf.DUMMYFUNCTION("if($C879="""","""",iferror(if(row()&lt;&gt;2,INDEX(arrayformula(filter($M$2:$M878,$C$2:$C878&lt;&gt;"""",row($C$2:$C878)=max(if($C$2:$C878=C879,row($C$2:$C878),0)))) ,1),0),0))"),"")</f>
        <v/>
      </c>
      <c r="M879" s="148" t="str">
        <f t="shared" si="1"/>
        <v/>
      </c>
      <c r="N879" s="147" t="str">
        <f t="shared" si="2"/>
        <v/>
      </c>
      <c r="O879" s="147" t="str">
        <f t="shared" si="21"/>
        <v/>
      </c>
      <c r="P879" s="147" t="str">
        <f>IFERROR(__xludf.DUMMYFUNCTION("if(C879="""","""",iferror(if(row()&lt;&gt;2,INDEX(arrayformula(filter($Q$2:$Q878,$C$2:$C878&lt;&gt;"""",row($C$2:$C878)=max(if($C$2:$C878=C879,row($C$2:$C878),0)))) ,1),0),0))"),"")</f>
        <v/>
      </c>
      <c r="Q879" s="147" t="str">
        <f t="shared" si="22"/>
        <v/>
      </c>
      <c r="R879" s="147" t="str">
        <f t="shared" si="23"/>
        <v/>
      </c>
      <c r="S879" s="147" t="str">
        <f t="shared" si="24"/>
        <v/>
      </c>
      <c r="T879" s="147" t="str">
        <f t="shared" si="7"/>
        <v/>
      </c>
      <c r="U879" s="150" t="str">
        <f t="shared" si="8"/>
        <v/>
      </c>
      <c r="V879" s="151" t="str">
        <f>IFERROR(VLOOKUP(C879,Ativos!$A$1:$G2000,5,),)</f>
        <v/>
      </c>
    </row>
    <row r="880" ht="21.0" customHeight="1">
      <c r="A880" s="152"/>
      <c r="B880" s="160"/>
      <c r="C880" s="153"/>
      <c r="D880" s="154"/>
      <c r="E880" s="139"/>
      <c r="F880" s="139"/>
      <c r="G880" s="139"/>
      <c r="H880" s="135"/>
      <c r="I880" s="141"/>
      <c r="J880" s="147" t="str">
        <f>IFERROR(__xludf.DUMMYFUNCTION("IF(ISBLANK(A880),IFERROR(1/0),IF(COUNT(FILTER(F:F,A:A=A880))&gt;1,TRUNC(N880*F880/SUM(FILTER(N:N,A:A=A880)),3),F880))"),"")</f>
        <v/>
      </c>
      <c r="K880" s="147" t="str">
        <f>IFERROR(__xludf.DUMMYFUNCTION("IF(ISBLANK(A880),IFERROR(1/0),IF(COUNT(FILTER(G:G,((A:A=A880)*(B:B=""V""))))&gt;1,TRUNC(N880*G880/SUM(FILTER(N:N,((A:A=A880)*(B:B=""V"")))),3),G880))"),"")</f>
        <v/>
      </c>
      <c r="L880" s="148" t="str">
        <f>IFERROR(__xludf.DUMMYFUNCTION("if($C880="""","""",iferror(if(row()&lt;&gt;2,INDEX(arrayformula(filter($M$2:$M879,$C$2:$C879&lt;&gt;"""",row($C$2:$C879)=max(if($C$2:$C879=C880,row($C$2:$C879),0)))) ,1),0),0))"),"")</f>
        <v/>
      </c>
      <c r="M880" s="148" t="str">
        <f t="shared" si="1"/>
        <v/>
      </c>
      <c r="N880" s="147" t="str">
        <f t="shared" si="2"/>
        <v/>
      </c>
      <c r="O880" s="147" t="str">
        <f t="shared" si="21"/>
        <v/>
      </c>
      <c r="P880" s="147" t="str">
        <f>IFERROR(__xludf.DUMMYFUNCTION("if(C880="""","""",iferror(if(row()&lt;&gt;2,INDEX(arrayformula(filter($Q$2:$Q879,$C$2:$C879&lt;&gt;"""",row($C$2:$C879)=max(if($C$2:$C879=C880,row($C$2:$C879),0)))) ,1),0),0))"),"")</f>
        <v/>
      </c>
      <c r="Q880" s="147" t="str">
        <f t="shared" si="22"/>
        <v/>
      </c>
      <c r="R880" s="147" t="str">
        <f t="shared" si="23"/>
        <v/>
      </c>
      <c r="S880" s="147" t="str">
        <f t="shared" si="24"/>
        <v/>
      </c>
      <c r="T880" s="147" t="str">
        <f t="shared" si="7"/>
        <v/>
      </c>
      <c r="U880" s="150" t="str">
        <f t="shared" si="8"/>
        <v/>
      </c>
      <c r="V880" s="151" t="str">
        <f>IFERROR(VLOOKUP(C880,Ativos!$A$1:$G2000,5,),)</f>
        <v/>
      </c>
    </row>
    <row r="881" ht="21.0" customHeight="1">
      <c r="A881" s="152"/>
      <c r="B881" s="160"/>
      <c r="C881" s="153"/>
      <c r="D881" s="154"/>
      <c r="E881" s="139"/>
      <c r="F881" s="139"/>
      <c r="G881" s="139"/>
      <c r="H881" s="135"/>
      <c r="I881" s="141"/>
      <c r="J881" s="147" t="str">
        <f>IFERROR(__xludf.DUMMYFUNCTION("IF(ISBLANK(A881),IFERROR(1/0),IF(COUNT(FILTER(F:F,A:A=A881))&gt;1,TRUNC(N881*F881/SUM(FILTER(N:N,A:A=A881)),3),F881))"),"")</f>
        <v/>
      </c>
      <c r="K881" s="147" t="str">
        <f>IFERROR(__xludf.DUMMYFUNCTION("IF(ISBLANK(A881),IFERROR(1/0),IF(COUNT(FILTER(G:G,((A:A=A881)*(B:B=""V""))))&gt;1,TRUNC(N881*G881/SUM(FILTER(N:N,((A:A=A881)*(B:B=""V"")))),3),G881))"),"")</f>
        <v/>
      </c>
      <c r="L881" s="148" t="str">
        <f>IFERROR(__xludf.DUMMYFUNCTION("if($C881="""","""",iferror(if(row()&lt;&gt;2,INDEX(arrayformula(filter($M$2:$M880,$C$2:$C880&lt;&gt;"""",row($C$2:$C880)=max(if($C$2:$C880=C881,row($C$2:$C880),0)))) ,1),0),0))"),"")</f>
        <v/>
      </c>
      <c r="M881" s="148" t="str">
        <f t="shared" si="1"/>
        <v/>
      </c>
      <c r="N881" s="147" t="str">
        <f t="shared" si="2"/>
        <v/>
      </c>
      <c r="O881" s="147" t="str">
        <f t="shared" si="21"/>
        <v/>
      </c>
      <c r="P881" s="147" t="str">
        <f>IFERROR(__xludf.DUMMYFUNCTION("if(C881="""","""",iferror(if(row()&lt;&gt;2,INDEX(arrayformula(filter($Q$2:$Q880,$C$2:$C880&lt;&gt;"""",row($C$2:$C880)=max(if($C$2:$C880=C881,row($C$2:$C880),0)))) ,1),0),0))"),"")</f>
        <v/>
      </c>
      <c r="Q881" s="147" t="str">
        <f t="shared" si="22"/>
        <v/>
      </c>
      <c r="R881" s="147" t="str">
        <f t="shared" si="23"/>
        <v/>
      </c>
      <c r="S881" s="147" t="str">
        <f t="shared" si="24"/>
        <v/>
      </c>
      <c r="T881" s="147" t="str">
        <f t="shared" si="7"/>
        <v/>
      </c>
      <c r="U881" s="150" t="str">
        <f t="shared" si="8"/>
        <v/>
      </c>
      <c r="V881" s="151" t="str">
        <f>IFERROR(VLOOKUP(C881,Ativos!$A$1:$G2000,5,),)</f>
        <v/>
      </c>
    </row>
    <row r="882" ht="21.0" customHeight="1">
      <c r="A882" s="152"/>
      <c r="B882" s="160"/>
      <c r="C882" s="153"/>
      <c r="D882" s="154"/>
      <c r="E882" s="139"/>
      <c r="F882" s="139"/>
      <c r="G882" s="139"/>
      <c r="H882" s="135"/>
      <c r="I882" s="141"/>
      <c r="J882" s="147" t="str">
        <f>IFERROR(__xludf.DUMMYFUNCTION("IF(ISBLANK(A882),IFERROR(1/0),IF(COUNT(FILTER(F:F,A:A=A882))&gt;1,TRUNC(N882*F882/SUM(FILTER(N:N,A:A=A882)),3),F882))"),"")</f>
        <v/>
      </c>
      <c r="K882" s="147" t="str">
        <f>IFERROR(__xludf.DUMMYFUNCTION("IF(ISBLANK(A882),IFERROR(1/0),IF(COUNT(FILTER(G:G,((A:A=A882)*(B:B=""V""))))&gt;1,TRUNC(N882*G882/SUM(FILTER(N:N,((A:A=A882)*(B:B=""V"")))),3),G882))"),"")</f>
        <v/>
      </c>
      <c r="L882" s="148" t="str">
        <f>IFERROR(__xludf.DUMMYFUNCTION("if($C882="""","""",iferror(if(row()&lt;&gt;2,INDEX(arrayformula(filter($M$2:$M881,$C$2:$C881&lt;&gt;"""",row($C$2:$C881)=max(if($C$2:$C881=C882,row($C$2:$C881),0)))) ,1),0),0))"),"")</f>
        <v/>
      </c>
      <c r="M882" s="148" t="str">
        <f t="shared" si="1"/>
        <v/>
      </c>
      <c r="N882" s="147" t="str">
        <f t="shared" si="2"/>
        <v/>
      </c>
      <c r="O882" s="147" t="str">
        <f t="shared" si="21"/>
        <v/>
      </c>
      <c r="P882" s="147" t="str">
        <f>IFERROR(__xludf.DUMMYFUNCTION("if(C882="""","""",iferror(if(row()&lt;&gt;2,INDEX(arrayformula(filter($Q$2:$Q881,$C$2:$C881&lt;&gt;"""",row($C$2:$C881)=max(if($C$2:$C881=C882,row($C$2:$C881),0)))) ,1),0),0))"),"")</f>
        <v/>
      </c>
      <c r="Q882" s="147" t="str">
        <f t="shared" si="22"/>
        <v/>
      </c>
      <c r="R882" s="147" t="str">
        <f t="shared" si="23"/>
        <v/>
      </c>
      <c r="S882" s="147" t="str">
        <f t="shared" si="24"/>
        <v/>
      </c>
      <c r="T882" s="147" t="str">
        <f t="shared" si="7"/>
        <v/>
      </c>
      <c r="U882" s="150" t="str">
        <f t="shared" si="8"/>
        <v/>
      </c>
      <c r="V882" s="151" t="str">
        <f>IFERROR(VLOOKUP(C882,Ativos!$A$1:$G2000,5,),)</f>
        <v/>
      </c>
    </row>
    <row r="883" ht="21.0" customHeight="1">
      <c r="A883" s="152"/>
      <c r="B883" s="160"/>
      <c r="C883" s="153"/>
      <c r="D883" s="154"/>
      <c r="E883" s="139"/>
      <c r="F883" s="139"/>
      <c r="G883" s="139"/>
      <c r="H883" s="135"/>
      <c r="I883" s="141"/>
      <c r="J883" s="147" t="str">
        <f>IFERROR(__xludf.DUMMYFUNCTION("IF(ISBLANK(A883),IFERROR(1/0),IF(COUNT(FILTER(F:F,A:A=A883))&gt;1,TRUNC(N883*F883/SUM(FILTER(N:N,A:A=A883)),3),F883))"),"")</f>
        <v/>
      </c>
      <c r="K883" s="147" t="str">
        <f>IFERROR(__xludf.DUMMYFUNCTION("IF(ISBLANK(A883),IFERROR(1/0),IF(COUNT(FILTER(G:G,((A:A=A883)*(B:B=""V""))))&gt;1,TRUNC(N883*G883/SUM(FILTER(N:N,((A:A=A883)*(B:B=""V"")))),3),G883))"),"")</f>
        <v/>
      </c>
      <c r="L883" s="148" t="str">
        <f>IFERROR(__xludf.DUMMYFUNCTION("if($C883="""","""",iferror(if(row()&lt;&gt;2,INDEX(arrayformula(filter($M$2:$M882,$C$2:$C882&lt;&gt;"""",row($C$2:$C882)=max(if($C$2:$C882=C883,row($C$2:$C882),0)))) ,1),0),0))"),"")</f>
        <v/>
      </c>
      <c r="M883" s="148" t="str">
        <f t="shared" si="1"/>
        <v/>
      </c>
      <c r="N883" s="147" t="str">
        <f t="shared" si="2"/>
        <v/>
      </c>
      <c r="O883" s="147" t="str">
        <f t="shared" si="21"/>
        <v/>
      </c>
      <c r="P883" s="147" t="str">
        <f>IFERROR(__xludf.DUMMYFUNCTION("if(C883="""","""",iferror(if(row()&lt;&gt;2,INDEX(arrayformula(filter($Q$2:$Q882,$C$2:$C882&lt;&gt;"""",row($C$2:$C882)=max(if($C$2:$C882=C883,row($C$2:$C882),0)))) ,1),0),0))"),"")</f>
        <v/>
      </c>
      <c r="Q883" s="147" t="str">
        <f t="shared" si="22"/>
        <v/>
      </c>
      <c r="R883" s="147" t="str">
        <f t="shared" si="23"/>
        <v/>
      </c>
      <c r="S883" s="147" t="str">
        <f t="shared" si="24"/>
        <v/>
      </c>
      <c r="T883" s="147" t="str">
        <f t="shared" si="7"/>
        <v/>
      </c>
      <c r="U883" s="150" t="str">
        <f t="shared" si="8"/>
        <v/>
      </c>
      <c r="V883" s="151" t="str">
        <f>IFERROR(VLOOKUP(C883,Ativos!$A$1:$G2000,5,),)</f>
        <v/>
      </c>
    </row>
    <row r="884" ht="21.0" customHeight="1">
      <c r="A884" s="152"/>
      <c r="B884" s="160"/>
      <c r="C884" s="153"/>
      <c r="D884" s="154"/>
      <c r="E884" s="139"/>
      <c r="F884" s="139"/>
      <c r="G884" s="139"/>
      <c r="H884" s="135"/>
      <c r="I884" s="141"/>
      <c r="J884" s="147" t="str">
        <f>IFERROR(__xludf.DUMMYFUNCTION("IF(ISBLANK(A884),IFERROR(1/0),IF(COUNT(FILTER(F:F,A:A=A884))&gt;1,TRUNC(N884*F884/SUM(FILTER(N:N,A:A=A884)),3),F884))"),"")</f>
        <v/>
      </c>
      <c r="K884" s="147" t="str">
        <f>IFERROR(__xludf.DUMMYFUNCTION("IF(ISBLANK(A884),IFERROR(1/0),IF(COUNT(FILTER(G:G,((A:A=A884)*(B:B=""V""))))&gt;1,TRUNC(N884*G884/SUM(FILTER(N:N,((A:A=A884)*(B:B=""V"")))),3),G884))"),"")</f>
        <v/>
      </c>
      <c r="L884" s="148" t="str">
        <f>IFERROR(__xludf.DUMMYFUNCTION("if($C884="""","""",iferror(if(row()&lt;&gt;2,INDEX(arrayformula(filter($M$2:$M883,$C$2:$C883&lt;&gt;"""",row($C$2:$C883)=max(if($C$2:$C883=C884,row($C$2:$C883),0)))) ,1),0),0))"),"")</f>
        <v/>
      </c>
      <c r="M884" s="148" t="str">
        <f t="shared" si="1"/>
        <v/>
      </c>
      <c r="N884" s="147" t="str">
        <f t="shared" si="2"/>
        <v/>
      </c>
      <c r="O884" s="147" t="str">
        <f t="shared" si="21"/>
        <v/>
      </c>
      <c r="P884" s="147" t="str">
        <f>IFERROR(__xludf.DUMMYFUNCTION("if(C884="""","""",iferror(if(row()&lt;&gt;2,INDEX(arrayformula(filter($Q$2:$Q883,$C$2:$C883&lt;&gt;"""",row($C$2:$C883)=max(if($C$2:$C883=C884,row($C$2:$C883),0)))) ,1),0),0))"),"")</f>
        <v/>
      </c>
      <c r="Q884" s="147" t="str">
        <f t="shared" si="22"/>
        <v/>
      </c>
      <c r="R884" s="147" t="str">
        <f t="shared" si="23"/>
        <v/>
      </c>
      <c r="S884" s="147" t="str">
        <f t="shared" si="24"/>
        <v/>
      </c>
      <c r="T884" s="147" t="str">
        <f t="shared" si="7"/>
        <v/>
      </c>
      <c r="U884" s="150" t="str">
        <f t="shared" si="8"/>
        <v/>
      </c>
      <c r="V884" s="151" t="str">
        <f>IFERROR(VLOOKUP(C884,Ativos!$A$1:$G2000,5,),)</f>
        <v/>
      </c>
    </row>
    <row r="885" ht="21.0" customHeight="1">
      <c r="A885" s="152"/>
      <c r="B885" s="160"/>
      <c r="C885" s="153"/>
      <c r="D885" s="154"/>
      <c r="E885" s="139"/>
      <c r="F885" s="139"/>
      <c r="G885" s="139"/>
      <c r="H885" s="135"/>
      <c r="I885" s="141"/>
      <c r="J885" s="147" t="str">
        <f>IFERROR(__xludf.DUMMYFUNCTION("IF(ISBLANK(A885),IFERROR(1/0),IF(COUNT(FILTER(F:F,A:A=A885))&gt;1,TRUNC(N885*F885/SUM(FILTER(N:N,A:A=A885)),3),F885))"),"")</f>
        <v/>
      </c>
      <c r="K885" s="147" t="str">
        <f>IFERROR(__xludf.DUMMYFUNCTION("IF(ISBLANK(A885),IFERROR(1/0),IF(COUNT(FILTER(G:G,((A:A=A885)*(B:B=""V""))))&gt;1,TRUNC(N885*G885/SUM(FILTER(N:N,((A:A=A885)*(B:B=""V"")))),3),G885))"),"")</f>
        <v/>
      </c>
      <c r="L885" s="148" t="str">
        <f>IFERROR(__xludf.DUMMYFUNCTION("if($C885="""","""",iferror(if(row()&lt;&gt;2,INDEX(arrayformula(filter($M$2:$M884,$C$2:$C884&lt;&gt;"""",row($C$2:$C884)=max(if($C$2:$C884=C885,row($C$2:$C884),0)))) ,1),0),0))"),"")</f>
        <v/>
      </c>
      <c r="M885" s="148" t="str">
        <f t="shared" si="1"/>
        <v/>
      </c>
      <c r="N885" s="147" t="str">
        <f t="shared" si="2"/>
        <v/>
      </c>
      <c r="O885" s="147" t="str">
        <f t="shared" si="21"/>
        <v/>
      </c>
      <c r="P885" s="147" t="str">
        <f>IFERROR(__xludf.DUMMYFUNCTION("if(C885="""","""",iferror(if(row()&lt;&gt;2,INDEX(arrayformula(filter($Q$2:$Q884,$C$2:$C884&lt;&gt;"""",row($C$2:$C884)=max(if($C$2:$C884=C885,row($C$2:$C884),0)))) ,1),0),0))"),"")</f>
        <v/>
      </c>
      <c r="Q885" s="147" t="str">
        <f t="shared" si="22"/>
        <v/>
      </c>
      <c r="R885" s="147" t="str">
        <f t="shared" si="23"/>
        <v/>
      </c>
      <c r="S885" s="147" t="str">
        <f t="shared" si="24"/>
        <v/>
      </c>
      <c r="T885" s="147" t="str">
        <f t="shared" si="7"/>
        <v/>
      </c>
      <c r="U885" s="150" t="str">
        <f t="shared" si="8"/>
        <v/>
      </c>
      <c r="V885" s="151" t="str">
        <f>IFERROR(VLOOKUP(C885,Ativos!$A$1:$G2000,5,),)</f>
        <v/>
      </c>
    </row>
    <row r="886" ht="21.0" customHeight="1">
      <c r="A886" s="152"/>
      <c r="B886" s="160"/>
      <c r="C886" s="153"/>
      <c r="D886" s="154"/>
      <c r="E886" s="139"/>
      <c r="F886" s="139"/>
      <c r="G886" s="139"/>
      <c r="H886" s="135"/>
      <c r="I886" s="141"/>
      <c r="J886" s="147" t="str">
        <f>IFERROR(__xludf.DUMMYFUNCTION("IF(ISBLANK(A886),IFERROR(1/0),IF(COUNT(FILTER(F:F,A:A=A886))&gt;1,TRUNC(N886*F886/SUM(FILTER(N:N,A:A=A886)),3),F886))"),"")</f>
        <v/>
      </c>
      <c r="K886" s="147" t="str">
        <f>IFERROR(__xludf.DUMMYFUNCTION("IF(ISBLANK(A886),IFERROR(1/0),IF(COUNT(FILTER(G:G,((A:A=A886)*(B:B=""V""))))&gt;1,TRUNC(N886*G886/SUM(FILTER(N:N,((A:A=A886)*(B:B=""V"")))),3),G886))"),"")</f>
        <v/>
      </c>
      <c r="L886" s="148" t="str">
        <f>IFERROR(__xludf.DUMMYFUNCTION("if($C886="""","""",iferror(if(row()&lt;&gt;2,INDEX(arrayformula(filter($M$2:$M885,$C$2:$C885&lt;&gt;"""",row($C$2:$C885)=max(if($C$2:$C885=C886,row($C$2:$C885),0)))) ,1),0),0))"),"")</f>
        <v/>
      </c>
      <c r="M886" s="148" t="str">
        <f t="shared" si="1"/>
        <v/>
      </c>
      <c r="N886" s="147" t="str">
        <f t="shared" si="2"/>
        <v/>
      </c>
      <c r="O886" s="147" t="str">
        <f t="shared" si="21"/>
        <v/>
      </c>
      <c r="P886" s="147" t="str">
        <f>IFERROR(__xludf.DUMMYFUNCTION("if(C886="""","""",iferror(if(row()&lt;&gt;2,INDEX(arrayformula(filter($Q$2:$Q885,$C$2:$C885&lt;&gt;"""",row($C$2:$C885)=max(if($C$2:$C885=C886,row($C$2:$C885),0)))) ,1),0),0))"),"")</f>
        <v/>
      </c>
      <c r="Q886" s="147" t="str">
        <f t="shared" si="22"/>
        <v/>
      </c>
      <c r="R886" s="147" t="str">
        <f t="shared" si="23"/>
        <v/>
      </c>
      <c r="S886" s="147" t="str">
        <f t="shared" si="24"/>
        <v/>
      </c>
      <c r="T886" s="147" t="str">
        <f t="shared" si="7"/>
        <v/>
      </c>
      <c r="U886" s="150" t="str">
        <f t="shared" si="8"/>
        <v/>
      </c>
      <c r="V886" s="151" t="str">
        <f>IFERROR(VLOOKUP(C886,Ativos!$A$1:$G2000,5,),)</f>
        <v/>
      </c>
    </row>
    <row r="887" ht="21.0" customHeight="1">
      <c r="A887" s="152"/>
      <c r="B887" s="160"/>
      <c r="C887" s="153"/>
      <c r="D887" s="154"/>
      <c r="E887" s="139"/>
      <c r="F887" s="139"/>
      <c r="G887" s="139"/>
      <c r="H887" s="135"/>
      <c r="I887" s="141"/>
      <c r="J887" s="147" t="str">
        <f>IFERROR(__xludf.DUMMYFUNCTION("IF(ISBLANK(A887),IFERROR(1/0),IF(COUNT(FILTER(F:F,A:A=A887))&gt;1,TRUNC(N887*F887/SUM(FILTER(N:N,A:A=A887)),3),F887))"),"")</f>
        <v/>
      </c>
      <c r="K887" s="147" t="str">
        <f>IFERROR(__xludf.DUMMYFUNCTION("IF(ISBLANK(A887),IFERROR(1/0),IF(COUNT(FILTER(G:G,((A:A=A887)*(B:B=""V""))))&gt;1,TRUNC(N887*G887/SUM(FILTER(N:N,((A:A=A887)*(B:B=""V"")))),3),G887))"),"")</f>
        <v/>
      </c>
      <c r="L887" s="148" t="str">
        <f>IFERROR(__xludf.DUMMYFUNCTION("if($C887="""","""",iferror(if(row()&lt;&gt;2,INDEX(arrayformula(filter($M$2:$M886,$C$2:$C886&lt;&gt;"""",row($C$2:$C886)=max(if($C$2:$C886=C887,row($C$2:$C886),0)))) ,1),0),0))"),"")</f>
        <v/>
      </c>
      <c r="M887" s="148" t="str">
        <f t="shared" si="1"/>
        <v/>
      </c>
      <c r="N887" s="147" t="str">
        <f t="shared" si="2"/>
        <v/>
      </c>
      <c r="O887" s="147" t="str">
        <f t="shared" si="21"/>
        <v/>
      </c>
      <c r="P887" s="147" t="str">
        <f>IFERROR(__xludf.DUMMYFUNCTION("if(C887="""","""",iferror(if(row()&lt;&gt;2,INDEX(arrayformula(filter($Q$2:$Q886,$C$2:$C886&lt;&gt;"""",row($C$2:$C886)=max(if($C$2:$C886=C887,row($C$2:$C886),0)))) ,1),0),0))"),"")</f>
        <v/>
      </c>
      <c r="Q887" s="147" t="str">
        <f t="shared" si="22"/>
        <v/>
      </c>
      <c r="R887" s="147" t="str">
        <f t="shared" si="23"/>
        <v/>
      </c>
      <c r="S887" s="147" t="str">
        <f t="shared" si="24"/>
        <v/>
      </c>
      <c r="T887" s="147" t="str">
        <f t="shared" si="7"/>
        <v/>
      </c>
      <c r="U887" s="150" t="str">
        <f t="shared" si="8"/>
        <v/>
      </c>
      <c r="V887" s="151" t="str">
        <f>IFERROR(VLOOKUP(C887,Ativos!$A$1:$G2000,5,),)</f>
        <v/>
      </c>
    </row>
    <row r="888" ht="21.0" customHeight="1">
      <c r="A888" s="152"/>
      <c r="B888" s="160"/>
      <c r="C888" s="153"/>
      <c r="D888" s="154"/>
      <c r="E888" s="139"/>
      <c r="F888" s="139"/>
      <c r="G888" s="139"/>
      <c r="H888" s="135"/>
      <c r="I888" s="141"/>
      <c r="J888" s="147" t="str">
        <f>IFERROR(__xludf.DUMMYFUNCTION("IF(ISBLANK(A888),IFERROR(1/0),IF(COUNT(FILTER(F:F,A:A=A888))&gt;1,TRUNC(N888*F888/SUM(FILTER(N:N,A:A=A888)),3),F888))"),"")</f>
        <v/>
      </c>
      <c r="K888" s="147" t="str">
        <f>IFERROR(__xludf.DUMMYFUNCTION("IF(ISBLANK(A888),IFERROR(1/0),IF(COUNT(FILTER(G:G,((A:A=A888)*(B:B=""V""))))&gt;1,TRUNC(N888*G888/SUM(FILTER(N:N,((A:A=A888)*(B:B=""V"")))),3),G888))"),"")</f>
        <v/>
      </c>
      <c r="L888" s="148" t="str">
        <f>IFERROR(__xludf.DUMMYFUNCTION("if($C888="""","""",iferror(if(row()&lt;&gt;2,INDEX(arrayformula(filter($M$2:$M887,$C$2:$C887&lt;&gt;"""",row($C$2:$C887)=max(if($C$2:$C887=C888,row($C$2:$C887),0)))) ,1),0),0))"),"")</f>
        <v/>
      </c>
      <c r="M888" s="148" t="str">
        <f t="shared" si="1"/>
        <v/>
      </c>
      <c r="N888" s="147" t="str">
        <f t="shared" si="2"/>
        <v/>
      </c>
      <c r="O888" s="147" t="str">
        <f t="shared" si="21"/>
        <v/>
      </c>
      <c r="P888" s="147" t="str">
        <f>IFERROR(__xludf.DUMMYFUNCTION("if(C888="""","""",iferror(if(row()&lt;&gt;2,INDEX(arrayformula(filter($Q$2:$Q887,$C$2:$C887&lt;&gt;"""",row($C$2:$C887)=max(if($C$2:$C887=C888,row($C$2:$C887),0)))) ,1),0),0))"),"")</f>
        <v/>
      </c>
      <c r="Q888" s="147" t="str">
        <f t="shared" si="22"/>
        <v/>
      </c>
      <c r="R888" s="147" t="str">
        <f t="shared" si="23"/>
        <v/>
      </c>
      <c r="S888" s="147" t="str">
        <f t="shared" si="24"/>
        <v/>
      </c>
      <c r="T888" s="147" t="str">
        <f t="shared" si="7"/>
        <v/>
      </c>
      <c r="U888" s="150" t="str">
        <f t="shared" si="8"/>
        <v/>
      </c>
      <c r="V888" s="151" t="str">
        <f>IFERROR(VLOOKUP(C888,Ativos!$A$1:$G2000,5,),)</f>
        <v/>
      </c>
    </row>
    <row r="889" ht="21.0" customHeight="1">
      <c r="A889" s="152"/>
      <c r="B889" s="160"/>
      <c r="C889" s="153"/>
      <c r="D889" s="154"/>
      <c r="E889" s="139"/>
      <c r="F889" s="139"/>
      <c r="G889" s="139"/>
      <c r="H889" s="135"/>
      <c r="I889" s="141"/>
      <c r="J889" s="147" t="str">
        <f>IFERROR(__xludf.DUMMYFUNCTION("IF(ISBLANK(A889),IFERROR(1/0),IF(COUNT(FILTER(F:F,A:A=A889))&gt;1,TRUNC(N889*F889/SUM(FILTER(N:N,A:A=A889)),3),F889))"),"")</f>
        <v/>
      </c>
      <c r="K889" s="147" t="str">
        <f>IFERROR(__xludf.DUMMYFUNCTION("IF(ISBLANK(A889),IFERROR(1/0),IF(COUNT(FILTER(G:G,((A:A=A889)*(B:B=""V""))))&gt;1,TRUNC(N889*G889/SUM(FILTER(N:N,((A:A=A889)*(B:B=""V"")))),3),G889))"),"")</f>
        <v/>
      </c>
      <c r="L889" s="148" t="str">
        <f>IFERROR(__xludf.DUMMYFUNCTION("if($C889="""","""",iferror(if(row()&lt;&gt;2,INDEX(arrayformula(filter($M$2:$M888,$C$2:$C888&lt;&gt;"""",row($C$2:$C888)=max(if($C$2:$C888=C889,row($C$2:$C888),0)))) ,1),0),0))"),"")</f>
        <v/>
      </c>
      <c r="M889" s="148" t="str">
        <f t="shared" si="1"/>
        <v/>
      </c>
      <c r="N889" s="147" t="str">
        <f t="shared" si="2"/>
        <v/>
      </c>
      <c r="O889" s="147" t="str">
        <f t="shared" si="21"/>
        <v/>
      </c>
      <c r="P889" s="147" t="str">
        <f>IFERROR(__xludf.DUMMYFUNCTION("if(C889="""","""",iferror(if(row()&lt;&gt;2,INDEX(arrayformula(filter($Q$2:$Q888,$C$2:$C888&lt;&gt;"""",row($C$2:$C888)=max(if($C$2:$C888=C889,row($C$2:$C888),0)))) ,1),0),0))"),"")</f>
        <v/>
      </c>
      <c r="Q889" s="147" t="str">
        <f t="shared" si="22"/>
        <v/>
      </c>
      <c r="R889" s="147" t="str">
        <f t="shared" si="23"/>
        <v/>
      </c>
      <c r="S889" s="147" t="str">
        <f t="shared" si="24"/>
        <v/>
      </c>
      <c r="T889" s="147" t="str">
        <f t="shared" si="7"/>
        <v/>
      </c>
      <c r="U889" s="150" t="str">
        <f t="shared" si="8"/>
        <v/>
      </c>
      <c r="V889" s="151" t="str">
        <f>IFERROR(VLOOKUP(C889,Ativos!$A$1:$G2000,5,),)</f>
        <v/>
      </c>
    </row>
    <row r="890" ht="21.0" customHeight="1">
      <c r="A890" s="152"/>
      <c r="B890" s="160"/>
      <c r="C890" s="153"/>
      <c r="D890" s="154"/>
      <c r="E890" s="139"/>
      <c r="F890" s="139"/>
      <c r="G890" s="139"/>
      <c r="H890" s="135"/>
      <c r="I890" s="141"/>
      <c r="J890" s="147" t="str">
        <f>IFERROR(__xludf.DUMMYFUNCTION("IF(ISBLANK(A890),IFERROR(1/0),IF(COUNT(FILTER(F:F,A:A=A890))&gt;1,TRUNC(N890*F890/SUM(FILTER(N:N,A:A=A890)),3),F890))"),"")</f>
        <v/>
      </c>
      <c r="K890" s="147" t="str">
        <f>IFERROR(__xludf.DUMMYFUNCTION("IF(ISBLANK(A890),IFERROR(1/0),IF(COUNT(FILTER(G:G,((A:A=A890)*(B:B=""V""))))&gt;1,TRUNC(N890*G890/SUM(FILTER(N:N,((A:A=A890)*(B:B=""V"")))),3),G890))"),"")</f>
        <v/>
      </c>
      <c r="L890" s="148" t="str">
        <f>IFERROR(__xludf.DUMMYFUNCTION("if($C890="""","""",iferror(if(row()&lt;&gt;2,INDEX(arrayformula(filter($M$2:$M889,$C$2:$C889&lt;&gt;"""",row($C$2:$C889)=max(if($C$2:$C889=C890,row($C$2:$C889),0)))) ,1),0),0))"),"")</f>
        <v/>
      </c>
      <c r="M890" s="148" t="str">
        <f t="shared" si="1"/>
        <v/>
      </c>
      <c r="N890" s="147" t="str">
        <f t="shared" si="2"/>
        <v/>
      </c>
      <c r="O890" s="147" t="str">
        <f t="shared" si="21"/>
        <v/>
      </c>
      <c r="P890" s="147" t="str">
        <f>IFERROR(__xludf.DUMMYFUNCTION("if(C890="""","""",iferror(if(row()&lt;&gt;2,INDEX(arrayformula(filter($Q$2:$Q889,$C$2:$C889&lt;&gt;"""",row($C$2:$C889)=max(if($C$2:$C889=C890,row($C$2:$C889),0)))) ,1),0),0))"),"")</f>
        <v/>
      </c>
      <c r="Q890" s="147" t="str">
        <f t="shared" si="22"/>
        <v/>
      </c>
      <c r="R890" s="147" t="str">
        <f t="shared" si="23"/>
        <v/>
      </c>
      <c r="S890" s="147" t="str">
        <f t="shared" si="24"/>
        <v/>
      </c>
      <c r="T890" s="147" t="str">
        <f t="shared" si="7"/>
        <v/>
      </c>
      <c r="U890" s="150" t="str">
        <f t="shared" si="8"/>
        <v/>
      </c>
      <c r="V890" s="151" t="str">
        <f>IFERROR(VLOOKUP(C890,Ativos!$A$1:$G2000,5,),)</f>
        <v/>
      </c>
    </row>
    <row r="891" ht="21.0" customHeight="1">
      <c r="A891" s="152"/>
      <c r="B891" s="160"/>
      <c r="C891" s="153"/>
      <c r="D891" s="154"/>
      <c r="E891" s="139"/>
      <c r="F891" s="139"/>
      <c r="G891" s="139"/>
      <c r="H891" s="135"/>
      <c r="I891" s="141"/>
      <c r="J891" s="147" t="str">
        <f>IFERROR(__xludf.DUMMYFUNCTION("IF(ISBLANK(A891),IFERROR(1/0),IF(COUNT(FILTER(F:F,A:A=A891))&gt;1,TRUNC(N891*F891/SUM(FILTER(N:N,A:A=A891)),3),F891))"),"")</f>
        <v/>
      </c>
      <c r="K891" s="147" t="str">
        <f>IFERROR(__xludf.DUMMYFUNCTION("IF(ISBLANK(A891),IFERROR(1/0),IF(COUNT(FILTER(G:G,((A:A=A891)*(B:B=""V""))))&gt;1,TRUNC(N891*G891/SUM(FILTER(N:N,((A:A=A891)*(B:B=""V"")))),3),G891))"),"")</f>
        <v/>
      </c>
      <c r="L891" s="148" t="str">
        <f>IFERROR(__xludf.DUMMYFUNCTION("if($C891="""","""",iferror(if(row()&lt;&gt;2,INDEX(arrayformula(filter($M$2:$M890,$C$2:$C890&lt;&gt;"""",row($C$2:$C890)=max(if($C$2:$C890=C891,row($C$2:$C890),0)))) ,1),0),0))"),"")</f>
        <v/>
      </c>
      <c r="M891" s="148" t="str">
        <f t="shared" si="1"/>
        <v/>
      </c>
      <c r="N891" s="147" t="str">
        <f t="shared" si="2"/>
        <v/>
      </c>
      <c r="O891" s="147" t="str">
        <f t="shared" si="21"/>
        <v/>
      </c>
      <c r="P891" s="147" t="str">
        <f>IFERROR(__xludf.DUMMYFUNCTION("if(C891="""","""",iferror(if(row()&lt;&gt;2,INDEX(arrayformula(filter($Q$2:$Q890,$C$2:$C890&lt;&gt;"""",row($C$2:$C890)=max(if($C$2:$C890=C891,row($C$2:$C890),0)))) ,1),0),0))"),"")</f>
        <v/>
      </c>
      <c r="Q891" s="147" t="str">
        <f t="shared" si="22"/>
        <v/>
      </c>
      <c r="R891" s="147" t="str">
        <f t="shared" si="23"/>
        <v/>
      </c>
      <c r="S891" s="147" t="str">
        <f t="shared" si="24"/>
        <v/>
      </c>
      <c r="T891" s="147" t="str">
        <f t="shared" si="7"/>
        <v/>
      </c>
      <c r="U891" s="150" t="str">
        <f t="shared" si="8"/>
        <v/>
      </c>
      <c r="V891" s="151" t="str">
        <f>IFERROR(VLOOKUP(C891,Ativos!$A$1:$G2000,5,),)</f>
        <v/>
      </c>
    </row>
    <row r="892" ht="21.0" customHeight="1">
      <c r="A892" s="152"/>
      <c r="B892" s="160"/>
      <c r="C892" s="153"/>
      <c r="D892" s="154"/>
      <c r="E892" s="139"/>
      <c r="F892" s="139"/>
      <c r="G892" s="139"/>
      <c r="H892" s="135"/>
      <c r="I892" s="141"/>
      <c r="J892" s="147" t="str">
        <f>IFERROR(__xludf.DUMMYFUNCTION("IF(ISBLANK(A892),IFERROR(1/0),IF(COUNT(FILTER(F:F,A:A=A892))&gt;1,TRUNC(N892*F892/SUM(FILTER(N:N,A:A=A892)),3),F892))"),"")</f>
        <v/>
      </c>
      <c r="K892" s="147" t="str">
        <f>IFERROR(__xludf.DUMMYFUNCTION("IF(ISBLANK(A892),IFERROR(1/0),IF(COUNT(FILTER(G:G,((A:A=A892)*(B:B=""V""))))&gt;1,TRUNC(N892*G892/SUM(FILTER(N:N,((A:A=A892)*(B:B=""V"")))),3),G892))"),"")</f>
        <v/>
      </c>
      <c r="L892" s="148" t="str">
        <f>IFERROR(__xludf.DUMMYFUNCTION("if($C892="""","""",iferror(if(row()&lt;&gt;2,INDEX(arrayformula(filter($M$2:$M891,$C$2:$C891&lt;&gt;"""",row($C$2:$C891)=max(if($C$2:$C891=C892,row($C$2:$C891),0)))) ,1),0),0))"),"")</f>
        <v/>
      </c>
      <c r="M892" s="148" t="str">
        <f t="shared" si="1"/>
        <v/>
      </c>
      <c r="N892" s="147" t="str">
        <f t="shared" si="2"/>
        <v/>
      </c>
      <c r="O892" s="147" t="str">
        <f t="shared" si="21"/>
        <v/>
      </c>
      <c r="P892" s="147" t="str">
        <f>IFERROR(__xludf.DUMMYFUNCTION("if(C892="""","""",iferror(if(row()&lt;&gt;2,INDEX(arrayformula(filter($Q$2:$Q891,$C$2:$C891&lt;&gt;"""",row($C$2:$C891)=max(if($C$2:$C891=C892,row($C$2:$C891),0)))) ,1),0),0))"),"")</f>
        <v/>
      </c>
      <c r="Q892" s="147" t="str">
        <f t="shared" si="22"/>
        <v/>
      </c>
      <c r="R892" s="147" t="str">
        <f t="shared" si="23"/>
        <v/>
      </c>
      <c r="S892" s="147" t="str">
        <f t="shared" si="24"/>
        <v/>
      </c>
      <c r="T892" s="147" t="str">
        <f t="shared" si="7"/>
        <v/>
      </c>
      <c r="U892" s="150" t="str">
        <f t="shared" si="8"/>
        <v/>
      </c>
      <c r="V892" s="151" t="str">
        <f>IFERROR(VLOOKUP(C892,Ativos!$A$1:$G2000,5,),)</f>
        <v/>
      </c>
    </row>
    <row r="893" ht="21.0" customHeight="1">
      <c r="A893" s="152"/>
      <c r="B893" s="160"/>
      <c r="C893" s="153"/>
      <c r="D893" s="154"/>
      <c r="E893" s="139"/>
      <c r="F893" s="139"/>
      <c r="G893" s="139"/>
      <c r="H893" s="135"/>
      <c r="I893" s="141"/>
      <c r="J893" s="147" t="str">
        <f>IFERROR(__xludf.DUMMYFUNCTION("IF(ISBLANK(A893),IFERROR(1/0),IF(COUNT(FILTER(F:F,A:A=A893))&gt;1,TRUNC(N893*F893/SUM(FILTER(N:N,A:A=A893)),3),F893))"),"")</f>
        <v/>
      </c>
      <c r="K893" s="147" t="str">
        <f>IFERROR(__xludf.DUMMYFUNCTION("IF(ISBLANK(A893),IFERROR(1/0),IF(COUNT(FILTER(G:G,((A:A=A893)*(B:B=""V""))))&gt;1,TRUNC(N893*G893/SUM(FILTER(N:N,((A:A=A893)*(B:B=""V"")))),3),G893))"),"")</f>
        <v/>
      </c>
      <c r="L893" s="148" t="str">
        <f>IFERROR(__xludf.DUMMYFUNCTION("if($C893="""","""",iferror(if(row()&lt;&gt;2,INDEX(arrayformula(filter($M$2:$M892,$C$2:$C892&lt;&gt;"""",row($C$2:$C892)=max(if($C$2:$C892=C893,row($C$2:$C892),0)))) ,1),0),0))"),"")</f>
        <v/>
      </c>
      <c r="M893" s="148" t="str">
        <f t="shared" si="1"/>
        <v/>
      </c>
      <c r="N893" s="147" t="str">
        <f t="shared" si="2"/>
        <v/>
      </c>
      <c r="O893" s="147" t="str">
        <f t="shared" si="21"/>
        <v/>
      </c>
      <c r="P893" s="147" t="str">
        <f>IFERROR(__xludf.DUMMYFUNCTION("if(C893="""","""",iferror(if(row()&lt;&gt;2,INDEX(arrayformula(filter($Q$2:$Q892,$C$2:$C892&lt;&gt;"""",row($C$2:$C892)=max(if($C$2:$C892=C893,row($C$2:$C892),0)))) ,1),0),0))"),"")</f>
        <v/>
      </c>
      <c r="Q893" s="147" t="str">
        <f t="shared" si="22"/>
        <v/>
      </c>
      <c r="R893" s="147" t="str">
        <f t="shared" si="23"/>
        <v/>
      </c>
      <c r="S893" s="147" t="str">
        <f t="shared" si="24"/>
        <v/>
      </c>
      <c r="T893" s="147" t="str">
        <f t="shared" si="7"/>
        <v/>
      </c>
      <c r="U893" s="150" t="str">
        <f t="shared" si="8"/>
        <v/>
      </c>
      <c r="V893" s="151" t="str">
        <f>IFERROR(VLOOKUP(C893,Ativos!$A$1:$G2000,5,),)</f>
        <v/>
      </c>
    </row>
    <row r="894" ht="21.0" customHeight="1">
      <c r="A894" s="152"/>
      <c r="B894" s="160"/>
      <c r="C894" s="153"/>
      <c r="D894" s="154"/>
      <c r="E894" s="139"/>
      <c r="F894" s="139"/>
      <c r="G894" s="139"/>
      <c r="H894" s="135"/>
      <c r="I894" s="141"/>
      <c r="J894" s="147" t="str">
        <f>IFERROR(__xludf.DUMMYFUNCTION("IF(ISBLANK(A894),IFERROR(1/0),IF(COUNT(FILTER(F:F,A:A=A894))&gt;1,TRUNC(N894*F894/SUM(FILTER(N:N,A:A=A894)),3),F894))"),"")</f>
        <v/>
      </c>
      <c r="K894" s="147" t="str">
        <f>IFERROR(__xludf.DUMMYFUNCTION("IF(ISBLANK(A894),IFERROR(1/0),IF(COUNT(FILTER(G:G,((A:A=A894)*(B:B=""V""))))&gt;1,TRUNC(N894*G894/SUM(FILTER(N:N,((A:A=A894)*(B:B=""V"")))),3),G894))"),"")</f>
        <v/>
      </c>
      <c r="L894" s="148" t="str">
        <f>IFERROR(__xludf.DUMMYFUNCTION("if($C894="""","""",iferror(if(row()&lt;&gt;2,INDEX(arrayformula(filter($M$2:$M893,$C$2:$C893&lt;&gt;"""",row($C$2:$C893)=max(if($C$2:$C893=C894,row($C$2:$C893),0)))) ,1),0),0))"),"")</f>
        <v/>
      </c>
      <c r="M894" s="148" t="str">
        <f t="shared" si="1"/>
        <v/>
      </c>
      <c r="N894" s="147" t="str">
        <f t="shared" si="2"/>
        <v/>
      </c>
      <c r="O894" s="147" t="str">
        <f t="shared" si="21"/>
        <v/>
      </c>
      <c r="P894" s="147" t="str">
        <f>IFERROR(__xludf.DUMMYFUNCTION("if(C894="""","""",iferror(if(row()&lt;&gt;2,INDEX(arrayformula(filter($Q$2:$Q893,$C$2:$C893&lt;&gt;"""",row($C$2:$C893)=max(if($C$2:$C893=C894,row($C$2:$C893),0)))) ,1),0),0))"),"")</f>
        <v/>
      </c>
      <c r="Q894" s="147" t="str">
        <f t="shared" si="22"/>
        <v/>
      </c>
      <c r="R894" s="147" t="str">
        <f t="shared" si="23"/>
        <v/>
      </c>
      <c r="S894" s="147" t="str">
        <f t="shared" si="24"/>
        <v/>
      </c>
      <c r="T894" s="147" t="str">
        <f t="shared" si="7"/>
        <v/>
      </c>
      <c r="U894" s="150" t="str">
        <f t="shared" si="8"/>
        <v/>
      </c>
      <c r="V894" s="151" t="str">
        <f>IFERROR(VLOOKUP(C894,Ativos!$A$1:$G2000,5,),)</f>
        <v/>
      </c>
    </row>
    <row r="895" ht="21.0" customHeight="1">
      <c r="A895" s="152"/>
      <c r="B895" s="160"/>
      <c r="C895" s="153"/>
      <c r="D895" s="154"/>
      <c r="E895" s="139"/>
      <c r="F895" s="139"/>
      <c r="G895" s="139"/>
      <c r="H895" s="135"/>
      <c r="I895" s="141"/>
      <c r="J895" s="147" t="str">
        <f>IFERROR(__xludf.DUMMYFUNCTION("IF(ISBLANK(A895),IFERROR(1/0),IF(COUNT(FILTER(F:F,A:A=A895))&gt;1,TRUNC(N895*F895/SUM(FILTER(N:N,A:A=A895)),3),F895))"),"")</f>
        <v/>
      </c>
      <c r="K895" s="147" t="str">
        <f>IFERROR(__xludf.DUMMYFUNCTION("IF(ISBLANK(A895),IFERROR(1/0),IF(COUNT(FILTER(G:G,((A:A=A895)*(B:B=""V""))))&gt;1,TRUNC(N895*G895/SUM(FILTER(N:N,((A:A=A895)*(B:B=""V"")))),3),G895))"),"")</f>
        <v/>
      </c>
      <c r="L895" s="148" t="str">
        <f>IFERROR(__xludf.DUMMYFUNCTION("if($C895="""","""",iferror(if(row()&lt;&gt;2,INDEX(arrayformula(filter($M$2:$M894,$C$2:$C894&lt;&gt;"""",row($C$2:$C894)=max(if($C$2:$C894=C895,row($C$2:$C894),0)))) ,1),0),0))"),"")</f>
        <v/>
      </c>
      <c r="M895" s="148" t="str">
        <f t="shared" si="1"/>
        <v/>
      </c>
      <c r="N895" s="147" t="str">
        <f t="shared" si="2"/>
        <v/>
      </c>
      <c r="O895" s="147" t="str">
        <f t="shared" si="21"/>
        <v/>
      </c>
      <c r="P895" s="147" t="str">
        <f>IFERROR(__xludf.DUMMYFUNCTION("if(C895="""","""",iferror(if(row()&lt;&gt;2,INDEX(arrayformula(filter($Q$2:$Q894,$C$2:$C894&lt;&gt;"""",row($C$2:$C894)=max(if($C$2:$C894=C895,row($C$2:$C894),0)))) ,1),0),0))"),"")</f>
        <v/>
      </c>
      <c r="Q895" s="147" t="str">
        <f t="shared" si="22"/>
        <v/>
      </c>
      <c r="R895" s="147" t="str">
        <f t="shared" si="23"/>
        <v/>
      </c>
      <c r="S895" s="147" t="str">
        <f t="shared" si="24"/>
        <v/>
      </c>
      <c r="T895" s="147" t="str">
        <f t="shared" si="7"/>
        <v/>
      </c>
      <c r="U895" s="150" t="str">
        <f t="shared" si="8"/>
        <v/>
      </c>
      <c r="V895" s="151" t="str">
        <f>IFERROR(VLOOKUP(C895,Ativos!$A$1:$G2000,5,),)</f>
        <v/>
      </c>
    </row>
    <row r="896" ht="21.0" customHeight="1">
      <c r="A896" s="152"/>
      <c r="B896" s="160"/>
      <c r="C896" s="153"/>
      <c r="D896" s="154"/>
      <c r="E896" s="139"/>
      <c r="F896" s="139"/>
      <c r="G896" s="139"/>
      <c r="H896" s="135"/>
      <c r="I896" s="141"/>
      <c r="J896" s="147" t="str">
        <f>IFERROR(__xludf.DUMMYFUNCTION("IF(ISBLANK(A896),IFERROR(1/0),IF(COUNT(FILTER(F:F,A:A=A896))&gt;1,TRUNC(N896*F896/SUM(FILTER(N:N,A:A=A896)),3),F896))"),"")</f>
        <v/>
      </c>
      <c r="K896" s="147" t="str">
        <f>IFERROR(__xludf.DUMMYFUNCTION("IF(ISBLANK(A896),IFERROR(1/0),IF(COUNT(FILTER(G:G,((A:A=A896)*(B:B=""V""))))&gt;1,TRUNC(N896*G896/SUM(FILTER(N:N,((A:A=A896)*(B:B=""V"")))),3),G896))"),"")</f>
        <v/>
      </c>
      <c r="L896" s="148" t="str">
        <f>IFERROR(__xludf.DUMMYFUNCTION("if($C896="""","""",iferror(if(row()&lt;&gt;2,INDEX(arrayformula(filter($M$2:$M895,$C$2:$C895&lt;&gt;"""",row($C$2:$C895)=max(if($C$2:$C895=C896,row($C$2:$C895),0)))) ,1),0),0))"),"")</f>
        <v/>
      </c>
      <c r="M896" s="148" t="str">
        <f t="shared" si="1"/>
        <v/>
      </c>
      <c r="N896" s="147" t="str">
        <f t="shared" si="2"/>
        <v/>
      </c>
      <c r="O896" s="147" t="str">
        <f t="shared" si="21"/>
        <v/>
      </c>
      <c r="P896" s="147" t="str">
        <f>IFERROR(__xludf.DUMMYFUNCTION("if(C896="""","""",iferror(if(row()&lt;&gt;2,INDEX(arrayformula(filter($Q$2:$Q895,$C$2:$C895&lt;&gt;"""",row($C$2:$C895)=max(if($C$2:$C895=C896,row($C$2:$C895),0)))) ,1),0),0))"),"")</f>
        <v/>
      </c>
      <c r="Q896" s="147" t="str">
        <f t="shared" si="22"/>
        <v/>
      </c>
      <c r="R896" s="147" t="str">
        <f t="shared" si="23"/>
        <v/>
      </c>
      <c r="S896" s="147" t="str">
        <f t="shared" si="24"/>
        <v/>
      </c>
      <c r="T896" s="147" t="str">
        <f t="shared" si="7"/>
        <v/>
      </c>
      <c r="U896" s="150" t="str">
        <f t="shared" si="8"/>
        <v/>
      </c>
      <c r="V896" s="151" t="str">
        <f>IFERROR(VLOOKUP(C896,Ativos!$A$1:$G2000,5,),)</f>
        <v/>
      </c>
    </row>
    <row r="897" ht="21.0" customHeight="1">
      <c r="A897" s="152"/>
      <c r="B897" s="160"/>
      <c r="C897" s="153"/>
      <c r="D897" s="154"/>
      <c r="E897" s="139"/>
      <c r="F897" s="139"/>
      <c r="G897" s="139"/>
      <c r="H897" s="135"/>
      <c r="I897" s="141"/>
      <c r="J897" s="147" t="str">
        <f>IFERROR(__xludf.DUMMYFUNCTION("IF(ISBLANK(A897),IFERROR(1/0),IF(COUNT(FILTER(F:F,A:A=A897))&gt;1,TRUNC(N897*F897/SUM(FILTER(N:N,A:A=A897)),3),F897))"),"")</f>
        <v/>
      </c>
      <c r="K897" s="147" t="str">
        <f>IFERROR(__xludf.DUMMYFUNCTION("IF(ISBLANK(A897),IFERROR(1/0),IF(COUNT(FILTER(G:G,((A:A=A897)*(B:B=""V""))))&gt;1,TRUNC(N897*G897/SUM(FILTER(N:N,((A:A=A897)*(B:B=""V"")))),3),G897))"),"")</f>
        <v/>
      </c>
      <c r="L897" s="148" t="str">
        <f>IFERROR(__xludf.DUMMYFUNCTION("if($C897="""","""",iferror(if(row()&lt;&gt;2,INDEX(arrayformula(filter($M$2:$M896,$C$2:$C896&lt;&gt;"""",row($C$2:$C896)=max(if($C$2:$C896=C897,row($C$2:$C896),0)))) ,1),0),0))"),"")</f>
        <v/>
      </c>
      <c r="M897" s="148" t="str">
        <f t="shared" si="1"/>
        <v/>
      </c>
      <c r="N897" s="147" t="str">
        <f t="shared" si="2"/>
        <v/>
      </c>
      <c r="O897" s="147" t="str">
        <f t="shared" si="21"/>
        <v/>
      </c>
      <c r="P897" s="147" t="str">
        <f>IFERROR(__xludf.DUMMYFUNCTION("if(C897="""","""",iferror(if(row()&lt;&gt;2,INDEX(arrayformula(filter($Q$2:$Q896,$C$2:$C896&lt;&gt;"""",row($C$2:$C896)=max(if($C$2:$C896=C897,row($C$2:$C896),0)))) ,1),0),0))"),"")</f>
        <v/>
      </c>
      <c r="Q897" s="147" t="str">
        <f t="shared" si="22"/>
        <v/>
      </c>
      <c r="R897" s="147" t="str">
        <f t="shared" si="23"/>
        <v/>
      </c>
      <c r="S897" s="147" t="str">
        <f t="shared" si="24"/>
        <v/>
      </c>
      <c r="T897" s="147" t="str">
        <f t="shared" si="7"/>
        <v/>
      </c>
      <c r="U897" s="150" t="str">
        <f t="shared" si="8"/>
        <v/>
      </c>
      <c r="V897" s="151" t="str">
        <f>IFERROR(VLOOKUP(C897,Ativos!$A$1:$G2000,5,),)</f>
        <v/>
      </c>
    </row>
    <row r="898" ht="21.0" customHeight="1">
      <c r="A898" s="152"/>
      <c r="B898" s="160"/>
      <c r="C898" s="153"/>
      <c r="D898" s="154"/>
      <c r="E898" s="139"/>
      <c r="F898" s="139"/>
      <c r="G898" s="139"/>
      <c r="H898" s="135"/>
      <c r="I898" s="141"/>
      <c r="J898" s="147" t="str">
        <f>IFERROR(__xludf.DUMMYFUNCTION("IF(ISBLANK(A898),IFERROR(1/0),IF(COUNT(FILTER(F:F,A:A=A898))&gt;1,TRUNC(N898*F898/SUM(FILTER(N:N,A:A=A898)),3),F898))"),"")</f>
        <v/>
      </c>
      <c r="K898" s="147" t="str">
        <f>IFERROR(__xludf.DUMMYFUNCTION("IF(ISBLANK(A898),IFERROR(1/0),IF(COUNT(FILTER(G:G,((A:A=A898)*(B:B=""V""))))&gt;1,TRUNC(N898*G898/SUM(FILTER(N:N,((A:A=A898)*(B:B=""V"")))),3),G898))"),"")</f>
        <v/>
      </c>
      <c r="L898" s="148" t="str">
        <f>IFERROR(__xludf.DUMMYFUNCTION("if($C898="""","""",iferror(if(row()&lt;&gt;2,INDEX(arrayformula(filter($M$2:$M897,$C$2:$C897&lt;&gt;"""",row($C$2:$C897)=max(if($C$2:$C897=C898,row($C$2:$C897),0)))) ,1),0),0))"),"")</f>
        <v/>
      </c>
      <c r="M898" s="148" t="str">
        <f t="shared" si="1"/>
        <v/>
      </c>
      <c r="N898" s="147" t="str">
        <f t="shared" si="2"/>
        <v/>
      </c>
      <c r="O898" s="147" t="str">
        <f t="shared" si="21"/>
        <v/>
      </c>
      <c r="P898" s="147" t="str">
        <f>IFERROR(__xludf.DUMMYFUNCTION("if(C898="""","""",iferror(if(row()&lt;&gt;2,INDEX(arrayformula(filter($Q$2:$Q897,$C$2:$C897&lt;&gt;"""",row($C$2:$C897)=max(if($C$2:$C897=C898,row($C$2:$C897),0)))) ,1),0),0))"),"")</f>
        <v/>
      </c>
      <c r="Q898" s="147" t="str">
        <f t="shared" si="22"/>
        <v/>
      </c>
      <c r="R898" s="147" t="str">
        <f t="shared" si="23"/>
        <v/>
      </c>
      <c r="S898" s="147" t="str">
        <f t="shared" si="24"/>
        <v/>
      </c>
      <c r="T898" s="147" t="str">
        <f t="shared" si="7"/>
        <v/>
      </c>
      <c r="U898" s="150" t="str">
        <f t="shared" si="8"/>
        <v/>
      </c>
      <c r="V898" s="151" t="str">
        <f>IFERROR(VLOOKUP(C898,Ativos!$A$1:$G2000,5,),)</f>
        <v/>
      </c>
    </row>
    <row r="899" ht="21.0" customHeight="1">
      <c r="A899" s="152"/>
      <c r="B899" s="160"/>
      <c r="C899" s="153"/>
      <c r="D899" s="154"/>
      <c r="E899" s="139"/>
      <c r="F899" s="139"/>
      <c r="G899" s="139"/>
      <c r="H899" s="135"/>
      <c r="I899" s="141"/>
      <c r="J899" s="147" t="str">
        <f>IFERROR(__xludf.DUMMYFUNCTION("IF(ISBLANK(A899),IFERROR(1/0),IF(COUNT(FILTER(F:F,A:A=A899))&gt;1,TRUNC(N899*F899/SUM(FILTER(N:N,A:A=A899)),3),F899))"),"")</f>
        <v/>
      </c>
      <c r="K899" s="147" t="str">
        <f>IFERROR(__xludf.DUMMYFUNCTION("IF(ISBLANK(A899),IFERROR(1/0),IF(COUNT(FILTER(G:G,((A:A=A899)*(B:B=""V""))))&gt;1,TRUNC(N899*G899/SUM(FILTER(N:N,((A:A=A899)*(B:B=""V"")))),3),G899))"),"")</f>
        <v/>
      </c>
      <c r="L899" s="148" t="str">
        <f>IFERROR(__xludf.DUMMYFUNCTION("if($C899="""","""",iferror(if(row()&lt;&gt;2,INDEX(arrayformula(filter($M$2:$M898,$C$2:$C898&lt;&gt;"""",row($C$2:$C898)=max(if($C$2:$C898=C899,row($C$2:$C898),0)))) ,1),0),0))"),"")</f>
        <v/>
      </c>
      <c r="M899" s="148" t="str">
        <f t="shared" si="1"/>
        <v/>
      </c>
      <c r="N899" s="147" t="str">
        <f t="shared" si="2"/>
        <v/>
      </c>
      <c r="O899" s="147" t="str">
        <f t="shared" si="21"/>
        <v/>
      </c>
      <c r="P899" s="147" t="str">
        <f>IFERROR(__xludf.DUMMYFUNCTION("if(C899="""","""",iferror(if(row()&lt;&gt;2,INDEX(arrayformula(filter($Q$2:$Q898,$C$2:$C898&lt;&gt;"""",row($C$2:$C898)=max(if($C$2:$C898=C899,row($C$2:$C898),0)))) ,1),0),0))"),"")</f>
        <v/>
      </c>
      <c r="Q899" s="147" t="str">
        <f t="shared" si="22"/>
        <v/>
      </c>
      <c r="R899" s="147" t="str">
        <f t="shared" si="23"/>
        <v/>
      </c>
      <c r="S899" s="147" t="str">
        <f t="shared" si="24"/>
        <v/>
      </c>
      <c r="T899" s="147" t="str">
        <f t="shared" si="7"/>
        <v/>
      </c>
      <c r="U899" s="150" t="str">
        <f t="shared" si="8"/>
        <v/>
      </c>
      <c r="V899" s="151" t="str">
        <f>IFERROR(VLOOKUP(C899,Ativos!$A$1:$G2000,5,),)</f>
        <v/>
      </c>
    </row>
    <row r="900" ht="21.0" customHeight="1">
      <c r="A900" s="152"/>
      <c r="B900" s="160"/>
      <c r="C900" s="153"/>
      <c r="D900" s="154"/>
      <c r="E900" s="139"/>
      <c r="F900" s="139"/>
      <c r="G900" s="139"/>
      <c r="H900" s="135"/>
      <c r="I900" s="141"/>
      <c r="J900" s="147" t="str">
        <f>IFERROR(__xludf.DUMMYFUNCTION("IF(ISBLANK(A900),IFERROR(1/0),IF(COUNT(FILTER(F:F,A:A=A900))&gt;1,TRUNC(N900*F900/SUM(FILTER(N:N,A:A=A900)),3),F900))"),"")</f>
        <v/>
      </c>
      <c r="K900" s="147" t="str">
        <f>IFERROR(__xludf.DUMMYFUNCTION("IF(ISBLANK(A900),IFERROR(1/0),IF(COUNT(FILTER(G:G,((A:A=A900)*(B:B=""V""))))&gt;1,TRUNC(N900*G900/SUM(FILTER(N:N,((A:A=A900)*(B:B=""V"")))),3),G900))"),"")</f>
        <v/>
      </c>
      <c r="L900" s="148" t="str">
        <f>IFERROR(__xludf.DUMMYFUNCTION("if($C900="""","""",iferror(if(row()&lt;&gt;2,INDEX(arrayformula(filter($M$2:$M899,$C$2:$C899&lt;&gt;"""",row($C$2:$C899)=max(if($C$2:$C899=C900,row($C$2:$C899),0)))) ,1),0),0))"),"")</f>
        <v/>
      </c>
      <c r="M900" s="148" t="str">
        <f t="shared" si="1"/>
        <v/>
      </c>
      <c r="N900" s="147" t="str">
        <f t="shared" si="2"/>
        <v/>
      </c>
      <c r="O900" s="147" t="str">
        <f t="shared" si="21"/>
        <v/>
      </c>
      <c r="P900" s="147" t="str">
        <f>IFERROR(__xludf.DUMMYFUNCTION("if(C900="""","""",iferror(if(row()&lt;&gt;2,INDEX(arrayformula(filter($Q$2:$Q899,$C$2:$C899&lt;&gt;"""",row($C$2:$C899)=max(if($C$2:$C899=C900,row($C$2:$C899),0)))) ,1),0),0))"),"")</f>
        <v/>
      </c>
      <c r="Q900" s="147" t="str">
        <f t="shared" si="22"/>
        <v/>
      </c>
      <c r="R900" s="147" t="str">
        <f t="shared" si="23"/>
        <v/>
      </c>
      <c r="S900" s="147" t="str">
        <f t="shared" si="24"/>
        <v/>
      </c>
      <c r="T900" s="147" t="str">
        <f t="shared" si="7"/>
        <v/>
      </c>
      <c r="U900" s="150" t="str">
        <f t="shared" si="8"/>
        <v/>
      </c>
      <c r="V900" s="151" t="str">
        <f>IFERROR(VLOOKUP(C900,Ativos!$A$1:$G2000,5,),)</f>
        <v/>
      </c>
    </row>
    <row r="901" ht="21.0" customHeight="1">
      <c r="A901" s="152"/>
      <c r="B901" s="160"/>
      <c r="C901" s="153"/>
      <c r="D901" s="154"/>
      <c r="E901" s="139"/>
      <c r="F901" s="139"/>
      <c r="G901" s="139"/>
      <c r="H901" s="135"/>
      <c r="I901" s="141"/>
      <c r="J901" s="147" t="str">
        <f>IFERROR(__xludf.DUMMYFUNCTION("IF(ISBLANK(A901),IFERROR(1/0),IF(COUNT(FILTER(F:F,A:A=A901))&gt;1,TRUNC(N901*F901/SUM(FILTER(N:N,A:A=A901)),3),F901))"),"")</f>
        <v/>
      </c>
      <c r="K901" s="147" t="str">
        <f>IFERROR(__xludf.DUMMYFUNCTION("IF(ISBLANK(A901),IFERROR(1/0),IF(COUNT(FILTER(G:G,((A:A=A901)*(B:B=""V""))))&gt;1,TRUNC(N901*G901/SUM(FILTER(N:N,((A:A=A901)*(B:B=""V"")))),3),G901))"),"")</f>
        <v/>
      </c>
      <c r="L901" s="148" t="str">
        <f>IFERROR(__xludf.DUMMYFUNCTION("if($C901="""","""",iferror(if(row()&lt;&gt;2,INDEX(arrayformula(filter($M$2:$M900,$C$2:$C900&lt;&gt;"""",row($C$2:$C900)=max(if($C$2:$C900=C901,row($C$2:$C900),0)))) ,1),0),0))"),"")</f>
        <v/>
      </c>
      <c r="M901" s="148" t="str">
        <f t="shared" si="1"/>
        <v/>
      </c>
      <c r="N901" s="147" t="str">
        <f t="shared" si="2"/>
        <v/>
      </c>
      <c r="O901" s="147" t="str">
        <f t="shared" si="21"/>
        <v/>
      </c>
      <c r="P901" s="147" t="str">
        <f>IFERROR(__xludf.DUMMYFUNCTION("if(C901="""","""",iferror(if(row()&lt;&gt;2,INDEX(arrayformula(filter($Q$2:$Q900,$C$2:$C900&lt;&gt;"""",row($C$2:$C900)=max(if($C$2:$C900=C901,row($C$2:$C900),0)))) ,1),0),0))"),"")</f>
        <v/>
      </c>
      <c r="Q901" s="147" t="str">
        <f t="shared" si="22"/>
        <v/>
      </c>
      <c r="R901" s="147" t="str">
        <f t="shared" si="23"/>
        <v/>
      </c>
      <c r="S901" s="147" t="str">
        <f t="shared" si="24"/>
        <v/>
      </c>
      <c r="T901" s="147" t="str">
        <f t="shared" si="7"/>
        <v/>
      </c>
      <c r="U901" s="150" t="str">
        <f t="shared" si="8"/>
        <v/>
      </c>
      <c r="V901" s="151" t="str">
        <f>IFERROR(VLOOKUP(C901,Ativos!$A$1:$G2000,5,),)</f>
        <v/>
      </c>
    </row>
    <row r="902" ht="21.0" customHeight="1">
      <c r="A902" s="152"/>
      <c r="B902" s="160"/>
      <c r="C902" s="153"/>
      <c r="D902" s="154"/>
      <c r="E902" s="139"/>
      <c r="F902" s="139"/>
      <c r="G902" s="139"/>
      <c r="H902" s="135"/>
      <c r="I902" s="141"/>
      <c r="J902" s="147" t="str">
        <f>IFERROR(__xludf.DUMMYFUNCTION("IF(ISBLANK(A902),IFERROR(1/0),IF(COUNT(FILTER(F:F,A:A=A902))&gt;1,TRUNC(N902*F902/SUM(FILTER(N:N,A:A=A902)),3),F902))"),"")</f>
        <v/>
      </c>
      <c r="K902" s="147" t="str">
        <f>IFERROR(__xludf.DUMMYFUNCTION("IF(ISBLANK(A902),IFERROR(1/0),IF(COUNT(FILTER(G:G,((A:A=A902)*(B:B=""V""))))&gt;1,TRUNC(N902*G902/SUM(FILTER(N:N,((A:A=A902)*(B:B=""V"")))),3),G902))"),"")</f>
        <v/>
      </c>
      <c r="L902" s="148" t="str">
        <f>IFERROR(__xludf.DUMMYFUNCTION("if($C902="""","""",iferror(if(row()&lt;&gt;2,INDEX(arrayformula(filter($M$2:$M901,$C$2:$C901&lt;&gt;"""",row($C$2:$C901)=max(if($C$2:$C901=C902,row($C$2:$C901),0)))) ,1),0),0))"),"")</f>
        <v/>
      </c>
      <c r="M902" s="148" t="str">
        <f t="shared" si="1"/>
        <v/>
      </c>
      <c r="N902" s="147" t="str">
        <f t="shared" si="2"/>
        <v/>
      </c>
      <c r="O902" s="147" t="str">
        <f t="shared" si="21"/>
        <v/>
      </c>
      <c r="P902" s="147" t="str">
        <f>IFERROR(__xludf.DUMMYFUNCTION("if(C902="""","""",iferror(if(row()&lt;&gt;2,INDEX(arrayformula(filter($Q$2:$Q901,$C$2:$C901&lt;&gt;"""",row($C$2:$C901)=max(if($C$2:$C901=C902,row($C$2:$C901),0)))) ,1),0),0))"),"")</f>
        <v/>
      </c>
      <c r="Q902" s="147" t="str">
        <f t="shared" si="22"/>
        <v/>
      </c>
      <c r="R902" s="147" t="str">
        <f t="shared" si="23"/>
        <v/>
      </c>
      <c r="S902" s="147" t="str">
        <f t="shared" si="24"/>
        <v/>
      </c>
      <c r="T902" s="147" t="str">
        <f t="shared" si="7"/>
        <v/>
      </c>
      <c r="U902" s="150" t="str">
        <f t="shared" si="8"/>
        <v/>
      </c>
      <c r="V902" s="151" t="str">
        <f>IFERROR(VLOOKUP(C902,Ativos!$A$1:$G2000,5,),)</f>
        <v/>
      </c>
    </row>
    <row r="903" ht="21.0" customHeight="1">
      <c r="A903" s="152"/>
      <c r="B903" s="160"/>
      <c r="C903" s="153"/>
      <c r="D903" s="154"/>
      <c r="E903" s="139"/>
      <c r="F903" s="139"/>
      <c r="G903" s="139"/>
      <c r="H903" s="135"/>
      <c r="I903" s="141"/>
      <c r="J903" s="147" t="str">
        <f>IFERROR(__xludf.DUMMYFUNCTION("IF(ISBLANK(A903),IFERROR(1/0),IF(COUNT(FILTER(F:F,A:A=A903))&gt;1,TRUNC(N903*F903/SUM(FILTER(N:N,A:A=A903)),3),F903))"),"")</f>
        <v/>
      </c>
      <c r="K903" s="147" t="str">
        <f>IFERROR(__xludf.DUMMYFUNCTION("IF(ISBLANK(A903),IFERROR(1/0),IF(COUNT(FILTER(G:G,((A:A=A903)*(B:B=""V""))))&gt;1,TRUNC(N903*G903/SUM(FILTER(N:N,((A:A=A903)*(B:B=""V"")))),3),G903))"),"")</f>
        <v/>
      </c>
      <c r="L903" s="148" t="str">
        <f>IFERROR(__xludf.DUMMYFUNCTION("if($C903="""","""",iferror(if(row()&lt;&gt;2,INDEX(arrayformula(filter($M$2:$M902,$C$2:$C902&lt;&gt;"""",row($C$2:$C902)=max(if($C$2:$C902=C903,row($C$2:$C902),0)))) ,1),0),0))"),"")</f>
        <v/>
      </c>
      <c r="M903" s="148" t="str">
        <f t="shared" si="1"/>
        <v/>
      </c>
      <c r="N903" s="147" t="str">
        <f t="shared" si="2"/>
        <v/>
      </c>
      <c r="O903" s="147" t="str">
        <f t="shared" si="21"/>
        <v/>
      </c>
      <c r="P903" s="147" t="str">
        <f>IFERROR(__xludf.DUMMYFUNCTION("if(C903="""","""",iferror(if(row()&lt;&gt;2,INDEX(arrayformula(filter($Q$2:$Q902,$C$2:$C902&lt;&gt;"""",row($C$2:$C902)=max(if($C$2:$C902=C903,row($C$2:$C902),0)))) ,1),0),0))"),"")</f>
        <v/>
      </c>
      <c r="Q903" s="147" t="str">
        <f t="shared" si="22"/>
        <v/>
      </c>
      <c r="R903" s="147" t="str">
        <f t="shared" si="23"/>
        <v/>
      </c>
      <c r="S903" s="147" t="str">
        <f t="shared" si="24"/>
        <v/>
      </c>
      <c r="T903" s="147" t="str">
        <f t="shared" si="7"/>
        <v/>
      </c>
      <c r="U903" s="150" t="str">
        <f t="shared" si="8"/>
        <v/>
      </c>
      <c r="V903" s="151" t="str">
        <f>IFERROR(VLOOKUP(C903,Ativos!$A$1:$G2000,5,),)</f>
        <v/>
      </c>
    </row>
    <row r="904" ht="21.0" customHeight="1">
      <c r="A904" s="152"/>
      <c r="B904" s="160"/>
      <c r="C904" s="153"/>
      <c r="D904" s="154"/>
      <c r="E904" s="139"/>
      <c r="F904" s="139"/>
      <c r="G904" s="139"/>
      <c r="H904" s="135"/>
      <c r="I904" s="141"/>
      <c r="J904" s="147" t="str">
        <f>IFERROR(__xludf.DUMMYFUNCTION("IF(ISBLANK(A904),IFERROR(1/0),IF(COUNT(FILTER(F:F,A:A=A904))&gt;1,TRUNC(N904*F904/SUM(FILTER(N:N,A:A=A904)),3),F904))"),"")</f>
        <v/>
      </c>
      <c r="K904" s="147" t="str">
        <f>IFERROR(__xludf.DUMMYFUNCTION("IF(ISBLANK(A904),IFERROR(1/0),IF(COUNT(FILTER(G:G,((A:A=A904)*(B:B=""V""))))&gt;1,TRUNC(N904*G904/SUM(FILTER(N:N,((A:A=A904)*(B:B=""V"")))),3),G904))"),"")</f>
        <v/>
      </c>
      <c r="L904" s="148" t="str">
        <f>IFERROR(__xludf.DUMMYFUNCTION("if($C904="""","""",iferror(if(row()&lt;&gt;2,INDEX(arrayformula(filter($M$2:$M903,$C$2:$C903&lt;&gt;"""",row($C$2:$C903)=max(if($C$2:$C903=C904,row($C$2:$C903),0)))) ,1),0),0))"),"")</f>
        <v/>
      </c>
      <c r="M904" s="148" t="str">
        <f t="shared" si="1"/>
        <v/>
      </c>
      <c r="N904" s="147" t="str">
        <f t="shared" si="2"/>
        <v/>
      </c>
      <c r="O904" s="147" t="str">
        <f t="shared" si="21"/>
        <v/>
      </c>
      <c r="P904" s="147" t="str">
        <f>IFERROR(__xludf.DUMMYFUNCTION("if(C904="""","""",iferror(if(row()&lt;&gt;2,INDEX(arrayformula(filter($Q$2:$Q903,$C$2:$C903&lt;&gt;"""",row($C$2:$C903)=max(if($C$2:$C903=C904,row($C$2:$C903),0)))) ,1),0),0))"),"")</f>
        <v/>
      </c>
      <c r="Q904" s="147" t="str">
        <f t="shared" si="22"/>
        <v/>
      </c>
      <c r="R904" s="147" t="str">
        <f t="shared" si="23"/>
        <v/>
      </c>
      <c r="S904" s="147" t="str">
        <f t="shared" si="24"/>
        <v/>
      </c>
      <c r="T904" s="147" t="str">
        <f t="shared" si="7"/>
        <v/>
      </c>
      <c r="U904" s="150" t="str">
        <f t="shared" si="8"/>
        <v/>
      </c>
      <c r="V904" s="151" t="str">
        <f>IFERROR(VLOOKUP(C904,Ativos!$A$1:$G2000,5,),)</f>
        <v/>
      </c>
    </row>
    <row r="905" ht="21.0" customHeight="1">
      <c r="A905" s="152"/>
      <c r="B905" s="160"/>
      <c r="C905" s="153"/>
      <c r="D905" s="154"/>
      <c r="E905" s="139"/>
      <c r="F905" s="139"/>
      <c r="G905" s="139"/>
      <c r="H905" s="135"/>
      <c r="I905" s="141"/>
      <c r="J905" s="147" t="str">
        <f>IFERROR(__xludf.DUMMYFUNCTION("IF(ISBLANK(A905),IFERROR(1/0),IF(COUNT(FILTER(F:F,A:A=A905))&gt;1,TRUNC(N905*F905/SUM(FILTER(N:N,A:A=A905)),3),F905))"),"")</f>
        <v/>
      </c>
      <c r="K905" s="147" t="str">
        <f>IFERROR(__xludf.DUMMYFUNCTION("IF(ISBLANK(A905),IFERROR(1/0),IF(COUNT(FILTER(G:G,((A:A=A905)*(B:B=""V""))))&gt;1,TRUNC(N905*G905/SUM(FILTER(N:N,((A:A=A905)*(B:B=""V"")))),3),G905))"),"")</f>
        <v/>
      </c>
      <c r="L905" s="148" t="str">
        <f>IFERROR(__xludf.DUMMYFUNCTION("if($C905="""","""",iferror(if(row()&lt;&gt;2,INDEX(arrayformula(filter($M$2:$M904,$C$2:$C904&lt;&gt;"""",row($C$2:$C904)=max(if($C$2:$C904=C905,row($C$2:$C904),0)))) ,1),0),0))"),"")</f>
        <v/>
      </c>
      <c r="M905" s="148" t="str">
        <f t="shared" si="1"/>
        <v/>
      </c>
      <c r="N905" s="147" t="str">
        <f t="shared" si="2"/>
        <v/>
      </c>
      <c r="O905" s="147" t="str">
        <f t="shared" si="21"/>
        <v/>
      </c>
      <c r="P905" s="147" t="str">
        <f>IFERROR(__xludf.DUMMYFUNCTION("if(C905="""","""",iferror(if(row()&lt;&gt;2,INDEX(arrayformula(filter($Q$2:$Q904,$C$2:$C904&lt;&gt;"""",row($C$2:$C904)=max(if($C$2:$C904=C905,row($C$2:$C904),0)))) ,1),0),0))"),"")</f>
        <v/>
      </c>
      <c r="Q905" s="147" t="str">
        <f t="shared" si="22"/>
        <v/>
      </c>
      <c r="R905" s="147" t="str">
        <f t="shared" si="23"/>
        <v/>
      </c>
      <c r="S905" s="147" t="str">
        <f t="shared" si="24"/>
        <v/>
      </c>
      <c r="T905" s="147" t="str">
        <f t="shared" si="7"/>
        <v/>
      </c>
      <c r="U905" s="150" t="str">
        <f t="shared" si="8"/>
        <v/>
      </c>
      <c r="V905" s="151" t="str">
        <f>IFERROR(VLOOKUP(C905,Ativos!$A$1:$G2000,5,),)</f>
        <v/>
      </c>
    </row>
    <row r="906" ht="21.0" customHeight="1">
      <c r="A906" s="152"/>
      <c r="B906" s="160"/>
      <c r="C906" s="153"/>
      <c r="D906" s="154"/>
      <c r="E906" s="139"/>
      <c r="F906" s="139"/>
      <c r="G906" s="139"/>
      <c r="H906" s="135"/>
      <c r="I906" s="141"/>
      <c r="J906" s="147" t="str">
        <f>IFERROR(__xludf.DUMMYFUNCTION("IF(ISBLANK(A906),IFERROR(1/0),IF(COUNT(FILTER(F:F,A:A=A906))&gt;1,TRUNC(N906*F906/SUM(FILTER(N:N,A:A=A906)),3),F906))"),"")</f>
        <v/>
      </c>
      <c r="K906" s="147" t="str">
        <f>IFERROR(__xludf.DUMMYFUNCTION("IF(ISBLANK(A906),IFERROR(1/0),IF(COUNT(FILTER(G:G,((A:A=A906)*(B:B=""V""))))&gt;1,TRUNC(N906*G906/SUM(FILTER(N:N,((A:A=A906)*(B:B=""V"")))),3),G906))"),"")</f>
        <v/>
      </c>
      <c r="L906" s="148" t="str">
        <f>IFERROR(__xludf.DUMMYFUNCTION("if($C906="""","""",iferror(if(row()&lt;&gt;2,INDEX(arrayformula(filter($M$2:$M905,$C$2:$C905&lt;&gt;"""",row($C$2:$C905)=max(if($C$2:$C905=C906,row($C$2:$C905),0)))) ,1),0),0))"),"")</f>
        <v/>
      </c>
      <c r="M906" s="148" t="str">
        <f t="shared" si="1"/>
        <v/>
      </c>
      <c r="N906" s="147" t="str">
        <f t="shared" si="2"/>
        <v/>
      </c>
      <c r="O906" s="147" t="str">
        <f t="shared" si="21"/>
        <v/>
      </c>
      <c r="P906" s="147" t="str">
        <f>IFERROR(__xludf.DUMMYFUNCTION("if(C906="""","""",iferror(if(row()&lt;&gt;2,INDEX(arrayformula(filter($Q$2:$Q905,$C$2:$C905&lt;&gt;"""",row($C$2:$C905)=max(if($C$2:$C905=C906,row($C$2:$C905),0)))) ,1),0),0))"),"")</f>
        <v/>
      </c>
      <c r="Q906" s="147" t="str">
        <f t="shared" si="22"/>
        <v/>
      </c>
      <c r="R906" s="147" t="str">
        <f t="shared" si="23"/>
        <v/>
      </c>
      <c r="S906" s="147" t="str">
        <f t="shared" si="24"/>
        <v/>
      </c>
      <c r="T906" s="147" t="str">
        <f t="shared" si="7"/>
        <v/>
      </c>
      <c r="U906" s="150" t="str">
        <f t="shared" si="8"/>
        <v/>
      </c>
      <c r="V906" s="151" t="str">
        <f>IFERROR(VLOOKUP(C906,Ativos!$A$1:$G2000,5,),)</f>
        <v/>
      </c>
    </row>
    <row r="907" ht="21.0" customHeight="1">
      <c r="A907" s="152"/>
      <c r="B907" s="160"/>
      <c r="C907" s="153"/>
      <c r="D907" s="154"/>
      <c r="E907" s="139"/>
      <c r="F907" s="139"/>
      <c r="G907" s="139"/>
      <c r="H907" s="135"/>
      <c r="I907" s="141"/>
      <c r="J907" s="147" t="str">
        <f>IFERROR(__xludf.DUMMYFUNCTION("IF(ISBLANK(A907),IFERROR(1/0),IF(COUNT(FILTER(F:F,A:A=A907))&gt;1,TRUNC(N907*F907/SUM(FILTER(N:N,A:A=A907)),3),F907))"),"")</f>
        <v/>
      </c>
      <c r="K907" s="147" t="str">
        <f>IFERROR(__xludf.DUMMYFUNCTION("IF(ISBLANK(A907),IFERROR(1/0),IF(COUNT(FILTER(G:G,((A:A=A907)*(B:B=""V""))))&gt;1,TRUNC(N907*G907/SUM(FILTER(N:N,((A:A=A907)*(B:B=""V"")))),3),G907))"),"")</f>
        <v/>
      </c>
      <c r="L907" s="148" t="str">
        <f>IFERROR(__xludf.DUMMYFUNCTION("if($C907="""","""",iferror(if(row()&lt;&gt;2,INDEX(arrayformula(filter($M$2:$M906,$C$2:$C906&lt;&gt;"""",row($C$2:$C906)=max(if($C$2:$C906=C907,row($C$2:$C906),0)))) ,1),0),0))"),"")</f>
        <v/>
      </c>
      <c r="M907" s="148" t="str">
        <f t="shared" si="1"/>
        <v/>
      </c>
      <c r="N907" s="147" t="str">
        <f t="shared" si="2"/>
        <v/>
      </c>
      <c r="O907" s="147" t="str">
        <f t="shared" si="21"/>
        <v/>
      </c>
      <c r="P907" s="147" t="str">
        <f>IFERROR(__xludf.DUMMYFUNCTION("if(C907="""","""",iferror(if(row()&lt;&gt;2,INDEX(arrayformula(filter($Q$2:$Q906,$C$2:$C906&lt;&gt;"""",row($C$2:$C906)=max(if($C$2:$C906=C907,row($C$2:$C906),0)))) ,1),0),0))"),"")</f>
        <v/>
      </c>
      <c r="Q907" s="147" t="str">
        <f t="shared" si="22"/>
        <v/>
      </c>
      <c r="R907" s="147" t="str">
        <f t="shared" si="23"/>
        <v/>
      </c>
      <c r="S907" s="147" t="str">
        <f t="shared" si="24"/>
        <v/>
      </c>
      <c r="T907" s="147" t="str">
        <f t="shared" si="7"/>
        <v/>
      </c>
      <c r="U907" s="150" t="str">
        <f t="shared" si="8"/>
        <v/>
      </c>
      <c r="V907" s="151" t="str">
        <f>IFERROR(VLOOKUP(C907,Ativos!$A$1:$G2000,5,),)</f>
        <v/>
      </c>
    </row>
    <row r="908" ht="21.0" customHeight="1">
      <c r="A908" s="152"/>
      <c r="B908" s="160"/>
      <c r="C908" s="153"/>
      <c r="D908" s="154"/>
      <c r="E908" s="139"/>
      <c r="F908" s="139"/>
      <c r="G908" s="139"/>
      <c r="H908" s="135"/>
      <c r="I908" s="141"/>
      <c r="J908" s="147" t="str">
        <f>IFERROR(__xludf.DUMMYFUNCTION("IF(ISBLANK(A908),IFERROR(1/0),IF(COUNT(FILTER(F:F,A:A=A908))&gt;1,TRUNC(N908*F908/SUM(FILTER(N:N,A:A=A908)),3),F908))"),"")</f>
        <v/>
      </c>
      <c r="K908" s="147" t="str">
        <f>IFERROR(__xludf.DUMMYFUNCTION("IF(ISBLANK(A908),IFERROR(1/0),IF(COUNT(FILTER(G:G,((A:A=A908)*(B:B=""V""))))&gt;1,TRUNC(N908*G908/SUM(FILTER(N:N,((A:A=A908)*(B:B=""V"")))),3),G908))"),"")</f>
        <v/>
      </c>
      <c r="L908" s="148" t="str">
        <f>IFERROR(__xludf.DUMMYFUNCTION("if($C908="""","""",iferror(if(row()&lt;&gt;2,INDEX(arrayformula(filter($M$2:$M907,$C$2:$C907&lt;&gt;"""",row($C$2:$C907)=max(if($C$2:$C907=C908,row($C$2:$C907),0)))) ,1),0),0))"),"")</f>
        <v/>
      </c>
      <c r="M908" s="148" t="str">
        <f t="shared" si="1"/>
        <v/>
      </c>
      <c r="N908" s="147" t="str">
        <f t="shared" si="2"/>
        <v/>
      </c>
      <c r="O908" s="147" t="str">
        <f t="shared" si="21"/>
        <v/>
      </c>
      <c r="P908" s="147" t="str">
        <f>IFERROR(__xludf.DUMMYFUNCTION("if(C908="""","""",iferror(if(row()&lt;&gt;2,INDEX(arrayformula(filter($Q$2:$Q907,$C$2:$C907&lt;&gt;"""",row($C$2:$C907)=max(if($C$2:$C907=C908,row($C$2:$C907),0)))) ,1),0),0))"),"")</f>
        <v/>
      </c>
      <c r="Q908" s="147" t="str">
        <f t="shared" si="22"/>
        <v/>
      </c>
      <c r="R908" s="147" t="str">
        <f t="shared" si="23"/>
        <v/>
      </c>
      <c r="S908" s="147" t="str">
        <f t="shared" si="24"/>
        <v/>
      </c>
      <c r="T908" s="147" t="str">
        <f t="shared" si="7"/>
        <v/>
      </c>
      <c r="U908" s="150" t="str">
        <f t="shared" si="8"/>
        <v/>
      </c>
      <c r="V908" s="151" t="str">
        <f>IFERROR(VLOOKUP(C908,Ativos!$A$1:$G2000,5,),)</f>
        <v/>
      </c>
    </row>
    <row r="909" ht="21.0" customHeight="1">
      <c r="A909" s="152"/>
      <c r="B909" s="160"/>
      <c r="C909" s="153"/>
      <c r="D909" s="154"/>
      <c r="E909" s="139"/>
      <c r="F909" s="139"/>
      <c r="G909" s="139"/>
      <c r="H909" s="135"/>
      <c r="I909" s="141"/>
      <c r="J909" s="147" t="str">
        <f>IFERROR(__xludf.DUMMYFUNCTION("IF(ISBLANK(A909),IFERROR(1/0),IF(COUNT(FILTER(F:F,A:A=A909))&gt;1,TRUNC(N909*F909/SUM(FILTER(N:N,A:A=A909)),3),F909))"),"")</f>
        <v/>
      </c>
      <c r="K909" s="147" t="str">
        <f>IFERROR(__xludf.DUMMYFUNCTION("IF(ISBLANK(A909),IFERROR(1/0),IF(COUNT(FILTER(G:G,((A:A=A909)*(B:B=""V""))))&gt;1,TRUNC(N909*G909/SUM(FILTER(N:N,((A:A=A909)*(B:B=""V"")))),3),G909))"),"")</f>
        <v/>
      </c>
      <c r="L909" s="148" t="str">
        <f>IFERROR(__xludf.DUMMYFUNCTION("if($C909="""","""",iferror(if(row()&lt;&gt;2,INDEX(arrayformula(filter($M$2:$M908,$C$2:$C908&lt;&gt;"""",row($C$2:$C908)=max(if($C$2:$C908=C909,row($C$2:$C908),0)))) ,1),0),0))"),"")</f>
        <v/>
      </c>
      <c r="M909" s="148" t="str">
        <f t="shared" si="1"/>
        <v/>
      </c>
      <c r="N909" s="147" t="str">
        <f t="shared" si="2"/>
        <v/>
      </c>
      <c r="O909" s="147" t="str">
        <f t="shared" si="21"/>
        <v/>
      </c>
      <c r="P909" s="147" t="str">
        <f>IFERROR(__xludf.DUMMYFUNCTION("if(C909="""","""",iferror(if(row()&lt;&gt;2,INDEX(arrayformula(filter($Q$2:$Q908,$C$2:$C908&lt;&gt;"""",row($C$2:$C908)=max(if($C$2:$C908=C909,row($C$2:$C908),0)))) ,1),0),0))"),"")</f>
        <v/>
      </c>
      <c r="Q909" s="147" t="str">
        <f t="shared" si="22"/>
        <v/>
      </c>
      <c r="R909" s="147" t="str">
        <f t="shared" si="23"/>
        <v/>
      </c>
      <c r="S909" s="147" t="str">
        <f t="shared" si="24"/>
        <v/>
      </c>
      <c r="T909" s="147" t="str">
        <f t="shared" si="7"/>
        <v/>
      </c>
      <c r="U909" s="150" t="str">
        <f t="shared" si="8"/>
        <v/>
      </c>
      <c r="V909" s="151" t="str">
        <f>IFERROR(VLOOKUP(C909,Ativos!$A$1:$G2000,5,),)</f>
        <v/>
      </c>
    </row>
    <row r="910" ht="21.0" customHeight="1">
      <c r="A910" s="152"/>
      <c r="B910" s="160"/>
      <c r="C910" s="153"/>
      <c r="D910" s="154"/>
      <c r="E910" s="139"/>
      <c r="F910" s="139"/>
      <c r="G910" s="139"/>
      <c r="H910" s="135"/>
      <c r="I910" s="141"/>
      <c r="J910" s="147" t="str">
        <f>IFERROR(__xludf.DUMMYFUNCTION("IF(ISBLANK(A910),IFERROR(1/0),IF(COUNT(FILTER(F:F,A:A=A910))&gt;1,TRUNC(N910*F910/SUM(FILTER(N:N,A:A=A910)),3),F910))"),"")</f>
        <v/>
      </c>
      <c r="K910" s="147" t="str">
        <f>IFERROR(__xludf.DUMMYFUNCTION("IF(ISBLANK(A910),IFERROR(1/0),IF(COUNT(FILTER(G:G,((A:A=A910)*(B:B=""V""))))&gt;1,TRUNC(N910*G910/SUM(FILTER(N:N,((A:A=A910)*(B:B=""V"")))),3),G910))"),"")</f>
        <v/>
      </c>
      <c r="L910" s="148" t="str">
        <f>IFERROR(__xludf.DUMMYFUNCTION("if($C910="""","""",iferror(if(row()&lt;&gt;2,INDEX(arrayformula(filter($M$2:$M909,$C$2:$C909&lt;&gt;"""",row($C$2:$C909)=max(if($C$2:$C909=C910,row($C$2:$C909),0)))) ,1),0),0))"),"")</f>
        <v/>
      </c>
      <c r="M910" s="148" t="str">
        <f t="shared" si="1"/>
        <v/>
      </c>
      <c r="N910" s="147" t="str">
        <f t="shared" si="2"/>
        <v/>
      </c>
      <c r="O910" s="147" t="str">
        <f t="shared" si="21"/>
        <v/>
      </c>
      <c r="P910" s="147" t="str">
        <f>IFERROR(__xludf.DUMMYFUNCTION("if(C910="""","""",iferror(if(row()&lt;&gt;2,INDEX(arrayformula(filter($Q$2:$Q909,$C$2:$C909&lt;&gt;"""",row($C$2:$C909)=max(if($C$2:$C909=C910,row($C$2:$C909),0)))) ,1),0),0))"),"")</f>
        <v/>
      </c>
      <c r="Q910" s="147" t="str">
        <f t="shared" si="22"/>
        <v/>
      </c>
      <c r="R910" s="147" t="str">
        <f t="shared" si="23"/>
        <v/>
      </c>
      <c r="S910" s="147" t="str">
        <f t="shared" si="24"/>
        <v/>
      </c>
      <c r="T910" s="147" t="str">
        <f t="shared" si="7"/>
        <v/>
      </c>
      <c r="U910" s="150" t="str">
        <f t="shared" si="8"/>
        <v/>
      </c>
      <c r="V910" s="151" t="str">
        <f>IFERROR(VLOOKUP(C910,Ativos!$A$1:$G2000,5,),)</f>
        <v/>
      </c>
    </row>
    <row r="911" ht="21.0" customHeight="1">
      <c r="A911" s="152"/>
      <c r="B911" s="160"/>
      <c r="C911" s="153"/>
      <c r="D911" s="154"/>
      <c r="E911" s="139"/>
      <c r="F911" s="139"/>
      <c r="G911" s="139"/>
      <c r="H911" s="135"/>
      <c r="I911" s="141"/>
      <c r="J911" s="147" t="str">
        <f>IFERROR(__xludf.DUMMYFUNCTION("IF(ISBLANK(A911),IFERROR(1/0),IF(COUNT(FILTER(F:F,A:A=A911))&gt;1,TRUNC(N911*F911/SUM(FILTER(N:N,A:A=A911)),3),F911))"),"")</f>
        <v/>
      </c>
      <c r="K911" s="147" t="str">
        <f>IFERROR(__xludf.DUMMYFUNCTION("IF(ISBLANK(A911),IFERROR(1/0),IF(COUNT(FILTER(G:G,((A:A=A911)*(B:B=""V""))))&gt;1,TRUNC(N911*G911/SUM(FILTER(N:N,((A:A=A911)*(B:B=""V"")))),3),G911))"),"")</f>
        <v/>
      </c>
      <c r="L911" s="148" t="str">
        <f>IFERROR(__xludf.DUMMYFUNCTION("if($C911="""","""",iferror(if(row()&lt;&gt;2,INDEX(arrayformula(filter($M$2:$M910,$C$2:$C910&lt;&gt;"""",row($C$2:$C910)=max(if($C$2:$C910=C911,row($C$2:$C910),0)))) ,1),0),0))"),"")</f>
        <v/>
      </c>
      <c r="M911" s="148" t="str">
        <f t="shared" si="1"/>
        <v/>
      </c>
      <c r="N911" s="147" t="str">
        <f t="shared" si="2"/>
        <v/>
      </c>
      <c r="O911" s="147" t="str">
        <f t="shared" si="21"/>
        <v/>
      </c>
      <c r="P911" s="147" t="str">
        <f>IFERROR(__xludf.DUMMYFUNCTION("if(C911="""","""",iferror(if(row()&lt;&gt;2,INDEX(arrayformula(filter($Q$2:$Q910,$C$2:$C910&lt;&gt;"""",row($C$2:$C910)=max(if($C$2:$C910=C911,row($C$2:$C910),0)))) ,1),0),0))"),"")</f>
        <v/>
      </c>
      <c r="Q911" s="147" t="str">
        <f t="shared" si="22"/>
        <v/>
      </c>
      <c r="R911" s="147" t="str">
        <f t="shared" si="23"/>
        <v/>
      </c>
      <c r="S911" s="147" t="str">
        <f t="shared" si="24"/>
        <v/>
      </c>
      <c r="T911" s="147" t="str">
        <f t="shared" si="7"/>
        <v/>
      </c>
      <c r="U911" s="150" t="str">
        <f t="shared" si="8"/>
        <v/>
      </c>
      <c r="V911" s="151" t="str">
        <f>IFERROR(VLOOKUP(C911,Ativos!$A$1:$G2000,5,),)</f>
        <v/>
      </c>
    </row>
    <row r="912" ht="21.0" customHeight="1">
      <c r="A912" s="152"/>
      <c r="B912" s="160"/>
      <c r="C912" s="153"/>
      <c r="D912" s="154"/>
      <c r="E912" s="139"/>
      <c r="F912" s="139"/>
      <c r="G912" s="139"/>
      <c r="H912" s="135"/>
      <c r="I912" s="141"/>
      <c r="J912" s="147" t="str">
        <f>IFERROR(__xludf.DUMMYFUNCTION("IF(ISBLANK(A912),IFERROR(1/0),IF(COUNT(FILTER(F:F,A:A=A912))&gt;1,TRUNC(N912*F912/SUM(FILTER(N:N,A:A=A912)),3),F912))"),"")</f>
        <v/>
      </c>
      <c r="K912" s="147" t="str">
        <f>IFERROR(__xludf.DUMMYFUNCTION("IF(ISBLANK(A912),IFERROR(1/0),IF(COUNT(FILTER(G:G,((A:A=A912)*(B:B=""V""))))&gt;1,TRUNC(N912*G912/SUM(FILTER(N:N,((A:A=A912)*(B:B=""V"")))),3),G912))"),"")</f>
        <v/>
      </c>
      <c r="L912" s="148" t="str">
        <f>IFERROR(__xludf.DUMMYFUNCTION("if($C912="""","""",iferror(if(row()&lt;&gt;2,INDEX(arrayformula(filter($M$2:$M911,$C$2:$C911&lt;&gt;"""",row($C$2:$C911)=max(if($C$2:$C911=C912,row($C$2:$C911),0)))) ,1),0),0))"),"")</f>
        <v/>
      </c>
      <c r="M912" s="148" t="str">
        <f t="shared" si="1"/>
        <v/>
      </c>
      <c r="N912" s="147" t="str">
        <f t="shared" si="2"/>
        <v/>
      </c>
      <c r="O912" s="147" t="str">
        <f t="shared" si="21"/>
        <v/>
      </c>
      <c r="P912" s="147" t="str">
        <f>IFERROR(__xludf.DUMMYFUNCTION("if(C912="""","""",iferror(if(row()&lt;&gt;2,INDEX(arrayformula(filter($Q$2:$Q911,$C$2:$C911&lt;&gt;"""",row($C$2:$C911)=max(if($C$2:$C911=C912,row($C$2:$C911),0)))) ,1),0),0))"),"")</f>
        <v/>
      </c>
      <c r="Q912" s="147" t="str">
        <f t="shared" si="22"/>
        <v/>
      </c>
      <c r="R912" s="147" t="str">
        <f t="shared" si="23"/>
        <v/>
      </c>
      <c r="S912" s="147" t="str">
        <f t="shared" si="24"/>
        <v/>
      </c>
      <c r="T912" s="147" t="str">
        <f t="shared" si="7"/>
        <v/>
      </c>
      <c r="U912" s="150" t="str">
        <f t="shared" si="8"/>
        <v/>
      </c>
      <c r="V912" s="151" t="str">
        <f>IFERROR(VLOOKUP(C912,Ativos!$A$1:$G2000,5,),)</f>
        <v/>
      </c>
    </row>
    <row r="913" ht="21.0" customHeight="1">
      <c r="A913" s="152"/>
      <c r="B913" s="160"/>
      <c r="C913" s="153"/>
      <c r="D913" s="154"/>
      <c r="E913" s="139"/>
      <c r="F913" s="139"/>
      <c r="G913" s="139"/>
      <c r="H913" s="135"/>
      <c r="I913" s="141"/>
      <c r="J913" s="147" t="str">
        <f>IFERROR(__xludf.DUMMYFUNCTION("IF(ISBLANK(A913),IFERROR(1/0),IF(COUNT(FILTER(F:F,A:A=A913))&gt;1,TRUNC(N913*F913/SUM(FILTER(N:N,A:A=A913)),3),F913))"),"")</f>
        <v/>
      </c>
      <c r="K913" s="147" t="str">
        <f>IFERROR(__xludf.DUMMYFUNCTION("IF(ISBLANK(A913),IFERROR(1/0),IF(COUNT(FILTER(G:G,((A:A=A913)*(B:B=""V""))))&gt;1,TRUNC(N913*G913/SUM(FILTER(N:N,((A:A=A913)*(B:B=""V"")))),3),G913))"),"")</f>
        <v/>
      </c>
      <c r="L913" s="148" t="str">
        <f>IFERROR(__xludf.DUMMYFUNCTION("if($C913="""","""",iferror(if(row()&lt;&gt;2,INDEX(arrayformula(filter($M$2:$M912,$C$2:$C912&lt;&gt;"""",row($C$2:$C912)=max(if($C$2:$C912=C913,row($C$2:$C912),0)))) ,1),0),0))"),"")</f>
        <v/>
      </c>
      <c r="M913" s="148" t="str">
        <f t="shared" si="1"/>
        <v/>
      </c>
      <c r="N913" s="147" t="str">
        <f t="shared" si="2"/>
        <v/>
      </c>
      <c r="O913" s="147" t="str">
        <f t="shared" si="21"/>
        <v/>
      </c>
      <c r="P913" s="147" t="str">
        <f>IFERROR(__xludf.DUMMYFUNCTION("if(C913="""","""",iferror(if(row()&lt;&gt;2,INDEX(arrayformula(filter($Q$2:$Q912,$C$2:$C912&lt;&gt;"""",row($C$2:$C912)=max(if($C$2:$C912=C913,row($C$2:$C912),0)))) ,1),0),0))"),"")</f>
        <v/>
      </c>
      <c r="Q913" s="147" t="str">
        <f t="shared" si="22"/>
        <v/>
      </c>
      <c r="R913" s="147" t="str">
        <f t="shared" si="23"/>
        <v/>
      </c>
      <c r="S913" s="147" t="str">
        <f t="shared" si="24"/>
        <v/>
      </c>
      <c r="T913" s="147" t="str">
        <f t="shared" si="7"/>
        <v/>
      </c>
      <c r="U913" s="150" t="str">
        <f t="shared" si="8"/>
        <v/>
      </c>
      <c r="V913" s="151" t="str">
        <f>IFERROR(VLOOKUP(C913,Ativos!$A$1:$G2000,5,),)</f>
        <v/>
      </c>
    </row>
    <row r="914" ht="21.0" customHeight="1">
      <c r="A914" s="152"/>
      <c r="B914" s="160"/>
      <c r="C914" s="153"/>
      <c r="D914" s="154"/>
      <c r="E914" s="139"/>
      <c r="F914" s="139"/>
      <c r="G914" s="139"/>
      <c r="H914" s="135"/>
      <c r="I914" s="141"/>
      <c r="J914" s="147" t="str">
        <f>IFERROR(__xludf.DUMMYFUNCTION("IF(ISBLANK(A914),IFERROR(1/0),IF(COUNT(FILTER(F:F,A:A=A914))&gt;1,TRUNC(N914*F914/SUM(FILTER(N:N,A:A=A914)),3),F914))"),"")</f>
        <v/>
      </c>
      <c r="K914" s="147" t="str">
        <f>IFERROR(__xludf.DUMMYFUNCTION("IF(ISBLANK(A914),IFERROR(1/0),IF(COUNT(FILTER(G:G,((A:A=A914)*(B:B=""V""))))&gt;1,TRUNC(N914*G914/SUM(FILTER(N:N,((A:A=A914)*(B:B=""V"")))),3),G914))"),"")</f>
        <v/>
      </c>
      <c r="L914" s="148" t="str">
        <f>IFERROR(__xludf.DUMMYFUNCTION("if($C914="""","""",iferror(if(row()&lt;&gt;2,INDEX(arrayformula(filter($M$2:$M913,$C$2:$C913&lt;&gt;"""",row($C$2:$C913)=max(if($C$2:$C913=C914,row($C$2:$C913),0)))) ,1),0),0))"),"")</f>
        <v/>
      </c>
      <c r="M914" s="148" t="str">
        <f t="shared" si="1"/>
        <v/>
      </c>
      <c r="N914" s="147" t="str">
        <f t="shared" si="2"/>
        <v/>
      </c>
      <c r="O914" s="147" t="str">
        <f t="shared" si="21"/>
        <v/>
      </c>
      <c r="P914" s="147" t="str">
        <f>IFERROR(__xludf.DUMMYFUNCTION("if(C914="""","""",iferror(if(row()&lt;&gt;2,INDEX(arrayformula(filter($Q$2:$Q913,$C$2:$C913&lt;&gt;"""",row($C$2:$C913)=max(if($C$2:$C913=C914,row($C$2:$C913),0)))) ,1),0),0))"),"")</f>
        <v/>
      </c>
      <c r="Q914" s="147" t="str">
        <f t="shared" si="22"/>
        <v/>
      </c>
      <c r="R914" s="147" t="str">
        <f t="shared" si="23"/>
        <v/>
      </c>
      <c r="S914" s="147" t="str">
        <f t="shared" si="24"/>
        <v/>
      </c>
      <c r="T914" s="147" t="str">
        <f t="shared" si="7"/>
        <v/>
      </c>
      <c r="U914" s="150" t="str">
        <f t="shared" si="8"/>
        <v/>
      </c>
      <c r="V914" s="151" t="str">
        <f>IFERROR(VLOOKUP(C914,Ativos!$A$1:$G2000,5,),)</f>
        <v/>
      </c>
    </row>
    <row r="915" ht="21.0" customHeight="1">
      <c r="A915" s="152"/>
      <c r="B915" s="160"/>
      <c r="C915" s="153"/>
      <c r="D915" s="154"/>
      <c r="E915" s="139"/>
      <c r="F915" s="139"/>
      <c r="G915" s="139"/>
      <c r="H915" s="135"/>
      <c r="I915" s="141"/>
      <c r="J915" s="147" t="str">
        <f>IFERROR(__xludf.DUMMYFUNCTION("IF(ISBLANK(A915),IFERROR(1/0),IF(COUNT(FILTER(F:F,A:A=A915))&gt;1,TRUNC(N915*F915/SUM(FILTER(N:N,A:A=A915)),3),F915))"),"")</f>
        <v/>
      </c>
      <c r="K915" s="147" t="str">
        <f>IFERROR(__xludf.DUMMYFUNCTION("IF(ISBLANK(A915),IFERROR(1/0),IF(COUNT(FILTER(G:G,((A:A=A915)*(B:B=""V""))))&gt;1,TRUNC(N915*G915/SUM(FILTER(N:N,((A:A=A915)*(B:B=""V"")))),3),G915))"),"")</f>
        <v/>
      </c>
      <c r="L915" s="148" t="str">
        <f>IFERROR(__xludf.DUMMYFUNCTION("if($C915="""","""",iferror(if(row()&lt;&gt;2,INDEX(arrayformula(filter($M$2:$M914,$C$2:$C914&lt;&gt;"""",row($C$2:$C914)=max(if($C$2:$C914=C915,row($C$2:$C914),0)))) ,1),0),0))"),"")</f>
        <v/>
      </c>
      <c r="M915" s="148" t="str">
        <f t="shared" si="1"/>
        <v/>
      </c>
      <c r="N915" s="147" t="str">
        <f t="shared" si="2"/>
        <v/>
      </c>
      <c r="O915" s="147" t="str">
        <f t="shared" si="21"/>
        <v/>
      </c>
      <c r="P915" s="147" t="str">
        <f>IFERROR(__xludf.DUMMYFUNCTION("if(C915="""","""",iferror(if(row()&lt;&gt;2,INDEX(arrayformula(filter($Q$2:$Q914,$C$2:$C914&lt;&gt;"""",row($C$2:$C914)=max(if($C$2:$C914=C915,row($C$2:$C914),0)))) ,1),0),0))"),"")</f>
        <v/>
      </c>
      <c r="Q915" s="147" t="str">
        <f t="shared" si="22"/>
        <v/>
      </c>
      <c r="R915" s="147" t="str">
        <f t="shared" si="23"/>
        <v/>
      </c>
      <c r="S915" s="147" t="str">
        <f t="shared" si="24"/>
        <v/>
      </c>
      <c r="T915" s="147" t="str">
        <f t="shared" si="7"/>
        <v/>
      </c>
      <c r="U915" s="150" t="str">
        <f t="shared" si="8"/>
        <v/>
      </c>
      <c r="V915" s="151" t="str">
        <f>IFERROR(VLOOKUP(C915,Ativos!$A$1:$G2000,5,),)</f>
        <v/>
      </c>
    </row>
    <row r="916" ht="21.0" customHeight="1">
      <c r="A916" s="152"/>
      <c r="B916" s="160"/>
      <c r="C916" s="153"/>
      <c r="D916" s="154"/>
      <c r="E916" s="139"/>
      <c r="F916" s="139"/>
      <c r="G916" s="139"/>
      <c r="H916" s="135"/>
      <c r="I916" s="141"/>
      <c r="J916" s="147" t="str">
        <f>IFERROR(__xludf.DUMMYFUNCTION("IF(ISBLANK(A916),IFERROR(1/0),IF(COUNT(FILTER(F:F,A:A=A916))&gt;1,TRUNC(N916*F916/SUM(FILTER(N:N,A:A=A916)),3),F916))"),"")</f>
        <v/>
      </c>
      <c r="K916" s="147" t="str">
        <f>IFERROR(__xludf.DUMMYFUNCTION("IF(ISBLANK(A916),IFERROR(1/0),IF(COUNT(FILTER(G:G,((A:A=A916)*(B:B=""V""))))&gt;1,TRUNC(N916*G916/SUM(FILTER(N:N,((A:A=A916)*(B:B=""V"")))),3),G916))"),"")</f>
        <v/>
      </c>
      <c r="L916" s="148" t="str">
        <f>IFERROR(__xludf.DUMMYFUNCTION("if($C916="""","""",iferror(if(row()&lt;&gt;2,INDEX(arrayformula(filter($M$2:$M915,$C$2:$C915&lt;&gt;"""",row($C$2:$C915)=max(if($C$2:$C915=C916,row($C$2:$C915),0)))) ,1),0),0))"),"")</f>
        <v/>
      </c>
      <c r="M916" s="148" t="str">
        <f t="shared" si="1"/>
        <v/>
      </c>
      <c r="N916" s="147" t="str">
        <f t="shared" si="2"/>
        <v/>
      </c>
      <c r="O916" s="147" t="str">
        <f t="shared" si="21"/>
        <v/>
      </c>
      <c r="P916" s="147" t="str">
        <f>IFERROR(__xludf.DUMMYFUNCTION("if(C916="""","""",iferror(if(row()&lt;&gt;2,INDEX(arrayformula(filter($Q$2:$Q915,$C$2:$C915&lt;&gt;"""",row($C$2:$C915)=max(if($C$2:$C915=C916,row($C$2:$C915),0)))) ,1),0),0))"),"")</f>
        <v/>
      </c>
      <c r="Q916" s="147" t="str">
        <f t="shared" si="22"/>
        <v/>
      </c>
      <c r="R916" s="147" t="str">
        <f t="shared" si="23"/>
        <v/>
      </c>
      <c r="S916" s="147" t="str">
        <f t="shared" si="24"/>
        <v/>
      </c>
      <c r="T916" s="147" t="str">
        <f t="shared" si="7"/>
        <v/>
      </c>
      <c r="U916" s="150" t="str">
        <f t="shared" si="8"/>
        <v/>
      </c>
      <c r="V916" s="151" t="str">
        <f>IFERROR(VLOOKUP(C916,Ativos!$A$1:$G2000,5,),)</f>
        <v/>
      </c>
    </row>
    <row r="917" ht="21.0" customHeight="1">
      <c r="A917" s="152"/>
      <c r="B917" s="160"/>
      <c r="C917" s="153"/>
      <c r="D917" s="154"/>
      <c r="E917" s="139"/>
      <c r="F917" s="139"/>
      <c r="G917" s="139"/>
      <c r="H917" s="135"/>
      <c r="I917" s="141"/>
      <c r="J917" s="147" t="str">
        <f>IFERROR(__xludf.DUMMYFUNCTION("IF(ISBLANK(A917),IFERROR(1/0),IF(COUNT(FILTER(F:F,A:A=A917))&gt;1,TRUNC(N917*F917/SUM(FILTER(N:N,A:A=A917)),3),F917))"),"")</f>
        <v/>
      </c>
      <c r="K917" s="147" t="str">
        <f>IFERROR(__xludf.DUMMYFUNCTION("IF(ISBLANK(A917),IFERROR(1/0),IF(COUNT(FILTER(G:G,((A:A=A917)*(B:B=""V""))))&gt;1,TRUNC(N917*G917/SUM(FILTER(N:N,((A:A=A917)*(B:B=""V"")))),3),G917))"),"")</f>
        <v/>
      </c>
      <c r="L917" s="148" t="str">
        <f>IFERROR(__xludf.DUMMYFUNCTION("if($C917="""","""",iferror(if(row()&lt;&gt;2,INDEX(arrayformula(filter($M$2:$M916,$C$2:$C916&lt;&gt;"""",row($C$2:$C916)=max(if($C$2:$C916=C917,row($C$2:$C916),0)))) ,1),0),0))"),"")</f>
        <v/>
      </c>
      <c r="M917" s="148" t="str">
        <f t="shared" si="1"/>
        <v/>
      </c>
      <c r="N917" s="147" t="str">
        <f t="shared" si="2"/>
        <v/>
      </c>
      <c r="O917" s="147" t="str">
        <f t="shared" si="21"/>
        <v/>
      </c>
      <c r="P917" s="147" t="str">
        <f>IFERROR(__xludf.DUMMYFUNCTION("if(C917="""","""",iferror(if(row()&lt;&gt;2,INDEX(arrayformula(filter($Q$2:$Q916,$C$2:$C916&lt;&gt;"""",row($C$2:$C916)=max(if($C$2:$C916=C917,row($C$2:$C916),0)))) ,1),0),0))"),"")</f>
        <v/>
      </c>
      <c r="Q917" s="147" t="str">
        <f t="shared" si="22"/>
        <v/>
      </c>
      <c r="R917" s="147" t="str">
        <f t="shared" si="23"/>
        <v/>
      </c>
      <c r="S917" s="147" t="str">
        <f t="shared" si="24"/>
        <v/>
      </c>
      <c r="T917" s="147" t="str">
        <f t="shared" si="7"/>
        <v/>
      </c>
      <c r="U917" s="150" t="str">
        <f t="shared" si="8"/>
        <v/>
      </c>
      <c r="V917" s="151" t="str">
        <f>IFERROR(VLOOKUP(C917,Ativos!$A$1:$G2000,5,),)</f>
        <v/>
      </c>
    </row>
    <row r="918" ht="21.0" customHeight="1">
      <c r="A918" s="152"/>
      <c r="B918" s="160"/>
      <c r="C918" s="153"/>
      <c r="D918" s="154"/>
      <c r="E918" s="139"/>
      <c r="F918" s="139"/>
      <c r="G918" s="139"/>
      <c r="H918" s="135"/>
      <c r="I918" s="141"/>
      <c r="J918" s="147" t="str">
        <f>IFERROR(__xludf.DUMMYFUNCTION("IF(ISBLANK(A918),IFERROR(1/0),IF(COUNT(FILTER(F:F,A:A=A918))&gt;1,TRUNC(N918*F918/SUM(FILTER(N:N,A:A=A918)),3),F918))"),"")</f>
        <v/>
      </c>
      <c r="K918" s="147" t="str">
        <f>IFERROR(__xludf.DUMMYFUNCTION("IF(ISBLANK(A918),IFERROR(1/0),IF(COUNT(FILTER(G:G,((A:A=A918)*(B:B=""V""))))&gt;1,TRUNC(N918*G918/SUM(FILTER(N:N,((A:A=A918)*(B:B=""V"")))),3),G918))"),"")</f>
        <v/>
      </c>
      <c r="L918" s="148" t="str">
        <f>IFERROR(__xludf.DUMMYFUNCTION("if($C918="""","""",iferror(if(row()&lt;&gt;2,INDEX(arrayformula(filter($M$2:$M917,$C$2:$C917&lt;&gt;"""",row($C$2:$C917)=max(if($C$2:$C917=C918,row($C$2:$C917),0)))) ,1),0),0))"),"")</f>
        <v/>
      </c>
      <c r="M918" s="148" t="str">
        <f t="shared" si="1"/>
        <v/>
      </c>
      <c r="N918" s="147" t="str">
        <f t="shared" si="2"/>
        <v/>
      </c>
      <c r="O918" s="147" t="str">
        <f t="shared" si="21"/>
        <v/>
      </c>
      <c r="P918" s="147" t="str">
        <f>IFERROR(__xludf.DUMMYFUNCTION("if(C918="""","""",iferror(if(row()&lt;&gt;2,INDEX(arrayformula(filter($Q$2:$Q917,$C$2:$C917&lt;&gt;"""",row($C$2:$C917)=max(if($C$2:$C917=C918,row($C$2:$C917),0)))) ,1),0),0))"),"")</f>
        <v/>
      </c>
      <c r="Q918" s="147" t="str">
        <f t="shared" si="22"/>
        <v/>
      </c>
      <c r="R918" s="147" t="str">
        <f t="shared" si="23"/>
        <v/>
      </c>
      <c r="S918" s="147" t="str">
        <f t="shared" si="24"/>
        <v/>
      </c>
      <c r="T918" s="147" t="str">
        <f t="shared" si="7"/>
        <v/>
      </c>
      <c r="U918" s="150" t="str">
        <f t="shared" si="8"/>
        <v/>
      </c>
      <c r="V918" s="151" t="str">
        <f>IFERROR(VLOOKUP(C918,Ativos!$A$1:$G2000,5,),)</f>
        <v/>
      </c>
    </row>
    <row r="919" ht="21.0" customHeight="1">
      <c r="A919" s="152"/>
      <c r="B919" s="160"/>
      <c r="C919" s="153"/>
      <c r="D919" s="154"/>
      <c r="E919" s="139"/>
      <c r="F919" s="139"/>
      <c r="G919" s="139"/>
      <c r="H919" s="135"/>
      <c r="I919" s="141"/>
      <c r="J919" s="147" t="str">
        <f>IFERROR(__xludf.DUMMYFUNCTION("IF(ISBLANK(A919),IFERROR(1/0),IF(COUNT(FILTER(F:F,A:A=A919))&gt;1,TRUNC(N919*F919/SUM(FILTER(N:N,A:A=A919)),3),F919))"),"")</f>
        <v/>
      </c>
      <c r="K919" s="147" t="str">
        <f>IFERROR(__xludf.DUMMYFUNCTION("IF(ISBLANK(A919),IFERROR(1/0),IF(COUNT(FILTER(G:G,((A:A=A919)*(B:B=""V""))))&gt;1,TRUNC(N919*G919/SUM(FILTER(N:N,((A:A=A919)*(B:B=""V"")))),3),G919))"),"")</f>
        <v/>
      </c>
      <c r="L919" s="148" t="str">
        <f>IFERROR(__xludf.DUMMYFUNCTION("if($C919="""","""",iferror(if(row()&lt;&gt;2,INDEX(arrayformula(filter($M$2:$M918,$C$2:$C918&lt;&gt;"""",row($C$2:$C918)=max(if($C$2:$C918=C919,row($C$2:$C918),0)))) ,1),0),0))"),"")</f>
        <v/>
      </c>
      <c r="M919" s="148" t="str">
        <f t="shared" si="1"/>
        <v/>
      </c>
      <c r="N919" s="147" t="str">
        <f t="shared" si="2"/>
        <v/>
      </c>
      <c r="O919" s="147" t="str">
        <f t="shared" si="21"/>
        <v/>
      </c>
      <c r="P919" s="147" t="str">
        <f>IFERROR(__xludf.DUMMYFUNCTION("if(C919="""","""",iferror(if(row()&lt;&gt;2,INDEX(arrayformula(filter($Q$2:$Q918,$C$2:$C918&lt;&gt;"""",row($C$2:$C918)=max(if($C$2:$C918=C919,row($C$2:$C918),0)))) ,1),0),0))"),"")</f>
        <v/>
      </c>
      <c r="Q919" s="147" t="str">
        <f t="shared" si="22"/>
        <v/>
      </c>
      <c r="R919" s="147" t="str">
        <f t="shared" si="23"/>
        <v/>
      </c>
      <c r="S919" s="147" t="str">
        <f t="shared" si="24"/>
        <v/>
      </c>
      <c r="T919" s="147" t="str">
        <f t="shared" si="7"/>
        <v/>
      </c>
      <c r="U919" s="150" t="str">
        <f t="shared" si="8"/>
        <v/>
      </c>
      <c r="V919" s="151" t="str">
        <f>IFERROR(VLOOKUP(C919,Ativos!$A$1:$G2000,5,),)</f>
        <v/>
      </c>
    </row>
    <row r="920" ht="21.0" customHeight="1">
      <c r="A920" s="152"/>
      <c r="B920" s="160"/>
      <c r="C920" s="153"/>
      <c r="D920" s="154"/>
      <c r="E920" s="139"/>
      <c r="F920" s="139"/>
      <c r="G920" s="139"/>
      <c r="H920" s="135"/>
      <c r="I920" s="141"/>
      <c r="J920" s="147" t="str">
        <f>IFERROR(__xludf.DUMMYFUNCTION("IF(ISBLANK(A920),IFERROR(1/0),IF(COUNT(FILTER(F:F,A:A=A920))&gt;1,TRUNC(N920*F920/SUM(FILTER(N:N,A:A=A920)),3),F920))"),"")</f>
        <v/>
      </c>
      <c r="K920" s="147" t="str">
        <f>IFERROR(__xludf.DUMMYFUNCTION("IF(ISBLANK(A920),IFERROR(1/0),IF(COUNT(FILTER(G:G,((A:A=A920)*(B:B=""V""))))&gt;1,TRUNC(N920*G920/SUM(FILTER(N:N,((A:A=A920)*(B:B=""V"")))),3),G920))"),"")</f>
        <v/>
      </c>
      <c r="L920" s="148" t="str">
        <f>IFERROR(__xludf.DUMMYFUNCTION("if($C920="""","""",iferror(if(row()&lt;&gt;2,INDEX(arrayformula(filter($M$2:$M919,$C$2:$C919&lt;&gt;"""",row($C$2:$C919)=max(if($C$2:$C919=C920,row($C$2:$C919),0)))) ,1),0),0))"),"")</f>
        <v/>
      </c>
      <c r="M920" s="148" t="str">
        <f t="shared" si="1"/>
        <v/>
      </c>
      <c r="N920" s="147" t="str">
        <f t="shared" si="2"/>
        <v/>
      </c>
      <c r="O920" s="147" t="str">
        <f t="shared" si="21"/>
        <v/>
      </c>
      <c r="P920" s="147" t="str">
        <f>IFERROR(__xludf.DUMMYFUNCTION("if(C920="""","""",iferror(if(row()&lt;&gt;2,INDEX(arrayformula(filter($Q$2:$Q919,$C$2:$C919&lt;&gt;"""",row($C$2:$C919)=max(if($C$2:$C919=C920,row($C$2:$C919),0)))) ,1),0),0))"),"")</f>
        <v/>
      </c>
      <c r="Q920" s="147" t="str">
        <f t="shared" si="22"/>
        <v/>
      </c>
      <c r="R920" s="147" t="str">
        <f t="shared" si="23"/>
        <v/>
      </c>
      <c r="S920" s="147" t="str">
        <f t="shared" si="24"/>
        <v/>
      </c>
      <c r="T920" s="147" t="str">
        <f t="shared" si="7"/>
        <v/>
      </c>
      <c r="U920" s="150" t="str">
        <f t="shared" si="8"/>
        <v/>
      </c>
      <c r="V920" s="151" t="str">
        <f>IFERROR(VLOOKUP(C920,Ativos!$A$1:$G2000,5,),)</f>
        <v/>
      </c>
    </row>
    <row r="921" ht="21.0" customHeight="1">
      <c r="A921" s="152"/>
      <c r="B921" s="160"/>
      <c r="C921" s="153"/>
      <c r="D921" s="154"/>
      <c r="E921" s="139"/>
      <c r="F921" s="139"/>
      <c r="G921" s="139"/>
      <c r="H921" s="135"/>
      <c r="I921" s="141"/>
      <c r="J921" s="147" t="str">
        <f>IFERROR(__xludf.DUMMYFUNCTION("IF(ISBLANK(A921),IFERROR(1/0),IF(COUNT(FILTER(F:F,A:A=A921))&gt;1,TRUNC(N921*F921/SUM(FILTER(N:N,A:A=A921)),3),F921))"),"")</f>
        <v/>
      </c>
      <c r="K921" s="147" t="str">
        <f>IFERROR(__xludf.DUMMYFUNCTION("IF(ISBLANK(A921),IFERROR(1/0),IF(COUNT(FILTER(G:G,((A:A=A921)*(B:B=""V""))))&gt;1,TRUNC(N921*G921/SUM(FILTER(N:N,((A:A=A921)*(B:B=""V"")))),3),G921))"),"")</f>
        <v/>
      </c>
      <c r="L921" s="148" t="str">
        <f>IFERROR(__xludf.DUMMYFUNCTION("if($C921="""","""",iferror(if(row()&lt;&gt;2,INDEX(arrayformula(filter($M$2:$M920,$C$2:$C920&lt;&gt;"""",row($C$2:$C920)=max(if($C$2:$C920=C921,row($C$2:$C920),0)))) ,1),0),0))"),"")</f>
        <v/>
      </c>
      <c r="M921" s="148" t="str">
        <f t="shared" si="1"/>
        <v/>
      </c>
      <c r="N921" s="147" t="str">
        <f t="shared" si="2"/>
        <v/>
      </c>
      <c r="O921" s="147" t="str">
        <f t="shared" si="21"/>
        <v/>
      </c>
      <c r="P921" s="147" t="str">
        <f>IFERROR(__xludf.DUMMYFUNCTION("if(C921="""","""",iferror(if(row()&lt;&gt;2,INDEX(arrayformula(filter($Q$2:$Q920,$C$2:$C920&lt;&gt;"""",row($C$2:$C920)=max(if($C$2:$C920=C921,row($C$2:$C920),0)))) ,1),0),0))"),"")</f>
        <v/>
      </c>
      <c r="Q921" s="147" t="str">
        <f t="shared" si="22"/>
        <v/>
      </c>
      <c r="R921" s="147" t="str">
        <f t="shared" si="23"/>
        <v/>
      </c>
      <c r="S921" s="147" t="str">
        <f t="shared" si="24"/>
        <v/>
      </c>
      <c r="T921" s="147" t="str">
        <f t="shared" si="7"/>
        <v/>
      </c>
      <c r="U921" s="150" t="str">
        <f t="shared" si="8"/>
        <v/>
      </c>
      <c r="V921" s="151" t="str">
        <f>IFERROR(VLOOKUP(C921,Ativos!$A$1:$G2000,5,),)</f>
        <v/>
      </c>
    </row>
    <row r="922" ht="21.0" customHeight="1">
      <c r="A922" s="152"/>
      <c r="B922" s="160"/>
      <c r="C922" s="153"/>
      <c r="D922" s="154"/>
      <c r="E922" s="139"/>
      <c r="F922" s="139"/>
      <c r="G922" s="139"/>
      <c r="H922" s="135"/>
      <c r="I922" s="141"/>
      <c r="J922" s="147" t="str">
        <f>IFERROR(__xludf.DUMMYFUNCTION("IF(ISBLANK(A922),IFERROR(1/0),IF(COUNT(FILTER(F:F,A:A=A922))&gt;1,TRUNC(N922*F922/SUM(FILTER(N:N,A:A=A922)),3),F922))"),"")</f>
        <v/>
      </c>
      <c r="K922" s="147" t="str">
        <f>IFERROR(__xludf.DUMMYFUNCTION("IF(ISBLANK(A922),IFERROR(1/0),IF(COUNT(FILTER(G:G,((A:A=A922)*(B:B=""V""))))&gt;1,TRUNC(N922*G922/SUM(FILTER(N:N,((A:A=A922)*(B:B=""V"")))),3),G922))"),"")</f>
        <v/>
      </c>
      <c r="L922" s="148" t="str">
        <f>IFERROR(__xludf.DUMMYFUNCTION("if($C922="""","""",iferror(if(row()&lt;&gt;2,INDEX(arrayformula(filter($M$2:$M921,$C$2:$C921&lt;&gt;"""",row($C$2:$C921)=max(if($C$2:$C921=C922,row($C$2:$C921),0)))) ,1),0),0))"),"")</f>
        <v/>
      </c>
      <c r="M922" s="148" t="str">
        <f t="shared" si="1"/>
        <v/>
      </c>
      <c r="N922" s="147" t="str">
        <f t="shared" si="2"/>
        <v/>
      </c>
      <c r="O922" s="147" t="str">
        <f t="shared" si="21"/>
        <v/>
      </c>
      <c r="P922" s="147" t="str">
        <f>IFERROR(__xludf.DUMMYFUNCTION("if(C922="""","""",iferror(if(row()&lt;&gt;2,INDEX(arrayformula(filter($Q$2:$Q921,$C$2:$C921&lt;&gt;"""",row($C$2:$C921)=max(if($C$2:$C921=C922,row($C$2:$C921),0)))) ,1),0),0))"),"")</f>
        <v/>
      </c>
      <c r="Q922" s="147" t="str">
        <f t="shared" si="22"/>
        <v/>
      </c>
      <c r="R922" s="147" t="str">
        <f t="shared" si="23"/>
        <v/>
      </c>
      <c r="S922" s="147" t="str">
        <f t="shared" si="24"/>
        <v/>
      </c>
      <c r="T922" s="147" t="str">
        <f t="shared" si="7"/>
        <v/>
      </c>
      <c r="U922" s="150" t="str">
        <f t="shared" si="8"/>
        <v/>
      </c>
      <c r="V922" s="151" t="str">
        <f>IFERROR(VLOOKUP(C922,Ativos!$A$1:$G2000,5,),)</f>
        <v/>
      </c>
    </row>
    <row r="923" ht="21.0" customHeight="1">
      <c r="A923" s="152"/>
      <c r="B923" s="160"/>
      <c r="C923" s="153"/>
      <c r="D923" s="154"/>
      <c r="E923" s="139"/>
      <c r="F923" s="139"/>
      <c r="G923" s="139"/>
      <c r="H923" s="135"/>
      <c r="I923" s="141"/>
      <c r="J923" s="147" t="str">
        <f>IFERROR(__xludf.DUMMYFUNCTION("IF(ISBLANK(A923),IFERROR(1/0),IF(COUNT(FILTER(F:F,A:A=A923))&gt;1,TRUNC(N923*F923/SUM(FILTER(N:N,A:A=A923)),3),F923))"),"")</f>
        <v/>
      </c>
      <c r="K923" s="147" t="str">
        <f>IFERROR(__xludf.DUMMYFUNCTION("IF(ISBLANK(A923),IFERROR(1/0),IF(COUNT(FILTER(G:G,((A:A=A923)*(B:B=""V""))))&gt;1,TRUNC(N923*G923/SUM(FILTER(N:N,((A:A=A923)*(B:B=""V"")))),3),G923))"),"")</f>
        <v/>
      </c>
      <c r="L923" s="148" t="str">
        <f>IFERROR(__xludf.DUMMYFUNCTION("if($C923="""","""",iferror(if(row()&lt;&gt;2,INDEX(arrayformula(filter($M$2:$M922,$C$2:$C922&lt;&gt;"""",row($C$2:$C922)=max(if($C$2:$C922=C923,row($C$2:$C922),0)))) ,1),0),0))"),"")</f>
        <v/>
      </c>
      <c r="M923" s="148" t="str">
        <f t="shared" si="1"/>
        <v/>
      </c>
      <c r="N923" s="147" t="str">
        <f t="shared" si="2"/>
        <v/>
      </c>
      <c r="O923" s="147" t="str">
        <f t="shared" si="21"/>
        <v/>
      </c>
      <c r="P923" s="147" t="str">
        <f>IFERROR(__xludf.DUMMYFUNCTION("if(C923="""","""",iferror(if(row()&lt;&gt;2,INDEX(arrayformula(filter($Q$2:$Q922,$C$2:$C922&lt;&gt;"""",row($C$2:$C922)=max(if($C$2:$C922=C923,row($C$2:$C922),0)))) ,1),0),0))"),"")</f>
        <v/>
      </c>
      <c r="Q923" s="147" t="str">
        <f t="shared" si="22"/>
        <v/>
      </c>
      <c r="R923" s="147" t="str">
        <f t="shared" si="23"/>
        <v/>
      </c>
      <c r="S923" s="147" t="str">
        <f t="shared" si="24"/>
        <v/>
      </c>
      <c r="T923" s="147" t="str">
        <f t="shared" si="7"/>
        <v/>
      </c>
      <c r="U923" s="150" t="str">
        <f t="shared" si="8"/>
        <v/>
      </c>
      <c r="V923" s="151" t="str">
        <f>IFERROR(VLOOKUP(C923,Ativos!$A$1:$G2000,5,),)</f>
        <v/>
      </c>
    </row>
    <row r="924" ht="21.0" customHeight="1">
      <c r="A924" s="152"/>
      <c r="B924" s="160"/>
      <c r="C924" s="153"/>
      <c r="D924" s="154"/>
      <c r="E924" s="139"/>
      <c r="F924" s="139"/>
      <c r="G924" s="139"/>
      <c r="H924" s="135"/>
      <c r="I924" s="141"/>
      <c r="J924" s="147" t="str">
        <f>IFERROR(__xludf.DUMMYFUNCTION("IF(ISBLANK(A924),IFERROR(1/0),IF(COUNT(FILTER(F:F,A:A=A924))&gt;1,TRUNC(N924*F924/SUM(FILTER(N:N,A:A=A924)),3),F924))"),"")</f>
        <v/>
      </c>
      <c r="K924" s="147" t="str">
        <f>IFERROR(__xludf.DUMMYFUNCTION("IF(ISBLANK(A924),IFERROR(1/0),IF(COUNT(FILTER(G:G,((A:A=A924)*(B:B=""V""))))&gt;1,TRUNC(N924*G924/SUM(FILTER(N:N,((A:A=A924)*(B:B=""V"")))),3),G924))"),"")</f>
        <v/>
      </c>
      <c r="L924" s="148" t="str">
        <f>IFERROR(__xludf.DUMMYFUNCTION("if($C924="""","""",iferror(if(row()&lt;&gt;2,INDEX(arrayformula(filter($M$2:$M923,$C$2:$C923&lt;&gt;"""",row($C$2:$C923)=max(if($C$2:$C923=C924,row($C$2:$C923),0)))) ,1),0),0))"),"")</f>
        <v/>
      </c>
      <c r="M924" s="148" t="str">
        <f t="shared" si="1"/>
        <v/>
      </c>
      <c r="N924" s="147" t="str">
        <f t="shared" si="2"/>
        <v/>
      </c>
      <c r="O924" s="147" t="str">
        <f t="shared" si="21"/>
        <v/>
      </c>
      <c r="P924" s="147" t="str">
        <f>IFERROR(__xludf.DUMMYFUNCTION("if(C924="""","""",iferror(if(row()&lt;&gt;2,INDEX(arrayformula(filter($Q$2:$Q923,$C$2:$C923&lt;&gt;"""",row($C$2:$C923)=max(if($C$2:$C923=C924,row($C$2:$C923),0)))) ,1),0),0))"),"")</f>
        <v/>
      </c>
      <c r="Q924" s="147" t="str">
        <f t="shared" si="22"/>
        <v/>
      </c>
      <c r="R924" s="147" t="str">
        <f t="shared" si="23"/>
        <v/>
      </c>
      <c r="S924" s="147" t="str">
        <f t="shared" si="24"/>
        <v/>
      </c>
      <c r="T924" s="147" t="str">
        <f t="shared" si="7"/>
        <v/>
      </c>
      <c r="U924" s="150" t="str">
        <f t="shared" si="8"/>
        <v/>
      </c>
      <c r="V924" s="151" t="str">
        <f>IFERROR(VLOOKUP(C924,Ativos!$A$1:$G2000,5,),)</f>
        <v/>
      </c>
    </row>
    <row r="925" ht="21.0" customHeight="1">
      <c r="A925" s="152"/>
      <c r="B925" s="160"/>
      <c r="C925" s="153"/>
      <c r="D925" s="154"/>
      <c r="E925" s="139"/>
      <c r="F925" s="139"/>
      <c r="G925" s="139"/>
      <c r="H925" s="135"/>
      <c r="I925" s="141"/>
      <c r="J925" s="147" t="str">
        <f>IFERROR(__xludf.DUMMYFUNCTION("IF(ISBLANK(A925),IFERROR(1/0),IF(COUNT(FILTER(F:F,A:A=A925))&gt;1,TRUNC(N925*F925/SUM(FILTER(N:N,A:A=A925)),3),F925))"),"")</f>
        <v/>
      </c>
      <c r="K925" s="147" t="str">
        <f>IFERROR(__xludf.DUMMYFUNCTION("IF(ISBLANK(A925),IFERROR(1/0),IF(COUNT(FILTER(G:G,((A:A=A925)*(B:B=""V""))))&gt;1,TRUNC(N925*G925/SUM(FILTER(N:N,((A:A=A925)*(B:B=""V"")))),3),G925))"),"")</f>
        <v/>
      </c>
      <c r="L925" s="148" t="str">
        <f>IFERROR(__xludf.DUMMYFUNCTION("if($C925="""","""",iferror(if(row()&lt;&gt;2,INDEX(arrayformula(filter($M$2:$M924,$C$2:$C924&lt;&gt;"""",row($C$2:$C924)=max(if($C$2:$C924=C925,row($C$2:$C924),0)))) ,1),0),0))"),"")</f>
        <v/>
      </c>
      <c r="M925" s="148" t="str">
        <f t="shared" si="1"/>
        <v/>
      </c>
      <c r="N925" s="147" t="str">
        <f t="shared" si="2"/>
        <v/>
      </c>
      <c r="O925" s="147" t="str">
        <f t="shared" si="21"/>
        <v/>
      </c>
      <c r="P925" s="147" t="str">
        <f>IFERROR(__xludf.DUMMYFUNCTION("if(C925="""","""",iferror(if(row()&lt;&gt;2,INDEX(arrayformula(filter($Q$2:$Q924,$C$2:$C924&lt;&gt;"""",row($C$2:$C924)=max(if($C$2:$C924=C925,row($C$2:$C924),0)))) ,1),0),0))"),"")</f>
        <v/>
      </c>
      <c r="Q925" s="147" t="str">
        <f t="shared" si="22"/>
        <v/>
      </c>
      <c r="R925" s="147" t="str">
        <f t="shared" si="23"/>
        <v/>
      </c>
      <c r="S925" s="147" t="str">
        <f t="shared" si="24"/>
        <v/>
      </c>
      <c r="T925" s="147" t="str">
        <f t="shared" si="7"/>
        <v/>
      </c>
      <c r="U925" s="150" t="str">
        <f t="shared" si="8"/>
        <v/>
      </c>
      <c r="V925" s="151" t="str">
        <f>IFERROR(VLOOKUP(C925,Ativos!$A$1:$G2000,5,),)</f>
        <v/>
      </c>
    </row>
    <row r="926" ht="21.0" customHeight="1">
      <c r="A926" s="152"/>
      <c r="B926" s="160"/>
      <c r="C926" s="153"/>
      <c r="D926" s="154"/>
      <c r="E926" s="139"/>
      <c r="F926" s="139"/>
      <c r="G926" s="139"/>
      <c r="H926" s="135"/>
      <c r="I926" s="141"/>
      <c r="J926" s="147" t="str">
        <f>IFERROR(__xludf.DUMMYFUNCTION("IF(ISBLANK(A926),IFERROR(1/0),IF(COUNT(FILTER(F:F,A:A=A926))&gt;1,TRUNC(N926*F926/SUM(FILTER(N:N,A:A=A926)),3),F926))"),"")</f>
        <v/>
      </c>
      <c r="K926" s="147" t="str">
        <f>IFERROR(__xludf.DUMMYFUNCTION("IF(ISBLANK(A926),IFERROR(1/0),IF(COUNT(FILTER(G:G,((A:A=A926)*(B:B=""V""))))&gt;1,TRUNC(N926*G926/SUM(FILTER(N:N,((A:A=A926)*(B:B=""V"")))),3),G926))"),"")</f>
        <v/>
      </c>
      <c r="L926" s="148" t="str">
        <f>IFERROR(__xludf.DUMMYFUNCTION("if($C926="""","""",iferror(if(row()&lt;&gt;2,INDEX(arrayformula(filter($M$2:$M925,$C$2:$C925&lt;&gt;"""",row($C$2:$C925)=max(if($C$2:$C925=C926,row($C$2:$C925),0)))) ,1),0),0))"),"")</f>
        <v/>
      </c>
      <c r="M926" s="148" t="str">
        <f t="shared" si="1"/>
        <v/>
      </c>
      <c r="N926" s="147" t="str">
        <f t="shared" si="2"/>
        <v/>
      </c>
      <c r="O926" s="147" t="str">
        <f t="shared" si="21"/>
        <v/>
      </c>
      <c r="P926" s="147" t="str">
        <f>IFERROR(__xludf.DUMMYFUNCTION("if(C926="""","""",iferror(if(row()&lt;&gt;2,INDEX(arrayformula(filter($Q$2:$Q925,$C$2:$C925&lt;&gt;"""",row($C$2:$C925)=max(if($C$2:$C925=C926,row($C$2:$C925),0)))) ,1),0),0))"),"")</f>
        <v/>
      </c>
      <c r="Q926" s="147" t="str">
        <f t="shared" si="22"/>
        <v/>
      </c>
      <c r="R926" s="147" t="str">
        <f t="shared" si="23"/>
        <v/>
      </c>
      <c r="S926" s="147" t="str">
        <f t="shared" si="24"/>
        <v/>
      </c>
      <c r="T926" s="147" t="str">
        <f t="shared" si="7"/>
        <v/>
      </c>
      <c r="U926" s="150" t="str">
        <f t="shared" si="8"/>
        <v/>
      </c>
      <c r="V926" s="151" t="str">
        <f>IFERROR(VLOOKUP(C926,Ativos!$A$1:$G2000,5,),)</f>
        <v/>
      </c>
    </row>
    <row r="927" ht="21.0" customHeight="1">
      <c r="A927" s="152"/>
      <c r="B927" s="160"/>
      <c r="C927" s="153"/>
      <c r="D927" s="154"/>
      <c r="E927" s="139"/>
      <c r="F927" s="139"/>
      <c r="G927" s="139"/>
      <c r="H927" s="135"/>
      <c r="I927" s="141"/>
      <c r="J927" s="147" t="str">
        <f>IFERROR(__xludf.DUMMYFUNCTION("IF(ISBLANK(A927),IFERROR(1/0),IF(COUNT(FILTER(F:F,A:A=A927))&gt;1,TRUNC(N927*F927/SUM(FILTER(N:N,A:A=A927)),3),F927))"),"")</f>
        <v/>
      </c>
      <c r="K927" s="147" t="str">
        <f>IFERROR(__xludf.DUMMYFUNCTION("IF(ISBLANK(A927),IFERROR(1/0),IF(COUNT(FILTER(G:G,((A:A=A927)*(B:B=""V""))))&gt;1,TRUNC(N927*G927/SUM(FILTER(N:N,((A:A=A927)*(B:B=""V"")))),3),G927))"),"")</f>
        <v/>
      </c>
      <c r="L927" s="148" t="str">
        <f>IFERROR(__xludf.DUMMYFUNCTION("if($C927="""","""",iferror(if(row()&lt;&gt;2,INDEX(arrayformula(filter($M$2:$M926,$C$2:$C926&lt;&gt;"""",row($C$2:$C926)=max(if($C$2:$C926=C927,row($C$2:$C926),0)))) ,1),0),0))"),"")</f>
        <v/>
      </c>
      <c r="M927" s="148" t="str">
        <f t="shared" si="1"/>
        <v/>
      </c>
      <c r="N927" s="147" t="str">
        <f t="shared" si="2"/>
        <v/>
      </c>
      <c r="O927" s="147" t="str">
        <f t="shared" si="21"/>
        <v/>
      </c>
      <c r="P927" s="147" t="str">
        <f>IFERROR(__xludf.DUMMYFUNCTION("if(C927="""","""",iferror(if(row()&lt;&gt;2,INDEX(arrayformula(filter($Q$2:$Q926,$C$2:$C926&lt;&gt;"""",row($C$2:$C926)=max(if($C$2:$C926=C927,row($C$2:$C926),0)))) ,1),0),0))"),"")</f>
        <v/>
      </c>
      <c r="Q927" s="147" t="str">
        <f t="shared" si="22"/>
        <v/>
      </c>
      <c r="R927" s="147" t="str">
        <f t="shared" si="23"/>
        <v/>
      </c>
      <c r="S927" s="147" t="str">
        <f t="shared" si="24"/>
        <v/>
      </c>
      <c r="T927" s="147" t="str">
        <f t="shared" si="7"/>
        <v/>
      </c>
      <c r="U927" s="150" t="str">
        <f t="shared" si="8"/>
        <v/>
      </c>
      <c r="V927" s="151" t="str">
        <f>IFERROR(VLOOKUP(C927,Ativos!$A$1:$G2000,5,),)</f>
        <v/>
      </c>
    </row>
    <row r="928" ht="21.0" customHeight="1">
      <c r="A928" s="152"/>
      <c r="B928" s="160"/>
      <c r="C928" s="153"/>
      <c r="D928" s="154"/>
      <c r="E928" s="139"/>
      <c r="F928" s="139"/>
      <c r="G928" s="139"/>
      <c r="H928" s="135"/>
      <c r="I928" s="141"/>
      <c r="J928" s="147" t="str">
        <f>IFERROR(__xludf.DUMMYFUNCTION("IF(ISBLANK(A928),IFERROR(1/0),IF(COUNT(FILTER(F:F,A:A=A928))&gt;1,TRUNC(N928*F928/SUM(FILTER(N:N,A:A=A928)),3),F928))"),"")</f>
        <v/>
      </c>
      <c r="K928" s="147" t="str">
        <f>IFERROR(__xludf.DUMMYFUNCTION("IF(ISBLANK(A928),IFERROR(1/0),IF(COUNT(FILTER(G:G,((A:A=A928)*(B:B=""V""))))&gt;1,TRUNC(N928*G928/SUM(FILTER(N:N,((A:A=A928)*(B:B=""V"")))),3),G928))"),"")</f>
        <v/>
      </c>
      <c r="L928" s="148" t="str">
        <f>IFERROR(__xludf.DUMMYFUNCTION("if($C928="""","""",iferror(if(row()&lt;&gt;2,INDEX(arrayformula(filter($M$2:$M927,$C$2:$C927&lt;&gt;"""",row($C$2:$C927)=max(if($C$2:$C927=C928,row($C$2:$C927),0)))) ,1),0),0))"),"")</f>
        <v/>
      </c>
      <c r="M928" s="148" t="str">
        <f t="shared" si="1"/>
        <v/>
      </c>
      <c r="N928" s="147" t="str">
        <f t="shared" si="2"/>
        <v/>
      </c>
      <c r="O928" s="147" t="str">
        <f t="shared" si="21"/>
        <v/>
      </c>
      <c r="P928" s="147" t="str">
        <f>IFERROR(__xludf.DUMMYFUNCTION("if(C928="""","""",iferror(if(row()&lt;&gt;2,INDEX(arrayformula(filter($Q$2:$Q927,$C$2:$C927&lt;&gt;"""",row($C$2:$C927)=max(if($C$2:$C927=C928,row($C$2:$C927),0)))) ,1),0),0))"),"")</f>
        <v/>
      </c>
      <c r="Q928" s="147" t="str">
        <f t="shared" si="22"/>
        <v/>
      </c>
      <c r="R928" s="147" t="str">
        <f t="shared" si="23"/>
        <v/>
      </c>
      <c r="S928" s="147" t="str">
        <f t="shared" si="24"/>
        <v/>
      </c>
      <c r="T928" s="147" t="str">
        <f t="shared" si="7"/>
        <v/>
      </c>
      <c r="U928" s="150" t="str">
        <f t="shared" si="8"/>
        <v/>
      </c>
      <c r="V928" s="151" t="str">
        <f>IFERROR(VLOOKUP(C928,Ativos!$A$1:$G2000,5,),)</f>
        <v/>
      </c>
    </row>
    <row r="929" ht="21.0" customHeight="1">
      <c r="A929" s="152"/>
      <c r="B929" s="160"/>
      <c r="C929" s="153"/>
      <c r="D929" s="154"/>
      <c r="E929" s="139"/>
      <c r="F929" s="139"/>
      <c r="G929" s="139"/>
      <c r="H929" s="135"/>
      <c r="I929" s="141"/>
      <c r="J929" s="147" t="str">
        <f>IFERROR(__xludf.DUMMYFUNCTION("IF(ISBLANK(A929),IFERROR(1/0),IF(COUNT(FILTER(F:F,A:A=A929))&gt;1,TRUNC(N929*F929/SUM(FILTER(N:N,A:A=A929)),3),F929))"),"")</f>
        <v/>
      </c>
      <c r="K929" s="147" t="str">
        <f>IFERROR(__xludf.DUMMYFUNCTION("IF(ISBLANK(A929),IFERROR(1/0),IF(COUNT(FILTER(G:G,((A:A=A929)*(B:B=""V""))))&gt;1,TRUNC(N929*G929/SUM(FILTER(N:N,((A:A=A929)*(B:B=""V"")))),3),G929))"),"")</f>
        <v/>
      </c>
      <c r="L929" s="148" t="str">
        <f>IFERROR(__xludf.DUMMYFUNCTION("if($C929="""","""",iferror(if(row()&lt;&gt;2,INDEX(arrayformula(filter($M$2:$M928,$C$2:$C928&lt;&gt;"""",row($C$2:$C928)=max(if($C$2:$C928=C929,row($C$2:$C928),0)))) ,1),0),0))"),"")</f>
        <v/>
      </c>
      <c r="M929" s="148" t="str">
        <f t="shared" si="1"/>
        <v/>
      </c>
      <c r="N929" s="147" t="str">
        <f t="shared" si="2"/>
        <v/>
      </c>
      <c r="O929" s="147" t="str">
        <f t="shared" si="21"/>
        <v/>
      </c>
      <c r="P929" s="147" t="str">
        <f>IFERROR(__xludf.DUMMYFUNCTION("if(C929="""","""",iferror(if(row()&lt;&gt;2,INDEX(arrayformula(filter($Q$2:$Q928,$C$2:$C928&lt;&gt;"""",row($C$2:$C928)=max(if($C$2:$C928=C929,row($C$2:$C928),0)))) ,1),0),0))"),"")</f>
        <v/>
      </c>
      <c r="Q929" s="147" t="str">
        <f t="shared" si="22"/>
        <v/>
      </c>
      <c r="R929" s="147" t="str">
        <f t="shared" si="23"/>
        <v/>
      </c>
      <c r="S929" s="147" t="str">
        <f t="shared" si="24"/>
        <v/>
      </c>
      <c r="T929" s="147" t="str">
        <f t="shared" si="7"/>
        <v/>
      </c>
      <c r="U929" s="150" t="str">
        <f t="shared" si="8"/>
        <v/>
      </c>
      <c r="V929" s="151" t="str">
        <f>IFERROR(VLOOKUP(C929,Ativos!$A$1:$G2000,5,),)</f>
        <v/>
      </c>
    </row>
    <row r="930" ht="21.0" customHeight="1">
      <c r="A930" s="152"/>
      <c r="B930" s="160"/>
      <c r="C930" s="153"/>
      <c r="D930" s="154"/>
      <c r="E930" s="139"/>
      <c r="F930" s="139"/>
      <c r="G930" s="139"/>
      <c r="H930" s="135"/>
      <c r="I930" s="141"/>
      <c r="J930" s="147" t="str">
        <f>IFERROR(__xludf.DUMMYFUNCTION("IF(ISBLANK(A930),IFERROR(1/0),IF(COUNT(FILTER(F:F,A:A=A930))&gt;1,TRUNC(N930*F930/SUM(FILTER(N:N,A:A=A930)),3),F930))"),"")</f>
        <v/>
      </c>
      <c r="K930" s="147" t="str">
        <f>IFERROR(__xludf.DUMMYFUNCTION("IF(ISBLANK(A930),IFERROR(1/0),IF(COUNT(FILTER(G:G,((A:A=A930)*(B:B=""V""))))&gt;1,TRUNC(N930*G930/SUM(FILTER(N:N,((A:A=A930)*(B:B=""V"")))),3),G930))"),"")</f>
        <v/>
      </c>
      <c r="L930" s="148" t="str">
        <f>IFERROR(__xludf.DUMMYFUNCTION("if($C930="""","""",iferror(if(row()&lt;&gt;2,INDEX(arrayformula(filter($M$2:$M929,$C$2:$C929&lt;&gt;"""",row($C$2:$C929)=max(if($C$2:$C929=C930,row($C$2:$C929),0)))) ,1),0),0))"),"")</f>
        <v/>
      </c>
      <c r="M930" s="148" t="str">
        <f t="shared" si="1"/>
        <v/>
      </c>
      <c r="N930" s="147" t="str">
        <f t="shared" si="2"/>
        <v/>
      </c>
      <c r="O930" s="147" t="str">
        <f t="shared" si="21"/>
        <v/>
      </c>
      <c r="P930" s="147" t="str">
        <f>IFERROR(__xludf.DUMMYFUNCTION("if(C930="""","""",iferror(if(row()&lt;&gt;2,INDEX(arrayformula(filter($Q$2:$Q929,$C$2:$C929&lt;&gt;"""",row($C$2:$C929)=max(if($C$2:$C929=C930,row($C$2:$C929),0)))) ,1),0),0))"),"")</f>
        <v/>
      </c>
      <c r="Q930" s="147" t="str">
        <f t="shared" si="22"/>
        <v/>
      </c>
      <c r="R930" s="147" t="str">
        <f t="shared" si="23"/>
        <v/>
      </c>
      <c r="S930" s="147" t="str">
        <f t="shared" si="24"/>
        <v/>
      </c>
      <c r="T930" s="147" t="str">
        <f t="shared" si="7"/>
        <v/>
      </c>
      <c r="U930" s="150" t="str">
        <f t="shared" si="8"/>
        <v/>
      </c>
      <c r="V930" s="151" t="str">
        <f>IFERROR(VLOOKUP(C930,Ativos!$A$1:$G2000,5,),)</f>
        <v/>
      </c>
    </row>
    <row r="931" ht="21.0" customHeight="1">
      <c r="A931" s="152"/>
      <c r="B931" s="160"/>
      <c r="C931" s="153"/>
      <c r="D931" s="154"/>
      <c r="E931" s="139"/>
      <c r="F931" s="139"/>
      <c r="G931" s="139"/>
      <c r="H931" s="135"/>
      <c r="I931" s="141"/>
      <c r="J931" s="147" t="str">
        <f>IFERROR(__xludf.DUMMYFUNCTION("IF(ISBLANK(A931),IFERROR(1/0),IF(COUNT(FILTER(F:F,A:A=A931))&gt;1,TRUNC(N931*F931/SUM(FILTER(N:N,A:A=A931)),3),F931))"),"")</f>
        <v/>
      </c>
      <c r="K931" s="147" t="str">
        <f>IFERROR(__xludf.DUMMYFUNCTION("IF(ISBLANK(A931),IFERROR(1/0),IF(COUNT(FILTER(G:G,((A:A=A931)*(B:B=""V""))))&gt;1,TRUNC(N931*G931/SUM(FILTER(N:N,((A:A=A931)*(B:B=""V"")))),3),G931))"),"")</f>
        <v/>
      </c>
      <c r="L931" s="148" t="str">
        <f>IFERROR(__xludf.DUMMYFUNCTION("if($C931="""","""",iferror(if(row()&lt;&gt;2,INDEX(arrayformula(filter($M$2:$M930,$C$2:$C930&lt;&gt;"""",row($C$2:$C930)=max(if($C$2:$C930=C931,row($C$2:$C930),0)))) ,1),0),0))"),"")</f>
        <v/>
      </c>
      <c r="M931" s="148" t="str">
        <f t="shared" si="1"/>
        <v/>
      </c>
      <c r="N931" s="147" t="str">
        <f t="shared" si="2"/>
        <v/>
      </c>
      <c r="O931" s="147" t="str">
        <f t="shared" si="21"/>
        <v/>
      </c>
      <c r="P931" s="147" t="str">
        <f>IFERROR(__xludf.DUMMYFUNCTION("if(C931="""","""",iferror(if(row()&lt;&gt;2,INDEX(arrayformula(filter($Q$2:$Q930,$C$2:$C930&lt;&gt;"""",row($C$2:$C930)=max(if($C$2:$C930=C931,row($C$2:$C930),0)))) ,1),0),0))"),"")</f>
        <v/>
      </c>
      <c r="Q931" s="147" t="str">
        <f t="shared" si="22"/>
        <v/>
      </c>
      <c r="R931" s="147" t="str">
        <f t="shared" si="23"/>
        <v/>
      </c>
      <c r="S931" s="147" t="str">
        <f t="shared" si="24"/>
        <v/>
      </c>
      <c r="T931" s="147" t="str">
        <f t="shared" si="7"/>
        <v/>
      </c>
      <c r="U931" s="150" t="str">
        <f t="shared" si="8"/>
        <v/>
      </c>
      <c r="V931" s="151" t="str">
        <f>IFERROR(VLOOKUP(C931,Ativos!$A$1:$G2000,5,),)</f>
        <v/>
      </c>
    </row>
    <row r="932" ht="21.0" customHeight="1">
      <c r="A932" s="152"/>
      <c r="B932" s="160"/>
      <c r="C932" s="153"/>
      <c r="D932" s="154"/>
      <c r="E932" s="139"/>
      <c r="F932" s="139"/>
      <c r="G932" s="139"/>
      <c r="H932" s="135"/>
      <c r="I932" s="141"/>
      <c r="J932" s="147" t="str">
        <f>IFERROR(__xludf.DUMMYFUNCTION("IF(ISBLANK(A932),IFERROR(1/0),IF(COUNT(FILTER(F:F,A:A=A932))&gt;1,TRUNC(N932*F932/SUM(FILTER(N:N,A:A=A932)),3),F932))"),"")</f>
        <v/>
      </c>
      <c r="K932" s="147" t="str">
        <f>IFERROR(__xludf.DUMMYFUNCTION("IF(ISBLANK(A932),IFERROR(1/0),IF(COUNT(FILTER(G:G,((A:A=A932)*(B:B=""V""))))&gt;1,TRUNC(N932*G932/SUM(FILTER(N:N,((A:A=A932)*(B:B=""V"")))),3),G932))"),"")</f>
        <v/>
      </c>
      <c r="L932" s="148" t="str">
        <f>IFERROR(__xludf.DUMMYFUNCTION("if($C932="""","""",iferror(if(row()&lt;&gt;2,INDEX(arrayformula(filter($M$2:$M931,$C$2:$C931&lt;&gt;"""",row($C$2:$C931)=max(if($C$2:$C931=C932,row($C$2:$C931),0)))) ,1),0),0))"),"")</f>
        <v/>
      </c>
      <c r="M932" s="148" t="str">
        <f t="shared" si="1"/>
        <v/>
      </c>
      <c r="N932" s="147" t="str">
        <f t="shared" si="2"/>
        <v/>
      </c>
      <c r="O932" s="147" t="str">
        <f t="shared" si="21"/>
        <v/>
      </c>
      <c r="P932" s="147" t="str">
        <f>IFERROR(__xludf.DUMMYFUNCTION("if(C932="""","""",iferror(if(row()&lt;&gt;2,INDEX(arrayformula(filter($Q$2:$Q931,$C$2:$C931&lt;&gt;"""",row($C$2:$C931)=max(if($C$2:$C931=C932,row($C$2:$C931),0)))) ,1),0),0))"),"")</f>
        <v/>
      </c>
      <c r="Q932" s="147" t="str">
        <f t="shared" si="22"/>
        <v/>
      </c>
      <c r="R932" s="147" t="str">
        <f t="shared" si="23"/>
        <v/>
      </c>
      <c r="S932" s="147" t="str">
        <f t="shared" si="24"/>
        <v/>
      </c>
      <c r="T932" s="147" t="str">
        <f t="shared" si="7"/>
        <v/>
      </c>
      <c r="U932" s="150" t="str">
        <f t="shared" si="8"/>
        <v/>
      </c>
      <c r="V932" s="151" t="str">
        <f>IFERROR(VLOOKUP(C932,Ativos!$A$1:$G2000,5,),)</f>
        <v/>
      </c>
    </row>
    <row r="933" ht="21.0" customHeight="1">
      <c r="A933" s="152"/>
      <c r="B933" s="160"/>
      <c r="C933" s="153"/>
      <c r="D933" s="154"/>
      <c r="E933" s="139"/>
      <c r="F933" s="139"/>
      <c r="G933" s="139"/>
      <c r="H933" s="135"/>
      <c r="I933" s="141"/>
      <c r="J933" s="147" t="str">
        <f>IFERROR(__xludf.DUMMYFUNCTION("IF(ISBLANK(A933),IFERROR(1/0),IF(COUNT(FILTER(F:F,A:A=A933))&gt;1,TRUNC(N933*F933/SUM(FILTER(N:N,A:A=A933)),3),F933))"),"")</f>
        <v/>
      </c>
      <c r="K933" s="147" t="str">
        <f>IFERROR(__xludf.DUMMYFUNCTION("IF(ISBLANK(A933),IFERROR(1/0),IF(COUNT(FILTER(G:G,((A:A=A933)*(B:B=""V""))))&gt;1,TRUNC(N933*G933/SUM(FILTER(N:N,((A:A=A933)*(B:B=""V"")))),3),G933))"),"")</f>
        <v/>
      </c>
      <c r="L933" s="148" t="str">
        <f>IFERROR(__xludf.DUMMYFUNCTION("if($C933="""","""",iferror(if(row()&lt;&gt;2,INDEX(arrayformula(filter($M$2:$M932,$C$2:$C932&lt;&gt;"""",row($C$2:$C932)=max(if($C$2:$C932=C933,row($C$2:$C932),0)))) ,1),0),0))"),"")</f>
        <v/>
      </c>
      <c r="M933" s="148" t="str">
        <f t="shared" si="1"/>
        <v/>
      </c>
      <c r="N933" s="147" t="str">
        <f t="shared" si="2"/>
        <v/>
      </c>
      <c r="O933" s="147" t="str">
        <f t="shared" si="21"/>
        <v/>
      </c>
      <c r="P933" s="147" t="str">
        <f>IFERROR(__xludf.DUMMYFUNCTION("if(C933="""","""",iferror(if(row()&lt;&gt;2,INDEX(arrayformula(filter($Q$2:$Q932,$C$2:$C932&lt;&gt;"""",row($C$2:$C932)=max(if($C$2:$C932=C933,row($C$2:$C932),0)))) ,1),0),0))"),"")</f>
        <v/>
      </c>
      <c r="Q933" s="147" t="str">
        <f t="shared" si="22"/>
        <v/>
      </c>
      <c r="R933" s="147" t="str">
        <f t="shared" si="23"/>
        <v/>
      </c>
      <c r="S933" s="147" t="str">
        <f t="shared" si="24"/>
        <v/>
      </c>
      <c r="T933" s="147" t="str">
        <f t="shared" si="7"/>
        <v/>
      </c>
      <c r="U933" s="150" t="str">
        <f t="shared" si="8"/>
        <v/>
      </c>
      <c r="V933" s="151" t="str">
        <f>IFERROR(VLOOKUP(C933,Ativos!$A$1:$G2000,5,),)</f>
        <v/>
      </c>
    </row>
    <row r="934" ht="21.0" customHeight="1">
      <c r="A934" s="152"/>
      <c r="B934" s="160"/>
      <c r="C934" s="153"/>
      <c r="D934" s="154"/>
      <c r="E934" s="139"/>
      <c r="F934" s="139"/>
      <c r="G934" s="139"/>
      <c r="H934" s="135"/>
      <c r="I934" s="141"/>
      <c r="J934" s="147" t="str">
        <f>IFERROR(__xludf.DUMMYFUNCTION("IF(ISBLANK(A934),IFERROR(1/0),IF(COUNT(FILTER(F:F,A:A=A934))&gt;1,TRUNC(N934*F934/SUM(FILTER(N:N,A:A=A934)),3),F934))"),"")</f>
        <v/>
      </c>
      <c r="K934" s="147" t="str">
        <f>IFERROR(__xludf.DUMMYFUNCTION("IF(ISBLANK(A934),IFERROR(1/0),IF(COUNT(FILTER(G:G,((A:A=A934)*(B:B=""V""))))&gt;1,TRUNC(N934*G934/SUM(FILTER(N:N,((A:A=A934)*(B:B=""V"")))),3),G934))"),"")</f>
        <v/>
      </c>
      <c r="L934" s="148" t="str">
        <f>IFERROR(__xludf.DUMMYFUNCTION("if($C934="""","""",iferror(if(row()&lt;&gt;2,INDEX(arrayformula(filter($M$2:$M933,$C$2:$C933&lt;&gt;"""",row($C$2:$C933)=max(if($C$2:$C933=C934,row($C$2:$C933),0)))) ,1),0),0))"),"")</f>
        <v/>
      </c>
      <c r="M934" s="148" t="str">
        <f t="shared" si="1"/>
        <v/>
      </c>
      <c r="N934" s="147" t="str">
        <f t="shared" si="2"/>
        <v/>
      </c>
      <c r="O934" s="147" t="str">
        <f t="shared" si="21"/>
        <v/>
      </c>
      <c r="P934" s="147" t="str">
        <f>IFERROR(__xludf.DUMMYFUNCTION("if(C934="""","""",iferror(if(row()&lt;&gt;2,INDEX(arrayformula(filter($Q$2:$Q933,$C$2:$C933&lt;&gt;"""",row($C$2:$C933)=max(if($C$2:$C933=C934,row($C$2:$C933),0)))) ,1),0),0))"),"")</f>
        <v/>
      </c>
      <c r="Q934" s="147" t="str">
        <f t="shared" si="22"/>
        <v/>
      </c>
      <c r="R934" s="147" t="str">
        <f t="shared" si="23"/>
        <v/>
      </c>
      <c r="S934" s="147" t="str">
        <f t="shared" si="24"/>
        <v/>
      </c>
      <c r="T934" s="147" t="str">
        <f t="shared" si="7"/>
        <v/>
      </c>
      <c r="U934" s="150" t="str">
        <f t="shared" si="8"/>
        <v/>
      </c>
      <c r="V934" s="151" t="str">
        <f>IFERROR(VLOOKUP(C934,Ativos!$A$1:$G2000,5,),)</f>
        <v/>
      </c>
    </row>
    <row r="935" ht="21.0" customHeight="1">
      <c r="A935" s="152"/>
      <c r="B935" s="160"/>
      <c r="C935" s="153"/>
      <c r="D935" s="154"/>
      <c r="E935" s="139"/>
      <c r="F935" s="139"/>
      <c r="G935" s="139"/>
      <c r="H935" s="135"/>
      <c r="I935" s="141"/>
      <c r="J935" s="147" t="str">
        <f>IFERROR(__xludf.DUMMYFUNCTION("IF(ISBLANK(A935),IFERROR(1/0),IF(COUNT(FILTER(F:F,A:A=A935))&gt;1,TRUNC(N935*F935/SUM(FILTER(N:N,A:A=A935)),3),F935))"),"")</f>
        <v/>
      </c>
      <c r="K935" s="147" t="str">
        <f>IFERROR(__xludf.DUMMYFUNCTION("IF(ISBLANK(A935),IFERROR(1/0),IF(COUNT(FILTER(G:G,((A:A=A935)*(B:B=""V""))))&gt;1,TRUNC(N935*G935/SUM(FILTER(N:N,((A:A=A935)*(B:B=""V"")))),3),G935))"),"")</f>
        <v/>
      </c>
      <c r="L935" s="148" t="str">
        <f>IFERROR(__xludf.DUMMYFUNCTION("if($C935="""","""",iferror(if(row()&lt;&gt;2,INDEX(arrayformula(filter($M$2:$M934,$C$2:$C934&lt;&gt;"""",row($C$2:$C934)=max(if($C$2:$C934=C935,row($C$2:$C934),0)))) ,1),0),0))"),"")</f>
        <v/>
      </c>
      <c r="M935" s="148" t="str">
        <f t="shared" si="1"/>
        <v/>
      </c>
      <c r="N935" s="147" t="str">
        <f t="shared" si="2"/>
        <v/>
      </c>
      <c r="O935" s="147" t="str">
        <f t="shared" si="21"/>
        <v/>
      </c>
      <c r="P935" s="147" t="str">
        <f>IFERROR(__xludf.DUMMYFUNCTION("if(C935="""","""",iferror(if(row()&lt;&gt;2,INDEX(arrayformula(filter($Q$2:$Q934,$C$2:$C934&lt;&gt;"""",row($C$2:$C934)=max(if($C$2:$C934=C935,row($C$2:$C934),0)))) ,1),0),0))"),"")</f>
        <v/>
      </c>
      <c r="Q935" s="147" t="str">
        <f t="shared" si="22"/>
        <v/>
      </c>
      <c r="R935" s="147" t="str">
        <f t="shared" si="23"/>
        <v/>
      </c>
      <c r="S935" s="147" t="str">
        <f t="shared" si="24"/>
        <v/>
      </c>
      <c r="T935" s="147" t="str">
        <f t="shared" si="7"/>
        <v/>
      </c>
      <c r="U935" s="150" t="str">
        <f t="shared" si="8"/>
        <v/>
      </c>
      <c r="V935" s="151" t="str">
        <f>IFERROR(VLOOKUP(C935,Ativos!$A$1:$G2000,5,),)</f>
        <v/>
      </c>
    </row>
    <row r="936" ht="21.0" customHeight="1">
      <c r="A936" s="152"/>
      <c r="B936" s="160"/>
      <c r="C936" s="153"/>
      <c r="D936" s="154"/>
      <c r="E936" s="139"/>
      <c r="F936" s="139"/>
      <c r="G936" s="139"/>
      <c r="H936" s="135"/>
      <c r="I936" s="141"/>
      <c r="J936" s="147" t="str">
        <f>IFERROR(__xludf.DUMMYFUNCTION("IF(ISBLANK(A936),IFERROR(1/0),IF(COUNT(FILTER(F:F,A:A=A936))&gt;1,TRUNC(N936*F936/SUM(FILTER(N:N,A:A=A936)),3),F936))"),"")</f>
        <v/>
      </c>
      <c r="K936" s="147" t="str">
        <f>IFERROR(__xludf.DUMMYFUNCTION("IF(ISBLANK(A936),IFERROR(1/0),IF(COUNT(FILTER(G:G,((A:A=A936)*(B:B=""V""))))&gt;1,TRUNC(N936*G936/SUM(FILTER(N:N,((A:A=A936)*(B:B=""V"")))),3),G936))"),"")</f>
        <v/>
      </c>
      <c r="L936" s="148" t="str">
        <f>IFERROR(__xludf.DUMMYFUNCTION("if($C936="""","""",iferror(if(row()&lt;&gt;2,INDEX(arrayformula(filter($M$2:$M935,$C$2:$C935&lt;&gt;"""",row($C$2:$C935)=max(if($C$2:$C935=C936,row($C$2:$C935),0)))) ,1),0),0))"),"")</f>
        <v/>
      </c>
      <c r="M936" s="148" t="str">
        <f t="shared" si="1"/>
        <v/>
      </c>
      <c r="N936" s="147" t="str">
        <f t="shared" si="2"/>
        <v/>
      </c>
      <c r="O936" s="147" t="str">
        <f t="shared" si="21"/>
        <v/>
      </c>
      <c r="P936" s="147" t="str">
        <f>IFERROR(__xludf.DUMMYFUNCTION("if(C936="""","""",iferror(if(row()&lt;&gt;2,INDEX(arrayformula(filter($Q$2:$Q935,$C$2:$C935&lt;&gt;"""",row($C$2:$C935)=max(if($C$2:$C935=C936,row($C$2:$C935),0)))) ,1),0),0))"),"")</f>
        <v/>
      </c>
      <c r="Q936" s="147" t="str">
        <f t="shared" si="22"/>
        <v/>
      </c>
      <c r="R936" s="147" t="str">
        <f t="shared" si="23"/>
        <v/>
      </c>
      <c r="S936" s="147" t="str">
        <f t="shared" si="24"/>
        <v/>
      </c>
      <c r="T936" s="147" t="str">
        <f t="shared" si="7"/>
        <v/>
      </c>
      <c r="U936" s="150" t="str">
        <f t="shared" si="8"/>
        <v/>
      </c>
      <c r="V936" s="151" t="str">
        <f>IFERROR(VLOOKUP(C936,Ativos!$A$1:$G2000,5,),)</f>
        <v/>
      </c>
    </row>
    <row r="937" ht="21.0" customHeight="1">
      <c r="A937" s="152"/>
      <c r="B937" s="160"/>
      <c r="C937" s="153"/>
      <c r="D937" s="154"/>
      <c r="E937" s="139"/>
      <c r="F937" s="139"/>
      <c r="G937" s="139"/>
      <c r="H937" s="135"/>
      <c r="I937" s="141"/>
      <c r="J937" s="147" t="str">
        <f>IFERROR(__xludf.DUMMYFUNCTION("IF(ISBLANK(A937),IFERROR(1/0),IF(COUNT(FILTER(F:F,A:A=A937))&gt;1,TRUNC(N937*F937/SUM(FILTER(N:N,A:A=A937)),3),F937))"),"")</f>
        <v/>
      </c>
      <c r="K937" s="147" t="str">
        <f>IFERROR(__xludf.DUMMYFUNCTION("IF(ISBLANK(A937),IFERROR(1/0),IF(COUNT(FILTER(G:G,((A:A=A937)*(B:B=""V""))))&gt;1,TRUNC(N937*G937/SUM(FILTER(N:N,((A:A=A937)*(B:B=""V"")))),3),G937))"),"")</f>
        <v/>
      </c>
      <c r="L937" s="148" t="str">
        <f>IFERROR(__xludf.DUMMYFUNCTION("if($C937="""","""",iferror(if(row()&lt;&gt;2,INDEX(arrayformula(filter($M$2:$M936,$C$2:$C936&lt;&gt;"""",row($C$2:$C936)=max(if($C$2:$C936=C937,row($C$2:$C936),0)))) ,1),0),0))"),"")</f>
        <v/>
      </c>
      <c r="M937" s="148" t="str">
        <f t="shared" si="1"/>
        <v/>
      </c>
      <c r="N937" s="147" t="str">
        <f t="shared" si="2"/>
        <v/>
      </c>
      <c r="O937" s="147" t="str">
        <f t="shared" si="21"/>
        <v/>
      </c>
      <c r="P937" s="147" t="str">
        <f>IFERROR(__xludf.DUMMYFUNCTION("if(C937="""","""",iferror(if(row()&lt;&gt;2,INDEX(arrayformula(filter($Q$2:$Q936,$C$2:$C936&lt;&gt;"""",row($C$2:$C936)=max(if($C$2:$C936=C937,row($C$2:$C936),0)))) ,1),0),0))"),"")</f>
        <v/>
      </c>
      <c r="Q937" s="147" t="str">
        <f t="shared" si="22"/>
        <v/>
      </c>
      <c r="R937" s="147" t="str">
        <f t="shared" si="23"/>
        <v/>
      </c>
      <c r="S937" s="147" t="str">
        <f t="shared" si="24"/>
        <v/>
      </c>
      <c r="T937" s="147" t="str">
        <f t="shared" si="7"/>
        <v/>
      </c>
      <c r="U937" s="150" t="str">
        <f t="shared" si="8"/>
        <v/>
      </c>
      <c r="V937" s="151" t="str">
        <f>IFERROR(VLOOKUP(C937,Ativos!$A$1:$G2000,5,),)</f>
        <v/>
      </c>
    </row>
    <row r="938" ht="21.0" customHeight="1">
      <c r="A938" s="152"/>
      <c r="B938" s="160"/>
      <c r="C938" s="153"/>
      <c r="D938" s="154"/>
      <c r="E938" s="139"/>
      <c r="F938" s="139"/>
      <c r="G938" s="139"/>
      <c r="H938" s="135"/>
      <c r="I938" s="141"/>
      <c r="J938" s="147" t="str">
        <f>IFERROR(__xludf.DUMMYFUNCTION("IF(ISBLANK(A938),IFERROR(1/0),IF(COUNT(FILTER(F:F,A:A=A938))&gt;1,TRUNC(N938*F938/SUM(FILTER(N:N,A:A=A938)),3),F938))"),"")</f>
        <v/>
      </c>
      <c r="K938" s="147" t="str">
        <f>IFERROR(__xludf.DUMMYFUNCTION("IF(ISBLANK(A938),IFERROR(1/0),IF(COUNT(FILTER(G:G,((A:A=A938)*(B:B=""V""))))&gt;1,TRUNC(N938*G938/SUM(FILTER(N:N,((A:A=A938)*(B:B=""V"")))),3),G938))"),"")</f>
        <v/>
      </c>
      <c r="L938" s="148" t="str">
        <f>IFERROR(__xludf.DUMMYFUNCTION("if($C938="""","""",iferror(if(row()&lt;&gt;2,INDEX(arrayformula(filter($M$2:$M937,$C$2:$C937&lt;&gt;"""",row($C$2:$C937)=max(if($C$2:$C937=C938,row($C$2:$C937),0)))) ,1),0),0))"),"")</f>
        <v/>
      </c>
      <c r="M938" s="148" t="str">
        <f t="shared" si="1"/>
        <v/>
      </c>
      <c r="N938" s="147" t="str">
        <f t="shared" si="2"/>
        <v/>
      </c>
      <c r="O938" s="147" t="str">
        <f t="shared" si="21"/>
        <v/>
      </c>
      <c r="P938" s="147" t="str">
        <f>IFERROR(__xludf.DUMMYFUNCTION("if(C938="""","""",iferror(if(row()&lt;&gt;2,INDEX(arrayformula(filter($Q$2:$Q937,$C$2:$C937&lt;&gt;"""",row($C$2:$C937)=max(if($C$2:$C937=C938,row($C$2:$C937),0)))) ,1),0),0))"),"")</f>
        <v/>
      </c>
      <c r="Q938" s="147" t="str">
        <f t="shared" si="22"/>
        <v/>
      </c>
      <c r="R938" s="147" t="str">
        <f t="shared" si="23"/>
        <v/>
      </c>
      <c r="S938" s="147" t="str">
        <f t="shared" si="24"/>
        <v/>
      </c>
      <c r="T938" s="147" t="str">
        <f t="shared" si="7"/>
        <v/>
      </c>
      <c r="U938" s="150" t="str">
        <f t="shared" si="8"/>
        <v/>
      </c>
      <c r="V938" s="151" t="str">
        <f>IFERROR(VLOOKUP(C938,Ativos!$A$1:$G2000,5,),)</f>
        <v/>
      </c>
    </row>
    <row r="939" ht="21.0" customHeight="1">
      <c r="A939" s="152"/>
      <c r="B939" s="160"/>
      <c r="C939" s="153"/>
      <c r="D939" s="154"/>
      <c r="E939" s="139"/>
      <c r="F939" s="139"/>
      <c r="G939" s="139"/>
      <c r="H939" s="135"/>
      <c r="I939" s="141"/>
      <c r="J939" s="147" t="str">
        <f>IFERROR(__xludf.DUMMYFUNCTION("IF(ISBLANK(A939),IFERROR(1/0),IF(COUNT(FILTER(F:F,A:A=A939))&gt;1,TRUNC(N939*F939/SUM(FILTER(N:N,A:A=A939)),3),F939))"),"")</f>
        <v/>
      </c>
      <c r="K939" s="147" t="str">
        <f>IFERROR(__xludf.DUMMYFUNCTION("IF(ISBLANK(A939),IFERROR(1/0),IF(COUNT(FILTER(G:G,((A:A=A939)*(B:B=""V""))))&gt;1,TRUNC(N939*G939/SUM(FILTER(N:N,((A:A=A939)*(B:B=""V"")))),3),G939))"),"")</f>
        <v/>
      </c>
      <c r="L939" s="148" t="str">
        <f>IFERROR(__xludf.DUMMYFUNCTION("if($C939="""","""",iferror(if(row()&lt;&gt;2,INDEX(arrayformula(filter($M$2:$M938,$C$2:$C938&lt;&gt;"""",row($C$2:$C938)=max(if($C$2:$C938=C939,row($C$2:$C938),0)))) ,1),0),0))"),"")</f>
        <v/>
      </c>
      <c r="M939" s="148" t="str">
        <f t="shared" si="1"/>
        <v/>
      </c>
      <c r="N939" s="147" t="str">
        <f t="shared" si="2"/>
        <v/>
      </c>
      <c r="O939" s="147" t="str">
        <f t="shared" si="21"/>
        <v/>
      </c>
      <c r="P939" s="147" t="str">
        <f>IFERROR(__xludf.DUMMYFUNCTION("if(C939="""","""",iferror(if(row()&lt;&gt;2,INDEX(arrayformula(filter($Q$2:$Q938,$C$2:$C938&lt;&gt;"""",row($C$2:$C938)=max(if($C$2:$C938=C939,row($C$2:$C938),0)))) ,1),0),0))"),"")</f>
        <v/>
      </c>
      <c r="Q939" s="147" t="str">
        <f t="shared" si="22"/>
        <v/>
      </c>
      <c r="R939" s="147" t="str">
        <f t="shared" si="23"/>
        <v/>
      </c>
      <c r="S939" s="147" t="str">
        <f t="shared" si="24"/>
        <v/>
      </c>
      <c r="T939" s="147" t="str">
        <f t="shared" si="7"/>
        <v/>
      </c>
      <c r="U939" s="150" t="str">
        <f t="shared" si="8"/>
        <v/>
      </c>
      <c r="V939" s="151" t="str">
        <f>IFERROR(VLOOKUP(C939,Ativos!$A$1:$G2000,5,),)</f>
        <v/>
      </c>
    </row>
    <row r="940" ht="21.0" customHeight="1">
      <c r="A940" s="152"/>
      <c r="B940" s="160"/>
      <c r="C940" s="153"/>
      <c r="D940" s="154"/>
      <c r="E940" s="139"/>
      <c r="F940" s="139"/>
      <c r="G940" s="139"/>
      <c r="H940" s="135"/>
      <c r="I940" s="141"/>
      <c r="J940" s="147" t="str">
        <f>IFERROR(__xludf.DUMMYFUNCTION("IF(ISBLANK(A940),IFERROR(1/0),IF(COUNT(FILTER(F:F,A:A=A940))&gt;1,TRUNC(N940*F940/SUM(FILTER(N:N,A:A=A940)),3),F940))"),"")</f>
        <v/>
      </c>
      <c r="K940" s="147" t="str">
        <f>IFERROR(__xludf.DUMMYFUNCTION("IF(ISBLANK(A940),IFERROR(1/0),IF(COUNT(FILTER(G:G,((A:A=A940)*(B:B=""V""))))&gt;1,TRUNC(N940*G940/SUM(FILTER(N:N,((A:A=A940)*(B:B=""V"")))),3),G940))"),"")</f>
        <v/>
      </c>
      <c r="L940" s="148" t="str">
        <f>IFERROR(__xludf.DUMMYFUNCTION("if($C940="""","""",iferror(if(row()&lt;&gt;2,INDEX(arrayformula(filter($M$2:$M939,$C$2:$C939&lt;&gt;"""",row($C$2:$C939)=max(if($C$2:$C939=C940,row($C$2:$C939),0)))) ,1),0),0))"),"")</f>
        <v/>
      </c>
      <c r="M940" s="148" t="str">
        <f t="shared" si="1"/>
        <v/>
      </c>
      <c r="N940" s="147" t="str">
        <f t="shared" si="2"/>
        <v/>
      </c>
      <c r="O940" s="147" t="str">
        <f t="shared" si="21"/>
        <v/>
      </c>
      <c r="P940" s="147" t="str">
        <f>IFERROR(__xludf.DUMMYFUNCTION("if(C940="""","""",iferror(if(row()&lt;&gt;2,INDEX(arrayformula(filter($Q$2:$Q939,$C$2:$C939&lt;&gt;"""",row($C$2:$C939)=max(if($C$2:$C939=C940,row($C$2:$C939),0)))) ,1),0),0))"),"")</f>
        <v/>
      </c>
      <c r="Q940" s="147" t="str">
        <f t="shared" si="22"/>
        <v/>
      </c>
      <c r="R940" s="147" t="str">
        <f t="shared" si="23"/>
        <v/>
      </c>
      <c r="S940" s="147" t="str">
        <f t="shared" si="24"/>
        <v/>
      </c>
      <c r="T940" s="147" t="str">
        <f t="shared" si="7"/>
        <v/>
      </c>
      <c r="U940" s="150" t="str">
        <f t="shared" si="8"/>
        <v/>
      </c>
      <c r="V940" s="151" t="str">
        <f>IFERROR(VLOOKUP(C940,Ativos!$A$1:$G2000,5,),)</f>
        <v/>
      </c>
    </row>
    <row r="941" ht="21.0" customHeight="1">
      <c r="A941" s="152"/>
      <c r="B941" s="160"/>
      <c r="C941" s="153"/>
      <c r="D941" s="154"/>
      <c r="E941" s="139"/>
      <c r="F941" s="139"/>
      <c r="G941" s="139"/>
      <c r="H941" s="135"/>
      <c r="I941" s="141"/>
      <c r="J941" s="147" t="str">
        <f>IFERROR(__xludf.DUMMYFUNCTION("IF(ISBLANK(A941),IFERROR(1/0),IF(COUNT(FILTER(F:F,A:A=A941))&gt;1,TRUNC(N941*F941/SUM(FILTER(N:N,A:A=A941)),3),F941))"),"")</f>
        <v/>
      </c>
      <c r="K941" s="147" t="str">
        <f>IFERROR(__xludf.DUMMYFUNCTION("IF(ISBLANK(A941),IFERROR(1/0),IF(COUNT(FILTER(G:G,((A:A=A941)*(B:B=""V""))))&gt;1,TRUNC(N941*G941/SUM(FILTER(N:N,((A:A=A941)*(B:B=""V"")))),3),G941))"),"")</f>
        <v/>
      </c>
      <c r="L941" s="148" t="str">
        <f>IFERROR(__xludf.DUMMYFUNCTION("if($C941="""","""",iferror(if(row()&lt;&gt;2,INDEX(arrayformula(filter($M$2:$M940,$C$2:$C940&lt;&gt;"""",row($C$2:$C940)=max(if($C$2:$C940=C941,row($C$2:$C940),0)))) ,1),0),0))"),"")</f>
        <v/>
      </c>
      <c r="M941" s="148" t="str">
        <f t="shared" si="1"/>
        <v/>
      </c>
      <c r="N941" s="147" t="str">
        <f t="shared" si="2"/>
        <v/>
      </c>
      <c r="O941" s="147" t="str">
        <f t="shared" si="21"/>
        <v/>
      </c>
      <c r="P941" s="147" t="str">
        <f>IFERROR(__xludf.DUMMYFUNCTION("if(C941="""","""",iferror(if(row()&lt;&gt;2,INDEX(arrayformula(filter($Q$2:$Q940,$C$2:$C940&lt;&gt;"""",row($C$2:$C940)=max(if($C$2:$C940=C941,row($C$2:$C940),0)))) ,1),0),0))"),"")</f>
        <v/>
      </c>
      <c r="Q941" s="147" t="str">
        <f t="shared" si="22"/>
        <v/>
      </c>
      <c r="R941" s="147" t="str">
        <f t="shared" si="23"/>
        <v/>
      </c>
      <c r="S941" s="147" t="str">
        <f t="shared" si="24"/>
        <v/>
      </c>
      <c r="T941" s="147" t="str">
        <f t="shared" si="7"/>
        <v/>
      </c>
      <c r="U941" s="150" t="str">
        <f t="shared" si="8"/>
        <v/>
      </c>
      <c r="V941" s="151" t="str">
        <f>IFERROR(VLOOKUP(C941,Ativos!$A$1:$G2000,5,),)</f>
        <v/>
      </c>
    </row>
    <row r="942" ht="21.0" customHeight="1">
      <c r="A942" s="152"/>
      <c r="B942" s="160"/>
      <c r="C942" s="153"/>
      <c r="D942" s="154"/>
      <c r="E942" s="139"/>
      <c r="F942" s="139"/>
      <c r="G942" s="139"/>
      <c r="H942" s="135"/>
      <c r="I942" s="141"/>
      <c r="J942" s="147" t="str">
        <f>IFERROR(__xludf.DUMMYFUNCTION("IF(ISBLANK(A942),IFERROR(1/0),IF(COUNT(FILTER(F:F,A:A=A942))&gt;1,TRUNC(N942*F942/SUM(FILTER(N:N,A:A=A942)),3),F942))"),"")</f>
        <v/>
      </c>
      <c r="K942" s="147" t="str">
        <f>IFERROR(__xludf.DUMMYFUNCTION("IF(ISBLANK(A942),IFERROR(1/0),IF(COUNT(FILTER(G:G,((A:A=A942)*(B:B=""V""))))&gt;1,TRUNC(N942*G942/SUM(FILTER(N:N,((A:A=A942)*(B:B=""V"")))),3),G942))"),"")</f>
        <v/>
      </c>
      <c r="L942" s="148" t="str">
        <f>IFERROR(__xludf.DUMMYFUNCTION("if($C942="""","""",iferror(if(row()&lt;&gt;2,INDEX(arrayformula(filter($M$2:$M941,$C$2:$C941&lt;&gt;"""",row($C$2:$C941)=max(if($C$2:$C941=C942,row($C$2:$C941),0)))) ,1),0),0))"),"")</f>
        <v/>
      </c>
      <c r="M942" s="148" t="str">
        <f t="shared" si="1"/>
        <v/>
      </c>
      <c r="N942" s="147" t="str">
        <f t="shared" si="2"/>
        <v/>
      </c>
      <c r="O942" s="147" t="str">
        <f t="shared" si="21"/>
        <v/>
      </c>
      <c r="P942" s="147" t="str">
        <f>IFERROR(__xludf.DUMMYFUNCTION("if(C942="""","""",iferror(if(row()&lt;&gt;2,INDEX(arrayformula(filter($Q$2:$Q941,$C$2:$C941&lt;&gt;"""",row($C$2:$C941)=max(if($C$2:$C941=C942,row($C$2:$C941),0)))) ,1),0),0))"),"")</f>
        <v/>
      </c>
      <c r="Q942" s="147" t="str">
        <f t="shared" si="22"/>
        <v/>
      </c>
      <c r="R942" s="147" t="str">
        <f t="shared" si="23"/>
        <v/>
      </c>
      <c r="S942" s="147" t="str">
        <f t="shared" si="24"/>
        <v/>
      </c>
      <c r="T942" s="147" t="str">
        <f t="shared" si="7"/>
        <v/>
      </c>
      <c r="U942" s="150" t="str">
        <f t="shared" si="8"/>
        <v/>
      </c>
      <c r="V942" s="151" t="str">
        <f>IFERROR(VLOOKUP(C942,Ativos!$A$1:$G2000,5,),)</f>
        <v/>
      </c>
    </row>
    <row r="943" ht="21.0" customHeight="1">
      <c r="A943" s="152"/>
      <c r="B943" s="160"/>
      <c r="C943" s="153"/>
      <c r="D943" s="154"/>
      <c r="E943" s="139"/>
      <c r="F943" s="139"/>
      <c r="G943" s="139"/>
      <c r="H943" s="135"/>
      <c r="I943" s="141"/>
      <c r="J943" s="147" t="str">
        <f>IFERROR(__xludf.DUMMYFUNCTION("IF(ISBLANK(A943),IFERROR(1/0),IF(COUNT(FILTER(F:F,A:A=A943))&gt;1,TRUNC(N943*F943/SUM(FILTER(N:N,A:A=A943)),3),F943))"),"")</f>
        <v/>
      </c>
      <c r="K943" s="147" t="str">
        <f>IFERROR(__xludf.DUMMYFUNCTION("IF(ISBLANK(A943),IFERROR(1/0),IF(COUNT(FILTER(G:G,((A:A=A943)*(B:B=""V""))))&gt;1,TRUNC(N943*G943/SUM(FILTER(N:N,((A:A=A943)*(B:B=""V"")))),3),G943))"),"")</f>
        <v/>
      </c>
      <c r="L943" s="148" t="str">
        <f>IFERROR(__xludf.DUMMYFUNCTION("if($C943="""","""",iferror(if(row()&lt;&gt;2,INDEX(arrayformula(filter($M$2:$M942,$C$2:$C942&lt;&gt;"""",row($C$2:$C942)=max(if($C$2:$C942=C943,row($C$2:$C942),0)))) ,1),0),0))"),"")</f>
        <v/>
      </c>
      <c r="M943" s="148" t="str">
        <f t="shared" si="1"/>
        <v/>
      </c>
      <c r="N943" s="147" t="str">
        <f t="shared" si="2"/>
        <v/>
      </c>
      <c r="O943" s="147" t="str">
        <f t="shared" si="21"/>
        <v/>
      </c>
      <c r="P943" s="147" t="str">
        <f>IFERROR(__xludf.DUMMYFUNCTION("if(C943="""","""",iferror(if(row()&lt;&gt;2,INDEX(arrayformula(filter($Q$2:$Q942,$C$2:$C942&lt;&gt;"""",row($C$2:$C942)=max(if($C$2:$C942=C943,row($C$2:$C942),0)))) ,1),0),0))"),"")</f>
        <v/>
      </c>
      <c r="Q943" s="147" t="str">
        <f t="shared" si="22"/>
        <v/>
      </c>
      <c r="R943" s="147" t="str">
        <f t="shared" si="23"/>
        <v/>
      </c>
      <c r="S943" s="147" t="str">
        <f t="shared" si="24"/>
        <v/>
      </c>
      <c r="T943" s="147" t="str">
        <f t="shared" si="7"/>
        <v/>
      </c>
      <c r="U943" s="150" t="str">
        <f t="shared" si="8"/>
        <v/>
      </c>
      <c r="V943" s="151" t="str">
        <f>IFERROR(VLOOKUP(C943,Ativos!$A$1:$G2000,5,),)</f>
        <v/>
      </c>
    </row>
    <row r="944" ht="21.0" customHeight="1">
      <c r="A944" s="152"/>
      <c r="B944" s="160"/>
      <c r="C944" s="153"/>
      <c r="D944" s="154"/>
      <c r="E944" s="139"/>
      <c r="F944" s="139"/>
      <c r="G944" s="139"/>
      <c r="H944" s="135"/>
      <c r="I944" s="141"/>
      <c r="J944" s="147" t="str">
        <f>IFERROR(__xludf.DUMMYFUNCTION("IF(ISBLANK(A944),IFERROR(1/0),IF(COUNT(FILTER(F:F,A:A=A944))&gt;1,TRUNC(N944*F944/SUM(FILTER(N:N,A:A=A944)),3),F944))"),"")</f>
        <v/>
      </c>
      <c r="K944" s="147" t="str">
        <f>IFERROR(__xludf.DUMMYFUNCTION("IF(ISBLANK(A944),IFERROR(1/0),IF(COUNT(FILTER(G:G,((A:A=A944)*(B:B=""V""))))&gt;1,TRUNC(N944*G944/SUM(FILTER(N:N,((A:A=A944)*(B:B=""V"")))),3),G944))"),"")</f>
        <v/>
      </c>
      <c r="L944" s="148" t="str">
        <f>IFERROR(__xludf.DUMMYFUNCTION("if($C944="""","""",iferror(if(row()&lt;&gt;2,INDEX(arrayformula(filter($M$2:$M943,$C$2:$C943&lt;&gt;"""",row($C$2:$C943)=max(if($C$2:$C943=C944,row($C$2:$C943),0)))) ,1),0),0))"),"")</f>
        <v/>
      </c>
      <c r="M944" s="148" t="str">
        <f t="shared" si="1"/>
        <v/>
      </c>
      <c r="N944" s="147" t="str">
        <f t="shared" si="2"/>
        <v/>
      </c>
      <c r="O944" s="147" t="str">
        <f t="shared" si="21"/>
        <v/>
      </c>
      <c r="P944" s="147" t="str">
        <f>IFERROR(__xludf.DUMMYFUNCTION("if(C944="""","""",iferror(if(row()&lt;&gt;2,INDEX(arrayformula(filter($Q$2:$Q943,$C$2:$C943&lt;&gt;"""",row($C$2:$C943)=max(if($C$2:$C943=C944,row($C$2:$C943),0)))) ,1),0),0))"),"")</f>
        <v/>
      </c>
      <c r="Q944" s="147" t="str">
        <f t="shared" si="22"/>
        <v/>
      </c>
      <c r="R944" s="147" t="str">
        <f t="shared" si="23"/>
        <v/>
      </c>
      <c r="S944" s="147" t="str">
        <f t="shared" si="24"/>
        <v/>
      </c>
      <c r="T944" s="147" t="str">
        <f t="shared" si="7"/>
        <v/>
      </c>
      <c r="U944" s="150" t="str">
        <f t="shared" si="8"/>
        <v/>
      </c>
      <c r="V944" s="151" t="str">
        <f>IFERROR(VLOOKUP(C944,Ativos!$A$1:$G2000,5,),)</f>
        <v/>
      </c>
    </row>
    <row r="945" ht="21.0" customHeight="1">
      <c r="A945" s="152"/>
      <c r="B945" s="160"/>
      <c r="C945" s="153"/>
      <c r="D945" s="154"/>
      <c r="E945" s="139"/>
      <c r="F945" s="139"/>
      <c r="G945" s="139"/>
      <c r="H945" s="135"/>
      <c r="I945" s="141"/>
      <c r="J945" s="147" t="str">
        <f>IFERROR(__xludf.DUMMYFUNCTION("IF(ISBLANK(A945),IFERROR(1/0),IF(COUNT(FILTER(F:F,A:A=A945))&gt;1,TRUNC(N945*F945/SUM(FILTER(N:N,A:A=A945)),3),F945))"),"")</f>
        <v/>
      </c>
      <c r="K945" s="147" t="str">
        <f>IFERROR(__xludf.DUMMYFUNCTION("IF(ISBLANK(A945),IFERROR(1/0),IF(COUNT(FILTER(G:G,((A:A=A945)*(B:B=""V""))))&gt;1,TRUNC(N945*G945/SUM(FILTER(N:N,((A:A=A945)*(B:B=""V"")))),3),G945))"),"")</f>
        <v/>
      </c>
      <c r="L945" s="148" t="str">
        <f>IFERROR(__xludf.DUMMYFUNCTION("if($C945="""","""",iferror(if(row()&lt;&gt;2,INDEX(arrayformula(filter($M$2:$M944,$C$2:$C944&lt;&gt;"""",row($C$2:$C944)=max(if($C$2:$C944=C945,row($C$2:$C944),0)))) ,1),0),0))"),"")</f>
        <v/>
      </c>
      <c r="M945" s="148" t="str">
        <f t="shared" si="1"/>
        <v/>
      </c>
      <c r="N945" s="147" t="str">
        <f t="shared" si="2"/>
        <v/>
      </c>
      <c r="O945" s="147" t="str">
        <f t="shared" si="21"/>
        <v/>
      </c>
      <c r="P945" s="147" t="str">
        <f>IFERROR(__xludf.DUMMYFUNCTION("if(C945="""","""",iferror(if(row()&lt;&gt;2,INDEX(arrayformula(filter($Q$2:$Q944,$C$2:$C944&lt;&gt;"""",row($C$2:$C944)=max(if($C$2:$C944=C945,row($C$2:$C944),0)))) ,1),0),0))"),"")</f>
        <v/>
      </c>
      <c r="Q945" s="147" t="str">
        <f t="shared" si="22"/>
        <v/>
      </c>
      <c r="R945" s="147" t="str">
        <f t="shared" si="23"/>
        <v/>
      </c>
      <c r="S945" s="147" t="str">
        <f t="shared" si="24"/>
        <v/>
      </c>
      <c r="T945" s="147" t="str">
        <f t="shared" si="7"/>
        <v/>
      </c>
      <c r="U945" s="150" t="str">
        <f t="shared" si="8"/>
        <v/>
      </c>
      <c r="V945" s="151" t="str">
        <f>IFERROR(VLOOKUP(C945,Ativos!$A$1:$G2000,5,),)</f>
        <v/>
      </c>
    </row>
    <row r="946" ht="21.0" customHeight="1">
      <c r="A946" s="152"/>
      <c r="B946" s="160"/>
      <c r="C946" s="153"/>
      <c r="D946" s="154"/>
      <c r="E946" s="139"/>
      <c r="F946" s="139"/>
      <c r="G946" s="139"/>
      <c r="H946" s="135"/>
      <c r="I946" s="141"/>
      <c r="J946" s="147" t="str">
        <f>IFERROR(__xludf.DUMMYFUNCTION("IF(ISBLANK(A946),IFERROR(1/0),IF(COUNT(FILTER(F:F,A:A=A946))&gt;1,TRUNC(N946*F946/SUM(FILTER(N:N,A:A=A946)),3),F946))"),"")</f>
        <v/>
      </c>
      <c r="K946" s="147" t="str">
        <f>IFERROR(__xludf.DUMMYFUNCTION("IF(ISBLANK(A946),IFERROR(1/0),IF(COUNT(FILTER(G:G,((A:A=A946)*(B:B=""V""))))&gt;1,TRUNC(N946*G946/SUM(FILTER(N:N,((A:A=A946)*(B:B=""V"")))),3),G946))"),"")</f>
        <v/>
      </c>
      <c r="L946" s="148" t="str">
        <f>IFERROR(__xludf.DUMMYFUNCTION("if($C946="""","""",iferror(if(row()&lt;&gt;2,INDEX(arrayformula(filter($M$2:$M945,$C$2:$C945&lt;&gt;"""",row($C$2:$C945)=max(if($C$2:$C945=C946,row($C$2:$C945),0)))) ,1),0),0))"),"")</f>
        <v/>
      </c>
      <c r="M946" s="148" t="str">
        <f t="shared" si="1"/>
        <v/>
      </c>
      <c r="N946" s="147" t="str">
        <f t="shared" si="2"/>
        <v/>
      </c>
      <c r="O946" s="147" t="str">
        <f t="shared" si="21"/>
        <v/>
      </c>
      <c r="P946" s="147" t="str">
        <f>IFERROR(__xludf.DUMMYFUNCTION("if(C946="""","""",iferror(if(row()&lt;&gt;2,INDEX(arrayformula(filter($Q$2:$Q945,$C$2:$C945&lt;&gt;"""",row($C$2:$C945)=max(if($C$2:$C945=C946,row($C$2:$C945),0)))) ,1),0),0))"),"")</f>
        <v/>
      </c>
      <c r="Q946" s="147" t="str">
        <f t="shared" si="22"/>
        <v/>
      </c>
      <c r="R946" s="147" t="str">
        <f t="shared" si="23"/>
        <v/>
      </c>
      <c r="S946" s="147" t="str">
        <f t="shared" si="24"/>
        <v/>
      </c>
      <c r="T946" s="147" t="str">
        <f t="shared" si="7"/>
        <v/>
      </c>
      <c r="U946" s="150" t="str">
        <f t="shared" si="8"/>
        <v/>
      </c>
      <c r="V946" s="151" t="str">
        <f>IFERROR(VLOOKUP(C946,Ativos!$A$1:$G2000,5,),)</f>
        <v/>
      </c>
    </row>
    <row r="947" ht="21.0" customHeight="1">
      <c r="A947" s="152"/>
      <c r="B947" s="160"/>
      <c r="C947" s="153"/>
      <c r="D947" s="154"/>
      <c r="E947" s="139"/>
      <c r="F947" s="139"/>
      <c r="G947" s="139"/>
      <c r="H947" s="135"/>
      <c r="I947" s="141"/>
      <c r="J947" s="147" t="str">
        <f>IFERROR(__xludf.DUMMYFUNCTION("IF(ISBLANK(A947),IFERROR(1/0),IF(COUNT(FILTER(F:F,A:A=A947))&gt;1,TRUNC(N947*F947/SUM(FILTER(N:N,A:A=A947)),3),F947))"),"")</f>
        <v/>
      </c>
      <c r="K947" s="147" t="str">
        <f>IFERROR(__xludf.DUMMYFUNCTION("IF(ISBLANK(A947),IFERROR(1/0),IF(COUNT(FILTER(G:G,((A:A=A947)*(B:B=""V""))))&gt;1,TRUNC(N947*G947/SUM(FILTER(N:N,((A:A=A947)*(B:B=""V"")))),3),G947))"),"")</f>
        <v/>
      </c>
      <c r="L947" s="148" t="str">
        <f>IFERROR(__xludf.DUMMYFUNCTION("if($C947="""","""",iferror(if(row()&lt;&gt;2,INDEX(arrayformula(filter($M$2:$M946,$C$2:$C946&lt;&gt;"""",row($C$2:$C946)=max(if($C$2:$C946=C947,row($C$2:$C946),0)))) ,1),0),0))"),"")</f>
        <v/>
      </c>
      <c r="M947" s="148" t="str">
        <f t="shared" si="1"/>
        <v/>
      </c>
      <c r="N947" s="147" t="str">
        <f t="shared" si="2"/>
        <v/>
      </c>
      <c r="O947" s="147" t="str">
        <f t="shared" si="21"/>
        <v/>
      </c>
      <c r="P947" s="147" t="str">
        <f>IFERROR(__xludf.DUMMYFUNCTION("if(C947="""","""",iferror(if(row()&lt;&gt;2,INDEX(arrayformula(filter($Q$2:$Q946,$C$2:$C946&lt;&gt;"""",row($C$2:$C946)=max(if($C$2:$C946=C947,row($C$2:$C946),0)))) ,1),0),0))"),"")</f>
        <v/>
      </c>
      <c r="Q947" s="147" t="str">
        <f t="shared" si="22"/>
        <v/>
      </c>
      <c r="R947" s="147" t="str">
        <f t="shared" si="23"/>
        <v/>
      </c>
      <c r="S947" s="147" t="str">
        <f t="shared" si="24"/>
        <v/>
      </c>
      <c r="T947" s="147" t="str">
        <f t="shared" si="7"/>
        <v/>
      </c>
      <c r="U947" s="150" t="str">
        <f t="shared" si="8"/>
        <v/>
      </c>
      <c r="V947" s="151" t="str">
        <f>IFERROR(VLOOKUP(C947,Ativos!$A$1:$G2000,5,),)</f>
        <v/>
      </c>
    </row>
    <row r="948" ht="21.0" customHeight="1">
      <c r="A948" s="152"/>
      <c r="B948" s="160"/>
      <c r="C948" s="153"/>
      <c r="D948" s="154"/>
      <c r="E948" s="139"/>
      <c r="F948" s="139"/>
      <c r="G948" s="139"/>
      <c r="H948" s="135"/>
      <c r="I948" s="141"/>
      <c r="J948" s="147" t="str">
        <f>IFERROR(__xludf.DUMMYFUNCTION("IF(ISBLANK(A948),IFERROR(1/0),IF(COUNT(FILTER(F:F,A:A=A948))&gt;1,TRUNC(N948*F948/SUM(FILTER(N:N,A:A=A948)),3),F948))"),"")</f>
        <v/>
      </c>
      <c r="K948" s="147" t="str">
        <f>IFERROR(__xludf.DUMMYFUNCTION("IF(ISBLANK(A948),IFERROR(1/0),IF(COUNT(FILTER(G:G,((A:A=A948)*(B:B=""V""))))&gt;1,TRUNC(N948*G948/SUM(FILTER(N:N,((A:A=A948)*(B:B=""V"")))),3),G948))"),"")</f>
        <v/>
      </c>
      <c r="L948" s="148" t="str">
        <f>IFERROR(__xludf.DUMMYFUNCTION("if($C948="""","""",iferror(if(row()&lt;&gt;2,INDEX(arrayformula(filter($M$2:$M947,$C$2:$C947&lt;&gt;"""",row($C$2:$C947)=max(if($C$2:$C947=C948,row($C$2:$C947),0)))) ,1),0),0))"),"")</f>
        <v/>
      </c>
      <c r="M948" s="148" t="str">
        <f t="shared" si="1"/>
        <v/>
      </c>
      <c r="N948" s="147" t="str">
        <f t="shared" si="2"/>
        <v/>
      </c>
      <c r="O948" s="147" t="str">
        <f t="shared" si="21"/>
        <v/>
      </c>
      <c r="P948" s="147" t="str">
        <f>IFERROR(__xludf.DUMMYFUNCTION("if(C948="""","""",iferror(if(row()&lt;&gt;2,INDEX(arrayformula(filter($Q$2:$Q947,$C$2:$C947&lt;&gt;"""",row($C$2:$C947)=max(if($C$2:$C947=C948,row($C$2:$C947),0)))) ,1),0),0))"),"")</f>
        <v/>
      </c>
      <c r="Q948" s="147" t="str">
        <f t="shared" si="22"/>
        <v/>
      </c>
      <c r="R948" s="147" t="str">
        <f t="shared" si="23"/>
        <v/>
      </c>
      <c r="S948" s="147" t="str">
        <f t="shared" si="24"/>
        <v/>
      </c>
      <c r="T948" s="147" t="str">
        <f t="shared" si="7"/>
        <v/>
      </c>
      <c r="U948" s="150" t="str">
        <f t="shared" si="8"/>
        <v/>
      </c>
      <c r="V948" s="151" t="str">
        <f>IFERROR(VLOOKUP(C948,Ativos!$A$1:$G2000,5,),)</f>
        <v/>
      </c>
    </row>
    <row r="949" ht="21.0" customHeight="1">
      <c r="A949" s="152"/>
      <c r="B949" s="160"/>
      <c r="C949" s="153"/>
      <c r="D949" s="154"/>
      <c r="E949" s="139"/>
      <c r="F949" s="139"/>
      <c r="G949" s="139"/>
      <c r="H949" s="135"/>
      <c r="I949" s="141"/>
      <c r="J949" s="147" t="str">
        <f>IFERROR(__xludf.DUMMYFUNCTION("IF(ISBLANK(A949),IFERROR(1/0),IF(COUNT(FILTER(F:F,A:A=A949))&gt;1,TRUNC(N949*F949/SUM(FILTER(N:N,A:A=A949)),3),F949))"),"")</f>
        <v/>
      </c>
      <c r="K949" s="147" t="str">
        <f>IFERROR(__xludf.DUMMYFUNCTION("IF(ISBLANK(A949),IFERROR(1/0),IF(COUNT(FILTER(G:G,((A:A=A949)*(B:B=""V""))))&gt;1,TRUNC(N949*G949/SUM(FILTER(N:N,((A:A=A949)*(B:B=""V"")))),3),G949))"),"")</f>
        <v/>
      </c>
      <c r="L949" s="148" t="str">
        <f>IFERROR(__xludf.DUMMYFUNCTION("if($C949="""","""",iferror(if(row()&lt;&gt;2,INDEX(arrayformula(filter($M$2:$M948,$C$2:$C948&lt;&gt;"""",row($C$2:$C948)=max(if($C$2:$C948=C949,row($C$2:$C948),0)))) ,1),0),0))"),"")</f>
        <v/>
      </c>
      <c r="M949" s="148" t="str">
        <f t="shared" si="1"/>
        <v/>
      </c>
      <c r="N949" s="147" t="str">
        <f t="shared" si="2"/>
        <v/>
      </c>
      <c r="O949" s="147" t="str">
        <f t="shared" si="21"/>
        <v/>
      </c>
      <c r="P949" s="147" t="str">
        <f>IFERROR(__xludf.DUMMYFUNCTION("if(C949="""","""",iferror(if(row()&lt;&gt;2,INDEX(arrayformula(filter($Q$2:$Q948,$C$2:$C948&lt;&gt;"""",row($C$2:$C948)=max(if($C$2:$C948=C949,row($C$2:$C948),0)))) ,1),0),0))"),"")</f>
        <v/>
      </c>
      <c r="Q949" s="147" t="str">
        <f t="shared" si="22"/>
        <v/>
      </c>
      <c r="R949" s="147" t="str">
        <f t="shared" si="23"/>
        <v/>
      </c>
      <c r="S949" s="147" t="str">
        <f t="shared" si="24"/>
        <v/>
      </c>
      <c r="T949" s="147" t="str">
        <f t="shared" si="7"/>
        <v/>
      </c>
      <c r="U949" s="150" t="str">
        <f t="shared" si="8"/>
        <v/>
      </c>
      <c r="V949" s="151" t="str">
        <f>IFERROR(VLOOKUP(C949,Ativos!$A$1:$G2000,5,),)</f>
        <v/>
      </c>
    </row>
    <row r="950" ht="21.0" customHeight="1">
      <c r="A950" s="152"/>
      <c r="B950" s="160"/>
      <c r="C950" s="153"/>
      <c r="D950" s="154"/>
      <c r="E950" s="139"/>
      <c r="F950" s="139"/>
      <c r="G950" s="139"/>
      <c r="H950" s="135"/>
      <c r="I950" s="141"/>
      <c r="J950" s="147" t="str">
        <f>IFERROR(__xludf.DUMMYFUNCTION("IF(ISBLANK(A950),IFERROR(1/0),IF(COUNT(FILTER(F:F,A:A=A950))&gt;1,TRUNC(N950*F950/SUM(FILTER(N:N,A:A=A950)),3),F950))"),"")</f>
        <v/>
      </c>
      <c r="K950" s="147" t="str">
        <f>IFERROR(__xludf.DUMMYFUNCTION("IF(ISBLANK(A950),IFERROR(1/0),IF(COUNT(FILTER(G:G,((A:A=A950)*(B:B=""V""))))&gt;1,TRUNC(N950*G950/SUM(FILTER(N:N,((A:A=A950)*(B:B=""V"")))),3),G950))"),"")</f>
        <v/>
      </c>
      <c r="L950" s="148" t="str">
        <f>IFERROR(__xludf.DUMMYFUNCTION("if($C950="""","""",iferror(if(row()&lt;&gt;2,INDEX(arrayformula(filter($M$2:$M949,$C$2:$C949&lt;&gt;"""",row($C$2:$C949)=max(if($C$2:$C949=C950,row($C$2:$C949),0)))) ,1),0),0))"),"")</f>
        <v/>
      </c>
      <c r="M950" s="148" t="str">
        <f t="shared" si="1"/>
        <v/>
      </c>
      <c r="N950" s="147" t="str">
        <f t="shared" si="2"/>
        <v/>
      </c>
      <c r="O950" s="147" t="str">
        <f t="shared" si="21"/>
        <v/>
      </c>
      <c r="P950" s="147" t="str">
        <f>IFERROR(__xludf.DUMMYFUNCTION("if(C950="""","""",iferror(if(row()&lt;&gt;2,INDEX(arrayformula(filter($Q$2:$Q949,$C$2:$C949&lt;&gt;"""",row($C$2:$C949)=max(if($C$2:$C949=C950,row($C$2:$C949),0)))) ,1),0),0))"),"")</f>
        <v/>
      </c>
      <c r="Q950" s="147" t="str">
        <f t="shared" si="22"/>
        <v/>
      </c>
      <c r="R950" s="147" t="str">
        <f t="shared" si="23"/>
        <v/>
      </c>
      <c r="S950" s="147" t="str">
        <f t="shared" si="24"/>
        <v/>
      </c>
      <c r="T950" s="147" t="str">
        <f t="shared" si="7"/>
        <v/>
      </c>
      <c r="U950" s="150" t="str">
        <f t="shared" si="8"/>
        <v/>
      </c>
      <c r="V950" s="151" t="str">
        <f>IFERROR(VLOOKUP(C950,Ativos!$A$1:$G2000,5,),)</f>
        <v/>
      </c>
    </row>
    <row r="951" ht="21.0" customHeight="1">
      <c r="A951" s="152"/>
      <c r="B951" s="160"/>
      <c r="C951" s="153"/>
      <c r="D951" s="154"/>
      <c r="E951" s="139"/>
      <c r="F951" s="139"/>
      <c r="G951" s="139"/>
      <c r="H951" s="135"/>
      <c r="I951" s="141"/>
      <c r="J951" s="147" t="str">
        <f>IFERROR(__xludf.DUMMYFUNCTION("IF(ISBLANK(A951),IFERROR(1/0),IF(COUNT(FILTER(F:F,A:A=A951))&gt;1,TRUNC(N951*F951/SUM(FILTER(N:N,A:A=A951)),3),F951))"),"")</f>
        <v/>
      </c>
      <c r="K951" s="147" t="str">
        <f>IFERROR(__xludf.DUMMYFUNCTION("IF(ISBLANK(A951),IFERROR(1/0),IF(COUNT(FILTER(G:G,((A:A=A951)*(B:B=""V""))))&gt;1,TRUNC(N951*G951/SUM(FILTER(N:N,((A:A=A951)*(B:B=""V"")))),3),G951))"),"")</f>
        <v/>
      </c>
      <c r="L951" s="148" t="str">
        <f>IFERROR(__xludf.DUMMYFUNCTION("if($C951="""","""",iferror(if(row()&lt;&gt;2,INDEX(arrayformula(filter($M$2:$M950,$C$2:$C950&lt;&gt;"""",row($C$2:$C950)=max(if($C$2:$C950=C951,row($C$2:$C950),0)))) ,1),0),0))"),"")</f>
        <v/>
      </c>
      <c r="M951" s="148" t="str">
        <f t="shared" si="1"/>
        <v/>
      </c>
      <c r="N951" s="147" t="str">
        <f t="shared" si="2"/>
        <v/>
      </c>
      <c r="O951" s="147" t="str">
        <f t="shared" si="21"/>
        <v/>
      </c>
      <c r="P951" s="147" t="str">
        <f>IFERROR(__xludf.DUMMYFUNCTION("if(C951="""","""",iferror(if(row()&lt;&gt;2,INDEX(arrayformula(filter($Q$2:$Q950,$C$2:$C950&lt;&gt;"""",row($C$2:$C950)=max(if($C$2:$C950=C951,row($C$2:$C950),0)))) ,1),0),0))"),"")</f>
        <v/>
      </c>
      <c r="Q951" s="147" t="str">
        <f t="shared" si="22"/>
        <v/>
      </c>
      <c r="R951" s="147" t="str">
        <f t="shared" si="23"/>
        <v/>
      </c>
      <c r="S951" s="147" t="str">
        <f t="shared" si="24"/>
        <v/>
      </c>
      <c r="T951" s="147" t="str">
        <f t="shared" si="7"/>
        <v/>
      </c>
      <c r="U951" s="150" t="str">
        <f t="shared" si="8"/>
        <v/>
      </c>
      <c r="V951" s="151" t="str">
        <f>IFERROR(VLOOKUP(C951,Ativos!$A$1:$G2000,5,),)</f>
        <v/>
      </c>
    </row>
    <row r="952" ht="21.0" customHeight="1">
      <c r="A952" s="152"/>
      <c r="B952" s="160"/>
      <c r="C952" s="153"/>
      <c r="D952" s="154"/>
      <c r="E952" s="139"/>
      <c r="F952" s="139"/>
      <c r="G952" s="139"/>
      <c r="H952" s="135"/>
      <c r="I952" s="141"/>
      <c r="J952" s="147" t="str">
        <f>IFERROR(__xludf.DUMMYFUNCTION("IF(ISBLANK(A952),IFERROR(1/0),IF(COUNT(FILTER(F:F,A:A=A952))&gt;1,TRUNC(N952*F952/SUM(FILTER(N:N,A:A=A952)),3),F952))"),"")</f>
        <v/>
      </c>
      <c r="K952" s="147" t="str">
        <f>IFERROR(__xludf.DUMMYFUNCTION("IF(ISBLANK(A952),IFERROR(1/0),IF(COUNT(FILTER(G:G,((A:A=A952)*(B:B=""V""))))&gt;1,TRUNC(N952*G952/SUM(FILTER(N:N,((A:A=A952)*(B:B=""V"")))),3),G952))"),"")</f>
        <v/>
      </c>
      <c r="L952" s="148" t="str">
        <f>IFERROR(__xludf.DUMMYFUNCTION("if($C952="""","""",iferror(if(row()&lt;&gt;2,INDEX(arrayformula(filter($M$2:$M951,$C$2:$C951&lt;&gt;"""",row($C$2:$C951)=max(if($C$2:$C951=C952,row($C$2:$C951),0)))) ,1),0),0))"),"")</f>
        <v/>
      </c>
      <c r="M952" s="148" t="str">
        <f t="shared" si="1"/>
        <v/>
      </c>
      <c r="N952" s="147" t="str">
        <f t="shared" si="2"/>
        <v/>
      </c>
      <c r="O952" s="147" t="str">
        <f t="shared" si="21"/>
        <v/>
      </c>
      <c r="P952" s="147" t="str">
        <f>IFERROR(__xludf.DUMMYFUNCTION("if(C952="""","""",iferror(if(row()&lt;&gt;2,INDEX(arrayformula(filter($Q$2:$Q951,$C$2:$C951&lt;&gt;"""",row($C$2:$C951)=max(if($C$2:$C951=C952,row($C$2:$C951),0)))) ,1),0),0))"),"")</f>
        <v/>
      </c>
      <c r="Q952" s="147" t="str">
        <f t="shared" si="22"/>
        <v/>
      </c>
      <c r="R952" s="147" t="str">
        <f t="shared" si="23"/>
        <v/>
      </c>
      <c r="S952" s="147" t="str">
        <f t="shared" si="24"/>
        <v/>
      </c>
      <c r="T952" s="147" t="str">
        <f t="shared" si="7"/>
        <v/>
      </c>
      <c r="U952" s="150" t="str">
        <f t="shared" si="8"/>
        <v/>
      </c>
      <c r="V952" s="151" t="str">
        <f>IFERROR(VLOOKUP(C952,Ativos!$A$1:$G2000,5,),)</f>
        <v/>
      </c>
    </row>
    <row r="953" ht="21.0" customHeight="1">
      <c r="A953" s="152"/>
      <c r="B953" s="160"/>
      <c r="C953" s="153"/>
      <c r="D953" s="154"/>
      <c r="E953" s="139"/>
      <c r="F953" s="139"/>
      <c r="G953" s="139"/>
      <c r="H953" s="135"/>
      <c r="I953" s="141"/>
      <c r="J953" s="147" t="str">
        <f>IFERROR(__xludf.DUMMYFUNCTION("IF(ISBLANK(A953),IFERROR(1/0),IF(COUNT(FILTER(F:F,A:A=A953))&gt;1,TRUNC(N953*F953/SUM(FILTER(N:N,A:A=A953)),3),F953))"),"")</f>
        <v/>
      </c>
      <c r="K953" s="147" t="str">
        <f>IFERROR(__xludf.DUMMYFUNCTION("IF(ISBLANK(A953),IFERROR(1/0),IF(COUNT(FILTER(G:G,((A:A=A953)*(B:B=""V""))))&gt;1,TRUNC(N953*G953/SUM(FILTER(N:N,((A:A=A953)*(B:B=""V"")))),3),G953))"),"")</f>
        <v/>
      </c>
      <c r="L953" s="148" t="str">
        <f>IFERROR(__xludf.DUMMYFUNCTION("if($C953="""","""",iferror(if(row()&lt;&gt;2,INDEX(arrayformula(filter($M$2:$M952,$C$2:$C952&lt;&gt;"""",row($C$2:$C952)=max(if($C$2:$C952=C953,row($C$2:$C952),0)))) ,1),0),0))"),"")</f>
        <v/>
      </c>
      <c r="M953" s="148" t="str">
        <f t="shared" si="1"/>
        <v/>
      </c>
      <c r="N953" s="147" t="str">
        <f t="shared" si="2"/>
        <v/>
      </c>
      <c r="O953" s="147" t="str">
        <f t="shared" si="21"/>
        <v/>
      </c>
      <c r="P953" s="147" t="str">
        <f>IFERROR(__xludf.DUMMYFUNCTION("if(C953="""","""",iferror(if(row()&lt;&gt;2,INDEX(arrayformula(filter($Q$2:$Q952,$C$2:$C952&lt;&gt;"""",row($C$2:$C952)=max(if($C$2:$C952=C953,row($C$2:$C952),0)))) ,1),0),0))"),"")</f>
        <v/>
      </c>
      <c r="Q953" s="147" t="str">
        <f t="shared" si="22"/>
        <v/>
      </c>
      <c r="R953" s="147" t="str">
        <f t="shared" si="23"/>
        <v/>
      </c>
      <c r="S953" s="147" t="str">
        <f t="shared" si="24"/>
        <v/>
      </c>
      <c r="T953" s="147" t="str">
        <f t="shared" si="7"/>
        <v/>
      </c>
      <c r="U953" s="150" t="str">
        <f t="shared" si="8"/>
        <v/>
      </c>
      <c r="V953" s="151" t="str">
        <f>IFERROR(VLOOKUP(C953,Ativos!$A$1:$G2000,5,),)</f>
        <v/>
      </c>
    </row>
    <row r="954" ht="21.0" customHeight="1">
      <c r="A954" s="152"/>
      <c r="B954" s="160"/>
      <c r="C954" s="153"/>
      <c r="D954" s="154"/>
      <c r="E954" s="139"/>
      <c r="F954" s="139"/>
      <c r="G954" s="139"/>
      <c r="H954" s="135"/>
      <c r="I954" s="141"/>
      <c r="J954" s="147" t="str">
        <f>IFERROR(__xludf.DUMMYFUNCTION("IF(ISBLANK(A954),IFERROR(1/0),IF(COUNT(FILTER(F:F,A:A=A954))&gt;1,TRUNC(N954*F954/SUM(FILTER(N:N,A:A=A954)),3),F954))"),"")</f>
        <v/>
      </c>
      <c r="K954" s="147" t="str">
        <f>IFERROR(__xludf.DUMMYFUNCTION("IF(ISBLANK(A954),IFERROR(1/0),IF(COUNT(FILTER(G:G,((A:A=A954)*(B:B=""V""))))&gt;1,TRUNC(N954*G954/SUM(FILTER(N:N,((A:A=A954)*(B:B=""V"")))),3),G954))"),"")</f>
        <v/>
      </c>
      <c r="L954" s="148" t="str">
        <f>IFERROR(__xludf.DUMMYFUNCTION("if($C954="""","""",iferror(if(row()&lt;&gt;2,INDEX(arrayformula(filter($M$2:$M953,$C$2:$C953&lt;&gt;"""",row($C$2:$C953)=max(if($C$2:$C953=C954,row($C$2:$C953),0)))) ,1),0),0))"),"")</f>
        <v/>
      </c>
      <c r="M954" s="148" t="str">
        <f t="shared" si="1"/>
        <v/>
      </c>
      <c r="N954" s="147" t="str">
        <f t="shared" si="2"/>
        <v/>
      </c>
      <c r="O954" s="147" t="str">
        <f t="shared" si="21"/>
        <v/>
      </c>
      <c r="P954" s="147" t="str">
        <f>IFERROR(__xludf.DUMMYFUNCTION("if(C954="""","""",iferror(if(row()&lt;&gt;2,INDEX(arrayformula(filter($Q$2:$Q953,$C$2:$C953&lt;&gt;"""",row($C$2:$C953)=max(if($C$2:$C953=C954,row($C$2:$C953),0)))) ,1),0),0))"),"")</f>
        <v/>
      </c>
      <c r="Q954" s="147" t="str">
        <f t="shared" si="22"/>
        <v/>
      </c>
      <c r="R954" s="147" t="str">
        <f t="shared" si="23"/>
        <v/>
      </c>
      <c r="S954" s="147" t="str">
        <f t="shared" si="24"/>
        <v/>
      </c>
      <c r="T954" s="147" t="str">
        <f t="shared" si="7"/>
        <v/>
      </c>
      <c r="U954" s="150" t="str">
        <f t="shared" si="8"/>
        <v/>
      </c>
      <c r="V954" s="151" t="str">
        <f>IFERROR(VLOOKUP(C954,Ativos!$A$1:$G2000,5,),)</f>
        <v/>
      </c>
    </row>
    <row r="955" ht="21.0" customHeight="1">
      <c r="A955" s="152"/>
      <c r="B955" s="160"/>
      <c r="C955" s="153"/>
      <c r="D955" s="154"/>
      <c r="E955" s="139"/>
      <c r="F955" s="139"/>
      <c r="G955" s="139"/>
      <c r="H955" s="135"/>
      <c r="I955" s="141"/>
      <c r="J955" s="147" t="str">
        <f>IFERROR(__xludf.DUMMYFUNCTION("IF(ISBLANK(A955),IFERROR(1/0),IF(COUNT(FILTER(F:F,A:A=A955))&gt;1,TRUNC(N955*F955/SUM(FILTER(N:N,A:A=A955)),3),F955))"),"")</f>
        <v/>
      </c>
      <c r="K955" s="147" t="str">
        <f>IFERROR(__xludf.DUMMYFUNCTION("IF(ISBLANK(A955),IFERROR(1/0),IF(COUNT(FILTER(G:G,((A:A=A955)*(B:B=""V""))))&gt;1,TRUNC(N955*G955/SUM(FILTER(N:N,((A:A=A955)*(B:B=""V"")))),3),G955))"),"")</f>
        <v/>
      </c>
      <c r="L955" s="148" t="str">
        <f>IFERROR(__xludf.DUMMYFUNCTION("if($C955="""","""",iferror(if(row()&lt;&gt;2,INDEX(arrayformula(filter($M$2:$M954,$C$2:$C954&lt;&gt;"""",row($C$2:$C954)=max(if($C$2:$C954=C955,row($C$2:$C954),0)))) ,1),0),0))"),"")</f>
        <v/>
      </c>
      <c r="M955" s="148" t="str">
        <f t="shared" si="1"/>
        <v/>
      </c>
      <c r="N955" s="147" t="str">
        <f t="shared" si="2"/>
        <v/>
      </c>
      <c r="O955" s="147" t="str">
        <f t="shared" si="21"/>
        <v/>
      </c>
      <c r="P955" s="147" t="str">
        <f>IFERROR(__xludf.DUMMYFUNCTION("if(C955="""","""",iferror(if(row()&lt;&gt;2,INDEX(arrayformula(filter($Q$2:$Q954,$C$2:$C954&lt;&gt;"""",row($C$2:$C954)=max(if($C$2:$C954=C955,row($C$2:$C954),0)))) ,1),0),0))"),"")</f>
        <v/>
      </c>
      <c r="Q955" s="147" t="str">
        <f t="shared" si="22"/>
        <v/>
      </c>
      <c r="R955" s="147" t="str">
        <f t="shared" si="23"/>
        <v/>
      </c>
      <c r="S955" s="147" t="str">
        <f t="shared" si="24"/>
        <v/>
      </c>
      <c r="T955" s="147" t="str">
        <f t="shared" si="7"/>
        <v/>
      </c>
      <c r="U955" s="150" t="str">
        <f t="shared" si="8"/>
        <v/>
      </c>
      <c r="V955" s="151" t="str">
        <f>IFERROR(VLOOKUP(C955,Ativos!$A$1:$G2000,5,),)</f>
        <v/>
      </c>
    </row>
    <row r="956" ht="21.0" customHeight="1">
      <c r="A956" s="152"/>
      <c r="B956" s="160"/>
      <c r="C956" s="153"/>
      <c r="D956" s="154"/>
      <c r="E956" s="139"/>
      <c r="F956" s="139"/>
      <c r="G956" s="139"/>
      <c r="H956" s="135"/>
      <c r="I956" s="141"/>
      <c r="J956" s="147" t="str">
        <f>IFERROR(__xludf.DUMMYFUNCTION("IF(ISBLANK(A956),IFERROR(1/0),IF(COUNT(FILTER(F:F,A:A=A956))&gt;1,TRUNC(N956*F956/SUM(FILTER(N:N,A:A=A956)),3),F956))"),"")</f>
        <v/>
      </c>
      <c r="K956" s="147" t="str">
        <f>IFERROR(__xludf.DUMMYFUNCTION("IF(ISBLANK(A956),IFERROR(1/0),IF(COUNT(FILTER(G:G,((A:A=A956)*(B:B=""V""))))&gt;1,TRUNC(N956*G956/SUM(FILTER(N:N,((A:A=A956)*(B:B=""V"")))),3),G956))"),"")</f>
        <v/>
      </c>
      <c r="L956" s="148" t="str">
        <f>IFERROR(__xludf.DUMMYFUNCTION("if($C956="""","""",iferror(if(row()&lt;&gt;2,INDEX(arrayformula(filter($M$2:$M955,$C$2:$C955&lt;&gt;"""",row($C$2:$C955)=max(if($C$2:$C955=C956,row($C$2:$C955),0)))) ,1),0),0))"),"")</f>
        <v/>
      </c>
      <c r="M956" s="148" t="str">
        <f t="shared" si="1"/>
        <v/>
      </c>
      <c r="N956" s="147" t="str">
        <f t="shared" si="2"/>
        <v/>
      </c>
      <c r="O956" s="147" t="str">
        <f t="shared" si="21"/>
        <v/>
      </c>
      <c r="P956" s="147" t="str">
        <f>IFERROR(__xludf.DUMMYFUNCTION("if(C956="""","""",iferror(if(row()&lt;&gt;2,INDEX(arrayformula(filter($Q$2:$Q955,$C$2:$C955&lt;&gt;"""",row($C$2:$C955)=max(if($C$2:$C955=C956,row($C$2:$C955),0)))) ,1),0),0))"),"")</f>
        <v/>
      </c>
      <c r="Q956" s="147" t="str">
        <f t="shared" si="22"/>
        <v/>
      </c>
      <c r="R956" s="147" t="str">
        <f t="shared" si="23"/>
        <v/>
      </c>
      <c r="S956" s="147" t="str">
        <f t="shared" si="24"/>
        <v/>
      </c>
      <c r="T956" s="147" t="str">
        <f t="shared" si="7"/>
        <v/>
      </c>
      <c r="U956" s="150" t="str">
        <f t="shared" si="8"/>
        <v/>
      </c>
      <c r="V956" s="151" t="str">
        <f>IFERROR(VLOOKUP(C956,Ativos!$A$1:$G2000,5,),)</f>
        <v/>
      </c>
    </row>
    <row r="957" ht="21.0" customHeight="1">
      <c r="A957" s="152"/>
      <c r="B957" s="160"/>
      <c r="C957" s="153"/>
      <c r="D957" s="154"/>
      <c r="E957" s="139"/>
      <c r="F957" s="139"/>
      <c r="G957" s="139"/>
      <c r="H957" s="135"/>
      <c r="I957" s="141"/>
      <c r="J957" s="147" t="str">
        <f>IFERROR(__xludf.DUMMYFUNCTION("IF(ISBLANK(A957),IFERROR(1/0),IF(COUNT(FILTER(F:F,A:A=A957))&gt;1,TRUNC(N957*F957/SUM(FILTER(N:N,A:A=A957)),3),F957))"),"")</f>
        <v/>
      </c>
      <c r="K957" s="147" t="str">
        <f>IFERROR(__xludf.DUMMYFUNCTION("IF(ISBLANK(A957),IFERROR(1/0),IF(COUNT(FILTER(G:G,((A:A=A957)*(B:B=""V""))))&gt;1,TRUNC(N957*G957/SUM(FILTER(N:N,((A:A=A957)*(B:B=""V"")))),3),G957))"),"")</f>
        <v/>
      </c>
      <c r="L957" s="148" t="str">
        <f>IFERROR(__xludf.DUMMYFUNCTION("if($C957="""","""",iferror(if(row()&lt;&gt;2,INDEX(arrayformula(filter($M$2:$M956,$C$2:$C956&lt;&gt;"""",row($C$2:$C956)=max(if($C$2:$C956=C957,row($C$2:$C956),0)))) ,1),0),0))"),"")</f>
        <v/>
      </c>
      <c r="M957" s="148" t="str">
        <f t="shared" si="1"/>
        <v/>
      </c>
      <c r="N957" s="147" t="str">
        <f t="shared" si="2"/>
        <v/>
      </c>
      <c r="O957" s="147" t="str">
        <f t="shared" si="21"/>
        <v/>
      </c>
      <c r="P957" s="147" t="str">
        <f>IFERROR(__xludf.DUMMYFUNCTION("if(C957="""","""",iferror(if(row()&lt;&gt;2,INDEX(arrayformula(filter($Q$2:$Q956,$C$2:$C956&lt;&gt;"""",row($C$2:$C956)=max(if($C$2:$C956=C957,row($C$2:$C956),0)))) ,1),0),0))"),"")</f>
        <v/>
      </c>
      <c r="Q957" s="147" t="str">
        <f t="shared" si="22"/>
        <v/>
      </c>
      <c r="R957" s="147" t="str">
        <f t="shared" si="23"/>
        <v/>
      </c>
      <c r="S957" s="147" t="str">
        <f t="shared" si="24"/>
        <v/>
      </c>
      <c r="T957" s="147" t="str">
        <f t="shared" si="7"/>
        <v/>
      </c>
      <c r="U957" s="150" t="str">
        <f t="shared" si="8"/>
        <v/>
      </c>
      <c r="V957" s="151" t="str">
        <f>IFERROR(VLOOKUP(C957,Ativos!$A$1:$G2000,5,),)</f>
        <v/>
      </c>
    </row>
    <row r="958" ht="21.0" customHeight="1">
      <c r="A958" s="152"/>
      <c r="B958" s="160"/>
      <c r="C958" s="153"/>
      <c r="D958" s="154"/>
      <c r="E958" s="139"/>
      <c r="F958" s="139"/>
      <c r="G958" s="139"/>
      <c r="H958" s="135"/>
      <c r="I958" s="141"/>
      <c r="J958" s="147" t="str">
        <f>IFERROR(__xludf.DUMMYFUNCTION("IF(ISBLANK(A958),IFERROR(1/0),IF(COUNT(FILTER(F:F,A:A=A958))&gt;1,TRUNC(N958*F958/SUM(FILTER(N:N,A:A=A958)),3),F958))"),"")</f>
        <v/>
      </c>
      <c r="K958" s="147" t="str">
        <f>IFERROR(__xludf.DUMMYFUNCTION("IF(ISBLANK(A958),IFERROR(1/0),IF(COUNT(FILTER(G:G,((A:A=A958)*(B:B=""V""))))&gt;1,TRUNC(N958*G958/SUM(FILTER(N:N,((A:A=A958)*(B:B=""V"")))),3),G958))"),"")</f>
        <v/>
      </c>
      <c r="L958" s="148" t="str">
        <f>IFERROR(__xludf.DUMMYFUNCTION("if($C958="""","""",iferror(if(row()&lt;&gt;2,INDEX(arrayformula(filter($M$2:$M957,$C$2:$C957&lt;&gt;"""",row($C$2:$C957)=max(if($C$2:$C957=C958,row($C$2:$C957),0)))) ,1),0),0))"),"")</f>
        <v/>
      </c>
      <c r="M958" s="148" t="str">
        <f t="shared" si="1"/>
        <v/>
      </c>
      <c r="N958" s="147" t="str">
        <f t="shared" si="2"/>
        <v/>
      </c>
      <c r="O958" s="147" t="str">
        <f t="shared" si="21"/>
        <v/>
      </c>
      <c r="P958" s="147" t="str">
        <f>IFERROR(__xludf.DUMMYFUNCTION("if(C958="""","""",iferror(if(row()&lt;&gt;2,INDEX(arrayformula(filter($Q$2:$Q957,$C$2:$C957&lt;&gt;"""",row($C$2:$C957)=max(if($C$2:$C957=C958,row($C$2:$C957),0)))) ,1),0),0))"),"")</f>
        <v/>
      </c>
      <c r="Q958" s="147" t="str">
        <f t="shared" si="22"/>
        <v/>
      </c>
      <c r="R958" s="147" t="str">
        <f t="shared" si="23"/>
        <v/>
      </c>
      <c r="S958" s="147" t="str">
        <f t="shared" si="24"/>
        <v/>
      </c>
      <c r="T958" s="147" t="str">
        <f t="shared" si="7"/>
        <v/>
      </c>
      <c r="U958" s="150" t="str">
        <f t="shared" si="8"/>
        <v/>
      </c>
      <c r="V958" s="151" t="str">
        <f>IFERROR(VLOOKUP(C958,Ativos!$A$1:$G2000,5,),)</f>
        <v/>
      </c>
    </row>
    <row r="959" ht="21.0" customHeight="1">
      <c r="A959" s="152"/>
      <c r="B959" s="160"/>
      <c r="C959" s="153"/>
      <c r="D959" s="154"/>
      <c r="E959" s="139"/>
      <c r="F959" s="139"/>
      <c r="G959" s="139"/>
      <c r="H959" s="135"/>
      <c r="I959" s="141"/>
      <c r="J959" s="147" t="str">
        <f>IFERROR(__xludf.DUMMYFUNCTION("IF(ISBLANK(A959),IFERROR(1/0),IF(COUNT(FILTER(F:F,A:A=A959))&gt;1,TRUNC(N959*F959/SUM(FILTER(N:N,A:A=A959)),3),F959))"),"")</f>
        <v/>
      </c>
      <c r="K959" s="147" t="str">
        <f>IFERROR(__xludf.DUMMYFUNCTION("IF(ISBLANK(A959),IFERROR(1/0),IF(COUNT(FILTER(G:G,((A:A=A959)*(B:B=""V""))))&gt;1,TRUNC(N959*G959/SUM(FILTER(N:N,((A:A=A959)*(B:B=""V"")))),3),G959))"),"")</f>
        <v/>
      </c>
      <c r="L959" s="148" t="str">
        <f>IFERROR(__xludf.DUMMYFUNCTION("if($C959="""","""",iferror(if(row()&lt;&gt;2,INDEX(arrayformula(filter($M$2:$M958,$C$2:$C958&lt;&gt;"""",row($C$2:$C958)=max(if($C$2:$C958=C959,row($C$2:$C958),0)))) ,1),0),0))"),"")</f>
        <v/>
      </c>
      <c r="M959" s="148" t="str">
        <f t="shared" si="1"/>
        <v/>
      </c>
      <c r="N959" s="147" t="str">
        <f t="shared" si="2"/>
        <v/>
      </c>
      <c r="O959" s="147" t="str">
        <f t="shared" si="21"/>
        <v/>
      </c>
      <c r="P959" s="147" t="str">
        <f>IFERROR(__xludf.DUMMYFUNCTION("if(C959="""","""",iferror(if(row()&lt;&gt;2,INDEX(arrayformula(filter($Q$2:$Q958,$C$2:$C958&lt;&gt;"""",row($C$2:$C958)=max(if($C$2:$C958=C959,row($C$2:$C958),0)))) ,1),0),0))"),"")</f>
        <v/>
      </c>
      <c r="Q959" s="147" t="str">
        <f t="shared" si="22"/>
        <v/>
      </c>
      <c r="R959" s="147" t="str">
        <f t="shared" si="23"/>
        <v/>
      </c>
      <c r="S959" s="147" t="str">
        <f t="shared" si="24"/>
        <v/>
      </c>
      <c r="T959" s="147" t="str">
        <f t="shared" si="7"/>
        <v/>
      </c>
      <c r="U959" s="150" t="str">
        <f t="shared" si="8"/>
        <v/>
      </c>
      <c r="V959" s="151" t="str">
        <f>IFERROR(VLOOKUP(C959,Ativos!$A$1:$G2000,5,),)</f>
        <v/>
      </c>
    </row>
    <row r="960" ht="21.0" customHeight="1">
      <c r="A960" s="152"/>
      <c r="B960" s="160"/>
      <c r="C960" s="153"/>
      <c r="D960" s="154"/>
      <c r="E960" s="139"/>
      <c r="F960" s="139"/>
      <c r="G960" s="139"/>
      <c r="H960" s="135"/>
      <c r="I960" s="141"/>
      <c r="J960" s="147" t="str">
        <f>IFERROR(__xludf.DUMMYFUNCTION("IF(ISBLANK(A960),IFERROR(1/0),IF(COUNT(FILTER(F:F,A:A=A960))&gt;1,TRUNC(N960*F960/SUM(FILTER(N:N,A:A=A960)),3),F960))"),"")</f>
        <v/>
      </c>
      <c r="K960" s="147" t="str">
        <f>IFERROR(__xludf.DUMMYFUNCTION("IF(ISBLANK(A960),IFERROR(1/0),IF(COUNT(FILTER(G:G,((A:A=A960)*(B:B=""V""))))&gt;1,TRUNC(N960*G960/SUM(FILTER(N:N,((A:A=A960)*(B:B=""V"")))),3),G960))"),"")</f>
        <v/>
      </c>
      <c r="L960" s="148" t="str">
        <f>IFERROR(__xludf.DUMMYFUNCTION("if($C960="""","""",iferror(if(row()&lt;&gt;2,INDEX(arrayformula(filter($M$2:$M959,$C$2:$C959&lt;&gt;"""",row($C$2:$C959)=max(if($C$2:$C959=C960,row($C$2:$C959),0)))) ,1),0),0))"),"")</f>
        <v/>
      </c>
      <c r="M960" s="148" t="str">
        <f t="shared" si="1"/>
        <v/>
      </c>
      <c r="N960" s="147" t="str">
        <f t="shared" si="2"/>
        <v/>
      </c>
      <c r="O960" s="147" t="str">
        <f t="shared" si="21"/>
        <v/>
      </c>
      <c r="P960" s="147" t="str">
        <f>IFERROR(__xludf.DUMMYFUNCTION("if(C960="""","""",iferror(if(row()&lt;&gt;2,INDEX(arrayformula(filter($Q$2:$Q959,$C$2:$C959&lt;&gt;"""",row($C$2:$C959)=max(if($C$2:$C959=C960,row($C$2:$C959),0)))) ,1),0),0))"),"")</f>
        <v/>
      </c>
      <c r="Q960" s="147" t="str">
        <f t="shared" si="22"/>
        <v/>
      </c>
      <c r="R960" s="147" t="str">
        <f t="shared" si="23"/>
        <v/>
      </c>
      <c r="S960" s="147" t="str">
        <f t="shared" si="24"/>
        <v/>
      </c>
      <c r="T960" s="147" t="str">
        <f t="shared" si="7"/>
        <v/>
      </c>
      <c r="U960" s="150" t="str">
        <f t="shared" si="8"/>
        <v/>
      </c>
      <c r="V960" s="151" t="str">
        <f>IFERROR(VLOOKUP(C960,Ativos!$A$1:$G2000,5,),)</f>
        <v/>
      </c>
    </row>
    <row r="961" ht="21.0" customHeight="1">
      <c r="A961" s="152"/>
      <c r="B961" s="160"/>
      <c r="C961" s="153"/>
      <c r="D961" s="154"/>
      <c r="E961" s="139"/>
      <c r="F961" s="139"/>
      <c r="G961" s="139"/>
      <c r="H961" s="135"/>
      <c r="I961" s="141"/>
      <c r="J961" s="147" t="str">
        <f>IFERROR(__xludf.DUMMYFUNCTION("IF(ISBLANK(A961),IFERROR(1/0),IF(COUNT(FILTER(F:F,A:A=A961))&gt;1,TRUNC(N961*F961/SUM(FILTER(N:N,A:A=A961)),3),F961))"),"")</f>
        <v/>
      </c>
      <c r="K961" s="147" t="str">
        <f>IFERROR(__xludf.DUMMYFUNCTION("IF(ISBLANK(A961),IFERROR(1/0),IF(COUNT(FILTER(G:G,((A:A=A961)*(B:B=""V""))))&gt;1,TRUNC(N961*G961/SUM(FILTER(N:N,((A:A=A961)*(B:B=""V"")))),3),G961))"),"")</f>
        <v/>
      </c>
      <c r="L961" s="148" t="str">
        <f>IFERROR(__xludf.DUMMYFUNCTION("if($C961="""","""",iferror(if(row()&lt;&gt;2,INDEX(arrayformula(filter($M$2:$M960,$C$2:$C960&lt;&gt;"""",row($C$2:$C960)=max(if($C$2:$C960=C961,row($C$2:$C960),0)))) ,1),0),0))"),"")</f>
        <v/>
      </c>
      <c r="M961" s="148" t="str">
        <f t="shared" si="1"/>
        <v/>
      </c>
      <c r="N961" s="147" t="str">
        <f t="shared" si="2"/>
        <v/>
      </c>
      <c r="O961" s="147" t="str">
        <f t="shared" si="21"/>
        <v/>
      </c>
      <c r="P961" s="147" t="str">
        <f>IFERROR(__xludf.DUMMYFUNCTION("if(C961="""","""",iferror(if(row()&lt;&gt;2,INDEX(arrayformula(filter($Q$2:$Q960,$C$2:$C960&lt;&gt;"""",row($C$2:$C960)=max(if($C$2:$C960=C961,row($C$2:$C960),0)))) ,1),0),0))"),"")</f>
        <v/>
      </c>
      <c r="Q961" s="147" t="str">
        <f t="shared" si="22"/>
        <v/>
      </c>
      <c r="R961" s="147" t="str">
        <f t="shared" si="23"/>
        <v/>
      </c>
      <c r="S961" s="147" t="str">
        <f t="shared" si="24"/>
        <v/>
      </c>
      <c r="T961" s="147" t="str">
        <f t="shared" si="7"/>
        <v/>
      </c>
      <c r="U961" s="150" t="str">
        <f t="shared" si="8"/>
        <v/>
      </c>
      <c r="V961" s="151" t="str">
        <f>IFERROR(VLOOKUP(C961,Ativos!$A$1:$G2000,5,),)</f>
        <v/>
      </c>
    </row>
    <row r="962" ht="21.0" customHeight="1">
      <c r="A962" s="152"/>
      <c r="B962" s="160"/>
      <c r="C962" s="153"/>
      <c r="D962" s="154"/>
      <c r="E962" s="139"/>
      <c r="F962" s="139"/>
      <c r="G962" s="139"/>
      <c r="H962" s="135"/>
      <c r="I962" s="141"/>
      <c r="J962" s="147" t="str">
        <f>IFERROR(__xludf.DUMMYFUNCTION("IF(ISBLANK(A962),IFERROR(1/0),IF(COUNT(FILTER(F:F,A:A=A962))&gt;1,TRUNC(N962*F962/SUM(FILTER(N:N,A:A=A962)),3),F962))"),"")</f>
        <v/>
      </c>
      <c r="K962" s="147" t="str">
        <f>IFERROR(__xludf.DUMMYFUNCTION("IF(ISBLANK(A962),IFERROR(1/0),IF(COUNT(FILTER(G:G,((A:A=A962)*(B:B=""V""))))&gt;1,TRUNC(N962*G962/SUM(FILTER(N:N,((A:A=A962)*(B:B=""V"")))),3),G962))"),"")</f>
        <v/>
      </c>
      <c r="L962" s="148" t="str">
        <f>IFERROR(__xludf.DUMMYFUNCTION("if($C962="""","""",iferror(if(row()&lt;&gt;2,INDEX(arrayformula(filter($M$2:$M961,$C$2:$C961&lt;&gt;"""",row($C$2:$C961)=max(if($C$2:$C961=C962,row($C$2:$C961),0)))) ,1),0),0))"),"")</f>
        <v/>
      </c>
      <c r="M962" s="148" t="str">
        <f t="shared" si="1"/>
        <v/>
      </c>
      <c r="N962" s="147" t="str">
        <f t="shared" si="2"/>
        <v/>
      </c>
      <c r="O962" s="147" t="str">
        <f t="shared" si="21"/>
        <v/>
      </c>
      <c r="P962" s="147" t="str">
        <f>IFERROR(__xludf.DUMMYFUNCTION("if(C962="""","""",iferror(if(row()&lt;&gt;2,INDEX(arrayformula(filter($Q$2:$Q961,$C$2:$C961&lt;&gt;"""",row($C$2:$C961)=max(if($C$2:$C961=C962,row($C$2:$C961),0)))) ,1),0),0))"),"")</f>
        <v/>
      </c>
      <c r="Q962" s="147" t="str">
        <f t="shared" si="22"/>
        <v/>
      </c>
      <c r="R962" s="147" t="str">
        <f t="shared" si="23"/>
        <v/>
      </c>
      <c r="S962" s="147" t="str">
        <f t="shared" si="24"/>
        <v/>
      </c>
      <c r="T962" s="147" t="str">
        <f t="shared" si="7"/>
        <v/>
      </c>
      <c r="U962" s="150" t="str">
        <f t="shared" si="8"/>
        <v/>
      </c>
      <c r="V962" s="151" t="str">
        <f>IFERROR(VLOOKUP(C962,Ativos!$A$1:$G2000,5,),)</f>
        <v/>
      </c>
    </row>
    <row r="963" ht="21.0" customHeight="1">
      <c r="A963" s="152"/>
      <c r="B963" s="160"/>
      <c r="C963" s="153"/>
      <c r="D963" s="154"/>
      <c r="E963" s="139"/>
      <c r="F963" s="139"/>
      <c r="G963" s="139"/>
      <c r="H963" s="135"/>
      <c r="I963" s="141"/>
      <c r="J963" s="147" t="str">
        <f>IFERROR(__xludf.DUMMYFUNCTION("IF(ISBLANK(A963),IFERROR(1/0),IF(COUNT(FILTER(F:F,A:A=A963))&gt;1,TRUNC(N963*F963/SUM(FILTER(N:N,A:A=A963)),3),F963))"),"")</f>
        <v/>
      </c>
      <c r="K963" s="147" t="str">
        <f>IFERROR(__xludf.DUMMYFUNCTION("IF(ISBLANK(A963),IFERROR(1/0),IF(COUNT(FILTER(G:G,((A:A=A963)*(B:B=""V""))))&gt;1,TRUNC(N963*G963/SUM(FILTER(N:N,((A:A=A963)*(B:B=""V"")))),3),G963))"),"")</f>
        <v/>
      </c>
      <c r="L963" s="148" t="str">
        <f>IFERROR(__xludf.DUMMYFUNCTION("if($C963="""","""",iferror(if(row()&lt;&gt;2,INDEX(arrayformula(filter($M$2:$M962,$C$2:$C962&lt;&gt;"""",row($C$2:$C962)=max(if($C$2:$C962=C963,row($C$2:$C962),0)))) ,1),0),0))"),"")</f>
        <v/>
      </c>
      <c r="M963" s="148" t="str">
        <f t="shared" si="1"/>
        <v/>
      </c>
      <c r="N963" s="147" t="str">
        <f t="shared" si="2"/>
        <v/>
      </c>
      <c r="O963" s="147" t="str">
        <f t="shared" si="21"/>
        <v/>
      </c>
      <c r="P963" s="147" t="str">
        <f>IFERROR(__xludf.DUMMYFUNCTION("if(C963="""","""",iferror(if(row()&lt;&gt;2,INDEX(arrayformula(filter($Q$2:$Q962,$C$2:$C962&lt;&gt;"""",row($C$2:$C962)=max(if($C$2:$C962=C963,row($C$2:$C962),0)))) ,1),0),0))"),"")</f>
        <v/>
      </c>
      <c r="Q963" s="147" t="str">
        <f t="shared" si="22"/>
        <v/>
      </c>
      <c r="R963" s="147" t="str">
        <f t="shared" si="23"/>
        <v/>
      </c>
      <c r="S963" s="147" t="str">
        <f t="shared" si="24"/>
        <v/>
      </c>
      <c r="T963" s="147" t="str">
        <f t="shared" si="7"/>
        <v/>
      </c>
      <c r="U963" s="150" t="str">
        <f t="shared" si="8"/>
        <v/>
      </c>
      <c r="V963" s="151" t="str">
        <f>IFERROR(VLOOKUP(C963,Ativos!$A$1:$G2000,5,),)</f>
        <v/>
      </c>
    </row>
    <row r="964" ht="21.0" customHeight="1">
      <c r="A964" s="152"/>
      <c r="B964" s="160"/>
      <c r="C964" s="153"/>
      <c r="D964" s="154"/>
      <c r="E964" s="139"/>
      <c r="F964" s="139"/>
      <c r="G964" s="139"/>
      <c r="H964" s="135"/>
      <c r="I964" s="141"/>
      <c r="J964" s="147" t="str">
        <f>IFERROR(__xludf.DUMMYFUNCTION("IF(ISBLANK(A964),IFERROR(1/0),IF(COUNT(FILTER(F:F,A:A=A964))&gt;1,TRUNC(N964*F964/SUM(FILTER(N:N,A:A=A964)),3),F964))"),"")</f>
        <v/>
      </c>
      <c r="K964" s="147" t="str">
        <f>IFERROR(__xludf.DUMMYFUNCTION("IF(ISBLANK(A964),IFERROR(1/0),IF(COUNT(FILTER(G:G,((A:A=A964)*(B:B=""V""))))&gt;1,TRUNC(N964*G964/SUM(FILTER(N:N,((A:A=A964)*(B:B=""V"")))),3),G964))"),"")</f>
        <v/>
      </c>
      <c r="L964" s="148" t="str">
        <f>IFERROR(__xludf.DUMMYFUNCTION("if($C964="""","""",iferror(if(row()&lt;&gt;2,INDEX(arrayformula(filter($M$2:$M963,$C$2:$C963&lt;&gt;"""",row($C$2:$C963)=max(if($C$2:$C963=C964,row($C$2:$C963),0)))) ,1),0),0))"),"")</f>
        <v/>
      </c>
      <c r="M964" s="148" t="str">
        <f t="shared" si="1"/>
        <v/>
      </c>
      <c r="N964" s="147" t="str">
        <f t="shared" si="2"/>
        <v/>
      </c>
      <c r="O964" s="147" t="str">
        <f t="shared" si="21"/>
        <v/>
      </c>
      <c r="P964" s="147" t="str">
        <f>IFERROR(__xludf.DUMMYFUNCTION("if(C964="""","""",iferror(if(row()&lt;&gt;2,INDEX(arrayformula(filter($Q$2:$Q963,$C$2:$C963&lt;&gt;"""",row($C$2:$C963)=max(if($C$2:$C963=C964,row($C$2:$C963),0)))) ,1),0),0))"),"")</f>
        <v/>
      </c>
      <c r="Q964" s="147" t="str">
        <f t="shared" si="22"/>
        <v/>
      </c>
      <c r="R964" s="147" t="str">
        <f t="shared" si="23"/>
        <v/>
      </c>
      <c r="S964" s="147" t="str">
        <f t="shared" si="24"/>
        <v/>
      </c>
      <c r="T964" s="147" t="str">
        <f t="shared" si="7"/>
        <v/>
      </c>
      <c r="U964" s="150" t="str">
        <f t="shared" si="8"/>
        <v/>
      </c>
      <c r="V964" s="151" t="str">
        <f>IFERROR(VLOOKUP(C964,Ativos!$A$1:$G2000,5,),)</f>
        <v/>
      </c>
    </row>
    <row r="965" ht="21.0" customHeight="1">
      <c r="A965" s="152"/>
      <c r="B965" s="160"/>
      <c r="C965" s="153"/>
      <c r="D965" s="154"/>
      <c r="E965" s="139"/>
      <c r="F965" s="139"/>
      <c r="G965" s="139"/>
      <c r="H965" s="135"/>
      <c r="I965" s="141"/>
      <c r="J965" s="147" t="str">
        <f>IFERROR(__xludf.DUMMYFUNCTION("IF(ISBLANK(A965),IFERROR(1/0),IF(COUNT(FILTER(F:F,A:A=A965))&gt;1,TRUNC(N965*F965/SUM(FILTER(N:N,A:A=A965)),3),F965))"),"")</f>
        <v/>
      </c>
      <c r="K965" s="147" t="str">
        <f>IFERROR(__xludf.DUMMYFUNCTION("IF(ISBLANK(A965),IFERROR(1/0),IF(COUNT(FILTER(G:G,((A:A=A965)*(B:B=""V""))))&gt;1,TRUNC(N965*G965/SUM(FILTER(N:N,((A:A=A965)*(B:B=""V"")))),3),G965))"),"")</f>
        <v/>
      </c>
      <c r="L965" s="148" t="str">
        <f>IFERROR(__xludf.DUMMYFUNCTION("if($C965="""","""",iferror(if(row()&lt;&gt;2,INDEX(arrayformula(filter($M$2:$M964,$C$2:$C964&lt;&gt;"""",row($C$2:$C964)=max(if($C$2:$C964=C965,row($C$2:$C964),0)))) ,1),0),0))"),"")</f>
        <v/>
      </c>
      <c r="M965" s="148" t="str">
        <f t="shared" si="1"/>
        <v/>
      </c>
      <c r="N965" s="147" t="str">
        <f t="shared" si="2"/>
        <v/>
      </c>
      <c r="O965" s="147" t="str">
        <f t="shared" si="21"/>
        <v/>
      </c>
      <c r="P965" s="147" t="str">
        <f>IFERROR(__xludf.DUMMYFUNCTION("if(C965="""","""",iferror(if(row()&lt;&gt;2,INDEX(arrayformula(filter($Q$2:$Q964,$C$2:$C964&lt;&gt;"""",row($C$2:$C964)=max(if($C$2:$C964=C965,row($C$2:$C964),0)))) ,1),0),0))"),"")</f>
        <v/>
      </c>
      <c r="Q965" s="147" t="str">
        <f t="shared" si="22"/>
        <v/>
      </c>
      <c r="R965" s="147" t="str">
        <f t="shared" si="23"/>
        <v/>
      </c>
      <c r="S965" s="147" t="str">
        <f t="shared" si="24"/>
        <v/>
      </c>
      <c r="T965" s="147" t="str">
        <f t="shared" si="7"/>
        <v/>
      </c>
      <c r="U965" s="150" t="str">
        <f t="shared" si="8"/>
        <v/>
      </c>
      <c r="V965" s="151" t="str">
        <f>IFERROR(VLOOKUP(C965,Ativos!$A$1:$G2000,5,),)</f>
        <v/>
      </c>
    </row>
    <row r="966" ht="21.0" customHeight="1">
      <c r="A966" s="152"/>
      <c r="B966" s="160"/>
      <c r="C966" s="153"/>
      <c r="D966" s="154"/>
      <c r="E966" s="139"/>
      <c r="F966" s="139"/>
      <c r="G966" s="139"/>
      <c r="H966" s="135"/>
      <c r="I966" s="141"/>
      <c r="J966" s="147" t="str">
        <f>IFERROR(__xludf.DUMMYFUNCTION("IF(ISBLANK(A966),IFERROR(1/0),IF(COUNT(FILTER(F:F,A:A=A966))&gt;1,TRUNC(N966*F966/SUM(FILTER(N:N,A:A=A966)),3),F966))"),"")</f>
        <v/>
      </c>
      <c r="K966" s="147" t="str">
        <f>IFERROR(__xludf.DUMMYFUNCTION("IF(ISBLANK(A966),IFERROR(1/0),IF(COUNT(FILTER(G:G,((A:A=A966)*(B:B=""V""))))&gt;1,TRUNC(N966*G966/SUM(FILTER(N:N,((A:A=A966)*(B:B=""V"")))),3),G966))"),"")</f>
        <v/>
      </c>
      <c r="L966" s="148" t="str">
        <f>IFERROR(__xludf.DUMMYFUNCTION("if($C966="""","""",iferror(if(row()&lt;&gt;2,INDEX(arrayformula(filter($M$2:$M965,$C$2:$C965&lt;&gt;"""",row($C$2:$C965)=max(if($C$2:$C965=C966,row($C$2:$C965),0)))) ,1),0),0))"),"")</f>
        <v/>
      </c>
      <c r="M966" s="148" t="str">
        <f t="shared" si="1"/>
        <v/>
      </c>
      <c r="N966" s="147" t="str">
        <f t="shared" si="2"/>
        <v/>
      </c>
      <c r="O966" s="147" t="str">
        <f t="shared" si="21"/>
        <v/>
      </c>
      <c r="P966" s="147" t="str">
        <f>IFERROR(__xludf.DUMMYFUNCTION("if(C966="""","""",iferror(if(row()&lt;&gt;2,INDEX(arrayformula(filter($Q$2:$Q965,$C$2:$C965&lt;&gt;"""",row($C$2:$C965)=max(if($C$2:$C965=C966,row($C$2:$C965),0)))) ,1),0),0))"),"")</f>
        <v/>
      </c>
      <c r="Q966" s="147" t="str">
        <f t="shared" si="22"/>
        <v/>
      </c>
      <c r="R966" s="147" t="str">
        <f t="shared" si="23"/>
        <v/>
      </c>
      <c r="S966" s="147" t="str">
        <f t="shared" si="24"/>
        <v/>
      </c>
      <c r="T966" s="147" t="str">
        <f t="shared" si="7"/>
        <v/>
      </c>
      <c r="U966" s="150" t="str">
        <f t="shared" si="8"/>
        <v/>
      </c>
      <c r="V966" s="151" t="str">
        <f>IFERROR(VLOOKUP(C966,Ativos!$A$1:$G2000,5,),)</f>
        <v/>
      </c>
    </row>
    <row r="967" ht="21.0" customHeight="1">
      <c r="A967" s="152"/>
      <c r="B967" s="160"/>
      <c r="C967" s="153"/>
      <c r="D967" s="154"/>
      <c r="E967" s="139"/>
      <c r="F967" s="139"/>
      <c r="G967" s="139"/>
      <c r="H967" s="135"/>
      <c r="I967" s="141"/>
      <c r="J967" s="147" t="str">
        <f>IFERROR(__xludf.DUMMYFUNCTION("IF(ISBLANK(A967),IFERROR(1/0),IF(COUNT(FILTER(F:F,A:A=A967))&gt;1,TRUNC(N967*F967/SUM(FILTER(N:N,A:A=A967)),3),F967))"),"")</f>
        <v/>
      </c>
      <c r="K967" s="147" t="str">
        <f>IFERROR(__xludf.DUMMYFUNCTION("IF(ISBLANK(A967),IFERROR(1/0),IF(COUNT(FILTER(G:G,((A:A=A967)*(B:B=""V""))))&gt;1,TRUNC(N967*G967/SUM(FILTER(N:N,((A:A=A967)*(B:B=""V"")))),3),G967))"),"")</f>
        <v/>
      </c>
      <c r="L967" s="148" t="str">
        <f>IFERROR(__xludf.DUMMYFUNCTION("if($C967="""","""",iferror(if(row()&lt;&gt;2,INDEX(arrayformula(filter($M$2:$M966,$C$2:$C966&lt;&gt;"""",row($C$2:$C966)=max(if($C$2:$C966=C967,row($C$2:$C966),0)))) ,1),0),0))"),"")</f>
        <v/>
      </c>
      <c r="M967" s="148" t="str">
        <f t="shared" si="1"/>
        <v/>
      </c>
      <c r="N967" s="147" t="str">
        <f t="shared" si="2"/>
        <v/>
      </c>
      <c r="O967" s="147" t="str">
        <f t="shared" si="21"/>
        <v/>
      </c>
      <c r="P967" s="147" t="str">
        <f>IFERROR(__xludf.DUMMYFUNCTION("if(C967="""","""",iferror(if(row()&lt;&gt;2,INDEX(arrayformula(filter($Q$2:$Q966,$C$2:$C966&lt;&gt;"""",row($C$2:$C966)=max(if($C$2:$C966=C967,row($C$2:$C966),0)))) ,1),0),0))"),"")</f>
        <v/>
      </c>
      <c r="Q967" s="147" t="str">
        <f t="shared" si="22"/>
        <v/>
      </c>
      <c r="R967" s="147" t="str">
        <f t="shared" si="23"/>
        <v/>
      </c>
      <c r="S967" s="147" t="str">
        <f t="shared" si="24"/>
        <v/>
      </c>
      <c r="T967" s="147" t="str">
        <f t="shared" si="7"/>
        <v/>
      </c>
      <c r="U967" s="150" t="str">
        <f t="shared" si="8"/>
        <v/>
      </c>
      <c r="V967" s="151" t="str">
        <f>IFERROR(VLOOKUP(C967,Ativos!$A$1:$G2000,5,),)</f>
        <v/>
      </c>
    </row>
    <row r="968" ht="21.0" customHeight="1">
      <c r="A968" s="152"/>
      <c r="B968" s="160"/>
      <c r="C968" s="153"/>
      <c r="D968" s="154"/>
      <c r="E968" s="139"/>
      <c r="F968" s="139"/>
      <c r="G968" s="139"/>
      <c r="H968" s="135"/>
      <c r="I968" s="141"/>
      <c r="J968" s="147" t="str">
        <f>IFERROR(__xludf.DUMMYFUNCTION("IF(ISBLANK(A968),IFERROR(1/0),IF(COUNT(FILTER(F:F,A:A=A968))&gt;1,TRUNC(N968*F968/SUM(FILTER(N:N,A:A=A968)),3),F968))"),"")</f>
        <v/>
      </c>
      <c r="K968" s="147" t="str">
        <f>IFERROR(__xludf.DUMMYFUNCTION("IF(ISBLANK(A968),IFERROR(1/0),IF(COUNT(FILTER(G:G,((A:A=A968)*(B:B=""V""))))&gt;1,TRUNC(N968*G968/SUM(FILTER(N:N,((A:A=A968)*(B:B=""V"")))),3),G968))"),"")</f>
        <v/>
      </c>
      <c r="L968" s="148" t="str">
        <f>IFERROR(__xludf.DUMMYFUNCTION("if($C968="""","""",iferror(if(row()&lt;&gt;2,INDEX(arrayformula(filter($M$2:$M967,$C$2:$C967&lt;&gt;"""",row($C$2:$C967)=max(if($C$2:$C967=C968,row($C$2:$C967),0)))) ,1),0),0))"),"")</f>
        <v/>
      </c>
      <c r="M968" s="148" t="str">
        <f t="shared" si="1"/>
        <v/>
      </c>
      <c r="N968" s="147" t="str">
        <f t="shared" si="2"/>
        <v/>
      </c>
      <c r="O968" s="147" t="str">
        <f t="shared" si="21"/>
        <v/>
      </c>
      <c r="P968" s="147" t="str">
        <f>IFERROR(__xludf.DUMMYFUNCTION("if(C968="""","""",iferror(if(row()&lt;&gt;2,INDEX(arrayformula(filter($Q$2:$Q967,$C$2:$C967&lt;&gt;"""",row($C$2:$C967)=max(if($C$2:$C967=C968,row($C$2:$C967),0)))) ,1),0),0))"),"")</f>
        <v/>
      </c>
      <c r="Q968" s="147" t="str">
        <f t="shared" si="22"/>
        <v/>
      </c>
      <c r="R968" s="147" t="str">
        <f t="shared" si="23"/>
        <v/>
      </c>
      <c r="S968" s="147" t="str">
        <f t="shared" si="24"/>
        <v/>
      </c>
      <c r="T968" s="147" t="str">
        <f t="shared" si="7"/>
        <v/>
      </c>
      <c r="U968" s="150" t="str">
        <f t="shared" si="8"/>
        <v/>
      </c>
      <c r="V968" s="151" t="str">
        <f>IFERROR(VLOOKUP(C968,Ativos!$A$1:$G2000,5,),)</f>
        <v/>
      </c>
    </row>
    <row r="969" ht="21.0" customHeight="1">
      <c r="A969" s="152"/>
      <c r="B969" s="160"/>
      <c r="C969" s="153"/>
      <c r="D969" s="154"/>
      <c r="E969" s="139"/>
      <c r="F969" s="139"/>
      <c r="G969" s="139"/>
      <c r="H969" s="135"/>
      <c r="I969" s="141"/>
      <c r="J969" s="147" t="str">
        <f>IFERROR(__xludf.DUMMYFUNCTION("IF(ISBLANK(A969),IFERROR(1/0),IF(COUNT(FILTER(F:F,A:A=A969))&gt;1,TRUNC(N969*F969/SUM(FILTER(N:N,A:A=A969)),3),F969))"),"")</f>
        <v/>
      </c>
      <c r="K969" s="147" t="str">
        <f>IFERROR(__xludf.DUMMYFUNCTION("IF(ISBLANK(A969),IFERROR(1/0),IF(COUNT(FILTER(G:G,((A:A=A969)*(B:B=""V""))))&gt;1,TRUNC(N969*G969/SUM(FILTER(N:N,((A:A=A969)*(B:B=""V"")))),3),G969))"),"")</f>
        <v/>
      </c>
      <c r="L969" s="148" t="str">
        <f>IFERROR(__xludf.DUMMYFUNCTION("if($C969="""","""",iferror(if(row()&lt;&gt;2,INDEX(arrayformula(filter($M$2:$M968,$C$2:$C968&lt;&gt;"""",row($C$2:$C968)=max(if($C$2:$C968=C969,row($C$2:$C968),0)))) ,1),0),0))"),"")</f>
        <v/>
      </c>
      <c r="M969" s="148" t="str">
        <f t="shared" si="1"/>
        <v/>
      </c>
      <c r="N969" s="147" t="str">
        <f t="shared" si="2"/>
        <v/>
      </c>
      <c r="O969" s="147" t="str">
        <f t="shared" si="21"/>
        <v/>
      </c>
      <c r="P969" s="147" t="str">
        <f>IFERROR(__xludf.DUMMYFUNCTION("if(C969="""","""",iferror(if(row()&lt;&gt;2,INDEX(arrayformula(filter($Q$2:$Q968,$C$2:$C968&lt;&gt;"""",row($C$2:$C968)=max(if($C$2:$C968=C969,row($C$2:$C968),0)))) ,1),0),0))"),"")</f>
        <v/>
      </c>
      <c r="Q969" s="147" t="str">
        <f t="shared" si="22"/>
        <v/>
      </c>
      <c r="R969" s="147" t="str">
        <f t="shared" si="23"/>
        <v/>
      </c>
      <c r="S969" s="147" t="str">
        <f t="shared" si="24"/>
        <v/>
      </c>
      <c r="T969" s="147" t="str">
        <f t="shared" si="7"/>
        <v/>
      </c>
      <c r="U969" s="150" t="str">
        <f t="shared" si="8"/>
        <v/>
      </c>
      <c r="V969" s="151" t="str">
        <f>IFERROR(VLOOKUP(C969,Ativos!$A$1:$G2000,5,),)</f>
        <v/>
      </c>
    </row>
    <row r="970" ht="21.0" customHeight="1">
      <c r="A970" s="152"/>
      <c r="B970" s="160"/>
      <c r="C970" s="153"/>
      <c r="D970" s="154"/>
      <c r="E970" s="139"/>
      <c r="F970" s="139"/>
      <c r="G970" s="139"/>
      <c r="H970" s="135"/>
      <c r="I970" s="141"/>
      <c r="J970" s="147" t="str">
        <f>IFERROR(__xludf.DUMMYFUNCTION("IF(ISBLANK(A970),IFERROR(1/0),IF(COUNT(FILTER(F:F,A:A=A970))&gt;1,TRUNC(N970*F970/SUM(FILTER(N:N,A:A=A970)),3),F970))"),"")</f>
        <v/>
      </c>
      <c r="K970" s="147" t="str">
        <f>IFERROR(__xludf.DUMMYFUNCTION("IF(ISBLANK(A970),IFERROR(1/0),IF(COUNT(FILTER(G:G,((A:A=A970)*(B:B=""V""))))&gt;1,TRUNC(N970*G970/SUM(FILTER(N:N,((A:A=A970)*(B:B=""V"")))),3),G970))"),"")</f>
        <v/>
      </c>
      <c r="L970" s="148" t="str">
        <f>IFERROR(__xludf.DUMMYFUNCTION("if($C970="""","""",iferror(if(row()&lt;&gt;2,INDEX(arrayformula(filter($M$2:$M969,$C$2:$C969&lt;&gt;"""",row($C$2:$C969)=max(if($C$2:$C969=C970,row($C$2:$C969),0)))) ,1),0),0))"),"")</f>
        <v/>
      </c>
      <c r="M970" s="148" t="str">
        <f t="shared" si="1"/>
        <v/>
      </c>
      <c r="N970" s="147" t="str">
        <f t="shared" si="2"/>
        <v/>
      </c>
      <c r="O970" s="147" t="str">
        <f t="shared" si="21"/>
        <v/>
      </c>
      <c r="P970" s="147" t="str">
        <f>IFERROR(__xludf.DUMMYFUNCTION("if(C970="""","""",iferror(if(row()&lt;&gt;2,INDEX(arrayformula(filter($Q$2:$Q969,$C$2:$C969&lt;&gt;"""",row($C$2:$C969)=max(if($C$2:$C969=C970,row($C$2:$C969),0)))) ,1),0),0))"),"")</f>
        <v/>
      </c>
      <c r="Q970" s="147" t="str">
        <f t="shared" si="22"/>
        <v/>
      </c>
      <c r="R970" s="147" t="str">
        <f t="shared" si="23"/>
        <v/>
      </c>
      <c r="S970" s="147" t="str">
        <f t="shared" si="24"/>
        <v/>
      </c>
      <c r="T970" s="147" t="str">
        <f t="shared" si="7"/>
        <v/>
      </c>
      <c r="U970" s="150" t="str">
        <f t="shared" si="8"/>
        <v/>
      </c>
      <c r="V970" s="151" t="str">
        <f>IFERROR(VLOOKUP(C970,Ativos!$A$1:$G2000,5,),)</f>
        <v/>
      </c>
    </row>
    <row r="971" ht="21.0" customHeight="1">
      <c r="A971" s="152"/>
      <c r="B971" s="160"/>
      <c r="C971" s="153"/>
      <c r="D971" s="154"/>
      <c r="E971" s="139"/>
      <c r="F971" s="139"/>
      <c r="G971" s="139"/>
      <c r="H971" s="135"/>
      <c r="I971" s="141"/>
      <c r="J971" s="147" t="str">
        <f>IFERROR(__xludf.DUMMYFUNCTION("IF(ISBLANK(A971),IFERROR(1/0),IF(COUNT(FILTER(F:F,A:A=A971))&gt;1,TRUNC(N971*F971/SUM(FILTER(N:N,A:A=A971)),3),F971))"),"")</f>
        <v/>
      </c>
      <c r="K971" s="147" t="str">
        <f>IFERROR(__xludf.DUMMYFUNCTION("IF(ISBLANK(A971),IFERROR(1/0),IF(COUNT(FILTER(G:G,((A:A=A971)*(B:B=""V""))))&gt;1,TRUNC(N971*G971/SUM(FILTER(N:N,((A:A=A971)*(B:B=""V"")))),3),G971))"),"")</f>
        <v/>
      </c>
      <c r="L971" s="148" t="str">
        <f>IFERROR(__xludf.DUMMYFUNCTION("if($C971="""","""",iferror(if(row()&lt;&gt;2,INDEX(arrayformula(filter($M$2:$M970,$C$2:$C970&lt;&gt;"""",row($C$2:$C970)=max(if($C$2:$C970=C971,row($C$2:$C970),0)))) ,1),0),0))"),"")</f>
        <v/>
      </c>
      <c r="M971" s="148" t="str">
        <f t="shared" si="1"/>
        <v/>
      </c>
      <c r="N971" s="147" t="str">
        <f t="shared" si="2"/>
        <v/>
      </c>
      <c r="O971" s="147" t="str">
        <f t="shared" si="21"/>
        <v/>
      </c>
      <c r="P971" s="147" t="str">
        <f>IFERROR(__xludf.DUMMYFUNCTION("if(C971="""","""",iferror(if(row()&lt;&gt;2,INDEX(arrayformula(filter($Q$2:$Q970,$C$2:$C970&lt;&gt;"""",row($C$2:$C970)=max(if($C$2:$C970=C971,row($C$2:$C970),0)))) ,1),0),0))"),"")</f>
        <v/>
      </c>
      <c r="Q971" s="147" t="str">
        <f t="shared" si="22"/>
        <v/>
      </c>
      <c r="R971" s="147" t="str">
        <f t="shared" si="23"/>
        <v/>
      </c>
      <c r="S971" s="147" t="str">
        <f t="shared" si="24"/>
        <v/>
      </c>
      <c r="T971" s="147" t="str">
        <f t="shared" si="7"/>
        <v/>
      </c>
      <c r="U971" s="150" t="str">
        <f t="shared" si="8"/>
        <v/>
      </c>
      <c r="V971" s="151" t="str">
        <f>IFERROR(VLOOKUP(C971,Ativos!$A$1:$G2000,5,),)</f>
        <v/>
      </c>
    </row>
    <row r="972" ht="21.0" customHeight="1">
      <c r="A972" s="152"/>
      <c r="B972" s="160"/>
      <c r="C972" s="153"/>
      <c r="D972" s="154"/>
      <c r="E972" s="139"/>
      <c r="F972" s="139"/>
      <c r="G972" s="139"/>
      <c r="H972" s="135"/>
      <c r="I972" s="141"/>
      <c r="J972" s="147" t="str">
        <f>IFERROR(__xludf.DUMMYFUNCTION("IF(ISBLANK(A972),IFERROR(1/0),IF(COUNT(FILTER(F:F,A:A=A972))&gt;1,TRUNC(N972*F972/SUM(FILTER(N:N,A:A=A972)),3),F972))"),"")</f>
        <v/>
      </c>
      <c r="K972" s="147" t="str">
        <f>IFERROR(__xludf.DUMMYFUNCTION("IF(ISBLANK(A972),IFERROR(1/0),IF(COUNT(FILTER(G:G,((A:A=A972)*(B:B=""V""))))&gt;1,TRUNC(N972*G972/SUM(FILTER(N:N,((A:A=A972)*(B:B=""V"")))),3),G972))"),"")</f>
        <v/>
      </c>
      <c r="L972" s="148" t="str">
        <f>IFERROR(__xludf.DUMMYFUNCTION("if($C972="""","""",iferror(if(row()&lt;&gt;2,INDEX(arrayformula(filter($M$2:$M971,$C$2:$C971&lt;&gt;"""",row($C$2:$C971)=max(if($C$2:$C971=C972,row($C$2:$C971),0)))) ,1),0),0))"),"")</f>
        <v/>
      </c>
      <c r="M972" s="148" t="str">
        <f t="shared" si="1"/>
        <v/>
      </c>
      <c r="N972" s="147" t="str">
        <f t="shared" si="2"/>
        <v/>
      </c>
      <c r="O972" s="147" t="str">
        <f t="shared" si="21"/>
        <v/>
      </c>
      <c r="P972" s="147" t="str">
        <f>IFERROR(__xludf.DUMMYFUNCTION("if(C972="""","""",iferror(if(row()&lt;&gt;2,INDEX(arrayformula(filter($Q$2:$Q971,$C$2:$C971&lt;&gt;"""",row($C$2:$C971)=max(if($C$2:$C971=C972,row($C$2:$C971),0)))) ,1),0),0))"),"")</f>
        <v/>
      </c>
      <c r="Q972" s="147" t="str">
        <f t="shared" si="22"/>
        <v/>
      </c>
      <c r="R972" s="147" t="str">
        <f t="shared" si="23"/>
        <v/>
      </c>
      <c r="S972" s="147" t="str">
        <f t="shared" si="24"/>
        <v/>
      </c>
      <c r="T972" s="147" t="str">
        <f t="shared" si="7"/>
        <v/>
      </c>
      <c r="U972" s="150" t="str">
        <f t="shared" si="8"/>
        <v/>
      </c>
      <c r="V972" s="151" t="str">
        <f>IFERROR(VLOOKUP(C972,Ativos!$A$1:$G2000,5,),)</f>
        <v/>
      </c>
    </row>
    <row r="973" ht="21.0" customHeight="1">
      <c r="A973" s="152"/>
      <c r="B973" s="160"/>
      <c r="C973" s="153"/>
      <c r="D973" s="154"/>
      <c r="E973" s="139"/>
      <c r="F973" s="139"/>
      <c r="G973" s="139"/>
      <c r="H973" s="135"/>
      <c r="I973" s="141"/>
      <c r="J973" s="147" t="str">
        <f>IFERROR(__xludf.DUMMYFUNCTION("IF(ISBLANK(A973),IFERROR(1/0),IF(COUNT(FILTER(F:F,A:A=A973))&gt;1,TRUNC(N973*F973/SUM(FILTER(N:N,A:A=A973)),3),F973))"),"")</f>
        <v/>
      </c>
      <c r="K973" s="147" t="str">
        <f>IFERROR(__xludf.DUMMYFUNCTION("IF(ISBLANK(A973),IFERROR(1/0),IF(COUNT(FILTER(G:G,((A:A=A973)*(B:B=""V""))))&gt;1,TRUNC(N973*G973/SUM(FILTER(N:N,((A:A=A973)*(B:B=""V"")))),3),G973))"),"")</f>
        <v/>
      </c>
      <c r="L973" s="148" t="str">
        <f>IFERROR(__xludf.DUMMYFUNCTION("if($C973="""","""",iferror(if(row()&lt;&gt;2,INDEX(arrayformula(filter($M$2:$M972,$C$2:$C972&lt;&gt;"""",row($C$2:$C972)=max(if($C$2:$C972=C973,row($C$2:$C972),0)))) ,1),0),0))"),"")</f>
        <v/>
      </c>
      <c r="M973" s="148" t="str">
        <f t="shared" si="1"/>
        <v/>
      </c>
      <c r="N973" s="147" t="str">
        <f t="shared" si="2"/>
        <v/>
      </c>
      <c r="O973" s="147" t="str">
        <f t="shared" si="21"/>
        <v/>
      </c>
      <c r="P973" s="147" t="str">
        <f>IFERROR(__xludf.DUMMYFUNCTION("if(C973="""","""",iferror(if(row()&lt;&gt;2,INDEX(arrayformula(filter($Q$2:$Q972,$C$2:$C972&lt;&gt;"""",row($C$2:$C972)=max(if($C$2:$C972=C973,row($C$2:$C972),0)))) ,1),0),0))"),"")</f>
        <v/>
      </c>
      <c r="Q973" s="147" t="str">
        <f t="shared" si="22"/>
        <v/>
      </c>
      <c r="R973" s="147" t="str">
        <f t="shared" si="23"/>
        <v/>
      </c>
      <c r="S973" s="147" t="str">
        <f t="shared" si="24"/>
        <v/>
      </c>
      <c r="T973" s="147" t="str">
        <f t="shared" si="7"/>
        <v/>
      </c>
      <c r="U973" s="150" t="str">
        <f t="shared" si="8"/>
        <v/>
      </c>
      <c r="V973" s="151" t="str">
        <f>IFERROR(VLOOKUP(C973,Ativos!$A$1:$G2000,5,),)</f>
        <v/>
      </c>
    </row>
    <row r="974" ht="21.0" customHeight="1">
      <c r="A974" s="152"/>
      <c r="B974" s="160"/>
      <c r="C974" s="153"/>
      <c r="D974" s="154"/>
      <c r="E974" s="139"/>
      <c r="F974" s="139"/>
      <c r="G974" s="139"/>
      <c r="H974" s="135"/>
      <c r="I974" s="141"/>
      <c r="J974" s="147" t="str">
        <f>IFERROR(__xludf.DUMMYFUNCTION("IF(ISBLANK(A974),IFERROR(1/0),IF(COUNT(FILTER(F:F,A:A=A974))&gt;1,TRUNC(N974*F974/SUM(FILTER(N:N,A:A=A974)),3),F974))"),"")</f>
        <v/>
      </c>
      <c r="K974" s="147" t="str">
        <f>IFERROR(__xludf.DUMMYFUNCTION("IF(ISBLANK(A974),IFERROR(1/0),IF(COUNT(FILTER(G:G,((A:A=A974)*(B:B=""V""))))&gt;1,TRUNC(N974*G974/SUM(FILTER(N:N,((A:A=A974)*(B:B=""V"")))),3),G974))"),"")</f>
        <v/>
      </c>
      <c r="L974" s="148" t="str">
        <f>IFERROR(__xludf.DUMMYFUNCTION("if($C974="""","""",iferror(if(row()&lt;&gt;2,INDEX(arrayformula(filter($M$2:$M973,$C$2:$C973&lt;&gt;"""",row($C$2:$C973)=max(if($C$2:$C973=C974,row($C$2:$C973),0)))) ,1),0),0))"),"")</f>
        <v/>
      </c>
      <c r="M974" s="148" t="str">
        <f t="shared" si="1"/>
        <v/>
      </c>
      <c r="N974" s="147" t="str">
        <f t="shared" si="2"/>
        <v/>
      </c>
      <c r="O974" s="147" t="str">
        <f t="shared" si="21"/>
        <v/>
      </c>
      <c r="P974" s="147" t="str">
        <f>IFERROR(__xludf.DUMMYFUNCTION("if(C974="""","""",iferror(if(row()&lt;&gt;2,INDEX(arrayformula(filter($Q$2:$Q973,$C$2:$C973&lt;&gt;"""",row($C$2:$C973)=max(if($C$2:$C973=C974,row($C$2:$C973),0)))) ,1),0),0))"),"")</f>
        <v/>
      </c>
      <c r="Q974" s="147" t="str">
        <f t="shared" si="22"/>
        <v/>
      </c>
      <c r="R974" s="147" t="str">
        <f t="shared" si="23"/>
        <v/>
      </c>
      <c r="S974" s="147" t="str">
        <f t="shared" si="24"/>
        <v/>
      </c>
      <c r="T974" s="147" t="str">
        <f t="shared" si="7"/>
        <v/>
      </c>
      <c r="U974" s="150" t="str">
        <f t="shared" si="8"/>
        <v/>
      </c>
      <c r="V974" s="151" t="str">
        <f>IFERROR(VLOOKUP(C974,Ativos!$A$1:$G2000,5,),)</f>
        <v/>
      </c>
    </row>
    <row r="975" ht="21.0" customHeight="1">
      <c r="A975" s="152"/>
      <c r="B975" s="160"/>
      <c r="C975" s="153"/>
      <c r="D975" s="154"/>
      <c r="E975" s="139"/>
      <c r="F975" s="139"/>
      <c r="G975" s="139"/>
      <c r="H975" s="135"/>
      <c r="I975" s="141"/>
      <c r="J975" s="147" t="str">
        <f>IFERROR(__xludf.DUMMYFUNCTION("IF(ISBLANK(A975),IFERROR(1/0),IF(COUNT(FILTER(F:F,A:A=A975))&gt;1,TRUNC(N975*F975/SUM(FILTER(N:N,A:A=A975)),3),F975))"),"")</f>
        <v/>
      </c>
      <c r="K975" s="147" t="str">
        <f>IFERROR(__xludf.DUMMYFUNCTION("IF(ISBLANK(A975),IFERROR(1/0),IF(COUNT(FILTER(G:G,((A:A=A975)*(B:B=""V""))))&gt;1,TRUNC(N975*G975/SUM(FILTER(N:N,((A:A=A975)*(B:B=""V"")))),3),G975))"),"")</f>
        <v/>
      </c>
      <c r="L975" s="148" t="str">
        <f>IFERROR(__xludf.DUMMYFUNCTION("if($C975="""","""",iferror(if(row()&lt;&gt;2,INDEX(arrayformula(filter($M$2:$M974,$C$2:$C974&lt;&gt;"""",row($C$2:$C974)=max(if($C$2:$C974=C975,row($C$2:$C974),0)))) ,1),0),0))"),"")</f>
        <v/>
      </c>
      <c r="M975" s="148" t="str">
        <f t="shared" si="1"/>
        <v/>
      </c>
      <c r="N975" s="147" t="str">
        <f t="shared" si="2"/>
        <v/>
      </c>
      <c r="O975" s="147" t="str">
        <f t="shared" si="21"/>
        <v/>
      </c>
      <c r="P975" s="147" t="str">
        <f>IFERROR(__xludf.DUMMYFUNCTION("if(C975="""","""",iferror(if(row()&lt;&gt;2,INDEX(arrayformula(filter($Q$2:$Q974,$C$2:$C974&lt;&gt;"""",row($C$2:$C974)=max(if($C$2:$C974=C975,row($C$2:$C974),0)))) ,1),0),0))"),"")</f>
        <v/>
      </c>
      <c r="Q975" s="147" t="str">
        <f t="shared" si="22"/>
        <v/>
      </c>
      <c r="R975" s="147" t="str">
        <f t="shared" si="23"/>
        <v/>
      </c>
      <c r="S975" s="147" t="str">
        <f t="shared" si="24"/>
        <v/>
      </c>
      <c r="T975" s="147" t="str">
        <f t="shared" si="7"/>
        <v/>
      </c>
      <c r="U975" s="150" t="str">
        <f t="shared" si="8"/>
        <v/>
      </c>
      <c r="V975" s="151" t="str">
        <f>IFERROR(VLOOKUP(C975,Ativos!$A$1:$G2000,5,),)</f>
        <v/>
      </c>
    </row>
    <row r="976" ht="21.0" customHeight="1">
      <c r="A976" s="152"/>
      <c r="B976" s="160"/>
      <c r="C976" s="153"/>
      <c r="D976" s="154"/>
      <c r="E976" s="139"/>
      <c r="F976" s="139"/>
      <c r="G976" s="139"/>
      <c r="H976" s="135"/>
      <c r="I976" s="141"/>
      <c r="J976" s="147" t="str">
        <f>IFERROR(__xludf.DUMMYFUNCTION("IF(ISBLANK(A976),IFERROR(1/0),IF(COUNT(FILTER(F:F,A:A=A976))&gt;1,TRUNC(N976*F976/SUM(FILTER(N:N,A:A=A976)),3),F976))"),"")</f>
        <v/>
      </c>
      <c r="K976" s="147" t="str">
        <f>IFERROR(__xludf.DUMMYFUNCTION("IF(ISBLANK(A976),IFERROR(1/0),IF(COUNT(FILTER(G:G,((A:A=A976)*(B:B=""V""))))&gt;1,TRUNC(N976*G976/SUM(FILTER(N:N,((A:A=A976)*(B:B=""V"")))),3),G976))"),"")</f>
        <v/>
      </c>
      <c r="L976" s="148" t="str">
        <f>IFERROR(__xludf.DUMMYFUNCTION("if($C976="""","""",iferror(if(row()&lt;&gt;2,INDEX(arrayformula(filter($M$2:$M975,$C$2:$C975&lt;&gt;"""",row($C$2:$C975)=max(if($C$2:$C975=C976,row($C$2:$C975),0)))) ,1),0),0))"),"")</f>
        <v/>
      </c>
      <c r="M976" s="148" t="str">
        <f t="shared" si="1"/>
        <v/>
      </c>
      <c r="N976" s="147" t="str">
        <f t="shared" si="2"/>
        <v/>
      </c>
      <c r="O976" s="147" t="str">
        <f t="shared" si="21"/>
        <v/>
      </c>
      <c r="P976" s="147" t="str">
        <f>IFERROR(__xludf.DUMMYFUNCTION("if(C976="""","""",iferror(if(row()&lt;&gt;2,INDEX(arrayformula(filter($Q$2:$Q975,$C$2:$C975&lt;&gt;"""",row($C$2:$C975)=max(if($C$2:$C975=C976,row($C$2:$C975),0)))) ,1),0),0))"),"")</f>
        <v/>
      </c>
      <c r="Q976" s="147" t="str">
        <f t="shared" si="22"/>
        <v/>
      </c>
      <c r="R976" s="147" t="str">
        <f t="shared" si="23"/>
        <v/>
      </c>
      <c r="S976" s="147" t="str">
        <f t="shared" si="24"/>
        <v/>
      </c>
      <c r="T976" s="147" t="str">
        <f t="shared" si="7"/>
        <v/>
      </c>
      <c r="U976" s="150" t="str">
        <f t="shared" si="8"/>
        <v/>
      </c>
      <c r="V976" s="151" t="str">
        <f>IFERROR(VLOOKUP(C976,Ativos!$A$1:$G2000,5,),)</f>
        <v/>
      </c>
    </row>
    <row r="977" ht="21.0" customHeight="1">
      <c r="A977" s="152"/>
      <c r="B977" s="160"/>
      <c r="C977" s="153"/>
      <c r="D977" s="154"/>
      <c r="E977" s="139"/>
      <c r="F977" s="139"/>
      <c r="G977" s="139"/>
      <c r="H977" s="135"/>
      <c r="I977" s="141"/>
      <c r="J977" s="147" t="str">
        <f>IFERROR(__xludf.DUMMYFUNCTION("IF(ISBLANK(A977),IFERROR(1/0),IF(COUNT(FILTER(F:F,A:A=A977))&gt;1,TRUNC(N977*F977/SUM(FILTER(N:N,A:A=A977)),3),F977))"),"")</f>
        <v/>
      </c>
      <c r="K977" s="147" t="str">
        <f>IFERROR(__xludf.DUMMYFUNCTION("IF(ISBLANK(A977),IFERROR(1/0),IF(COUNT(FILTER(G:G,((A:A=A977)*(B:B=""V""))))&gt;1,TRUNC(N977*G977/SUM(FILTER(N:N,((A:A=A977)*(B:B=""V"")))),3),G977))"),"")</f>
        <v/>
      </c>
      <c r="L977" s="148" t="str">
        <f>IFERROR(__xludf.DUMMYFUNCTION("if($C977="""","""",iferror(if(row()&lt;&gt;2,INDEX(arrayformula(filter($M$2:$M976,$C$2:$C976&lt;&gt;"""",row($C$2:$C976)=max(if($C$2:$C976=C977,row($C$2:$C976),0)))) ,1),0),0))"),"")</f>
        <v/>
      </c>
      <c r="M977" s="148" t="str">
        <f t="shared" si="1"/>
        <v/>
      </c>
      <c r="N977" s="147" t="str">
        <f t="shared" si="2"/>
        <v/>
      </c>
      <c r="O977" s="147" t="str">
        <f t="shared" si="21"/>
        <v/>
      </c>
      <c r="P977" s="147" t="str">
        <f>IFERROR(__xludf.DUMMYFUNCTION("if(C977="""","""",iferror(if(row()&lt;&gt;2,INDEX(arrayformula(filter($Q$2:$Q976,$C$2:$C976&lt;&gt;"""",row($C$2:$C976)=max(if($C$2:$C976=C977,row($C$2:$C976),0)))) ,1),0),0))"),"")</f>
        <v/>
      </c>
      <c r="Q977" s="147" t="str">
        <f t="shared" si="22"/>
        <v/>
      </c>
      <c r="R977" s="147" t="str">
        <f t="shared" si="23"/>
        <v/>
      </c>
      <c r="S977" s="147" t="str">
        <f t="shared" si="24"/>
        <v/>
      </c>
      <c r="T977" s="147" t="str">
        <f t="shared" si="7"/>
        <v/>
      </c>
      <c r="U977" s="150" t="str">
        <f t="shared" si="8"/>
        <v/>
      </c>
      <c r="V977" s="151" t="str">
        <f>IFERROR(VLOOKUP(C977,Ativos!$A$1:$G2000,5,),)</f>
        <v/>
      </c>
    </row>
    <row r="978" ht="21.0" customHeight="1">
      <c r="A978" s="152"/>
      <c r="B978" s="160"/>
      <c r="C978" s="153"/>
      <c r="D978" s="154"/>
      <c r="E978" s="139"/>
      <c r="F978" s="139"/>
      <c r="G978" s="139"/>
      <c r="H978" s="135"/>
      <c r="I978" s="141"/>
      <c r="J978" s="147" t="str">
        <f>IFERROR(__xludf.DUMMYFUNCTION("IF(ISBLANK(A978),IFERROR(1/0),IF(COUNT(FILTER(F:F,A:A=A978))&gt;1,TRUNC(N978*F978/SUM(FILTER(N:N,A:A=A978)),3),F978))"),"")</f>
        <v/>
      </c>
      <c r="K978" s="147" t="str">
        <f>IFERROR(__xludf.DUMMYFUNCTION("IF(ISBLANK(A978),IFERROR(1/0),IF(COUNT(FILTER(G:G,((A:A=A978)*(B:B=""V""))))&gt;1,TRUNC(N978*G978/SUM(FILTER(N:N,((A:A=A978)*(B:B=""V"")))),3),G978))"),"")</f>
        <v/>
      </c>
      <c r="L978" s="148" t="str">
        <f>IFERROR(__xludf.DUMMYFUNCTION("if($C978="""","""",iferror(if(row()&lt;&gt;2,INDEX(arrayformula(filter($M$2:$M977,$C$2:$C977&lt;&gt;"""",row($C$2:$C977)=max(if($C$2:$C977=C978,row($C$2:$C977),0)))) ,1),0),0))"),"")</f>
        <v/>
      </c>
      <c r="M978" s="148" t="str">
        <f t="shared" si="1"/>
        <v/>
      </c>
      <c r="N978" s="147" t="str">
        <f t="shared" si="2"/>
        <v/>
      </c>
      <c r="O978" s="147" t="str">
        <f t="shared" si="21"/>
        <v/>
      </c>
      <c r="P978" s="147" t="str">
        <f>IFERROR(__xludf.DUMMYFUNCTION("if(C978="""","""",iferror(if(row()&lt;&gt;2,INDEX(arrayformula(filter($Q$2:$Q977,$C$2:$C977&lt;&gt;"""",row($C$2:$C977)=max(if($C$2:$C977=C978,row($C$2:$C977),0)))) ,1),0),0))"),"")</f>
        <v/>
      </c>
      <c r="Q978" s="147" t="str">
        <f t="shared" si="22"/>
        <v/>
      </c>
      <c r="R978" s="147" t="str">
        <f t="shared" si="23"/>
        <v/>
      </c>
      <c r="S978" s="147" t="str">
        <f t="shared" si="24"/>
        <v/>
      </c>
      <c r="T978" s="147" t="str">
        <f t="shared" si="7"/>
        <v/>
      </c>
      <c r="U978" s="150" t="str">
        <f t="shared" si="8"/>
        <v/>
      </c>
      <c r="V978" s="151" t="str">
        <f>IFERROR(VLOOKUP(C978,Ativos!$A$1:$G2000,5,),)</f>
        <v/>
      </c>
    </row>
    <row r="979" ht="21.0" customHeight="1">
      <c r="A979" s="152"/>
      <c r="B979" s="160"/>
      <c r="C979" s="153"/>
      <c r="D979" s="154"/>
      <c r="E979" s="139"/>
      <c r="F979" s="139"/>
      <c r="G979" s="139"/>
      <c r="H979" s="135"/>
      <c r="I979" s="141"/>
      <c r="J979" s="147" t="str">
        <f>IFERROR(__xludf.DUMMYFUNCTION("IF(ISBLANK(A979),IFERROR(1/0),IF(COUNT(FILTER(F:F,A:A=A979))&gt;1,TRUNC(N979*F979/SUM(FILTER(N:N,A:A=A979)),3),F979))"),"")</f>
        <v/>
      </c>
      <c r="K979" s="147" t="str">
        <f>IFERROR(__xludf.DUMMYFUNCTION("IF(ISBLANK(A979),IFERROR(1/0),IF(COUNT(FILTER(G:G,((A:A=A979)*(B:B=""V""))))&gt;1,TRUNC(N979*G979/SUM(FILTER(N:N,((A:A=A979)*(B:B=""V"")))),3),G979))"),"")</f>
        <v/>
      </c>
      <c r="L979" s="148" t="str">
        <f>IFERROR(__xludf.DUMMYFUNCTION("if($C979="""","""",iferror(if(row()&lt;&gt;2,INDEX(arrayformula(filter($M$2:$M978,$C$2:$C978&lt;&gt;"""",row($C$2:$C978)=max(if($C$2:$C978=C979,row($C$2:$C978),0)))) ,1),0),0))"),"")</f>
        <v/>
      </c>
      <c r="M979" s="148" t="str">
        <f t="shared" si="1"/>
        <v/>
      </c>
      <c r="N979" s="147" t="str">
        <f t="shared" si="2"/>
        <v/>
      </c>
      <c r="O979" s="147" t="str">
        <f t="shared" si="21"/>
        <v/>
      </c>
      <c r="P979" s="147" t="str">
        <f>IFERROR(__xludf.DUMMYFUNCTION("if(C979="""","""",iferror(if(row()&lt;&gt;2,INDEX(arrayformula(filter($Q$2:$Q978,$C$2:$C978&lt;&gt;"""",row($C$2:$C978)=max(if($C$2:$C978=C979,row($C$2:$C978),0)))) ,1),0),0))"),"")</f>
        <v/>
      </c>
      <c r="Q979" s="147" t="str">
        <f t="shared" si="22"/>
        <v/>
      </c>
      <c r="R979" s="147" t="str">
        <f t="shared" si="23"/>
        <v/>
      </c>
      <c r="S979" s="147" t="str">
        <f t="shared" si="24"/>
        <v/>
      </c>
      <c r="T979" s="147" t="str">
        <f t="shared" si="7"/>
        <v/>
      </c>
      <c r="U979" s="150" t="str">
        <f t="shared" si="8"/>
        <v/>
      </c>
      <c r="V979" s="151" t="str">
        <f>IFERROR(VLOOKUP(C979,Ativos!$A$1:$G2000,5,),)</f>
        <v/>
      </c>
    </row>
    <row r="980" ht="21.0" customHeight="1">
      <c r="A980" s="152"/>
      <c r="B980" s="160"/>
      <c r="C980" s="153"/>
      <c r="D980" s="154"/>
      <c r="E980" s="139"/>
      <c r="F980" s="139"/>
      <c r="G980" s="139"/>
      <c r="H980" s="135"/>
      <c r="I980" s="141"/>
      <c r="J980" s="147" t="str">
        <f>IFERROR(__xludf.DUMMYFUNCTION("IF(ISBLANK(A980),IFERROR(1/0),IF(COUNT(FILTER(F:F,A:A=A980))&gt;1,TRUNC(N980*F980/SUM(FILTER(N:N,A:A=A980)),3),F980))"),"")</f>
        <v/>
      </c>
      <c r="K980" s="147" t="str">
        <f>IFERROR(__xludf.DUMMYFUNCTION("IF(ISBLANK(A980),IFERROR(1/0),IF(COUNT(FILTER(G:G,((A:A=A980)*(B:B=""V""))))&gt;1,TRUNC(N980*G980/SUM(FILTER(N:N,((A:A=A980)*(B:B=""V"")))),3),G980))"),"")</f>
        <v/>
      </c>
      <c r="L980" s="148" t="str">
        <f>IFERROR(__xludf.DUMMYFUNCTION("if($C980="""","""",iferror(if(row()&lt;&gt;2,INDEX(arrayformula(filter($M$2:$M979,$C$2:$C979&lt;&gt;"""",row($C$2:$C979)=max(if($C$2:$C979=C980,row($C$2:$C979),0)))) ,1),0),0))"),"")</f>
        <v/>
      </c>
      <c r="M980" s="148" t="str">
        <f t="shared" si="1"/>
        <v/>
      </c>
      <c r="N980" s="147" t="str">
        <f t="shared" si="2"/>
        <v/>
      </c>
      <c r="O980" s="147" t="str">
        <f t="shared" si="21"/>
        <v/>
      </c>
      <c r="P980" s="147" t="str">
        <f>IFERROR(__xludf.DUMMYFUNCTION("if(C980="""","""",iferror(if(row()&lt;&gt;2,INDEX(arrayformula(filter($Q$2:$Q979,$C$2:$C979&lt;&gt;"""",row($C$2:$C979)=max(if($C$2:$C979=C980,row($C$2:$C979),0)))) ,1),0),0))"),"")</f>
        <v/>
      </c>
      <c r="Q980" s="147" t="str">
        <f t="shared" si="22"/>
        <v/>
      </c>
      <c r="R980" s="147" t="str">
        <f t="shared" si="23"/>
        <v/>
      </c>
      <c r="S980" s="147" t="str">
        <f t="shared" si="24"/>
        <v/>
      </c>
      <c r="T980" s="147" t="str">
        <f t="shared" si="7"/>
        <v/>
      </c>
      <c r="U980" s="150" t="str">
        <f t="shared" si="8"/>
        <v/>
      </c>
      <c r="V980" s="151" t="str">
        <f>IFERROR(VLOOKUP(C980,Ativos!$A$1:$G2000,5,),)</f>
        <v/>
      </c>
    </row>
    <row r="981" ht="21.0" customHeight="1">
      <c r="A981" s="152"/>
      <c r="B981" s="160"/>
      <c r="C981" s="153"/>
      <c r="D981" s="154"/>
      <c r="E981" s="139"/>
      <c r="F981" s="139"/>
      <c r="G981" s="139"/>
      <c r="H981" s="135"/>
      <c r="I981" s="141"/>
      <c r="J981" s="147" t="str">
        <f>IFERROR(__xludf.DUMMYFUNCTION("IF(ISBLANK(A981),IFERROR(1/0),IF(COUNT(FILTER(F:F,A:A=A981))&gt;1,TRUNC(N981*F981/SUM(FILTER(N:N,A:A=A981)),3),F981))"),"")</f>
        <v/>
      </c>
      <c r="K981" s="147" t="str">
        <f>IFERROR(__xludf.DUMMYFUNCTION("IF(ISBLANK(A981),IFERROR(1/0),IF(COUNT(FILTER(G:G,((A:A=A981)*(B:B=""V""))))&gt;1,TRUNC(N981*G981/SUM(FILTER(N:N,((A:A=A981)*(B:B=""V"")))),3),G981))"),"")</f>
        <v/>
      </c>
      <c r="L981" s="148" t="str">
        <f>IFERROR(__xludf.DUMMYFUNCTION("if($C981="""","""",iferror(if(row()&lt;&gt;2,INDEX(arrayformula(filter($M$2:$M980,$C$2:$C980&lt;&gt;"""",row($C$2:$C980)=max(if($C$2:$C980=C981,row($C$2:$C980),0)))) ,1),0),0))"),"")</f>
        <v/>
      </c>
      <c r="M981" s="148" t="str">
        <f t="shared" si="1"/>
        <v/>
      </c>
      <c r="N981" s="147" t="str">
        <f t="shared" si="2"/>
        <v/>
      </c>
      <c r="O981" s="147" t="str">
        <f t="shared" si="21"/>
        <v/>
      </c>
      <c r="P981" s="147" t="str">
        <f>IFERROR(__xludf.DUMMYFUNCTION("if(C981="""","""",iferror(if(row()&lt;&gt;2,INDEX(arrayformula(filter($Q$2:$Q980,$C$2:$C980&lt;&gt;"""",row($C$2:$C980)=max(if($C$2:$C980=C981,row($C$2:$C980),0)))) ,1),0),0))"),"")</f>
        <v/>
      </c>
      <c r="Q981" s="147" t="str">
        <f t="shared" si="22"/>
        <v/>
      </c>
      <c r="R981" s="147" t="str">
        <f t="shared" si="23"/>
        <v/>
      </c>
      <c r="S981" s="147" t="str">
        <f t="shared" si="24"/>
        <v/>
      </c>
      <c r="T981" s="147" t="str">
        <f t="shared" si="7"/>
        <v/>
      </c>
      <c r="U981" s="150" t="str">
        <f t="shared" si="8"/>
        <v/>
      </c>
      <c r="V981" s="151" t="str">
        <f>IFERROR(VLOOKUP(C981,Ativos!$A$1:$G2000,5,),)</f>
        <v/>
      </c>
    </row>
    <row r="982" ht="21.0" customHeight="1">
      <c r="A982" s="152"/>
      <c r="B982" s="160"/>
      <c r="C982" s="153"/>
      <c r="D982" s="154"/>
      <c r="E982" s="139"/>
      <c r="F982" s="139"/>
      <c r="G982" s="139"/>
      <c r="H982" s="135"/>
      <c r="I982" s="141"/>
      <c r="J982" s="147" t="str">
        <f>IFERROR(__xludf.DUMMYFUNCTION("IF(ISBLANK(A982),IFERROR(1/0),IF(COUNT(FILTER(F:F,A:A=A982))&gt;1,TRUNC(N982*F982/SUM(FILTER(N:N,A:A=A982)),3),F982))"),"")</f>
        <v/>
      </c>
      <c r="K982" s="147" t="str">
        <f>IFERROR(__xludf.DUMMYFUNCTION("IF(ISBLANK(A982),IFERROR(1/0),IF(COUNT(FILTER(G:G,((A:A=A982)*(B:B=""V""))))&gt;1,TRUNC(N982*G982/SUM(FILTER(N:N,((A:A=A982)*(B:B=""V"")))),3),G982))"),"")</f>
        <v/>
      </c>
      <c r="L982" s="148" t="str">
        <f>IFERROR(__xludf.DUMMYFUNCTION("if($C982="""","""",iferror(if(row()&lt;&gt;2,INDEX(arrayformula(filter($M$2:$M981,$C$2:$C981&lt;&gt;"""",row($C$2:$C981)=max(if($C$2:$C981=C982,row($C$2:$C981),0)))) ,1),0),0))"),"")</f>
        <v/>
      </c>
      <c r="M982" s="148" t="str">
        <f t="shared" si="1"/>
        <v/>
      </c>
      <c r="N982" s="147" t="str">
        <f t="shared" si="2"/>
        <v/>
      </c>
      <c r="O982" s="147" t="str">
        <f t="shared" si="21"/>
        <v/>
      </c>
      <c r="P982" s="147" t="str">
        <f>IFERROR(__xludf.DUMMYFUNCTION("if(C982="""","""",iferror(if(row()&lt;&gt;2,INDEX(arrayformula(filter($Q$2:$Q981,$C$2:$C981&lt;&gt;"""",row($C$2:$C981)=max(if($C$2:$C981=C982,row($C$2:$C981),0)))) ,1),0),0))"),"")</f>
        <v/>
      </c>
      <c r="Q982" s="147" t="str">
        <f t="shared" si="22"/>
        <v/>
      </c>
      <c r="R982" s="147" t="str">
        <f t="shared" si="23"/>
        <v/>
      </c>
      <c r="S982" s="147" t="str">
        <f t="shared" si="24"/>
        <v/>
      </c>
      <c r="T982" s="147" t="str">
        <f t="shared" si="7"/>
        <v/>
      </c>
      <c r="U982" s="150" t="str">
        <f t="shared" si="8"/>
        <v/>
      </c>
      <c r="V982" s="151" t="str">
        <f>IFERROR(VLOOKUP(C982,Ativos!$A$1:$G2000,5,),)</f>
        <v/>
      </c>
    </row>
    <row r="983" ht="21.0" customHeight="1">
      <c r="A983" s="152"/>
      <c r="B983" s="160"/>
      <c r="C983" s="153"/>
      <c r="D983" s="154"/>
      <c r="E983" s="139"/>
      <c r="F983" s="139"/>
      <c r="G983" s="139"/>
      <c r="H983" s="135"/>
      <c r="I983" s="141"/>
      <c r="J983" s="147" t="str">
        <f>IFERROR(__xludf.DUMMYFUNCTION("IF(ISBLANK(A983),IFERROR(1/0),IF(COUNT(FILTER(F:F,A:A=A983))&gt;1,TRUNC(N983*F983/SUM(FILTER(N:N,A:A=A983)),3),F983))"),"")</f>
        <v/>
      </c>
      <c r="K983" s="147" t="str">
        <f>IFERROR(__xludf.DUMMYFUNCTION("IF(ISBLANK(A983),IFERROR(1/0),IF(COUNT(FILTER(G:G,((A:A=A983)*(B:B=""V""))))&gt;1,TRUNC(N983*G983/SUM(FILTER(N:N,((A:A=A983)*(B:B=""V"")))),3),G983))"),"")</f>
        <v/>
      </c>
      <c r="L983" s="148" t="str">
        <f>IFERROR(__xludf.DUMMYFUNCTION("if($C983="""","""",iferror(if(row()&lt;&gt;2,INDEX(arrayformula(filter($M$2:$M982,$C$2:$C982&lt;&gt;"""",row($C$2:$C982)=max(if($C$2:$C982=C983,row($C$2:$C982),0)))) ,1),0),0))"),"")</f>
        <v/>
      </c>
      <c r="M983" s="148" t="str">
        <f t="shared" si="1"/>
        <v/>
      </c>
      <c r="N983" s="147" t="str">
        <f t="shared" si="2"/>
        <v/>
      </c>
      <c r="O983" s="147" t="str">
        <f t="shared" si="21"/>
        <v/>
      </c>
      <c r="P983" s="147" t="str">
        <f>IFERROR(__xludf.DUMMYFUNCTION("if(C983="""","""",iferror(if(row()&lt;&gt;2,INDEX(arrayformula(filter($Q$2:$Q982,$C$2:$C982&lt;&gt;"""",row($C$2:$C982)=max(if($C$2:$C982=C983,row($C$2:$C982),0)))) ,1),0),0))"),"")</f>
        <v/>
      </c>
      <c r="Q983" s="147" t="str">
        <f t="shared" si="22"/>
        <v/>
      </c>
      <c r="R983" s="147" t="str">
        <f t="shared" si="23"/>
        <v/>
      </c>
      <c r="S983" s="147" t="str">
        <f t="shared" si="24"/>
        <v/>
      </c>
      <c r="T983" s="147" t="str">
        <f t="shared" si="7"/>
        <v/>
      </c>
      <c r="U983" s="150" t="str">
        <f t="shared" si="8"/>
        <v/>
      </c>
      <c r="V983" s="151" t="str">
        <f>IFERROR(VLOOKUP(C983,Ativos!$A$1:$G2000,5,),)</f>
        <v/>
      </c>
    </row>
    <row r="984" ht="21.0" customHeight="1">
      <c r="A984" s="152"/>
      <c r="B984" s="160"/>
      <c r="C984" s="153"/>
      <c r="D984" s="154"/>
      <c r="E984" s="139"/>
      <c r="F984" s="139"/>
      <c r="G984" s="139"/>
      <c r="H984" s="135"/>
      <c r="I984" s="141"/>
      <c r="J984" s="147" t="str">
        <f>IFERROR(__xludf.DUMMYFUNCTION("IF(ISBLANK(A984),IFERROR(1/0),IF(COUNT(FILTER(F:F,A:A=A984))&gt;1,TRUNC(N984*F984/SUM(FILTER(N:N,A:A=A984)),3),F984))"),"")</f>
        <v/>
      </c>
      <c r="K984" s="147" t="str">
        <f>IFERROR(__xludf.DUMMYFUNCTION("IF(ISBLANK(A984),IFERROR(1/0),IF(COUNT(FILTER(G:G,((A:A=A984)*(B:B=""V""))))&gt;1,TRUNC(N984*G984/SUM(FILTER(N:N,((A:A=A984)*(B:B=""V"")))),3),G984))"),"")</f>
        <v/>
      </c>
      <c r="L984" s="148" t="str">
        <f>IFERROR(__xludf.DUMMYFUNCTION("if($C984="""","""",iferror(if(row()&lt;&gt;2,INDEX(arrayformula(filter($M$2:$M983,$C$2:$C983&lt;&gt;"""",row($C$2:$C983)=max(if($C$2:$C983=C984,row($C$2:$C983),0)))) ,1),0),0))"),"")</f>
        <v/>
      </c>
      <c r="M984" s="148" t="str">
        <f t="shared" si="1"/>
        <v/>
      </c>
      <c r="N984" s="147" t="str">
        <f t="shared" si="2"/>
        <v/>
      </c>
      <c r="O984" s="147" t="str">
        <f t="shared" si="21"/>
        <v/>
      </c>
      <c r="P984" s="147" t="str">
        <f>IFERROR(__xludf.DUMMYFUNCTION("if(C984="""","""",iferror(if(row()&lt;&gt;2,INDEX(arrayformula(filter($Q$2:$Q983,$C$2:$C983&lt;&gt;"""",row($C$2:$C983)=max(if($C$2:$C983=C984,row($C$2:$C983),0)))) ,1),0),0))"),"")</f>
        <v/>
      </c>
      <c r="Q984" s="147" t="str">
        <f t="shared" si="22"/>
        <v/>
      </c>
      <c r="R984" s="147" t="str">
        <f t="shared" si="23"/>
        <v/>
      </c>
      <c r="S984" s="147" t="str">
        <f t="shared" si="24"/>
        <v/>
      </c>
      <c r="T984" s="147" t="str">
        <f t="shared" si="7"/>
        <v/>
      </c>
      <c r="U984" s="150" t="str">
        <f t="shared" si="8"/>
        <v/>
      </c>
      <c r="V984" s="151" t="str">
        <f>IFERROR(VLOOKUP(C984,Ativos!$A$1:$G2000,5,),)</f>
        <v/>
      </c>
    </row>
    <row r="985" ht="21.0" customHeight="1">
      <c r="A985" s="152"/>
      <c r="B985" s="160"/>
      <c r="C985" s="153"/>
      <c r="D985" s="154"/>
      <c r="E985" s="139"/>
      <c r="F985" s="139"/>
      <c r="G985" s="139"/>
      <c r="H985" s="135"/>
      <c r="I985" s="141"/>
      <c r="J985" s="147" t="str">
        <f>IFERROR(__xludf.DUMMYFUNCTION("IF(ISBLANK(A985),IFERROR(1/0),IF(COUNT(FILTER(F:F,A:A=A985))&gt;1,TRUNC(N985*F985/SUM(FILTER(N:N,A:A=A985)),3),F985))"),"")</f>
        <v/>
      </c>
      <c r="K985" s="147" t="str">
        <f>IFERROR(__xludf.DUMMYFUNCTION("IF(ISBLANK(A985),IFERROR(1/0),IF(COUNT(FILTER(G:G,((A:A=A985)*(B:B=""V""))))&gt;1,TRUNC(N985*G985/SUM(FILTER(N:N,((A:A=A985)*(B:B=""V"")))),3),G985))"),"")</f>
        <v/>
      </c>
      <c r="L985" s="148" t="str">
        <f>IFERROR(__xludf.DUMMYFUNCTION("if($C985="""","""",iferror(if(row()&lt;&gt;2,INDEX(arrayformula(filter($M$2:$M984,$C$2:$C984&lt;&gt;"""",row($C$2:$C984)=max(if($C$2:$C984=C985,row($C$2:$C984),0)))) ,1),0),0))"),"")</f>
        <v/>
      </c>
      <c r="M985" s="148" t="str">
        <f t="shared" si="1"/>
        <v/>
      </c>
      <c r="N985" s="147" t="str">
        <f t="shared" si="2"/>
        <v/>
      </c>
      <c r="O985" s="147" t="str">
        <f t="shared" si="21"/>
        <v/>
      </c>
      <c r="P985" s="147" t="str">
        <f>IFERROR(__xludf.DUMMYFUNCTION("if(C985="""","""",iferror(if(row()&lt;&gt;2,INDEX(arrayformula(filter($Q$2:$Q984,$C$2:$C984&lt;&gt;"""",row($C$2:$C984)=max(if($C$2:$C984=C985,row($C$2:$C984),0)))) ,1),0),0))"),"")</f>
        <v/>
      </c>
      <c r="Q985" s="147" t="str">
        <f t="shared" si="22"/>
        <v/>
      </c>
      <c r="R985" s="147" t="str">
        <f t="shared" si="23"/>
        <v/>
      </c>
      <c r="S985" s="147" t="str">
        <f t="shared" si="24"/>
        <v/>
      </c>
      <c r="T985" s="147" t="str">
        <f t="shared" si="7"/>
        <v/>
      </c>
      <c r="U985" s="150" t="str">
        <f t="shared" si="8"/>
        <v/>
      </c>
      <c r="V985" s="151" t="str">
        <f>IFERROR(VLOOKUP(C985,Ativos!$A$1:$G2000,5,),)</f>
        <v/>
      </c>
    </row>
    <row r="986" ht="21.0" customHeight="1">
      <c r="A986" s="152"/>
      <c r="B986" s="160"/>
      <c r="C986" s="153"/>
      <c r="D986" s="154"/>
      <c r="E986" s="139"/>
      <c r="F986" s="139"/>
      <c r="G986" s="139"/>
      <c r="H986" s="135"/>
      <c r="I986" s="141"/>
      <c r="J986" s="147" t="str">
        <f>IFERROR(__xludf.DUMMYFUNCTION("IF(ISBLANK(A986),IFERROR(1/0),IF(COUNT(FILTER(F:F,A:A=A986))&gt;1,TRUNC(N986*F986/SUM(FILTER(N:N,A:A=A986)),3),F986))"),"")</f>
        <v/>
      </c>
      <c r="K986" s="147" t="str">
        <f>IFERROR(__xludf.DUMMYFUNCTION("IF(ISBLANK(A986),IFERROR(1/0),IF(COUNT(FILTER(G:G,((A:A=A986)*(B:B=""V""))))&gt;1,TRUNC(N986*G986/SUM(FILTER(N:N,((A:A=A986)*(B:B=""V"")))),3),G986))"),"")</f>
        <v/>
      </c>
      <c r="L986" s="148" t="str">
        <f>IFERROR(__xludf.DUMMYFUNCTION("if($C986="""","""",iferror(if(row()&lt;&gt;2,INDEX(arrayformula(filter($M$2:$M985,$C$2:$C985&lt;&gt;"""",row($C$2:$C985)=max(if($C$2:$C985=C986,row($C$2:$C985),0)))) ,1),0),0))"),"")</f>
        <v/>
      </c>
      <c r="M986" s="148" t="str">
        <f t="shared" si="1"/>
        <v/>
      </c>
      <c r="N986" s="147" t="str">
        <f t="shared" si="2"/>
        <v/>
      </c>
      <c r="O986" s="147" t="str">
        <f t="shared" si="21"/>
        <v/>
      </c>
      <c r="P986" s="147" t="str">
        <f>IFERROR(__xludf.DUMMYFUNCTION("if(C986="""","""",iferror(if(row()&lt;&gt;2,INDEX(arrayformula(filter($Q$2:$Q985,$C$2:$C985&lt;&gt;"""",row($C$2:$C985)=max(if($C$2:$C985=C986,row($C$2:$C985),0)))) ,1),0),0))"),"")</f>
        <v/>
      </c>
      <c r="Q986" s="147" t="str">
        <f t="shared" si="22"/>
        <v/>
      </c>
      <c r="R986" s="147" t="str">
        <f t="shared" si="23"/>
        <v/>
      </c>
      <c r="S986" s="147" t="str">
        <f t="shared" si="24"/>
        <v/>
      </c>
      <c r="T986" s="147" t="str">
        <f t="shared" si="7"/>
        <v/>
      </c>
      <c r="U986" s="150" t="str">
        <f t="shared" si="8"/>
        <v/>
      </c>
      <c r="V986" s="151" t="str">
        <f>IFERROR(VLOOKUP(C986,Ativos!$A$1:$G2000,5,),)</f>
        <v/>
      </c>
    </row>
    <row r="987" ht="21.0" customHeight="1">
      <c r="A987" s="152"/>
      <c r="B987" s="160"/>
      <c r="C987" s="153"/>
      <c r="D987" s="154"/>
      <c r="E987" s="139"/>
      <c r="F987" s="139"/>
      <c r="G987" s="139"/>
      <c r="H987" s="135"/>
      <c r="I987" s="141"/>
      <c r="J987" s="147" t="str">
        <f>IFERROR(__xludf.DUMMYFUNCTION("IF(ISBLANK(A987),IFERROR(1/0),IF(COUNT(FILTER(F:F,A:A=A987))&gt;1,TRUNC(N987*F987/SUM(FILTER(N:N,A:A=A987)),3),F987))"),"")</f>
        <v/>
      </c>
      <c r="K987" s="147" t="str">
        <f>IFERROR(__xludf.DUMMYFUNCTION("IF(ISBLANK(A987),IFERROR(1/0),IF(COUNT(FILTER(G:G,((A:A=A987)*(B:B=""V""))))&gt;1,TRUNC(N987*G987/SUM(FILTER(N:N,((A:A=A987)*(B:B=""V"")))),3),G987))"),"")</f>
        <v/>
      </c>
      <c r="L987" s="148" t="str">
        <f>IFERROR(__xludf.DUMMYFUNCTION("if($C987="""","""",iferror(if(row()&lt;&gt;2,INDEX(arrayformula(filter($M$2:$M986,$C$2:$C986&lt;&gt;"""",row($C$2:$C986)=max(if($C$2:$C986=C987,row($C$2:$C986),0)))) ,1),0),0))"),"")</f>
        <v/>
      </c>
      <c r="M987" s="148" t="str">
        <f t="shared" si="1"/>
        <v/>
      </c>
      <c r="N987" s="147" t="str">
        <f t="shared" si="2"/>
        <v/>
      </c>
      <c r="O987" s="147" t="str">
        <f t="shared" si="21"/>
        <v/>
      </c>
      <c r="P987" s="147" t="str">
        <f>IFERROR(__xludf.DUMMYFUNCTION("if(C987="""","""",iferror(if(row()&lt;&gt;2,INDEX(arrayformula(filter($Q$2:$Q986,$C$2:$C986&lt;&gt;"""",row($C$2:$C986)=max(if($C$2:$C986=C987,row($C$2:$C986),0)))) ,1),0),0))"),"")</f>
        <v/>
      </c>
      <c r="Q987" s="147" t="str">
        <f t="shared" si="22"/>
        <v/>
      </c>
      <c r="R987" s="147" t="str">
        <f t="shared" si="23"/>
        <v/>
      </c>
      <c r="S987" s="147" t="str">
        <f t="shared" si="24"/>
        <v/>
      </c>
      <c r="T987" s="147" t="str">
        <f t="shared" si="7"/>
        <v/>
      </c>
      <c r="U987" s="150" t="str">
        <f t="shared" si="8"/>
        <v/>
      </c>
      <c r="V987" s="151" t="str">
        <f>IFERROR(VLOOKUP(C987,Ativos!$A$1:$G2000,5,),)</f>
        <v/>
      </c>
    </row>
    <row r="988" ht="21.0" customHeight="1">
      <c r="A988" s="152"/>
      <c r="B988" s="160"/>
      <c r="C988" s="153"/>
      <c r="D988" s="154"/>
      <c r="E988" s="139"/>
      <c r="F988" s="139"/>
      <c r="G988" s="139"/>
      <c r="H988" s="135"/>
      <c r="I988" s="141"/>
      <c r="J988" s="147" t="str">
        <f>IFERROR(__xludf.DUMMYFUNCTION("IF(ISBLANK(A988),IFERROR(1/0),IF(COUNT(FILTER(F:F,A:A=A988))&gt;1,TRUNC(N988*F988/SUM(FILTER(N:N,A:A=A988)),3),F988))"),"")</f>
        <v/>
      </c>
      <c r="K988" s="147" t="str">
        <f>IFERROR(__xludf.DUMMYFUNCTION("IF(ISBLANK(A988),IFERROR(1/0),IF(COUNT(FILTER(G:G,((A:A=A988)*(B:B=""V""))))&gt;1,TRUNC(N988*G988/SUM(FILTER(N:N,((A:A=A988)*(B:B=""V"")))),3),G988))"),"")</f>
        <v/>
      </c>
      <c r="L988" s="148" t="str">
        <f>IFERROR(__xludf.DUMMYFUNCTION("if($C988="""","""",iferror(if(row()&lt;&gt;2,INDEX(arrayformula(filter($M$2:$M987,$C$2:$C987&lt;&gt;"""",row($C$2:$C987)=max(if($C$2:$C987=C988,row($C$2:$C987),0)))) ,1),0),0))"),"")</f>
        <v/>
      </c>
      <c r="M988" s="148" t="str">
        <f t="shared" si="1"/>
        <v/>
      </c>
      <c r="N988" s="147" t="str">
        <f t="shared" si="2"/>
        <v/>
      </c>
      <c r="O988" s="147" t="str">
        <f t="shared" si="21"/>
        <v/>
      </c>
      <c r="P988" s="147" t="str">
        <f>IFERROR(__xludf.DUMMYFUNCTION("if(C988="""","""",iferror(if(row()&lt;&gt;2,INDEX(arrayformula(filter($Q$2:$Q987,$C$2:$C987&lt;&gt;"""",row($C$2:$C987)=max(if($C$2:$C987=C988,row($C$2:$C987),0)))) ,1),0),0))"),"")</f>
        <v/>
      </c>
      <c r="Q988" s="147" t="str">
        <f t="shared" si="22"/>
        <v/>
      </c>
      <c r="R988" s="147" t="str">
        <f t="shared" si="23"/>
        <v/>
      </c>
      <c r="S988" s="147" t="str">
        <f t="shared" si="24"/>
        <v/>
      </c>
      <c r="T988" s="147" t="str">
        <f t="shared" si="7"/>
        <v/>
      </c>
      <c r="U988" s="150" t="str">
        <f t="shared" si="8"/>
        <v/>
      </c>
      <c r="V988" s="151" t="str">
        <f>IFERROR(VLOOKUP(C988,Ativos!$A$1:$G2000,5,),)</f>
        <v/>
      </c>
    </row>
    <row r="989" ht="21.0" customHeight="1">
      <c r="A989" s="152"/>
      <c r="B989" s="160"/>
      <c r="C989" s="153"/>
      <c r="D989" s="154"/>
      <c r="E989" s="139"/>
      <c r="F989" s="139"/>
      <c r="G989" s="139"/>
      <c r="H989" s="135"/>
      <c r="I989" s="141"/>
      <c r="J989" s="147" t="str">
        <f>IFERROR(__xludf.DUMMYFUNCTION("IF(ISBLANK(A989),IFERROR(1/0),IF(COUNT(FILTER(F:F,A:A=A989))&gt;1,TRUNC(N989*F989/SUM(FILTER(N:N,A:A=A989)),3),F989))"),"")</f>
        <v/>
      </c>
      <c r="K989" s="147" t="str">
        <f>IFERROR(__xludf.DUMMYFUNCTION("IF(ISBLANK(A989),IFERROR(1/0),IF(COUNT(FILTER(G:G,((A:A=A989)*(B:B=""V""))))&gt;1,TRUNC(N989*G989/SUM(FILTER(N:N,((A:A=A989)*(B:B=""V"")))),3),G989))"),"")</f>
        <v/>
      </c>
      <c r="L989" s="148" t="str">
        <f>IFERROR(__xludf.DUMMYFUNCTION("if($C989="""","""",iferror(if(row()&lt;&gt;2,INDEX(arrayformula(filter($M$2:$M988,$C$2:$C988&lt;&gt;"""",row($C$2:$C988)=max(if($C$2:$C988=C989,row($C$2:$C988),0)))) ,1),0),0))"),"")</f>
        <v/>
      </c>
      <c r="M989" s="148" t="str">
        <f t="shared" si="1"/>
        <v/>
      </c>
      <c r="N989" s="147" t="str">
        <f t="shared" si="2"/>
        <v/>
      </c>
      <c r="O989" s="147" t="str">
        <f t="shared" si="21"/>
        <v/>
      </c>
      <c r="P989" s="147" t="str">
        <f>IFERROR(__xludf.DUMMYFUNCTION("if(C989="""","""",iferror(if(row()&lt;&gt;2,INDEX(arrayformula(filter($Q$2:$Q988,$C$2:$C988&lt;&gt;"""",row($C$2:$C988)=max(if($C$2:$C988=C989,row($C$2:$C988),0)))) ,1),0),0))"),"")</f>
        <v/>
      </c>
      <c r="Q989" s="147" t="str">
        <f t="shared" si="22"/>
        <v/>
      </c>
      <c r="R989" s="147" t="str">
        <f t="shared" si="23"/>
        <v/>
      </c>
      <c r="S989" s="147" t="str">
        <f t="shared" si="24"/>
        <v/>
      </c>
      <c r="T989" s="147" t="str">
        <f t="shared" si="7"/>
        <v/>
      </c>
      <c r="U989" s="150" t="str">
        <f t="shared" si="8"/>
        <v/>
      </c>
      <c r="V989" s="151" t="str">
        <f>IFERROR(VLOOKUP(C989,Ativos!$A$1:$G2000,5,),)</f>
        <v/>
      </c>
    </row>
    <row r="990" ht="21.0" customHeight="1">
      <c r="A990" s="152"/>
      <c r="B990" s="160"/>
      <c r="C990" s="153"/>
      <c r="D990" s="154"/>
      <c r="E990" s="139"/>
      <c r="F990" s="139"/>
      <c r="G990" s="139"/>
      <c r="H990" s="135"/>
      <c r="I990" s="141"/>
      <c r="J990" s="147" t="str">
        <f>IFERROR(__xludf.DUMMYFUNCTION("IF(ISBLANK(A990),IFERROR(1/0),IF(COUNT(FILTER(F:F,A:A=A990))&gt;1,TRUNC(N990*F990/SUM(FILTER(N:N,A:A=A990)),3),F990))"),"")</f>
        <v/>
      </c>
      <c r="K990" s="147" t="str">
        <f>IFERROR(__xludf.DUMMYFUNCTION("IF(ISBLANK(A990),IFERROR(1/0),IF(COUNT(FILTER(G:G,((A:A=A990)*(B:B=""V""))))&gt;1,TRUNC(N990*G990/SUM(FILTER(N:N,((A:A=A990)*(B:B=""V"")))),3),G990))"),"")</f>
        <v/>
      </c>
      <c r="L990" s="148" t="str">
        <f>IFERROR(__xludf.DUMMYFUNCTION("if($C990="""","""",iferror(if(row()&lt;&gt;2,INDEX(arrayformula(filter($M$2:$M989,$C$2:$C989&lt;&gt;"""",row($C$2:$C989)=max(if($C$2:$C989=C990,row($C$2:$C989),0)))) ,1),0),0))"),"")</f>
        <v/>
      </c>
      <c r="M990" s="148" t="str">
        <f t="shared" si="1"/>
        <v/>
      </c>
      <c r="N990" s="147" t="str">
        <f t="shared" si="2"/>
        <v/>
      </c>
      <c r="O990" s="147" t="str">
        <f t="shared" si="21"/>
        <v/>
      </c>
      <c r="P990" s="147" t="str">
        <f>IFERROR(__xludf.DUMMYFUNCTION("if(C990="""","""",iferror(if(row()&lt;&gt;2,INDEX(arrayformula(filter($Q$2:$Q989,$C$2:$C989&lt;&gt;"""",row($C$2:$C989)=max(if($C$2:$C989=C990,row($C$2:$C989),0)))) ,1),0),0))"),"")</f>
        <v/>
      </c>
      <c r="Q990" s="147" t="str">
        <f t="shared" si="22"/>
        <v/>
      </c>
      <c r="R990" s="147" t="str">
        <f t="shared" si="23"/>
        <v/>
      </c>
      <c r="S990" s="147" t="str">
        <f t="shared" si="24"/>
        <v/>
      </c>
      <c r="T990" s="147" t="str">
        <f t="shared" si="7"/>
        <v/>
      </c>
      <c r="U990" s="150" t="str">
        <f t="shared" si="8"/>
        <v/>
      </c>
      <c r="V990" s="151" t="str">
        <f>IFERROR(VLOOKUP(C990,Ativos!$A$1:$G2000,5,),)</f>
        <v/>
      </c>
    </row>
    <row r="991" ht="21.0" customHeight="1">
      <c r="A991" s="152"/>
      <c r="B991" s="160"/>
      <c r="C991" s="153"/>
      <c r="D991" s="154"/>
      <c r="E991" s="139"/>
      <c r="F991" s="139"/>
      <c r="G991" s="139"/>
      <c r="H991" s="135"/>
      <c r="I991" s="141"/>
      <c r="J991" s="147" t="str">
        <f>IFERROR(__xludf.DUMMYFUNCTION("IF(ISBLANK(A991),IFERROR(1/0),IF(COUNT(FILTER(F:F,A:A=A991))&gt;1,TRUNC(N991*F991/SUM(FILTER(N:N,A:A=A991)),3),F991))"),"")</f>
        <v/>
      </c>
      <c r="K991" s="147" t="str">
        <f>IFERROR(__xludf.DUMMYFUNCTION("IF(ISBLANK(A991),IFERROR(1/0),IF(COUNT(FILTER(G:G,((A:A=A991)*(B:B=""V""))))&gt;1,TRUNC(N991*G991/SUM(FILTER(N:N,((A:A=A991)*(B:B=""V"")))),3),G991))"),"")</f>
        <v/>
      </c>
      <c r="L991" s="148" t="str">
        <f>IFERROR(__xludf.DUMMYFUNCTION("if($C991="""","""",iferror(if(row()&lt;&gt;2,INDEX(arrayformula(filter($M$2:$M990,$C$2:$C990&lt;&gt;"""",row($C$2:$C990)=max(if($C$2:$C990=C991,row($C$2:$C990),0)))) ,1),0),0))"),"")</f>
        <v/>
      </c>
      <c r="M991" s="148" t="str">
        <f t="shared" si="1"/>
        <v/>
      </c>
      <c r="N991" s="147" t="str">
        <f t="shared" si="2"/>
        <v/>
      </c>
      <c r="O991" s="147" t="str">
        <f t="shared" si="21"/>
        <v/>
      </c>
      <c r="P991" s="147" t="str">
        <f>IFERROR(__xludf.DUMMYFUNCTION("if(C991="""","""",iferror(if(row()&lt;&gt;2,INDEX(arrayformula(filter($Q$2:$Q990,$C$2:$C990&lt;&gt;"""",row($C$2:$C990)=max(if($C$2:$C990=C991,row($C$2:$C990),0)))) ,1),0),0))"),"")</f>
        <v/>
      </c>
      <c r="Q991" s="147" t="str">
        <f t="shared" si="22"/>
        <v/>
      </c>
      <c r="R991" s="147" t="str">
        <f t="shared" si="23"/>
        <v/>
      </c>
      <c r="S991" s="147" t="str">
        <f t="shared" si="24"/>
        <v/>
      </c>
      <c r="T991" s="147" t="str">
        <f t="shared" si="7"/>
        <v/>
      </c>
      <c r="U991" s="150" t="str">
        <f t="shared" si="8"/>
        <v/>
      </c>
      <c r="V991" s="151" t="str">
        <f>IFERROR(VLOOKUP(C991,Ativos!$A$1:$G2000,5,),)</f>
        <v/>
      </c>
    </row>
    <row r="992" ht="21.0" customHeight="1">
      <c r="A992" s="152"/>
      <c r="B992" s="160"/>
      <c r="C992" s="153"/>
      <c r="D992" s="154"/>
      <c r="E992" s="139"/>
      <c r="F992" s="139"/>
      <c r="G992" s="139"/>
      <c r="H992" s="135"/>
      <c r="I992" s="141"/>
      <c r="J992" s="147" t="str">
        <f>IFERROR(__xludf.DUMMYFUNCTION("IF(ISBLANK(A992),IFERROR(1/0),IF(COUNT(FILTER(F:F,A:A=A992))&gt;1,TRUNC(N992*F992/SUM(FILTER(N:N,A:A=A992)),3),F992))"),"")</f>
        <v/>
      </c>
      <c r="K992" s="147" t="str">
        <f>IFERROR(__xludf.DUMMYFUNCTION("IF(ISBLANK(A992),IFERROR(1/0),IF(COUNT(FILTER(G:G,((A:A=A992)*(B:B=""V""))))&gt;1,TRUNC(N992*G992/SUM(FILTER(N:N,((A:A=A992)*(B:B=""V"")))),3),G992))"),"")</f>
        <v/>
      </c>
      <c r="L992" s="148" t="str">
        <f>IFERROR(__xludf.DUMMYFUNCTION("if($C992="""","""",iferror(if(row()&lt;&gt;2,INDEX(arrayformula(filter($M$2:$M991,$C$2:$C991&lt;&gt;"""",row($C$2:$C991)=max(if($C$2:$C991=C992,row($C$2:$C991),0)))) ,1),0),0))"),"")</f>
        <v/>
      </c>
      <c r="M992" s="148" t="str">
        <f t="shared" si="1"/>
        <v/>
      </c>
      <c r="N992" s="147" t="str">
        <f t="shared" si="2"/>
        <v/>
      </c>
      <c r="O992" s="147" t="str">
        <f t="shared" si="21"/>
        <v/>
      </c>
      <c r="P992" s="147" t="str">
        <f>IFERROR(__xludf.DUMMYFUNCTION("if(C992="""","""",iferror(if(row()&lt;&gt;2,INDEX(arrayformula(filter($Q$2:$Q991,$C$2:$C991&lt;&gt;"""",row($C$2:$C991)=max(if($C$2:$C991=C992,row($C$2:$C991),0)))) ,1),0),0))"),"")</f>
        <v/>
      </c>
      <c r="Q992" s="147" t="str">
        <f t="shared" si="22"/>
        <v/>
      </c>
      <c r="R992" s="147" t="str">
        <f t="shared" si="23"/>
        <v/>
      </c>
      <c r="S992" s="147" t="str">
        <f t="shared" si="24"/>
        <v/>
      </c>
      <c r="T992" s="147" t="str">
        <f t="shared" si="7"/>
        <v/>
      </c>
      <c r="U992" s="150" t="str">
        <f t="shared" si="8"/>
        <v/>
      </c>
      <c r="V992" s="151" t="str">
        <f>IFERROR(VLOOKUP(C992,Ativos!$A$1:$G2000,5,),)</f>
        <v/>
      </c>
    </row>
    <row r="993" ht="21.0" customHeight="1">
      <c r="A993" s="152"/>
      <c r="B993" s="160"/>
      <c r="C993" s="153"/>
      <c r="D993" s="154"/>
      <c r="E993" s="139"/>
      <c r="F993" s="139"/>
      <c r="G993" s="139"/>
      <c r="H993" s="135"/>
      <c r="I993" s="141"/>
      <c r="J993" s="147" t="str">
        <f>IFERROR(__xludf.DUMMYFUNCTION("IF(ISBLANK(A993),IFERROR(1/0),IF(COUNT(FILTER(F:F,A:A=A993))&gt;1,TRUNC(N993*F993/SUM(FILTER(N:N,A:A=A993)),3),F993))"),"")</f>
        <v/>
      </c>
      <c r="K993" s="147" t="str">
        <f>IFERROR(__xludf.DUMMYFUNCTION("IF(ISBLANK(A993),IFERROR(1/0),IF(COUNT(FILTER(G:G,((A:A=A993)*(B:B=""V""))))&gt;1,TRUNC(N993*G993/SUM(FILTER(N:N,((A:A=A993)*(B:B=""V"")))),3),G993))"),"")</f>
        <v/>
      </c>
      <c r="L993" s="148" t="str">
        <f>IFERROR(__xludf.DUMMYFUNCTION("if($C993="""","""",iferror(if(row()&lt;&gt;2,INDEX(arrayformula(filter($M$2:$M992,$C$2:$C992&lt;&gt;"""",row($C$2:$C992)=max(if($C$2:$C992=C993,row($C$2:$C992),0)))) ,1),0),0))"),"")</f>
        <v/>
      </c>
      <c r="M993" s="148" t="str">
        <f t="shared" si="1"/>
        <v/>
      </c>
      <c r="N993" s="147" t="str">
        <f t="shared" si="2"/>
        <v/>
      </c>
      <c r="O993" s="147" t="str">
        <f t="shared" si="21"/>
        <v/>
      </c>
      <c r="P993" s="147" t="str">
        <f>IFERROR(__xludf.DUMMYFUNCTION("if(C993="""","""",iferror(if(row()&lt;&gt;2,INDEX(arrayformula(filter($Q$2:$Q992,$C$2:$C992&lt;&gt;"""",row($C$2:$C992)=max(if($C$2:$C992=C993,row($C$2:$C992),0)))) ,1),0),0))"),"")</f>
        <v/>
      </c>
      <c r="Q993" s="147" t="str">
        <f t="shared" si="22"/>
        <v/>
      </c>
      <c r="R993" s="147" t="str">
        <f t="shared" si="23"/>
        <v/>
      </c>
      <c r="S993" s="147" t="str">
        <f t="shared" si="24"/>
        <v/>
      </c>
      <c r="T993" s="147" t="str">
        <f t="shared" si="7"/>
        <v/>
      </c>
      <c r="U993" s="150" t="str">
        <f t="shared" si="8"/>
        <v/>
      </c>
      <c r="V993" s="151" t="str">
        <f>IFERROR(VLOOKUP(C993,Ativos!$A$1:$G2000,5,),)</f>
        <v/>
      </c>
    </row>
    <row r="994" ht="21.0" customHeight="1">
      <c r="A994" s="152"/>
      <c r="B994" s="160"/>
      <c r="C994" s="153"/>
      <c r="D994" s="154"/>
      <c r="E994" s="139"/>
      <c r="F994" s="139"/>
      <c r="G994" s="139"/>
      <c r="H994" s="135"/>
      <c r="I994" s="141"/>
      <c r="J994" s="147" t="str">
        <f>IFERROR(__xludf.DUMMYFUNCTION("IF(ISBLANK(A994),IFERROR(1/0),IF(COUNT(FILTER(F:F,A:A=A994))&gt;1,TRUNC(N994*F994/SUM(FILTER(N:N,A:A=A994)),3),F994))"),"")</f>
        <v/>
      </c>
      <c r="K994" s="147" t="str">
        <f>IFERROR(__xludf.DUMMYFUNCTION("IF(ISBLANK(A994),IFERROR(1/0),IF(COUNT(FILTER(G:G,((A:A=A994)*(B:B=""V""))))&gt;1,TRUNC(N994*G994/SUM(FILTER(N:N,((A:A=A994)*(B:B=""V"")))),3),G994))"),"")</f>
        <v/>
      </c>
      <c r="L994" s="148" t="str">
        <f>IFERROR(__xludf.DUMMYFUNCTION("if($C994="""","""",iferror(if(row()&lt;&gt;2,INDEX(arrayformula(filter($M$2:$M993,$C$2:$C993&lt;&gt;"""",row($C$2:$C993)=max(if($C$2:$C993=C994,row($C$2:$C993),0)))) ,1),0),0))"),"")</f>
        <v/>
      </c>
      <c r="M994" s="148" t="str">
        <f t="shared" si="1"/>
        <v/>
      </c>
      <c r="N994" s="147" t="str">
        <f t="shared" si="2"/>
        <v/>
      </c>
      <c r="O994" s="147" t="str">
        <f t="shared" si="21"/>
        <v/>
      </c>
      <c r="P994" s="147" t="str">
        <f>IFERROR(__xludf.DUMMYFUNCTION("if(C994="""","""",iferror(if(row()&lt;&gt;2,INDEX(arrayformula(filter($Q$2:$Q993,$C$2:$C993&lt;&gt;"""",row($C$2:$C993)=max(if($C$2:$C993=C994,row($C$2:$C993),0)))) ,1),0),0))"),"")</f>
        <v/>
      </c>
      <c r="Q994" s="147" t="str">
        <f t="shared" si="22"/>
        <v/>
      </c>
      <c r="R994" s="147" t="str">
        <f t="shared" si="23"/>
        <v/>
      </c>
      <c r="S994" s="147" t="str">
        <f t="shared" si="24"/>
        <v/>
      </c>
      <c r="T994" s="147" t="str">
        <f t="shared" si="7"/>
        <v/>
      </c>
      <c r="U994" s="150" t="str">
        <f t="shared" si="8"/>
        <v/>
      </c>
      <c r="V994" s="151" t="str">
        <f>IFERROR(VLOOKUP(C994,Ativos!$A$1:$G2000,5,),)</f>
        <v/>
      </c>
    </row>
    <row r="995" ht="21.0" customHeight="1">
      <c r="A995" s="152"/>
      <c r="B995" s="160"/>
      <c r="C995" s="153"/>
      <c r="D995" s="154"/>
      <c r="E995" s="139"/>
      <c r="F995" s="139"/>
      <c r="G995" s="139"/>
      <c r="H995" s="135"/>
      <c r="I995" s="141"/>
      <c r="J995" s="147" t="str">
        <f>IFERROR(__xludf.DUMMYFUNCTION("IF(ISBLANK(A995),IFERROR(1/0),IF(COUNT(FILTER(F:F,A:A=A995))&gt;1,TRUNC(N995*F995/SUM(FILTER(N:N,A:A=A995)),3),F995))"),"")</f>
        <v/>
      </c>
      <c r="K995" s="147" t="str">
        <f>IFERROR(__xludf.DUMMYFUNCTION("IF(ISBLANK(A995),IFERROR(1/0),IF(COUNT(FILTER(G:G,((A:A=A995)*(B:B=""V""))))&gt;1,TRUNC(N995*G995/SUM(FILTER(N:N,((A:A=A995)*(B:B=""V"")))),3),G995))"),"")</f>
        <v/>
      </c>
      <c r="L995" s="148" t="str">
        <f>IFERROR(__xludf.DUMMYFUNCTION("if($C995="""","""",iferror(if(row()&lt;&gt;2,INDEX(arrayformula(filter($M$2:$M994,$C$2:$C994&lt;&gt;"""",row($C$2:$C994)=max(if($C$2:$C994=C995,row($C$2:$C994),0)))) ,1),0),0))"),"")</f>
        <v/>
      </c>
      <c r="M995" s="148" t="str">
        <f t="shared" si="1"/>
        <v/>
      </c>
      <c r="N995" s="147" t="str">
        <f t="shared" si="2"/>
        <v/>
      </c>
      <c r="O995" s="147" t="str">
        <f t="shared" si="21"/>
        <v/>
      </c>
      <c r="P995" s="147" t="str">
        <f>IFERROR(__xludf.DUMMYFUNCTION("if(C995="""","""",iferror(if(row()&lt;&gt;2,INDEX(arrayformula(filter($Q$2:$Q994,$C$2:$C994&lt;&gt;"""",row($C$2:$C994)=max(if($C$2:$C994=C995,row($C$2:$C994),0)))) ,1),0),0))"),"")</f>
        <v/>
      </c>
      <c r="Q995" s="147" t="str">
        <f t="shared" si="22"/>
        <v/>
      </c>
      <c r="R995" s="147" t="str">
        <f t="shared" si="23"/>
        <v/>
      </c>
      <c r="S995" s="147" t="str">
        <f t="shared" si="24"/>
        <v/>
      </c>
      <c r="T995" s="147" t="str">
        <f t="shared" si="7"/>
        <v/>
      </c>
      <c r="U995" s="150" t="str">
        <f t="shared" si="8"/>
        <v/>
      </c>
      <c r="V995" s="151" t="str">
        <f>IFERROR(VLOOKUP(C995,Ativos!$A$1:$G2000,5,),)</f>
        <v/>
      </c>
    </row>
    <row r="996" ht="21.0" customHeight="1">
      <c r="A996" s="152"/>
      <c r="B996" s="160"/>
      <c r="C996" s="153"/>
      <c r="D996" s="154"/>
      <c r="E996" s="139"/>
      <c r="F996" s="139"/>
      <c r="G996" s="139"/>
      <c r="H996" s="135"/>
      <c r="I996" s="141"/>
      <c r="J996" s="147" t="str">
        <f>IFERROR(__xludf.DUMMYFUNCTION("IF(ISBLANK(A996),IFERROR(1/0),IF(COUNT(FILTER(F:F,A:A=A996))&gt;1,TRUNC(N996*F996/SUM(FILTER(N:N,A:A=A996)),3),F996))"),"")</f>
        <v/>
      </c>
      <c r="K996" s="147" t="str">
        <f>IFERROR(__xludf.DUMMYFUNCTION("IF(ISBLANK(A996),IFERROR(1/0),IF(COUNT(FILTER(G:G,((A:A=A996)*(B:B=""V""))))&gt;1,TRUNC(N996*G996/SUM(FILTER(N:N,((A:A=A996)*(B:B=""V"")))),3),G996))"),"")</f>
        <v/>
      </c>
      <c r="L996" s="148" t="str">
        <f>IFERROR(__xludf.DUMMYFUNCTION("if($C996="""","""",iferror(if(row()&lt;&gt;2,INDEX(arrayformula(filter($M$2:$M995,$C$2:$C995&lt;&gt;"""",row($C$2:$C995)=max(if($C$2:$C995=C996,row($C$2:$C995),0)))) ,1),0),0))"),"")</f>
        <v/>
      </c>
      <c r="M996" s="148" t="str">
        <f t="shared" si="1"/>
        <v/>
      </c>
      <c r="N996" s="147" t="str">
        <f t="shared" si="2"/>
        <v/>
      </c>
      <c r="O996" s="147" t="str">
        <f t="shared" si="21"/>
        <v/>
      </c>
      <c r="P996" s="147" t="str">
        <f>IFERROR(__xludf.DUMMYFUNCTION("if(C996="""","""",iferror(if(row()&lt;&gt;2,INDEX(arrayformula(filter($Q$2:$Q995,$C$2:$C995&lt;&gt;"""",row($C$2:$C995)=max(if($C$2:$C995=C996,row($C$2:$C995),0)))) ,1),0),0))"),"")</f>
        <v/>
      </c>
      <c r="Q996" s="147" t="str">
        <f t="shared" si="22"/>
        <v/>
      </c>
      <c r="R996" s="147" t="str">
        <f t="shared" si="23"/>
        <v/>
      </c>
      <c r="S996" s="147" t="str">
        <f t="shared" si="24"/>
        <v/>
      </c>
      <c r="T996" s="147" t="str">
        <f t="shared" si="7"/>
        <v/>
      </c>
      <c r="U996" s="150" t="str">
        <f t="shared" si="8"/>
        <v/>
      </c>
      <c r="V996" s="151" t="str">
        <f>IFERROR(VLOOKUP(C996,Ativos!$A$1:$G2000,5,),)</f>
        <v/>
      </c>
    </row>
    <row r="997" ht="21.0" customHeight="1">
      <c r="A997" s="152"/>
      <c r="B997" s="160"/>
      <c r="C997" s="153"/>
      <c r="D997" s="154"/>
      <c r="E997" s="139"/>
      <c r="F997" s="139"/>
      <c r="G997" s="139"/>
      <c r="H997" s="135"/>
      <c r="I997" s="141"/>
      <c r="J997" s="147" t="str">
        <f>IFERROR(__xludf.DUMMYFUNCTION("IF(ISBLANK(A997),IFERROR(1/0),IF(COUNT(FILTER(F:F,A:A=A997))&gt;1,TRUNC(N997*F997/SUM(FILTER(N:N,A:A=A997)),3),F997))"),"")</f>
        <v/>
      </c>
      <c r="K997" s="147" t="str">
        <f>IFERROR(__xludf.DUMMYFUNCTION("IF(ISBLANK(A997),IFERROR(1/0),IF(COUNT(FILTER(G:G,((A:A=A997)*(B:B=""V""))))&gt;1,TRUNC(N997*G997/SUM(FILTER(N:N,((A:A=A997)*(B:B=""V"")))),3),G997))"),"")</f>
        <v/>
      </c>
      <c r="L997" s="148" t="str">
        <f>IFERROR(__xludf.DUMMYFUNCTION("if($C997="""","""",iferror(if(row()&lt;&gt;2,INDEX(arrayformula(filter($M$2:$M996,$C$2:$C996&lt;&gt;"""",row($C$2:$C996)=max(if($C$2:$C996=C997,row($C$2:$C996),0)))) ,1),0),0))"),"")</f>
        <v/>
      </c>
      <c r="M997" s="148" t="str">
        <f t="shared" si="1"/>
        <v/>
      </c>
      <c r="N997" s="147" t="str">
        <f t="shared" si="2"/>
        <v/>
      </c>
      <c r="O997" s="147" t="str">
        <f t="shared" si="21"/>
        <v/>
      </c>
      <c r="P997" s="147" t="str">
        <f>IFERROR(__xludf.DUMMYFUNCTION("if(C997="""","""",iferror(if(row()&lt;&gt;2,INDEX(arrayformula(filter($Q$2:$Q996,$C$2:$C996&lt;&gt;"""",row($C$2:$C996)=max(if($C$2:$C996=C997,row($C$2:$C996),0)))) ,1),0),0))"),"")</f>
        <v/>
      </c>
      <c r="Q997" s="147" t="str">
        <f t="shared" si="22"/>
        <v/>
      </c>
      <c r="R997" s="147" t="str">
        <f t="shared" si="23"/>
        <v/>
      </c>
      <c r="S997" s="147" t="str">
        <f t="shared" si="24"/>
        <v/>
      </c>
      <c r="T997" s="147" t="str">
        <f t="shared" si="7"/>
        <v/>
      </c>
      <c r="U997" s="150" t="str">
        <f t="shared" si="8"/>
        <v/>
      </c>
      <c r="V997" s="151" t="str">
        <f>IFERROR(VLOOKUP(C997,Ativos!$A$1:$G2000,5,),)</f>
        <v/>
      </c>
    </row>
    <row r="998" ht="21.0" customHeight="1">
      <c r="A998" s="152"/>
      <c r="B998" s="160"/>
      <c r="C998" s="153"/>
      <c r="D998" s="154"/>
      <c r="E998" s="139"/>
      <c r="F998" s="139"/>
      <c r="G998" s="139"/>
      <c r="H998" s="135"/>
      <c r="I998" s="141"/>
      <c r="J998" s="147" t="str">
        <f>IFERROR(__xludf.DUMMYFUNCTION("IF(ISBLANK(A998),IFERROR(1/0),IF(COUNT(FILTER(F:F,A:A=A998))&gt;1,TRUNC(N998*F998/SUM(FILTER(N:N,A:A=A998)),3),F998))"),"")</f>
        <v/>
      </c>
      <c r="K998" s="147" t="str">
        <f>IFERROR(__xludf.DUMMYFUNCTION("IF(ISBLANK(A998),IFERROR(1/0),IF(COUNT(FILTER(G:G,((A:A=A998)*(B:B=""V""))))&gt;1,TRUNC(N998*G998/SUM(FILTER(N:N,((A:A=A998)*(B:B=""V"")))),3),G998))"),"")</f>
        <v/>
      </c>
      <c r="L998" s="148" t="str">
        <f>IFERROR(__xludf.DUMMYFUNCTION("if($C998="""","""",iferror(if(row()&lt;&gt;2,INDEX(arrayformula(filter($M$2:$M997,$C$2:$C997&lt;&gt;"""",row($C$2:$C997)=max(if($C$2:$C997=C998,row($C$2:$C997),0)))) ,1),0),0))"),"")</f>
        <v/>
      </c>
      <c r="M998" s="148" t="str">
        <f t="shared" si="1"/>
        <v/>
      </c>
      <c r="N998" s="147" t="str">
        <f t="shared" si="2"/>
        <v/>
      </c>
      <c r="O998" s="147" t="str">
        <f t="shared" si="21"/>
        <v/>
      </c>
      <c r="P998" s="147" t="str">
        <f>IFERROR(__xludf.DUMMYFUNCTION("if(C998="""","""",iferror(if(row()&lt;&gt;2,INDEX(arrayformula(filter($Q$2:$Q997,$C$2:$C997&lt;&gt;"""",row($C$2:$C997)=max(if($C$2:$C997=C998,row($C$2:$C997),0)))) ,1),0),0))"),"")</f>
        <v/>
      </c>
      <c r="Q998" s="147" t="str">
        <f t="shared" si="22"/>
        <v/>
      </c>
      <c r="R998" s="147" t="str">
        <f t="shared" si="23"/>
        <v/>
      </c>
      <c r="S998" s="147" t="str">
        <f t="shared" si="24"/>
        <v/>
      </c>
      <c r="T998" s="147" t="str">
        <f t="shared" si="7"/>
        <v/>
      </c>
      <c r="U998" s="150" t="str">
        <f t="shared" si="8"/>
        <v/>
      </c>
      <c r="V998" s="151" t="str">
        <f>IFERROR(VLOOKUP(C998,Ativos!$A$1:$G2000,5,),)</f>
        <v/>
      </c>
    </row>
    <row r="999" ht="21.0" customHeight="1">
      <c r="A999" s="152"/>
      <c r="B999" s="160"/>
      <c r="C999" s="153"/>
      <c r="D999" s="154"/>
      <c r="E999" s="139"/>
      <c r="F999" s="139"/>
      <c r="G999" s="139"/>
      <c r="H999" s="135"/>
      <c r="I999" s="141"/>
      <c r="J999" s="147" t="str">
        <f>IFERROR(__xludf.DUMMYFUNCTION("IF(ISBLANK(A999),IFERROR(1/0),IF(COUNT(FILTER(F:F,A:A=A999))&gt;1,TRUNC(N999*F999/SUM(FILTER(N:N,A:A=A999)),3),F999))"),"")</f>
        <v/>
      </c>
      <c r="K999" s="147" t="str">
        <f>IFERROR(__xludf.DUMMYFUNCTION("IF(ISBLANK(A999),IFERROR(1/0),IF(COUNT(FILTER(G:G,((A:A=A999)*(B:B=""V""))))&gt;1,TRUNC(N999*G999/SUM(FILTER(N:N,((A:A=A999)*(B:B=""V"")))),3),G999))"),"")</f>
        <v/>
      </c>
      <c r="L999" s="148" t="str">
        <f>IFERROR(__xludf.DUMMYFUNCTION("if($C999="""","""",iferror(if(row()&lt;&gt;2,INDEX(arrayformula(filter($M$2:$M998,$C$2:$C998&lt;&gt;"""",row($C$2:$C998)=max(if($C$2:$C998=C999,row($C$2:$C998),0)))) ,1),0),0))"),"")</f>
        <v/>
      </c>
      <c r="M999" s="148" t="str">
        <f t="shared" si="1"/>
        <v/>
      </c>
      <c r="N999" s="147" t="str">
        <f t="shared" si="2"/>
        <v/>
      </c>
      <c r="O999" s="147" t="str">
        <f t="shared" si="21"/>
        <v/>
      </c>
      <c r="P999" s="147" t="str">
        <f>IFERROR(__xludf.DUMMYFUNCTION("if(C999="""","""",iferror(if(row()&lt;&gt;2,INDEX(arrayformula(filter($Q$2:$Q998,$C$2:$C998&lt;&gt;"""",row($C$2:$C998)=max(if($C$2:$C998=C999,row($C$2:$C998),0)))) ,1),0),0))"),"")</f>
        <v/>
      </c>
      <c r="Q999" s="147" t="str">
        <f t="shared" si="22"/>
        <v/>
      </c>
      <c r="R999" s="147" t="str">
        <f t="shared" si="23"/>
        <v/>
      </c>
      <c r="S999" s="147" t="str">
        <f t="shared" si="24"/>
        <v/>
      </c>
      <c r="T999" s="147" t="str">
        <f t="shared" si="7"/>
        <v/>
      </c>
      <c r="U999" s="150" t="str">
        <f t="shared" si="8"/>
        <v/>
      </c>
      <c r="V999" s="151" t="str">
        <f>IFERROR(VLOOKUP(C999,Ativos!$A$1:$G2000,5,),)</f>
        <v/>
      </c>
    </row>
    <row r="1000" ht="21.0" customHeight="1">
      <c r="A1000" s="152"/>
      <c r="B1000" s="160"/>
      <c r="C1000" s="153"/>
      <c r="D1000" s="154"/>
      <c r="E1000" s="139"/>
      <c r="F1000" s="139"/>
      <c r="G1000" s="139"/>
      <c r="H1000" s="135"/>
      <c r="I1000" s="141"/>
      <c r="J1000" s="147" t="str">
        <f>IFERROR(__xludf.DUMMYFUNCTION("IF(ISBLANK(A1000),IFERROR(1/0),IF(COUNT(FILTER(F:F,A:A=A1000))&gt;1,TRUNC(N1000*F1000/SUM(FILTER(N:N,A:A=A1000)),3),F1000))"),"")</f>
        <v/>
      </c>
      <c r="K1000" s="147" t="str">
        <f>IFERROR(__xludf.DUMMYFUNCTION("IF(ISBLANK(A1000),IFERROR(1/0),IF(COUNT(FILTER(G:G,((A:A=A1000)*(B:B=""V""))))&gt;1,TRUNC(N1000*G1000/SUM(FILTER(N:N,((A:A=A1000)*(B:B=""V"")))),3),G1000))"),"")</f>
        <v/>
      </c>
      <c r="L1000" s="148" t="str">
        <f>IFERROR(__xludf.DUMMYFUNCTION("if($C1000="""","""",iferror(if(row()&lt;&gt;2,INDEX(arrayformula(filter($M$2:$M999,$C$2:$C999&lt;&gt;"""",row($C$2:$C999)=max(if($C$2:$C999=C1000,row($C$2:$C999),0)))) ,1),0),0))"),"")</f>
        <v/>
      </c>
      <c r="M1000" s="148" t="str">
        <f t="shared" si="1"/>
        <v/>
      </c>
      <c r="N1000" s="147" t="str">
        <f t="shared" si="2"/>
        <v/>
      </c>
      <c r="O1000" s="147" t="str">
        <f t="shared" si="21"/>
        <v/>
      </c>
      <c r="P1000" s="147" t="str">
        <f>IFERROR(__xludf.DUMMYFUNCTION("if(C1000="""","""",iferror(if(row()&lt;&gt;2,INDEX(arrayformula(filter($Q$2:$Q999,$C$2:$C999&lt;&gt;"""",row($C$2:$C999)=max(if($C$2:$C999=C1000,row($C$2:$C999),0)))) ,1),0),0))"),"")</f>
        <v/>
      </c>
      <c r="Q1000" s="147" t="str">
        <f t="shared" si="22"/>
        <v/>
      </c>
      <c r="R1000" s="147" t="str">
        <f t="shared" si="23"/>
        <v/>
      </c>
      <c r="S1000" s="147" t="str">
        <f t="shared" si="24"/>
        <v/>
      </c>
      <c r="T1000" s="147" t="str">
        <f t="shared" si="7"/>
        <v/>
      </c>
      <c r="U1000" s="150" t="str">
        <f t="shared" si="8"/>
        <v/>
      </c>
      <c r="V1000" s="151" t="str">
        <f>IFERROR(VLOOKUP(C1000,Ativos!$A$1:$G2000,5,),)</f>
        <v/>
      </c>
    </row>
    <row r="1001" ht="21.0" customHeight="1">
      <c r="A1001" s="152"/>
      <c r="B1001" s="160"/>
      <c r="C1001" s="153"/>
      <c r="D1001" s="154"/>
      <c r="E1001" s="139"/>
      <c r="F1001" s="139"/>
      <c r="G1001" s="139"/>
      <c r="H1001" s="135"/>
      <c r="I1001" s="141"/>
      <c r="J1001" s="147" t="str">
        <f>IFERROR(__xludf.DUMMYFUNCTION("IF(ISBLANK(A1001),IFERROR(1/0),IF(COUNT(FILTER(F:F,A:A=A1001))&gt;1,TRUNC(N1001*F1001/SUM(FILTER(N:N,A:A=A1001)),3),F1001))"),"")</f>
        <v/>
      </c>
      <c r="K1001" s="147" t="str">
        <f>IFERROR(__xludf.DUMMYFUNCTION("IF(ISBLANK(A1001),IFERROR(1/0),IF(COUNT(FILTER(G:G,((A:A=A1001)*(B:B=""V""))))&gt;1,TRUNC(N1001*G1001/SUM(FILTER(N:N,((A:A=A1001)*(B:B=""V"")))),3),G1001))"),"")</f>
        <v/>
      </c>
      <c r="L1001" s="148" t="str">
        <f>IFERROR(__xludf.DUMMYFUNCTION("if($C1001="""","""",iferror(if(row()&lt;&gt;2,INDEX(arrayformula(filter($M$2:$M1000,$C$2:$C1000&lt;&gt;"""",row($C$2:$C1000)=max(if($C$2:$C1000=C1001,row($C$2:$C1000),0)))) ,1),0),0))"),"")</f>
        <v/>
      </c>
      <c r="M1001" s="148" t="str">
        <f t="shared" si="1"/>
        <v/>
      </c>
      <c r="N1001" s="147" t="str">
        <f t="shared" si="2"/>
        <v/>
      </c>
      <c r="O1001" s="147" t="str">
        <f t="shared" si="21"/>
        <v/>
      </c>
      <c r="P1001" s="147" t="str">
        <f>IFERROR(__xludf.DUMMYFUNCTION("if(C1001="""","""",iferror(if(row()&lt;&gt;2,INDEX(arrayformula(filter($Q$2:$Q1000,$C$2:$C1000&lt;&gt;"""",row($C$2:$C1000)=max(if($C$2:$C1000=C1001,row($C$2:$C1000),0)))) ,1),0),0))"),"")</f>
        <v/>
      </c>
      <c r="Q1001" s="147" t="str">
        <f t="shared" si="22"/>
        <v/>
      </c>
      <c r="R1001" s="147" t="str">
        <f t="shared" si="23"/>
        <v/>
      </c>
      <c r="S1001" s="147" t="str">
        <f t="shared" si="24"/>
        <v/>
      </c>
      <c r="T1001" s="147" t="str">
        <f t="shared" si="7"/>
        <v/>
      </c>
      <c r="U1001" s="150" t="str">
        <f t="shared" si="8"/>
        <v/>
      </c>
      <c r="V1001" s="151" t="str">
        <f>IFERROR(VLOOKUP(C1001,Ativos!$A$1:$G2000,5,),)</f>
        <v/>
      </c>
    </row>
    <row r="1002" ht="21.0" customHeight="1">
      <c r="A1002" s="152"/>
      <c r="B1002" s="160"/>
      <c r="C1002" s="153"/>
      <c r="D1002" s="154"/>
      <c r="E1002" s="139"/>
      <c r="F1002" s="139"/>
      <c r="G1002" s="139"/>
      <c r="H1002" s="135"/>
      <c r="I1002" s="141"/>
      <c r="J1002" s="147" t="str">
        <f>IFERROR(__xludf.DUMMYFUNCTION("IF(ISBLANK(A1002),IFERROR(1/0),IF(COUNT(FILTER(F:F,A:A=A1002))&gt;1,TRUNC(N1002*F1002/SUM(FILTER(N:N,A:A=A1002)),3),F1002))"),"")</f>
        <v/>
      </c>
      <c r="K1002" s="147" t="str">
        <f>IFERROR(__xludf.DUMMYFUNCTION("IF(ISBLANK(A1002),IFERROR(1/0),IF(COUNT(FILTER(G:G,((A:A=A1002)*(B:B=""V""))))&gt;1,TRUNC(N1002*G1002/SUM(FILTER(N:N,((A:A=A1002)*(B:B=""V"")))),3),G1002))"),"")</f>
        <v/>
      </c>
      <c r="L1002" s="148" t="str">
        <f>IFERROR(__xludf.DUMMYFUNCTION("if($C1002="""","""",iferror(if(row()&lt;&gt;2,INDEX(arrayformula(filter($M$2:$M1001,$C$2:$C1001&lt;&gt;"""",row($C$2:$C1001)=max(if($C$2:$C1001=C1002,row($C$2:$C1001),0)))) ,1),0),0))"),"")</f>
        <v/>
      </c>
      <c r="M1002" s="148" t="str">
        <f t="shared" si="1"/>
        <v/>
      </c>
      <c r="N1002" s="147" t="str">
        <f t="shared" si="2"/>
        <v/>
      </c>
      <c r="O1002" s="147" t="str">
        <f t="shared" si="21"/>
        <v/>
      </c>
      <c r="P1002" s="147" t="str">
        <f>IFERROR(__xludf.DUMMYFUNCTION("if(C1002="""","""",iferror(if(row()&lt;&gt;2,INDEX(arrayformula(filter($Q$2:$Q1001,$C$2:$C1001&lt;&gt;"""",row($C$2:$C1001)=max(if($C$2:$C1001=C1002,row($C$2:$C1001),0)))) ,1),0),0))"),"")</f>
        <v/>
      </c>
      <c r="Q1002" s="147" t="str">
        <f t="shared" si="22"/>
        <v/>
      </c>
      <c r="R1002" s="147" t="str">
        <f t="shared" si="23"/>
        <v/>
      </c>
      <c r="S1002" s="147" t="str">
        <f t="shared" si="24"/>
        <v/>
      </c>
      <c r="T1002" s="147" t="str">
        <f t="shared" si="7"/>
        <v/>
      </c>
      <c r="U1002" s="150" t="str">
        <f t="shared" si="8"/>
        <v/>
      </c>
      <c r="V1002" s="151" t="str">
        <f>IFERROR(VLOOKUP(C1002,Ativos!$A$1:$G2000,5,),)</f>
        <v/>
      </c>
    </row>
    <row r="1003" ht="21.0" customHeight="1">
      <c r="A1003" s="152"/>
      <c r="B1003" s="160"/>
      <c r="C1003" s="153"/>
      <c r="D1003" s="154"/>
      <c r="E1003" s="139"/>
      <c r="F1003" s="139"/>
      <c r="G1003" s="139"/>
      <c r="H1003" s="135"/>
      <c r="I1003" s="141"/>
      <c r="J1003" s="147" t="str">
        <f>IFERROR(__xludf.DUMMYFUNCTION("IF(ISBLANK(A1003),IFERROR(1/0),IF(COUNT(FILTER(F:F,A:A=A1003))&gt;1,TRUNC(N1003*F1003/SUM(FILTER(N:N,A:A=A1003)),3),F1003))"),"")</f>
        <v/>
      </c>
      <c r="K1003" s="147" t="str">
        <f>IFERROR(__xludf.DUMMYFUNCTION("IF(ISBLANK(A1003),IFERROR(1/0),IF(COUNT(FILTER(G:G,((A:A=A1003)*(B:B=""V""))))&gt;1,TRUNC(N1003*G1003/SUM(FILTER(N:N,((A:A=A1003)*(B:B=""V"")))),3),G1003))"),"")</f>
        <v/>
      </c>
      <c r="L1003" s="148" t="str">
        <f>IFERROR(__xludf.DUMMYFUNCTION("if($C1003="""","""",iferror(if(row()&lt;&gt;2,INDEX(arrayformula(filter($M$2:$M1002,$C$2:$C1002&lt;&gt;"""",row($C$2:$C1002)=max(if($C$2:$C1002=C1003,row($C$2:$C1002),0)))) ,1),0),0))"),"")</f>
        <v/>
      </c>
      <c r="M1003" s="148" t="str">
        <f t="shared" si="1"/>
        <v/>
      </c>
      <c r="N1003" s="147" t="str">
        <f t="shared" si="2"/>
        <v/>
      </c>
      <c r="O1003" s="147" t="str">
        <f t="shared" si="21"/>
        <v/>
      </c>
      <c r="P1003" s="147" t="str">
        <f>IFERROR(__xludf.DUMMYFUNCTION("if(C1003="""","""",iferror(if(row()&lt;&gt;2,INDEX(arrayformula(filter($Q$2:$Q1002,$C$2:$C1002&lt;&gt;"""",row($C$2:$C1002)=max(if($C$2:$C1002=C1003,row($C$2:$C1002),0)))) ,1),0),0))"),"")</f>
        <v/>
      </c>
      <c r="Q1003" s="147" t="str">
        <f t="shared" si="22"/>
        <v/>
      </c>
      <c r="R1003" s="147" t="str">
        <f t="shared" si="23"/>
        <v/>
      </c>
      <c r="S1003" s="147" t="str">
        <f t="shared" si="24"/>
        <v/>
      </c>
      <c r="T1003" s="147" t="str">
        <f t="shared" si="7"/>
        <v/>
      </c>
      <c r="U1003" s="150" t="str">
        <f t="shared" si="8"/>
        <v/>
      </c>
      <c r="V1003" s="151" t="str">
        <f>IFERROR(VLOOKUP(C1003,Ativos!$A$1:$G2000,5,),)</f>
        <v/>
      </c>
    </row>
    <row r="1004" ht="21.0" customHeight="1">
      <c r="A1004" s="152"/>
      <c r="B1004" s="160"/>
      <c r="C1004" s="153"/>
      <c r="D1004" s="154"/>
      <c r="E1004" s="139"/>
      <c r="F1004" s="139"/>
      <c r="G1004" s="139"/>
      <c r="H1004" s="135"/>
      <c r="I1004" s="141"/>
      <c r="J1004" s="147" t="str">
        <f>IFERROR(__xludf.DUMMYFUNCTION("IF(ISBLANK(A1004),IFERROR(1/0),IF(COUNT(FILTER(F:F,A:A=A1004))&gt;1,TRUNC(N1004*F1004/SUM(FILTER(N:N,A:A=A1004)),3),F1004))"),"")</f>
        <v/>
      </c>
      <c r="K1004" s="147" t="str">
        <f>IFERROR(__xludf.DUMMYFUNCTION("IF(ISBLANK(A1004),IFERROR(1/0),IF(COUNT(FILTER(G:G,((A:A=A1004)*(B:B=""V""))))&gt;1,TRUNC(N1004*G1004/SUM(FILTER(N:N,((A:A=A1004)*(B:B=""V"")))),3),G1004))"),"")</f>
        <v/>
      </c>
      <c r="L1004" s="148" t="str">
        <f>IFERROR(__xludf.DUMMYFUNCTION("if($C1004="""","""",iferror(if(row()&lt;&gt;2,INDEX(arrayformula(filter($M$2:$M1003,$C$2:$C1003&lt;&gt;"""",row($C$2:$C1003)=max(if($C$2:$C1003=C1004,row($C$2:$C1003),0)))) ,1),0),0))"),"")</f>
        <v/>
      </c>
      <c r="M1004" s="148" t="str">
        <f t="shared" si="1"/>
        <v/>
      </c>
      <c r="N1004" s="147" t="str">
        <f t="shared" si="2"/>
        <v/>
      </c>
      <c r="O1004" s="147" t="str">
        <f t="shared" si="21"/>
        <v/>
      </c>
      <c r="P1004" s="147" t="str">
        <f>IFERROR(__xludf.DUMMYFUNCTION("if(C1004="""","""",iferror(if(row()&lt;&gt;2,INDEX(arrayformula(filter($Q$2:$Q1003,$C$2:$C1003&lt;&gt;"""",row($C$2:$C1003)=max(if($C$2:$C1003=C1004,row($C$2:$C1003),0)))) ,1),0),0))"),"")</f>
        <v/>
      </c>
      <c r="Q1004" s="147" t="str">
        <f t="shared" si="22"/>
        <v/>
      </c>
      <c r="R1004" s="147" t="str">
        <f t="shared" si="23"/>
        <v/>
      </c>
      <c r="S1004" s="147" t="str">
        <f t="shared" si="24"/>
        <v/>
      </c>
      <c r="T1004" s="147" t="str">
        <f t="shared" si="7"/>
        <v/>
      </c>
      <c r="U1004" s="150" t="str">
        <f t="shared" si="8"/>
        <v/>
      </c>
      <c r="V1004" s="151" t="str">
        <f>IFERROR(VLOOKUP(C1004,Ativos!$A$1:$G2000,5,),)</f>
        <v/>
      </c>
    </row>
    <row r="1005" ht="21.0" customHeight="1">
      <c r="A1005" s="152"/>
      <c r="B1005" s="160"/>
      <c r="C1005" s="153"/>
      <c r="D1005" s="154"/>
      <c r="E1005" s="139"/>
      <c r="F1005" s="139"/>
      <c r="G1005" s="139"/>
      <c r="H1005" s="135"/>
      <c r="I1005" s="141"/>
      <c r="J1005" s="147" t="str">
        <f>IFERROR(__xludf.DUMMYFUNCTION("IF(ISBLANK(A1005),IFERROR(1/0),IF(COUNT(FILTER(F:F,A:A=A1005))&gt;1,TRUNC(N1005*F1005/SUM(FILTER(N:N,A:A=A1005)),3),F1005))"),"")</f>
        <v/>
      </c>
      <c r="K1005" s="147" t="str">
        <f>IFERROR(__xludf.DUMMYFUNCTION("IF(ISBLANK(A1005),IFERROR(1/0),IF(COUNT(FILTER(G:G,((A:A=A1005)*(B:B=""V""))))&gt;1,TRUNC(N1005*G1005/SUM(FILTER(N:N,((A:A=A1005)*(B:B=""V"")))),3),G1005))"),"")</f>
        <v/>
      </c>
      <c r="L1005" s="148" t="str">
        <f>IFERROR(__xludf.DUMMYFUNCTION("if($C1005="""","""",iferror(if(row()&lt;&gt;2,INDEX(arrayformula(filter($M$2:$M1004,$C$2:$C1004&lt;&gt;"""",row($C$2:$C1004)=max(if($C$2:$C1004=C1005,row($C$2:$C1004),0)))) ,1),0),0))"),"")</f>
        <v/>
      </c>
      <c r="M1005" s="148" t="str">
        <f t="shared" si="1"/>
        <v/>
      </c>
      <c r="N1005" s="147" t="str">
        <f t="shared" si="2"/>
        <v/>
      </c>
      <c r="O1005" s="147" t="str">
        <f t="shared" si="21"/>
        <v/>
      </c>
      <c r="P1005" s="147" t="str">
        <f>IFERROR(__xludf.DUMMYFUNCTION("if(C1005="""","""",iferror(if(row()&lt;&gt;2,INDEX(arrayformula(filter($Q$2:$Q1004,$C$2:$C1004&lt;&gt;"""",row($C$2:$C1004)=max(if($C$2:$C1004=C1005,row($C$2:$C1004),0)))) ,1),0),0))"),"")</f>
        <v/>
      </c>
      <c r="Q1005" s="147" t="str">
        <f t="shared" si="22"/>
        <v/>
      </c>
      <c r="R1005" s="147" t="str">
        <f t="shared" si="23"/>
        <v/>
      </c>
      <c r="S1005" s="147" t="str">
        <f t="shared" si="24"/>
        <v/>
      </c>
      <c r="T1005" s="147" t="str">
        <f t="shared" si="7"/>
        <v/>
      </c>
      <c r="U1005" s="150" t="str">
        <f t="shared" si="8"/>
        <v/>
      </c>
      <c r="V1005" s="151" t="str">
        <f>IFERROR(VLOOKUP(C1005,Ativos!$A$1:$G2000,5,),)</f>
        <v/>
      </c>
    </row>
    <row r="1006" ht="21.0" customHeight="1">
      <c r="A1006" s="152"/>
      <c r="B1006" s="160"/>
      <c r="C1006" s="153"/>
      <c r="D1006" s="154"/>
      <c r="E1006" s="139"/>
      <c r="F1006" s="139"/>
      <c r="G1006" s="139"/>
      <c r="H1006" s="135"/>
      <c r="I1006" s="141"/>
      <c r="J1006" s="147" t="str">
        <f>IFERROR(__xludf.DUMMYFUNCTION("IF(ISBLANK(A1006),IFERROR(1/0),IF(COUNT(FILTER(F:F,A:A=A1006))&gt;1,TRUNC(N1006*F1006/SUM(FILTER(N:N,A:A=A1006)),3),F1006))"),"")</f>
        <v/>
      </c>
      <c r="K1006" s="147" t="str">
        <f>IFERROR(__xludf.DUMMYFUNCTION("IF(ISBLANK(A1006),IFERROR(1/0),IF(COUNT(FILTER(G:G,((A:A=A1006)*(B:B=""V""))))&gt;1,TRUNC(N1006*G1006/SUM(FILTER(N:N,((A:A=A1006)*(B:B=""V"")))),3),G1006))"),"")</f>
        <v/>
      </c>
      <c r="L1006" s="148" t="str">
        <f>IFERROR(__xludf.DUMMYFUNCTION("if($C1006="""","""",iferror(if(row()&lt;&gt;2,INDEX(arrayformula(filter($M$2:$M1005,$C$2:$C1005&lt;&gt;"""",row($C$2:$C1005)=max(if($C$2:$C1005=C1006,row($C$2:$C1005),0)))) ,1),0),0))"),"")</f>
        <v/>
      </c>
      <c r="M1006" s="148" t="str">
        <f t="shared" si="1"/>
        <v/>
      </c>
      <c r="N1006" s="147" t="str">
        <f t="shared" si="2"/>
        <v/>
      </c>
      <c r="O1006" s="147" t="str">
        <f t="shared" si="21"/>
        <v/>
      </c>
      <c r="P1006" s="147" t="str">
        <f>IFERROR(__xludf.DUMMYFUNCTION("if(C1006="""","""",iferror(if(row()&lt;&gt;2,INDEX(arrayformula(filter($Q$2:$Q1005,$C$2:$C1005&lt;&gt;"""",row($C$2:$C1005)=max(if($C$2:$C1005=C1006,row($C$2:$C1005),0)))) ,1),0),0))"),"")</f>
        <v/>
      </c>
      <c r="Q1006" s="147" t="str">
        <f t="shared" si="22"/>
        <v/>
      </c>
      <c r="R1006" s="147" t="str">
        <f t="shared" si="23"/>
        <v/>
      </c>
      <c r="S1006" s="147" t="str">
        <f t="shared" si="24"/>
        <v/>
      </c>
      <c r="T1006" s="147" t="str">
        <f t="shared" si="7"/>
        <v/>
      </c>
      <c r="U1006" s="150" t="str">
        <f t="shared" si="8"/>
        <v/>
      </c>
      <c r="V1006" s="151" t="str">
        <f>IFERROR(VLOOKUP(C1006,Ativos!$A$1:$G2000,5,),)</f>
        <v/>
      </c>
    </row>
    <row r="1007" ht="21.0" customHeight="1">
      <c r="A1007" s="152"/>
      <c r="B1007" s="160"/>
      <c r="C1007" s="153"/>
      <c r="D1007" s="154"/>
      <c r="E1007" s="139"/>
      <c r="F1007" s="139"/>
      <c r="G1007" s="139"/>
      <c r="H1007" s="135"/>
      <c r="I1007" s="141"/>
      <c r="J1007" s="147" t="str">
        <f>IFERROR(__xludf.DUMMYFUNCTION("IF(ISBLANK(A1007),IFERROR(1/0),IF(COUNT(FILTER(F:F,A:A=A1007))&gt;1,TRUNC(N1007*F1007/SUM(FILTER(N:N,A:A=A1007)),3),F1007))"),"")</f>
        <v/>
      </c>
      <c r="K1007" s="147" t="str">
        <f>IFERROR(__xludf.DUMMYFUNCTION("IF(ISBLANK(A1007),IFERROR(1/0),IF(COUNT(FILTER(G:G,((A:A=A1007)*(B:B=""V""))))&gt;1,TRUNC(N1007*G1007/SUM(FILTER(N:N,((A:A=A1007)*(B:B=""V"")))),3),G1007))"),"")</f>
        <v/>
      </c>
      <c r="L1007" s="148" t="str">
        <f>IFERROR(__xludf.DUMMYFUNCTION("if($C1007="""","""",iferror(if(row()&lt;&gt;2,INDEX(arrayformula(filter($M$2:$M1006,$C$2:$C1006&lt;&gt;"""",row($C$2:$C1006)=max(if($C$2:$C1006=C1007,row($C$2:$C1006),0)))) ,1),0),0))"),"")</f>
        <v/>
      </c>
      <c r="M1007" s="148" t="str">
        <f t="shared" si="1"/>
        <v/>
      </c>
      <c r="N1007" s="147" t="str">
        <f t="shared" si="2"/>
        <v/>
      </c>
      <c r="O1007" s="147" t="str">
        <f t="shared" si="21"/>
        <v/>
      </c>
      <c r="P1007" s="147" t="str">
        <f>IFERROR(__xludf.DUMMYFUNCTION("if(C1007="""","""",iferror(if(row()&lt;&gt;2,INDEX(arrayformula(filter($Q$2:$Q1006,$C$2:$C1006&lt;&gt;"""",row($C$2:$C1006)=max(if($C$2:$C1006=C1007,row($C$2:$C1006),0)))) ,1),0),0))"),"")</f>
        <v/>
      </c>
      <c r="Q1007" s="147" t="str">
        <f t="shared" si="22"/>
        <v/>
      </c>
      <c r="R1007" s="147" t="str">
        <f t="shared" si="23"/>
        <v/>
      </c>
      <c r="S1007" s="147" t="str">
        <f t="shared" si="24"/>
        <v/>
      </c>
      <c r="T1007" s="147" t="str">
        <f t="shared" si="7"/>
        <v/>
      </c>
      <c r="U1007" s="150" t="str">
        <f t="shared" si="8"/>
        <v/>
      </c>
      <c r="V1007" s="151" t="str">
        <f>IFERROR(VLOOKUP(C1007,Ativos!$A$1:$G2000,5,),)</f>
        <v/>
      </c>
    </row>
    <row r="1008" ht="21.0" customHeight="1">
      <c r="A1008" s="152"/>
      <c r="B1008" s="160"/>
      <c r="C1008" s="153"/>
      <c r="D1008" s="154"/>
      <c r="E1008" s="139"/>
      <c r="F1008" s="139"/>
      <c r="G1008" s="139"/>
      <c r="H1008" s="135"/>
      <c r="I1008" s="141"/>
      <c r="J1008" s="147" t="str">
        <f>IFERROR(__xludf.DUMMYFUNCTION("IF(ISBLANK(A1008),IFERROR(1/0),IF(COUNT(FILTER(F:F,A:A=A1008))&gt;1,TRUNC(N1008*F1008/SUM(FILTER(N:N,A:A=A1008)),3),F1008))"),"")</f>
        <v/>
      </c>
      <c r="K1008" s="147" t="str">
        <f>IFERROR(__xludf.DUMMYFUNCTION("IF(ISBLANK(A1008),IFERROR(1/0),IF(COUNT(FILTER(G:G,((A:A=A1008)*(B:B=""V""))))&gt;1,TRUNC(N1008*G1008/SUM(FILTER(N:N,((A:A=A1008)*(B:B=""V"")))),3),G1008))"),"")</f>
        <v/>
      </c>
      <c r="L1008" s="148" t="str">
        <f>IFERROR(__xludf.DUMMYFUNCTION("if($C1008="""","""",iferror(if(row()&lt;&gt;2,INDEX(arrayformula(filter($M$2:$M1007,$C$2:$C1007&lt;&gt;"""",row($C$2:$C1007)=max(if($C$2:$C1007=C1008,row($C$2:$C1007),0)))) ,1),0),0))"),"")</f>
        <v/>
      </c>
      <c r="M1008" s="148" t="str">
        <f t="shared" si="1"/>
        <v/>
      </c>
      <c r="N1008" s="147" t="str">
        <f t="shared" si="2"/>
        <v/>
      </c>
      <c r="O1008" s="147" t="str">
        <f t="shared" si="21"/>
        <v/>
      </c>
      <c r="P1008" s="147" t="str">
        <f>IFERROR(__xludf.DUMMYFUNCTION("if(C1008="""","""",iferror(if(row()&lt;&gt;2,INDEX(arrayformula(filter($Q$2:$Q1007,$C$2:$C1007&lt;&gt;"""",row($C$2:$C1007)=max(if($C$2:$C1007=C1008,row($C$2:$C1007),0)))) ,1),0),0))"),"")</f>
        <v/>
      </c>
      <c r="Q1008" s="147" t="str">
        <f t="shared" si="22"/>
        <v/>
      </c>
      <c r="R1008" s="147" t="str">
        <f t="shared" si="23"/>
        <v/>
      </c>
      <c r="S1008" s="147" t="str">
        <f t="shared" si="24"/>
        <v/>
      </c>
      <c r="T1008" s="147" t="str">
        <f t="shared" si="7"/>
        <v/>
      </c>
      <c r="U1008" s="150" t="str">
        <f t="shared" si="8"/>
        <v/>
      </c>
      <c r="V1008" s="151" t="str">
        <f>IFERROR(VLOOKUP(C1008,Ativos!$A$1:$G2000,5,),)</f>
        <v/>
      </c>
    </row>
    <row r="1009" ht="21.0" customHeight="1">
      <c r="A1009" s="152"/>
      <c r="B1009" s="160"/>
      <c r="C1009" s="153"/>
      <c r="D1009" s="154"/>
      <c r="E1009" s="139"/>
      <c r="F1009" s="139"/>
      <c r="G1009" s="139"/>
      <c r="H1009" s="135"/>
      <c r="I1009" s="141"/>
      <c r="J1009" s="147" t="str">
        <f>IFERROR(__xludf.DUMMYFUNCTION("IF(ISBLANK(A1009),IFERROR(1/0),IF(COUNT(FILTER(F:F,A:A=A1009))&gt;1,TRUNC(N1009*F1009/SUM(FILTER(N:N,A:A=A1009)),3),F1009))"),"")</f>
        <v/>
      </c>
      <c r="K1009" s="147" t="str">
        <f>IFERROR(__xludf.DUMMYFUNCTION("IF(ISBLANK(A1009),IFERROR(1/0),IF(COUNT(FILTER(G:G,((A:A=A1009)*(B:B=""V""))))&gt;1,TRUNC(N1009*G1009/SUM(FILTER(N:N,((A:A=A1009)*(B:B=""V"")))),3),G1009))"),"")</f>
        <v/>
      </c>
      <c r="L1009" s="148" t="str">
        <f>IFERROR(__xludf.DUMMYFUNCTION("if($C1009="""","""",iferror(if(row()&lt;&gt;2,INDEX(arrayformula(filter($M$2:$M1008,$C$2:$C1008&lt;&gt;"""",row($C$2:$C1008)=max(if($C$2:$C1008=C1009,row($C$2:$C1008),0)))) ,1),0),0))"),"")</f>
        <v/>
      </c>
      <c r="M1009" s="148" t="str">
        <f t="shared" si="1"/>
        <v/>
      </c>
      <c r="N1009" s="147" t="str">
        <f t="shared" si="2"/>
        <v/>
      </c>
      <c r="O1009" s="147" t="str">
        <f t="shared" si="21"/>
        <v/>
      </c>
      <c r="P1009" s="147" t="str">
        <f>IFERROR(__xludf.DUMMYFUNCTION("if(C1009="""","""",iferror(if(row()&lt;&gt;2,INDEX(arrayformula(filter($Q$2:$Q1008,$C$2:$C1008&lt;&gt;"""",row($C$2:$C1008)=max(if($C$2:$C1008=C1009,row($C$2:$C1008),0)))) ,1),0),0))"),"")</f>
        <v/>
      </c>
      <c r="Q1009" s="147" t="str">
        <f t="shared" si="22"/>
        <v/>
      </c>
      <c r="R1009" s="147" t="str">
        <f t="shared" si="23"/>
        <v/>
      </c>
      <c r="S1009" s="147" t="str">
        <f t="shared" si="24"/>
        <v/>
      </c>
      <c r="T1009" s="147" t="str">
        <f t="shared" si="7"/>
        <v/>
      </c>
      <c r="U1009" s="150" t="str">
        <f t="shared" si="8"/>
        <v/>
      </c>
      <c r="V1009" s="151" t="str">
        <f>IFERROR(VLOOKUP(C1009,Ativos!$A$1:$G2000,5,),)</f>
        <v/>
      </c>
    </row>
    <row r="1010" ht="21.0" customHeight="1">
      <c r="A1010" s="152"/>
      <c r="B1010" s="160"/>
      <c r="C1010" s="153"/>
      <c r="D1010" s="154"/>
      <c r="E1010" s="139"/>
      <c r="F1010" s="139"/>
      <c r="G1010" s="139"/>
      <c r="H1010" s="135"/>
      <c r="I1010" s="141"/>
      <c r="J1010" s="147" t="str">
        <f>IFERROR(__xludf.DUMMYFUNCTION("IF(ISBLANK(A1010),IFERROR(1/0),IF(COUNT(FILTER(F:F,A:A=A1010))&gt;1,TRUNC(N1010*F1010/SUM(FILTER(N:N,A:A=A1010)),3),F1010))"),"")</f>
        <v/>
      </c>
      <c r="K1010" s="147" t="str">
        <f>IFERROR(__xludf.DUMMYFUNCTION("IF(ISBLANK(A1010),IFERROR(1/0),IF(COUNT(FILTER(G:G,((A:A=A1010)*(B:B=""V""))))&gt;1,TRUNC(N1010*G1010/SUM(FILTER(N:N,((A:A=A1010)*(B:B=""V"")))),3),G1010))"),"")</f>
        <v/>
      </c>
      <c r="L1010" s="148" t="str">
        <f>IFERROR(__xludf.DUMMYFUNCTION("if($C1010="""","""",iferror(if(row()&lt;&gt;2,INDEX(arrayformula(filter($M$2:$M1009,$C$2:$C1009&lt;&gt;"""",row($C$2:$C1009)=max(if($C$2:$C1009=C1010,row($C$2:$C1009),0)))) ,1),0),0))"),"")</f>
        <v/>
      </c>
      <c r="M1010" s="148" t="str">
        <f t="shared" si="1"/>
        <v/>
      </c>
      <c r="N1010" s="147" t="str">
        <f t="shared" si="2"/>
        <v/>
      </c>
      <c r="O1010" s="147" t="str">
        <f t="shared" si="21"/>
        <v/>
      </c>
      <c r="P1010" s="147" t="str">
        <f>IFERROR(__xludf.DUMMYFUNCTION("if(C1010="""","""",iferror(if(row()&lt;&gt;2,INDEX(arrayformula(filter($Q$2:$Q1009,$C$2:$C1009&lt;&gt;"""",row($C$2:$C1009)=max(if($C$2:$C1009=C1010,row($C$2:$C1009),0)))) ,1),0),0))"),"")</f>
        <v/>
      </c>
      <c r="Q1010" s="147" t="str">
        <f t="shared" si="22"/>
        <v/>
      </c>
      <c r="R1010" s="147" t="str">
        <f t="shared" si="23"/>
        <v/>
      </c>
      <c r="S1010" s="147" t="str">
        <f t="shared" si="24"/>
        <v/>
      </c>
      <c r="T1010" s="147" t="str">
        <f t="shared" si="7"/>
        <v/>
      </c>
      <c r="U1010" s="150" t="str">
        <f t="shared" si="8"/>
        <v/>
      </c>
      <c r="V1010" s="151" t="str">
        <f>IFERROR(VLOOKUP(C1010,Ativos!$A$1:$G2000,5,),)</f>
        <v/>
      </c>
    </row>
    <row r="1011" ht="21.0" customHeight="1">
      <c r="A1011" s="152"/>
      <c r="B1011" s="160"/>
      <c r="C1011" s="153"/>
      <c r="D1011" s="154"/>
      <c r="E1011" s="139"/>
      <c r="F1011" s="139"/>
      <c r="G1011" s="139"/>
      <c r="H1011" s="135"/>
      <c r="I1011" s="141"/>
      <c r="J1011" s="147" t="str">
        <f>IFERROR(__xludf.DUMMYFUNCTION("IF(ISBLANK(A1011),IFERROR(1/0),IF(COUNT(FILTER(F:F,A:A=A1011))&gt;1,TRUNC(N1011*F1011/SUM(FILTER(N:N,A:A=A1011)),3),F1011))"),"")</f>
        <v/>
      </c>
      <c r="K1011" s="147" t="str">
        <f>IFERROR(__xludf.DUMMYFUNCTION("IF(ISBLANK(A1011),IFERROR(1/0),IF(COUNT(FILTER(G:G,((A:A=A1011)*(B:B=""V""))))&gt;1,TRUNC(N1011*G1011/SUM(FILTER(N:N,((A:A=A1011)*(B:B=""V"")))),3),G1011))"),"")</f>
        <v/>
      </c>
      <c r="L1011" s="148" t="str">
        <f>IFERROR(__xludf.DUMMYFUNCTION("if($C1011="""","""",iferror(if(row()&lt;&gt;2,INDEX(arrayformula(filter($M$2:$M1010,$C$2:$C1010&lt;&gt;"""",row($C$2:$C1010)=max(if($C$2:$C1010=C1011,row($C$2:$C1010),0)))) ,1),0),0))"),"")</f>
        <v/>
      </c>
      <c r="M1011" s="148" t="str">
        <f t="shared" si="1"/>
        <v/>
      </c>
      <c r="N1011" s="147" t="str">
        <f t="shared" si="2"/>
        <v/>
      </c>
      <c r="O1011" s="147" t="str">
        <f t="shared" si="21"/>
        <v/>
      </c>
      <c r="P1011" s="147" t="str">
        <f>IFERROR(__xludf.DUMMYFUNCTION("if(C1011="""","""",iferror(if(row()&lt;&gt;2,INDEX(arrayformula(filter($Q$2:$Q1010,$C$2:$C1010&lt;&gt;"""",row($C$2:$C1010)=max(if($C$2:$C1010=C1011,row($C$2:$C1010),0)))) ,1),0),0))"),"")</f>
        <v/>
      </c>
      <c r="Q1011" s="147" t="str">
        <f t="shared" si="22"/>
        <v/>
      </c>
      <c r="R1011" s="147" t="str">
        <f t="shared" si="23"/>
        <v/>
      </c>
      <c r="S1011" s="147" t="str">
        <f t="shared" si="24"/>
        <v/>
      </c>
      <c r="T1011" s="147" t="str">
        <f t="shared" si="7"/>
        <v/>
      </c>
      <c r="U1011" s="150" t="str">
        <f t="shared" si="8"/>
        <v/>
      </c>
      <c r="V1011" s="151" t="str">
        <f>IFERROR(VLOOKUP(C1011,Ativos!$A$1:$G2000,5,),)</f>
        <v/>
      </c>
    </row>
    <row r="1012" ht="21.0" customHeight="1">
      <c r="A1012" s="152"/>
      <c r="B1012" s="160"/>
      <c r="C1012" s="153"/>
      <c r="D1012" s="154"/>
      <c r="E1012" s="139"/>
      <c r="F1012" s="139"/>
      <c r="G1012" s="139"/>
      <c r="H1012" s="135"/>
      <c r="I1012" s="141"/>
      <c r="J1012" s="147" t="str">
        <f>IFERROR(__xludf.DUMMYFUNCTION("IF(ISBLANK(A1012),IFERROR(1/0),IF(COUNT(FILTER(F:F,A:A=A1012))&gt;1,TRUNC(N1012*F1012/SUM(FILTER(N:N,A:A=A1012)),3),F1012))"),"")</f>
        <v/>
      </c>
      <c r="K1012" s="147" t="str">
        <f>IFERROR(__xludf.DUMMYFUNCTION("IF(ISBLANK(A1012),IFERROR(1/0),IF(COUNT(FILTER(G:G,((A:A=A1012)*(B:B=""V""))))&gt;1,TRUNC(N1012*G1012/SUM(FILTER(N:N,((A:A=A1012)*(B:B=""V"")))),3),G1012))"),"")</f>
        <v/>
      </c>
      <c r="L1012" s="148" t="str">
        <f>IFERROR(__xludf.DUMMYFUNCTION("if($C1012="""","""",iferror(if(row()&lt;&gt;2,INDEX(arrayformula(filter($M$2:$M1011,$C$2:$C1011&lt;&gt;"""",row($C$2:$C1011)=max(if($C$2:$C1011=C1012,row($C$2:$C1011),0)))) ,1),0),0))"),"")</f>
        <v/>
      </c>
      <c r="M1012" s="148" t="str">
        <f t="shared" si="1"/>
        <v/>
      </c>
      <c r="N1012" s="147" t="str">
        <f t="shared" si="2"/>
        <v/>
      </c>
      <c r="O1012" s="147" t="str">
        <f t="shared" si="21"/>
        <v/>
      </c>
      <c r="P1012" s="147" t="str">
        <f>IFERROR(__xludf.DUMMYFUNCTION("if(C1012="""","""",iferror(if(row()&lt;&gt;2,INDEX(arrayformula(filter($Q$2:$Q1011,$C$2:$C1011&lt;&gt;"""",row($C$2:$C1011)=max(if($C$2:$C1011=C1012,row($C$2:$C1011),0)))) ,1),0),0))"),"")</f>
        <v/>
      </c>
      <c r="Q1012" s="147" t="str">
        <f t="shared" si="22"/>
        <v/>
      </c>
      <c r="R1012" s="147" t="str">
        <f t="shared" si="23"/>
        <v/>
      </c>
      <c r="S1012" s="147" t="str">
        <f t="shared" si="24"/>
        <v/>
      </c>
      <c r="T1012" s="147" t="str">
        <f t="shared" si="7"/>
        <v/>
      </c>
      <c r="U1012" s="150" t="str">
        <f t="shared" si="8"/>
        <v/>
      </c>
      <c r="V1012" s="151" t="str">
        <f>IFERROR(VLOOKUP(C1012,Ativos!$A$1:$G2000,5,),)</f>
        <v/>
      </c>
    </row>
    <row r="1013" ht="21.0" customHeight="1">
      <c r="A1013" s="152"/>
      <c r="B1013" s="160"/>
      <c r="C1013" s="153"/>
      <c r="D1013" s="154"/>
      <c r="E1013" s="139"/>
      <c r="F1013" s="139"/>
      <c r="G1013" s="139"/>
      <c r="H1013" s="135"/>
      <c r="I1013" s="141"/>
      <c r="J1013" s="147" t="str">
        <f>IFERROR(__xludf.DUMMYFUNCTION("IF(ISBLANK(A1013),IFERROR(1/0),IF(COUNT(FILTER(F:F,A:A=A1013))&gt;1,TRUNC(N1013*F1013/SUM(FILTER(N:N,A:A=A1013)),3),F1013))"),"")</f>
        <v/>
      </c>
      <c r="K1013" s="147" t="str">
        <f>IFERROR(__xludf.DUMMYFUNCTION("IF(ISBLANK(A1013),IFERROR(1/0),IF(COUNT(FILTER(G:G,((A:A=A1013)*(B:B=""V""))))&gt;1,TRUNC(N1013*G1013/SUM(FILTER(N:N,((A:A=A1013)*(B:B=""V"")))),3),G1013))"),"")</f>
        <v/>
      </c>
      <c r="L1013" s="148" t="str">
        <f>IFERROR(__xludf.DUMMYFUNCTION("if($C1013="""","""",iferror(if(row()&lt;&gt;2,INDEX(arrayformula(filter($M$2:$M1012,$C$2:$C1012&lt;&gt;"""",row($C$2:$C1012)=max(if($C$2:$C1012=C1013,row($C$2:$C1012),0)))) ,1),0),0))"),"")</f>
        <v/>
      </c>
      <c r="M1013" s="148" t="str">
        <f t="shared" si="1"/>
        <v/>
      </c>
      <c r="N1013" s="147" t="str">
        <f t="shared" si="2"/>
        <v/>
      </c>
      <c r="O1013" s="147" t="str">
        <f t="shared" si="21"/>
        <v/>
      </c>
      <c r="P1013" s="147" t="str">
        <f>IFERROR(__xludf.DUMMYFUNCTION("if(C1013="""","""",iferror(if(row()&lt;&gt;2,INDEX(arrayformula(filter($Q$2:$Q1012,$C$2:$C1012&lt;&gt;"""",row($C$2:$C1012)=max(if($C$2:$C1012=C1013,row($C$2:$C1012),0)))) ,1),0),0))"),"")</f>
        <v/>
      </c>
      <c r="Q1013" s="147" t="str">
        <f t="shared" si="22"/>
        <v/>
      </c>
      <c r="R1013" s="147" t="str">
        <f t="shared" si="23"/>
        <v/>
      </c>
      <c r="S1013" s="147" t="str">
        <f t="shared" si="24"/>
        <v/>
      </c>
      <c r="T1013" s="147" t="str">
        <f t="shared" si="7"/>
        <v/>
      </c>
      <c r="U1013" s="150" t="str">
        <f t="shared" si="8"/>
        <v/>
      </c>
      <c r="V1013" s="151" t="str">
        <f>IFERROR(VLOOKUP(C1013,Ativos!$A$1:$G2000,5,),)</f>
        <v/>
      </c>
    </row>
    <row r="1014" ht="21.0" customHeight="1">
      <c r="A1014" s="152"/>
      <c r="B1014" s="160"/>
      <c r="C1014" s="153"/>
      <c r="D1014" s="154"/>
      <c r="E1014" s="139"/>
      <c r="F1014" s="139"/>
      <c r="G1014" s="139"/>
      <c r="H1014" s="135"/>
      <c r="I1014" s="141"/>
      <c r="J1014" s="147" t="str">
        <f>IFERROR(__xludf.DUMMYFUNCTION("IF(ISBLANK(A1014),IFERROR(1/0),IF(COUNT(FILTER(F:F,A:A=A1014))&gt;1,TRUNC(N1014*F1014/SUM(FILTER(N:N,A:A=A1014)),3),F1014))"),"")</f>
        <v/>
      </c>
      <c r="K1014" s="147" t="str">
        <f>IFERROR(__xludf.DUMMYFUNCTION("IF(ISBLANK(A1014),IFERROR(1/0),IF(COUNT(FILTER(G:G,((A:A=A1014)*(B:B=""V""))))&gt;1,TRUNC(N1014*G1014/SUM(FILTER(N:N,((A:A=A1014)*(B:B=""V"")))),3),G1014))"),"")</f>
        <v/>
      </c>
      <c r="L1014" s="148" t="str">
        <f>IFERROR(__xludf.DUMMYFUNCTION("if($C1014="""","""",iferror(if(row()&lt;&gt;2,INDEX(arrayformula(filter($M$2:$M1013,$C$2:$C1013&lt;&gt;"""",row($C$2:$C1013)=max(if($C$2:$C1013=C1014,row($C$2:$C1013),0)))) ,1),0),0))"),"")</f>
        <v/>
      </c>
      <c r="M1014" s="148" t="str">
        <f t="shared" si="1"/>
        <v/>
      </c>
      <c r="N1014" s="147" t="str">
        <f t="shared" si="2"/>
        <v/>
      </c>
      <c r="O1014" s="147" t="str">
        <f t="shared" si="21"/>
        <v/>
      </c>
      <c r="P1014" s="147" t="str">
        <f>IFERROR(__xludf.DUMMYFUNCTION("if(C1014="""","""",iferror(if(row()&lt;&gt;2,INDEX(arrayformula(filter($Q$2:$Q1013,$C$2:$C1013&lt;&gt;"""",row($C$2:$C1013)=max(if($C$2:$C1013=C1014,row($C$2:$C1013),0)))) ,1),0),0))"),"")</f>
        <v/>
      </c>
      <c r="Q1014" s="147" t="str">
        <f t="shared" si="22"/>
        <v/>
      </c>
      <c r="R1014" s="147" t="str">
        <f t="shared" si="23"/>
        <v/>
      </c>
      <c r="S1014" s="147" t="str">
        <f t="shared" si="24"/>
        <v/>
      </c>
      <c r="T1014" s="147" t="str">
        <f t="shared" si="7"/>
        <v/>
      </c>
      <c r="U1014" s="150" t="str">
        <f t="shared" si="8"/>
        <v/>
      </c>
      <c r="V1014" s="151" t="str">
        <f>IFERROR(VLOOKUP(C1014,Ativos!$A$1:$G2000,5,),)</f>
        <v/>
      </c>
    </row>
    <row r="1015" ht="21.0" customHeight="1">
      <c r="A1015" s="152"/>
      <c r="B1015" s="160"/>
      <c r="C1015" s="153"/>
      <c r="D1015" s="154"/>
      <c r="E1015" s="139"/>
      <c r="F1015" s="139"/>
      <c r="G1015" s="139"/>
      <c r="H1015" s="135"/>
      <c r="I1015" s="141"/>
      <c r="J1015" s="147" t="str">
        <f>IFERROR(__xludf.DUMMYFUNCTION("IF(ISBLANK(A1015),IFERROR(1/0),IF(COUNT(FILTER(F:F,A:A=A1015))&gt;1,TRUNC(N1015*F1015/SUM(FILTER(N:N,A:A=A1015)),3),F1015))"),"")</f>
        <v/>
      </c>
      <c r="K1015" s="147" t="str">
        <f>IFERROR(__xludf.DUMMYFUNCTION("IF(ISBLANK(A1015),IFERROR(1/0),IF(COUNT(FILTER(G:G,((A:A=A1015)*(B:B=""V""))))&gt;1,TRUNC(N1015*G1015/SUM(FILTER(N:N,((A:A=A1015)*(B:B=""V"")))),3),G1015))"),"")</f>
        <v/>
      </c>
      <c r="L1015" s="148" t="str">
        <f>IFERROR(__xludf.DUMMYFUNCTION("if($C1015="""","""",iferror(if(row()&lt;&gt;2,INDEX(arrayformula(filter($M$2:$M1014,$C$2:$C1014&lt;&gt;"""",row($C$2:$C1014)=max(if($C$2:$C1014=C1015,row($C$2:$C1014),0)))) ,1),0),0))"),"")</f>
        <v/>
      </c>
      <c r="M1015" s="148" t="str">
        <f t="shared" si="1"/>
        <v/>
      </c>
      <c r="N1015" s="147" t="str">
        <f t="shared" si="2"/>
        <v/>
      </c>
      <c r="O1015" s="147" t="str">
        <f t="shared" si="21"/>
        <v/>
      </c>
      <c r="P1015" s="147" t="str">
        <f>IFERROR(__xludf.DUMMYFUNCTION("if(C1015="""","""",iferror(if(row()&lt;&gt;2,INDEX(arrayformula(filter($Q$2:$Q1014,$C$2:$C1014&lt;&gt;"""",row($C$2:$C1014)=max(if($C$2:$C1014=C1015,row($C$2:$C1014),0)))) ,1),0),0))"),"")</f>
        <v/>
      </c>
      <c r="Q1015" s="147" t="str">
        <f t="shared" si="22"/>
        <v/>
      </c>
      <c r="R1015" s="147" t="str">
        <f t="shared" si="23"/>
        <v/>
      </c>
      <c r="S1015" s="147" t="str">
        <f t="shared" si="24"/>
        <v/>
      </c>
      <c r="T1015" s="147" t="str">
        <f t="shared" si="7"/>
        <v/>
      </c>
      <c r="U1015" s="150" t="str">
        <f t="shared" si="8"/>
        <v/>
      </c>
      <c r="V1015" s="151" t="str">
        <f>IFERROR(VLOOKUP(C1015,Ativos!$A$1:$G2000,5,),)</f>
        <v/>
      </c>
    </row>
    <row r="1016" ht="21.0" customHeight="1">
      <c r="A1016" s="152"/>
      <c r="B1016" s="160"/>
      <c r="C1016" s="153"/>
      <c r="D1016" s="154"/>
      <c r="E1016" s="139"/>
      <c r="F1016" s="139"/>
      <c r="G1016" s="139"/>
      <c r="H1016" s="135"/>
      <c r="I1016" s="141"/>
      <c r="J1016" s="147" t="str">
        <f>IFERROR(__xludf.DUMMYFUNCTION("IF(ISBLANK(A1016),IFERROR(1/0),IF(COUNT(FILTER(F:F,A:A=A1016))&gt;1,TRUNC(N1016*F1016/SUM(FILTER(N:N,A:A=A1016)),3),F1016))"),"")</f>
        <v/>
      </c>
      <c r="K1016" s="147" t="str">
        <f>IFERROR(__xludf.DUMMYFUNCTION("IF(ISBLANK(A1016),IFERROR(1/0),IF(COUNT(FILTER(G:G,((A:A=A1016)*(B:B=""V""))))&gt;1,TRUNC(N1016*G1016/SUM(FILTER(N:N,((A:A=A1016)*(B:B=""V"")))),3),G1016))"),"")</f>
        <v/>
      </c>
      <c r="L1016" s="148" t="str">
        <f>IFERROR(__xludf.DUMMYFUNCTION("if($C1016="""","""",iferror(if(row()&lt;&gt;2,INDEX(arrayformula(filter($M$2:$M1015,$C$2:$C1015&lt;&gt;"""",row($C$2:$C1015)=max(if($C$2:$C1015=C1016,row($C$2:$C1015),0)))) ,1),0),0))"),"")</f>
        <v/>
      </c>
      <c r="M1016" s="148" t="str">
        <f t="shared" si="1"/>
        <v/>
      </c>
      <c r="N1016" s="147" t="str">
        <f t="shared" si="2"/>
        <v/>
      </c>
      <c r="O1016" s="147" t="str">
        <f t="shared" si="21"/>
        <v/>
      </c>
      <c r="P1016" s="147" t="str">
        <f>IFERROR(__xludf.DUMMYFUNCTION("if(C1016="""","""",iferror(if(row()&lt;&gt;2,INDEX(arrayformula(filter($Q$2:$Q1015,$C$2:$C1015&lt;&gt;"""",row($C$2:$C1015)=max(if($C$2:$C1015=C1016,row($C$2:$C1015),0)))) ,1),0),0))"),"")</f>
        <v/>
      </c>
      <c r="Q1016" s="147" t="str">
        <f t="shared" si="22"/>
        <v/>
      </c>
      <c r="R1016" s="147" t="str">
        <f t="shared" si="23"/>
        <v/>
      </c>
      <c r="S1016" s="147" t="str">
        <f t="shared" si="24"/>
        <v/>
      </c>
      <c r="T1016" s="147" t="str">
        <f t="shared" si="7"/>
        <v/>
      </c>
      <c r="U1016" s="150" t="str">
        <f t="shared" si="8"/>
        <v/>
      </c>
      <c r="V1016" s="151" t="str">
        <f>IFERROR(VLOOKUP(C1016,Ativos!$A$1:$G2000,5,),)</f>
        <v/>
      </c>
    </row>
    <row r="1017" ht="21.0" customHeight="1">
      <c r="A1017" s="152"/>
      <c r="B1017" s="160"/>
      <c r="C1017" s="153"/>
      <c r="D1017" s="154"/>
      <c r="E1017" s="139"/>
      <c r="F1017" s="139"/>
      <c r="G1017" s="139"/>
      <c r="H1017" s="135"/>
      <c r="I1017" s="141"/>
      <c r="J1017" s="147" t="str">
        <f>IFERROR(__xludf.DUMMYFUNCTION("IF(ISBLANK(A1017),IFERROR(1/0),IF(COUNT(FILTER(F:F,A:A=A1017))&gt;1,TRUNC(N1017*F1017/SUM(FILTER(N:N,A:A=A1017)),3),F1017))"),"")</f>
        <v/>
      </c>
      <c r="K1017" s="147" t="str">
        <f>IFERROR(__xludf.DUMMYFUNCTION("IF(ISBLANK(A1017),IFERROR(1/0),IF(COUNT(FILTER(G:G,((A:A=A1017)*(B:B=""V""))))&gt;1,TRUNC(N1017*G1017/SUM(FILTER(N:N,((A:A=A1017)*(B:B=""V"")))),3),G1017))"),"")</f>
        <v/>
      </c>
      <c r="L1017" s="148" t="str">
        <f>IFERROR(__xludf.DUMMYFUNCTION("if($C1017="""","""",iferror(if(row()&lt;&gt;2,INDEX(arrayformula(filter($M$2:$M1016,$C$2:$C1016&lt;&gt;"""",row($C$2:$C1016)=max(if($C$2:$C1016=C1017,row($C$2:$C1016),0)))) ,1),0),0))"),"")</f>
        <v/>
      </c>
      <c r="M1017" s="148" t="str">
        <f t="shared" si="1"/>
        <v/>
      </c>
      <c r="N1017" s="147" t="str">
        <f t="shared" si="2"/>
        <v/>
      </c>
      <c r="O1017" s="147" t="str">
        <f t="shared" si="21"/>
        <v/>
      </c>
      <c r="P1017" s="147" t="str">
        <f>IFERROR(__xludf.DUMMYFUNCTION("if(C1017="""","""",iferror(if(row()&lt;&gt;2,INDEX(arrayformula(filter($Q$2:$Q1016,$C$2:$C1016&lt;&gt;"""",row($C$2:$C1016)=max(if($C$2:$C1016=C1017,row($C$2:$C1016),0)))) ,1),0),0))"),"")</f>
        <v/>
      </c>
      <c r="Q1017" s="147" t="str">
        <f t="shared" si="22"/>
        <v/>
      </c>
      <c r="R1017" s="147" t="str">
        <f t="shared" si="23"/>
        <v/>
      </c>
      <c r="S1017" s="147" t="str">
        <f t="shared" si="24"/>
        <v/>
      </c>
      <c r="T1017" s="147" t="str">
        <f t="shared" si="7"/>
        <v/>
      </c>
      <c r="U1017" s="150" t="str">
        <f t="shared" si="8"/>
        <v/>
      </c>
      <c r="V1017" s="151" t="str">
        <f>IFERROR(VLOOKUP(C1017,Ativos!$A$1:$G2000,5,),)</f>
        <v/>
      </c>
    </row>
    <row r="1018" ht="21.0" customHeight="1">
      <c r="A1018" s="152"/>
      <c r="B1018" s="160"/>
      <c r="C1018" s="153"/>
      <c r="D1018" s="154"/>
      <c r="E1018" s="139"/>
      <c r="F1018" s="139"/>
      <c r="G1018" s="139"/>
      <c r="H1018" s="135"/>
      <c r="I1018" s="141"/>
      <c r="J1018" s="147" t="str">
        <f>IFERROR(__xludf.DUMMYFUNCTION("IF(ISBLANK(A1018),IFERROR(1/0),IF(COUNT(FILTER(F:F,A:A=A1018))&gt;1,TRUNC(N1018*F1018/SUM(FILTER(N:N,A:A=A1018)),3),F1018))"),"")</f>
        <v/>
      </c>
      <c r="K1018" s="147" t="str">
        <f>IFERROR(__xludf.DUMMYFUNCTION("IF(ISBLANK(A1018),IFERROR(1/0),IF(COUNT(FILTER(G:G,((A:A=A1018)*(B:B=""V""))))&gt;1,TRUNC(N1018*G1018/SUM(FILTER(N:N,((A:A=A1018)*(B:B=""V"")))),3),G1018))"),"")</f>
        <v/>
      </c>
      <c r="L1018" s="148" t="str">
        <f>IFERROR(__xludf.DUMMYFUNCTION("if($C1018="""","""",iferror(if(row()&lt;&gt;2,INDEX(arrayformula(filter($M$2:$M1017,$C$2:$C1017&lt;&gt;"""",row($C$2:$C1017)=max(if($C$2:$C1017=C1018,row($C$2:$C1017),0)))) ,1),0),0))"),"")</f>
        <v/>
      </c>
      <c r="M1018" s="148" t="str">
        <f t="shared" si="1"/>
        <v/>
      </c>
      <c r="N1018" s="147" t="str">
        <f t="shared" si="2"/>
        <v/>
      </c>
      <c r="O1018" s="147" t="str">
        <f t="shared" si="21"/>
        <v/>
      </c>
      <c r="P1018" s="147" t="str">
        <f>IFERROR(__xludf.DUMMYFUNCTION("if(C1018="""","""",iferror(if(row()&lt;&gt;2,INDEX(arrayformula(filter($Q$2:$Q1017,$C$2:$C1017&lt;&gt;"""",row($C$2:$C1017)=max(if($C$2:$C1017=C1018,row($C$2:$C1017),0)))) ,1),0),0))"),"")</f>
        <v/>
      </c>
      <c r="Q1018" s="147" t="str">
        <f t="shared" si="22"/>
        <v/>
      </c>
      <c r="R1018" s="147" t="str">
        <f t="shared" si="23"/>
        <v/>
      </c>
      <c r="S1018" s="147" t="str">
        <f t="shared" si="24"/>
        <v/>
      </c>
      <c r="T1018" s="147" t="str">
        <f t="shared" si="7"/>
        <v/>
      </c>
      <c r="U1018" s="150" t="str">
        <f t="shared" si="8"/>
        <v/>
      </c>
      <c r="V1018" s="151" t="str">
        <f>IFERROR(VLOOKUP(C1018,Ativos!$A$1:$G2000,5,),)</f>
        <v/>
      </c>
    </row>
    <row r="1019" ht="21.0" customHeight="1">
      <c r="A1019" s="152"/>
      <c r="B1019" s="160"/>
      <c r="C1019" s="153"/>
      <c r="D1019" s="154"/>
      <c r="E1019" s="139"/>
      <c r="F1019" s="139"/>
      <c r="G1019" s="139"/>
      <c r="H1019" s="135"/>
      <c r="I1019" s="141"/>
      <c r="J1019" s="147" t="str">
        <f>IFERROR(__xludf.DUMMYFUNCTION("IF(ISBLANK(A1019),IFERROR(1/0),IF(COUNT(FILTER(F:F,A:A=A1019))&gt;1,TRUNC(N1019*F1019/SUM(FILTER(N:N,A:A=A1019)),3),F1019))"),"")</f>
        <v/>
      </c>
      <c r="K1019" s="147" t="str">
        <f>IFERROR(__xludf.DUMMYFUNCTION("IF(ISBLANK(A1019),IFERROR(1/0),IF(COUNT(FILTER(G:G,((A:A=A1019)*(B:B=""V""))))&gt;1,TRUNC(N1019*G1019/SUM(FILTER(N:N,((A:A=A1019)*(B:B=""V"")))),3),G1019))"),"")</f>
        <v/>
      </c>
      <c r="L1019" s="148" t="str">
        <f>IFERROR(__xludf.DUMMYFUNCTION("if($C1019="""","""",iferror(if(row()&lt;&gt;2,INDEX(arrayformula(filter($M$2:$M1018,$C$2:$C1018&lt;&gt;"""",row($C$2:$C1018)=max(if($C$2:$C1018=C1019,row($C$2:$C1018),0)))) ,1),0),0))"),"")</f>
        <v/>
      </c>
      <c r="M1019" s="148" t="str">
        <f t="shared" si="1"/>
        <v/>
      </c>
      <c r="N1019" s="147" t="str">
        <f t="shared" si="2"/>
        <v/>
      </c>
      <c r="O1019" s="147" t="str">
        <f t="shared" si="21"/>
        <v/>
      </c>
      <c r="P1019" s="147" t="str">
        <f>IFERROR(__xludf.DUMMYFUNCTION("if(C1019="""","""",iferror(if(row()&lt;&gt;2,INDEX(arrayformula(filter($Q$2:$Q1018,$C$2:$C1018&lt;&gt;"""",row($C$2:$C1018)=max(if($C$2:$C1018=C1019,row($C$2:$C1018),0)))) ,1),0),0))"),"")</f>
        <v/>
      </c>
      <c r="Q1019" s="147" t="str">
        <f t="shared" si="22"/>
        <v/>
      </c>
      <c r="R1019" s="147" t="str">
        <f t="shared" si="23"/>
        <v/>
      </c>
      <c r="S1019" s="147" t="str">
        <f t="shared" si="24"/>
        <v/>
      </c>
      <c r="T1019" s="147" t="str">
        <f t="shared" si="7"/>
        <v/>
      </c>
      <c r="U1019" s="150" t="str">
        <f t="shared" si="8"/>
        <v/>
      </c>
      <c r="V1019" s="151" t="str">
        <f>IFERROR(VLOOKUP(C1019,Ativos!$A$1:$G2000,5,),)</f>
        <v/>
      </c>
    </row>
    <row r="1020" ht="21.0" customHeight="1">
      <c r="A1020" s="152"/>
      <c r="B1020" s="160"/>
      <c r="C1020" s="153"/>
      <c r="D1020" s="154"/>
      <c r="E1020" s="139"/>
      <c r="F1020" s="139"/>
      <c r="G1020" s="139"/>
      <c r="H1020" s="135"/>
      <c r="I1020" s="141"/>
      <c r="J1020" s="147" t="str">
        <f>IFERROR(__xludf.DUMMYFUNCTION("IF(ISBLANK(A1020),IFERROR(1/0),IF(COUNT(FILTER(F:F,A:A=A1020))&gt;1,TRUNC(N1020*F1020/SUM(FILTER(N:N,A:A=A1020)),3),F1020))"),"")</f>
        <v/>
      </c>
      <c r="K1020" s="147" t="str">
        <f>IFERROR(__xludf.DUMMYFUNCTION("IF(ISBLANK(A1020),IFERROR(1/0),IF(COUNT(FILTER(G:G,((A:A=A1020)*(B:B=""V""))))&gt;1,TRUNC(N1020*G1020/SUM(FILTER(N:N,((A:A=A1020)*(B:B=""V"")))),3),G1020))"),"")</f>
        <v/>
      </c>
      <c r="L1020" s="148" t="str">
        <f>IFERROR(__xludf.DUMMYFUNCTION("if($C1020="""","""",iferror(if(row()&lt;&gt;2,INDEX(arrayformula(filter($M$2:$M1019,$C$2:$C1019&lt;&gt;"""",row($C$2:$C1019)=max(if($C$2:$C1019=C1020,row($C$2:$C1019),0)))) ,1),0),0))"),"")</f>
        <v/>
      </c>
      <c r="M1020" s="148" t="str">
        <f t="shared" si="1"/>
        <v/>
      </c>
      <c r="N1020" s="147" t="str">
        <f t="shared" si="2"/>
        <v/>
      </c>
      <c r="O1020" s="147" t="str">
        <f t="shared" si="21"/>
        <v/>
      </c>
      <c r="P1020" s="147" t="str">
        <f>IFERROR(__xludf.DUMMYFUNCTION("if(C1020="""","""",iferror(if(row()&lt;&gt;2,INDEX(arrayformula(filter($Q$2:$Q1019,$C$2:$C1019&lt;&gt;"""",row($C$2:$C1019)=max(if($C$2:$C1019=C1020,row($C$2:$C1019),0)))) ,1),0),0))"),"")</f>
        <v/>
      </c>
      <c r="Q1020" s="147" t="str">
        <f t="shared" si="22"/>
        <v/>
      </c>
      <c r="R1020" s="147" t="str">
        <f t="shared" si="23"/>
        <v/>
      </c>
      <c r="S1020" s="147" t="str">
        <f t="shared" si="24"/>
        <v/>
      </c>
      <c r="T1020" s="147" t="str">
        <f t="shared" si="7"/>
        <v/>
      </c>
      <c r="U1020" s="150" t="str">
        <f t="shared" si="8"/>
        <v/>
      </c>
      <c r="V1020" s="151" t="str">
        <f>IFERROR(VLOOKUP(C1020,Ativos!$A$1:$G2000,5,),)</f>
        <v/>
      </c>
    </row>
    <row r="1021" ht="21.0" customHeight="1">
      <c r="A1021" s="152"/>
      <c r="B1021" s="160"/>
      <c r="C1021" s="153"/>
      <c r="D1021" s="154"/>
      <c r="E1021" s="139"/>
      <c r="F1021" s="139"/>
      <c r="G1021" s="139"/>
      <c r="H1021" s="135"/>
      <c r="I1021" s="141"/>
      <c r="J1021" s="147" t="str">
        <f>IFERROR(__xludf.DUMMYFUNCTION("IF(ISBLANK(A1021),IFERROR(1/0),IF(COUNT(FILTER(F:F,A:A=A1021))&gt;1,TRUNC(N1021*F1021/SUM(FILTER(N:N,A:A=A1021)),3),F1021))"),"")</f>
        <v/>
      </c>
      <c r="K1021" s="147" t="str">
        <f>IFERROR(__xludf.DUMMYFUNCTION("IF(ISBLANK(A1021),IFERROR(1/0),IF(COUNT(FILTER(G:G,((A:A=A1021)*(B:B=""V""))))&gt;1,TRUNC(N1021*G1021/SUM(FILTER(N:N,((A:A=A1021)*(B:B=""V"")))),3),G1021))"),"")</f>
        <v/>
      </c>
      <c r="L1021" s="148" t="str">
        <f>IFERROR(__xludf.DUMMYFUNCTION("if($C1021="""","""",iferror(if(row()&lt;&gt;2,INDEX(arrayformula(filter($M$2:$M1020,$C$2:$C1020&lt;&gt;"""",row($C$2:$C1020)=max(if($C$2:$C1020=C1021,row($C$2:$C1020),0)))) ,1),0),0))"),"")</f>
        <v/>
      </c>
      <c r="M1021" s="148" t="str">
        <f t="shared" si="1"/>
        <v/>
      </c>
      <c r="N1021" s="147" t="str">
        <f t="shared" si="2"/>
        <v/>
      </c>
      <c r="O1021" s="147" t="str">
        <f t="shared" si="21"/>
        <v/>
      </c>
      <c r="P1021" s="147" t="str">
        <f>IFERROR(__xludf.DUMMYFUNCTION("if(C1021="""","""",iferror(if(row()&lt;&gt;2,INDEX(arrayformula(filter($Q$2:$Q1020,$C$2:$C1020&lt;&gt;"""",row($C$2:$C1020)=max(if($C$2:$C1020=C1021,row($C$2:$C1020),0)))) ,1),0),0))"),"")</f>
        <v/>
      </c>
      <c r="Q1021" s="147" t="str">
        <f t="shared" si="22"/>
        <v/>
      </c>
      <c r="R1021" s="147" t="str">
        <f t="shared" si="23"/>
        <v/>
      </c>
      <c r="S1021" s="147" t="str">
        <f t="shared" si="24"/>
        <v/>
      </c>
      <c r="T1021" s="147" t="str">
        <f t="shared" si="7"/>
        <v/>
      </c>
      <c r="U1021" s="150" t="str">
        <f t="shared" si="8"/>
        <v/>
      </c>
      <c r="V1021" s="151" t="str">
        <f>IFERROR(VLOOKUP(C1021,Ativos!$A$1:$G2000,5,),)</f>
        <v/>
      </c>
    </row>
    <row r="1022" ht="21.0" customHeight="1">
      <c r="A1022" s="152"/>
      <c r="B1022" s="160"/>
      <c r="C1022" s="153"/>
      <c r="D1022" s="154"/>
      <c r="E1022" s="139"/>
      <c r="F1022" s="139"/>
      <c r="G1022" s="139"/>
      <c r="H1022" s="135"/>
      <c r="I1022" s="141"/>
      <c r="J1022" s="147" t="str">
        <f>IFERROR(__xludf.DUMMYFUNCTION("IF(ISBLANK(A1022),IFERROR(1/0),IF(COUNT(FILTER(F:F,A:A=A1022))&gt;1,TRUNC(N1022*F1022/SUM(FILTER(N:N,A:A=A1022)),3),F1022))"),"")</f>
        <v/>
      </c>
      <c r="K1022" s="147" t="str">
        <f>IFERROR(__xludf.DUMMYFUNCTION("IF(ISBLANK(A1022),IFERROR(1/0),IF(COUNT(FILTER(G:G,((A:A=A1022)*(B:B=""V""))))&gt;1,TRUNC(N1022*G1022/SUM(FILTER(N:N,((A:A=A1022)*(B:B=""V"")))),3),G1022))"),"")</f>
        <v/>
      </c>
      <c r="L1022" s="148" t="str">
        <f>IFERROR(__xludf.DUMMYFUNCTION("if($C1022="""","""",iferror(if(row()&lt;&gt;2,INDEX(arrayformula(filter($M$2:$M1021,$C$2:$C1021&lt;&gt;"""",row($C$2:$C1021)=max(if($C$2:$C1021=C1022,row($C$2:$C1021),0)))) ,1),0),0))"),"")</f>
        <v/>
      </c>
      <c r="M1022" s="148" t="str">
        <f t="shared" si="1"/>
        <v/>
      </c>
      <c r="N1022" s="147" t="str">
        <f t="shared" si="2"/>
        <v/>
      </c>
      <c r="O1022" s="147" t="str">
        <f t="shared" si="21"/>
        <v/>
      </c>
      <c r="P1022" s="147" t="str">
        <f>IFERROR(__xludf.DUMMYFUNCTION("if(C1022="""","""",iferror(if(row()&lt;&gt;2,INDEX(arrayformula(filter($Q$2:$Q1021,$C$2:$C1021&lt;&gt;"""",row($C$2:$C1021)=max(if($C$2:$C1021=C1022,row($C$2:$C1021),0)))) ,1),0),0))"),"")</f>
        <v/>
      </c>
      <c r="Q1022" s="147" t="str">
        <f t="shared" si="22"/>
        <v/>
      </c>
      <c r="R1022" s="147" t="str">
        <f t="shared" si="23"/>
        <v/>
      </c>
      <c r="S1022" s="147" t="str">
        <f t="shared" si="24"/>
        <v/>
      </c>
      <c r="T1022" s="147" t="str">
        <f t="shared" si="7"/>
        <v/>
      </c>
      <c r="U1022" s="150" t="str">
        <f t="shared" si="8"/>
        <v/>
      </c>
      <c r="V1022" s="151" t="str">
        <f>IFERROR(VLOOKUP(C1022,Ativos!$A$1:$G2000,5,),)</f>
        <v/>
      </c>
    </row>
    <row r="1023" ht="21.0" customHeight="1">
      <c r="A1023" s="152"/>
      <c r="B1023" s="160"/>
      <c r="C1023" s="153"/>
      <c r="D1023" s="154"/>
      <c r="E1023" s="139"/>
      <c r="F1023" s="139"/>
      <c r="G1023" s="139"/>
      <c r="H1023" s="135"/>
      <c r="I1023" s="141"/>
      <c r="J1023" s="147" t="str">
        <f>IFERROR(__xludf.DUMMYFUNCTION("IF(ISBLANK(A1023),IFERROR(1/0),IF(COUNT(FILTER(F:F,A:A=A1023))&gt;1,TRUNC(N1023*F1023/SUM(FILTER(N:N,A:A=A1023)),3),F1023))"),"")</f>
        <v/>
      </c>
      <c r="K1023" s="147" t="str">
        <f>IFERROR(__xludf.DUMMYFUNCTION("IF(ISBLANK(A1023),IFERROR(1/0),IF(COUNT(FILTER(G:G,((A:A=A1023)*(B:B=""V""))))&gt;1,TRUNC(N1023*G1023/SUM(FILTER(N:N,((A:A=A1023)*(B:B=""V"")))),3),G1023))"),"")</f>
        <v/>
      </c>
      <c r="L1023" s="148" t="str">
        <f>IFERROR(__xludf.DUMMYFUNCTION("if($C1023="""","""",iferror(if(row()&lt;&gt;2,INDEX(arrayformula(filter($M$2:$M1022,$C$2:$C1022&lt;&gt;"""",row($C$2:$C1022)=max(if($C$2:$C1022=C1023,row($C$2:$C1022),0)))) ,1),0),0))"),"")</f>
        <v/>
      </c>
      <c r="M1023" s="148" t="str">
        <f t="shared" si="1"/>
        <v/>
      </c>
      <c r="N1023" s="147" t="str">
        <f t="shared" si="2"/>
        <v/>
      </c>
      <c r="O1023" s="147" t="str">
        <f t="shared" si="21"/>
        <v/>
      </c>
      <c r="P1023" s="147" t="str">
        <f>IFERROR(__xludf.DUMMYFUNCTION("if(C1023="""","""",iferror(if(row()&lt;&gt;2,INDEX(arrayformula(filter($Q$2:$Q1022,$C$2:$C1022&lt;&gt;"""",row($C$2:$C1022)=max(if($C$2:$C1022=C1023,row($C$2:$C1022),0)))) ,1),0),0))"),"")</f>
        <v/>
      </c>
      <c r="Q1023" s="147" t="str">
        <f t="shared" si="22"/>
        <v/>
      </c>
      <c r="R1023" s="147" t="str">
        <f t="shared" si="23"/>
        <v/>
      </c>
      <c r="S1023" s="147" t="str">
        <f t="shared" si="24"/>
        <v/>
      </c>
      <c r="T1023" s="147" t="str">
        <f t="shared" si="7"/>
        <v/>
      </c>
      <c r="U1023" s="150" t="str">
        <f t="shared" si="8"/>
        <v/>
      </c>
      <c r="V1023" s="151" t="str">
        <f>IFERROR(VLOOKUP(C1023,Ativos!$A$1:$G2000,5,),)</f>
        <v/>
      </c>
    </row>
    <row r="1024" ht="21.0" customHeight="1">
      <c r="A1024" s="152"/>
      <c r="B1024" s="160"/>
      <c r="C1024" s="153"/>
      <c r="D1024" s="154"/>
      <c r="E1024" s="139"/>
      <c r="F1024" s="139"/>
      <c r="G1024" s="139"/>
      <c r="H1024" s="135"/>
      <c r="I1024" s="141"/>
      <c r="J1024" s="147" t="str">
        <f>IFERROR(__xludf.DUMMYFUNCTION("IF(ISBLANK(A1024),IFERROR(1/0),IF(COUNT(FILTER(F:F,A:A=A1024))&gt;1,TRUNC(N1024*F1024/SUM(FILTER(N:N,A:A=A1024)),3),F1024))"),"")</f>
        <v/>
      </c>
      <c r="K1024" s="147" t="str">
        <f>IFERROR(__xludf.DUMMYFUNCTION("IF(ISBLANK(A1024),IFERROR(1/0),IF(COUNT(FILTER(G:G,((A:A=A1024)*(B:B=""V""))))&gt;1,TRUNC(N1024*G1024/SUM(FILTER(N:N,((A:A=A1024)*(B:B=""V"")))),3),G1024))"),"")</f>
        <v/>
      </c>
      <c r="L1024" s="148" t="str">
        <f>IFERROR(__xludf.DUMMYFUNCTION("if($C1024="""","""",iferror(if(row()&lt;&gt;2,INDEX(arrayformula(filter($M$2:$M1023,$C$2:$C1023&lt;&gt;"""",row($C$2:$C1023)=max(if($C$2:$C1023=C1024,row($C$2:$C1023),0)))) ,1),0),0))"),"")</f>
        <v/>
      </c>
      <c r="M1024" s="148" t="str">
        <f t="shared" si="1"/>
        <v/>
      </c>
      <c r="N1024" s="147" t="str">
        <f t="shared" si="2"/>
        <v/>
      </c>
      <c r="O1024" s="147" t="str">
        <f t="shared" si="21"/>
        <v/>
      </c>
      <c r="P1024" s="147" t="str">
        <f>IFERROR(__xludf.DUMMYFUNCTION("if(C1024="""","""",iferror(if(row()&lt;&gt;2,INDEX(arrayformula(filter($Q$2:$Q1023,$C$2:$C1023&lt;&gt;"""",row($C$2:$C1023)=max(if($C$2:$C1023=C1024,row($C$2:$C1023),0)))) ,1),0),0))"),"")</f>
        <v/>
      </c>
      <c r="Q1024" s="147" t="str">
        <f t="shared" si="22"/>
        <v/>
      </c>
      <c r="R1024" s="147" t="str">
        <f t="shared" si="23"/>
        <v/>
      </c>
      <c r="S1024" s="147" t="str">
        <f t="shared" si="24"/>
        <v/>
      </c>
      <c r="T1024" s="147" t="str">
        <f t="shared" si="7"/>
        <v/>
      </c>
      <c r="U1024" s="150" t="str">
        <f t="shared" si="8"/>
        <v/>
      </c>
      <c r="V1024" s="151" t="str">
        <f>IFERROR(VLOOKUP(C1024,Ativos!$A$1:$G2000,5,),)</f>
        <v/>
      </c>
    </row>
    <row r="1025" ht="21.0" customHeight="1">
      <c r="A1025" s="152"/>
      <c r="B1025" s="160"/>
      <c r="C1025" s="153"/>
      <c r="D1025" s="154"/>
      <c r="E1025" s="139"/>
      <c r="F1025" s="139"/>
      <c r="G1025" s="139"/>
      <c r="H1025" s="135"/>
      <c r="I1025" s="141"/>
      <c r="J1025" s="147" t="str">
        <f>IFERROR(__xludf.DUMMYFUNCTION("IF(ISBLANK(A1025),IFERROR(1/0),IF(COUNT(FILTER(F:F,A:A=A1025))&gt;1,TRUNC(N1025*F1025/SUM(FILTER(N:N,A:A=A1025)),3),F1025))"),"")</f>
        <v/>
      </c>
      <c r="K1025" s="147" t="str">
        <f>IFERROR(__xludf.DUMMYFUNCTION("IF(ISBLANK(A1025),IFERROR(1/0),IF(COUNT(FILTER(G:G,((A:A=A1025)*(B:B=""V""))))&gt;1,TRUNC(N1025*G1025/SUM(FILTER(N:N,((A:A=A1025)*(B:B=""V"")))),3),G1025))"),"")</f>
        <v/>
      </c>
      <c r="L1025" s="148" t="str">
        <f>IFERROR(__xludf.DUMMYFUNCTION("if($C1025="""","""",iferror(if(row()&lt;&gt;2,INDEX(arrayformula(filter($M$2:$M1024,$C$2:$C1024&lt;&gt;"""",row($C$2:$C1024)=max(if($C$2:$C1024=C1025,row($C$2:$C1024),0)))) ,1),0),0))"),"")</f>
        <v/>
      </c>
      <c r="M1025" s="148" t="str">
        <f t="shared" si="1"/>
        <v/>
      </c>
      <c r="N1025" s="147" t="str">
        <f t="shared" si="2"/>
        <v/>
      </c>
      <c r="O1025" s="147" t="str">
        <f t="shared" si="21"/>
        <v/>
      </c>
      <c r="P1025" s="147" t="str">
        <f>IFERROR(__xludf.DUMMYFUNCTION("if(C1025="""","""",iferror(if(row()&lt;&gt;2,INDEX(arrayformula(filter($Q$2:$Q1024,$C$2:$C1024&lt;&gt;"""",row($C$2:$C1024)=max(if($C$2:$C1024=C1025,row($C$2:$C1024),0)))) ,1),0),0))"),"")</f>
        <v/>
      </c>
      <c r="Q1025" s="147" t="str">
        <f t="shared" si="22"/>
        <v/>
      </c>
      <c r="R1025" s="147" t="str">
        <f t="shared" si="23"/>
        <v/>
      </c>
      <c r="S1025" s="147" t="str">
        <f t="shared" si="24"/>
        <v/>
      </c>
      <c r="T1025" s="147" t="str">
        <f t="shared" si="7"/>
        <v/>
      </c>
      <c r="U1025" s="150" t="str">
        <f t="shared" si="8"/>
        <v/>
      </c>
      <c r="V1025" s="151" t="str">
        <f>IFERROR(VLOOKUP(C1025,Ativos!$A$1:$G2000,5,),)</f>
        <v/>
      </c>
    </row>
    <row r="1026" ht="21.0" customHeight="1">
      <c r="A1026" s="152"/>
      <c r="B1026" s="160"/>
      <c r="C1026" s="153"/>
      <c r="D1026" s="154"/>
      <c r="E1026" s="139"/>
      <c r="F1026" s="139"/>
      <c r="G1026" s="139"/>
      <c r="H1026" s="135"/>
      <c r="I1026" s="141"/>
      <c r="J1026" s="147" t="str">
        <f>IFERROR(__xludf.DUMMYFUNCTION("IF(ISBLANK(A1026),IFERROR(1/0),IF(COUNT(FILTER(F:F,A:A=A1026))&gt;1,TRUNC(N1026*F1026/SUM(FILTER(N:N,A:A=A1026)),3),F1026))"),"")</f>
        <v/>
      </c>
      <c r="K1026" s="147" t="str">
        <f>IFERROR(__xludf.DUMMYFUNCTION("IF(ISBLANK(A1026),IFERROR(1/0),IF(COUNT(FILTER(G:G,((A:A=A1026)*(B:B=""V""))))&gt;1,TRUNC(N1026*G1026/SUM(FILTER(N:N,((A:A=A1026)*(B:B=""V"")))),3),G1026))"),"")</f>
        <v/>
      </c>
      <c r="L1026" s="148" t="str">
        <f>IFERROR(__xludf.DUMMYFUNCTION("if($C1026="""","""",iferror(if(row()&lt;&gt;2,INDEX(arrayformula(filter($M$2:$M1025,$C$2:$C1025&lt;&gt;"""",row($C$2:$C1025)=max(if($C$2:$C1025=C1026,row($C$2:$C1025),0)))) ,1),0),0))"),"")</f>
        <v/>
      </c>
      <c r="M1026" s="148" t="str">
        <f t="shared" si="1"/>
        <v/>
      </c>
      <c r="N1026" s="147" t="str">
        <f t="shared" si="2"/>
        <v/>
      </c>
      <c r="O1026" s="147" t="str">
        <f t="shared" si="21"/>
        <v/>
      </c>
      <c r="P1026" s="147" t="str">
        <f>IFERROR(__xludf.DUMMYFUNCTION("if(C1026="""","""",iferror(if(row()&lt;&gt;2,INDEX(arrayformula(filter($Q$2:$Q1025,$C$2:$C1025&lt;&gt;"""",row($C$2:$C1025)=max(if($C$2:$C1025=C1026,row($C$2:$C1025),0)))) ,1),0),0))"),"")</f>
        <v/>
      </c>
      <c r="Q1026" s="147" t="str">
        <f t="shared" si="22"/>
        <v/>
      </c>
      <c r="R1026" s="147" t="str">
        <f t="shared" si="23"/>
        <v/>
      </c>
      <c r="S1026" s="147" t="str">
        <f t="shared" si="24"/>
        <v/>
      </c>
      <c r="T1026" s="147" t="str">
        <f t="shared" si="7"/>
        <v/>
      </c>
      <c r="U1026" s="150" t="str">
        <f t="shared" si="8"/>
        <v/>
      </c>
      <c r="V1026" s="151" t="str">
        <f>IFERROR(VLOOKUP(C1026,Ativos!$A$1:$G2000,5,),)</f>
        <v/>
      </c>
    </row>
    <row r="1027" ht="21.0" customHeight="1">
      <c r="A1027" s="152"/>
      <c r="B1027" s="160"/>
      <c r="C1027" s="153"/>
      <c r="D1027" s="154"/>
      <c r="E1027" s="139"/>
      <c r="F1027" s="139"/>
      <c r="G1027" s="139"/>
      <c r="H1027" s="135"/>
      <c r="I1027" s="141"/>
      <c r="J1027" s="147" t="str">
        <f>IFERROR(__xludf.DUMMYFUNCTION("IF(ISBLANK(A1027),IFERROR(1/0),IF(COUNT(FILTER(F:F,A:A=A1027))&gt;1,TRUNC(N1027*F1027/SUM(FILTER(N:N,A:A=A1027)),3),F1027))"),"")</f>
        <v/>
      </c>
      <c r="K1027" s="147" t="str">
        <f>IFERROR(__xludf.DUMMYFUNCTION("IF(ISBLANK(A1027),IFERROR(1/0),IF(COUNT(FILTER(G:G,((A:A=A1027)*(B:B=""V""))))&gt;1,TRUNC(N1027*G1027/SUM(FILTER(N:N,((A:A=A1027)*(B:B=""V"")))),3),G1027))"),"")</f>
        <v/>
      </c>
      <c r="L1027" s="148" t="str">
        <f>IFERROR(__xludf.DUMMYFUNCTION("if($C1027="""","""",iferror(if(row()&lt;&gt;2,INDEX(arrayformula(filter($M$2:$M1026,$C$2:$C1026&lt;&gt;"""",row($C$2:$C1026)=max(if($C$2:$C1026=C1027,row($C$2:$C1026),0)))) ,1),0),0))"),"")</f>
        <v/>
      </c>
      <c r="M1027" s="148" t="str">
        <f t="shared" si="1"/>
        <v/>
      </c>
      <c r="N1027" s="147" t="str">
        <f t="shared" si="2"/>
        <v/>
      </c>
      <c r="O1027" s="147" t="str">
        <f t="shared" si="21"/>
        <v/>
      </c>
      <c r="P1027" s="147" t="str">
        <f>IFERROR(__xludf.DUMMYFUNCTION("if(C1027="""","""",iferror(if(row()&lt;&gt;2,INDEX(arrayformula(filter($Q$2:$Q1026,$C$2:$C1026&lt;&gt;"""",row($C$2:$C1026)=max(if($C$2:$C1026=C1027,row($C$2:$C1026),0)))) ,1),0),0))"),"")</f>
        <v/>
      </c>
      <c r="Q1027" s="147" t="str">
        <f t="shared" si="22"/>
        <v/>
      </c>
      <c r="R1027" s="147" t="str">
        <f t="shared" si="23"/>
        <v/>
      </c>
      <c r="S1027" s="147" t="str">
        <f t="shared" si="24"/>
        <v/>
      </c>
      <c r="T1027" s="147" t="str">
        <f t="shared" si="7"/>
        <v/>
      </c>
      <c r="U1027" s="150" t="str">
        <f t="shared" si="8"/>
        <v/>
      </c>
      <c r="V1027" s="151" t="str">
        <f>IFERROR(VLOOKUP(C1027,Ativos!$A$1:$G2000,5,),)</f>
        <v/>
      </c>
    </row>
    <row r="1028" ht="21.0" customHeight="1">
      <c r="A1028" s="152"/>
      <c r="B1028" s="160"/>
      <c r="C1028" s="153"/>
      <c r="D1028" s="154"/>
      <c r="E1028" s="139"/>
      <c r="F1028" s="139"/>
      <c r="G1028" s="139"/>
      <c r="H1028" s="135"/>
      <c r="I1028" s="141"/>
      <c r="J1028" s="147" t="str">
        <f>IFERROR(__xludf.DUMMYFUNCTION("IF(ISBLANK(A1028),IFERROR(1/0),IF(COUNT(FILTER(F:F,A:A=A1028))&gt;1,TRUNC(N1028*F1028/SUM(FILTER(N:N,A:A=A1028)),3),F1028))"),"")</f>
        <v/>
      </c>
      <c r="K1028" s="147" t="str">
        <f>IFERROR(__xludf.DUMMYFUNCTION("IF(ISBLANK(A1028),IFERROR(1/0),IF(COUNT(FILTER(G:G,((A:A=A1028)*(B:B=""V""))))&gt;1,TRUNC(N1028*G1028/SUM(FILTER(N:N,((A:A=A1028)*(B:B=""V"")))),3),G1028))"),"")</f>
        <v/>
      </c>
      <c r="L1028" s="148" t="str">
        <f>IFERROR(__xludf.DUMMYFUNCTION("if($C1028="""","""",iferror(if(row()&lt;&gt;2,INDEX(arrayformula(filter($M$2:$M1027,$C$2:$C1027&lt;&gt;"""",row($C$2:$C1027)=max(if($C$2:$C1027=C1028,row($C$2:$C1027),0)))) ,1),0),0))"),"")</f>
        <v/>
      </c>
      <c r="M1028" s="148" t="str">
        <f t="shared" si="1"/>
        <v/>
      </c>
      <c r="N1028" s="147" t="str">
        <f t="shared" si="2"/>
        <v/>
      </c>
      <c r="O1028" s="147" t="str">
        <f t="shared" si="21"/>
        <v/>
      </c>
      <c r="P1028" s="147" t="str">
        <f>IFERROR(__xludf.DUMMYFUNCTION("if(C1028="""","""",iferror(if(row()&lt;&gt;2,INDEX(arrayformula(filter($Q$2:$Q1027,$C$2:$C1027&lt;&gt;"""",row($C$2:$C1027)=max(if($C$2:$C1027=C1028,row($C$2:$C1027),0)))) ,1),0),0))"),"")</f>
        <v/>
      </c>
      <c r="Q1028" s="147" t="str">
        <f t="shared" si="22"/>
        <v/>
      </c>
      <c r="R1028" s="147" t="str">
        <f t="shared" si="23"/>
        <v/>
      </c>
      <c r="S1028" s="147" t="str">
        <f t="shared" si="24"/>
        <v/>
      </c>
      <c r="T1028" s="147" t="str">
        <f t="shared" si="7"/>
        <v/>
      </c>
      <c r="U1028" s="150" t="str">
        <f t="shared" si="8"/>
        <v/>
      </c>
      <c r="V1028" s="151" t="str">
        <f>IFERROR(VLOOKUP(C1028,Ativos!$A$1:$G2000,5,),)</f>
        <v/>
      </c>
    </row>
    <row r="1029" ht="21.0" customHeight="1">
      <c r="A1029" s="152"/>
      <c r="B1029" s="160"/>
      <c r="C1029" s="153"/>
      <c r="D1029" s="154"/>
      <c r="E1029" s="139"/>
      <c r="F1029" s="139"/>
      <c r="G1029" s="139"/>
      <c r="H1029" s="135"/>
      <c r="I1029" s="141"/>
      <c r="J1029" s="147" t="str">
        <f>IFERROR(__xludf.DUMMYFUNCTION("IF(ISBLANK(A1029),IFERROR(1/0),IF(COUNT(FILTER(F:F,A:A=A1029))&gt;1,TRUNC(N1029*F1029/SUM(FILTER(N:N,A:A=A1029)),3),F1029))"),"")</f>
        <v/>
      </c>
      <c r="K1029" s="147" t="str">
        <f>IFERROR(__xludf.DUMMYFUNCTION("IF(ISBLANK(A1029),IFERROR(1/0),IF(COUNT(FILTER(G:G,((A:A=A1029)*(B:B=""V""))))&gt;1,TRUNC(N1029*G1029/SUM(FILTER(N:N,((A:A=A1029)*(B:B=""V"")))),3),G1029))"),"")</f>
        <v/>
      </c>
      <c r="L1029" s="148" t="str">
        <f>IFERROR(__xludf.DUMMYFUNCTION("if($C1029="""","""",iferror(if(row()&lt;&gt;2,INDEX(arrayformula(filter($M$2:$M1028,$C$2:$C1028&lt;&gt;"""",row($C$2:$C1028)=max(if($C$2:$C1028=C1029,row($C$2:$C1028),0)))) ,1),0),0))"),"")</f>
        <v/>
      </c>
      <c r="M1029" s="148" t="str">
        <f t="shared" si="1"/>
        <v/>
      </c>
      <c r="N1029" s="147" t="str">
        <f t="shared" si="2"/>
        <v/>
      </c>
      <c r="O1029" s="147" t="str">
        <f t="shared" si="21"/>
        <v/>
      </c>
      <c r="P1029" s="147" t="str">
        <f>IFERROR(__xludf.DUMMYFUNCTION("if(C1029="""","""",iferror(if(row()&lt;&gt;2,INDEX(arrayformula(filter($Q$2:$Q1028,$C$2:$C1028&lt;&gt;"""",row($C$2:$C1028)=max(if($C$2:$C1028=C1029,row($C$2:$C1028),0)))) ,1),0),0))"),"")</f>
        <v/>
      </c>
      <c r="Q1029" s="147" t="str">
        <f t="shared" si="22"/>
        <v/>
      </c>
      <c r="R1029" s="147" t="str">
        <f t="shared" si="23"/>
        <v/>
      </c>
      <c r="S1029" s="147" t="str">
        <f t="shared" si="24"/>
        <v/>
      </c>
      <c r="T1029" s="147" t="str">
        <f t="shared" si="7"/>
        <v/>
      </c>
      <c r="U1029" s="150" t="str">
        <f t="shared" si="8"/>
        <v/>
      </c>
      <c r="V1029" s="151" t="str">
        <f>IFERROR(VLOOKUP(C1029,Ativos!$A$1:$G2000,5,),)</f>
        <v/>
      </c>
    </row>
    <row r="1030" ht="21.0" customHeight="1">
      <c r="A1030" s="152"/>
      <c r="B1030" s="160"/>
      <c r="C1030" s="153"/>
      <c r="D1030" s="154"/>
      <c r="E1030" s="139"/>
      <c r="F1030" s="139"/>
      <c r="G1030" s="139"/>
      <c r="H1030" s="135"/>
      <c r="I1030" s="141"/>
      <c r="J1030" s="147" t="str">
        <f>IFERROR(__xludf.DUMMYFUNCTION("IF(ISBLANK(A1030),IFERROR(1/0),IF(COUNT(FILTER(F:F,A:A=A1030))&gt;1,TRUNC(N1030*F1030/SUM(FILTER(N:N,A:A=A1030)),3),F1030))"),"")</f>
        <v/>
      </c>
      <c r="K1030" s="147" t="str">
        <f>IFERROR(__xludf.DUMMYFUNCTION("IF(ISBLANK(A1030),IFERROR(1/0),IF(COUNT(FILTER(G:G,((A:A=A1030)*(B:B=""V""))))&gt;1,TRUNC(N1030*G1030/SUM(FILTER(N:N,((A:A=A1030)*(B:B=""V"")))),3),G1030))"),"")</f>
        <v/>
      </c>
      <c r="L1030" s="148" t="str">
        <f>IFERROR(__xludf.DUMMYFUNCTION("if($C1030="""","""",iferror(if(row()&lt;&gt;2,INDEX(arrayformula(filter($M$2:$M1029,$C$2:$C1029&lt;&gt;"""",row($C$2:$C1029)=max(if($C$2:$C1029=C1030,row($C$2:$C1029),0)))) ,1),0),0))"),"")</f>
        <v/>
      </c>
      <c r="M1030" s="148" t="str">
        <f t="shared" si="1"/>
        <v/>
      </c>
      <c r="N1030" s="147" t="str">
        <f t="shared" si="2"/>
        <v/>
      </c>
      <c r="O1030" s="147" t="str">
        <f t="shared" si="21"/>
        <v/>
      </c>
      <c r="P1030" s="147" t="str">
        <f>IFERROR(__xludf.DUMMYFUNCTION("if(C1030="""","""",iferror(if(row()&lt;&gt;2,INDEX(arrayformula(filter($Q$2:$Q1029,$C$2:$C1029&lt;&gt;"""",row($C$2:$C1029)=max(if($C$2:$C1029=C1030,row($C$2:$C1029),0)))) ,1),0),0))"),"")</f>
        <v/>
      </c>
      <c r="Q1030" s="147" t="str">
        <f t="shared" si="22"/>
        <v/>
      </c>
      <c r="R1030" s="147" t="str">
        <f t="shared" si="23"/>
        <v/>
      </c>
      <c r="S1030" s="147" t="str">
        <f t="shared" si="24"/>
        <v/>
      </c>
      <c r="T1030" s="147" t="str">
        <f t="shared" si="7"/>
        <v/>
      </c>
      <c r="U1030" s="150" t="str">
        <f t="shared" si="8"/>
        <v/>
      </c>
      <c r="V1030" s="151" t="str">
        <f>IFERROR(VLOOKUP(C1030,Ativos!$A$1:$G2000,5,),)</f>
        <v/>
      </c>
    </row>
    <row r="1031" ht="21.0" customHeight="1">
      <c r="A1031" s="152"/>
      <c r="B1031" s="160"/>
      <c r="C1031" s="153"/>
      <c r="D1031" s="154"/>
      <c r="E1031" s="139"/>
      <c r="F1031" s="139"/>
      <c r="G1031" s="139"/>
      <c r="H1031" s="135"/>
      <c r="I1031" s="141"/>
      <c r="J1031" s="147" t="str">
        <f>IFERROR(__xludf.DUMMYFUNCTION("IF(ISBLANK(A1031),IFERROR(1/0),IF(COUNT(FILTER(F:F,A:A=A1031))&gt;1,TRUNC(N1031*F1031/SUM(FILTER(N:N,A:A=A1031)),3),F1031))"),"")</f>
        <v/>
      </c>
      <c r="K1031" s="147" t="str">
        <f>IFERROR(__xludf.DUMMYFUNCTION("IF(ISBLANK(A1031),IFERROR(1/0),IF(COUNT(FILTER(G:G,((A:A=A1031)*(B:B=""V""))))&gt;1,TRUNC(N1031*G1031/SUM(FILTER(N:N,((A:A=A1031)*(B:B=""V"")))),3),G1031))"),"")</f>
        <v/>
      </c>
      <c r="L1031" s="148" t="str">
        <f>IFERROR(__xludf.DUMMYFUNCTION("if($C1031="""","""",iferror(if(row()&lt;&gt;2,INDEX(arrayformula(filter($M$2:$M1030,$C$2:$C1030&lt;&gt;"""",row($C$2:$C1030)=max(if($C$2:$C1030=C1031,row($C$2:$C1030),0)))) ,1),0),0))"),"")</f>
        <v/>
      </c>
      <c r="M1031" s="148" t="str">
        <f t="shared" si="1"/>
        <v/>
      </c>
      <c r="N1031" s="147" t="str">
        <f t="shared" si="2"/>
        <v/>
      </c>
      <c r="O1031" s="147" t="str">
        <f t="shared" si="21"/>
        <v/>
      </c>
      <c r="P1031" s="147" t="str">
        <f>IFERROR(__xludf.DUMMYFUNCTION("if(C1031="""","""",iferror(if(row()&lt;&gt;2,INDEX(arrayformula(filter($Q$2:$Q1030,$C$2:$C1030&lt;&gt;"""",row($C$2:$C1030)=max(if($C$2:$C1030=C1031,row($C$2:$C1030),0)))) ,1),0),0))"),"")</f>
        <v/>
      </c>
      <c r="Q1031" s="147" t="str">
        <f t="shared" si="22"/>
        <v/>
      </c>
      <c r="R1031" s="147" t="str">
        <f t="shared" si="23"/>
        <v/>
      </c>
      <c r="S1031" s="147" t="str">
        <f t="shared" si="24"/>
        <v/>
      </c>
      <c r="T1031" s="147" t="str">
        <f t="shared" si="7"/>
        <v/>
      </c>
      <c r="U1031" s="150" t="str">
        <f t="shared" si="8"/>
        <v/>
      </c>
      <c r="V1031" s="151" t="str">
        <f>IFERROR(VLOOKUP(C1031,Ativos!$A$1:$G2000,5,),)</f>
        <v/>
      </c>
    </row>
    <row r="1032" ht="21.0" customHeight="1">
      <c r="A1032" s="152"/>
      <c r="B1032" s="160"/>
      <c r="C1032" s="153"/>
      <c r="D1032" s="154"/>
      <c r="E1032" s="139"/>
      <c r="F1032" s="139"/>
      <c r="G1032" s="139"/>
      <c r="H1032" s="135"/>
      <c r="I1032" s="141"/>
      <c r="J1032" s="147" t="str">
        <f>IFERROR(__xludf.DUMMYFUNCTION("IF(ISBLANK(A1032),IFERROR(1/0),IF(COUNT(FILTER(F:F,A:A=A1032))&gt;1,TRUNC(N1032*F1032/SUM(FILTER(N:N,A:A=A1032)),3),F1032))"),"")</f>
        <v/>
      </c>
      <c r="K1032" s="147" t="str">
        <f>IFERROR(__xludf.DUMMYFUNCTION("IF(ISBLANK(A1032),IFERROR(1/0),IF(COUNT(FILTER(G:G,((A:A=A1032)*(B:B=""V""))))&gt;1,TRUNC(N1032*G1032/SUM(FILTER(N:N,((A:A=A1032)*(B:B=""V"")))),3),G1032))"),"")</f>
        <v/>
      </c>
      <c r="L1032" s="148" t="str">
        <f>IFERROR(__xludf.DUMMYFUNCTION("if($C1032="""","""",iferror(if(row()&lt;&gt;2,INDEX(arrayformula(filter($M$2:$M1031,$C$2:$C1031&lt;&gt;"""",row($C$2:$C1031)=max(if($C$2:$C1031=C1032,row($C$2:$C1031),0)))) ,1),0),0))"),"")</f>
        <v/>
      </c>
      <c r="M1032" s="148" t="str">
        <f t="shared" si="1"/>
        <v/>
      </c>
      <c r="N1032" s="147" t="str">
        <f t="shared" si="2"/>
        <v/>
      </c>
      <c r="O1032" s="147" t="str">
        <f t="shared" si="21"/>
        <v/>
      </c>
      <c r="P1032" s="147" t="str">
        <f>IFERROR(__xludf.DUMMYFUNCTION("if(C1032="""","""",iferror(if(row()&lt;&gt;2,INDEX(arrayformula(filter($Q$2:$Q1031,$C$2:$C1031&lt;&gt;"""",row($C$2:$C1031)=max(if($C$2:$C1031=C1032,row($C$2:$C1031),0)))) ,1),0),0))"),"")</f>
        <v/>
      </c>
      <c r="Q1032" s="147" t="str">
        <f t="shared" si="22"/>
        <v/>
      </c>
      <c r="R1032" s="147" t="str">
        <f t="shared" si="23"/>
        <v/>
      </c>
      <c r="S1032" s="147" t="str">
        <f t="shared" si="24"/>
        <v/>
      </c>
      <c r="T1032" s="147" t="str">
        <f t="shared" si="7"/>
        <v/>
      </c>
      <c r="U1032" s="150" t="str">
        <f t="shared" si="8"/>
        <v/>
      </c>
      <c r="V1032" s="151" t="str">
        <f>IFERROR(VLOOKUP(C1032,Ativos!$A$1:$G2000,5,),)</f>
        <v/>
      </c>
    </row>
    <row r="1033" ht="21.0" customHeight="1">
      <c r="A1033" s="152"/>
      <c r="B1033" s="160"/>
      <c r="C1033" s="153"/>
      <c r="D1033" s="154"/>
      <c r="E1033" s="139"/>
      <c r="F1033" s="139"/>
      <c r="G1033" s="139"/>
      <c r="H1033" s="135"/>
      <c r="I1033" s="141"/>
      <c r="J1033" s="147" t="str">
        <f>IFERROR(__xludf.DUMMYFUNCTION("IF(ISBLANK(A1033),IFERROR(1/0),IF(COUNT(FILTER(F:F,A:A=A1033))&gt;1,TRUNC(N1033*F1033/SUM(FILTER(N:N,A:A=A1033)),3),F1033))"),"")</f>
        <v/>
      </c>
      <c r="K1033" s="147" t="str">
        <f>IFERROR(__xludf.DUMMYFUNCTION("IF(ISBLANK(A1033),IFERROR(1/0),IF(COUNT(FILTER(G:G,((A:A=A1033)*(B:B=""V""))))&gt;1,TRUNC(N1033*G1033/SUM(FILTER(N:N,((A:A=A1033)*(B:B=""V"")))),3),G1033))"),"")</f>
        <v/>
      </c>
      <c r="L1033" s="148" t="str">
        <f>IFERROR(__xludf.DUMMYFUNCTION("if($C1033="""","""",iferror(if(row()&lt;&gt;2,INDEX(arrayformula(filter($M$2:$M1032,$C$2:$C1032&lt;&gt;"""",row($C$2:$C1032)=max(if($C$2:$C1032=C1033,row($C$2:$C1032),0)))) ,1),0),0))"),"")</f>
        <v/>
      </c>
      <c r="M1033" s="148" t="str">
        <f t="shared" si="1"/>
        <v/>
      </c>
      <c r="N1033" s="147" t="str">
        <f t="shared" si="2"/>
        <v/>
      </c>
      <c r="O1033" s="147" t="str">
        <f t="shared" si="21"/>
        <v/>
      </c>
      <c r="P1033" s="147" t="str">
        <f>IFERROR(__xludf.DUMMYFUNCTION("if(C1033="""","""",iferror(if(row()&lt;&gt;2,INDEX(arrayformula(filter($Q$2:$Q1032,$C$2:$C1032&lt;&gt;"""",row($C$2:$C1032)=max(if($C$2:$C1032=C1033,row($C$2:$C1032),0)))) ,1),0),0))"),"")</f>
        <v/>
      </c>
      <c r="Q1033" s="147" t="str">
        <f t="shared" si="22"/>
        <v/>
      </c>
      <c r="R1033" s="147" t="str">
        <f t="shared" si="23"/>
        <v/>
      </c>
      <c r="S1033" s="147" t="str">
        <f t="shared" si="24"/>
        <v/>
      </c>
      <c r="T1033" s="147" t="str">
        <f t="shared" si="7"/>
        <v/>
      </c>
      <c r="U1033" s="150" t="str">
        <f t="shared" si="8"/>
        <v/>
      </c>
      <c r="V1033" s="151" t="str">
        <f>IFERROR(VLOOKUP(C1033,Ativos!$A$1:$G2000,5,),)</f>
        <v/>
      </c>
    </row>
    <row r="1034" ht="21.0" customHeight="1">
      <c r="A1034" s="152"/>
      <c r="B1034" s="160"/>
      <c r="C1034" s="153"/>
      <c r="D1034" s="154"/>
      <c r="E1034" s="139"/>
      <c r="F1034" s="139"/>
      <c r="G1034" s="139"/>
      <c r="H1034" s="135"/>
      <c r="I1034" s="141"/>
      <c r="J1034" s="147" t="str">
        <f>IFERROR(__xludf.DUMMYFUNCTION("IF(ISBLANK(A1034),IFERROR(1/0),IF(COUNT(FILTER(F:F,A:A=A1034))&gt;1,TRUNC(N1034*F1034/SUM(FILTER(N:N,A:A=A1034)),3),F1034))"),"")</f>
        <v/>
      </c>
      <c r="K1034" s="147" t="str">
        <f>IFERROR(__xludf.DUMMYFUNCTION("IF(ISBLANK(A1034),IFERROR(1/0),IF(COUNT(FILTER(G:G,((A:A=A1034)*(B:B=""V""))))&gt;1,TRUNC(N1034*G1034/SUM(FILTER(N:N,((A:A=A1034)*(B:B=""V"")))),3),G1034))"),"")</f>
        <v/>
      </c>
      <c r="L1034" s="148" t="str">
        <f>IFERROR(__xludf.DUMMYFUNCTION("if($C1034="""","""",iferror(if(row()&lt;&gt;2,INDEX(arrayformula(filter($M$2:$M1033,$C$2:$C1033&lt;&gt;"""",row($C$2:$C1033)=max(if($C$2:$C1033=C1034,row($C$2:$C1033),0)))) ,1),0),0))"),"")</f>
        <v/>
      </c>
      <c r="M1034" s="148" t="str">
        <f t="shared" si="1"/>
        <v/>
      </c>
      <c r="N1034" s="147" t="str">
        <f t="shared" si="2"/>
        <v/>
      </c>
      <c r="O1034" s="147" t="str">
        <f t="shared" si="21"/>
        <v/>
      </c>
      <c r="P1034" s="147" t="str">
        <f>IFERROR(__xludf.DUMMYFUNCTION("if(C1034="""","""",iferror(if(row()&lt;&gt;2,INDEX(arrayformula(filter($Q$2:$Q1033,$C$2:$C1033&lt;&gt;"""",row($C$2:$C1033)=max(if($C$2:$C1033=C1034,row($C$2:$C1033),0)))) ,1),0),0))"),"")</f>
        <v/>
      </c>
      <c r="Q1034" s="147" t="str">
        <f t="shared" si="22"/>
        <v/>
      </c>
      <c r="R1034" s="147" t="str">
        <f t="shared" si="23"/>
        <v/>
      </c>
      <c r="S1034" s="147" t="str">
        <f t="shared" si="24"/>
        <v/>
      </c>
      <c r="T1034" s="147" t="str">
        <f t="shared" si="7"/>
        <v/>
      </c>
      <c r="U1034" s="150" t="str">
        <f t="shared" si="8"/>
        <v/>
      </c>
      <c r="V1034" s="151" t="str">
        <f>IFERROR(VLOOKUP(C1034,Ativos!$A$1:$G2000,5,),)</f>
        <v/>
      </c>
    </row>
    <row r="1035" ht="21.0" customHeight="1">
      <c r="A1035" s="152"/>
      <c r="B1035" s="160"/>
      <c r="C1035" s="153"/>
      <c r="D1035" s="154"/>
      <c r="E1035" s="139"/>
      <c r="F1035" s="139"/>
      <c r="G1035" s="139"/>
      <c r="H1035" s="135"/>
      <c r="I1035" s="141"/>
      <c r="J1035" s="147" t="str">
        <f>IFERROR(__xludf.DUMMYFUNCTION("IF(ISBLANK(A1035),IFERROR(1/0),IF(COUNT(FILTER(F:F,A:A=A1035))&gt;1,TRUNC(N1035*F1035/SUM(FILTER(N:N,A:A=A1035)),3),F1035))"),"")</f>
        <v/>
      </c>
      <c r="K1035" s="147" t="str">
        <f>IFERROR(__xludf.DUMMYFUNCTION("IF(ISBLANK(A1035),IFERROR(1/0),IF(COUNT(FILTER(G:G,((A:A=A1035)*(B:B=""V""))))&gt;1,TRUNC(N1035*G1035/SUM(FILTER(N:N,((A:A=A1035)*(B:B=""V"")))),3),G1035))"),"")</f>
        <v/>
      </c>
      <c r="L1035" s="148" t="str">
        <f>IFERROR(__xludf.DUMMYFUNCTION("if($C1035="""","""",iferror(if(row()&lt;&gt;2,INDEX(arrayformula(filter($M$2:$M1034,$C$2:$C1034&lt;&gt;"""",row($C$2:$C1034)=max(if($C$2:$C1034=C1035,row($C$2:$C1034),0)))) ,1),0),0))"),"")</f>
        <v/>
      </c>
      <c r="M1035" s="148" t="str">
        <f t="shared" si="1"/>
        <v/>
      </c>
      <c r="N1035" s="147" t="str">
        <f t="shared" si="2"/>
        <v/>
      </c>
      <c r="O1035" s="147" t="str">
        <f t="shared" si="21"/>
        <v/>
      </c>
      <c r="P1035" s="147" t="str">
        <f>IFERROR(__xludf.DUMMYFUNCTION("if(C1035="""","""",iferror(if(row()&lt;&gt;2,INDEX(arrayformula(filter($Q$2:$Q1034,$C$2:$C1034&lt;&gt;"""",row($C$2:$C1034)=max(if($C$2:$C1034=C1035,row($C$2:$C1034),0)))) ,1),0),0))"),"")</f>
        <v/>
      </c>
      <c r="Q1035" s="147" t="str">
        <f t="shared" si="22"/>
        <v/>
      </c>
      <c r="R1035" s="147" t="str">
        <f t="shared" si="23"/>
        <v/>
      </c>
      <c r="S1035" s="147" t="str">
        <f t="shared" si="24"/>
        <v/>
      </c>
      <c r="T1035" s="147" t="str">
        <f t="shared" si="7"/>
        <v/>
      </c>
      <c r="U1035" s="150" t="str">
        <f t="shared" si="8"/>
        <v/>
      </c>
      <c r="V1035" s="151" t="str">
        <f>IFERROR(VLOOKUP(C1035,Ativos!$A$1:$G2000,5,),)</f>
        <v/>
      </c>
    </row>
    <row r="1036" ht="21.0" customHeight="1">
      <c r="A1036" s="152"/>
      <c r="B1036" s="160"/>
      <c r="C1036" s="153"/>
      <c r="D1036" s="154"/>
      <c r="E1036" s="139"/>
      <c r="F1036" s="139"/>
      <c r="G1036" s="139"/>
      <c r="H1036" s="135"/>
      <c r="I1036" s="141"/>
      <c r="J1036" s="147" t="str">
        <f>IFERROR(__xludf.DUMMYFUNCTION("IF(ISBLANK(A1036),IFERROR(1/0),IF(COUNT(FILTER(F:F,A:A=A1036))&gt;1,TRUNC(N1036*F1036/SUM(FILTER(N:N,A:A=A1036)),3),F1036))"),"")</f>
        <v/>
      </c>
      <c r="K1036" s="147" t="str">
        <f>IFERROR(__xludf.DUMMYFUNCTION("IF(ISBLANK(A1036),IFERROR(1/0),IF(COUNT(FILTER(G:G,((A:A=A1036)*(B:B=""V""))))&gt;1,TRUNC(N1036*G1036/SUM(FILTER(N:N,((A:A=A1036)*(B:B=""V"")))),3),G1036))"),"")</f>
        <v/>
      </c>
      <c r="L1036" s="148" t="str">
        <f>IFERROR(__xludf.DUMMYFUNCTION("if($C1036="""","""",iferror(if(row()&lt;&gt;2,INDEX(arrayformula(filter($M$2:$M1035,$C$2:$C1035&lt;&gt;"""",row($C$2:$C1035)=max(if($C$2:$C1035=C1036,row($C$2:$C1035),0)))) ,1),0),0))"),"")</f>
        <v/>
      </c>
      <c r="M1036" s="148" t="str">
        <f t="shared" si="1"/>
        <v/>
      </c>
      <c r="N1036" s="147" t="str">
        <f t="shared" si="2"/>
        <v/>
      </c>
      <c r="O1036" s="147" t="str">
        <f t="shared" si="21"/>
        <v/>
      </c>
      <c r="P1036" s="147" t="str">
        <f>IFERROR(__xludf.DUMMYFUNCTION("if(C1036="""","""",iferror(if(row()&lt;&gt;2,INDEX(arrayformula(filter($Q$2:$Q1035,$C$2:$C1035&lt;&gt;"""",row($C$2:$C1035)=max(if($C$2:$C1035=C1036,row($C$2:$C1035),0)))) ,1),0),0))"),"")</f>
        <v/>
      </c>
      <c r="Q1036" s="147" t="str">
        <f t="shared" si="22"/>
        <v/>
      </c>
      <c r="R1036" s="147" t="str">
        <f t="shared" si="23"/>
        <v/>
      </c>
      <c r="S1036" s="147" t="str">
        <f t="shared" si="24"/>
        <v/>
      </c>
      <c r="T1036" s="147" t="str">
        <f t="shared" si="7"/>
        <v/>
      </c>
      <c r="U1036" s="150" t="str">
        <f t="shared" si="8"/>
        <v/>
      </c>
      <c r="V1036" s="151" t="str">
        <f>IFERROR(VLOOKUP(C1036,Ativos!$A$1:$G2000,5,),)</f>
        <v/>
      </c>
    </row>
    <row r="1037" ht="21.0" customHeight="1">
      <c r="A1037" s="152"/>
      <c r="B1037" s="160"/>
      <c r="C1037" s="153"/>
      <c r="D1037" s="154"/>
      <c r="E1037" s="139"/>
      <c r="F1037" s="139"/>
      <c r="G1037" s="139"/>
      <c r="H1037" s="135"/>
      <c r="I1037" s="141"/>
      <c r="J1037" s="147" t="str">
        <f>IFERROR(__xludf.DUMMYFUNCTION("IF(ISBLANK(A1037),IFERROR(1/0),IF(COUNT(FILTER(F:F,A:A=A1037))&gt;1,TRUNC(N1037*F1037/SUM(FILTER(N:N,A:A=A1037)),3),F1037))"),"")</f>
        <v/>
      </c>
      <c r="K1037" s="147" t="str">
        <f>IFERROR(__xludf.DUMMYFUNCTION("IF(ISBLANK(A1037),IFERROR(1/0),IF(COUNT(FILTER(G:G,((A:A=A1037)*(B:B=""V""))))&gt;1,TRUNC(N1037*G1037/SUM(FILTER(N:N,((A:A=A1037)*(B:B=""V"")))),3),G1037))"),"")</f>
        <v/>
      </c>
      <c r="L1037" s="148" t="str">
        <f>IFERROR(__xludf.DUMMYFUNCTION("if($C1037="""","""",iferror(if(row()&lt;&gt;2,INDEX(arrayformula(filter($M$2:$M1036,$C$2:$C1036&lt;&gt;"""",row($C$2:$C1036)=max(if($C$2:$C1036=C1037,row($C$2:$C1036),0)))) ,1),0),0))"),"")</f>
        <v/>
      </c>
      <c r="M1037" s="148" t="str">
        <f t="shared" si="1"/>
        <v/>
      </c>
      <c r="N1037" s="147" t="str">
        <f t="shared" si="2"/>
        <v/>
      </c>
      <c r="O1037" s="147" t="str">
        <f t="shared" si="21"/>
        <v/>
      </c>
      <c r="P1037" s="147" t="str">
        <f>IFERROR(__xludf.DUMMYFUNCTION("if(C1037="""","""",iferror(if(row()&lt;&gt;2,INDEX(arrayformula(filter($Q$2:$Q1036,$C$2:$C1036&lt;&gt;"""",row($C$2:$C1036)=max(if($C$2:$C1036=C1037,row($C$2:$C1036),0)))) ,1),0),0))"),"")</f>
        <v/>
      </c>
      <c r="Q1037" s="147" t="str">
        <f t="shared" si="22"/>
        <v/>
      </c>
      <c r="R1037" s="147" t="str">
        <f t="shared" si="23"/>
        <v/>
      </c>
      <c r="S1037" s="147" t="str">
        <f t="shared" si="24"/>
        <v/>
      </c>
      <c r="T1037" s="147" t="str">
        <f t="shared" si="7"/>
        <v/>
      </c>
      <c r="U1037" s="150" t="str">
        <f t="shared" si="8"/>
        <v/>
      </c>
      <c r="V1037" s="151" t="str">
        <f>IFERROR(VLOOKUP(C1037,Ativos!$A$1:$G2000,5,),)</f>
        <v/>
      </c>
    </row>
    <row r="1038" ht="21.0" customHeight="1">
      <c r="A1038" s="152"/>
      <c r="B1038" s="160"/>
      <c r="C1038" s="153"/>
      <c r="D1038" s="154"/>
      <c r="E1038" s="139"/>
      <c r="F1038" s="139"/>
      <c r="G1038" s="139"/>
      <c r="H1038" s="135"/>
      <c r="I1038" s="141"/>
      <c r="J1038" s="147" t="str">
        <f>IFERROR(__xludf.DUMMYFUNCTION("IF(ISBLANK(A1038),IFERROR(1/0),IF(COUNT(FILTER(F:F,A:A=A1038))&gt;1,TRUNC(N1038*F1038/SUM(FILTER(N:N,A:A=A1038)),3),F1038))"),"")</f>
        <v/>
      </c>
      <c r="K1038" s="147" t="str">
        <f>IFERROR(__xludf.DUMMYFUNCTION("IF(ISBLANK(A1038),IFERROR(1/0),IF(COUNT(FILTER(G:G,((A:A=A1038)*(B:B=""V""))))&gt;1,TRUNC(N1038*G1038/SUM(FILTER(N:N,((A:A=A1038)*(B:B=""V"")))),3),G1038))"),"")</f>
        <v/>
      </c>
      <c r="L1038" s="148" t="str">
        <f>IFERROR(__xludf.DUMMYFUNCTION("if($C1038="""","""",iferror(if(row()&lt;&gt;2,INDEX(arrayformula(filter($M$2:$M1037,$C$2:$C1037&lt;&gt;"""",row($C$2:$C1037)=max(if($C$2:$C1037=C1038,row($C$2:$C1037),0)))) ,1),0),0))"),"")</f>
        <v/>
      </c>
      <c r="M1038" s="148" t="str">
        <f t="shared" si="1"/>
        <v/>
      </c>
      <c r="N1038" s="147" t="str">
        <f t="shared" si="2"/>
        <v/>
      </c>
      <c r="O1038" s="147" t="str">
        <f t="shared" si="21"/>
        <v/>
      </c>
      <c r="P1038" s="147" t="str">
        <f>IFERROR(__xludf.DUMMYFUNCTION("if(C1038="""","""",iferror(if(row()&lt;&gt;2,INDEX(arrayformula(filter($Q$2:$Q1037,$C$2:$C1037&lt;&gt;"""",row($C$2:$C1037)=max(if($C$2:$C1037=C1038,row($C$2:$C1037),0)))) ,1),0),0))"),"")</f>
        <v/>
      </c>
      <c r="Q1038" s="147" t="str">
        <f t="shared" si="22"/>
        <v/>
      </c>
      <c r="R1038" s="147" t="str">
        <f t="shared" si="23"/>
        <v/>
      </c>
      <c r="S1038" s="147" t="str">
        <f t="shared" si="24"/>
        <v/>
      </c>
      <c r="T1038" s="147" t="str">
        <f t="shared" si="7"/>
        <v/>
      </c>
      <c r="U1038" s="150" t="str">
        <f t="shared" si="8"/>
        <v/>
      </c>
      <c r="V1038" s="151" t="str">
        <f>IFERROR(VLOOKUP(C1038,Ativos!$A$1:$G2000,5,),)</f>
        <v/>
      </c>
    </row>
    <row r="1039" ht="21.0" customHeight="1">
      <c r="A1039" s="152"/>
      <c r="B1039" s="160"/>
      <c r="C1039" s="153"/>
      <c r="D1039" s="154"/>
      <c r="E1039" s="139"/>
      <c r="F1039" s="139"/>
      <c r="G1039" s="139"/>
      <c r="H1039" s="135"/>
      <c r="I1039" s="141"/>
      <c r="J1039" s="147" t="str">
        <f>IFERROR(__xludf.DUMMYFUNCTION("IF(ISBLANK(A1039),IFERROR(1/0),IF(COUNT(FILTER(F:F,A:A=A1039))&gt;1,TRUNC(N1039*F1039/SUM(FILTER(N:N,A:A=A1039)),3),F1039))"),"")</f>
        <v/>
      </c>
      <c r="K1039" s="147" t="str">
        <f>IFERROR(__xludf.DUMMYFUNCTION("IF(ISBLANK(A1039),IFERROR(1/0),IF(COUNT(FILTER(G:G,((A:A=A1039)*(B:B=""V""))))&gt;1,TRUNC(N1039*G1039/SUM(FILTER(N:N,((A:A=A1039)*(B:B=""V"")))),3),G1039))"),"")</f>
        <v/>
      </c>
      <c r="L1039" s="148" t="str">
        <f>IFERROR(__xludf.DUMMYFUNCTION("if($C1039="""","""",iferror(if(row()&lt;&gt;2,INDEX(arrayformula(filter($M$2:$M1038,$C$2:$C1038&lt;&gt;"""",row($C$2:$C1038)=max(if($C$2:$C1038=C1039,row($C$2:$C1038),0)))) ,1),0),0))"),"")</f>
        <v/>
      </c>
      <c r="M1039" s="148" t="str">
        <f t="shared" si="1"/>
        <v/>
      </c>
      <c r="N1039" s="147" t="str">
        <f t="shared" si="2"/>
        <v/>
      </c>
      <c r="O1039" s="147" t="str">
        <f t="shared" si="21"/>
        <v/>
      </c>
      <c r="P1039" s="147" t="str">
        <f>IFERROR(__xludf.DUMMYFUNCTION("if(C1039="""","""",iferror(if(row()&lt;&gt;2,INDEX(arrayformula(filter($Q$2:$Q1038,$C$2:$C1038&lt;&gt;"""",row($C$2:$C1038)=max(if($C$2:$C1038=C1039,row($C$2:$C1038),0)))) ,1),0),0))"),"")</f>
        <v/>
      </c>
      <c r="Q1039" s="147" t="str">
        <f t="shared" si="22"/>
        <v/>
      </c>
      <c r="R1039" s="147" t="str">
        <f t="shared" si="23"/>
        <v/>
      </c>
      <c r="S1039" s="147" t="str">
        <f t="shared" si="24"/>
        <v/>
      </c>
      <c r="T1039" s="147" t="str">
        <f t="shared" si="7"/>
        <v/>
      </c>
      <c r="U1039" s="150" t="str">
        <f t="shared" si="8"/>
        <v/>
      </c>
      <c r="V1039" s="151" t="str">
        <f>IFERROR(VLOOKUP(C1039,Ativos!$A$1:$G2000,5,),)</f>
        <v/>
      </c>
    </row>
    <row r="1040" ht="21.0" customHeight="1">
      <c r="A1040" s="152"/>
      <c r="B1040" s="160"/>
      <c r="C1040" s="153"/>
      <c r="D1040" s="154"/>
      <c r="E1040" s="139"/>
      <c r="F1040" s="139"/>
      <c r="G1040" s="139"/>
      <c r="H1040" s="135"/>
      <c r="I1040" s="141"/>
      <c r="J1040" s="147" t="str">
        <f>IFERROR(__xludf.DUMMYFUNCTION("IF(ISBLANK(A1040),IFERROR(1/0),IF(COUNT(FILTER(F:F,A:A=A1040))&gt;1,TRUNC(N1040*F1040/SUM(FILTER(N:N,A:A=A1040)),3),F1040))"),"")</f>
        <v/>
      </c>
      <c r="K1040" s="147" t="str">
        <f>IFERROR(__xludf.DUMMYFUNCTION("IF(ISBLANK(A1040),IFERROR(1/0),IF(COUNT(FILTER(G:G,((A:A=A1040)*(B:B=""V""))))&gt;1,TRUNC(N1040*G1040/SUM(FILTER(N:N,((A:A=A1040)*(B:B=""V"")))),3),G1040))"),"")</f>
        <v/>
      </c>
      <c r="L1040" s="148" t="str">
        <f>IFERROR(__xludf.DUMMYFUNCTION("if($C1040="""","""",iferror(if(row()&lt;&gt;2,INDEX(arrayformula(filter($M$2:$M1039,$C$2:$C1039&lt;&gt;"""",row($C$2:$C1039)=max(if($C$2:$C1039=C1040,row($C$2:$C1039),0)))) ,1),0),0))"),"")</f>
        <v/>
      </c>
      <c r="M1040" s="148" t="str">
        <f t="shared" si="1"/>
        <v/>
      </c>
      <c r="N1040" s="147" t="str">
        <f t="shared" si="2"/>
        <v/>
      </c>
      <c r="O1040" s="147" t="str">
        <f t="shared" si="21"/>
        <v/>
      </c>
      <c r="P1040" s="147" t="str">
        <f>IFERROR(__xludf.DUMMYFUNCTION("if(C1040="""","""",iferror(if(row()&lt;&gt;2,INDEX(arrayformula(filter($Q$2:$Q1039,$C$2:$C1039&lt;&gt;"""",row($C$2:$C1039)=max(if($C$2:$C1039=C1040,row($C$2:$C1039),0)))) ,1),0),0))"),"")</f>
        <v/>
      </c>
      <c r="Q1040" s="147" t="str">
        <f t="shared" si="22"/>
        <v/>
      </c>
      <c r="R1040" s="147" t="str">
        <f t="shared" si="23"/>
        <v/>
      </c>
      <c r="S1040" s="147" t="str">
        <f t="shared" si="24"/>
        <v/>
      </c>
      <c r="T1040" s="147" t="str">
        <f t="shared" si="7"/>
        <v/>
      </c>
      <c r="U1040" s="150" t="str">
        <f t="shared" si="8"/>
        <v/>
      </c>
      <c r="V1040" s="151" t="str">
        <f>IFERROR(VLOOKUP(C1040,Ativos!$A$1:$G2000,5,),)</f>
        <v/>
      </c>
    </row>
    <row r="1041" ht="21.0" customHeight="1">
      <c r="A1041" s="152"/>
      <c r="B1041" s="160"/>
      <c r="C1041" s="153"/>
      <c r="D1041" s="154"/>
      <c r="E1041" s="139"/>
      <c r="F1041" s="139"/>
      <c r="G1041" s="139"/>
      <c r="H1041" s="135"/>
      <c r="I1041" s="141"/>
      <c r="J1041" s="147" t="str">
        <f>IFERROR(__xludf.DUMMYFUNCTION("IF(ISBLANK(A1041),IFERROR(1/0),IF(COUNT(FILTER(F:F,A:A=A1041))&gt;1,TRUNC(N1041*F1041/SUM(FILTER(N:N,A:A=A1041)),3),F1041))"),"")</f>
        <v/>
      </c>
      <c r="K1041" s="147" t="str">
        <f>IFERROR(__xludf.DUMMYFUNCTION("IF(ISBLANK(A1041),IFERROR(1/0),IF(COUNT(FILTER(G:G,((A:A=A1041)*(B:B=""V""))))&gt;1,TRUNC(N1041*G1041/SUM(FILTER(N:N,((A:A=A1041)*(B:B=""V"")))),3),G1041))"),"")</f>
        <v/>
      </c>
      <c r="L1041" s="148" t="str">
        <f>IFERROR(__xludf.DUMMYFUNCTION("if($C1041="""","""",iferror(if(row()&lt;&gt;2,INDEX(arrayformula(filter($M$2:$M1040,$C$2:$C1040&lt;&gt;"""",row($C$2:$C1040)=max(if($C$2:$C1040=C1041,row($C$2:$C1040),0)))) ,1),0),0))"),"")</f>
        <v/>
      </c>
      <c r="M1041" s="148" t="str">
        <f t="shared" si="1"/>
        <v/>
      </c>
      <c r="N1041" s="147" t="str">
        <f t="shared" si="2"/>
        <v/>
      </c>
      <c r="O1041" s="147" t="str">
        <f t="shared" si="21"/>
        <v/>
      </c>
      <c r="P1041" s="147" t="str">
        <f>IFERROR(__xludf.DUMMYFUNCTION("if(C1041="""","""",iferror(if(row()&lt;&gt;2,INDEX(arrayformula(filter($Q$2:$Q1040,$C$2:$C1040&lt;&gt;"""",row($C$2:$C1040)=max(if($C$2:$C1040=C1041,row($C$2:$C1040),0)))) ,1),0),0))"),"")</f>
        <v/>
      </c>
      <c r="Q1041" s="147" t="str">
        <f t="shared" si="22"/>
        <v/>
      </c>
      <c r="R1041" s="147" t="str">
        <f t="shared" si="23"/>
        <v/>
      </c>
      <c r="S1041" s="147" t="str">
        <f t="shared" si="24"/>
        <v/>
      </c>
      <c r="T1041" s="147" t="str">
        <f t="shared" si="7"/>
        <v/>
      </c>
      <c r="U1041" s="150" t="str">
        <f t="shared" si="8"/>
        <v/>
      </c>
      <c r="V1041" s="151" t="str">
        <f>IFERROR(VLOOKUP(C1041,Ativos!$A$1:$G2000,5,),)</f>
        <v/>
      </c>
    </row>
    <row r="1042" ht="21.0" customHeight="1">
      <c r="A1042" s="152"/>
      <c r="B1042" s="160"/>
      <c r="C1042" s="153"/>
      <c r="D1042" s="154"/>
      <c r="E1042" s="139"/>
      <c r="F1042" s="139"/>
      <c r="G1042" s="139"/>
      <c r="H1042" s="135"/>
      <c r="I1042" s="141"/>
      <c r="J1042" s="147" t="str">
        <f>IFERROR(__xludf.DUMMYFUNCTION("IF(ISBLANK(A1042),IFERROR(1/0),IF(COUNT(FILTER(F:F,A:A=A1042))&gt;1,TRUNC(N1042*F1042/SUM(FILTER(N:N,A:A=A1042)),3),F1042))"),"")</f>
        <v/>
      </c>
      <c r="K1042" s="147" t="str">
        <f>IFERROR(__xludf.DUMMYFUNCTION("IF(ISBLANK(A1042),IFERROR(1/0),IF(COUNT(FILTER(G:G,((A:A=A1042)*(B:B=""V""))))&gt;1,TRUNC(N1042*G1042/SUM(FILTER(N:N,((A:A=A1042)*(B:B=""V"")))),3),G1042))"),"")</f>
        <v/>
      </c>
      <c r="L1042" s="148" t="str">
        <f>IFERROR(__xludf.DUMMYFUNCTION("if($C1042="""","""",iferror(if(row()&lt;&gt;2,INDEX(arrayformula(filter($M$2:$M1041,$C$2:$C1041&lt;&gt;"""",row($C$2:$C1041)=max(if($C$2:$C1041=C1042,row($C$2:$C1041),0)))) ,1),0),0))"),"")</f>
        <v/>
      </c>
      <c r="M1042" s="148" t="str">
        <f t="shared" si="1"/>
        <v/>
      </c>
      <c r="N1042" s="147" t="str">
        <f t="shared" si="2"/>
        <v/>
      </c>
      <c r="O1042" s="147" t="str">
        <f t="shared" si="21"/>
        <v/>
      </c>
      <c r="P1042" s="147" t="str">
        <f>IFERROR(__xludf.DUMMYFUNCTION("if(C1042="""","""",iferror(if(row()&lt;&gt;2,INDEX(arrayformula(filter($Q$2:$Q1041,$C$2:$C1041&lt;&gt;"""",row($C$2:$C1041)=max(if($C$2:$C1041=C1042,row($C$2:$C1041),0)))) ,1),0),0))"),"")</f>
        <v/>
      </c>
      <c r="Q1042" s="147" t="str">
        <f t="shared" si="22"/>
        <v/>
      </c>
      <c r="R1042" s="147" t="str">
        <f t="shared" si="23"/>
        <v/>
      </c>
      <c r="S1042" s="147" t="str">
        <f t="shared" si="24"/>
        <v/>
      </c>
      <c r="T1042" s="147" t="str">
        <f t="shared" si="7"/>
        <v/>
      </c>
      <c r="U1042" s="150" t="str">
        <f t="shared" si="8"/>
        <v/>
      </c>
      <c r="V1042" s="151" t="str">
        <f>IFERROR(VLOOKUP(C1042,Ativos!$A$1:$G2000,5,),)</f>
        <v/>
      </c>
    </row>
    <row r="1043" ht="21.0" customHeight="1">
      <c r="A1043" s="152"/>
      <c r="B1043" s="160"/>
      <c r="C1043" s="153"/>
      <c r="D1043" s="154"/>
      <c r="E1043" s="139"/>
      <c r="F1043" s="139"/>
      <c r="G1043" s="139"/>
      <c r="H1043" s="135"/>
      <c r="I1043" s="141"/>
      <c r="J1043" s="147" t="str">
        <f>IFERROR(__xludf.DUMMYFUNCTION("IF(ISBLANK(A1043),IFERROR(1/0),IF(COUNT(FILTER(F:F,A:A=A1043))&gt;1,TRUNC(N1043*F1043/SUM(FILTER(N:N,A:A=A1043)),3),F1043))"),"")</f>
        <v/>
      </c>
      <c r="K1043" s="147" t="str">
        <f>IFERROR(__xludf.DUMMYFUNCTION("IF(ISBLANK(A1043),IFERROR(1/0),IF(COUNT(FILTER(G:G,((A:A=A1043)*(B:B=""V""))))&gt;1,TRUNC(N1043*G1043/SUM(FILTER(N:N,((A:A=A1043)*(B:B=""V"")))),3),G1043))"),"")</f>
        <v/>
      </c>
      <c r="L1043" s="148" t="str">
        <f>IFERROR(__xludf.DUMMYFUNCTION("if($C1043="""","""",iferror(if(row()&lt;&gt;2,INDEX(arrayformula(filter($M$2:$M1042,$C$2:$C1042&lt;&gt;"""",row($C$2:$C1042)=max(if($C$2:$C1042=C1043,row($C$2:$C1042),0)))) ,1),0),0))"),"")</f>
        <v/>
      </c>
      <c r="M1043" s="148" t="str">
        <f t="shared" si="1"/>
        <v/>
      </c>
      <c r="N1043" s="147" t="str">
        <f t="shared" si="2"/>
        <v/>
      </c>
      <c r="O1043" s="147" t="str">
        <f t="shared" si="21"/>
        <v/>
      </c>
      <c r="P1043" s="147" t="str">
        <f>IFERROR(__xludf.DUMMYFUNCTION("if(C1043="""","""",iferror(if(row()&lt;&gt;2,INDEX(arrayformula(filter($Q$2:$Q1042,$C$2:$C1042&lt;&gt;"""",row($C$2:$C1042)=max(if($C$2:$C1042=C1043,row($C$2:$C1042),0)))) ,1),0),0))"),"")</f>
        <v/>
      </c>
      <c r="Q1043" s="147" t="str">
        <f t="shared" si="22"/>
        <v/>
      </c>
      <c r="R1043" s="147" t="str">
        <f t="shared" si="23"/>
        <v/>
      </c>
      <c r="S1043" s="147" t="str">
        <f t="shared" si="24"/>
        <v/>
      </c>
      <c r="T1043" s="147" t="str">
        <f t="shared" si="7"/>
        <v/>
      </c>
      <c r="U1043" s="150" t="str">
        <f t="shared" si="8"/>
        <v/>
      </c>
      <c r="V1043" s="151" t="str">
        <f>IFERROR(VLOOKUP(C1043,Ativos!$A$1:$G2000,5,),)</f>
        <v/>
      </c>
    </row>
    <row r="1044" ht="21.0" customHeight="1">
      <c r="A1044" s="152"/>
      <c r="B1044" s="160"/>
      <c r="C1044" s="153"/>
      <c r="D1044" s="154"/>
      <c r="E1044" s="139"/>
      <c r="F1044" s="139"/>
      <c r="G1044" s="139"/>
      <c r="H1044" s="135"/>
      <c r="I1044" s="141"/>
      <c r="J1044" s="147" t="str">
        <f>IFERROR(__xludf.DUMMYFUNCTION("IF(ISBLANK(A1044),IFERROR(1/0),IF(COUNT(FILTER(F:F,A:A=A1044))&gt;1,TRUNC(N1044*F1044/SUM(FILTER(N:N,A:A=A1044)),3),F1044))"),"")</f>
        <v/>
      </c>
      <c r="K1044" s="147" t="str">
        <f>IFERROR(__xludf.DUMMYFUNCTION("IF(ISBLANK(A1044),IFERROR(1/0),IF(COUNT(FILTER(G:G,((A:A=A1044)*(B:B=""V""))))&gt;1,TRUNC(N1044*G1044/SUM(FILTER(N:N,((A:A=A1044)*(B:B=""V"")))),3),G1044))"),"")</f>
        <v/>
      </c>
      <c r="L1044" s="148" t="str">
        <f>IFERROR(__xludf.DUMMYFUNCTION("if($C1044="""","""",iferror(if(row()&lt;&gt;2,INDEX(arrayformula(filter($M$2:$M1043,$C$2:$C1043&lt;&gt;"""",row($C$2:$C1043)=max(if($C$2:$C1043=C1044,row($C$2:$C1043),0)))) ,1),0),0))"),"")</f>
        <v/>
      </c>
      <c r="M1044" s="148" t="str">
        <f t="shared" si="1"/>
        <v/>
      </c>
      <c r="N1044" s="147" t="str">
        <f t="shared" si="2"/>
        <v/>
      </c>
      <c r="O1044" s="147" t="str">
        <f t="shared" si="21"/>
        <v/>
      </c>
      <c r="P1044" s="147" t="str">
        <f>IFERROR(__xludf.DUMMYFUNCTION("if(C1044="""","""",iferror(if(row()&lt;&gt;2,INDEX(arrayformula(filter($Q$2:$Q1043,$C$2:$C1043&lt;&gt;"""",row($C$2:$C1043)=max(if($C$2:$C1043=C1044,row($C$2:$C1043),0)))) ,1),0),0))"),"")</f>
        <v/>
      </c>
      <c r="Q1044" s="147" t="str">
        <f t="shared" si="22"/>
        <v/>
      </c>
      <c r="R1044" s="147" t="str">
        <f t="shared" si="23"/>
        <v/>
      </c>
      <c r="S1044" s="147" t="str">
        <f t="shared" si="24"/>
        <v/>
      </c>
      <c r="T1044" s="147" t="str">
        <f t="shared" si="7"/>
        <v/>
      </c>
      <c r="U1044" s="150" t="str">
        <f t="shared" si="8"/>
        <v/>
      </c>
      <c r="V1044" s="151" t="str">
        <f>IFERROR(VLOOKUP(C1044,Ativos!$A$1:$G2000,5,),)</f>
        <v/>
      </c>
    </row>
    <row r="1045" ht="21.0" customHeight="1">
      <c r="A1045" s="152"/>
      <c r="B1045" s="160"/>
      <c r="C1045" s="153"/>
      <c r="D1045" s="154"/>
      <c r="E1045" s="139"/>
      <c r="F1045" s="139"/>
      <c r="G1045" s="139"/>
      <c r="H1045" s="135"/>
      <c r="I1045" s="141"/>
      <c r="J1045" s="147" t="str">
        <f>IFERROR(__xludf.DUMMYFUNCTION("IF(ISBLANK(A1045),IFERROR(1/0),IF(COUNT(FILTER(F:F,A:A=A1045))&gt;1,TRUNC(N1045*F1045/SUM(FILTER(N:N,A:A=A1045)),3),F1045))"),"")</f>
        <v/>
      </c>
      <c r="K1045" s="147" t="str">
        <f>IFERROR(__xludf.DUMMYFUNCTION("IF(ISBLANK(A1045),IFERROR(1/0),IF(COUNT(FILTER(G:G,((A:A=A1045)*(B:B=""V""))))&gt;1,TRUNC(N1045*G1045/SUM(FILTER(N:N,((A:A=A1045)*(B:B=""V"")))),3),G1045))"),"")</f>
        <v/>
      </c>
      <c r="L1045" s="148" t="str">
        <f>IFERROR(__xludf.DUMMYFUNCTION("if($C1045="""","""",iferror(if(row()&lt;&gt;2,INDEX(arrayformula(filter($M$2:$M1044,$C$2:$C1044&lt;&gt;"""",row($C$2:$C1044)=max(if($C$2:$C1044=C1045,row($C$2:$C1044),0)))) ,1),0),0))"),"")</f>
        <v/>
      </c>
      <c r="M1045" s="148" t="str">
        <f t="shared" si="1"/>
        <v/>
      </c>
      <c r="N1045" s="147" t="str">
        <f t="shared" si="2"/>
        <v/>
      </c>
      <c r="O1045" s="147" t="str">
        <f t="shared" si="21"/>
        <v/>
      </c>
      <c r="P1045" s="147" t="str">
        <f>IFERROR(__xludf.DUMMYFUNCTION("if(C1045="""","""",iferror(if(row()&lt;&gt;2,INDEX(arrayformula(filter($Q$2:$Q1044,$C$2:$C1044&lt;&gt;"""",row($C$2:$C1044)=max(if($C$2:$C1044=C1045,row($C$2:$C1044),0)))) ,1),0),0))"),"")</f>
        <v/>
      </c>
      <c r="Q1045" s="147" t="str">
        <f t="shared" si="22"/>
        <v/>
      </c>
      <c r="R1045" s="147" t="str">
        <f t="shared" si="23"/>
        <v/>
      </c>
      <c r="S1045" s="147" t="str">
        <f t="shared" si="24"/>
        <v/>
      </c>
      <c r="T1045" s="147" t="str">
        <f t="shared" si="7"/>
        <v/>
      </c>
      <c r="U1045" s="150" t="str">
        <f t="shared" si="8"/>
        <v/>
      </c>
      <c r="V1045" s="151" t="str">
        <f>IFERROR(VLOOKUP(C1045,Ativos!$A$1:$G2000,5,),)</f>
        <v/>
      </c>
    </row>
    <row r="1046" ht="21.0" customHeight="1">
      <c r="A1046" s="152"/>
      <c r="B1046" s="160"/>
      <c r="C1046" s="153"/>
      <c r="D1046" s="154"/>
      <c r="E1046" s="139"/>
      <c r="F1046" s="139"/>
      <c r="G1046" s="139"/>
      <c r="H1046" s="135"/>
      <c r="I1046" s="141"/>
      <c r="J1046" s="147" t="str">
        <f>IFERROR(__xludf.DUMMYFUNCTION("IF(ISBLANK(A1046),IFERROR(1/0),IF(COUNT(FILTER(F:F,A:A=A1046))&gt;1,TRUNC(N1046*F1046/SUM(FILTER(N:N,A:A=A1046)),3),F1046))"),"")</f>
        <v/>
      </c>
      <c r="K1046" s="147" t="str">
        <f>IFERROR(__xludf.DUMMYFUNCTION("IF(ISBLANK(A1046),IFERROR(1/0),IF(COUNT(FILTER(G:G,((A:A=A1046)*(B:B=""V""))))&gt;1,TRUNC(N1046*G1046/SUM(FILTER(N:N,((A:A=A1046)*(B:B=""V"")))),3),G1046))"),"")</f>
        <v/>
      </c>
      <c r="L1046" s="148" t="str">
        <f>IFERROR(__xludf.DUMMYFUNCTION("if($C1046="""","""",iferror(if(row()&lt;&gt;2,INDEX(arrayformula(filter($M$2:$M1045,$C$2:$C1045&lt;&gt;"""",row($C$2:$C1045)=max(if($C$2:$C1045=C1046,row($C$2:$C1045),0)))) ,1),0),0))"),"")</f>
        <v/>
      </c>
      <c r="M1046" s="148" t="str">
        <f t="shared" si="1"/>
        <v/>
      </c>
      <c r="N1046" s="147" t="str">
        <f t="shared" si="2"/>
        <v/>
      </c>
      <c r="O1046" s="147" t="str">
        <f t="shared" si="21"/>
        <v/>
      </c>
      <c r="P1046" s="147" t="str">
        <f>IFERROR(__xludf.DUMMYFUNCTION("if(C1046="""","""",iferror(if(row()&lt;&gt;2,INDEX(arrayformula(filter($Q$2:$Q1045,$C$2:$C1045&lt;&gt;"""",row($C$2:$C1045)=max(if($C$2:$C1045=C1046,row($C$2:$C1045),0)))) ,1),0),0))"),"")</f>
        <v/>
      </c>
      <c r="Q1046" s="147" t="str">
        <f t="shared" si="22"/>
        <v/>
      </c>
      <c r="R1046" s="147" t="str">
        <f t="shared" si="23"/>
        <v/>
      </c>
      <c r="S1046" s="147" t="str">
        <f t="shared" si="24"/>
        <v/>
      </c>
      <c r="T1046" s="147" t="str">
        <f t="shared" si="7"/>
        <v/>
      </c>
      <c r="U1046" s="150" t="str">
        <f t="shared" si="8"/>
        <v/>
      </c>
      <c r="V1046" s="151" t="str">
        <f>IFERROR(VLOOKUP(C1046,Ativos!$A$1:$G2000,5,),)</f>
        <v/>
      </c>
    </row>
    <row r="1047" ht="21.0" customHeight="1">
      <c r="A1047" s="152"/>
      <c r="B1047" s="160"/>
      <c r="C1047" s="153"/>
      <c r="D1047" s="154"/>
      <c r="E1047" s="139"/>
      <c r="F1047" s="139"/>
      <c r="G1047" s="139"/>
      <c r="H1047" s="135"/>
      <c r="I1047" s="141"/>
      <c r="J1047" s="147" t="str">
        <f>IFERROR(__xludf.DUMMYFUNCTION("IF(ISBLANK(A1047),IFERROR(1/0),IF(COUNT(FILTER(F:F,A:A=A1047))&gt;1,TRUNC(N1047*F1047/SUM(FILTER(N:N,A:A=A1047)),3),F1047))"),"")</f>
        <v/>
      </c>
      <c r="K1047" s="147" t="str">
        <f>IFERROR(__xludf.DUMMYFUNCTION("IF(ISBLANK(A1047),IFERROR(1/0),IF(COUNT(FILTER(G:G,((A:A=A1047)*(B:B=""V""))))&gt;1,TRUNC(N1047*G1047/SUM(FILTER(N:N,((A:A=A1047)*(B:B=""V"")))),3),G1047))"),"")</f>
        <v/>
      </c>
      <c r="L1047" s="148" t="str">
        <f>IFERROR(__xludf.DUMMYFUNCTION("if($C1047="""","""",iferror(if(row()&lt;&gt;2,INDEX(arrayformula(filter($M$2:$M1046,$C$2:$C1046&lt;&gt;"""",row($C$2:$C1046)=max(if($C$2:$C1046=C1047,row($C$2:$C1046),0)))) ,1),0),0))"),"")</f>
        <v/>
      </c>
      <c r="M1047" s="148" t="str">
        <f t="shared" si="1"/>
        <v/>
      </c>
      <c r="N1047" s="147" t="str">
        <f t="shared" si="2"/>
        <v/>
      </c>
      <c r="O1047" s="147" t="str">
        <f t="shared" si="21"/>
        <v/>
      </c>
      <c r="P1047" s="147" t="str">
        <f>IFERROR(__xludf.DUMMYFUNCTION("if(C1047="""","""",iferror(if(row()&lt;&gt;2,INDEX(arrayformula(filter($Q$2:$Q1046,$C$2:$C1046&lt;&gt;"""",row($C$2:$C1046)=max(if($C$2:$C1046=C1047,row($C$2:$C1046),0)))) ,1),0),0))"),"")</f>
        <v/>
      </c>
      <c r="Q1047" s="147" t="str">
        <f t="shared" si="22"/>
        <v/>
      </c>
      <c r="R1047" s="147" t="str">
        <f t="shared" si="23"/>
        <v/>
      </c>
      <c r="S1047" s="147" t="str">
        <f t="shared" si="24"/>
        <v/>
      </c>
      <c r="T1047" s="147" t="str">
        <f t="shared" si="7"/>
        <v/>
      </c>
      <c r="U1047" s="150" t="str">
        <f t="shared" si="8"/>
        <v/>
      </c>
      <c r="V1047" s="151" t="str">
        <f>IFERROR(VLOOKUP(C1047,Ativos!$A$1:$G2000,5,),)</f>
        <v/>
      </c>
    </row>
    <row r="1048" ht="21.0" customHeight="1">
      <c r="A1048" s="152"/>
      <c r="B1048" s="160"/>
      <c r="C1048" s="153"/>
      <c r="D1048" s="154"/>
      <c r="E1048" s="139"/>
      <c r="F1048" s="139"/>
      <c r="G1048" s="139"/>
      <c r="H1048" s="135"/>
      <c r="I1048" s="141"/>
      <c r="J1048" s="147" t="str">
        <f>IFERROR(__xludf.DUMMYFUNCTION("IF(ISBLANK(A1048),IFERROR(1/0),IF(COUNT(FILTER(F:F,A:A=A1048))&gt;1,TRUNC(N1048*F1048/SUM(FILTER(N:N,A:A=A1048)),3),F1048))"),"")</f>
        <v/>
      </c>
      <c r="K1048" s="147" t="str">
        <f>IFERROR(__xludf.DUMMYFUNCTION("IF(ISBLANK(A1048),IFERROR(1/0),IF(COUNT(FILTER(G:G,((A:A=A1048)*(B:B=""V""))))&gt;1,TRUNC(N1048*G1048/SUM(FILTER(N:N,((A:A=A1048)*(B:B=""V"")))),3),G1048))"),"")</f>
        <v/>
      </c>
      <c r="L1048" s="148" t="str">
        <f>IFERROR(__xludf.DUMMYFUNCTION("if($C1048="""","""",iferror(if(row()&lt;&gt;2,INDEX(arrayformula(filter($M$2:$M1047,$C$2:$C1047&lt;&gt;"""",row($C$2:$C1047)=max(if($C$2:$C1047=C1048,row($C$2:$C1047),0)))) ,1),0),0))"),"")</f>
        <v/>
      </c>
      <c r="M1048" s="148" t="str">
        <f t="shared" si="1"/>
        <v/>
      </c>
      <c r="N1048" s="147" t="str">
        <f t="shared" si="2"/>
        <v/>
      </c>
      <c r="O1048" s="147" t="str">
        <f t="shared" si="21"/>
        <v/>
      </c>
      <c r="P1048" s="147" t="str">
        <f>IFERROR(__xludf.DUMMYFUNCTION("if(C1048="""","""",iferror(if(row()&lt;&gt;2,INDEX(arrayformula(filter($Q$2:$Q1047,$C$2:$C1047&lt;&gt;"""",row($C$2:$C1047)=max(if($C$2:$C1047=C1048,row($C$2:$C1047),0)))) ,1),0),0))"),"")</f>
        <v/>
      </c>
      <c r="Q1048" s="147" t="str">
        <f t="shared" si="22"/>
        <v/>
      </c>
      <c r="R1048" s="147" t="str">
        <f t="shared" si="23"/>
        <v/>
      </c>
      <c r="S1048" s="147" t="str">
        <f t="shared" si="24"/>
        <v/>
      </c>
      <c r="T1048" s="147" t="str">
        <f t="shared" si="7"/>
        <v/>
      </c>
      <c r="U1048" s="150" t="str">
        <f t="shared" si="8"/>
        <v/>
      </c>
      <c r="V1048" s="151" t="str">
        <f>IFERROR(VLOOKUP(C1048,Ativos!$A$1:$G2000,5,),)</f>
        <v/>
      </c>
    </row>
    <row r="1049" ht="21.0" customHeight="1">
      <c r="A1049" s="152"/>
      <c r="B1049" s="160"/>
      <c r="C1049" s="153"/>
      <c r="D1049" s="154"/>
      <c r="E1049" s="139"/>
      <c r="F1049" s="139"/>
      <c r="G1049" s="139"/>
      <c r="H1049" s="135"/>
      <c r="I1049" s="141"/>
      <c r="J1049" s="147" t="str">
        <f>IFERROR(__xludf.DUMMYFUNCTION("IF(ISBLANK(A1049),IFERROR(1/0),IF(COUNT(FILTER(F:F,A:A=A1049))&gt;1,TRUNC(N1049*F1049/SUM(FILTER(N:N,A:A=A1049)),3),F1049))"),"")</f>
        <v/>
      </c>
      <c r="K1049" s="147" t="str">
        <f>IFERROR(__xludf.DUMMYFUNCTION("IF(ISBLANK(A1049),IFERROR(1/0),IF(COUNT(FILTER(G:G,((A:A=A1049)*(B:B=""V""))))&gt;1,TRUNC(N1049*G1049/SUM(FILTER(N:N,((A:A=A1049)*(B:B=""V"")))),3),G1049))"),"")</f>
        <v/>
      </c>
      <c r="L1049" s="148" t="str">
        <f>IFERROR(__xludf.DUMMYFUNCTION("if($C1049="""","""",iferror(if(row()&lt;&gt;2,INDEX(arrayformula(filter($M$2:$M1048,$C$2:$C1048&lt;&gt;"""",row($C$2:$C1048)=max(if($C$2:$C1048=C1049,row($C$2:$C1048),0)))) ,1),0),0))"),"")</f>
        <v/>
      </c>
      <c r="M1049" s="148" t="str">
        <f t="shared" si="1"/>
        <v/>
      </c>
      <c r="N1049" s="147" t="str">
        <f t="shared" si="2"/>
        <v/>
      </c>
      <c r="O1049" s="147" t="str">
        <f t="shared" si="21"/>
        <v/>
      </c>
      <c r="P1049" s="147" t="str">
        <f>IFERROR(__xludf.DUMMYFUNCTION("if(C1049="""","""",iferror(if(row()&lt;&gt;2,INDEX(arrayformula(filter($Q$2:$Q1048,$C$2:$C1048&lt;&gt;"""",row($C$2:$C1048)=max(if($C$2:$C1048=C1049,row($C$2:$C1048),0)))) ,1),0),0))"),"")</f>
        <v/>
      </c>
      <c r="Q1049" s="147" t="str">
        <f t="shared" si="22"/>
        <v/>
      </c>
      <c r="R1049" s="147" t="str">
        <f t="shared" si="23"/>
        <v/>
      </c>
      <c r="S1049" s="147" t="str">
        <f t="shared" si="24"/>
        <v/>
      </c>
      <c r="T1049" s="147" t="str">
        <f t="shared" si="7"/>
        <v/>
      </c>
      <c r="U1049" s="150" t="str">
        <f t="shared" si="8"/>
        <v/>
      </c>
      <c r="V1049" s="151" t="str">
        <f>IFERROR(VLOOKUP(C1049,Ativos!$A$1:$G2000,5,),)</f>
        <v/>
      </c>
    </row>
    <row r="1050" ht="21.0" customHeight="1">
      <c r="A1050" s="152"/>
      <c r="B1050" s="160"/>
      <c r="C1050" s="153"/>
      <c r="D1050" s="154"/>
      <c r="E1050" s="139"/>
      <c r="F1050" s="139"/>
      <c r="G1050" s="139"/>
      <c r="H1050" s="135"/>
      <c r="I1050" s="141"/>
      <c r="J1050" s="147" t="str">
        <f>IFERROR(__xludf.DUMMYFUNCTION("IF(ISBLANK(A1050),IFERROR(1/0),IF(COUNT(FILTER(F:F,A:A=A1050))&gt;1,TRUNC(N1050*F1050/SUM(FILTER(N:N,A:A=A1050)),3),F1050))"),"")</f>
        <v/>
      </c>
      <c r="K1050" s="147" t="str">
        <f>IFERROR(__xludf.DUMMYFUNCTION("IF(ISBLANK(A1050),IFERROR(1/0),IF(COUNT(FILTER(G:G,((A:A=A1050)*(B:B=""V""))))&gt;1,TRUNC(N1050*G1050/SUM(FILTER(N:N,((A:A=A1050)*(B:B=""V"")))),3),G1050))"),"")</f>
        <v/>
      </c>
      <c r="L1050" s="148" t="str">
        <f>IFERROR(__xludf.DUMMYFUNCTION("if($C1050="""","""",iferror(if(row()&lt;&gt;2,INDEX(arrayformula(filter($M$2:$M1049,$C$2:$C1049&lt;&gt;"""",row($C$2:$C1049)=max(if($C$2:$C1049=C1050,row($C$2:$C1049),0)))) ,1),0),0))"),"")</f>
        <v/>
      </c>
      <c r="M1050" s="148" t="str">
        <f t="shared" si="1"/>
        <v/>
      </c>
      <c r="N1050" s="147" t="str">
        <f t="shared" si="2"/>
        <v/>
      </c>
      <c r="O1050" s="147" t="str">
        <f t="shared" si="21"/>
        <v/>
      </c>
      <c r="P1050" s="147" t="str">
        <f>IFERROR(__xludf.DUMMYFUNCTION("if(C1050="""","""",iferror(if(row()&lt;&gt;2,INDEX(arrayformula(filter($Q$2:$Q1049,$C$2:$C1049&lt;&gt;"""",row($C$2:$C1049)=max(if($C$2:$C1049=C1050,row($C$2:$C1049),0)))) ,1),0),0))"),"")</f>
        <v/>
      </c>
      <c r="Q1050" s="147" t="str">
        <f t="shared" si="22"/>
        <v/>
      </c>
      <c r="R1050" s="147" t="str">
        <f t="shared" si="23"/>
        <v/>
      </c>
      <c r="S1050" s="147" t="str">
        <f t="shared" si="24"/>
        <v/>
      </c>
      <c r="T1050" s="147" t="str">
        <f t="shared" si="7"/>
        <v/>
      </c>
      <c r="U1050" s="150" t="str">
        <f t="shared" si="8"/>
        <v/>
      </c>
      <c r="V1050" s="151" t="str">
        <f>IFERROR(VLOOKUP(C1050,Ativos!$A$1:$G2000,5,),)</f>
        <v/>
      </c>
    </row>
    <row r="1051" ht="21.0" customHeight="1">
      <c r="A1051" s="152"/>
      <c r="B1051" s="160"/>
      <c r="C1051" s="153"/>
      <c r="D1051" s="154"/>
      <c r="E1051" s="139"/>
      <c r="F1051" s="139"/>
      <c r="G1051" s="139"/>
      <c r="H1051" s="135"/>
      <c r="I1051" s="141"/>
      <c r="J1051" s="147" t="str">
        <f>IFERROR(__xludf.DUMMYFUNCTION("IF(ISBLANK(A1051),IFERROR(1/0),IF(COUNT(FILTER(F:F,A:A=A1051))&gt;1,TRUNC(N1051*F1051/SUM(FILTER(N:N,A:A=A1051)),3),F1051))"),"")</f>
        <v/>
      </c>
      <c r="K1051" s="147" t="str">
        <f>IFERROR(__xludf.DUMMYFUNCTION("IF(ISBLANK(A1051),IFERROR(1/0),IF(COUNT(FILTER(G:G,((A:A=A1051)*(B:B=""V""))))&gt;1,TRUNC(N1051*G1051/SUM(FILTER(N:N,((A:A=A1051)*(B:B=""V"")))),3),G1051))"),"")</f>
        <v/>
      </c>
      <c r="L1051" s="148" t="str">
        <f>IFERROR(__xludf.DUMMYFUNCTION("if($C1051="""","""",iferror(if(row()&lt;&gt;2,INDEX(arrayformula(filter($M$2:$M1050,$C$2:$C1050&lt;&gt;"""",row($C$2:$C1050)=max(if($C$2:$C1050=C1051,row($C$2:$C1050),0)))) ,1),0),0))"),"")</f>
        <v/>
      </c>
      <c r="M1051" s="148" t="str">
        <f t="shared" si="1"/>
        <v/>
      </c>
      <c r="N1051" s="147" t="str">
        <f t="shared" si="2"/>
        <v/>
      </c>
      <c r="O1051" s="147" t="str">
        <f t="shared" si="21"/>
        <v/>
      </c>
      <c r="P1051" s="147" t="str">
        <f>IFERROR(__xludf.DUMMYFUNCTION("if(C1051="""","""",iferror(if(row()&lt;&gt;2,INDEX(arrayformula(filter($Q$2:$Q1050,$C$2:$C1050&lt;&gt;"""",row($C$2:$C1050)=max(if($C$2:$C1050=C1051,row($C$2:$C1050),0)))) ,1),0),0))"),"")</f>
        <v/>
      </c>
      <c r="Q1051" s="147" t="str">
        <f t="shared" si="22"/>
        <v/>
      </c>
      <c r="R1051" s="147" t="str">
        <f t="shared" si="23"/>
        <v/>
      </c>
      <c r="S1051" s="147" t="str">
        <f t="shared" si="24"/>
        <v/>
      </c>
      <c r="T1051" s="147" t="str">
        <f t="shared" si="7"/>
        <v/>
      </c>
      <c r="U1051" s="150" t="str">
        <f t="shared" si="8"/>
        <v/>
      </c>
      <c r="V1051" s="151" t="str">
        <f>IFERROR(VLOOKUP(C1051,Ativos!$A$1:$G2000,5,),)</f>
        <v/>
      </c>
    </row>
    <row r="1052" ht="21.0" customHeight="1">
      <c r="A1052" s="152"/>
      <c r="B1052" s="160"/>
      <c r="C1052" s="153"/>
      <c r="D1052" s="154"/>
      <c r="E1052" s="139"/>
      <c r="F1052" s="139"/>
      <c r="G1052" s="139"/>
      <c r="H1052" s="135"/>
      <c r="I1052" s="141"/>
      <c r="J1052" s="147" t="str">
        <f>IFERROR(__xludf.DUMMYFUNCTION("IF(ISBLANK(A1052),IFERROR(1/0),IF(COUNT(FILTER(F:F,A:A=A1052))&gt;1,TRUNC(N1052*F1052/SUM(FILTER(N:N,A:A=A1052)),3),F1052))"),"")</f>
        <v/>
      </c>
      <c r="K1052" s="147" t="str">
        <f>IFERROR(__xludf.DUMMYFUNCTION("IF(ISBLANK(A1052),IFERROR(1/0),IF(COUNT(FILTER(G:G,((A:A=A1052)*(B:B=""V""))))&gt;1,TRUNC(N1052*G1052/SUM(FILTER(N:N,((A:A=A1052)*(B:B=""V"")))),3),G1052))"),"")</f>
        <v/>
      </c>
      <c r="L1052" s="148" t="str">
        <f>IFERROR(__xludf.DUMMYFUNCTION("if($C1052="""","""",iferror(if(row()&lt;&gt;2,INDEX(arrayformula(filter($M$2:$M1051,$C$2:$C1051&lt;&gt;"""",row($C$2:$C1051)=max(if($C$2:$C1051=C1052,row($C$2:$C1051),0)))) ,1),0),0))"),"")</f>
        <v/>
      </c>
      <c r="M1052" s="148" t="str">
        <f t="shared" si="1"/>
        <v/>
      </c>
      <c r="N1052" s="147" t="str">
        <f t="shared" si="2"/>
        <v/>
      </c>
      <c r="O1052" s="147" t="str">
        <f t="shared" si="21"/>
        <v/>
      </c>
      <c r="P1052" s="147" t="str">
        <f>IFERROR(__xludf.DUMMYFUNCTION("if(C1052="""","""",iferror(if(row()&lt;&gt;2,INDEX(arrayformula(filter($Q$2:$Q1051,$C$2:$C1051&lt;&gt;"""",row($C$2:$C1051)=max(if($C$2:$C1051=C1052,row($C$2:$C1051),0)))) ,1),0),0))"),"")</f>
        <v/>
      </c>
      <c r="Q1052" s="147" t="str">
        <f t="shared" si="22"/>
        <v/>
      </c>
      <c r="R1052" s="147" t="str">
        <f t="shared" si="23"/>
        <v/>
      </c>
      <c r="S1052" s="147" t="str">
        <f t="shared" si="24"/>
        <v/>
      </c>
      <c r="T1052" s="147" t="str">
        <f t="shared" si="7"/>
        <v/>
      </c>
      <c r="U1052" s="150" t="str">
        <f t="shared" si="8"/>
        <v/>
      </c>
      <c r="V1052" s="151" t="str">
        <f>IFERROR(VLOOKUP(C1052,Ativos!$A$1:$G2000,5,),)</f>
        <v/>
      </c>
    </row>
    <row r="1053" ht="21.0" customHeight="1">
      <c r="A1053" s="152"/>
      <c r="B1053" s="160"/>
      <c r="C1053" s="153"/>
      <c r="D1053" s="154"/>
      <c r="E1053" s="139"/>
      <c r="F1053" s="139"/>
      <c r="G1053" s="139"/>
      <c r="H1053" s="135"/>
      <c r="I1053" s="141"/>
      <c r="J1053" s="147" t="str">
        <f>IFERROR(__xludf.DUMMYFUNCTION("IF(ISBLANK(A1053),IFERROR(1/0),IF(COUNT(FILTER(F:F,A:A=A1053))&gt;1,TRUNC(N1053*F1053/SUM(FILTER(N:N,A:A=A1053)),3),F1053))"),"")</f>
        <v/>
      </c>
      <c r="K1053" s="147" t="str">
        <f>IFERROR(__xludf.DUMMYFUNCTION("IF(ISBLANK(A1053),IFERROR(1/0),IF(COUNT(FILTER(G:G,((A:A=A1053)*(B:B=""V""))))&gt;1,TRUNC(N1053*G1053/SUM(FILTER(N:N,((A:A=A1053)*(B:B=""V"")))),3),G1053))"),"")</f>
        <v/>
      </c>
      <c r="L1053" s="148" t="str">
        <f>IFERROR(__xludf.DUMMYFUNCTION("if($C1053="""","""",iferror(if(row()&lt;&gt;2,INDEX(arrayformula(filter($M$2:$M1052,$C$2:$C1052&lt;&gt;"""",row($C$2:$C1052)=max(if($C$2:$C1052=C1053,row($C$2:$C1052),0)))) ,1),0),0))"),"")</f>
        <v/>
      </c>
      <c r="M1053" s="148" t="str">
        <f t="shared" si="1"/>
        <v/>
      </c>
      <c r="N1053" s="147" t="str">
        <f t="shared" si="2"/>
        <v/>
      </c>
      <c r="O1053" s="147" t="str">
        <f t="shared" si="21"/>
        <v/>
      </c>
      <c r="P1053" s="147" t="str">
        <f>IFERROR(__xludf.DUMMYFUNCTION("if(C1053="""","""",iferror(if(row()&lt;&gt;2,INDEX(arrayformula(filter($Q$2:$Q1052,$C$2:$C1052&lt;&gt;"""",row($C$2:$C1052)=max(if($C$2:$C1052=C1053,row($C$2:$C1052),0)))) ,1),0),0))"),"")</f>
        <v/>
      </c>
      <c r="Q1053" s="147" t="str">
        <f t="shared" si="22"/>
        <v/>
      </c>
      <c r="R1053" s="147" t="str">
        <f t="shared" si="23"/>
        <v/>
      </c>
      <c r="S1053" s="147" t="str">
        <f t="shared" si="24"/>
        <v/>
      </c>
      <c r="T1053" s="147" t="str">
        <f t="shared" si="7"/>
        <v/>
      </c>
      <c r="U1053" s="150" t="str">
        <f t="shared" si="8"/>
        <v/>
      </c>
      <c r="V1053" s="151" t="str">
        <f>IFERROR(VLOOKUP(C1053,Ativos!$A$1:$G2000,5,),)</f>
        <v/>
      </c>
    </row>
    <row r="1054" ht="21.0" customHeight="1">
      <c r="A1054" s="152"/>
      <c r="B1054" s="160"/>
      <c r="C1054" s="153"/>
      <c r="D1054" s="154"/>
      <c r="E1054" s="139"/>
      <c r="F1054" s="139"/>
      <c r="G1054" s="139"/>
      <c r="H1054" s="135"/>
      <c r="I1054" s="141"/>
      <c r="J1054" s="147" t="str">
        <f>IFERROR(__xludf.DUMMYFUNCTION("IF(ISBLANK(A1054),IFERROR(1/0),IF(COUNT(FILTER(F:F,A:A=A1054))&gt;1,TRUNC(N1054*F1054/SUM(FILTER(N:N,A:A=A1054)),3),F1054))"),"")</f>
        <v/>
      </c>
      <c r="K1054" s="147" t="str">
        <f>IFERROR(__xludf.DUMMYFUNCTION("IF(ISBLANK(A1054),IFERROR(1/0),IF(COUNT(FILTER(G:G,((A:A=A1054)*(B:B=""V""))))&gt;1,TRUNC(N1054*G1054/SUM(FILTER(N:N,((A:A=A1054)*(B:B=""V"")))),3),G1054))"),"")</f>
        <v/>
      </c>
      <c r="L1054" s="148" t="str">
        <f>IFERROR(__xludf.DUMMYFUNCTION("if($C1054="""","""",iferror(if(row()&lt;&gt;2,INDEX(arrayformula(filter($M$2:$M1053,$C$2:$C1053&lt;&gt;"""",row($C$2:$C1053)=max(if($C$2:$C1053=C1054,row($C$2:$C1053),0)))) ,1),0),0))"),"")</f>
        <v/>
      </c>
      <c r="M1054" s="148" t="str">
        <f t="shared" si="1"/>
        <v/>
      </c>
      <c r="N1054" s="147" t="str">
        <f t="shared" si="2"/>
        <v/>
      </c>
      <c r="O1054" s="147" t="str">
        <f t="shared" si="21"/>
        <v/>
      </c>
      <c r="P1054" s="147" t="str">
        <f>IFERROR(__xludf.DUMMYFUNCTION("if(C1054="""","""",iferror(if(row()&lt;&gt;2,INDEX(arrayformula(filter($Q$2:$Q1053,$C$2:$C1053&lt;&gt;"""",row($C$2:$C1053)=max(if($C$2:$C1053=C1054,row($C$2:$C1053),0)))) ,1),0),0))"),"")</f>
        <v/>
      </c>
      <c r="Q1054" s="147" t="str">
        <f t="shared" si="22"/>
        <v/>
      </c>
      <c r="R1054" s="147" t="str">
        <f t="shared" si="23"/>
        <v/>
      </c>
      <c r="S1054" s="147" t="str">
        <f t="shared" si="24"/>
        <v/>
      </c>
      <c r="T1054" s="147" t="str">
        <f t="shared" si="7"/>
        <v/>
      </c>
      <c r="U1054" s="150" t="str">
        <f t="shared" si="8"/>
        <v/>
      </c>
      <c r="V1054" s="151" t="str">
        <f>IFERROR(VLOOKUP(C1054,Ativos!$A$1:$G2000,5,),)</f>
        <v/>
      </c>
    </row>
    <row r="1055" ht="21.0" customHeight="1">
      <c r="A1055" s="152"/>
      <c r="B1055" s="160"/>
      <c r="C1055" s="153"/>
      <c r="D1055" s="154"/>
      <c r="E1055" s="139"/>
      <c r="F1055" s="139"/>
      <c r="G1055" s="139"/>
      <c r="H1055" s="135"/>
      <c r="I1055" s="141"/>
      <c r="J1055" s="147" t="str">
        <f>IFERROR(__xludf.DUMMYFUNCTION("IF(ISBLANK(A1055),IFERROR(1/0),IF(COUNT(FILTER(F:F,A:A=A1055))&gt;1,TRUNC(N1055*F1055/SUM(FILTER(N:N,A:A=A1055)),3),F1055))"),"")</f>
        <v/>
      </c>
      <c r="K1055" s="147" t="str">
        <f>IFERROR(__xludf.DUMMYFUNCTION("IF(ISBLANK(A1055),IFERROR(1/0),IF(COUNT(FILTER(G:G,((A:A=A1055)*(B:B=""V""))))&gt;1,TRUNC(N1055*G1055/SUM(FILTER(N:N,((A:A=A1055)*(B:B=""V"")))),3),G1055))"),"")</f>
        <v/>
      </c>
      <c r="L1055" s="148" t="str">
        <f>IFERROR(__xludf.DUMMYFUNCTION("if($C1055="""","""",iferror(if(row()&lt;&gt;2,INDEX(arrayformula(filter($M$2:$M1054,$C$2:$C1054&lt;&gt;"""",row($C$2:$C1054)=max(if($C$2:$C1054=C1055,row($C$2:$C1054),0)))) ,1),0),0))"),"")</f>
        <v/>
      </c>
      <c r="M1055" s="148" t="str">
        <f t="shared" si="1"/>
        <v/>
      </c>
      <c r="N1055" s="147" t="str">
        <f t="shared" si="2"/>
        <v/>
      </c>
      <c r="O1055" s="147" t="str">
        <f t="shared" si="21"/>
        <v/>
      </c>
      <c r="P1055" s="147" t="str">
        <f>IFERROR(__xludf.DUMMYFUNCTION("if(C1055="""","""",iferror(if(row()&lt;&gt;2,INDEX(arrayformula(filter($Q$2:$Q1054,$C$2:$C1054&lt;&gt;"""",row($C$2:$C1054)=max(if($C$2:$C1054=C1055,row($C$2:$C1054),0)))) ,1),0),0))"),"")</f>
        <v/>
      </c>
      <c r="Q1055" s="147" t="str">
        <f t="shared" si="22"/>
        <v/>
      </c>
      <c r="R1055" s="147" t="str">
        <f t="shared" si="23"/>
        <v/>
      </c>
      <c r="S1055" s="147" t="str">
        <f t="shared" si="24"/>
        <v/>
      </c>
      <c r="T1055" s="147" t="str">
        <f t="shared" si="7"/>
        <v/>
      </c>
      <c r="U1055" s="150" t="str">
        <f t="shared" si="8"/>
        <v/>
      </c>
      <c r="V1055" s="151" t="str">
        <f>IFERROR(VLOOKUP(C1055,Ativos!$A$1:$G2000,5,),)</f>
        <v/>
      </c>
    </row>
    <row r="1056" ht="21.0" customHeight="1">
      <c r="A1056" s="152"/>
      <c r="B1056" s="160"/>
      <c r="C1056" s="153"/>
      <c r="D1056" s="154"/>
      <c r="E1056" s="139"/>
      <c r="F1056" s="139"/>
      <c r="G1056" s="139"/>
      <c r="H1056" s="135"/>
      <c r="I1056" s="141"/>
      <c r="J1056" s="147" t="str">
        <f>IFERROR(__xludf.DUMMYFUNCTION("IF(ISBLANK(A1056),IFERROR(1/0),IF(COUNT(FILTER(F:F,A:A=A1056))&gt;1,TRUNC(N1056*F1056/SUM(FILTER(N:N,A:A=A1056)),3),F1056))"),"")</f>
        <v/>
      </c>
      <c r="K1056" s="147" t="str">
        <f>IFERROR(__xludf.DUMMYFUNCTION("IF(ISBLANK(A1056),IFERROR(1/0),IF(COUNT(FILTER(G:G,((A:A=A1056)*(B:B=""V""))))&gt;1,TRUNC(N1056*G1056/SUM(FILTER(N:N,((A:A=A1056)*(B:B=""V"")))),3),G1056))"),"")</f>
        <v/>
      </c>
      <c r="L1056" s="148" t="str">
        <f>IFERROR(__xludf.DUMMYFUNCTION("if($C1056="""","""",iferror(if(row()&lt;&gt;2,INDEX(arrayformula(filter($M$2:$M1055,$C$2:$C1055&lt;&gt;"""",row($C$2:$C1055)=max(if($C$2:$C1055=C1056,row($C$2:$C1055),0)))) ,1),0),0))"),"")</f>
        <v/>
      </c>
      <c r="M1056" s="148" t="str">
        <f t="shared" si="1"/>
        <v/>
      </c>
      <c r="N1056" s="147" t="str">
        <f t="shared" si="2"/>
        <v/>
      </c>
      <c r="O1056" s="147" t="str">
        <f t="shared" si="21"/>
        <v/>
      </c>
      <c r="P1056" s="147" t="str">
        <f>IFERROR(__xludf.DUMMYFUNCTION("if(C1056="""","""",iferror(if(row()&lt;&gt;2,INDEX(arrayformula(filter($Q$2:$Q1055,$C$2:$C1055&lt;&gt;"""",row($C$2:$C1055)=max(if($C$2:$C1055=C1056,row($C$2:$C1055),0)))) ,1),0),0))"),"")</f>
        <v/>
      </c>
      <c r="Q1056" s="147" t="str">
        <f t="shared" si="22"/>
        <v/>
      </c>
      <c r="R1056" s="147" t="str">
        <f t="shared" si="23"/>
        <v/>
      </c>
      <c r="S1056" s="147" t="str">
        <f t="shared" si="24"/>
        <v/>
      </c>
      <c r="T1056" s="147" t="str">
        <f t="shared" si="7"/>
        <v/>
      </c>
      <c r="U1056" s="150" t="str">
        <f t="shared" si="8"/>
        <v/>
      </c>
      <c r="V1056" s="151" t="str">
        <f>IFERROR(VLOOKUP(C1056,Ativos!$A$1:$G2000,5,),)</f>
        <v/>
      </c>
    </row>
    <row r="1057" ht="21.0" customHeight="1">
      <c r="A1057" s="152"/>
      <c r="B1057" s="160"/>
      <c r="C1057" s="153"/>
      <c r="D1057" s="154"/>
      <c r="E1057" s="139"/>
      <c r="F1057" s="139"/>
      <c r="G1057" s="139"/>
      <c r="H1057" s="135"/>
      <c r="I1057" s="141"/>
      <c r="J1057" s="147" t="str">
        <f>IFERROR(__xludf.DUMMYFUNCTION("IF(ISBLANK(A1057),IFERROR(1/0),IF(COUNT(FILTER(F:F,A:A=A1057))&gt;1,TRUNC(N1057*F1057/SUM(FILTER(N:N,A:A=A1057)),3),F1057))"),"")</f>
        <v/>
      </c>
      <c r="K1057" s="147" t="str">
        <f>IFERROR(__xludf.DUMMYFUNCTION("IF(ISBLANK(A1057),IFERROR(1/0),IF(COUNT(FILTER(G:G,((A:A=A1057)*(B:B=""V""))))&gt;1,TRUNC(N1057*G1057/SUM(FILTER(N:N,((A:A=A1057)*(B:B=""V"")))),3),G1057))"),"")</f>
        <v/>
      </c>
      <c r="L1057" s="148" t="str">
        <f>IFERROR(__xludf.DUMMYFUNCTION("if($C1057="""","""",iferror(if(row()&lt;&gt;2,INDEX(arrayformula(filter($M$2:$M1056,$C$2:$C1056&lt;&gt;"""",row($C$2:$C1056)=max(if($C$2:$C1056=C1057,row($C$2:$C1056),0)))) ,1),0),0))"),"")</f>
        <v/>
      </c>
      <c r="M1057" s="148" t="str">
        <f t="shared" si="1"/>
        <v/>
      </c>
      <c r="N1057" s="147" t="str">
        <f t="shared" si="2"/>
        <v/>
      </c>
      <c r="O1057" s="147" t="str">
        <f t="shared" si="21"/>
        <v/>
      </c>
      <c r="P1057" s="147" t="str">
        <f>IFERROR(__xludf.DUMMYFUNCTION("if(C1057="""","""",iferror(if(row()&lt;&gt;2,INDEX(arrayformula(filter($Q$2:$Q1056,$C$2:$C1056&lt;&gt;"""",row($C$2:$C1056)=max(if($C$2:$C1056=C1057,row($C$2:$C1056),0)))) ,1),0),0))"),"")</f>
        <v/>
      </c>
      <c r="Q1057" s="147" t="str">
        <f t="shared" si="22"/>
        <v/>
      </c>
      <c r="R1057" s="147" t="str">
        <f t="shared" si="23"/>
        <v/>
      </c>
      <c r="S1057" s="147" t="str">
        <f t="shared" si="24"/>
        <v/>
      </c>
      <c r="T1057" s="147" t="str">
        <f t="shared" si="7"/>
        <v/>
      </c>
      <c r="U1057" s="150" t="str">
        <f t="shared" si="8"/>
        <v/>
      </c>
      <c r="V1057" s="151" t="str">
        <f>IFERROR(VLOOKUP(C1057,Ativos!$A$1:$G2000,5,),)</f>
        <v/>
      </c>
    </row>
    <row r="1058" ht="21.0" customHeight="1">
      <c r="A1058" s="152"/>
      <c r="B1058" s="160"/>
      <c r="C1058" s="153"/>
      <c r="D1058" s="154"/>
      <c r="E1058" s="139"/>
      <c r="F1058" s="139"/>
      <c r="G1058" s="139"/>
      <c r="H1058" s="135"/>
      <c r="I1058" s="141"/>
      <c r="J1058" s="147" t="str">
        <f>IFERROR(__xludf.DUMMYFUNCTION("IF(ISBLANK(A1058),IFERROR(1/0),IF(COUNT(FILTER(F:F,A:A=A1058))&gt;1,TRUNC(N1058*F1058/SUM(FILTER(N:N,A:A=A1058)),3),F1058))"),"")</f>
        <v/>
      </c>
      <c r="K1058" s="147" t="str">
        <f>IFERROR(__xludf.DUMMYFUNCTION("IF(ISBLANK(A1058),IFERROR(1/0),IF(COUNT(FILTER(G:G,((A:A=A1058)*(B:B=""V""))))&gt;1,TRUNC(N1058*G1058/SUM(FILTER(N:N,((A:A=A1058)*(B:B=""V"")))),3),G1058))"),"")</f>
        <v/>
      </c>
      <c r="L1058" s="148" t="str">
        <f>IFERROR(__xludf.DUMMYFUNCTION("if($C1058="""","""",iferror(if(row()&lt;&gt;2,INDEX(arrayformula(filter($M$2:$M1057,$C$2:$C1057&lt;&gt;"""",row($C$2:$C1057)=max(if($C$2:$C1057=C1058,row($C$2:$C1057),0)))) ,1),0),0))"),"")</f>
        <v/>
      </c>
      <c r="M1058" s="148" t="str">
        <f t="shared" si="1"/>
        <v/>
      </c>
      <c r="N1058" s="147" t="str">
        <f t="shared" si="2"/>
        <v/>
      </c>
      <c r="O1058" s="147" t="str">
        <f t="shared" si="21"/>
        <v/>
      </c>
      <c r="P1058" s="147" t="str">
        <f>IFERROR(__xludf.DUMMYFUNCTION("if(C1058="""","""",iferror(if(row()&lt;&gt;2,INDEX(arrayformula(filter($Q$2:$Q1057,$C$2:$C1057&lt;&gt;"""",row($C$2:$C1057)=max(if($C$2:$C1057=C1058,row($C$2:$C1057),0)))) ,1),0),0))"),"")</f>
        <v/>
      </c>
      <c r="Q1058" s="147" t="str">
        <f t="shared" si="22"/>
        <v/>
      </c>
      <c r="R1058" s="147" t="str">
        <f t="shared" si="23"/>
        <v/>
      </c>
      <c r="S1058" s="147" t="str">
        <f t="shared" si="24"/>
        <v/>
      </c>
      <c r="T1058" s="147" t="str">
        <f t="shared" si="7"/>
        <v/>
      </c>
      <c r="U1058" s="150" t="str">
        <f t="shared" si="8"/>
        <v/>
      </c>
      <c r="V1058" s="151" t="str">
        <f>IFERROR(VLOOKUP(C1058,Ativos!$A$1:$G2000,5,),)</f>
        <v/>
      </c>
    </row>
    <row r="1059" ht="21.0" customHeight="1">
      <c r="A1059" s="152"/>
      <c r="B1059" s="160"/>
      <c r="C1059" s="153"/>
      <c r="D1059" s="154"/>
      <c r="E1059" s="139"/>
      <c r="F1059" s="139"/>
      <c r="G1059" s="139"/>
      <c r="H1059" s="135"/>
      <c r="I1059" s="141"/>
      <c r="J1059" s="147" t="str">
        <f>IFERROR(__xludf.DUMMYFUNCTION("IF(ISBLANK(A1059),IFERROR(1/0),IF(COUNT(FILTER(F:F,A:A=A1059))&gt;1,TRUNC(N1059*F1059/SUM(FILTER(N:N,A:A=A1059)),3),F1059))"),"")</f>
        <v/>
      </c>
      <c r="K1059" s="147" t="str">
        <f>IFERROR(__xludf.DUMMYFUNCTION("IF(ISBLANK(A1059),IFERROR(1/0),IF(COUNT(FILTER(G:G,((A:A=A1059)*(B:B=""V""))))&gt;1,TRUNC(N1059*G1059/SUM(FILTER(N:N,((A:A=A1059)*(B:B=""V"")))),3),G1059))"),"")</f>
        <v/>
      </c>
      <c r="L1059" s="148" t="str">
        <f>IFERROR(__xludf.DUMMYFUNCTION("if($C1059="""","""",iferror(if(row()&lt;&gt;2,INDEX(arrayformula(filter($M$2:$M1058,$C$2:$C1058&lt;&gt;"""",row($C$2:$C1058)=max(if($C$2:$C1058=C1059,row($C$2:$C1058),0)))) ,1),0),0))"),"")</f>
        <v/>
      </c>
      <c r="M1059" s="148" t="str">
        <f t="shared" si="1"/>
        <v/>
      </c>
      <c r="N1059" s="147" t="str">
        <f t="shared" si="2"/>
        <v/>
      </c>
      <c r="O1059" s="147" t="str">
        <f t="shared" si="21"/>
        <v/>
      </c>
      <c r="P1059" s="147" t="str">
        <f>IFERROR(__xludf.DUMMYFUNCTION("if(C1059="""","""",iferror(if(row()&lt;&gt;2,INDEX(arrayformula(filter($Q$2:$Q1058,$C$2:$C1058&lt;&gt;"""",row($C$2:$C1058)=max(if($C$2:$C1058=C1059,row($C$2:$C1058),0)))) ,1),0),0))"),"")</f>
        <v/>
      </c>
      <c r="Q1059" s="147" t="str">
        <f t="shared" si="22"/>
        <v/>
      </c>
      <c r="R1059" s="147" t="str">
        <f t="shared" si="23"/>
        <v/>
      </c>
      <c r="S1059" s="147" t="str">
        <f t="shared" si="24"/>
        <v/>
      </c>
      <c r="T1059" s="147" t="str">
        <f t="shared" si="7"/>
        <v/>
      </c>
      <c r="U1059" s="150" t="str">
        <f t="shared" si="8"/>
        <v/>
      </c>
      <c r="V1059" s="151" t="str">
        <f>IFERROR(VLOOKUP(C1059,Ativos!$A$1:$G2000,5,),)</f>
        <v/>
      </c>
    </row>
    <row r="1060" ht="21.0" customHeight="1">
      <c r="A1060" s="152"/>
      <c r="B1060" s="160"/>
      <c r="C1060" s="153"/>
      <c r="D1060" s="154"/>
      <c r="E1060" s="139"/>
      <c r="F1060" s="139"/>
      <c r="G1060" s="139"/>
      <c r="H1060" s="135"/>
      <c r="I1060" s="141"/>
      <c r="J1060" s="147" t="str">
        <f>IFERROR(__xludf.DUMMYFUNCTION("IF(ISBLANK(A1060),IFERROR(1/0),IF(COUNT(FILTER(F:F,A:A=A1060))&gt;1,TRUNC(N1060*F1060/SUM(FILTER(N:N,A:A=A1060)),3),F1060))"),"")</f>
        <v/>
      </c>
      <c r="K1060" s="147" t="str">
        <f>IFERROR(__xludf.DUMMYFUNCTION("IF(ISBLANK(A1060),IFERROR(1/0),IF(COUNT(FILTER(G:G,((A:A=A1060)*(B:B=""V""))))&gt;1,TRUNC(N1060*G1060/SUM(FILTER(N:N,((A:A=A1060)*(B:B=""V"")))),3),G1060))"),"")</f>
        <v/>
      </c>
      <c r="L1060" s="148" t="str">
        <f>IFERROR(__xludf.DUMMYFUNCTION("if($C1060="""","""",iferror(if(row()&lt;&gt;2,INDEX(arrayformula(filter($M$2:$M1059,$C$2:$C1059&lt;&gt;"""",row($C$2:$C1059)=max(if($C$2:$C1059=C1060,row($C$2:$C1059),0)))) ,1),0),0))"),"")</f>
        <v/>
      </c>
      <c r="M1060" s="148" t="str">
        <f t="shared" si="1"/>
        <v/>
      </c>
      <c r="N1060" s="147" t="str">
        <f t="shared" si="2"/>
        <v/>
      </c>
      <c r="O1060" s="147" t="str">
        <f t="shared" si="21"/>
        <v/>
      </c>
      <c r="P1060" s="147" t="str">
        <f>IFERROR(__xludf.DUMMYFUNCTION("if(C1060="""","""",iferror(if(row()&lt;&gt;2,INDEX(arrayformula(filter($Q$2:$Q1059,$C$2:$C1059&lt;&gt;"""",row($C$2:$C1059)=max(if($C$2:$C1059=C1060,row($C$2:$C1059),0)))) ,1),0),0))"),"")</f>
        <v/>
      </c>
      <c r="Q1060" s="147" t="str">
        <f t="shared" si="22"/>
        <v/>
      </c>
      <c r="R1060" s="147" t="str">
        <f t="shared" si="23"/>
        <v/>
      </c>
      <c r="S1060" s="147" t="str">
        <f t="shared" si="24"/>
        <v/>
      </c>
      <c r="T1060" s="147" t="str">
        <f t="shared" si="7"/>
        <v/>
      </c>
      <c r="U1060" s="150" t="str">
        <f t="shared" si="8"/>
        <v/>
      </c>
      <c r="V1060" s="151" t="str">
        <f>IFERROR(VLOOKUP(C1060,Ativos!$A$1:$G2000,5,),)</f>
        <v/>
      </c>
    </row>
    <row r="1061" ht="21.0" customHeight="1">
      <c r="A1061" s="152"/>
      <c r="B1061" s="160"/>
      <c r="C1061" s="153"/>
      <c r="D1061" s="154"/>
      <c r="E1061" s="139"/>
      <c r="F1061" s="139"/>
      <c r="G1061" s="139"/>
      <c r="H1061" s="135"/>
      <c r="I1061" s="141"/>
      <c r="J1061" s="147" t="str">
        <f>IFERROR(__xludf.DUMMYFUNCTION("IF(ISBLANK(A1061),IFERROR(1/0),IF(COUNT(FILTER(F:F,A:A=A1061))&gt;1,TRUNC(N1061*F1061/SUM(FILTER(N:N,A:A=A1061)),3),F1061))"),"")</f>
        <v/>
      </c>
      <c r="K1061" s="147" t="str">
        <f>IFERROR(__xludf.DUMMYFUNCTION("IF(ISBLANK(A1061),IFERROR(1/0),IF(COUNT(FILTER(G:G,((A:A=A1061)*(B:B=""V""))))&gt;1,TRUNC(N1061*G1061/SUM(FILTER(N:N,((A:A=A1061)*(B:B=""V"")))),3),G1061))"),"")</f>
        <v/>
      </c>
      <c r="L1061" s="148" t="str">
        <f>IFERROR(__xludf.DUMMYFUNCTION("if($C1061="""","""",iferror(if(row()&lt;&gt;2,INDEX(arrayformula(filter($M$2:$M1060,$C$2:$C1060&lt;&gt;"""",row($C$2:$C1060)=max(if($C$2:$C1060=C1061,row($C$2:$C1060),0)))) ,1),0),0))"),"")</f>
        <v/>
      </c>
      <c r="M1061" s="148" t="str">
        <f t="shared" si="1"/>
        <v/>
      </c>
      <c r="N1061" s="147" t="str">
        <f t="shared" si="2"/>
        <v/>
      </c>
      <c r="O1061" s="147" t="str">
        <f t="shared" si="21"/>
        <v/>
      </c>
      <c r="P1061" s="147" t="str">
        <f>IFERROR(__xludf.DUMMYFUNCTION("if(C1061="""","""",iferror(if(row()&lt;&gt;2,INDEX(arrayformula(filter($Q$2:$Q1060,$C$2:$C1060&lt;&gt;"""",row($C$2:$C1060)=max(if($C$2:$C1060=C1061,row($C$2:$C1060),0)))) ,1),0),0))"),"")</f>
        <v/>
      </c>
      <c r="Q1061" s="147" t="str">
        <f t="shared" si="22"/>
        <v/>
      </c>
      <c r="R1061" s="147" t="str">
        <f t="shared" si="23"/>
        <v/>
      </c>
      <c r="S1061" s="147" t="str">
        <f t="shared" si="24"/>
        <v/>
      </c>
      <c r="T1061" s="147" t="str">
        <f t="shared" si="7"/>
        <v/>
      </c>
      <c r="U1061" s="150" t="str">
        <f t="shared" si="8"/>
        <v/>
      </c>
      <c r="V1061" s="151" t="str">
        <f>IFERROR(VLOOKUP(C1061,Ativos!$A$1:$G2000,5,),)</f>
        <v/>
      </c>
    </row>
    <row r="1062" ht="21.0" customHeight="1">
      <c r="A1062" s="152"/>
      <c r="B1062" s="160"/>
      <c r="C1062" s="153"/>
      <c r="D1062" s="154"/>
      <c r="E1062" s="139"/>
      <c r="F1062" s="139"/>
      <c r="G1062" s="139"/>
      <c r="H1062" s="135"/>
      <c r="I1062" s="141"/>
      <c r="J1062" s="147" t="str">
        <f>IFERROR(__xludf.DUMMYFUNCTION("IF(ISBLANK(A1062),IFERROR(1/0),IF(COUNT(FILTER(F:F,A:A=A1062))&gt;1,TRUNC(N1062*F1062/SUM(FILTER(N:N,A:A=A1062)),3),F1062))"),"")</f>
        <v/>
      </c>
      <c r="K1062" s="147" t="str">
        <f>IFERROR(__xludf.DUMMYFUNCTION("IF(ISBLANK(A1062),IFERROR(1/0),IF(COUNT(FILTER(G:G,((A:A=A1062)*(B:B=""V""))))&gt;1,TRUNC(N1062*G1062/SUM(FILTER(N:N,((A:A=A1062)*(B:B=""V"")))),3),G1062))"),"")</f>
        <v/>
      </c>
      <c r="L1062" s="148" t="str">
        <f>IFERROR(__xludf.DUMMYFUNCTION("if($C1062="""","""",iferror(if(row()&lt;&gt;2,INDEX(arrayformula(filter($M$2:$M1061,$C$2:$C1061&lt;&gt;"""",row($C$2:$C1061)=max(if($C$2:$C1061=C1062,row($C$2:$C1061),0)))) ,1),0),0))"),"")</f>
        <v/>
      </c>
      <c r="M1062" s="148" t="str">
        <f t="shared" si="1"/>
        <v/>
      </c>
      <c r="N1062" s="147" t="str">
        <f t="shared" si="2"/>
        <v/>
      </c>
      <c r="O1062" s="147" t="str">
        <f t="shared" si="21"/>
        <v/>
      </c>
      <c r="P1062" s="147" t="str">
        <f>IFERROR(__xludf.DUMMYFUNCTION("if(C1062="""","""",iferror(if(row()&lt;&gt;2,INDEX(arrayformula(filter($Q$2:$Q1061,$C$2:$C1061&lt;&gt;"""",row($C$2:$C1061)=max(if($C$2:$C1061=C1062,row($C$2:$C1061),0)))) ,1),0),0))"),"")</f>
        <v/>
      </c>
      <c r="Q1062" s="147" t="str">
        <f t="shared" si="22"/>
        <v/>
      </c>
      <c r="R1062" s="147" t="str">
        <f t="shared" si="23"/>
        <v/>
      </c>
      <c r="S1062" s="147" t="str">
        <f t="shared" si="24"/>
        <v/>
      </c>
      <c r="T1062" s="147" t="str">
        <f t="shared" si="7"/>
        <v/>
      </c>
      <c r="U1062" s="150" t="str">
        <f t="shared" si="8"/>
        <v/>
      </c>
      <c r="V1062" s="151" t="str">
        <f>IFERROR(VLOOKUP(C1062,Ativos!$A$1:$G2000,5,),)</f>
        <v/>
      </c>
    </row>
    <row r="1063" ht="21.0" customHeight="1">
      <c r="A1063" s="152"/>
      <c r="B1063" s="160"/>
      <c r="C1063" s="153"/>
      <c r="D1063" s="154"/>
      <c r="E1063" s="139"/>
      <c r="F1063" s="139"/>
      <c r="G1063" s="139"/>
      <c r="H1063" s="135"/>
      <c r="I1063" s="141"/>
      <c r="J1063" s="147" t="str">
        <f>IFERROR(__xludf.DUMMYFUNCTION("IF(ISBLANK(A1063),IFERROR(1/0),IF(COUNT(FILTER(F:F,A:A=A1063))&gt;1,TRUNC(N1063*F1063/SUM(FILTER(N:N,A:A=A1063)),3),F1063))"),"")</f>
        <v/>
      </c>
      <c r="K1063" s="147" t="str">
        <f>IFERROR(__xludf.DUMMYFUNCTION("IF(ISBLANK(A1063),IFERROR(1/0),IF(COUNT(FILTER(G:G,((A:A=A1063)*(B:B=""V""))))&gt;1,TRUNC(N1063*G1063/SUM(FILTER(N:N,((A:A=A1063)*(B:B=""V"")))),3),G1063))"),"")</f>
        <v/>
      </c>
      <c r="L1063" s="148" t="str">
        <f>IFERROR(__xludf.DUMMYFUNCTION("if($C1063="""","""",iferror(if(row()&lt;&gt;2,INDEX(arrayformula(filter($M$2:$M1062,$C$2:$C1062&lt;&gt;"""",row($C$2:$C1062)=max(if($C$2:$C1062=C1063,row($C$2:$C1062),0)))) ,1),0),0))"),"")</f>
        <v/>
      </c>
      <c r="M1063" s="148" t="str">
        <f t="shared" si="1"/>
        <v/>
      </c>
      <c r="N1063" s="147" t="str">
        <f t="shared" si="2"/>
        <v/>
      </c>
      <c r="O1063" s="147" t="str">
        <f t="shared" si="21"/>
        <v/>
      </c>
      <c r="P1063" s="147" t="str">
        <f>IFERROR(__xludf.DUMMYFUNCTION("if(C1063="""","""",iferror(if(row()&lt;&gt;2,INDEX(arrayformula(filter($Q$2:$Q1062,$C$2:$C1062&lt;&gt;"""",row($C$2:$C1062)=max(if($C$2:$C1062=C1063,row($C$2:$C1062),0)))) ,1),0),0))"),"")</f>
        <v/>
      </c>
      <c r="Q1063" s="147" t="str">
        <f t="shared" si="22"/>
        <v/>
      </c>
      <c r="R1063" s="147" t="str">
        <f t="shared" si="23"/>
        <v/>
      </c>
      <c r="S1063" s="147" t="str">
        <f t="shared" si="24"/>
        <v/>
      </c>
      <c r="T1063" s="147" t="str">
        <f t="shared" si="7"/>
        <v/>
      </c>
      <c r="U1063" s="150" t="str">
        <f t="shared" si="8"/>
        <v/>
      </c>
      <c r="V1063" s="151" t="str">
        <f>IFERROR(VLOOKUP(C1063,Ativos!$A$1:$G2000,5,),)</f>
        <v/>
      </c>
    </row>
    <row r="1064" ht="21.0" customHeight="1">
      <c r="A1064" s="152"/>
      <c r="B1064" s="160"/>
      <c r="C1064" s="153"/>
      <c r="D1064" s="154"/>
      <c r="E1064" s="139"/>
      <c r="F1064" s="139"/>
      <c r="G1064" s="139"/>
      <c r="H1064" s="135"/>
      <c r="I1064" s="141"/>
      <c r="J1064" s="147" t="str">
        <f>IFERROR(__xludf.DUMMYFUNCTION("IF(ISBLANK(A1064),IFERROR(1/0),IF(COUNT(FILTER(F:F,A:A=A1064))&gt;1,TRUNC(N1064*F1064/SUM(FILTER(N:N,A:A=A1064)),3),F1064))"),"")</f>
        <v/>
      </c>
      <c r="K1064" s="147" t="str">
        <f>IFERROR(__xludf.DUMMYFUNCTION("IF(ISBLANK(A1064),IFERROR(1/0),IF(COUNT(FILTER(G:G,((A:A=A1064)*(B:B=""V""))))&gt;1,TRUNC(N1064*G1064/SUM(FILTER(N:N,((A:A=A1064)*(B:B=""V"")))),3),G1064))"),"")</f>
        <v/>
      </c>
      <c r="L1064" s="148" t="str">
        <f>IFERROR(__xludf.DUMMYFUNCTION("if($C1064="""","""",iferror(if(row()&lt;&gt;2,INDEX(arrayformula(filter($M$2:$M1063,$C$2:$C1063&lt;&gt;"""",row($C$2:$C1063)=max(if($C$2:$C1063=C1064,row($C$2:$C1063),0)))) ,1),0),0))"),"")</f>
        <v/>
      </c>
      <c r="M1064" s="148" t="str">
        <f t="shared" si="1"/>
        <v/>
      </c>
      <c r="N1064" s="147" t="str">
        <f t="shared" si="2"/>
        <v/>
      </c>
      <c r="O1064" s="147" t="str">
        <f t="shared" si="21"/>
        <v/>
      </c>
      <c r="P1064" s="147" t="str">
        <f>IFERROR(__xludf.DUMMYFUNCTION("if(C1064="""","""",iferror(if(row()&lt;&gt;2,INDEX(arrayformula(filter($Q$2:$Q1063,$C$2:$C1063&lt;&gt;"""",row($C$2:$C1063)=max(if($C$2:$C1063=C1064,row($C$2:$C1063),0)))) ,1),0),0))"),"")</f>
        <v/>
      </c>
      <c r="Q1064" s="147" t="str">
        <f t="shared" si="22"/>
        <v/>
      </c>
      <c r="R1064" s="147" t="str">
        <f t="shared" si="23"/>
        <v/>
      </c>
      <c r="S1064" s="147" t="str">
        <f t="shared" si="24"/>
        <v/>
      </c>
      <c r="T1064" s="147" t="str">
        <f t="shared" si="7"/>
        <v/>
      </c>
      <c r="U1064" s="150" t="str">
        <f t="shared" si="8"/>
        <v/>
      </c>
      <c r="V1064" s="151" t="str">
        <f>IFERROR(VLOOKUP(C1064,Ativos!$A$1:$G2000,5,),)</f>
        <v/>
      </c>
    </row>
    <row r="1065" ht="21.0" customHeight="1">
      <c r="A1065" s="152"/>
      <c r="B1065" s="160"/>
      <c r="C1065" s="153"/>
      <c r="D1065" s="154"/>
      <c r="E1065" s="139"/>
      <c r="F1065" s="139"/>
      <c r="G1065" s="139"/>
      <c r="H1065" s="135"/>
      <c r="I1065" s="141"/>
      <c r="J1065" s="147" t="str">
        <f>IFERROR(__xludf.DUMMYFUNCTION("IF(ISBLANK(A1065),IFERROR(1/0),IF(COUNT(FILTER(F:F,A:A=A1065))&gt;1,TRUNC(N1065*F1065/SUM(FILTER(N:N,A:A=A1065)),3),F1065))"),"")</f>
        <v/>
      </c>
      <c r="K1065" s="147" t="str">
        <f>IFERROR(__xludf.DUMMYFUNCTION("IF(ISBLANK(A1065),IFERROR(1/0),IF(COUNT(FILTER(G:G,((A:A=A1065)*(B:B=""V""))))&gt;1,TRUNC(N1065*G1065/SUM(FILTER(N:N,((A:A=A1065)*(B:B=""V"")))),3),G1065))"),"")</f>
        <v/>
      </c>
      <c r="L1065" s="148" t="str">
        <f>IFERROR(__xludf.DUMMYFUNCTION("if($C1065="""","""",iferror(if(row()&lt;&gt;2,INDEX(arrayformula(filter($M$2:$M1064,$C$2:$C1064&lt;&gt;"""",row($C$2:$C1064)=max(if($C$2:$C1064=C1065,row($C$2:$C1064),0)))) ,1),0),0))"),"")</f>
        <v/>
      </c>
      <c r="M1065" s="148" t="str">
        <f t="shared" si="1"/>
        <v/>
      </c>
      <c r="N1065" s="147" t="str">
        <f t="shared" si="2"/>
        <v/>
      </c>
      <c r="O1065" s="147" t="str">
        <f t="shared" si="21"/>
        <v/>
      </c>
      <c r="P1065" s="147" t="str">
        <f>IFERROR(__xludf.DUMMYFUNCTION("if(C1065="""","""",iferror(if(row()&lt;&gt;2,INDEX(arrayformula(filter($Q$2:$Q1064,$C$2:$C1064&lt;&gt;"""",row($C$2:$C1064)=max(if($C$2:$C1064=C1065,row($C$2:$C1064),0)))) ,1),0),0))"),"")</f>
        <v/>
      </c>
      <c r="Q1065" s="147" t="str">
        <f t="shared" si="22"/>
        <v/>
      </c>
      <c r="R1065" s="147" t="str">
        <f t="shared" si="23"/>
        <v/>
      </c>
      <c r="S1065" s="147" t="str">
        <f t="shared" si="24"/>
        <v/>
      </c>
      <c r="T1065" s="147" t="str">
        <f t="shared" si="7"/>
        <v/>
      </c>
      <c r="U1065" s="150" t="str">
        <f t="shared" si="8"/>
        <v/>
      </c>
      <c r="V1065" s="151" t="str">
        <f>IFERROR(VLOOKUP(C1065,Ativos!$A$1:$G2000,5,),)</f>
        <v/>
      </c>
    </row>
    <row r="1066" ht="21.0" customHeight="1">
      <c r="A1066" s="152"/>
      <c r="B1066" s="160"/>
      <c r="C1066" s="153"/>
      <c r="D1066" s="154"/>
      <c r="E1066" s="139"/>
      <c r="F1066" s="139"/>
      <c r="G1066" s="139"/>
      <c r="H1066" s="135"/>
      <c r="I1066" s="141"/>
      <c r="J1066" s="147" t="str">
        <f>IFERROR(__xludf.DUMMYFUNCTION("IF(ISBLANK(A1066),IFERROR(1/0),IF(COUNT(FILTER(F:F,A:A=A1066))&gt;1,TRUNC(N1066*F1066/SUM(FILTER(N:N,A:A=A1066)),3),F1066))"),"")</f>
        <v/>
      </c>
      <c r="K1066" s="147" t="str">
        <f>IFERROR(__xludf.DUMMYFUNCTION("IF(ISBLANK(A1066),IFERROR(1/0),IF(COUNT(FILTER(G:G,((A:A=A1066)*(B:B=""V""))))&gt;1,TRUNC(N1066*G1066/SUM(FILTER(N:N,((A:A=A1066)*(B:B=""V"")))),3),G1066))"),"")</f>
        <v/>
      </c>
      <c r="L1066" s="148" t="str">
        <f>IFERROR(__xludf.DUMMYFUNCTION("if($C1066="""","""",iferror(if(row()&lt;&gt;2,INDEX(arrayformula(filter($M$2:$M1065,$C$2:$C1065&lt;&gt;"""",row($C$2:$C1065)=max(if($C$2:$C1065=C1066,row($C$2:$C1065),0)))) ,1),0),0))"),"")</f>
        <v/>
      </c>
      <c r="M1066" s="148" t="str">
        <f t="shared" si="1"/>
        <v/>
      </c>
      <c r="N1066" s="147" t="str">
        <f t="shared" si="2"/>
        <v/>
      </c>
      <c r="O1066" s="147" t="str">
        <f t="shared" si="21"/>
        <v/>
      </c>
      <c r="P1066" s="147" t="str">
        <f>IFERROR(__xludf.DUMMYFUNCTION("if(C1066="""","""",iferror(if(row()&lt;&gt;2,INDEX(arrayformula(filter($Q$2:$Q1065,$C$2:$C1065&lt;&gt;"""",row($C$2:$C1065)=max(if($C$2:$C1065=C1066,row($C$2:$C1065),0)))) ,1),0),0))"),"")</f>
        <v/>
      </c>
      <c r="Q1066" s="147" t="str">
        <f t="shared" si="22"/>
        <v/>
      </c>
      <c r="R1066" s="147" t="str">
        <f t="shared" si="23"/>
        <v/>
      </c>
      <c r="S1066" s="147" t="str">
        <f t="shared" si="24"/>
        <v/>
      </c>
      <c r="T1066" s="147" t="str">
        <f t="shared" si="7"/>
        <v/>
      </c>
      <c r="U1066" s="150" t="str">
        <f t="shared" si="8"/>
        <v/>
      </c>
      <c r="V1066" s="151" t="str">
        <f>IFERROR(VLOOKUP(C1066,Ativos!$A$1:$G2000,5,),)</f>
        <v/>
      </c>
    </row>
    <row r="1067" ht="21.0" customHeight="1">
      <c r="A1067" s="152"/>
      <c r="B1067" s="160"/>
      <c r="C1067" s="153"/>
      <c r="D1067" s="154"/>
      <c r="E1067" s="139"/>
      <c r="F1067" s="139"/>
      <c r="G1067" s="139"/>
      <c r="H1067" s="135"/>
      <c r="I1067" s="141"/>
      <c r="J1067" s="147" t="str">
        <f>IFERROR(__xludf.DUMMYFUNCTION("IF(ISBLANK(A1067),IFERROR(1/0),IF(COUNT(FILTER(F:F,A:A=A1067))&gt;1,TRUNC(N1067*F1067/SUM(FILTER(N:N,A:A=A1067)),3),F1067))"),"")</f>
        <v/>
      </c>
      <c r="K1067" s="147" t="str">
        <f>IFERROR(__xludf.DUMMYFUNCTION("IF(ISBLANK(A1067),IFERROR(1/0),IF(COUNT(FILTER(G:G,((A:A=A1067)*(B:B=""V""))))&gt;1,TRUNC(N1067*G1067/SUM(FILTER(N:N,((A:A=A1067)*(B:B=""V"")))),3),G1067))"),"")</f>
        <v/>
      </c>
      <c r="L1067" s="148" t="str">
        <f>IFERROR(__xludf.DUMMYFUNCTION("if($C1067="""","""",iferror(if(row()&lt;&gt;2,INDEX(arrayformula(filter($M$2:$M1066,$C$2:$C1066&lt;&gt;"""",row($C$2:$C1066)=max(if($C$2:$C1066=C1067,row($C$2:$C1066),0)))) ,1),0),0))"),"")</f>
        <v/>
      </c>
      <c r="M1067" s="148" t="str">
        <f t="shared" si="1"/>
        <v/>
      </c>
      <c r="N1067" s="147" t="str">
        <f t="shared" si="2"/>
        <v/>
      </c>
      <c r="O1067" s="147" t="str">
        <f t="shared" si="21"/>
        <v/>
      </c>
      <c r="P1067" s="147" t="str">
        <f>IFERROR(__xludf.DUMMYFUNCTION("if(C1067="""","""",iferror(if(row()&lt;&gt;2,INDEX(arrayformula(filter($Q$2:$Q1066,$C$2:$C1066&lt;&gt;"""",row($C$2:$C1066)=max(if($C$2:$C1066=C1067,row($C$2:$C1066),0)))) ,1),0),0))"),"")</f>
        <v/>
      </c>
      <c r="Q1067" s="147" t="str">
        <f t="shared" si="22"/>
        <v/>
      </c>
      <c r="R1067" s="147" t="str">
        <f t="shared" si="23"/>
        <v/>
      </c>
      <c r="S1067" s="147" t="str">
        <f t="shared" si="24"/>
        <v/>
      </c>
      <c r="T1067" s="147" t="str">
        <f t="shared" si="7"/>
        <v/>
      </c>
      <c r="U1067" s="150" t="str">
        <f t="shared" si="8"/>
        <v/>
      </c>
      <c r="V1067" s="151" t="str">
        <f>IFERROR(VLOOKUP(C1067,Ativos!$A$1:$G2000,5,),)</f>
        <v/>
      </c>
    </row>
    <row r="1068" ht="21.0" customHeight="1">
      <c r="A1068" s="152"/>
      <c r="B1068" s="160"/>
      <c r="C1068" s="153"/>
      <c r="D1068" s="154"/>
      <c r="E1068" s="139"/>
      <c r="F1068" s="139"/>
      <c r="G1068" s="139"/>
      <c r="H1068" s="135"/>
      <c r="I1068" s="141"/>
      <c r="J1068" s="147" t="str">
        <f>IFERROR(__xludf.DUMMYFUNCTION("IF(ISBLANK(A1068),IFERROR(1/0),IF(COUNT(FILTER(F:F,A:A=A1068))&gt;1,TRUNC(N1068*F1068/SUM(FILTER(N:N,A:A=A1068)),3),F1068))"),"")</f>
        <v/>
      </c>
      <c r="K1068" s="147" t="str">
        <f>IFERROR(__xludf.DUMMYFUNCTION("IF(ISBLANK(A1068),IFERROR(1/0),IF(COUNT(FILTER(G:G,((A:A=A1068)*(B:B=""V""))))&gt;1,TRUNC(N1068*G1068/SUM(FILTER(N:N,((A:A=A1068)*(B:B=""V"")))),3),G1068))"),"")</f>
        <v/>
      </c>
      <c r="L1068" s="148" t="str">
        <f>IFERROR(__xludf.DUMMYFUNCTION("if($C1068="""","""",iferror(if(row()&lt;&gt;2,INDEX(arrayformula(filter($M$2:$M1067,$C$2:$C1067&lt;&gt;"""",row($C$2:$C1067)=max(if($C$2:$C1067=C1068,row($C$2:$C1067),0)))) ,1),0),0))"),"")</f>
        <v/>
      </c>
      <c r="M1068" s="148" t="str">
        <f t="shared" si="1"/>
        <v/>
      </c>
      <c r="N1068" s="147" t="str">
        <f t="shared" si="2"/>
        <v/>
      </c>
      <c r="O1068" s="147" t="str">
        <f t="shared" si="21"/>
        <v/>
      </c>
      <c r="P1068" s="147" t="str">
        <f>IFERROR(__xludf.DUMMYFUNCTION("if(C1068="""","""",iferror(if(row()&lt;&gt;2,INDEX(arrayformula(filter($Q$2:$Q1067,$C$2:$C1067&lt;&gt;"""",row($C$2:$C1067)=max(if($C$2:$C1067=C1068,row($C$2:$C1067),0)))) ,1),0),0))"),"")</f>
        <v/>
      </c>
      <c r="Q1068" s="147" t="str">
        <f t="shared" si="22"/>
        <v/>
      </c>
      <c r="R1068" s="147" t="str">
        <f t="shared" si="23"/>
        <v/>
      </c>
      <c r="S1068" s="147" t="str">
        <f t="shared" si="24"/>
        <v/>
      </c>
      <c r="T1068" s="147" t="str">
        <f t="shared" si="7"/>
        <v/>
      </c>
      <c r="U1068" s="150" t="str">
        <f t="shared" si="8"/>
        <v/>
      </c>
      <c r="V1068" s="151" t="str">
        <f>IFERROR(VLOOKUP(C1068,Ativos!$A$1:$G2000,5,),)</f>
        <v/>
      </c>
    </row>
    <row r="1069" ht="21.0" customHeight="1">
      <c r="A1069" s="152"/>
      <c r="B1069" s="160"/>
      <c r="C1069" s="153"/>
      <c r="D1069" s="154"/>
      <c r="E1069" s="139"/>
      <c r="F1069" s="139"/>
      <c r="G1069" s="139"/>
      <c r="H1069" s="135"/>
      <c r="I1069" s="141"/>
      <c r="J1069" s="147" t="str">
        <f>IFERROR(__xludf.DUMMYFUNCTION("IF(ISBLANK(A1069),IFERROR(1/0),IF(COUNT(FILTER(F:F,A:A=A1069))&gt;1,TRUNC(N1069*F1069/SUM(FILTER(N:N,A:A=A1069)),3),F1069))"),"")</f>
        <v/>
      </c>
      <c r="K1069" s="147" t="str">
        <f>IFERROR(__xludf.DUMMYFUNCTION("IF(ISBLANK(A1069),IFERROR(1/0),IF(COUNT(FILTER(G:G,((A:A=A1069)*(B:B=""V""))))&gt;1,TRUNC(N1069*G1069/SUM(FILTER(N:N,((A:A=A1069)*(B:B=""V"")))),3),G1069))"),"")</f>
        <v/>
      </c>
      <c r="L1069" s="148" t="str">
        <f>IFERROR(__xludf.DUMMYFUNCTION("if($C1069="""","""",iferror(if(row()&lt;&gt;2,INDEX(arrayformula(filter($M$2:$M1068,$C$2:$C1068&lt;&gt;"""",row($C$2:$C1068)=max(if($C$2:$C1068=C1069,row($C$2:$C1068),0)))) ,1),0),0))"),"")</f>
        <v/>
      </c>
      <c r="M1069" s="148" t="str">
        <f t="shared" si="1"/>
        <v/>
      </c>
      <c r="N1069" s="147" t="str">
        <f t="shared" si="2"/>
        <v/>
      </c>
      <c r="O1069" s="147" t="str">
        <f t="shared" si="21"/>
        <v/>
      </c>
      <c r="P1069" s="147" t="str">
        <f>IFERROR(__xludf.DUMMYFUNCTION("if(C1069="""","""",iferror(if(row()&lt;&gt;2,INDEX(arrayformula(filter($Q$2:$Q1068,$C$2:$C1068&lt;&gt;"""",row($C$2:$C1068)=max(if($C$2:$C1068=C1069,row($C$2:$C1068),0)))) ,1),0),0))"),"")</f>
        <v/>
      </c>
      <c r="Q1069" s="147" t="str">
        <f t="shared" si="22"/>
        <v/>
      </c>
      <c r="R1069" s="147" t="str">
        <f t="shared" si="23"/>
        <v/>
      </c>
      <c r="S1069" s="147" t="str">
        <f t="shared" si="24"/>
        <v/>
      </c>
      <c r="T1069" s="147" t="str">
        <f t="shared" si="7"/>
        <v/>
      </c>
      <c r="U1069" s="150" t="str">
        <f t="shared" si="8"/>
        <v/>
      </c>
      <c r="V1069" s="151" t="str">
        <f>IFERROR(VLOOKUP(C1069,Ativos!$A$1:$G2000,5,),)</f>
        <v/>
      </c>
    </row>
    <row r="1070" ht="21.0" customHeight="1">
      <c r="A1070" s="152"/>
      <c r="B1070" s="160"/>
      <c r="C1070" s="153"/>
      <c r="D1070" s="154"/>
      <c r="E1070" s="139"/>
      <c r="F1070" s="139"/>
      <c r="G1070" s="139"/>
      <c r="H1070" s="135"/>
      <c r="I1070" s="141"/>
      <c r="J1070" s="147" t="str">
        <f>IFERROR(__xludf.DUMMYFUNCTION("IF(ISBLANK(A1070),IFERROR(1/0),IF(COUNT(FILTER(F:F,A:A=A1070))&gt;1,TRUNC(N1070*F1070/SUM(FILTER(N:N,A:A=A1070)),3),F1070))"),"")</f>
        <v/>
      </c>
      <c r="K1070" s="147" t="str">
        <f>IFERROR(__xludf.DUMMYFUNCTION("IF(ISBLANK(A1070),IFERROR(1/0),IF(COUNT(FILTER(G:G,((A:A=A1070)*(B:B=""V""))))&gt;1,TRUNC(N1070*G1070/SUM(FILTER(N:N,((A:A=A1070)*(B:B=""V"")))),3),G1070))"),"")</f>
        <v/>
      </c>
      <c r="L1070" s="148" t="str">
        <f>IFERROR(__xludf.DUMMYFUNCTION("if($C1070="""","""",iferror(if(row()&lt;&gt;2,INDEX(arrayformula(filter($M$2:$M1069,$C$2:$C1069&lt;&gt;"""",row($C$2:$C1069)=max(if($C$2:$C1069=C1070,row($C$2:$C1069),0)))) ,1),0),0))"),"")</f>
        <v/>
      </c>
      <c r="M1070" s="148" t="str">
        <f t="shared" si="1"/>
        <v/>
      </c>
      <c r="N1070" s="147" t="str">
        <f t="shared" si="2"/>
        <v/>
      </c>
      <c r="O1070" s="147" t="str">
        <f t="shared" si="21"/>
        <v/>
      </c>
      <c r="P1070" s="147" t="str">
        <f>IFERROR(__xludf.DUMMYFUNCTION("if(C1070="""","""",iferror(if(row()&lt;&gt;2,INDEX(arrayformula(filter($Q$2:$Q1069,$C$2:$C1069&lt;&gt;"""",row($C$2:$C1069)=max(if($C$2:$C1069=C1070,row($C$2:$C1069),0)))) ,1),0),0))"),"")</f>
        <v/>
      </c>
      <c r="Q1070" s="147" t="str">
        <f t="shared" si="22"/>
        <v/>
      </c>
      <c r="R1070" s="147" t="str">
        <f t="shared" si="23"/>
        <v/>
      </c>
      <c r="S1070" s="147" t="str">
        <f t="shared" si="24"/>
        <v/>
      </c>
      <c r="T1070" s="147" t="str">
        <f t="shared" si="7"/>
        <v/>
      </c>
      <c r="U1070" s="150" t="str">
        <f t="shared" si="8"/>
        <v/>
      </c>
      <c r="V1070" s="151" t="str">
        <f>IFERROR(VLOOKUP(C1070,Ativos!$A$1:$G2000,5,),)</f>
        <v/>
      </c>
    </row>
    <row r="1071" ht="21.0" customHeight="1">
      <c r="A1071" s="152"/>
      <c r="B1071" s="160"/>
      <c r="C1071" s="153"/>
      <c r="D1071" s="154"/>
      <c r="E1071" s="139"/>
      <c r="F1071" s="139"/>
      <c r="G1071" s="139"/>
      <c r="H1071" s="135"/>
      <c r="I1071" s="141"/>
      <c r="J1071" s="147" t="str">
        <f>IFERROR(__xludf.DUMMYFUNCTION("IF(ISBLANK(A1071),IFERROR(1/0),IF(COUNT(FILTER(F:F,A:A=A1071))&gt;1,TRUNC(N1071*F1071/SUM(FILTER(N:N,A:A=A1071)),3),F1071))"),"")</f>
        <v/>
      </c>
      <c r="K1071" s="147" t="str">
        <f>IFERROR(__xludf.DUMMYFUNCTION("IF(ISBLANK(A1071),IFERROR(1/0),IF(COUNT(FILTER(G:G,((A:A=A1071)*(B:B=""V""))))&gt;1,TRUNC(N1071*G1071/SUM(FILTER(N:N,((A:A=A1071)*(B:B=""V"")))),3),G1071))"),"")</f>
        <v/>
      </c>
      <c r="L1071" s="148" t="str">
        <f>IFERROR(__xludf.DUMMYFUNCTION("if($C1071="""","""",iferror(if(row()&lt;&gt;2,INDEX(arrayformula(filter($M$2:$M1070,$C$2:$C1070&lt;&gt;"""",row($C$2:$C1070)=max(if($C$2:$C1070=C1071,row($C$2:$C1070),0)))) ,1),0),0))"),"")</f>
        <v/>
      </c>
      <c r="M1071" s="148" t="str">
        <f t="shared" si="1"/>
        <v/>
      </c>
      <c r="N1071" s="147" t="str">
        <f t="shared" si="2"/>
        <v/>
      </c>
      <c r="O1071" s="147" t="str">
        <f t="shared" si="21"/>
        <v/>
      </c>
      <c r="P1071" s="147" t="str">
        <f>IFERROR(__xludf.DUMMYFUNCTION("if(C1071="""","""",iferror(if(row()&lt;&gt;2,INDEX(arrayformula(filter($Q$2:$Q1070,$C$2:$C1070&lt;&gt;"""",row($C$2:$C1070)=max(if($C$2:$C1070=C1071,row($C$2:$C1070),0)))) ,1),0),0))"),"")</f>
        <v/>
      </c>
      <c r="Q1071" s="147" t="str">
        <f t="shared" si="22"/>
        <v/>
      </c>
      <c r="R1071" s="147" t="str">
        <f t="shared" si="23"/>
        <v/>
      </c>
      <c r="S1071" s="147" t="str">
        <f t="shared" si="24"/>
        <v/>
      </c>
      <c r="T1071" s="147" t="str">
        <f t="shared" si="7"/>
        <v/>
      </c>
      <c r="U1071" s="150" t="str">
        <f t="shared" si="8"/>
        <v/>
      </c>
      <c r="V1071" s="151" t="str">
        <f>IFERROR(VLOOKUP(C1071,Ativos!$A$1:$G2000,5,),)</f>
        <v/>
      </c>
    </row>
    <row r="1072" ht="21.0" customHeight="1">
      <c r="A1072" s="152"/>
      <c r="B1072" s="160"/>
      <c r="C1072" s="153"/>
      <c r="D1072" s="154"/>
      <c r="E1072" s="139"/>
      <c r="F1072" s="139"/>
      <c r="G1072" s="139"/>
      <c r="H1072" s="135"/>
      <c r="I1072" s="141"/>
      <c r="J1072" s="147" t="str">
        <f>IFERROR(__xludf.DUMMYFUNCTION("IF(ISBLANK(A1072),IFERROR(1/0),IF(COUNT(FILTER(F:F,A:A=A1072))&gt;1,TRUNC(N1072*F1072/SUM(FILTER(N:N,A:A=A1072)),3),F1072))"),"")</f>
        <v/>
      </c>
      <c r="K1072" s="147" t="str">
        <f>IFERROR(__xludf.DUMMYFUNCTION("IF(ISBLANK(A1072),IFERROR(1/0),IF(COUNT(FILTER(G:G,((A:A=A1072)*(B:B=""V""))))&gt;1,TRUNC(N1072*G1072/SUM(FILTER(N:N,((A:A=A1072)*(B:B=""V"")))),3),G1072))"),"")</f>
        <v/>
      </c>
      <c r="L1072" s="148" t="str">
        <f>IFERROR(__xludf.DUMMYFUNCTION("if($C1072="""","""",iferror(if(row()&lt;&gt;2,INDEX(arrayformula(filter($M$2:$M1071,$C$2:$C1071&lt;&gt;"""",row($C$2:$C1071)=max(if($C$2:$C1071=C1072,row($C$2:$C1071),0)))) ,1),0),0))"),"")</f>
        <v/>
      </c>
      <c r="M1072" s="148" t="str">
        <f t="shared" si="1"/>
        <v/>
      </c>
      <c r="N1072" s="147" t="str">
        <f t="shared" si="2"/>
        <v/>
      </c>
      <c r="O1072" s="147" t="str">
        <f t="shared" si="21"/>
        <v/>
      </c>
      <c r="P1072" s="147" t="str">
        <f>IFERROR(__xludf.DUMMYFUNCTION("if(C1072="""","""",iferror(if(row()&lt;&gt;2,INDEX(arrayformula(filter($Q$2:$Q1071,$C$2:$C1071&lt;&gt;"""",row($C$2:$C1071)=max(if($C$2:$C1071=C1072,row($C$2:$C1071),0)))) ,1),0),0))"),"")</f>
        <v/>
      </c>
      <c r="Q1072" s="147" t="str">
        <f t="shared" si="22"/>
        <v/>
      </c>
      <c r="R1072" s="147" t="str">
        <f t="shared" si="23"/>
        <v/>
      </c>
      <c r="S1072" s="147" t="str">
        <f t="shared" si="24"/>
        <v/>
      </c>
      <c r="T1072" s="147" t="str">
        <f t="shared" si="7"/>
        <v/>
      </c>
      <c r="U1072" s="150" t="str">
        <f t="shared" si="8"/>
        <v/>
      </c>
      <c r="V1072" s="151" t="str">
        <f>IFERROR(VLOOKUP(C1072,Ativos!$A$1:$G2000,5,),)</f>
        <v/>
      </c>
    </row>
    <row r="1073" ht="21.0" customHeight="1">
      <c r="A1073" s="152"/>
      <c r="B1073" s="160"/>
      <c r="C1073" s="153"/>
      <c r="D1073" s="154"/>
      <c r="E1073" s="139"/>
      <c r="F1073" s="139"/>
      <c r="G1073" s="139"/>
      <c r="H1073" s="135"/>
      <c r="I1073" s="141"/>
      <c r="J1073" s="147" t="str">
        <f>IFERROR(__xludf.DUMMYFUNCTION("IF(ISBLANK(A1073),IFERROR(1/0),IF(COUNT(FILTER(F:F,A:A=A1073))&gt;1,TRUNC(N1073*F1073/SUM(FILTER(N:N,A:A=A1073)),3),F1073))"),"")</f>
        <v/>
      </c>
      <c r="K1073" s="147" t="str">
        <f>IFERROR(__xludf.DUMMYFUNCTION("IF(ISBLANK(A1073),IFERROR(1/0),IF(COUNT(FILTER(G:G,((A:A=A1073)*(B:B=""V""))))&gt;1,TRUNC(N1073*G1073/SUM(FILTER(N:N,((A:A=A1073)*(B:B=""V"")))),3),G1073))"),"")</f>
        <v/>
      </c>
      <c r="L1073" s="148" t="str">
        <f>IFERROR(__xludf.DUMMYFUNCTION("if($C1073="""","""",iferror(if(row()&lt;&gt;2,INDEX(arrayformula(filter($M$2:$M1072,$C$2:$C1072&lt;&gt;"""",row($C$2:$C1072)=max(if($C$2:$C1072=C1073,row($C$2:$C1072),0)))) ,1),0),0))"),"")</f>
        <v/>
      </c>
      <c r="M1073" s="148" t="str">
        <f t="shared" si="1"/>
        <v/>
      </c>
      <c r="N1073" s="147" t="str">
        <f t="shared" si="2"/>
        <v/>
      </c>
      <c r="O1073" s="147" t="str">
        <f t="shared" si="21"/>
        <v/>
      </c>
      <c r="P1073" s="147" t="str">
        <f>IFERROR(__xludf.DUMMYFUNCTION("if(C1073="""","""",iferror(if(row()&lt;&gt;2,INDEX(arrayformula(filter($Q$2:$Q1072,$C$2:$C1072&lt;&gt;"""",row($C$2:$C1072)=max(if($C$2:$C1072=C1073,row($C$2:$C1072),0)))) ,1),0),0))"),"")</f>
        <v/>
      </c>
      <c r="Q1073" s="147" t="str">
        <f t="shared" si="22"/>
        <v/>
      </c>
      <c r="R1073" s="147" t="str">
        <f t="shared" si="23"/>
        <v/>
      </c>
      <c r="S1073" s="147" t="str">
        <f t="shared" si="24"/>
        <v/>
      </c>
      <c r="T1073" s="147" t="str">
        <f t="shared" si="7"/>
        <v/>
      </c>
      <c r="U1073" s="150" t="str">
        <f t="shared" si="8"/>
        <v/>
      </c>
      <c r="V1073" s="151" t="str">
        <f>IFERROR(VLOOKUP(C1073,Ativos!$A$1:$G2000,5,),)</f>
        <v/>
      </c>
    </row>
    <row r="1074" ht="21.0" customHeight="1">
      <c r="A1074" s="152"/>
      <c r="B1074" s="160"/>
      <c r="C1074" s="153"/>
      <c r="D1074" s="154"/>
      <c r="E1074" s="139"/>
      <c r="F1074" s="139"/>
      <c r="G1074" s="139"/>
      <c r="H1074" s="135"/>
      <c r="I1074" s="141"/>
      <c r="J1074" s="147" t="str">
        <f>IFERROR(__xludf.DUMMYFUNCTION("IF(ISBLANK(A1074),IFERROR(1/0),IF(COUNT(FILTER(F:F,A:A=A1074))&gt;1,TRUNC(N1074*F1074/SUM(FILTER(N:N,A:A=A1074)),3),F1074))"),"")</f>
        <v/>
      </c>
      <c r="K1074" s="147" t="str">
        <f>IFERROR(__xludf.DUMMYFUNCTION("IF(ISBLANK(A1074),IFERROR(1/0),IF(COUNT(FILTER(G:G,((A:A=A1074)*(B:B=""V""))))&gt;1,TRUNC(N1074*G1074/SUM(FILTER(N:N,((A:A=A1074)*(B:B=""V"")))),3),G1074))"),"")</f>
        <v/>
      </c>
      <c r="L1074" s="148" t="str">
        <f>IFERROR(__xludf.DUMMYFUNCTION("if($C1074="""","""",iferror(if(row()&lt;&gt;2,INDEX(arrayformula(filter($M$2:$M1073,$C$2:$C1073&lt;&gt;"""",row($C$2:$C1073)=max(if($C$2:$C1073=C1074,row($C$2:$C1073),0)))) ,1),0),0))"),"")</f>
        <v/>
      </c>
      <c r="M1074" s="148" t="str">
        <f t="shared" si="1"/>
        <v/>
      </c>
      <c r="N1074" s="147" t="str">
        <f t="shared" si="2"/>
        <v/>
      </c>
      <c r="O1074" s="147" t="str">
        <f t="shared" si="21"/>
        <v/>
      </c>
      <c r="P1074" s="147" t="str">
        <f>IFERROR(__xludf.DUMMYFUNCTION("if(C1074="""","""",iferror(if(row()&lt;&gt;2,INDEX(arrayformula(filter($Q$2:$Q1073,$C$2:$C1073&lt;&gt;"""",row($C$2:$C1073)=max(if($C$2:$C1073=C1074,row($C$2:$C1073),0)))) ,1),0),0))"),"")</f>
        <v/>
      </c>
      <c r="Q1074" s="147" t="str">
        <f t="shared" si="22"/>
        <v/>
      </c>
      <c r="R1074" s="147" t="str">
        <f t="shared" si="23"/>
        <v/>
      </c>
      <c r="S1074" s="147" t="str">
        <f t="shared" si="24"/>
        <v/>
      </c>
      <c r="T1074" s="147" t="str">
        <f t="shared" si="7"/>
        <v/>
      </c>
      <c r="U1074" s="150" t="str">
        <f t="shared" si="8"/>
        <v/>
      </c>
      <c r="V1074" s="151" t="str">
        <f>IFERROR(VLOOKUP(C1074,Ativos!$A$1:$G2000,5,),)</f>
        <v/>
      </c>
    </row>
    <row r="1075" ht="21.0" customHeight="1">
      <c r="A1075" s="152"/>
      <c r="B1075" s="160"/>
      <c r="C1075" s="153"/>
      <c r="D1075" s="154"/>
      <c r="E1075" s="139"/>
      <c r="F1075" s="139"/>
      <c r="G1075" s="139"/>
      <c r="H1075" s="135"/>
      <c r="I1075" s="141"/>
      <c r="J1075" s="147" t="str">
        <f>IFERROR(__xludf.DUMMYFUNCTION("IF(ISBLANK(A1075),IFERROR(1/0),IF(COUNT(FILTER(F:F,A:A=A1075))&gt;1,TRUNC(N1075*F1075/SUM(FILTER(N:N,A:A=A1075)),3),F1075))"),"")</f>
        <v/>
      </c>
      <c r="K1075" s="147" t="str">
        <f>IFERROR(__xludf.DUMMYFUNCTION("IF(ISBLANK(A1075),IFERROR(1/0),IF(COUNT(FILTER(G:G,((A:A=A1075)*(B:B=""V""))))&gt;1,TRUNC(N1075*G1075/SUM(FILTER(N:N,((A:A=A1075)*(B:B=""V"")))),3),G1075))"),"")</f>
        <v/>
      </c>
      <c r="L1075" s="148" t="str">
        <f>IFERROR(__xludf.DUMMYFUNCTION("if($C1075="""","""",iferror(if(row()&lt;&gt;2,INDEX(arrayformula(filter($M$2:$M1074,$C$2:$C1074&lt;&gt;"""",row($C$2:$C1074)=max(if($C$2:$C1074=C1075,row($C$2:$C1074),0)))) ,1),0),0))"),"")</f>
        <v/>
      </c>
      <c r="M1075" s="148" t="str">
        <f t="shared" si="1"/>
        <v/>
      </c>
      <c r="N1075" s="147" t="str">
        <f t="shared" si="2"/>
        <v/>
      </c>
      <c r="O1075" s="147" t="str">
        <f t="shared" si="21"/>
        <v/>
      </c>
      <c r="P1075" s="147" t="str">
        <f>IFERROR(__xludf.DUMMYFUNCTION("if(C1075="""","""",iferror(if(row()&lt;&gt;2,INDEX(arrayformula(filter($Q$2:$Q1074,$C$2:$C1074&lt;&gt;"""",row($C$2:$C1074)=max(if($C$2:$C1074=C1075,row($C$2:$C1074),0)))) ,1),0),0))"),"")</f>
        <v/>
      </c>
      <c r="Q1075" s="147" t="str">
        <f t="shared" si="22"/>
        <v/>
      </c>
      <c r="R1075" s="147" t="str">
        <f t="shared" si="23"/>
        <v/>
      </c>
      <c r="S1075" s="147" t="str">
        <f t="shared" si="24"/>
        <v/>
      </c>
      <c r="T1075" s="147" t="str">
        <f t="shared" si="7"/>
        <v/>
      </c>
      <c r="U1075" s="150" t="str">
        <f t="shared" si="8"/>
        <v/>
      </c>
      <c r="V1075" s="151" t="str">
        <f>IFERROR(VLOOKUP(C1075,Ativos!$A$1:$G2000,5,),)</f>
        <v/>
      </c>
    </row>
    <row r="1076" ht="21.0" customHeight="1">
      <c r="A1076" s="152"/>
      <c r="B1076" s="160"/>
      <c r="C1076" s="153"/>
      <c r="D1076" s="154"/>
      <c r="E1076" s="139"/>
      <c r="F1076" s="139"/>
      <c r="G1076" s="139"/>
      <c r="H1076" s="135"/>
      <c r="I1076" s="141"/>
      <c r="J1076" s="147" t="str">
        <f>IFERROR(__xludf.DUMMYFUNCTION("IF(ISBLANK(A1076),IFERROR(1/0),IF(COUNT(FILTER(F:F,A:A=A1076))&gt;1,TRUNC(N1076*F1076/SUM(FILTER(N:N,A:A=A1076)),3),F1076))"),"")</f>
        <v/>
      </c>
      <c r="K1076" s="147" t="str">
        <f>IFERROR(__xludf.DUMMYFUNCTION("IF(ISBLANK(A1076),IFERROR(1/0),IF(COUNT(FILTER(G:G,((A:A=A1076)*(B:B=""V""))))&gt;1,TRUNC(N1076*G1076/SUM(FILTER(N:N,((A:A=A1076)*(B:B=""V"")))),3),G1076))"),"")</f>
        <v/>
      </c>
      <c r="L1076" s="148" t="str">
        <f>IFERROR(__xludf.DUMMYFUNCTION("if($C1076="""","""",iferror(if(row()&lt;&gt;2,INDEX(arrayformula(filter($M$2:$M1075,$C$2:$C1075&lt;&gt;"""",row($C$2:$C1075)=max(if($C$2:$C1075=C1076,row($C$2:$C1075),0)))) ,1),0),0))"),"")</f>
        <v/>
      </c>
      <c r="M1076" s="148" t="str">
        <f t="shared" si="1"/>
        <v/>
      </c>
      <c r="N1076" s="147" t="str">
        <f t="shared" si="2"/>
        <v/>
      </c>
      <c r="O1076" s="147" t="str">
        <f t="shared" si="21"/>
        <v/>
      </c>
      <c r="P1076" s="147" t="str">
        <f>IFERROR(__xludf.DUMMYFUNCTION("if(C1076="""","""",iferror(if(row()&lt;&gt;2,INDEX(arrayformula(filter($Q$2:$Q1075,$C$2:$C1075&lt;&gt;"""",row($C$2:$C1075)=max(if($C$2:$C1075=C1076,row($C$2:$C1075),0)))) ,1),0),0))"),"")</f>
        <v/>
      </c>
      <c r="Q1076" s="147" t="str">
        <f t="shared" si="22"/>
        <v/>
      </c>
      <c r="R1076" s="147" t="str">
        <f t="shared" si="23"/>
        <v/>
      </c>
      <c r="S1076" s="147" t="str">
        <f t="shared" si="24"/>
        <v/>
      </c>
      <c r="T1076" s="147" t="str">
        <f t="shared" si="7"/>
        <v/>
      </c>
      <c r="U1076" s="150" t="str">
        <f t="shared" si="8"/>
        <v/>
      </c>
      <c r="V1076" s="151" t="str">
        <f>IFERROR(VLOOKUP(C1076,Ativos!$A$1:$G2000,5,),)</f>
        <v/>
      </c>
    </row>
    <row r="1077" ht="21.0" customHeight="1">
      <c r="A1077" s="152"/>
      <c r="B1077" s="160"/>
      <c r="C1077" s="153"/>
      <c r="D1077" s="154"/>
      <c r="E1077" s="139"/>
      <c r="F1077" s="139"/>
      <c r="G1077" s="139"/>
      <c r="H1077" s="135"/>
      <c r="I1077" s="141"/>
      <c r="J1077" s="147" t="str">
        <f>IFERROR(__xludf.DUMMYFUNCTION("IF(ISBLANK(A1077),IFERROR(1/0),IF(COUNT(FILTER(F:F,A:A=A1077))&gt;1,TRUNC(N1077*F1077/SUM(FILTER(N:N,A:A=A1077)),3),F1077))"),"")</f>
        <v/>
      </c>
      <c r="K1077" s="147" t="str">
        <f>IFERROR(__xludf.DUMMYFUNCTION("IF(ISBLANK(A1077),IFERROR(1/0),IF(COUNT(FILTER(G:G,((A:A=A1077)*(B:B=""V""))))&gt;1,TRUNC(N1077*G1077/SUM(FILTER(N:N,((A:A=A1077)*(B:B=""V"")))),3),G1077))"),"")</f>
        <v/>
      </c>
      <c r="L1077" s="148" t="str">
        <f>IFERROR(__xludf.DUMMYFUNCTION("if($C1077="""","""",iferror(if(row()&lt;&gt;2,INDEX(arrayformula(filter($M$2:$M1076,$C$2:$C1076&lt;&gt;"""",row($C$2:$C1076)=max(if($C$2:$C1076=C1077,row($C$2:$C1076),0)))) ,1),0),0))"),"")</f>
        <v/>
      </c>
      <c r="M1077" s="148" t="str">
        <f t="shared" si="1"/>
        <v/>
      </c>
      <c r="N1077" s="147" t="str">
        <f t="shared" si="2"/>
        <v/>
      </c>
      <c r="O1077" s="147" t="str">
        <f t="shared" si="21"/>
        <v/>
      </c>
      <c r="P1077" s="147" t="str">
        <f>IFERROR(__xludf.DUMMYFUNCTION("if(C1077="""","""",iferror(if(row()&lt;&gt;2,INDEX(arrayformula(filter($Q$2:$Q1076,$C$2:$C1076&lt;&gt;"""",row($C$2:$C1076)=max(if($C$2:$C1076=C1077,row($C$2:$C1076),0)))) ,1),0),0))"),"")</f>
        <v/>
      </c>
      <c r="Q1077" s="147" t="str">
        <f t="shared" si="22"/>
        <v/>
      </c>
      <c r="R1077" s="147" t="str">
        <f t="shared" si="23"/>
        <v/>
      </c>
      <c r="S1077" s="147" t="str">
        <f t="shared" si="24"/>
        <v/>
      </c>
      <c r="T1077" s="147" t="str">
        <f t="shared" si="7"/>
        <v/>
      </c>
      <c r="U1077" s="150" t="str">
        <f t="shared" si="8"/>
        <v/>
      </c>
      <c r="V1077" s="151" t="str">
        <f>IFERROR(VLOOKUP(C1077,Ativos!$A$1:$G2000,5,),)</f>
        <v/>
      </c>
    </row>
    <row r="1078" ht="21.0" customHeight="1">
      <c r="A1078" s="152"/>
      <c r="B1078" s="160"/>
      <c r="C1078" s="153"/>
      <c r="D1078" s="154"/>
      <c r="E1078" s="139"/>
      <c r="F1078" s="139"/>
      <c r="G1078" s="139"/>
      <c r="H1078" s="135"/>
      <c r="I1078" s="141"/>
      <c r="J1078" s="147" t="str">
        <f>IFERROR(__xludf.DUMMYFUNCTION("IF(ISBLANK(A1078),IFERROR(1/0),IF(COUNT(FILTER(F:F,A:A=A1078))&gt;1,TRUNC(N1078*F1078/SUM(FILTER(N:N,A:A=A1078)),3),F1078))"),"")</f>
        <v/>
      </c>
      <c r="K1078" s="147" t="str">
        <f>IFERROR(__xludf.DUMMYFUNCTION("IF(ISBLANK(A1078),IFERROR(1/0),IF(COUNT(FILTER(G:G,((A:A=A1078)*(B:B=""V""))))&gt;1,TRUNC(N1078*G1078/SUM(FILTER(N:N,((A:A=A1078)*(B:B=""V"")))),3),G1078))"),"")</f>
        <v/>
      </c>
      <c r="L1078" s="148" t="str">
        <f>IFERROR(__xludf.DUMMYFUNCTION("if($C1078="""","""",iferror(if(row()&lt;&gt;2,INDEX(arrayformula(filter($M$2:$M1077,$C$2:$C1077&lt;&gt;"""",row($C$2:$C1077)=max(if($C$2:$C1077=C1078,row($C$2:$C1077),0)))) ,1),0),0))"),"")</f>
        <v/>
      </c>
      <c r="M1078" s="148" t="str">
        <f t="shared" si="1"/>
        <v/>
      </c>
      <c r="N1078" s="147" t="str">
        <f t="shared" si="2"/>
        <v/>
      </c>
      <c r="O1078" s="147" t="str">
        <f t="shared" si="21"/>
        <v/>
      </c>
      <c r="P1078" s="147" t="str">
        <f>IFERROR(__xludf.DUMMYFUNCTION("if(C1078="""","""",iferror(if(row()&lt;&gt;2,INDEX(arrayformula(filter($Q$2:$Q1077,$C$2:$C1077&lt;&gt;"""",row($C$2:$C1077)=max(if($C$2:$C1077=C1078,row($C$2:$C1077),0)))) ,1),0),0))"),"")</f>
        <v/>
      </c>
      <c r="Q1078" s="147" t="str">
        <f t="shared" si="22"/>
        <v/>
      </c>
      <c r="R1078" s="147" t="str">
        <f t="shared" si="23"/>
        <v/>
      </c>
      <c r="S1078" s="147" t="str">
        <f t="shared" si="24"/>
        <v/>
      </c>
      <c r="T1078" s="147" t="str">
        <f t="shared" si="7"/>
        <v/>
      </c>
      <c r="U1078" s="150" t="str">
        <f t="shared" si="8"/>
        <v/>
      </c>
      <c r="V1078" s="151" t="str">
        <f>IFERROR(VLOOKUP(C1078,Ativos!$A$1:$G2000,5,),)</f>
        <v/>
      </c>
    </row>
    <row r="1079" ht="21.0" customHeight="1">
      <c r="A1079" s="152"/>
      <c r="B1079" s="160"/>
      <c r="C1079" s="153"/>
      <c r="D1079" s="154"/>
      <c r="E1079" s="139"/>
      <c r="F1079" s="139"/>
      <c r="G1079" s="139"/>
      <c r="H1079" s="135"/>
      <c r="I1079" s="141"/>
      <c r="J1079" s="147" t="str">
        <f>IFERROR(__xludf.DUMMYFUNCTION("IF(ISBLANK(A1079),IFERROR(1/0),IF(COUNT(FILTER(F:F,A:A=A1079))&gt;1,TRUNC(N1079*F1079/SUM(FILTER(N:N,A:A=A1079)),3),F1079))"),"")</f>
        <v/>
      </c>
      <c r="K1079" s="147" t="str">
        <f>IFERROR(__xludf.DUMMYFUNCTION("IF(ISBLANK(A1079),IFERROR(1/0),IF(COUNT(FILTER(G:G,((A:A=A1079)*(B:B=""V""))))&gt;1,TRUNC(N1079*G1079/SUM(FILTER(N:N,((A:A=A1079)*(B:B=""V"")))),3),G1079))"),"")</f>
        <v/>
      </c>
      <c r="L1079" s="148" t="str">
        <f>IFERROR(__xludf.DUMMYFUNCTION("if($C1079="""","""",iferror(if(row()&lt;&gt;2,INDEX(arrayformula(filter($M$2:$M1078,$C$2:$C1078&lt;&gt;"""",row($C$2:$C1078)=max(if($C$2:$C1078=C1079,row($C$2:$C1078),0)))) ,1),0),0))"),"")</f>
        <v/>
      </c>
      <c r="M1079" s="148" t="str">
        <f t="shared" si="1"/>
        <v/>
      </c>
      <c r="N1079" s="147" t="str">
        <f t="shared" si="2"/>
        <v/>
      </c>
      <c r="O1079" s="147" t="str">
        <f t="shared" si="21"/>
        <v/>
      </c>
      <c r="P1079" s="147" t="str">
        <f>IFERROR(__xludf.DUMMYFUNCTION("if(C1079="""","""",iferror(if(row()&lt;&gt;2,INDEX(arrayformula(filter($Q$2:$Q1078,$C$2:$C1078&lt;&gt;"""",row($C$2:$C1078)=max(if($C$2:$C1078=C1079,row($C$2:$C1078),0)))) ,1),0),0))"),"")</f>
        <v/>
      </c>
      <c r="Q1079" s="147" t="str">
        <f t="shared" si="22"/>
        <v/>
      </c>
      <c r="R1079" s="147" t="str">
        <f t="shared" si="23"/>
        <v/>
      </c>
      <c r="S1079" s="147" t="str">
        <f t="shared" si="24"/>
        <v/>
      </c>
      <c r="T1079" s="147" t="str">
        <f t="shared" si="7"/>
        <v/>
      </c>
      <c r="U1079" s="150" t="str">
        <f t="shared" si="8"/>
        <v/>
      </c>
      <c r="V1079" s="151" t="str">
        <f>IFERROR(VLOOKUP(C1079,Ativos!$A$1:$G2000,5,),)</f>
        <v/>
      </c>
    </row>
    <row r="1080" ht="21.0" customHeight="1">
      <c r="A1080" s="152"/>
      <c r="B1080" s="160"/>
      <c r="C1080" s="153"/>
      <c r="D1080" s="154"/>
      <c r="E1080" s="139"/>
      <c r="F1080" s="139"/>
      <c r="G1080" s="139"/>
      <c r="H1080" s="135"/>
      <c r="I1080" s="141"/>
      <c r="J1080" s="147" t="str">
        <f>IFERROR(__xludf.DUMMYFUNCTION("IF(ISBLANK(A1080),IFERROR(1/0),IF(COUNT(FILTER(F:F,A:A=A1080))&gt;1,TRUNC(N1080*F1080/SUM(FILTER(N:N,A:A=A1080)),3),F1080))"),"")</f>
        <v/>
      </c>
      <c r="K1080" s="147" t="str">
        <f>IFERROR(__xludf.DUMMYFUNCTION("IF(ISBLANK(A1080),IFERROR(1/0),IF(COUNT(FILTER(G:G,((A:A=A1080)*(B:B=""V""))))&gt;1,TRUNC(N1080*G1080/SUM(FILTER(N:N,((A:A=A1080)*(B:B=""V"")))),3),G1080))"),"")</f>
        <v/>
      </c>
      <c r="L1080" s="148" t="str">
        <f>IFERROR(__xludf.DUMMYFUNCTION("if($C1080="""","""",iferror(if(row()&lt;&gt;2,INDEX(arrayformula(filter($M$2:$M1079,$C$2:$C1079&lt;&gt;"""",row($C$2:$C1079)=max(if($C$2:$C1079=C1080,row($C$2:$C1079),0)))) ,1),0),0))"),"")</f>
        <v/>
      </c>
      <c r="M1080" s="148" t="str">
        <f t="shared" si="1"/>
        <v/>
      </c>
      <c r="N1080" s="147" t="str">
        <f t="shared" si="2"/>
        <v/>
      </c>
      <c r="O1080" s="147" t="str">
        <f t="shared" si="21"/>
        <v/>
      </c>
      <c r="P1080" s="147" t="str">
        <f>IFERROR(__xludf.DUMMYFUNCTION("if(C1080="""","""",iferror(if(row()&lt;&gt;2,INDEX(arrayformula(filter($Q$2:$Q1079,$C$2:$C1079&lt;&gt;"""",row($C$2:$C1079)=max(if($C$2:$C1079=C1080,row($C$2:$C1079),0)))) ,1),0),0))"),"")</f>
        <v/>
      </c>
      <c r="Q1080" s="147" t="str">
        <f t="shared" si="22"/>
        <v/>
      </c>
      <c r="R1080" s="147" t="str">
        <f t="shared" si="23"/>
        <v/>
      </c>
      <c r="S1080" s="147" t="str">
        <f t="shared" si="24"/>
        <v/>
      </c>
      <c r="T1080" s="147" t="str">
        <f t="shared" si="7"/>
        <v/>
      </c>
      <c r="U1080" s="150" t="str">
        <f t="shared" si="8"/>
        <v/>
      </c>
      <c r="V1080" s="151" t="str">
        <f>IFERROR(VLOOKUP(C1080,Ativos!$A$1:$G2000,5,),)</f>
        <v/>
      </c>
    </row>
    <row r="1081" ht="21.0" customHeight="1">
      <c r="A1081" s="152"/>
      <c r="B1081" s="160"/>
      <c r="C1081" s="153"/>
      <c r="D1081" s="154"/>
      <c r="E1081" s="139"/>
      <c r="F1081" s="139"/>
      <c r="G1081" s="139"/>
      <c r="H1081" s="135"/>
      <c r="I1081" s="141"/>
      <c r="J1081" s="147" t="str">
        <f>IFERROR(__xludf.DUMMYFUNCTION("IF(ISBLANK(A1081),IFERROR(1/0),IF(COUNT(FILTER(F:F,A:A=A1081))&gt;1,TRUNC(N1081*F1081/SUM(FILTER(N:N,A:A=A1081)),3),F1081))"),"")</f>
        <v/>
      </c>
      <c r="K1081" s="147" t="str">
        <f>IFERROR(__xludf.DUMMYFUNCTION("IF(ISBLANK(A1081),IFERROR(1/0),IF(COUNT(FILTER(G:G,((A:A=A1081)*(B:B=""V""))))&gt;1,TRUNC(N1081*G1081/SUM(FILTER(N:N,((A:A=A1081)*(B:B=""V"")))),3),G1081))"),"")</f>
        <v/>
      </c>
      <c r="L1081" s="148" t="str">
        <f>IFERROR(__xludf.DUMMYFUNCTION("if($C1081="""","""",iferror(if(row()&lt;&gt;2,INDEX(arrayformula(filter($M$2:$M1080,$C$2:$C1080&lt;&gt;"""",row($C$2:$C1080)=max(if($C$2:$C1080=C1081,row($C$2:$C1080),0)))) ,1),0),0))"),"")</f>
        <v/>
      </c>
      <c r="M1081" s="148" t="str">
        <f t="shared" si="1"/>
        <v/>
      </c>
      <c r="N1081" s="147" t="str">
        <f t="shared" si="2"/>
        <v/>
      </c>
      <c r="O1081" s="147" t="str">
        <f t="shared" si="21"/>
        <v/>
      </c>
      <c r="P1081" s="147" t="str">
        <f>IFERROR(__xludf.DUMMYFUNCTION("if(C1081="""","""",iferror(if(row()&lt;&gt;2,INDEX(arrayformula(filter($Q$2:$Q1080,$C$2:$C1080&lt;&gt;"""",row($C$2:$C1080)=max(if($C$2:$C1080=C1081,row($C$2:$C1080),0)))) ,1),0),0))"),"")</f>
        <v/>
      </c>
      <c r="Q1081" s="147" t="str">
        <f t="shared" si="22"/>
        <v/>
      </c>
      <c r="R1081" s="147" t="str">
        <f t="shared" si="23"/>
        <v/>
      </c>
      <c r="S1081" s="147" t="str">
        <f t="shared" si="24"/>
        <v/>
      </c>
      <c r="T1081" s="147" t="str">
        <f t="shared" si="7"/>
        <v/>
      </c>
      <c r="U1081" s="150" t="str">
        <f t="shared" si="8"/>
        <v/>
      </c>
      <c r="V1081" s="151" t="str">
        <f>IFERROR(VLOOKUP(C1081,Ativos!$A$1:$G2000,5,),)</f>
        <v/>
      </c>
    </row>
    <row r="1082" ht="21.0" customHeight="1">
      <c r="A1082" s="152"/>
      <c r="B1082" s="160"/>
      <c r="C1082" s="153"/>
      <c r="D1082" s="154"/>
      <c r="E1082" s="139"/>
      <c r="F1082" s="139"/>
      <c r="G1082" s="139"/>
      <c r="H1082" s="135"/>
      <c r="I1082" s="141"/>
      <c r="J1082" s="147" t="str">
        <f>IFERROR(__xludf.DUMMYFUNCTION("IF(ISBLANK(A1082),IFERROR(1/0),IF(COUNT(FILTER(F:F,A:A=A1082))&gt;1,TRUNC(N1082*F1082/SUM(FILTER(N:N,A:A=A1082)),3),F1082))"),"")</f>
        <v/>
      </c>
      <c r="K1082" s="147" t="str">
        <f>IFERROR(__xludf.DUMMYFUNCTION("IF(ISBLANK(A1082),IFERROR(1/0),IF(COUNT(FILTER(G:G,((A:A=A1082)*(B:B=""V""))))&gt;1,TRUNC(N1082*G1082/SUM(FILTER(N:N,((A:A=A1082)*(B:B=""V"")))),3),G1082))"),"")</f>
        <v/>
      </c>
      <c r="L1082" s="148" t="str">
        <f>IFERROR(__xludf.DUMMYFUNCTION("if($C1082="""","""",iferror(if(row()&lt;&gt;2,INDEX(arrayformula(filter($M$2:$M1081,$C$2:$C1081&lt;&gt;"""",row($C$2:$C1081)=max(if($C$2:$C1081=C1082,row($C$2:$C1081),0)))) ,1),0),0))"),"")</f>
        <v/>
      </c>
      <c r="M1082" s="148" t="str">
        <f t="shared" si="1"/>
        <v/>
      </c>
      <c r="N1082" s="147" t="str">
        <f t="shared" si="2"/>
        <v/>
      </c>
      <c r="O1082" s="147" t="str">
        <f t="shared" si="21"/>
        <v/>
      </c>
      <c r="P1082" s="147" t="str">
        <f>IFERROR(__xludf.DUMMYFUNCTION("if(C1082="""","""",iferror(if(row()&lt;&gt;2,INDEX(arrayformula(filter($Q$2:$Q1081,$C$2:$C1081&lt;&gt;"""",row($C$2:$C1081)=max(if($C$2:$C1081=C1082,row($C$2:$C1081),0)))) ,1),0),0))"),"")</f>
        <v/>
      </c>
      <c r="Q1082" s="147" t="str">
        <f t="shared" si="22"/>
        <v/>
      </c>
      <c r="R1082" s="147" t="str">
        <f t="shared" si="23"/>
        <v/>
      </c>
      <c r="S1082" s="147" t="str">
        <f t="shared" si="24"/>
        <v/>
      </c>
      <c r="T1082" s="147" t="str">
        <f t="shared" si="7"/>
        <v/>
      </c>
      <c r="U1082" s="150" t="str">
        <f t="shared" si="8"/>
        <v/>
      </c>
      <c r="V1082" s="151" t="str">
        <f>IFERROR(VLOOKUP(C1082,Ativos!$A$1:$G2000,5,),)</f>
        <v/>
      </c>
    </row>
    <row r="1083" ht="21.0" customHeight="1">
      <c r="A1083" s="152"/>
      <c r="B1083" s="160"/>
      <c r="C1083" s="153"/>
      <c r="D1083" s="154"/>
      <c r="E1083" s="139"/>
      <c r="F1083" s="139"/>
      <c r="G1083" s="139"/>
      <c r="H1083" s="135"/>
      <c r="I1083" s="141"/>
      <c r="J1083" s="147" t="str">
        <f>IFERROR(__xludf.DUMMYFUNCTION("IF(ISBLANK(A1083),IFERROR(1/0),IF(COUNT(FILTER(F:F,A:A=A1083))&gt;1,TRUNC(N1083*F1083/SUM(FILTER(N:N,A:A=A1083)),3),F1083))"),"")</f>
        <v/>
      </c>
      <c r="K1083" s="147" t="str">
        <f>IFERROR(__xludf.DUMMYFUNCTION("IF(ISBLANK(A1083),IFERROR(1/0),IF(COUNT(FILTER(G:G,((A:A=A1083)*(B:B=""V""))))&gt;1,TRUNC(N1083*G1083/SUM(FILTER(N:N,((A:A=A1083)*(B:B=""V"")))),3),G1083))"),"")</f>
        <v/>
      </c>
      <c r="L1083" s="148" t="str">
        <f>IFERROR(__xludf.DUMMYFUNCTION("if($C1083="""","""",iferror(if(row()&lt;&gt;2,INDEX(arrayformula(filter($M$2:$M1082,$C$2:$C1082&lt;&gt;"""",row($C$2:$C1082)=max(if($C$2:$C1082=C1083,row($C$2:$C1082),0)))) ,1),0),0))"),"")</f>
        <v/>
      </c>
      <c r="M1083" s="148" t="str">
        <f t="shared" si="1"/>
        <v/>
      </c>
      <c r="N1083" s="147" t="str">
        <f t="shared" si="2"/>
        <v/>
      </c>
      <c r="O1083" s="147" t="str">
        <f t="shared" si="21"/>
        <v/>
      </c>
      <c r="P1083" s="147" t="str">
        <f>IFERROR(__xludf.DUMMYFUNCTION("if(C1083="""","""",iferror(if(row()&lt;&gt;2,INDEX(arrayformula(filter($Q$2:$Q1082,$C$2:$C1082&lt;&gt;"""",row($C$2:$C1082)=max(if($C$2:$C1082=C1083,row($C$2:$C1082),0)))) ,1),0),0))"),"")</f>
        <v/>
      </c>
      <c r="Q1083" s="147" t="str">
        <f t="shared" si="22"/>
        <v/>
      </c>
      <c r="R1083" s="147" t="str">
        <f t="shared" si="23"/>
        <v/>
      </c>
      <c r="S1083" s="147" t="str">
        <f t="shared" si="24"/>
        <v/>
      </c>
      <c r="T1083" s="147" t="str">
        <f t="shared" si="7"/>
        <v/>
      </c>
      <c r="U1083" s="150" t="str">
        <f t="shared" si="8"/>
        <v/>
      </c>
      <c r="V1083" s="151" t="str">
        <f>IFERROR(VLOOKUP(C1083,Ativos!$A$1:$G2000,5,),)</f>
        <v/>
      </c>
    </row>
    <row r="1084" ht="21.0" customHeight="1">
      <c r="A1084" s="152"/>
      <c r="B1084" s="160"/>
      <c r="C1084" s="153"/>
      <c r="D1084" s="154"/>
      <c r="E1084" s="139"/>
      <c r="F1084" s="139"/>
      <c r="G1084" s="139"/>
      <c r="H1084" s="135"/>
      <c r="I1084" s="141"/>
      <c r="J1084" s="147" t="str">
        <f>IFERROR(__xludf.DUMMYFUNCTION("IF(ISBLANK(A1084),IFERROR(1/0),IF(COUNT(FILTER(F:F,A:A=A1084))&gt;1,TRUNC(N1084*F1084/SUM(FILTER(N:N,A:A=A1084)),3),F1084))"),"")</f>
        <v/>
      </c>
      <c r="K1084" s="147" t="str">
        <f>IFERROR(__xludf.DUMMYFUNCTION("IF(ISBLANK(A1084),IFERROR(1/0),IF(COUNT(FILTER(G:G,((A:A=A1084)*(B:B=""V""))))&gt;1,TRUNC(N1084*G1084/SUM(FILTER(N:N,((A:A=A1084)*(B:B=""V"")))),3),G1084))"),"")</f>
        <v/>
      </c>
      <c r="L1084" s="148" t="str">
        <f>IFERROR(__xludf.DUMMYFUNCTION("if($C1084="""","""",iferror(if(row()&lt;&gt;2,INDEX(arrayformula(filter($M$2:$M1083,$C$2:$C1083&lt;&gt;"""",row($C$2:$C1083)=max(if($C$2:$C1083=C1084,row($C$2:$C1083),0)))) ,1),0),0))"),"")</f>
        <v/>
      </c>
      <c r="M1084" s="148" t="str">
        <f t="shared" si="1"/>
        <v/>
      </c>
      <c r="N1084" s="147" t="str">
        <f t="shared" si="2"/>
        <v/>
      </c>
      <c r="O1084" s="147" t="str">
        <f t="shared" si="21"/>
        <v/>
      </c>
      <c r="P1084" s="147" t="str">
        <f>IFERROR(__xludf.DUMMYFUNCTION("if(C1084="""","""",iferror(if(row()&lt;&gt;2,INDEX(arrayformula(filter($Q$2:$Q1083,$C$2:$C1083&lt;&gt;"""",row($C$2:$C1083)=max(if($C$2:$C1083=C1084,row($C$2:$C1083),0)))) ,1),0),0))"),"")</f>
        <v/>
      </c>
      <c r="Q1084" s="147" t="str">
        <f t="shared" si="22"/>
        <v/>
      </c>
      <c r="R1084" s="147" t="str">
        <f t="shared" si="23"/>
        <v/>
      </c>
      <c r="S1084" s="147" t="str">
        <f t="shared" si="24"/>
        <v/>
      </c>
      <c r="T1084" s="147" t="str">
        <f t="shared" si="7"/>
        <v/>
      </c>
      <c r="U1084" s="150" t="str">
        <f t="shared" si="8"/>
        <v/>
      </c>
      <c r="V1084" s="151" t="str">
        <f>IFERROR(VLOOKUP(C1084,Ativos!$A$1:$G2000,5,),)</f>
        <v/>
      </c>
    </row>
    <row r="1085" ht="21.0" customHeight="1">
      <c r="A1085" s="152"/>
      <c r="B1085" s="160"/>
      <c r="C1085" s="153"/>
      <c r="D1085" s="154"/>
      <c r="E1085" s="139"/>
      <c r="F1085" s="139"/>
      <c r="G1085" s="139"/>
      <c r="H1085" s="135"/>
      <c r="I1085" s="141"/>
      <c r="J1085" s="147" t="str">
        <f>IFERROR(__xludf.DUMMYFUNCTION("IF(ISBLANK(A1085),IFERROR(1/0),IF(COUNT(FILTER(F:F,A:A=A1085))&gt;1,TRUNC(N1085*F1085/SUM(FILTER(N:N,A:A=A1085)),3),F1085))"),"")</f>
        <v/>
      </c>
      <c r="K1085" s="147" t="str">
        <f>IFERROR(__xludf.DUMMYFUNCTION("IF(ISBLANK(A1085),IFERROR(1/0),IF(COUNT(FILTER(G:G,((A:A=A1085)*(B:B=""V""))))&gt;1,TRUNC(N1085*G1085/SUM(FILTER(N:N,((A:A=A1085)*(B:B=""V"")))),3),G1085))"),"")</f>
        <v/>
      </c>
      <c r="L1085" s="148" t="str">
        <f>IFERROR(__xludf.DUMMYFUNCTION("if($C1085="""","""",iferror(if(row()&lt;&gt;2,INDEX(arrayformula(filter($M$2:$M1084,$C$2:$C1084&lt;&gt;"""",row($C$2:$C1084)=max(if($C$2:$C1084=C1085,row($C$2:$C1084),0)))) ,1),0),0))"),"")</f>
        <v/>
      </c>
      <c r="M1085" s="148" t="str">
        <f t="shared" si="1"/>
        <v/>
      </c>
      <c r="N1085" s="147" t="str">
        <f t="shared" si="2"/>
        <v/>
      </c>
      <c r="O1085" s="147" t="str">
        <f t="shared" si="21"/>
        <v/>
      </c>
      <c r="P1085" s="147" t="str">
        <f>IFERROR(__xludf.DUMMYFUNCTION("if(C1085="""","""",iferror(if(row()&lt;&gt;2,INDEX(arrayformula(filter($Q$2:$Q1084,$C$2:$C1084&lt;&gt;"""",row($C$2:$C1084)=max(if($C$2:$C1084=C1085,row($C$2:$C1084),0)))) ,1),0),0))"),"")</f>
        <v/>
      </c>
      <c r="Q1085" s="147" t="str">
        <f t="shared" si="22"/>
        <v/>
      </c>
      <c r="R1085" s="147" t="str">
        <f t="shared" si="23"/>
        <v/>
      </c>
      <c r="S1085" s="147" t="str">
        <f t="shared" si="24"/>
        <v/>
      </c>
      <c r="T1085" s="147" t="str">
        <f t="shared" si="7"/>
        <v/>
      </c>
      <c r="U1085" s="150" t="str">
        <f t="shared" si="8"/>
        <v/>
      </c>
      <c r="V1085" s="151" t="str">
        <f>IFERROR(VLOOKUP(C1085,Ativos!$A$1:$G2000,5,),)</f>
        <v/>
      </c>
    </row>
    <row r="1086" ht="21.0" customHeight="1">
      <c r="A1086" s="152"/>
      <c r="B1086" s="160"/>
      <c r="C1086" s="153"/>
      <c r="D1086" s="154"/>
      <c r="E1086" s="139"/>
      <c r="F1086" s="139"/>
      <c r="G1086" s="139"/>
      <c r="H1086" s="135"/>
      <c r="I1086" s="141"/>
      <c r="J1086" s="147" t="str">
        <f>IFERROR(__xludf.DUMMYFUNCTION("IF(ISBLANK(A1086),IFERROR(1/0),IF(COUNT(FILTER(F:F,A:A=A1086))&gt;1,TRUNC(N1086*F1086/SUM(FILTER(N:N,A:A=A1086)),3),F1086))"),"")</f>
        <v/>
      </c>
      <c r="K1086" s="147" t="str">
        <f>IFERROR(__xludf.DUMMYFUNCTION("IF(ISBLANK(A1086),IFERROR(1/0),IF(COUNT(FILTER(G:G,((A:A=A1086)*(B:B=""V""))))&gt;1,TRUNC(N1086*G1086/SUM(FILTER(N:N,((A:A=A1086)*(B:B=""V"")))),3),G1086))"),"")</f>
        <v/>
      </c>
      <c r="L1086" s="148" t="str">
        <f>IFERROR(__xludf.DUMMYFUNCTION("if($C1086="""","""",iferror(if(row()&lt;&gt;2,INDEX(arrayformula(filter($M$2:$M1085,$C$2:$C1085&lt;&gt;"""",row($C$2:$C1085)=max(if($C$2:$C1085=C1086,row($C$2:$C1085),0)))) ,1),0),0))"),"")</f>
        <v/>
      </c>
      <c r="M1086" s="148" t="str">
        <f t="shared" si="1"/>
        <v/>
      </c>
      <c r="N1086" s="147" t="str">
        <f t="shared" si="2"/>
        <v/>
      </c>
      <c r="O1086" s="147" t="str">
        <f t="shared" si="21"/>
        <v/>
      </c>
      <c r="P1086" s="147" t="str">
        <f>IFERROR(__xludf.DUMMYFUNCTION("if(C1086="""","""",iferror(if(row()&lt;&gt;2,INDEX(arrayformula(filter($Q$2:$Q1085,$C$2:$C1085&lt;&gt;"""",row($C$2:$C1085)=max(if($C$2:$C1085=C1086,row($C$2:$C1085),0)))) ,1),0),0))"),"")</f>
        <v/>
      </c>
      <c r="Q1086" s="147" t="str">
        <f t="shared" si="22"/>
        <v/>
      </c>
      <c r="R1086" s="147" t="str">
        <f t="shared" si="23"/>
        <v/>
      </c>
      <c r="S1086" s="147" t="str">
        <f t="shared" si="24"/>
        <v/>
      </c>
      <c r="T1086" s="147" t="str">
        <f t="shared" si="7"/>
        <v/>
      </c>
      <c r="U1086" s="150" t="str">
        <f t="shared" si="8"/>
        <v/>
      </c>
      <c r="V1086" s="151" t="str">
        <f>IFERROR(VLOOKUP(C1086,Ativos!$A$1:$G2000,5,),)</f>
        <v/>
      </c>
    </row>
    <row r="1087" ht="21.0" customHeight="1">
      <c r="A1087" s="152"/>
      <c r="B1087" s="160"/>
      <c r="C1087" s="153"/>
      <c r="D1087" s="154"/>
      <c r="E1087" s="139"/>
      <c r="F1087" s="139"/>
      <c r="G1087" s="139"/>
      <c r="H1087" s="135"/>
      <c r="I1087" s="141"/>
      <c r="J1087" s="147" t="str">
        <f>IFERROR(__xludf.DUMMYFUNCTION("IF(ISBLANK(A1087),IFERROR(1/0),IF(COUNT(FILTER(F:F,A:A=A1087))&gt;1,TRUNC(N1087*F1087/SUM(FILTER(N:N,A:A=A1087)),3),F1087))"),"")</f>
        <v/>
      </c>
      <c r="K1087" s="147" t="str">
        <f>IFERROR(__xludf.DUMMYFUNCTION("IF(ISBLANK(A1087),IFERROR(1/0),IF(COUNT(FILTER(G:G,((A:A=A1087)*(B:B=""V""))))&gt;1,TRUNC(N1087*G1087/SUM(FILTER(N:N,((A:A=A1087)*(B:B=""V"")))),3),G1087))"),"")</f>
        <v/>
      </c>
      <c r="L1087" s="148" t="str">
        <f>IFERROR(__xludf.DUMMYFUNCTION("if($C1087="""","""",iferror(if(row()&lt;&gt;2,INDEX(arrayformula(filter($M$2:$M1086,$C$2:$C1086&lt;&gt;"""",row($C$2:$C1086)=max(if($C$2:$C1086=C1087,row($C$2:$C1086),0)))) ,1),0),0))"),"")</f>
        <v/>
      </c>
      <c r="M1087" s="148" t="str">
        <f t="shared" si="1"/>
        <v/>
      </c>
      <c r="N1087" s="147" t="str">
        <f t="shared" si="2"/>
        <v/>
      </c>
      <c r="O1087" s="147" t="str">
        <f t="shared" si="21"/>
        <v/>
      </c>
      <c r="P1087" s="147" t="str">
        <f>IFERROR(__xludf.DUMMYFUNCTION("if(C1087="""","""",iferror(if(row()&lt;&gt;2,INDEX(arrayformula(filter($Q$2:$Q1086,$C$2:$C1086&lt;&gt;"""",row($C$2:$C1086)=max(if($C$2:$C1086=C1087,row($C$2:$C1086),0)))) ,1),0),0))"),"")</f>
        <v/>
      </c>
      <c r="Q1087" s="147" t="str">
        <f t="shared" si="22"/>
        <v/>
      </c>
      <c r="R1087" s="147" t="str">
        <f t="shared" si="23"/>
        <v/>
      </c>
      <c r="S1087" s="147" t="str">
        <f t="shared" si="24"/>
        <v/>
      </c>
      <c r="T1087" s="147" t="str">
        <f t="shared" si="7"/>
        <v/>
      </c>
      <c r="U1087" s="150" t="str">
        <f t="shared" si="8"/>
        <v/>
      </c>
      <c r="V1087" s="151" t="str">
        <f>IFERROR(VLOOKUP(C1087,Ativos!$A$1:$G2000,5,),)</f>
        <v/>
      </c>
    </row>
    <row r="1088" ht="21.0" customHeight="1">
      <c r="A1088" s="152"/>
      <c r="B1088" s="160"/>
      <c r="C1088" s="153"/>
      <c r="D1088" s="154"/>
      <c r="E1088" s="139"/>
      <c r="F1088" s="139"/>
      <c r="G1088" s="139"/>
      <c r="H1088" s="135"/>
      <c r="I1088" s="141"/>
      <c r="J1088" s="147" t="str">
        <f>IFERROR(__xludf.DUMMYFUNCTION("IF(ISBLANK(A1088),IFERROR(1/0),IF(COUNT(FILTER(F:F,A:A=A1088))&gt;1,TRUNC(N1088*F1088/SUM(FILTER(N:N,A:A=A1088)),3),F1088))"),"")</f>
        <v/>
      </c>
      <c r="K1088" s="147" t="str">
        <f>IFERROR(__xludf.DUMMYFUNCTION("IF(ISBLANK(A1088),IFERROR(1/0),IF(COUNT(FILTER(G:G,((A:A=A1088)*(B:B=""V""))))&gt;1,TRUNC(N1088*G1088/SUM(FILTER(N:N,((A:A=A1088)*(B:B=""V"")))),3),G1088))"),"")</f>
        <v/>
      </c>
      <c r="L1088" s="148" t="str">
        <f>IFERROR(__xludf.DUMMYFUNCTION("if($C1088="""","""",iferror(if(row()&lt;&gt;2,INDEX(arrayformula(filter($M$2:$M1087,$C$2:$C1087&lt;&gt;"""",row($C$2:$C1087)=max(if($C$2:$C1087=C1088,row($C$2:$C1087),0)))) ,1),0),0))"),"")</f>
        <v/>
      </c>
      <c r="M1088" s="148" t="str">
        <f t="shared" si="1"/>
        <v/>
      </c>
      <c r="N1088" s="147" t="str">
        <f t="shared" si="2"/>
        <v/>
      </c>
      <c r="O1088" s="147" t="str">
        <f t="shared" si="21"/>
        <v/>
      </c>
      <c r="P1088" s="147" t="str">
        <f>IFERROR(__xludf.DUMMYFUNCTION("if(C1088="""","""",iferror(if(row()&lt;&gt;2,INDEX(arrayformula(filter($Q$2:$Q1087,$C$2:$C1087&lt;&gt;"""",row($C$2:$C1087)=max(if($C$2:$C1087=C1088,row($C$2:$C1087),0)))) ,1),0),0))"),"")</f>
        <v/>
      </c>
      <c r="Q1088" s="147" t="str">
        <f t="shared" si="22"/>
        <v/>
      </c>
      <c r="R1088" s="147" t="str">
        <f t="shared" si="23"/>
        <v/>
      </c>
      <c r="S1088" s="147" t="str">
        <f t="shared" si="24"/>
        <v/>
      </c>
      <c r="T1088" s="147" t="str">
        <f t="shared" si="7"/>
        <v/>
      </c>
      <c r="U1088" s="150" t="str">
        <f t="shared" si="8"/>
        <v/>
      </c>
      <c r="V1088" s="151" t="str">
        <f>IFERROR(VLOOKUP(C1088,Ativos!$A$1:$G2000,5,),)</f>
        <v/>
      </c>
    </row>
    <row r="1089" ht="21.0" customHeight="1">
      <c r="A1089" s="152"/>
      <c r="B1089" s="160"/>
      <c r="C1089" s="153"/>
      <c r="D1089" s="154"/>
      <c r="E1089" s="139"/>
      <c r="F1089" s="139"/>
      <c r="G1089" s="139"/>
      <c r="H1089" s="135"/>
      <c r="I1089" s="141"/>
      <c r="J1089" s="147" t="str">
        <f>IFERROR(__xludf.DUMMYFUNCTION("IF(ISBLANK(A1089),IFERROR(1/0),IF(COUNT(FILTER(F:F,A:A=A1089))&gt;1,TRUNC(N1089*F1089/SUM(FILTER(N:N,A:A=A1089)),3),F1089))"),"")</f>
        <v/>
      </c>
      <c r="K1089" s="147" t="str">
        <f>IFERROR(__xludf.DUMMYFUNCTION("IF(ISBLANK(A1089),IFERROR(1/0),IF(COUNT(FILTER(G:G,((A:A=A1089)*(B:B=""V""))))&gt;1,TRUNC(N1089*G1089/SUM(FILTER(N:N,((A:A=A1089)*(B:B=""V"")))),3),G1089))"),"")</f>
        <v/>
      </c>
      <c r="L1089" s="148" t="str">
        <f>IFERROR(__xludf.DUMMYFUNCTION("if($C1089="""","""",iferror(if(row()&lt;&gt;2,INDEX(arrayformula(filter($M$2:$M1088,$C$2:$C1088&lt;&gt;"""",row($C$2:$C1088)=max(if($C$2:$C1088=C1089,row($C$2:$C1088),0)))) ,1),0),0))"),"")</f>
        <v/>
      </c>
      <c r="M1089" s="148" t="str">
        <f t="shared" si="1"/>
        <v/>
      </c>
      <c r="N1089" s="147" t="str">
        <f t="shared" si="2"/>
        <v/>
      </c>
      <c r="O1089" s="147" t="str">
        <f t="shared" si="21"/>
        <v/>
      </c>
      <c r="P1089" s="147" t="str">
        <f>IFERROR(__xludf.DUMMYFUNCTION("if(C1089="""","""",iferror(if(row()&lt;&gt;2,INDEX(arrayformula(filter($Q$2:$Q1088,$C$2:$C1088&lt;&gt;"""",row($C$2:$C1088)=max(if($C$2:$C1088=C1089,row($C$2:$C1088),0)))) ,1),0),0))"),"")</f>
        <v/>
      </c>
      <c r="Q1089" s="147" t="str">
        <f t="shared" si="22"/>
        <v/>
      </c>
      <c r="R1089" s="147" t="str">
        <f t="shared" si="23"/>
        <v/>
      </c>
      <c r="S1089" s="147" t="str">
        <f t="shared" si="24"/>
        <v/>
      </c>
      <c r="T1089" s="147" t="str">
        <f t="shared" si="7"/>
        <v/>
      </c>
      <c r="U1089" s="150" t="str">
        <f t="shared" si="8"/>
        <v/>
      </c>
      <c r="V1089" s="151" t="str">
        <f>IFERROR(VLOOKUP(C1089,Ativos!$A$1:$G2000,5,),)</f>
        <v/>
      </c>
    </row>
    <row r="1090" ht="21.0" customHeight="1">
      <c r="A1090" s="152"/>
      <c r="B1090" s="160"/>
      <c r="C1090" s="153"/>
      <c r="D1090" s="154"/>
      <c r="E1090" s="139"/>
      <c r="F1090" s="139"/>
      <c r="G1090" s="139"/>
      <c r="H1090" s="135"/>
      <c r="I1090" s="141"/>
      <c r="J1090" s="147" t="str">
        <f>IFERROR(__xludf.DUMMYFUNCTION("IF(ISBLANK(A1090),IFERROR(1/0),IF(COUNT(FILTER(F:F,A:A=A1090))&gt;1,TRUNC(N1090*F1090/SUM(FILTER(N:N,A:A=A1090)),3),F1090))"),"")</f>
        <v/>
      </c>
      <c r="K1090" s="147" t="str">
        <f>IFERROR(__xludf.DUMMYFUNCTION("IF(ISBLANK(A1090),IFERROR(1/0),IF(COUNT(FILTER(G:G,((A:A=A1090)*(B:B=""V""))))&gt;1,TRUNC(N1090*G1090/SUM(FILTER(N:N,((A:A=A1090)*(B:B=""V"")))),3),G1090))"),"")</f>
        <v/>
      </c>
      <c r="L1090" s="148" t="str">
        <f>IFERROR(__xludf.DUMMYFUNCTION("if($C1090="""","""",iferror(if(row()&lt;&gt;2,INDEX(arrayformula(filter($M$2:$M1089,$C$2:$C1089&lt;&gt;"""",row($C$2:$C1089)=max(if($C$2:$C1089=C1090,row($C$2:$C1089),0)))) ,1),0),0))"),"")</f>
        <v/>
      </c>
      <c r="M1090" s="148" t="str">
        <f t="shared" si="1"/>
        <v/>
      </c>
      <c r="N1090" s="147" t="str">
        <f t="shared" si="2"/>
        <v/>
      </c>
      <c r="O1090" s="147" t="str">
        <f t="shared" si="21"/>
        <v/>
      </c>
      <c r="P1090" s="147" t="str">
        <f>IFERROR(__xludf.DUMMYFUNCTION("if(C1090="""","""",iferror(if(row()&lt;&gt;2,INDEX(arrayformula(filter($Q$2:$Q1089,$C$2:$C1089&lt;&gt;"""",row($C$2:$C1089)=max(if($C$2:$C1089=C1090,row($C$2:$C1089),0)))) ,1),0),0))"),"")</f>
        <v/>
      </c>
      <c r="Q1090" s="147" t="str">
        <f t="shared" si="22"/>
        <v/>
      </c>
      <c r="R1090" s="147" t="str">
        <f t="shared" si="23"/>
        <v/>
      </c>
      <c r="S1090" s="147" t="str">
        <f t="shared" si="24"/>
        <v/>
      </c>
      <c r="T1090" s="147" t="str">
        <f t="shared" si="7"/>
        <v/>
      </c>
      <c r="U1090" s="150" t="str">
        <f t="shared" si="8"/>
        <v/>
      </c>
      <c r="V1090" s="151" t="str">
        <f>IFERROR(VLOOKUP(C1090,Ativos!$A$1:$G2000,5,),)</f>
        <v/>
      </c>
    </row>
    <row r="1091" ht="21.0" customHeight="1">
      <c r="A1091" s="152"/>
      <c r="B1091" s="160"/>
      <c r="C1091" s="153"/>
      <c r="D1091" s="154"/>
      <c r="E1091" s="139"/>
      <c r="F1091" s="139"/>
      <c r="G1091" s="139"/>
      <c r="H1091" s="135"/>
      <c r="I1091" s="141"/>
      <c r="J1091" s="147" t="str">
        <f>IFERROR(__xludf.DUMMYFUNCTION("IF(ISBLANK(A1091),IFERROR(1/0),IF(COUNT(FILTER(F:F,A:A=A1091))&gt;1,TRUNC(N1091*F1091/SUM(FILTER(N:N,A:A=A1091)),3),F1091))"),"")</f>
        <v/>
      </c>
      <c r="K1091" s="147" t="str">
        <f>IFERROR(__xludf.DUMMYFUNCTION("IF(ISBLANK(A1091),IFERROR(1/0),IF(COUNT(FILTER(G:G,((A:A=A1091)*(B:B=""V""))))&gt;1,TRUNC(N1091*G1091/SUM(FILTER(N:N,((A:A=A1091)*(B:B=""V"")))),3),G1091))"),"")</f>
        <v/>
      </c>
      <c r="L1091" s="148" t="str">
        <f>IFERROR(__xludf.DUMMYFUNCTION("if($C1091="""","""",iferror(if(row()&lt;&gt;2,INDEX(arrayformula(filter($M$2:$M1090,$C$2:$C1090&lt;&gt;"""",row($C$2:$C1090)=max(if($C$2:$C1090=C1091,row($C$2:$C1090),0)))) ,1),0),0))"),"")</f>
        <v/>
      </c>
      <c r="M1091" s="148" t="str">
        <f t="shared" si="1"/>
        <v/>
      </c>
      <c r="N1091" s="147" t="str">
        <f t="shared" si="2"/>
        <v/>
      </c>
      <c r="O1091" s="147" t="str">
        <f t="shared" si="21"/>
        <v/>
      </c>
      <c r="P1091" s="147" t="str">
        <f>IFERROR(__xludf.DUMMYFUNCTION("if(C1091="""","""",iferror(if(row()&lt;&gt;2,INDEX(arrayformula(filter($Q$2:$Q1090,$C$2:$C1090&lt;&gt;"""",row($C$2:$C1090)=max(if($C$2:$C1090=C1091,row($C$2:$C1090),0)))) ,1),0),0))"),"")</f>
        <v/>
      </c>
      <c r="Q1091" s="147" t="str">
        <f t="shared" si="22"/>
        <v/>
      </c>
      <c r="R1091" s="147" t="str">
        <f t="shared" si="23"/>
        <v/>
      </c>
      <c r="S1091" s="147" t="str">
        <f t="shared" si="24"/>
        <v/>
      </c>
      <c r="T1091" s="147" t="str">
        <f t="shared" si="7"/>
        <v/>
      </c>
      <c r="U1091" s="150" t="str">
        <f t="shared" si="8"/>
        <v/>
      </c>
      <c r="V1091" s="151" t="str">
        <f>IFERROR(VLOOKUP(C1091,Ativos!$A$1:$G2000,5,),)</f>
        <v/>
      </c>
    </row>
    <row r="1092" ht="21.0" customHeight="1">
      <c r="A1092" s="152"/>
      <c r="B1092" s="160"/>
      <c r="C1092" s="153"/>
      <c r="D1092" s="154"/>
      <c r="E1092" s="139"/>
      <c r="F1092" s="139"/>
      <c r="G1092" s="139"/>
      <c r="H1092" s="135"/>
      <c r="I1092" s="141"/>
      <c r="J1092" s="147" t="str">
        <f>IFERROR(__xludf.DUMMYFUNCTION("IF(ISBLANK(A1092),IFERROR(1/0),IF(COUNT(FILTER(F:F,A:A=A1092))&gt;1,TRUNC(N1092*F1092/SUM(FILTER(N:N,A:A=A1092)),3),F1092))"),"")</f>
        <v/>
      </c>
      <c r="K1092" s="147" t="str">
        <f>IFERROR(__xludf.DUMMYFUNCTION("IF(ISBLANK(A1092),IFERROR(1/0),IF(COUNT(FILTER(G:G,((A:A=A1092)*(B:B=""V""))))&gt;1,TRUNC(N1092*G1092/SUM(FILTER(N:N,((A:A=A1092)*(B:B=""V"")))),3),G1092))"),"")</f>
        <v/>
      </c>
      <c r="L1092" s="148" t="str">
        <f>IFERROR(__xludf.DUMMYFUNCTION("if($C1092="""","""",iferror(if(row()&lt;&gt;2,INDEX(arrayformula(filter($M$2:$M1091,$C$2:$C1091&lt;&gt;"""",row($C$2:$C1091)=max(if($C$2:$C1091=C1092,row($C$2:$C1091),0)))) ,1),0),0))"),"")</f>
        <v/>
      </c>
      <c r="M1092" s="148" t="str">
        <f t="shared" si="1"/>
        <v/>
      </c>
      <c r="N1092" s="147" t="str">
        <f t="shared" si="2"/>
        <v/>
      </c>
      <c r="O1092" s="147" t="str">
        <f t="shared" si="21"/>
        <v/>
      </c>
      <c r="P1092" s="147" t="str">
        <f>IFERROR(__xludf.DUMMYFUNCTION("if(C1092="""","""",iferror(if(row()&lt;&gt;2,INDEX(arrayformula(filter($Q$2:$Q1091,$C$2:$C1091&lt;&gt;"""",row($C$2:$C1091)=max(if($C$2:$C1091=C1092,row($C$2:$C1091),0)))) ,1),0),0))"),"")</f>
        <v/>
      </c>
      <c r="Q1092" s="147" t="str">
        <f t="shared" si="22"/>
        <v/>
      </c>
      <c r="R1092" s="147" t="str">
        <f t="shared" si="23"/>
        <v/>
      </c>
      <c r="S1092" s="147" t="str">
        <f t="shared" si="24"/>
        <v/>
      </c>
      <c r="T1092" s="147" t="str">
        <f t="shared" si="7"/>
        <v/>
      </c>
      <c r="U1092" s="150" t="str">
        <f t="shared" si="8"/>
        <v/>
      </c>
      <c r="V1092" s="151" t="str">
        <f>IFERROR(VLOOKUP(C1092,Ativos!$A$1:$G2000,5,),)</f>
        <v/>
      </c>
    </row>
    <row r="1093" ht="21.0" customHeight="1">
      <c r="A1093" s="152"/>
      <c r="B1093" s="160"/>
      <c r="C1093" s="153"/>
      <c r="D1093" s="154"/>
      <c r="E1093" s="139"/>
      <c r="F1093" s="139"/>
      <c r="G1093" s="139"/>
      <c r="H1093" s="135"/>
      <c r="I1093" s="141"/>
      <c r="J1093" s="147" t="str">
        <f>IFERROR(__xludf.DUMMYFUNCTION("IF(ISBLANK(A1093),IFERROR(1/0),IF(COUNT(FILTER(F:F,A:A=A1093))&gt;1,TRUNC(N1093*F1093/SUM(FILTER(N:N,A:A=A1093)),3),F1093))"),"")</f>
        <v/>
      </c>
      <c r="K1093" s="147" t="str">
        <f>IFERROR(__xludf.DUMMYFUNCTION("IF(ISBLANK(A1093),IFERROR(1/0),IF(COUNT(FILTER(G:G,((A:A=A1093)*(B:B=""V""))))&gt;1,TRUNC(N1093*G1093/SUM(FILTER(N:N,((A:A=A1093)*(B:B=""V"")))),3),G1093))"),"")</f>
        <v/>
      </c>
      <c r="L1093" s="148" t="str">
        <f>IFERROR(__xludf.DUMMYFUNCTION("if($C1093="""","""",iferror(if(row()&lt;&gt;2,INDEX(arrayformula(filter($M$2:$M1092,$C$2:$C1092&lt;&gt;"""",row($C$2:$C1092)=max(if($C$2:$C1092=C1093,row($C$2:$C1092),0)))) ,1),0),0))"),"")</f>
        <v/>
      </c>
      <c r="M1093" s="148" t="str">
        <f t="shared" si="1"/>
        <v/>
      </c>
      <c r="N1093" s="147" t="str">
        <f t="shared" si="2"/>
        <v/>
      </c>
      <c r="O1093" s="147" t="str">
        <f t="shared" si="21"/>
        <v/>
      </c>
      <c r="P1093" s="147" t="str">
        <f>IFERROR(__xludf.DUMMYFUNCTION("if(C1093="""","""",iferror(if(row()&lt;&gt;2,INDEX(arrayformula(filter($Q$2:$Q1092,$C$2:$C1092&lt;&gt;"""",row($C$2:$C1092)=max(if($C$2:$C1092=C1093,row($C$2:$C1092),0)))) ,1),0),0))"),"")</f>
        <v/>
      </c>
      <c r="Q1093" s="147" t="str">
        <f t="shared" si="22"/>
        <v/>
      </c>
      <c r="R1093" s="147" t="str">
        <f t="shared" si="23"/>
        <v/>
      </c>
      <c r="S1093" s="147" t="str">
        <f t="shared" si="24"/>
        <v/>
      </c>
      <c r="T1093" s="147" t="str">
        <f t="shared" si="7"/>
        <v/>
      </c>
      <c r="U1093" s="150" t="str">
        <f t="shared" si="8"/>
        <v/>
      </c>
      <c r="V1093" s="151" t="str">
        <f>IFERROR(VLOOKUP(C1093,Ativos!$A$1:$G2000,5,),)</f>
        <v/>
      </c>
    </row>
    <row r="1094" ht="21.0" customHeight="1">
      <c r="A1094" s="152"/>
      <c r="B1094" s="160"/>
      <c r="C1094" s="153"/>
      <c r="D1094" s="154"/>
      <c r="E1094" s="139"/>
      <c r="F1094" s="139"/>
      <c r="G1094" s="139"/>
      <c r="H1094" s="135"/>
      <c r="I1094" s="141"/>
      <c r="J1094" s="147" t="str">
        <f>IFERROR(__xludf.DUMMYFUNCTION("IF(ISBLANK(A1094),IFERROR(1/0),IF(COUNT(FILTER(F:F,A:A=A1094))&gt;1,TRUNC(N1094*F1094/SUM(FILTER(N:N,A:A=A1094)),3),F1094))"),"")</f>
        <v/>
      </c>
      <c r="K1094" s="147" t="str">
        <f>IFERROR(__xludf.DUMMYFUNCTION("IF(ISBLANK(A1094),IFERROR(1/0),IF(COUNT(FILTER(G:G,((A:A=A1094)*(B:B=""V""))))&gt;1,TRUNC(N1094*G1094/SUM(FILTER(N:N,((A:A=A1094)*(B:B=""V"")))),3),G1094))"),"")</f>
        <v/>
      </c>
      <c r="L1094" s="148" t="str">
        <f>IFERROR(__xludf.DUMMYFUNCTION("if($C1094="""","""",iferror(if(row()&lt;&gt;2,INDEX(arrayformula(filter($M$2:$M1093,$C$2:$C1093&lt;&gt;"""",row($C$2:$C1093)=max(if($C$2:$C1093=C1094,row($C$2:$C1093),0)))) ,1),0),0))"),"")</f>
        <v/>
      </c>
      <c r="M1094" s="148" t="str">
        <f t="shared" si="1"/>
        <v/>
      </c>
      <c r="N1094" s="147" t="str">
        <f t="shared" si="2"/>
        <v/>
      </c>
      <c r="O1094" s="147" t="str">
        <f t="shared" si="21"/>
        <v/>
      </c>
      <c r="P1094" s="147" t="str">
        <f>IFERROR(__xludf.DUMMYFUNCTION("if(C1094="""","""",iferror(if(row()&lt;&gt;2,INDEX(arrayformula(filter($Q$2:$Q1093,$C$2:$C1093&lt;&gt;"""",row($C$2:$C1093)=max(if($C$2:$C1093=C1094,row($C$2:$C1093),0)))) ,1),0),0))"),"")</f>
        <v/>
      </c>
      <c r="Q1094" s="147" t="str">
        <f t="shared" si="22"/>
        <v/>
      </c>
      <c r="R1094" s="147" t="str">
        <f t="shared" si="23"/>
        <v/>
      </c>
      <c r="S1094" s="147" t="str">
        <f t="shared" si="24"/>
        <v/>
      </c>
      <c r="T1094" s="147" t="str">
        <f t="shared" si="7"/>
        <v/>
      </c>
      <c r="U1094" s="150" t="str">
        <f t="shared" si="8"/>
        <v/>
      </c>
      <c r="V1094" s="151" t="str">
        <f>IFERROR(VLOOKUP(C1094,Ativos!$A$1:$G2000,5,),)</f>
        <v/>
      </c>
    </row>
    <row r="1095" ht="21.0" customHeight="1">
      <c r="A1095" s="152"/>
      <c r="B1095" s="160"/>
      <c r="C1095" s="153"/>
      <c r="D1095" s="154"/>
      <c r="E1095" s="139"/>
      <c r="F1095" s="139"/>
      <c r="G1095" s="139"/>
      <c r="H1095" s="135"/>
      <c r="I1095" s="141"/>
      <c r="J1095" s="147" t="str">
        <f>IFERROR(__xludf.DUMMYFUNCTION("IF(ISBLANK(A1095),IFERROR(1/0),IF(COUNT(FILTER(F:F,A:A=A1095))&gt;1,TRUNC(N1095*F1095/SUM(FILTER(N:N,A:A=A1095)),3),F1095))"),"")</f>
        <v/>
      </c>
      <c r="K1095" s="147" t="str">
        <f>IFERROR(__xludf.DUMMYFUNCTION("IF(ISBLANK(A1095),IFERROR(1/0),IF(COUNT(FILTER(G:G,((A:A=A1095)*(B:B=""V""))))&gt;1,TRUNC(N1095*G1095/SUM(FILTER(N:N,((A:A=A1095)*(B:B=""V"")))),3),G1095))"),"")</f>
        <v/>
      </c>
      <c r="L1095" s="148" t="str">
        <f>IFERROR(__xludf.DUMMYFUNCTION("if($C1095="""","""",iferror(if(row()&lt;&gt;2,INDEX(arrayformula(filter($M$2:$M1094,$C$2:$C1094&lt;&gt;"""",row($C$2:$C1094)=max(if($C$2:$C1094=C1095,row($C$2:$C1094),0)))) ,1),0),0))"),"")</f>
        <v/>
      </c>
      <c r="M1095" s="148" t="str">
        <f t="shared" si="1"/>
        <v/>
      </c>
      <c r="N1095" s="147" t="str">
        <f t="shared" si="2"/>
        <v/>
      </c>
      <c r="O1095" s="147" t="str">
        <f t="shared" si="21"/>
        <v/>
      </c>
      <c r="P1095" s="147" t="str">
        <f>IFERROR(__xludf.DUMMYFUNCTION("if(C1095="""","""",iferror(if(row()&lt;&gt;2,INDEX(arrayformula(filter($Q$2:$Q1094,$C$2:$C1094&lt;&gt;"""",row($C$2:$C1094)=max(if($C$2:$C1094=C1095,row($C$2:$C1094),0)))) ,1),0),0))"),"")</f>
        <v/>
      </c>
      <c r="Q1095" s="147" t="str">
        <f t="shared" si="22"/>
        <v/>
      </c>
      <c r="R1095" s="147" t="str">
        <f t="shared" si="23"/>
        <v/>
      </c>
      <c r="S1095" s="147" t="str">
        <f t="shared" si="24"/>
        <v/>
      </c>
      <c r="T1095" s="147" t="str">
        <f t="shared" si="7"/>
        <v/>
      </c>
      <c r="U1095" s="150" t="str">
        <f t="shared" si="8"/>
        <v/>
      </c>
      <c r="V1095" s="151" t="str">
        <f>IFERROR(VLOOKUP(C1095,Ativos!$A$1:$G2000,5,),)</f>
        <v/>
      </c>
    </row>
    <row r="1096" ht="21.0" customHeight="1">
      <c r="A1096" s="152"/>
      <c r="B1096" s="160"/>
      <c r="C1096" s="153"/>
      <c r="D1096" s="154"/>
      <c r="E1096" s="139"/>
      <c r="F1096" s="139"/>
      <c r="G1096" s="139"/>
      <c r="H1096" s="135"/>
      <c r="I1096" s="141"/>
      <c r="J1096" s="147" t="str">
        <f>IFERROR(__xludf.DUMMYFUNCTION("IF(ISBLANK(A1096),IFERROR(1/0),IF(COUNT(FILTER(F:F,A:A=A1096))&gt;1,TRUNC(N1096*F1096/SUM(FILTER(N:N,A:A=A1096)),3),F1096))"),"")</f>
        <v/>
      </c>
      <c r="K1096" s="147" t="str">
        <f>IFERROR(__xludf.DUMMYFUNCTION("IF(ISBLANK(A1096),IFERROR(1/0),IF(COUNT(FILTER(G:G,((A:A=A1096)*(B:B=""V""))))&gt;1,TRUNC(N1096*G1096/SUM(FILTER(N:N,((A:A=A1096)*(B:B=""V"")))),3),G1096))"),"")</f>
        <v/>
      </c>
      <c r="L1096" s="148" t="str">
        <f>IFERROR(__xludf.DUMMYFUNCTION("if($C1096="""","""",iferror(if(row()&lt;&gt;2,INDEX(arrayformula(filter($M$2:$M1095,$C$2:$C1095&lt;&gt;"""",row($C$2:$C1095)=max(if($C$2:$C1095=C1096,row($C$2:$C1095),0)))) ,1),0),0))"),"")</f>
        <v/>
      </c>
      <c r="M1096" s="148" t="str">
        <f t="shared" si="1"/>
        <v/>
      </c>
      <c r="N1096" s="147" t="str">
        <f t="shared" si="2"/>
        <v/>
      </c>
      <c r="O1096" s="147" t="str">
        <f t="shared" si="21"/>
        <v/>
      </c>
      <c r="P1096" s="147" t="str">
        <f>IFERROR(__xludf.DUMMYFUNCTION("if(C1096="""","""",iferror(if(row()&lt;&gt;2,INDEX(arrayformula(filter($Q$2:$Q1095,$C$2:$C1095&lt;&gt;"""",row($C$2:$C1095)=max(if($C$2:$C1095=C1096,row($C$2:$C1095),0)))) ,1),0),0))"),"")</f>
        <v/>
      </c>
      <c r="Q1096" s="147" t="str">
        <f t="shared" si="22"/>
        <v/>
      </c>
      <c r="R1096" s="147" t="str">
        <f t="shared" si="23"/>
        <v/>
      </c>
      <c r="S1096" s="147" t="str">
        <f t="shared" si="24"/>
        <v/>
      </c>
      <c r="T1096" s="147" t="str">
        <f t="shared" si="7"/>
        <v/>
      </c>
      <c r="U1096" s="150" t="str">
        <f t="shared" si="8"/>
        <v/>
      </c>
      <c r="V1096" s="151" t="str">
        <f>IFERROR(VLOOKUP(C1096,Ativos!$A$1:$G2000,5,),)</f>
        <v/>
      </c>
    </row>
    <row r="1097" ht="21.0" customHeight="1">
      <c r="A1097" s="152"/>
      <c r="B1097" s="160"/>
      <c r="C1097" s="153"/>
      <c r="D1097" s="154"/>
      <c r="E1097" s="139"/>
      <c r="F1097" s="139"/>
      <c r="G1097" s="139"/>
      <c r="H1097" s="135"/>
      <c r="I1097" s="141"/>
      <c r="J1097" s="147" t="str">
        <f>IFERROR(__xludf.DUMMYFUNCTION("IF(ISBLANK(A1097),IFERROR(1/0),IF(COUNT(FILTER(F:F,A:A=A1097))&gt;1,TRUNC(N1097*F1097/SUM(FILTER(N:N,A:A=A1097)),3),F1097))"),"")</f>
        <v/>
      </c>
      <c r="K1097" s="147" t="str">
        <f>IFERROR(__xludf.DUMMYFUNCTION("IF(ISBLANK(A1097),IFERROR(1/0),IF(COUNT(FILTER(G:G,((A:A=A1097)*(B:B=""V""))))&gt;1,TRUNC(N1097*G1097/SUM(FILTER(N:N,((A:A=A1097)*(B:B=""V"")))),3),G1097))"),"")</f>
        <v/>
      </c>
      <c r="L1097" s="148" t="str">
        <f>IFERROR(__xludf.DUMMYFUNCTION("if($C1097="""","""",iferror(if(row()&lt;&gt;2,INDEX(arrayformula(filter($M$2:$M1096,$C$2:$C1096&lt;&gt;"""",row($C$2:$C1096)=max(if($C$2:$C1096=C1097,row($C$2:$C1096),0)))) ,1),0),0))"),"")</f>
        <v/>
      </c>
      <c r="M1097" s="148" t="str">
        <f t="shared" si="1"/>
        <v/>
      </c>
      <c r="N1097" s="147" t="str">
        <f t="shared" si="2"/>
        <v/>
      </c>
      <c r="O1097" s="147" t="str">
        <f t="shared" si="21"/>
        <v/>
      </c>
      <c r="P1097" s="147" t="str">
        <f>IFERROR(__xludf.DUMMYFUNCTION("if(C1097="""","""",iferror(if(row()&lt;&gt;2,INDEX(arrayformula(filter($Q$2:$Q1096,$C$2:$C1096&lt;&gt;"""",row($C$2:$C1096)=max(if($C$2:$C1096=C1097,row($C$2:$C1096),0)))) ,1),0),0))"),"")</f>
        <v/>
      </c>
      <c r="Q1097" s="147" t="str">
        <f t="shared" si="22"/>
        <v/>
      </c>
      <c r="R1097" s="147" t="str">
        <f t="shared" si="23"/>
        <v/>
      </c>
      <c r="S1097" s="147" t="str">
        <f t="shared" si="24"/>
        <v/>
      </c>
      <c r="T1097" s="147" t="str">
        <f t="shared" si="7"/>
        <v/>
      </c>
      <c r="U1097" s="150" t="str">
        <f t="shared" si="8"/>
        <v/>
      </c>
      <c r="V1097" s="151" t="str">
        <f>IFERROR(VLOOKUP(C1097,Ativos!$A$1:$G2000,5,),)</f>
        <v/>
      </c>
    </row>
    <row r="1098" ht="21.0" customHeight="1">
      <c r="A1098" s="152"/>
      <c r="B1098" s="160"/>
      <c r="C1098" s="153"/>
      <c r="D1098" s="154"/>
      <c r="E1098" s="139"/>
      <c r="F1098" s="139"/>
      <c r="G1098" s="139"/>
      <c r="H1098" s="135"/>
      <c r="I1098" s="141"/>
      <c r="J1098" s="147" t="str">
        <f>IFERROR(__xludf.DUMMYFUNCTION("IF(ISBLANK(A1098),IFERROR(1/0),IF(COUNT(FILTER(F:F,A:A=A1098))&gt;1,TRUNC(N1098*F1098/SUM(FILTER(N:N,A:A=A1098)),3),F1098))"),"")</f>
        <v/>
      </c>
      <c r="K1098" s="147" t="str">
        <f>IFERROR(__xludf.DUMMYFUNCTION("IF(ISBLANK(A1098),IFERROR(1/0),IF(COUNT(FILTER(G:G,((A:A=A1098)*(B:B=""V""))))&gt;1,TRUNC(N1098*G1098/SUM(FILTER(N:N,((A:A=A1098)*(B:B=""V"")))),3),G1098))"),"")</f>
        <v/>
      </c>
      <c r="L1098" s="148" t="str">
        <f>IFERROR(__xludf.DUMMYFUNCTION("if($C1098="""","""",iferror(if(row()&lt;&gt;2,INDEX(arrayformula(filter($M$2:$M1097,$C$2:$C1097&lt;&gt;"""",row($C$2:$C1097)=max(if($C$2:$C1097=C1098,row($C$2:$C1097),0)))) ,1),0),0))"),"")</f>
        <v/>
      </c>
      <c r="M1098" s="148" t="str">
        <f t="shared" si="1"/>
        <v/>
      </c>
      <c r="N1098" s="147" t="str">
        <f t="shared" si="2"/>
        <v/>
      </c>
      <c r="O1098" s="147" t="str">
        <f t="shared" si="21"/>
        <v/>
      </c>
      <c r="P1098" s="147" t="str">
        <f>IFERROR(__xludf.DUMMYFUNCTION("if(C1098="""","""",iferror(if(row()&lt;&gt;2,INDEX(arrayformula(filter($Q$2:$Q1097,$C$2:$C1097&lt;&gt;"""",row($C$2:$C1097)=max(if($C$2:$C1097=C1098,row($C$2:$C1097),0)))) ,1),0),0))"),"")</f>
        <v/>
      </c>
      <c r="Q1098" s="147" t="str">
        <f t="shared" si="22"/>
        <v/>
      </c>
      <c r="R1098" s="147" t="str">
        <f t="shared" si="23"/>
        <v/>
      </c>
      <c r="S1098" s="147" t="str">
        <f t="shared" si="24"/>
        <v/>
      </c>
      <c r="T1098" s="147" t="str">
        <f t="shared" si="7"/>
        <v/>
      </c>
      <c r="U1098" s="150" t="str">
        <f t="shared" si="8"/>
        <v/>
      </c>
      <c r="V1098" s="151" t="str">
        <f>IFERROR(VLOOKUP(C1098,Ativos!$A$1:$G2000,5,),)</f>
        <v/>
      </c>
    </row>
    <row r="1099" ht="21.0" customHeight="1">
      <c r="A1099" s="152"/>
      <c r="B1099" s="160"/>
      <c r="C1099" s="153"/>
      <c r="D1099" s="154"/>
      <c r="E1099" s="139"/>
      <c r="F1099" s="139"/>
      <c r="G1099" s="139"/>
      <c r="H1099" s="135"/>
      <c r="I1099" s="141"/>
      <c r="J1099" s="147" t="str">
        <f>IFERROR(__xludf.DUMMYFUNCTION("IF(ISBLANK(A1099),IFERROR(1/0),IF(COUNT(FILTER(F:F,A:A=A1099))&gt;1,TRUNC(N1099*F1099/SUM(FILTER(N:N,A:A=A1099)),3),F1099))"),"")</f>
        <v/>
      </c>
      <c r="K1099" s="147" t="str">
        <f>IFERROR(__xludf.DUMMYFUNCTION("IF(ISBLANK(A1099),IFERROR(1/0),IF(COUNT(FILTER(G:G,((A:A=A1099)*(B:B=""V""))))&gt;1,TRUNC(N1099*G1099/SUM(FILTER(N:N,((A:A=A1099)*(B:B=""V"")))),3),G1099))"),"")</f>
        <v/>
      </c>
      <c r="L1099" s="148" t="str">
        <f>IFERROR(__xludf.DUMMYFUNCTION("if($C1099="""","""",iferror(if(row()&lt;&gt;2,INDEX(arrayformula(filter($M$2:$M1098,$C$2:$C1098&lt;&gt;"""",row($C$2:$C1098)=max(if($C$2:$C1098=C1099,row($C$2:$C1098),0)))) ,1),0),0))"),"")</f>
        <v/>
      </c>
      <c r="M1099" s="148" t="str">
        <f t="shared" si="1"/>
        <v/>
      </c>
      <c r="N1099" s="147" t="str">
        <f t="shared" si="2"/>
        <v/>
      </c>
      <c r="O1099" s="147" t="str">
        <f t="shared" si="21"/>
        <v/>
      </c>
      <c r="P1099" s="147" t="str">
        <f>IFERROR(__xludf.DUMMYFUNCTION("if(C1099="""","""",iferror(if(row()&lt;&gt;2,INDEX(arrayformula(filter($Q$2:$Q1098,$C$2:$C1098&lt;&gt;"""",row($C$2:$C1098)=max(if($C$2:$C1098=C1099,row($C$2:$C1098),0)))) ,1),0),0))"),"")</f>
        <v/>
      </c>
      <c r="Q1099" s="147" t="str">
        <f t="shared" si="22"/>
        <v/>
      </c>
      <c r="R1099" s="147" t="str">
        <f t="shared" si="23"/>
        <v/>
      </c>
      <c r="S1099" s="147" t="str">
        <f t="shared" si="24"/>
        <v/>
      </c>
      <c r="T1099" s="147" t="str">
        <f t="shared" si="7"/>
        <v/>
      </c>
      <c r="U1099" s="150" t="str">
        <f t="shared" si="8"/>
        <v/>
      </c>
      <c r="V1099" s="151" t="str">
        <f>IFERROR(VLOOKUP(C1099,Ativos!$A$1:$G2000,5,),)</f>
        <v/>
      </c>
    </row>
    <row r="1100" ht="21.0" customHeight="1">
      <c r="A1100" s="152"/>
      <c r="B1100" s="160"/>
      <c r="C1100" s="153"/>
      <c r="D1100" s="154"/>
      <c r="E1100" s="139"/>
      <c r="F1100" s="139"/>
      <c r="G1100" s="139"/>
      <c r="H1100" s="135"/>
      <c r="I1100" s="141"/>
      <c r="J1100" s="147" t="str">
        <f>IFERROR(__xludf.DUMMYFUNCTION("IF(ISBLANK(A1100),IFERROR(1/0),IF(COUNT(FILTER(F:F,A:A=A1100))&gt;1,TRUNC(N1100*F1100/SUM(FILTER(N:N,A:A=A1100)),3),F1100))"),"")</f>
        <v/>
      </c>
      <c r="K1100" s="147" t="str">
        <f>IFERROR(__xludf.DUMMYFUNCTION("IF(ISBLANK(A1100),IFERROR(1/0),IF(COUNT(FILTER(G:G,((A:A=A1100)*(B:B=""V""))))&gt;1,TRUNC(N1100*G1100/SUM(FILTER(N:N,((A:A=A1100)*(B:B=""V"")))),3),G1100))"),"")</f>
        <v/>
      </c>
      <c r="L1100" s="148" t="str">
        <f>IFERROR(__xludf.DUMMYFUNCTION("if($C1100="""","""",iferror(if(row()&lt;&gt;2,INDEX(arrayformula(filter($M$2:$M1099,$C$2:$C1099&lt;&gt;"""",row($C$2:$C1099)=max(if($C$2:$C1099=C1100,row($C$2:$C1099),0)))) ,1),0),0))"),"")</f>
        <v/>
      </c>
      <c r="M1100" s="148" t="str">
        <f t="shared" si="1"/>
        <v/>
      </c>
      <c r="N1100" s="147" t="str">
        <f t="shared" si="2"/>
        <v/>
      </c>
      <c r="O1100" s="147" t="str">
        <f t="shared" si="21"/>
        <v/>
      </c>
      <c r="P1100" s="147" t="str">
        <f>IFERROR(__xludf.DUMMYFUNCTION("if(C1100="""","""",iferror(if(row()&lt;&gt;2,INDEX(arrayformula(filter($Q$2:$Q1099,$C$2:$C1099&lt;&gt;"""",row($C$2:$C1099)=max(if($C$2:$C1099=C1100,row($C$2:$C1099),0)))) ,1),0),0))"),"")</f>
        <v/>
      </c>
      <c r="Q1100" s="147" t="str">
        <f t="shared" si="22"/>
        <v/>
      </c>
      <c r="R1100" s="147" t="str">
        <f t="shared" si="23"/>
        <v/>
      </c>
      <c r="S1100" s="147" t="str">
        <f t="shared" si="24"/>
        <v/>
      </c>
      <c r="T1100" s="147" t="str">
        <f t="shared" si="7"/>
        <v/>
      </c>
      <c r="U1100" s="150" t="str">
        <f t="shared" si="8"/>
        <v/>
      </c>
      <c r="V1100" s="151" t="str">
        <f>IFERROR(VLOOKUP(C1100,Ativos!$A$1:$G2000,5,),)</f>
        <v/>
      </c>
    </row>
    <row r="1101" ht="21.0" customHeight="1">
      <c r="A1101" s="152"/>
      <c r="B1101" s="160"/>
      <c r="C1101" s="153"/>
      <c r="D1101" s="154"/>
      <c r="E1101" s="139"/>
      <c r="F1101" s="139"/>
      <c r="G1101" s="139"/>
      <c r="H1101" s="135"/>
      <c r="I1101" s="141"/>
      <c r="J1101" s="147" t="str">
        <f>IFERROR(__xludf.DUMMYFUNCTION("IF(ISBLANK(A1101),IFERROR(1/0),IF(COUNT(FILTER(F:F,A:A=A1101))&gt;1,TRUNC(N1101*F1101/SUM(FILTER(N:N,A:A=A1101)),3),F1101))"),"")</f>
        <v/>
      </c>
      <c r="K1101" s="147" t="str">
        <f>IFERROR(__xludf.DUMMYFUNCTION("IF(ISBLANK(A1101),IFERROR(1/0),IF(COUNT(FILTER(G:G,((A:A=A1101)*(B:B=""V""))))&gt;1,TRUNC(N1101*G1101/SUM(FILTER(N:N,((A:A=A1101)*(B:B=""V"")))),3),G1101))"),"")</f>
        <v/>
      </c>
      <c r="L1101" s="148" t="str">
        <f>IFERROR(__xludf.DUMMYFUNCTION("if($C1101="""","""",iferror(if(row()&lt;&gt;2,INDEX(arrayformula(filter($M$2:$M1100,$C$2:$C1100&lt;&gt;"""",row($C$2:$C1100)=max(if($C$2:$C1100=C1101,row($C$2:$C1100),0)))) ,1),0),0))"),"")</f>
        <v/>
      </c>
      <c r="M1101" s="148" t="str">
        <f t="shared" si="1"/>
        <v/>
      </c>
      <c r="N1101" s="147" t="str">
        <f t="shared" si="2"/>
        <v/>
      </c>
      <c r="O1101" s="147" t="str">
        <f t="shared" si="21"/>
        <v/>
      </c>
      <c r="P1101" s="147" t="str">
        <f>IFERROR(__xludf.DUMMYFUNCTION("if(C1101="""","""",iferror(if(row()&lt;&gt;2,INDEX(arrayformula(filter($Q$2:$Q1100,$C$2:$C1100&lt;&gt;"""",row($C$2:$C1100)=max(if($C$2:$C1100=C1101,row($C$2:$C1100),0)))) ,1),0),0))"),"")</f>
        <v/>
      </c>
      <c r="Q1101" s="147" t="str">
        <f t="shared" si="22"/>
        <v/>
      </c>
      <c r="R1101" s="147" t="str">
        <f t="shared" si="23"/>
        <v/>
      </c>
      <c r="S1101" s="147" t="str">
        <f t="shared" si="24"/>
        <v/>
      </c>
      <c r="T1101" s="147" t="str">
        <f t="shared" si="7"/>
        <v/>
      </c>
      <c r="U1101" s="150" t="str">
        <f t="shared" si="8"/>
        <v/>
      </c>
      <c r="V1101" s="151" t="str">
        <f>IFERROR(VLOOKUP(C1101,Ativos!$A$1:$G2000,5,),)</f>
        <v/>
      </c>
    </row>
    <row r="1102" ht="21.0" customHeight="1">
      <c r="A1102" s="152"/>
      <c r="B1102" s="160"/>
      <c r="C1102" s="153"/>
      <c r="D1102" s="154"/>
      <c r="E1102" s="139"/>
      <c r="F1102" s="139"/>
      <c r="G1102" s="139"/>
      <c r="H1102" s="135"/>
      <c r="I1102" s="141"/>
      <c r="J1102" s="147" t="str">
        <f>IFERROR(__xludf.DUMMYFUNCTION("IF(ISBLANK(A1102),IFERROR(1/0),IF(COUNT(FILTER(F:F,A:A=A1102))&gt;1,TRUNC(N1102*F1102/SUM(FILTER(N:N,A:A=A1102)),3),F1102))"),"")</f>
        <v/>
      </c>
      <c r="K1102" s="147" t="str">
        <f>IFERROR(__xludf.DUMMYFUNCTION("IF(ISBLANK(A1102),IFERROR(1/0),IF(COUNT(FILTER(G:G,((A:A=A1102)*(B:B=""V""))))&gt;1,TRUNC(N1102*G1102/SUM(FILTER(N:N,((A:A=A1102)*(B:B=""V"")))),3),G1102))"),"")</f>
        <v/>
      </c>
      <c r="L1102" s="148" t="str">
        <f>IFERROR(__xludf.DUMMYFUNCTION("if($C1102="""","""",iferror(if(row()&lt;&gt;2,INDEX(arrayformula(filter($M$2:$M1101,$C$2:$C1101&lt;&gt;"""",row($C$2:$C1101)=max(if($C$2:$C1101=C1102,row($C$2:$C1101),0)))) ,1),0),0))"),"")</f>
        <v/>
      </c>
      <c r="M1102" s="148" t="str">
        <f t="shared" si="1"/>
        <v/>
      </c>
      <c r="N1102" s="147" t="str">
        <f t="shared" si="2"/>
        <v/>
      </c>
      <c r="O1102" s="147" t="str">
        <f t="shared" si="21"/>
        <v/>
      </c>
      <c r="P1102" s="147" t="str">
        <f>IFERROR(__xludf.DUMMYFUNCTION("if(C1102="""","""",iferror(if(row()&lt;&gt;2,INDEX(arrayformula(filter($Q$2:$Q1101,$C$2:$C1101&lt;&gt;"""",row($C$2:$C1101)=max(if($C$2:$C1101=C1102,row($C$2:$C1101),0)))) ,1),0),0))"),"")</f>
        <v/>
      </c>
      <c r="Q1102" s="147" t="str">
        <f t="shared" si="22"/>
        <v/>
      </c>
      <c r="R1102" s="147" t="str">
        <f t="shared" si="23"/>
        <v/>
      </c>
      <c r="S1102" s="147" t="str">
        <f t="shared" si="24"/>
        <v/>
      </c>
      <c r="T1102" s="147" t="str">
        <f t="shared" si="7"/>
        <v/>
      </c>
      <c r="U1102" s="150" t="str">
        <f t="shared" si="8"/>
        <v/>
      </c>
      <c r="V1102" s="151" t="str">
        <f>IFERROR(VLOOKUP(C1102,Ativos!$A$1:$G2000,5,),)</f>
        <v/>
      </c>
    </row>
    <row r="1103" ht="21.0" customHeight="1">
      <c r="A1103" s="152"/>
      <c r="B1103" s="160"/>
      <c r="C1103" s="153"/>
      <c r="D1103" s="154"/>
      <c r="E1103" s="139"/>
      <c r="F1103" s="139"/>
      <c r="G1103" s="139"/>
      <c r="H1103" s="135"/>
      <c r="I1103" s="141"/>
      <c r="J1103" s="147" t="str">
        <f>IFERROR(__xludf.DUMMYFUNCTION("IF(ISBLANK(A1103),IFERROR(1/0),IF(COUNT(FILTER(F:F,A:A=A1103))&gt;1,TRUNC(N1103*F1103/SUM(FILTER(N:N,A:A=A1103)),3),F1103))"),"")</f>
        <v/>
      </c>
      <c r="K1103" s="147" t="str">
        <f>IFERROR(__xludf.DUMMYFUNCTION("IF(ISBLANK(A1103),IFERROR(1/0),IF(COUNT(FILTER(G:G,((A:A=A1103)*(B:B=""V""))))&gt;1,TRUNC(N1103*G1103/SUM(FILTER(N:N,((A:A=A1103)*(B:B=""V"")))),3),G1103))"),"")</f>
        <v/>
      </c>
      <c r="L1103" s="148" t="str">
        <f>IFERROR(__xludf.DUMMYFUNCTION("if($C1103="""","""",iferror(if(row()&lt;&gt;2,INDEX(arrayformula(filter($M$2:$M1102,$C$2:$C1102&lt;&gt;"""",row($C$2:$C1102)=max(if($C$2:$C1102=C1103,row($C$2:$C1102),0)))) ,1),0),0))"),"")</f>
        <v/>
      </c>
      <c r="M1103" s="148" t="str">
        <f t="shared" si="1"/>
        <v/>
      </c>
      <c r="N1103" s="147" t="str">
        <f t="shared" si="2"/>
        <v/>
      </c>
      <c r="O1103" s="147" t="str">
        <f t="shared" si="21"/>
        <v/>
      </c>
      <c r="P1103" s="147" t="str">
        <f>IFERROR(__xludf.DUMMYFUNCTION("if(C1103="""","""",iferror(if(row()&lt;&gt;2,INDEX(arrayformula(filter($Q$2:$Q1102,$C$2:$C1102&lt;&gt;"""",row($C$2:$C1102)=max(if($C$2:$C1102=C1103,row($C$2:$C1102),0)))) ,1),0),0))"),"")</f>
        <v/>
      </c>
      <c r="Q1103" s="147" t="str">
        <f t="shared" si="22"/>
        <v/>
      </c>
      <c r="R1103" s="147" t="str">
        <f t="shared" si="23"/>
        <v/>
      </c>
      <c r="S1103" s="147" t="str">
        <f t="shared" si="24"/>
        <v/>
      </c>
      <c r="T1103" s="147" t="str">
        <f t="shared" si="7"/>
        <v/>
      </c>
      <c r="U1103" s="150" t="str">
        <f t="shared" si="8"/>
        <v/>
      </c>
      <c r="V1103" s="151" t="str">
        <f>IFERROR(VLOOKUP(C1103,Ativos!$A$1:$G2000,5,),)</f>
        <v/>
      </c>
    </row>
    <row r="1104" ht="21.0" customHeight="1">
      <c r="A1104" s="152"/>
      <c r="B1104" s="160"/>
      <c r="C1104" s="153"/>
      <c r="D1104" s="154"/>
      <c r="E1104" s="139"/>
      <c r="F1104" s="139"/>
      <c r="G1104" s="139"/>
      <c r="H1104" s="135"/>
      <c r="I1104" s="141"/>
      <c r="J1104" s="147" t="str">
        <f>IFERROR(__xludf.DUMMYFUNCTION("IF(ISBLANK(A1104),IFERROR(1/0),IF(COUNT(FILTER(F:F,A:A=A1104))&gt;1,TRUNC(N1104*F1104/SUM(FILTER(N:N,A:A=A1104)),3),F1104))"),"")</f>
        <v/>
      </c>
      <c r="K1104" s="147" t="str">
        <f>IFERROR(__xludf.DUMMYFUNCTION("IF(ISBLANK(A1104),IFERROR(1/0),IF(COUNT(FILTER(G:G,((A:A=A1104)*(B:B=""V""))))&gt;1,TRUNC(N1104*G1104/SUM(FILTER(N:N,((A:A=A1104)*(B:B=""V"")))),3),G1104))"),"")</f>
        <v/>
      </c>
      <c r="L1104" s="148" t="str">
        <f>IFERROR(__xludf.DUMMYFUNCTION("if($C1104="""","""",iferror(if(row()&lt;&gt;2,INDEX(arrayformula(filter($M$2:$M1103,$C$2:$C1103&lt;&gt;"""",row($C$2:$C1103)=max(if($C$2:$C1103=C1104,row($C$2:$C1103),0)))) ,1),0),0))"),"")</f>
        <v/>
      </c>
      <c r="M1104" s="148" t="str">
        <f t="shared" si="1"/>
        <v/>
      </c>
      <c r="N1104" s="147" t="str">
        <f t="shared" si="2"/>
        <v/>
      </c>
      <c r="O1104" s="147" t="str">
        <f t="shared" si="21"/>
        <v/>
      </c>
      <c r="P1104" s="147" t="str">
        <f>IFERROR(__xludf.DUMMYFUNCTION("if(C1104="""","""",iferror(if(row()&lt;&gt;2,INDEX(arrayformula(filter($Q$2:$Q1103,$C$2:$C1103&lt;&gt;"""",row($C$2:$C1103)=max(if($C$2:$C1103=C1104,row($C$2:$C1103),0)))) ,1),0),0))"),"")</f>
        <v/>
      </c>
      <c r="Q1104" s="147" t="str">
        <f t="shared" si="22"/>
        <v/>
      </c>
      <c r="R1104" s="147" t="str">
        <f t="shared" si="23"/>
        <v/>
      </c>
      <c r="S1104" s="147" t="str">
        <f t="shared" si="24"/>
        <v/>
      </c>
      <c r="T1104" s="147" t="str">
        <f t="shared" si="7"/>
        <v/>
      </c>
      <c r="U1104" s="150" t="str">
        <f t="shared" si="8"/>
        <v/>
      </c>
      <c r="V1104" s="151" t="str">
        <f>IFERROR(VLOOKUP(C1104,Ativos!$A$1:$G2000,5,),)</f>
        <v/>
      </c>
    </row>
    <row r="1105" ht="21.0" customHeight="1">
      <c r="A1105" s="152"/>
      <c r="B1105" s="160"/>
      <c r="C1105" s="153"/>
      <c r="D1105" s="154"/>
      <c r="E1105" s="139"/>
      <c r="F1105" s="139"/>
      <c r="G1105" s="139"/>
      <c r="H1105" s="135"/>
      <c r="I1105" s="141"/>
      <c r="J1105" s="147" t="str">
        <f>IFERROR(__xludf.DUMMYFUNCTION("IF(ISBLANK(A1105),IFERROR(1/0),IF(COUNT(FILTER(F:F,A:A=A1105))&gt;1,TRUNC(N1105*F1105/SUM(FILTER(N:N,A:A=A1105)),3),F1105))"),"")</f>
        <v/>
      </c>
      <c r="K1105" s="147" t="str">
        <f>IFERROR(__xludf.DUMMYFUNCTION("IF(ISBLANK(A1105),IFERROR(1/0),IF(COUNT(FILTER(G:G,((A:A=A1105)*(B:B=""V""))))&gt;1,TRUNC(N1105*G1105/SUM(FILTER(N:N,((A:A=A1105)*(B:B=""V"")))),3),G1105))"),"")</f>
        <v/>
      </c>
      <c r="L1105" s="148" t="str">
        <f>IFERROR(__xludf.DUMMYFUNCTION("if($C1105="""","""",iferror(if(row()&lt;&gt;2,INDEX(arrayformula(filter($M$2:$M1104,$C$2:$C1104&lt;&gt;"""",row($C$2:$C1104)=max(if($C$2:$C1104=C1105,row($C$2:$C1104),0)))) ,1),0),0))"),"")</f>
        <v/>
      </c>
      <c r="M1105" s="148" t="str">
        <f t="shared" si="1"/>
        <v/>
      </c>
      <c r="N1105" s="147" t="str">
        <f t="shared" si="2"/>
        <v/>
      </c>
      <c r="O1105" s="147" t="str">
        <f t="shared" si="21"/>
        <v/>
      </c>
      <c r="P1105" s="147" t="str">
        <f>IFERROR(__xludf.DUMMYFUNCTION("if(C1105="""","""",iferror(if(row()&lt;&gt;2,INDEX(arrayformula(filter($Q$2:$Q1104,$C$2:$C1104&lt;&gt;"""",row($C$2:$C1104)=max(if($C$2:$C1104=C1105,row($C$2:$C1104),0)))) ,1),0),0))"),"")</f>
        <v/>
      </c>
      <c r="Q1105" s="147" t="str">
        <f t="shared" si="22"/>
        <v/>
      </c>
      <c r="R1105" s="147" t="str">
        <f t="shared" si="23"/>
        <v/>
      </c>
      <c r="S1105" s="147" t="str">
        <f t="shared" si="24"/>
        <v/>
      </c>
      <c r="T1105" s="147" t="str">
        <f t="shared" si="7"/>
        <v/>
      </c>
      <c r="U1105" s="150" t="str">
        <f t="shared" si="8"/>
        <v/>
      </c>
      <c r="V1105" s="151" t="str">
        <f>IFERROR(VLOOKUP(C1105,Ativos!$A$1:$G2000,5,),)</f>
        <v/>
      </c>
    </row>
    <row r="1106" ht="21.0" customHeight="1">
      <c r="A1106" s="152"/>
      <c r="B1106" s="160"/>
      <c r="C1106" s="153"/>
      <c r="D1106" s="154"/>
      <c r="E1106" s="139"/>
      <c r="F1106" s="139"/>
      <c r="G1106" s="139"/>
      <c r="H1106" s="135"/>
      <c r="I1106" s="141"/>
      <c r="J1106" s="147" t="str">
        <f>IFERROR(__xludf.DUMMYFUNCTION("IF(ISBLANK(A1106),IFERROR(1/0),IF(COUNT(FILTER(F:F,A:A=A1106))&gt;1,TRUNC(N1106*F1106/SUM(FILTER(N:N,A:A=A1106)),3),F1106))"),"")</f>
        <v/>
      </c>
      <c r="K1106" s="147" t="str">
        <f>IFERROR(__xludf.DUMMYFUNCTION("IF(ISBLANK(A1106),IFERROR(1/0),IF(COUNT(FILTER(G:G,((A:A=A1106)*(B:B=""V""))))&gt;1,TRUNC(N1106*G1106/SUM(FILTER(N:N,((A:A=A1106)*(B:B=""V"")))),3),G1106))"),"")</f>
        <v/>
      </c>
      <c r="L1106" s="148" t="str">
        <f>IFERROR(__xludf.DUMMYFUNCTION("if($C1106="""","""",iferror(if(row()&lt;&gt;2,INDEX(arrayformula(filter($M$2:$M1105,$C$2:$C1105&lt;&gt;"""",row($C$2:$C1105)=max(if($C$2:$C1105=C1106,row($C$2:$C1105),0)))) ,1),0),0))"),"")</f>
        <v/>
      </c>
      <c r="M1106" s="148" t="str">
        <f t="shared" si="1"/>
        <v/>
      </c>
      <c r="N1106" s="147" t="str">
        <f t="shared" si="2"/>
        <v/>
      </c>
      <c r="O1106" s="147" t="str">
        <f t="shared" si="21"/>
        <v/>
      </c>
      <c r="P1106" s="147" t="str">
        <f>IFERROR(__xludf.DUMMYFUNCTION("if(C1106="""","""",iferror(if(row()&lt;&gt;2,INDEX(arrayformula(filter($Q$2:$Q1105,$C$2:$C1105&lt;&gt;"""",row($C$2:$C1105)=max(if($C$2:$C1105=C1106,row($C$2:$C1105),0)))) ,1),0),0))"),"")</f>
        <v/>
      </c>
      <c r="Q1106" s="147" t="str">
        <f t="shared" si="22"/>
        <v/>
      </c>
      <c r="R1106" s="147" t="str">
        <f t="shared" si="23"/>
        <v/>
      </c>
      <c r="S1106" s="147" t="str">
        <f t="shared" si="24"/>
        <v/>
      </c>
      <c r="T1106" s="147" t="str">
        <f t="shared" si="7"/>
        <v/>
      </c>
      <c r="U1106" s="150" t="str">
        <f t="shared" si="8"/>
        <v/>
      </c>
      <c r="V1106" s="151" t="str">
        <f>IFERROR(VLOOKUP(C1106,Ativos!$A$1:$G2000,5,),)</f>
        <v/>
      </c>
    </row>
    <row r="1107" ht="21.0" customHeight="1">
      <c r="A1107" s="152"/>
      <c r="B1107" s="160"/>
      <c r="C1107" s="153"/>
      <c r="D1107" s="154"/>
      <c r="E1107" s="139"/>
      <c r="F1107" s="139"/>
      <c r="G1107" s="139"/>
      <c r="H1107" s="135"/>
      <c r="I1107" s="141"/>
      <c r="J1107" s="147" t="str">
        <f>IFERROR(__xludf.DUMMYFUNCTION("IF(ISBLANK(A1107),IFERROR(1/0),IF(COUNT(FILTER(F:F,A:A=A1107))&gt;1,TRUNC(N1107*F1107/SUM(FILTER(N:N,A:A=A1107)),3),F1107))"),"")</f>
        <v/>
      </c>
      <c r="K1107" s="147" t="str">
        <f>IFERROR(__xludf.DUMMYFUNCTION("IF(ISBLANK(A1107),IFERROR(1/0),IF(COUNT(FILTER(G:G,((A:A=A1107)*(B:B=""V""))))&gt;1,TRUNC(N1107*G1107/SUM(FILTER(N:N,((A:A=A1107)*(B:B=""V"")))),3),G1107))"),"")</f>
        <v/>
      </c>
      <c r="L1107" s="148" t="str">
        <f>IFERROR(__xludf.DUMMYFUNCTION("if($C1107="""","""",iferror(if(row()&lt;&gt;2,INDEX(arrayformula(filter($M$2:$M1106,$C$2:$C1106&lt;&gt;"""",row($C$2:$C1106)=max(if($C$2:$C1106=C1107,row($C$2:$C1106),0)))) ,1),0),0))"),"")</f>
        <v/>
      </c>
      <c r="M1107" s="148" t="str">
        <f t="shared" si="1"/>
        <v/>
      </c>
      <c r="N1107" s="147" t="str">
        <f t="shared" si="2"/>
        <v/>
      </c>
      <c r="O1107" s="147" t="str">
        <f t="shared" si="21"/>
        <v/>
      </c>
      <c r="P1107" s="147" t="str">
        <f>IFERROR(__xludf.DUMMYFUNCTION("if(C1107="""","""",iferror(if(row()&lt;&gt;2,INDEX(arrayformula(filter($Q$2:$Q1106,$C$2:$C1106&lt;&gt;"""",row($C$2:$C1106)=max(if($C$2:$C1106=C1107,row($C$2:$C1106),0)))) ,1),0),0))"),"")</f>
        <v/>
      </c>
      <c r="Q1107" s="147" t="str">
        <f t="shared" si="22"/>
        <v/>
      </c>
      <c r="R1107" s="147" t="str">
        <f t="shared" si="23"/>
        <v/>
      </c>
      <c r="S1107" s="147" t="str">
        <f t="shared" si="24"/>
        <v/>
      </c>
      <c r="T1107" s="147" t="str">
        <f t="shared" si="7"/>
        <v/>
      </c>
      <c r="U1107" s="150" t="str">
        <f t="shared" si="8"/>
        <v/>
      </c>
      <c r="V1107" s="151" t="str">
        <f>IFERROR(VLOOKUP(C1107,Ativos!$A$1:$G2000,5,),)</f>
        <v/>
      </c>
    </row>
    <row r="1108" ht="21.0" customHeight="1">
      <c r="A1108" s="152"/>
      <c r="B1108" s="160"/>
      <c r="C1108" s="153"/>
      <c r="D1108" s="154"/>
      <c r="E1108" s="139"/>
      <c r="F1108" s="139"/>
      <c r="G1108" s="139"/>
      <c r="H1108" s="135"/>
      <c r="I1108" s="141"/>
      <c r="J1108" s="147" t="str">
        <f>IFERROR(__xludf.DUMMYFUNCTION("IF(ISBLANK(A1108),IFERROR(1/0),IF(COUNT(FILTER(F:F,A:A=A1108))&gt;1,TRUNC(N1108*F1108/SUM(FILTER(N:N,A:A=A1108)),3),F1108))"),"")</f>
        <v/>
      </c>
      <c r="K1108" s="147" t="str">
        <f>IFERROR(__xludf.DUMMYFUNCTION("IF(ISBLANK(A1108),IFERROR(1/0),IF(COUNT(FILTER(G:G,((A:A=A1108)*(B:B=""V""))))&gt;1,TRUNC(N1108*G1108/SUM(FILTER(N:N,((A:A=A1108)*(B:B=""V"")))),3),G1108))"),"")</f>
        <v/>
      </c>
      <c r="L1108" s="148" t="str">
        <f>IFERROR(__xludf.DUMMYFUNCTION("if($C1108="""","""",iferror(if(row()&lt;&gt;2,INDEX(arrayformula(filter($M$2:$M1107,$C$2:$C1107&lt;&gt;"""",row($C$2:$C1107)=max(if($C$2:$C1107=C1108,row($C$2:$C1107),0)))) ,1),0),0))"),"")</f>
        <v/>
      </c>
      <c r="M1108" s="148" t="str">
        <f t="shared" si="1"/>
        <v/>
      </c>
      <c r="N1108" s="147" t="str">
        <f t="shared" si="2"/>
        <v/>
      </c>
      <c r="O1108" s="147" t="str">
        <f t="shared" si="21"/>
        <v/>
      </c>
      <c r="P1108" s="147" t="str">
        <f>IFERROR(__xludf.DUMMYFUNCTION("if(C1108="""","""",iferror(if(row()&lt;&gt;2,INDEX(arrayformula(filter($Q$2:$Q1107,$C$2:$C1107&lt;&gt;"""",row($C$2:$C1107)=max(if($C$2:$C1107=C1108,row($C$2:$C1107),0)))) ,1),0),0))"),"")</f>
        <v/>
      </c>
      <c r="Q1108" s="147" t="str">
        <f t="shared" si="22"/>
        <v/>
      </c>
      <c r="R1108" s="147" t="str">
        <f t="shared" si="23"/>
        <v/>
      </c>
      <c r="S1108" s="147" t="str">
        <f t="shared" si="24"/>
        <v/>
      </c>
      <c r="T1108" s="147" t="str">
        <f t="shared" si="7"/>
        <v/>
      </c>
      <c r="U1108" s="150" t="str">
        <f t="shared" si="8"/>
        <v/>
      </c>
      <c r="V1108" s="151" t="str">
        <f>IFERROR(VLOOKUP(C1108,Ativos!$A$1:$G2000,5,),)</f>
        <v/>
      </c>
    </row>
    <row r="1109" ht="21.0" customHeight="1">
      <c r="A1109" s="152"/>
      <c r="B1109" s="160"/>
      <c r="C1109" s="153"/>
      <c r="D1109" s="154"/>
      <c r="E1109" s="139"/>
      <c r="F1109" s="139"/>
      <c r="G1109" s="139"/>
      <c r="H1109" s="135"/>
      <c r="I1109" s="141"/>
      <c r="J1109" s="147" t="str">
        <f>IFERROR(__xludf.DUMMYFUNCTION("IF(ISBLANK(A1109),IFERROR(1/0),IF(COUNT(FILTER(F:F,A:A=A1109))&gt;1,TRUNC(N1109*F1109/SUM(FILTER(N:N,A:A=A1109)),3),F1109))"),"")</f>
        <v/>
      </c>
      <c r="K1109" s="147" t="str">
        <f>IFERROR(__xludf.DUMMYFUNCTION("IF(ISBLANK(A1109),IFERROR(1/0),IF(COUNT(FILTER(G:G,((A:A=A1109)*(B:B=""V""))))&gt;1,TRUNC(N1109*G1109/SUM(FILTER(N:N,((A:A=A1109)*(B:B=""V"")))),3),G1109))"),"")</f>
        <v/>
      </c>
      <c r="L1109" s="148" t="str">
        <f>IFERROR(__xludf.DUMMYFUNCTION("if($C1109="""","""",iferror(if(row()&lt;&gt;2,INDEX(arrayformula(filter($M$2:$M1108,$C$2:$C1108&lt;&gt;"""",row($C$2:$C1108)=max(if($C$2:$C1108=C1109,row($C$2:$C1108),0)))) ,1),0),0))"),"")</f>
        <v/>
      </c>
      <c r="M1109" s="148" t="str">
        <f t="shared" si="1"/>
        <v/>
      </c>
      <c r="N1109" s="147" t="str">
        <f t="shared" si="2"/>
        <v/>
      </c>
      <c r="O1109" s="147" t="str">
        <f t="shared" si="21"/>
        <v/>
      </c>
      <c r="P1109" s="147" t="str">
        <f>IFERROR(__xludf.DUMMYFUNCTION("if(C1109="""","""",iferror(if(row()&lt;&gt;2,INDEX(arrayformula(filter($Q$2:$Q1108,$C$2:$C1108&lt;&gt;"""",row($C$2:$C1108)=max(if($C$2:$C1108=C1109,row($C$2:$C1108),0)))) ,1),0),0))"),"")</f>
        <v/>
      </c>
      <c r="Q1109" s="147" t="str">
        <f t="shared" si="22"/>
        <v/>
      </c>
      <c r="R1109" s="147" t="str">
        <f t="shared" si="23"/>
        <v/>
      </c>
      <c r="S1109" s="147" t="str">
        <f t="shared" si="24"/>
        <v/>
      </c>
      <c r="T1109" s="147" t="str">
        <f t="shared" si="7"/>
        <v/>
      </c>
      <c r="U1109" s="150" t="str">
        <f t="shared" si="8"/>
        <v/>
      </c>
      <c r="V1109" s="151" t="str">
        <f>IFERROR(VLOOKUP(C1109,Ativos!$A$1:$G2000,5,),)</f>
        <v/>
      </c>
    </row>
    <row r="1110" ht="21.0" customHeight="1">
      <c r="A1110" s="152"/>
      <c r="B1110" s="160"/>
      <c r="C1110" s="153"/>
      <c r="D1110" s="154"/>
      <c r="E1110" s="139"/>
      <c r="F1110" s="139"/>
      <c r="G1110" s="139"/>
      <c r="H1110" s="135"/>
      <c r="I1110" s="141"/>
      <c r="J1110" s="147" t="str">
        <f>IFERROR(__xludf.DUMMYFUNCTION("IF(ISBLANK(A1110),IFERROR(1/0),IF(COUNT(FILTER(F:F,A:A=A1110))&gt;1,TRUNC(N1110*F1110/SUM(FILTER(N:N,A:A=A1110)),3),F1110))"),"")</f>
        <v/>
      </c>
      <c r="K1110" s="147" t="str">
        <f>IFERROR(__xludf.DUMMYFUNCTION("IF(ISBLANK(A1110),IFERROR(1/0),IF(COUNT(FILTER(G:G,((A:A=A1110)*(B:B=""V""))))&gt;1,TRUNC(N1110*G1110/SUM(FILTER(N:N,((A:A=A1110)*(B:B=""V"")))),3),G1110))"),"")</f>
        <v/>
      </c>
      <c r="L1110" s="148" t="str">
        <f>IFERROR(__xludf.DUMMYFUNCTION("if($C1110="""","""",iferror(if(row()&lt;&gt;2,INDEX(arrayformula(filter($M$2:$M1109,$C$2:$C1109&lt;&gt;"""",row($C$2:$C1109)=max(if($C$2:$C1109=C1110,row($C$2:$C1109),0)))) ,1),0),0))"),"")</f>
        <v/>
      </c>
      <c r="M1110" s="148" t="str">
        <f t="shared" si="1"/>
        <v/>
      </c>
      <c r="N1110" s="147" t="str">
        <f t="shared" si="2"/>
        <v/>
      </c>
      <c r="O1110" s="147" t="str">
        <f t="shared" si="21"/>
        <v/>
      </c>
      <c r="P1110" s="147" t="str">
        <f>IFERROR(__xludf.DUMMYFUNCTION("if(C1110="""","""",iferror(if(row()&lt;&gt;2,INDEX(arrayformula(filter($Q$2:$Q1109,$C$2:$C1109&lt;&gt;"""",row($C$2:$C1109)=max(if($C$2:$C1109=C1110,row($C$2:$C1109),0)))) ,1),0),0))"),"")</f>
        <v/>
      </c>
      <c r="Q1110" s="147" t="str">
        <f t="shared" si="22"/>
        <v/>
      </c>
      <c r="R1110" s="147" t="str">
        <f t="shared" si="23"/>
        <v/>
      </c>
      <c r="S1110" s="147" t="str">
        <f t="shared" si="24"/>
        <v/>
      </c>
      <c r="T1110" s="147" t="str">
        <f t="shared" si="7"/>
        <v/>
      </c>
      <c r="U1110" s="150" t="str">
        <f t="shared" si="8"/>
        <v/>
      </c>
      <c r="V1110" s="151" t="str">
        <f>IFERROR(VLOOKUP(C1110,Ativos!$A$1:$G2000,5,),)</f>
        <v/>
      </c>
    </row>
    <row r="1111" ht="21.0" customHeight="1">
      <c r="A1111" s="152"/>
      <c r="B1111" s="160"/>
      <c r="C1111" s="153"/>
      <c r="D1111" s="154"/>
      <c r="E1111" s="139"/>
      <c r="F1111" s="139"/>
      <c r="G1111" s="139"/>
      <c r="H1111" s="135"/>
      <c r="I1111" s="141"/>
      <c r="J1111" s="147" t="str">
        <f>IFERROR(__xludf.DUMMYFUNCTION("IF(ISBLANK(A1111),IFERROR(1/0),IF(COUNT(FILTER(F:F,A:A=A1111))&gt;1,TRUNC(N1111*F1111/SUM(FILTER(N:N,A:A=A1111)),3),F1111))"),"")</f>
        <v/>
      </c>
      <c r="K1111" s="147" t="str">
        <f>IFERROR(__xludf.DUMMYFUNCTION("IF(ISBLANK(A1111),IFERROR(1/0),IF(COUNT(FILTER(G:G,((A:A=A1111)*(B:B=""V""))))&gt;1,TRUNC(N1111*G1111/SUM(FILTER(N:N,((A:A=A1111)*(B:B=""V"")))),3),G1111))"),"")</f>
        <v/>
      </c>
      <c r="L1111" s="148" t="str">
        <f>IFERROR(__xludf.DUMMYFUNCTION("if($C1111="""","""",iferror(if(row()&lt;&gt;2,INDEX(arrayformula(filter($M$2:$M1110,$C$2:$C1110&lt;&gt;"""",row($C$2:$C1110)=max(if($C$2:$C1110=C1111,row($C$2:$C1110),0)))) ,1),0),0))"),"")</f>
        <v/>
      </c>
      <c r="M1111" s="148" t="str">
        <f t="shared" si="1"/>
        <v/>
      </c>
      <c r="N1111" s="147" t="str">
        <f t="shared" si="2"/>
        <v/>
      </c>
      <c r="O1111" s="147" t="str">
        <f t="shared" si="21"/>
        <v/>
      </c>
      <c r="P1111" s="147" t="str">
        <f>IFERROR(__xludf.DUMMYFUNCTION("if(C1111="""","""",iferror(if(row()&lt;&gt;2,INDEX(arrayformula(filter($Q$2:$Q1110,$C$2:$C1110&lt;&gt;"""",row($C$2:$C1110)=max(if($C$2:$C1110=C1111,row($C$2:$C1110),0)))) ,1),0),0))"),"")</f>
        <v/>
      </c>
      <c r="Q1111" s="147" t="str">
        <f t="shared" si="22"/>
        <v/>
      </c>
      <c r="R1111" s="147" t="str">
        <f t="shared" si="23"/>
        <v/>
      </c>
      <c r="S1111" s="147" t="str">
        <f t="shared" si="24"/>
        <v/>
      </c>
      <c r="T1111" s="147" t="str">
        <f t="shared" si="7"/>
        <v/>
      </c>
      <c r="U1111" s="150" t="str">
        <f t="shared" si="8"/>
        <v/>
      </c>
      <c r="V1111" s="151" t="str">
        <f>IFERROR(VLOOKUP(C1111,Ativos!$A$1:$G2000,5,),)</f>
        <v/>
      </c>
    </row>
    <row r="1112" ht="21.0" customHeight="1">
      <c r="A1112" s="152"/>
      <c r="B1112" s="160"/>
      <c r="C1112" s="153"/>
      <c r="D1112" s="154"/>
      <c r="E1112" s="139"/>
      <c r="F1112" s="139"/>
      <c r="G1112" s="139"/>
      <c r="H1112" s="135"/>
      <c r="I1112" s="141"/>
      <c r="J1112" s="147" t="str">
        <f>IFERROR(__xludf.DUMMYFUNCTION("IF(ISBLANK(A1112),IFERROR(1/0),IF(COUNT(FILTER(F:F,A:A=A1112))&gt;1,TRUNC(N1112*F1112/SUM(FILTER(N:N,A:A=A1112)),3),F1112))"),"")</f>
        <v/>
      </c>
      <c r="K1112" s="147" t="str">
        <f>IFERROR(__xludf.DUMMYFUNCTION("IF(ISBLANK(A1112),IFERROR(1/0),IF(COUNT(FILTER(G:G,((A:A=A1112)*(B:B=""V""))))&gt;1,TRUNC(N1112*G1112/SUM(FILTER(N:N,((A:A=A1112)*(B:B=""V"")))),3),G1112))"),"")</f>
        <v/>
      </c>
      <c r="L1112" s="148" t="str">
        <f>IFERROR(__xludf.DUMMYFUNCTION("if($C1112="""","""",iferror(if(row()&lt;&gt;2,INDEX(arrayformula(filter($M$2:$M1111,$C$2:$C1111&lt;&gt;"""",row($C$2:$C1111)=max(if($C$2:$C1111=C1112,row($C$2:$C1111),0)))) ,1),0),0))"),"")</f>
        <v/>
      </c>
      <c r="M1112" s="148" t="str">
        <f t="shared" si="1"/>
        <v/>
      </c>
      <c r="N1112" s="147" t="str">
        <f t="shared" si="2"/>
        <v/>
      </c>
      <c r="O1112" s="147" t="str">
        <f t="shared" si="21"/>
        <v/>
      </c>
      <c r="P1112" s="147" t="str">
        <f>IFERROR(__xludf.DUMMYFUNCTION("if(C1112="""","""",iferror(if(row()&lt;&gt;2,INDEX(arrayformula(filter($Q$2:$Q1111,$C$2:$C1111&lt;&gt;"""",row($C$2:$C1111)=max(if($C$2:$C1111=C1112,row($C$2:$C1111),0)))) ,1),0),0))"),"")</f>
        <v/>
      </c>
      <c r="Q1112" s="147" t="str">
        <f t="shared" si="22"/>
        <v/>
      </c>
      <c r="R1112" s="147" t="str">
        <f t="shared" si="23"/>
        <v/>
      </c>
      <c r="S1112" s="147" t="str">
        <f t="shared" si="24"/>
        <v/>
      </c>
      <c r="T1112" s="147" t="str">
        <f t="shared" si="7"/>
        <v/>
      </c>
      <c r="U1112" s="150" t="str">
        <f t="shared" si="8"/>
        <v/>
      </c>
      <c r="V1112" s="151" t="str">
        <f>IFERROR(VLOOKUP(C1112,Ativos!$A$1:$G2000,5,),)</f>
        <v/>
      </c>
    </row>
    <row r="1113" ht="21.0" customHeight="1">
      <c r="A1113" s="152"/>
      <c r="B1113" s="160"/>
      <c r="C1113" s="153"/>
      <c r="D1113" s="154"/>
      <c r="E1113" s="139"/>
      <c r="F1113" s="139"/>
      <c r="G1113" s="139"/>
      <c r="H1113" s="135"/>
      <c r="I1113" s="141"/>
      <c r="J1113" s="147" t="str">
        <f>IFERROR(__xludf.DUMMYFUNCTION("IF(ISBLANK(A1113),IFERROR(1/0),IF(COUNT(FILTER(F:F,A:A=A1113))&gt;1,TRUNC(N1113*F1113/SUM(FILTER(N:N,A:A=A1113)),3),F1113))"),"")</f>
        <v/>
      </c>
      <c r="K1113" s="147" t="str">
        <f>IFERROR(__xludf.DUMMYFUNCTION("IF(ISBLANK(A1113),IFERROR(1/0),IF(COUNT(FILTER(G:G,((A:A=A1113)*(B:B=""V""))))&gt;1,TRUNC(N1113*G1113/SUM(FILTER(N:N,((A:A=A1113)*(B:B=""V"")))),3),G1113))"),"")</f>
        <v/>
      </c>
      <c r="L1113" s="148" t="str">
        <f>IFERROR(__xludf.DUMMYFUNCTION("if($C1113="""","""",iferror(if(row()&lt;&gt;2,INDEX(arrayformula(filter($M$2:$M1112,$C$2:$C1112&lt;&gt;"""",row($C$2:$C1112)=max(if($C$2:$C1112=C1113,row($C$2:$C1112),0)))) ,1),0),0))"),"")</f>
        <v/>
      </c>
      <c r="M1113" s="148" t="str">
        <f t="shared" si="1"/>
        <v/>
      </c>
      <c r="N1113" s="147" t="str">
        <f t="shared" si="2"/>
        <v/>
      </c>
      <c r="O1113" s="147" t="str">
        <f t="shared" si="21"/>
        <v/>
      </c>
      <c r="P1113" s="147" t="str">
        <f>IFERROR(__xludf.DUMMYFUNCTION("if(C1113="""","""",iferror(if(row()&lt;&gt;2,INDEX(arrayformula(filter($Q$2:$Q1112,$C$2:$C1112&lt;&gt;"""",row($C$2:$C1112)=max(if($C$2:$C1112=C1113,row($C$2:$C1112),0)))) ,1),0),0))"),"")</f>
        <v/>
      </c>
      <c r="Q1113" s="147" t="str">
        <f t="shared" si="22"/>
        <v/>
      </c>
      <c r="R1113" s="147" t="str">
        <f t="shared" si="23"/>
        <v/>
      </c>
      <c r="S1113" s="147" t="str">
        <f t="shared" si="24"/>
        <v/>
      </c>
      <c r="T1113" s="147" t="str">
        <f t="shared" si="7"/>
        <v/>
      </c>
      <c r="U1113" s="150" t="str">
        <f t="shared" si="8"/>
        <v/>
      </c>
      <c r="V1113" s="151" t="str">
        <f>IFERROR(VLOOKUP(C1113,Ativos!$A$1:$G2000,5,),)</f>
        <v/>
      </c>
    </row>
    <row r="1114" ht="21.0" customHeight="1">
      <c r="A1114" s="152"/>
      <c r="B1114" s="160"/>
      <c r="C1114" s="153"/>
      <c r="D1114" s="154"/>
      <c r="E1114" s="139"/>
      <c r="F1114" s="139"/>
      <c r="G1114" s="139"/>
      <c r="H1114" s="135"/>
      <c r="I1114" s="141"/>
      <c r="J1114" s="147" t="str">
        <f>IFERROR(__xludf.DUMMYFUNCTION("IF(ISBLANK(A1114),IFERROR(1/0),IF(COUNT(FILTER(F:F,A:A=A1114))&gt;1,TRUNC(N1114*F1114/SUM(FILTER(N:N,A:A=A1114)),3),F1114))"),"")</f>
        <v/>
      </c>
      <c r="K1114" s="147" t="str">
        <f>IFERROR(__xludf.DUMMYFUNCTION("IF(ISBLANK(A1114),IFERROR(1/0),IF(COUNT(FILTER(G:G,((A:A=A1114)*(B:B=""V""))))&gt;1,TRUNC(N1114*G1114/SUM(FILTER(N:N,((A:A=A1114)*(B:B=""V"")))),3),G1114))"),"")</f>
        <v/>
      </c>
      <c r="L1114" s="148" t="str">
        <f>IFERROR(__xludf.DUMMYFUNCTION("if($C1114="""","""",iferror(if(row()&lt;&gt;2,INDEX(arrayformula(filter($M$2:$M1113,$C$2:$C1113&lt;&gt;"""",row($C$2:$C1113)=max(if($C$2:$C1113=C1114,row($C$2:$C1113),0)))) ,1),0),0))"),"")</f>
        <v/>
      </c>
      <c r="M1114" s="148" t="str">
        <f t="shared" si="1"/>
        <v/>
      </c>
      <c r="N1114" s="147" t="str">
        <f t="shared" si="2"/>
        <v/>
      </c>
      <c r="O1114" s="147" t="str">
        <f t="shared" si="21"/>
        <v/>
      </c>
      <c r="P1114" s="147" t="str">
        <f>IFERROR(__xludf.DUMMYFUNCTION("if(C1114="""","""",iferror(if(row()&lt;&gt;2,INDEX(arrayformula(filter($Q$2:$Q1113,$C$2:$C1113&lt;&gt;"""",row($C$2:$C1113)=max(if($C$2:$C1113=C1114,row($C$2:$C1113),0)))) ,1),0),0))"),"")</f>
        <v/>
      </c>
      <c r="Q1114" s="147" t="str">
        <f t="shared" si="22"/>
        <v/>
      </c>
      <c r="R1114" s="147" t="str">
        <f t="shared" si="23"/>
        <v/>
      </c>
      <c r="S1114" s="147" t="str">
        <f t="shared" si="24"/>
        <v/>
      </c>
      <c r="T1114" s="147" t="str">
        <f t="shared" si="7"/>
        <v/>
      </c>
      <c r="U1114" s="150" t="str">
        <f t="shared" si="8"/>
        <v/>
      </c>
      <c r="V1114" s="151" t="str">
        <f>IFERROR(VLOOKUP(C1114,Ativos!$A$1:$G2000,5,),)</f>
        <v/>
      </c>
    </row>
    <row r="1115" ht="21.0" customHeight="1">
      <c r="A1115" s="152"/>
      <c r="B1115" s="160"/>
      <c r="C1115" s="153"/>
      <c r="D1115" s="154"/>
      <c r="E1115" s="139"/>
      <c r="F1115" s="139"/>
      <c r="G1115" s="139"/>
      <c r="H1115" s="135"/>
      <c r="I1115" s="141"/>
      <c r="J1115" s="147" t="str">
        <f>IFERROR(__xludf.DUMMYFUNCTION("IF(ISBLANK(A1115),IFERROR(1/0),IF(COUNT(FILTER(F:F,A:A=A1115))&gt;1,TRUNC(N1115*F1115/SUM(FILTER(N:N,A:A=A1115)),3),F1115))"),"")</f>
        <v/>
      </c>
      <c r="K1115" s="147" t="str">
        <f>IFERROR(__xludf.DUMMYFUNCTION("IF(ISBLANK(A1115),IFERROR(1/0),IF(COUNT(FILTER(G:G,((A:A=A1115)*(B:B=""V""))))&gt;1,TRUNC(N1115*G1115/SUM(FILTER(N:N,((A:A=A1115)*(B:B=""V"")))),3),G1115))"),"")</f>
        <v/>
      </c>
      <c r="L1115" s="148" t="str">
        <f>IFERROR(__xludf.DUMMYFUNCTION("if($C1115="""","""",iferror(if(row()&lt;&gt;2,INDEX(arrayformula(filter($M$2:$M1114,$C$2:$C1114&lt;&gt;"""",row($C$2:$C1114)=max(if($C$2:$C1114=C1115,row($C$2:$C1114),0)))) ,1),0),0))"),"")</f>
        <v/>
      </c>
      <c r="M1115" s="148" t="str">
        <f t="shared" si="1"/>
        <v/>
      </c>
      <c r="N1115" s="147" t="str">
        <f t="shared" si="2"/>
        <v/>
      </c>
      <c r="O1115" s="147" t="str">
        <f t="shared" si="21"/>
        <v/>
      </c>
      <c r="P1115" s="147" t="str">
        <f>IFERROR(__xludf.DUMMYFUNCTION("if(C1115="""","""",iferror(if(row()&lt;&gt;2,INDEX(arrayformula(filter($Q$2:$Q1114,$C$2:$C1114&lt;&gt;"""",row($C$2:$C1114)=max(if($C$2:$C1114=C1115,row($C$2:$C1114),0)))) ,1),0),0))"),"")</f>
        <v/>
      </c>
      <c r="Q1115" s="147" t="str">
        <f t="shared" si="22"/>
        <v/>
      </c>
      <c r="R1115" s="147" t="str">
        <f t="shared" si="23"/>
        <v/>
      </c>
      <c r="S1115" s="147" t="str">
        <f t="shared" si="24"/>
        <v/>
      </c>
      <c r="T1115" s="147" t="str">
        <f t="shared" si="7"/>
        <v/>
      </c>
      <c r="U1115" s="150" t="str">
        <f t="shared" si="8"/>
        <v/>
      </c>
      <c r="V1115" s="151" t="str">
        <f>IFERROR(VLOOKUP(C1115,Ativos!$A$1:$G2000,5,),)</f>
        <v/>
      </c>
    </row>
    <row r="1116" ht="21.0" customHeight="1">
      <c r="A1116" s="152"/>
      <c r="B1116" s="160"/>
      <c r="C1116" s="153"/>
      <c r="D1116" s="154"/>
      <c r="E1116" s="139"/>
      <c r="F1116" s="139"/>
      <c r="G1116" s="139"/>
      <c r="H1116" s="135"/>
      <c r="I1116" s="141"/>
      <c r="J1116" s="147" t="str">
        <f>IFERROR(__xludf.DUMMYFUNCTION("IF(ISBLANK(A1116),IFERROR(1/0),IF(COUNT(FILTER(F:F,A:A=A1116))&gt;1,TRUNC(N1116*F1116/SUM(FILTER(N:N,A:A=A1116)),3),F1116))"),"")</f>
        <v/>
      </c>
      <c r="K1116" s="147" t="str">
        <f>IFERROR(__xludf.DUMMYFUNCTION("IF(ISBLANK(A1116),IFERROR(1/0),IF(COUNT(FILTER(G:G,((A:A=A1116)*(B:B=""V""))))&gt;1,TRUNC(N1116*G1116/SUM(FILTER(N:N,((A:A=A1116)*(B:B=""V"")))),3),G1116))"),"")</f>
        <v/>
      </c>
      <c r="L1116" s="148" t="str">
        <f>IFERROR(__xludf.DUMMYFUNCTION("if($C1116="""","""",iferror(if(row()&lt;&gt;2,INDEX(arrayformula(filter($M$2:$M1115,$C$2:$C1115&lt;&gt;"""",row($C$2:$C1115)=max(if($C$2:$C1115=C1116,row($C$2:$C1115),0)))) ,1),0),0))"),"")</f>
        <v/>
      </c>
      <c r="M1116" s="148" t="str">
        <f t="shared" si="1"/>
        <v/>
      </c>
      <c r="N1116" s="147" t="str">
        <f t="shared" si="2"/>
        <v/>
      </c>
      <c r="O1116" s="147" t="str">
        <f t="shared" si="21"/>
        <v/>
      </c>
      <c r="P1116" s="147" t="str">
        <f>IFERROR(__xludf.DUMMYFUNCTION("if(C1116="""","""",iferror(if(row()&lt;&gt;2,INDEX(arrayformula(filter($Q$2:$Q1115,$C$2:$C1115&lt;&gt;"""",row($C$2:$C1115)=max(if($C$2:$C1115=C1116,row($C$2:$C1115),0)))) ,1),0),0))"),"")</f>
        <v/>
      </c>
      <c r="Q1116" s="147" t="str">
        <f t="shared" si="22"/>
        <v/>
      </c>
      <c r="R1116" s="147" t="str">
        <f t="shared" si="23"/>
        <v/>
      </c>
      <c r="S1116" s="147" t="str">
        <f t="shared" si="24"/>
        <v/>
      </c>
      <c r="T1116" s="147" t="str">
        <f t="shared" si="7"/>
        <v/>
      </c>
      <c r="U1116" s="150" t="str">
        <f t="shared" si="8"/>
        <v/>
      </c>
      <c r="V1116" s="151" t="str">
        <f>IFERROR(VLOOKUP(C1116,Ativos!$A$1:$G2000,5,),)</f>
        <v/>
      </c>
    </row>
    <row r="1117" ht="21.0" customHeight="1">
      <c r="A1117" s="152"/>
      <c r="B1117" s="160"/>
      <c r="C1117" s="153"/>
      <c r="D1117" s="154"/>
      <c r="E1117" s="139"/>
      <c r="F1117" s="139"/>
      <c r="G1117" s="139"/>
      <c r="H1117" s="135"/>
      <c r="I1117" s="141"/>
      <c r="J1117" s="147" t="str">
        <f>IFERROR(__xludf.DUMMYFUNCTION("IF(ISBLANK(A1117),IFERROR(1/0),IF(COUNT(FILTER(F:F,A:A=A1117))&gt;1,TRUNC(N1117*F1117/SUM(FILTER(N:N,A:A=A1117)),3),F1117))"),"")</f>
        <v/>
      </c>
      <c r="K1117" s="147" t="str">
        <f>IFERROR(__xludf.DUMMYFUNCTION("IF(ISBLANK(A1117),IFERROR(1/0),IF(COUNT(FILTER(G:G,((A:A=A1117)*(B:B=""V""))))&gt;1,TRUNC(N1117*G1117/SUM(FILTER(N:N,((A:A=A1117)*(B:B=""V"")))),3),G1117))"),"")</f>
        <v/>
      </c>
      <c r="L1117" s="148" t="str">
        <f>IFERROR(__xludf.DUMMYFUNCTION("if($C1117="""","""",iferror(if(row()&lt;&gt;2,INDEX(arrayformula(filter($M$2:$M1116,$C$2:$C1116&lt;&gt;"""",row($C$2:$C1116)=max(if($C$2:$C1116=C1117,row($C$2:$C1116),0)))) ,1),0),0))"),"")</f>
        <v/>
      </c>
      <c r="M1117" s="148" t="str">
        <f t="shared" si="1"/>
        <v/>
      </c>
      <c r="N1117" s="147" t="str">
        <f t="shared" si="2"/>
        <v/>
      </c>
      <c r="O1117" s="147" t="str">
        <f t="shared" si="21"/>
        <v/>
      </c>
      <c r="P1117" s="147" t="str">
        <f>IFERROR(__xludf.DUMMYFUNCTION("if(C1117="""","""",iferror(if(row()&lt;&gt;2,INDEX(arrayformula(filter($Q$2:$Q1116,$C$2:$C1116&lt;&gt;"""",row($C$2:$C1116)=max(if($C$2:$C1116=C1117,row($C$2:$C1116),0)))) ,1),0),0))"),"")</f>
        <v/>
      </c>
      <c r="Q1117" s="147" t="str">
        <f t="shared" si="22"/>
        <v/>
      </c>
      <c r="R1117" s="147" t="str">
        <f t="shared" si="23"/>
        <v/>
      </c>
      <c r="S1117" s="147" t="str">
        <f t="shared" si="24"/>
        <v/>
      </c>
      <c r="T1117" s="147" t="str">
        <f t="shared" si="7"/>
        <v/>
      </c>
      <c r="U1117" s="150" t="str">
        <f t="shared" si="8"/>
        <v/>
      </c>
      <c r="V1117" s="151" t="str">
        <f>IFERROR(VLOOKUP(C1117,Ativos!$A$1:$G2000,5,),)</f>
        <v/>
      </c>
    </row>
    <row r="1118" ht="21.0" customHeight="1">
      <c r="A1118" s="152"/>
      <c r="B1118" s="160"/>
      <c r="C1118" s="153"/>
      <c r="D1118" s="154"/>
      <c r="E1118" s="139"/>
      <c r="F1118" s="139"/>
      <c r="G1118" s="139"/>
      <c r="H1118" s="135"/>
      <c r="I1118" s="141"/>
      <c r="J1118" s="147" t="str">
        <f>IFERROR(__xludf.DUMMYFUNCTION("IF(ISBLANK(A1118),IFERROR(1/0),IF(COUNT(FILTER(F:F,A:A=A1118))&gt;1,TRUNC(N1118*F1118/SUM(FILTER(N:N,A:A=A1118)),3),F1118))"),"")</f>
        <v/>
      </c>
      <c r="K1118" s="147" t="str">
        <f>IFERROR(__xludf.DUMMYFUNCTION("IF(ISBLANK(A1118),IFERROR(1/0),IF(COUNT(FILTER(G:G,((A:A=A1118)*(B:B=""V""))))&gt;1,TRUNC(N1118*G1118/SUM(FILTER(N:N,((A:A=A1118)*(B:B=""V"")))),3),G1118))"),"")</f>
        <v/>
      </c>
      <c r="L1118" s="148" t="str">
        <f>IFERROR(__xludf.DUMMYFUNCTION("if($C1118="""","""",iferror(if(row()&lt;&gt;2,INDEX(arrayformula(filter($M$2:$M1117,$C$2:$C1117&lt;&gt;"""",row($C$2:$C1117)=max(if($C$2:$C1117=C1118,row($C$2:$C1117),0)))) ,1),0),0))"),"")</f>
        <v/>
      </c>
      <c r="M1118" s="148" t="str">
        <f t="shared" si="1"/>
        <v/>
      </c>
      <c r="N1118" s="147" t="str">
        <f t="shared" si="2"/>
        <v/>
      </c>
      <c r="O1118" s="147" t="str">
        <f t="shared" si="21"/>
        <v/>
      </c>
      <c r="P1118" s="147" t="str">
        <f>IFERROR(__xludf.DUMMYFUNCTION("if(C1118="""","""",iferror(if(row()&lt;&gt;2,INDEX(arrayformula(filter($Q$2:$Q1117,$C$2:$C1117&lt;&gt;"""",row($C$2:$C1117)=max(if($C$2:$C1117=C1118,row($C$2:$C1117),0)))) ,1),0),0))"),"")</f>
        <v/>
      </c>
      <c r="Q1118" s="147" t="str">
        <f t="shared" si="22"/>
        <v/>
      </c>
      <c r="R1118" s="147" t="str">
        <f t="shared" si="23"/>
        <v/>
      </c>
      <c r="S1118" s="147" t="str">
        <f t="shared" si="24"/>
        <v/>
      </c>
      <c r="T1118" s="147" t="str">
        <f t="shared" si="7"/>
        <v/>
      </c>
      <c r="U1118" s="150" t="str">
        <f t="shared" si="8"/>
        <v/>
      </c>
      <c r="V1118" s="151" t="str">
        <f>IFERROR(VLOOKUP(C1118,Ativos!$A$1:$G2000,5,),)</f>
        <v/>
      </c>
    </row>
    <row r="1119" ht="21.0" customHeight="1">
      <c r="A1119" s="152"/>
      <c r="B1119" s="160"/>
      <c r="C1119" s="153"/>
      <c r="D1119" s="154"/>
      <c r="E1119" s="139"/>
      <c r="F1119" s="139"/>
      <c r="G1119" s="139"/>
      <c r="H1119" s="135"/>
      <c r="I1119" s="141"/>
      <c r="J1119" s="147" t="str">
        <f>IFERROR(__xludf.DUMMYFUNCTION("IF(ISBLANK(A1119),IFERROR(1/0),IF(COUNT(FILTER(F:F,A:A=A1119))&gt;1,TRUNC(N1119*F1119/SUM(FILTER(N:N,A:A=A1119)),3),F1119))"),"")</f>
        <v/>
      </c>
      <c r="K1119" s="147" t="str">
        <f>IFERROR(__xludf.DUMMYFUNCTION("IF(ISBLANK(A1119),IFERROR(1/0),IF(COUNT(FILTER(G:G,((A:A=A1119)*(B:B=""V""))))&gt;1,TRUNC(N1119*G1119/SUM(FILTER(N:N,((A:A=A1119)*(B:B=""V"")))),3),G1119))"),"")</f>
        <v/>
      </c>
      <c r="L1119" s="148" t="str">
        <f>IFERROR(__xludf.DUMMYFUNCTION("if($C1119="""","""",iferror(if(row()&lt;&gt;2,INDEX(arrayformula(filter($M$2:$M1118,$C$2:$C1118&lt;&gt;"""",row($C$2:$C1118)=max(if($C$2:$C1118=C1119,row($C$2:$C1118),0)))) ,1),0),0))"),"")</f>
        <v/>
      </c>
      <c r="M1119" s="148" t="str">
        <f t="shared" si="1"/>
        <v/>
      </c>
      <c r="N1119" s="147" t="str">
        <f t="shared" si="2"/>
        <v/>
      </c>
      <c r="O1119" s="147" t="str">
        <f t="shared" si="21"/>
        <v/>
      </c>
      <c r="P1119" s="147" t="str">
        <f>IFERROR(__xludf.DUMMYFUNCTION("if(C1119="""","""",iferror(if(row()&lt;&gt;2,INDEX(arrayformula(filter($Q$2:$Q1118,$C$2:$C1118&lt;&gt;"""",row($C$2:$C1118)=max(if($C$2:$C1118=C1119,row($C$2:$C1118),0)))) ,1),0),0))"),"")</f>
        <v/>
      </c>
      <c r="Q1119" s="147" t="str">
        <f t="shared" si="22"/>
        <v/>
      </c>
      <c r="R1119" s="147" t="str">
        <f t="shared" si="23"/>
        <v/>
      </c>
      <c r="S1119" s="147" t="str">
        <f t="shared" si="24"/>
        <v/>
      </c>
      <c r="T1119" s="147" t="str">
        <f t="shared" si="7"/>
        <v/>
      </c>
      <c r="U1119" s="150" t="str">
        <f t="shared" si="8"/>
        <v/>
      </c>
      <c r="V1119" s="151" t="str">
        <f>IFERROR(VLOOKUP(C1119,Ativos!$A$1:$G2000,5,),)</f>
        <v/>
      </c>
    </row>
    <row r="1120" ht="21.0" customHeight="1">
      <c r="A1120" s="152"/>
      <c r="B1120" s="160"/>
      <c r="C1120" s="153"/>
      <c r="D1120" s="154"/>
      <c r="E1120" s="139"/>
      <c r="F1120" s="139"/>
      <c r="G1120" s="139"/>
      <c r="H1120" s="135"/>
      <c r="I1120" s="141"/>
      <c r="J1120" s="147" t="str">
        <f>IFERROR(__xludf.DUMMYFUNCTION("IF(ISBLANK(A1120),IFERROR(1/0),IF(COUNT(FILTER(F:F,A:A=A1120))&gt;1,TRUNC(N1120*F1120/SUM(FILTER(N:N,A:A=A1120)),3),F1120))"),"")</f>
        <v/>
      </c>
      <c r="K1120" s="147" t="str">
        <f>IFERROR(__xludf.DUMMYFUNCTION("IF(ISBLANK(A1120),IFERROR(1/0),IF(COUNT(FILTER(G:G,((A:A=A1120)*(B:B=""V""))))&gt;1,TRUNC(N1120*G1120/SUM(FILTER(N:N,((A:A=A1120)*(B:B=""V"")))),3),G1120))"),"")</f>
        <v/>
      </c>
      <c r="L1120" s="148" t="str">
        <f>IFERROR(__xludf.DUMMYFUNCTION("if($C1120="""","""",iferror(if(row()&lt;&gt;2,INDEX(arrayformula(filter($M$2:$M1119,$C$2:$C1119&lt;&gt;"""",row($C$2:$C1119)=max(if($C$2:$C1119=C1120,row($C$2:$C1119),0)))) ,1),0),0))"),"")</f>
        <v/>
      </c>
      <c r="M1120" s="148" t="str">
        <f t="shared" si="1"/>
        <v/>
      </c>
      <c r="N1120" s="147" t="str">
        <f t="shared" si="2"/>
        <v/>
      </c>
      <c r="O1120" s="147" t="str">
        <f t="shared" si="21"/>
        <v/>
      </c>
      <c r="P1120" s="147" t="str">
        <f>IFERROR(__xludf.DUMMYFUNCTION("if(C1120="""","""",iferror(if(row()&lt;&gt;2,INDEX(arrayformula(filter($Q$2:$Q1119,$C$2:$C1119&lt;&gt;"""",row($C$2:$C1119)=max(if($C$2:$C1119=C1120,row($C$2:$C1119),0)))) ,1),0),0))"),"")</f>
        <v/>
      </c>
      <c r="Q1120" s="147" t="str">
        <f t="shared" si="22"/>
        <v/>
      </c>
      <c r="R1120" s="147" t="str">
        <f t="shared" si="23"/>
        <v/>
      </c>
      <c r="S1120" s="147" t="str">
        <f t="shared" si="24"/>
        <v/>
      </c>
      <c r="T1120" s="147" t="str">
        <f t="shared" si="7"/>
        <v/>
      </c>
      <c r="U1120" s="150" t="str">
        <f t="shared" si="8"/>
        <v/>
      </c>
      <c r="V1120" s="151" t="str">
        <f>IFERROR(VLOOKUP(C1120,Ativos!$A$1:$G2000,5,),)</f>
        <v/>
      </c>
    </row>
    <row r="1121" ht="21.0" customHeight="1">
      <c r="A1121" s="152"/>
      <c r="B1121" s="160"/>
      <c r="C1121" s="153"/>
      <c r="D1121" s="154"/>
      <c r="E1121" s="139"/>
      <c r="F1121" s="139"/>
      <c r="G1121" s="139"/>
      <c r="H1121" s="135"/>
      <c r="I1121" s="141"/>
      <c r="J1121" s="147" t="str">
        <f>IFERROR(__xludf.DUMMYFUNCTION("IF(ISBLANK(A1121),IFERROR(1/0),IF(COUNT(FILTER(F:F,A:A=A1121))&gt;1,TRUNC(N1121*F1121/SUM(FILTER(N:N,A:A=A1121)),3),F1121))"),"")</f>
        <v/>
      </c>
      <c r="K1121" s="147" t="str">
        <f>IFERROR(__xludf.DUMMYFUNCTION("IF(ISBLANK(A1121),IFERROR(1/0),IF(COUNT(FILTER(G:G,((A:A=A1121)*(B:B=""V""))))&gt;1,TRUNC(N1121*G1121/SUM(FILTER(N:N,((A:A=A1121)*(B:B=""V"")))),3),G1121))"),"")</f>
        <v/>
      </c>
      <c r="L1121" s="148" t="str">
        <f>IFERROR(__xludf.DUMMYFUNCTION("if($C1121="""","""",iferror(if(row()&lt;&gt;2,INDEX(arrayformula(filter($M$2:$M1120,$C$2:$C1120&lt;&gt;"""",row($C$2:$C1120)=max(if($C$2:$C1120=C1121,row($C$2:$C1120),0)))) ,1),0),0))"),"")</f>
        <v/>
      </c>
      <c r="M1121" s="148" t="str">
        <f t="shared" si="1"/>
        <v/>
      </c>
      <c r="N1121" s="147" t="str">
        <f t="shared" si="2"/>
        <v/>
      </c>
      <c r="O1121" s="147" t="str">
        <f t="shared" si="21"/>
        <v/>
      </c>
      <c r="P1121" s="147" t="str">
        <f>IFERROR(__xludf.DUMMYFUNCTION("if(C1121="""","""",iferror(if(row()&lt;&gt;2,INDEX(arrayformula(filter($Q$2:$Q1120,$C$2:$C1120&lt;&gt;"""",row($C$2:$C1120)=max(if($C$2:$C1120=C1121,row($C$2:$C1120),0)))) ,1),0),0))"),"")</f>
        <v/>
      </c>
      <c r="Q1121" s="147" t="str">
        <f t="shared" si="22"/>
        <v/>
      </c>
      <c r="R1121" s="147" t="str">
        <f t="shared" si="23"/>
        <v/>
      </c>
      <c r="S1121" s="147" t="str">
        <f t="shared" si="24"/>
        <v/>
      </c>
      <c r="T1121" s="147" t="str">
        <f t="shared" si="7"/>
        <v/>
      </c>
      <c r="U1121" s="150" t="str">
        <f t="shared" si="8"/>
        <v/>
      </c>
      <c r="V1121" s="151" t="str">
        <f>IFERROR(VLOOKUP(C1121,Ativos!$A$1:$G2000,5,),)</f>
        <v/>
      </c>
    </row>
    <row r="1122" ht="21.0" customHeight="1">
      <c r="A1122" s="152"/>
      <c r="B1122" s="160"/>
      <c r="C1122" s="153"/>
      <c r="D1122" s="154"/>
      <c r="E1122" s="139"/>
      <c r="F1122" s="139"/>
      <c r="G1122" s="139"/>
      <c r="H1122" s="135"/>
      <c r="I1122" s="141"/>
      <c r="J1122" s="147" t="str">
        <f>IFERROR(__xludf.DUMMYFUNCTION("IF(ISBLANK(A1122),IFERROR(1/0),IF(COUNT(FILTER(F:F,A:A=A1122))&gt;1,TRUNC(N1122*F1122/SUM(FILTER(N:N,A:A=A1122)),3),F1122))"),"")</f>
        <v/>
      </c>
      <c r="K1122" s="147" t="str">
        <f>IFERROR(__xludf.DUMMYFUNCTION("IF(ISBLANK(A1122),IFERROR(1/0),IF(COUNT(FILTER(G:G,((A:A=A1122)*(B:B=""V""))))&gt;1,TRUNC(N1122*G1122/SUM(FILTER(N:N,((A:A=A1122)*(B:B=""V"")))),3),G1122))"),"")</f>
        <v/>
      </c>
      <c r="L1122" s="148" t="str">
        <f>IFERROR(__xludf.DUMMYFUNCTION("if($C1122="""","""",iferror(if(row()&lt;&gt;2,INDEX(arrayformula(filter($M$2:$M1121,$C$2:$C1121&lt;&gt;"""",row($C$2:$C1121)=max(if($C$2:$C1121=C1122,row($C$2:$C1121),0)))) ,1),0),0))"),"")</f>
        <v/>
      </c>
      <c r="M1122" s="148" t="str">
        <f t="shared" si="1"/>
        <v/>
      </c>
      <c r="N1122" s="147" t="str">
        <f t="shared" si="2"/>
        <v/>
      </c>
      <c r="O1122" s="147" t="str">
        <f t="shared" si="21"/>
        <v/>
      </c>
      <c r="P1122" s="147" t="str">
        <f>IFERROR(__xludf.DUMMYFUNCTION("if(C1122="""","""",iferror(if(row()&lt;&gt;2,INDEX(arrayformula(filter($Q$2:$Q1121,$C$2:$C1121&lt;&gt;"""",row($C$2:$C1121)=max(if($C$2:$C1121=C1122,row($C$2:$C1121),0)))) ,1),0),0))"),"")</f>
        <v/>
      </c>
      <c r="Q1122" s="147" t="str">
        <f t="shared" si="22"/>
        <v/>
      </c>
      <c r="R1122" s="147" t="str">
        <f t="shared" si="23"/>
        <v/>
      </c>
      <c r="S1122" s="147" t="str">
        <f t="shared" si="24"/>
        <v/>
      </c>
      <c r="T1122" s="147" t="str">
        <f t="shared" si="7"/>
        <v/>
      </c>
      <c r="U1122" s="150" t="str">
        <f t="shared" si="8"/>
        <v/>
      </c>
      <c r="V1122" s="151" t="str">
        <f>IFERROR(VLOOKUP(C1122,Ativos!$A$1:$G2000,5,),)</f>
        <v/>
      </c>
    </row>
    <row r="1123" ht="21.0" customHeight="1">
      <c r="A1123" s="152"/>
      <c r="B1123" s="160"/>
      <c r="C1123" s="153"/>
      <c r="D1123" s="154"/>
      <c r="E1123" s="139"/>
      <c r="F1123" s="139"/>
      <c r="G1123" s="139"/>
      <c r="H1123" s="135"/>
      <c r="I1123" s="141"/>
      <c r="J1123" s="147" t="str">
        <f>IFERROR(__xludf.DUMMYFUNCTION("IF(ISBLANK(A1123),IFERROR(1/0),IF(COUNT(FILTER(F:F,A:A=A1123))&gt;1,TRUNC(N1123*F1123/SUM(FILTER(N:N,A:A=A1123)),3),F1123))"),"")</f>
        <v/>
      </c>
      <c r="K1123" s="147" t="str">
        <f>IFERROR(__xludf.DUMMYFUNCTION("IF(ISBLANK(A1123),IFERROR(1/0),IF(COUNT(FILTER(G:G,((A:A=A1123)*(B:B=""V""))))&gt;1,TRUNC(N1123*G1123/SUM(FILTER(N:N,((A:A=A1123)*(B:B=""V"")))),3),G1123))"),"")</f>
        <v/>
      </c>
      <c r="L1123" s="148" t="str">
        <f>IFERROR(__xludf.DUMMYFUNCTION("if($C1123="""","""",iferror(if(row()&lt;&gt;2,INDEX(arrayformula(filter($M$2:$M1122,$C$2:$C1122&lt;&gt;"""",row($C$2:$C1122)=max(if($C$2:$C1122=C1123,row($C$2:$C1122),0)))) ,1),0),0))"),"")</f>
        <v/>
      </c>
      <c r="M1123" s="148" t="str">
        <f t="shared" si="1"/>
        <v/>
      </c>
      <c r="N1123" s="147" t="str">
        <f t="shared" si="2"/>
        <v/>
      </c>
      <c r="O1123" s="147" t="str">
        <f t="shared" si="21"/>
        <v/>
      </c>
      <c r="P1123" s="147" t="str">
        <f>IFERROR(__xludf.DUMMYFUNCTION("if(C1123="""","""",iferror(if(row()&lt;&gt;2,INDEX(arrayformula(filter($Q$2:$Q1122,$C$2:$C1122&lt;&gt;"""",row($C$2:$C1122)=max(if($C$2:$C1122=C1123,row($C$2:$C1122),0)))) ,1),0),0))"),"")</f>
        <v/>
      </c>
      <c r="Q1123" s="147" t="str">
        <f t="shared" si="22"/>
        <v/>
      </c>
      <c r="R1123" s="147" t="str">
        <f t="shared" si="23"/>
        <v/>
      </c>
      <c r="S1123" s="147" t="str">
        <f t="shared" si="24"/>
        <v/>
      </c>
      <c r="T1123" s="147" t="str">
        <f t="shared" si="7"/>
        <v/>
      </c>
      <c r="U1123" s="150" t="str">
        <f t="shared" si="8"/>
        <v/>
      </c>
      <c r="V1123" s="151" t="str">
        <f>IFERROR(VLOOKUP(C1123,Ativos!$A$1:$G2000,5,),)</f>
        <v/>
      </c>
    </row>
    <row r="1124" ht="21.0" customHeight="1">
      <c r="A1124" s="152"/>
      <c r="B1124" s="160"/>
      <c r="C1124" s="153"/>
      <c r="D1124" s="154"/>
      <c r="E1124" s="139"/>
      <c r="F1124" s="139"/>
      <c r="G1124" s="139"/>
      <c r="H1124" s="135"/>
      <c r="I1124" s="141"/>
      <c r="J1124" s="147" t="str">
        <f>IFERROR(__xludf.DUMMYFUNCTION("IF(ISBLANK(A1124),IFERROR(1/0),IF(COUNT(FILTER(F:F,A:A=A1124))&gt;1,TRUNC(N1124*F1124/SUM(FILTER(N:N,A:A=A1124)),3),F1124))"),"")</f>
        <v/>
      </c>
      <c r="K1124" s="147" t="str">
        <f>IFERROR(__xludf.DUMMYFUNCTION("IF(ISBLANK(A1124),IFERROR(1/0),IF(COUNT(FILTER(G:G,((A:A=A1124)*(B:B=""V""))))&gt;1,TRUNC(N1124*G1124/SUM(FILTER(N:N,((A:A=A1124)*(B:B=""V"")))),3),G1124))"),"")</f>
        <v/>
      </c>
      <c r="L1124" s="148" t="str">
        <f>IFERROR(__xludf.DUMMYFUNCTION("if($C1124="""","""",iferror(if(row()&lt;&gt;2,INDEX(arrayformula(filter($M$2:$M1123,$C$2:$C1123&lt;&gt;"""",row($C$2:$C1123)=max(if($C$2:$C1123=C1124,row($C$2:$C1123),0)))) ,1),0),0))"),"")</f>
        <v/>
      </c>
      <c r="M1124" s="148" t="str">
        <f t="shared" si="1"/>
        <v/>
      </c>
      <c r="N1124" s="147" t="str">
        <f t="shared" si="2"/>
        <v/>
      </c>
      <c r="O1124" s="147" t="str">
        <f t="shared" si="21"/>
        <v/>
      </c>
      <c r="P1124" s="147" t="str">
        <f>IFERROR(__xludf.DUMMYFUNCTION("if(C1124="""","""",iferror(if(row()&lt;&gt;2,INDEX(arrayformula(filter($Q$2:$Q1123,$C$2:$C1123&lt;&gt;"""",row($C$2:$C1123)=max(if($C$2:$C1123=C1124,row($C$2:$C1123),0)))) ,1),0),0))"),"")</f>
        <v/>
      </c>
      <c r="Q1124" s="147" t="str">
        <f t="shared" si="22"/>
        <v/>
      </c>
      <c r="R1124" s="147" t="str">
        <f t="shared" si="23"/>
        <v/>
      </c>
      <c r="S1124" s="147" t="str">
        <f t="shared" si="24"/>
        <v/>
      </c>
      <c r="T1124" s="147" t="str">
        <f t="shared" si="7"/>
        <v/>
      </c>
      <c r="U1124" s="150" t="str">
        <f t="shared" si="8"/>
        <v/>
      </c>
      <c r="V1124" s="151" t="str">
        <f>IFERROR(VLOOKUP(C1124,Ativos!$A$1:$G2000,5,),)</f>
        <v/>
      </c>
    </row>
    <row r="1125" ht="21.0" customHeight="1">
      <c r="A1125" s="152"/>
      <c r="B1125" s="160"/>
      <c r="C1125" s="153"/>
      <c r="D1125" s="154"/>
      <c r="E1125" s="139"/>
      <c r="F1125" s="139"/>
      <c r="G1125" s="139"/>
      <c r="H1125" s="135"/>
      <c r="I1125" s="141"/>
      <c r="J1125" s="147" t="str">
        <f>IFERROR(__xludf.DUMMYFUNCTION("IF(ISBLANK(A1125),IFERROR(1/0),IF(COUNT(FILTER(F:F,A:A=A1125))&gt;1,TRUNC(N1125*F1125/SUM(FILTER(N:N,A:A=A1125)),3),F1125))"),"")</f>
        <v/>
      </c>
      <c r="K1125" s="147" t="str">
        <f>IFERROR(__xludf.DUMMYFUNCTION("IF(ISBLANK(A1125),IFERROR(1/0),IF(COUNT(FILTER(G:G,((A:A=A1125)*(B:B=""V""))))&gt;1,TRUNC(N1125*G1125/SUM(FILTER(N:N,((A:A=A1125)*(B:B=""V"")))),3),G1125))"),"")</f>
        <v/>
      </c>
      <c r="L1125" s="148" t="str">
        <f>IFERROR(__xludf.DUMMYFUNCTION("if($C1125="""","""",iferror(if(row()&lt;&gt;2,INDEX(arrayformula(filter($M$2:$M1124,$C$2:$C1124&lt;&gt;"""",row($C$2:$C1124)=max(if($C$2:$C1124=C1125,row($C$2:$C1124),0)))) ,1),0),0))"),"")</f>
        <v/>
      </c>
      <c r="M1125" s="148" t="str">
        <f t="shared" si="1"/>
        <v/>
      </c>
      <c r="N1125" s="147" t="str">
        <f t="shared" si="2"/>
        <v/>
      </c>
      <c r="O1125" s="147" t="str">
        <f t="shared" si="21"/>
        <v/>
      </c>
      <c r="P1125" s="147" t="str">
        <f>IFERROR(__xludf.DUMMYFUNCTION("if(C1125="""","""",iferror(if(row()&lt;&gt;2,INDEX(arrayformula(filter($Q$2:$Q1124,$C$2:$C1124&lt;&gt;"""",row($C$2:$C1124)=max(if($C$2:$C1124=C1125,row($C$2:$C1124),0)))) ,1),0),0))"),"")</f>
        <v/>
      </c>
      <c r="Q1125" s="147" t="str">
        <f t="shared" si="22"/>
        <v/>
      </c>
      <c r="R1125" s="147" t="str">
        <f t="shared" si="23"/>
        <v/>
      </c>
      <c r="S1125" s="147" t="str">
        <f t="shared" si="24"/>
        <v/>
      </c>
      <c r="T1125" s="147" t="str">
        <f t="shared" si="7"/>
        <v/>
      </c>
      <c r="U1125" s="150" t="str">
        <f t="shared" si="8"/>
        <v/>
      </c>
      <c r="V1125" s="151" t="str">
        <f>IFERROR(VLOOKUP(C1125,Ativos!$A$1:$G2000,5,),)</f>
        <v/>
      </c>
    </row>
    <row r="1126" ht="21.0" customHeight="1">
      <c r="A1126" s="152"/>
      <c r="B1126" s="160"/>
      <c r="C1126" s="153"/>
      <c r="D1126" s="154"/>
      <c r="E1126" s="139"/>
      <c r="F1126" s="139"/>
      <c r="G1126" s="139"/>
      <c r="H1126" s="135"/>
      <c r="I1126" s="141"/>
      <c r="J1126" s="147" t="str">
        <f>IFERROR(__xludf.DUMMYFUNCTION("IF(ISBLANK(A1126),IFERROR(1/0),IF(COUNT(FILTER(F:F,A:A=A1126))&gt;1,TRUNC(N1126*F1126/SUM(FILTER(N:N,A:A=A1126)),3),F1126))"),"")</f>
        <v/>
      </c>
      <c r="K1126" s="147" t="str">
        <f>IFERROR(__xludf.DUMMYFUNCTION("IF(ISBLANK(A1126),IFERROR(1/0),IF(COUNT(FILTER(G:G,((A:A=A1126)*(B:B=""V""))))&gt;1,TRUNC(N1126*G1126/SUM(FILTER(N:N,((A:A=A1126)*(B:B=""V"")))),3),G1126))"),"")</f>
        <v/>
      </c>
      <c r="L1126" s="148" t="str">
        <f>IFERROR(__xludf.DUMMYFUNCTION("if($C1126="""","""",iferror(if(row()&lt;&gt;2,INDEX(arrayformula(filter($M$2:$M1125,$C$2:$C1125&lt;&gt;"""",row($C$2:$C1125)=max(if($C$2:$C1125=C1126,row($C$2:$C1125),0)))) ,1),0),0))"),"")</f>
        <v/>
      </c>
      <c r="M1126" s="148" t="str">
        <f t="shared" si="1"/>
        <v/>
      </c>
      <c r="N1126" s="147" t="str">
        <f t="shared" si="2"/>
        <v/>
      </c>
      <c r="O1126" s="147" t="str">
        <f t="shared" si="21"/>
        <v/>
      </c>
      <c r="P1126" s="147" t="str">
        <f>IFERROR(__xludf.DUMMYFUNCTION("if(C1126="""","""",iferror(if(row()&lt;&gt;2,INDEX(arrayformula(filter($Q$2:$Q1125,$C$2:$C1125&lt;&gt;"""",row($C$2:$C1125)=max(if($C$2:$C1125=C1126,row($C$2:$C1125),0)))) ,1),0),0))"),"")</f>
        <v/>
      </c>
      <c r="Q1126" s="147" t="str">
        <f t="shared" si="22"/>
        <v/>
      </c>
      <c r="R1126" s="147" t="str">
        <f t="shared" si="23"/>
        <v/>
      </c>
      <c r="S1126" s="147" t="str">
        <f t="shared" si="24"/>
        <v/>
      </c>
      <c r="T1126" s="147" t="str">
        <f t="shared" si="7"/>
        <v/>
      </c>
      <c r="U1126" s="150" t="str">
        <f t="shared" si="8"/>
        <v/>
      </c>
      <c r="V1126" s="151" t="str">
        <f>IFERROR(VLOOKUP(C1126,Ativos!$A$1:$G2000,5,),)</f>
        <v/>
      </c>
    </row>
    <row r="1127" ht="21.0" customHeight="1">
      <c r="A1127" s="152"/>
      <c r="B1127" s="160"/>
      <c r="C1127" s="153"/>
      <c r="D1127" s="154"/>
      <c r="E1127" s="139"/>
      <c r="F1127" s="139"/>
      <c r="G1127" s="139"/>
      <c r="H1127" s="135"/>
      <c r="I1127" s="141"/>
      <c r="J1127" s="147" t="str">
        <f>IFERROR(__xludf.DUMMYFUNCTION("IF(ISBLANK(A1127),IFERROR(1/0),IF(COUNT(FILTER(F:F,A:A=A1127))&gt;1,TRUNC(N1127*F1127/SUM(FILTER(N:N,A:A=A1127)),3),F1127))"),"")</f>
        <v/>
      </c>
      <c r="K1127" s="147" t="str">
        <f>IFERROR(__xludf.DUMMYFUNCTION("IF(ISBLANK(A1127),IFERROR(1/0),IF(COUNT(FILTER(G:G,((A:A=A1127)*(B:B=""V""))))&gt;1,TRUNC(N1127*G1127/SUM(FILTER(N:N,((A:A=A1127)*(B:B=""V"")))),3),G1127))"),"")</f>
        <v/>
      </c>
      <c r="L1127" s="148" t="str">
        <f>IFERROR(__xludf.DUMMYFUNCTION("if($C1127="""","""",iferror(if(row()&lt;&gt;2,INDEX(arrayformula(filter($M$2:$M1126,$C$2:$C1126&lt;&gt;"""",row($C$2:$C1126)=max(if($C$2:$C1126=C1127,row($C$2:$C1126),0)))) ,1),0),0))"),"")</f>
        <v/>
      </c>
      <c r="M1127" s="148" t="str">
        <f t="shared" si="1"/>
        <v/>
      </c>
      <c r="N1127" s="147" t="str">
        <f t="shared" si="2"/>
        <v/>
      </c>
      <c r="O1127" s="147" t="str">
        <f t="shared" si="21"/>
        <v/>
      </c>
      <c r="P1127" s="147" t="str">
        <f>IFERROR(__xludf.DUMMYFUNCTION("if(C1127="""","""",iferror(if(row()&lt;&gt;2,INDEX(arrayformula(filter($Q$2:$Q1126,$C$2:$C1126&lt;&gt;"""",row($C$2:$C1126)=max(if($C$2:$C1126=C1127,row($C$2:$C1126),0)))) ,1),0),0))"),"")</f>
        <v/>
      </c>
      <c r="Q1127" s="147" t="str">
        <f t="shared" si="22"/>
        <v/>
      </c>
      <c r="R1127" s="147" t="str">
        <f t="shared" si="23"/>
        <v/>
      </c>
      <c r="S1127" s="147" t="str">
        <f t="shared" si="24"/>
        <v/>
      </c>
      <c r="T1127" s="147" t="str">
        <f t="shared" si="7"/>
        <v/>
      </c>
      <c r="U1127" s="150" t="str">
        <f t="shared" si="8"/>
        <v/>
      </c>
      <c r="V1127" s="151" t="str">
        <f>IFERROR(VLOOKUP(C1127,Ativos!$A$1:$G2000,5,),)</f>
        <v/>
      </c>
    </row>
    <row r="1128" ht="21.0" customHeight="1">
      <c r="A1128" s="152"/>
      <c r="B1128" s="160"/>
      <c r="C1128" s="153"/>
      <c r="D1128" s="154"/>
      <c r="E1128" s="139"/>
      <c r="F1128" s="139"/>
      <c r="G1128" s="139"/>
      <c r="H1128" s="135"/>
      <c r="I1128" s="141"/>
      <c r="J1128" s="147" t="str">
        <f>IFERROR(__xludf.DUMMYFUNCTION("IF(ISBLANK(A1128),IFERROR(1/0),IF(COUNT(FILTER(F:F,A:A=A1128))&gt;1,TRUNC(N1128*F1128/SUM(FILTER(N:N,A:A=A1128)),3),F1128))"),"")</f>
        <v/>
      </c>
      <c r="K1128" s="147" t="str">
        <f>IFERROR(__xludf.DUMMYFUNCTION("IF(ISBLANK(A1128),IFERROR(1/0),IF(COUNT(FILTER(G:G,((A:A=A1128)*(B:B=""V""))))&gt;1,TRUNC(N1128*G1128/SUM(FILTER(N:N,((A:A=A1128)*(B:B=""V"")))),3),G1128))"),"")</f>
        <v/>
      </c>
      <c r="L1128" s="148" t="str">
        <f>IFERROR(__xludf.DUMMYFUNCTION("if($C1128="""","""",iferror(if(row()&lt;&gt;2,INDEX(arrayformula(filter($M$2:$M1127,$C$2:$C1127&lt;&gt;"""",row($C$2:$C1127)=max(if($C$2:$C1127=C1128,row($C$2:$C1127),0)))) ,1),0),0))"),"")</f>
        <v/>
      </c>
      <c r="M1128" s="148" t="str">
        <f t="shared" si="1"/>
        <v/>
      </c>
      <c r="N1128" s="147" t="str">
        <f t="shared" si="2"/>
        <v/>
      </c>
      <c r="O1128" s="147" t="str">
        <f t="shared" si="21"/>
        <v/>
      </c>
      <c r="P1128" s="147" t="str">
        <f>IFERROR(__xludf.DUMMYFUNCTION("if(C1128="""","""",iferror(if(row()&lt;&gt;2,INDEX(arrayformula(filter($Q$2:$Q1127,$C$2:$C1127&lt;&gt;"""",row($C$2:$C1127)=max(if($C$2:$C1127=C1128,row($C$2:$C1127),0)))) ,1),0),0))"),"")</f>
        <v/>
      </c>
      <c r="Q1128" s="147" t="str">
        <f t="shared" si="22"/>
        <v/>
      </c>
      <c r="R1128" s="147" t="str">
        <f t="shared" si="23"/>
        <v/>
      </c>
      <c r="S1128" s="147" t="str">
        <f t="shared" si="24"/>
        <v/>
      </c>
      <c r="T1128" s="147" t="str">
        <f t="shared" si="7"/>
        <v/>
      </c>
      <c r="U1128" s="150" t="str">
        <f t="shared" si="8"/>
        <v/>
      </c>
      <c r="V1128" s="151" t="str">
        <f>IFERROR(VLOOKUP(C1128,Ativos!$A$1:$G2000,5,),)</f>
        <v/>
      </c>
    </row>
    <row r="1129" ht="21.0" customHeight="1">
      <c r="A1129" s="152"/>
      <c r="B1129" s="160"/>
      <c r="C1129" s="153"/>
      <c r="D1129" s="154"/>
      <c r="E1129" s="139"/>
      <c r="F1129" s="139"/>
      <c r="G1129" s="139"/>
      <c r="H1129" s="135"/>
      <c r="I1129" s="141"/>
      <c r="J1129" s="147" t="str">
        <f>IFERROR(__xludf.DUMMYFUNCTION("IF(ISBLANK(A1129),IFERROR(1/0),IF(COUNT(FILTER(F:F,A:A=A1129))&gt;1,TRUNC(N1129*F1129/SUM(FILTER(N:N,A:A=A1129)),3),F1129))"),"")</f>
        <v/>
      </c>
      <c r="K1129" s="147" t="str">
        <f>IFERROR(__xludf.DUMMYFUNCTION("IF(ISBLANK(A1129),IFERROR(1/0),IF(COUNT(FILTER(G:G,((A:A=A1129)*(B:B=""V""))))&gt;1,TRUNC(N1129*G1129/SUM(FILTER(N:N,((A:A=A1129)*(B:B=""V"")))),3),G1129))"),"")</f>
        <v/>
      </c>
      <c r="L1129" s="148" t="str">
        <f>IFERROR(__xludf.DUMMYFUNCTION("if($C1129="""","""",iferror(if(row()&lt;&gt;2,INDEX(arrayformula(filter($M$2:$M1128,$C$2:$C1128&lt;&gt;"""",row($C$2:$C1128)=max(if($C$2:$C1128=C1129,row($C$2:$C1128),0)))) ,1),0),0))"),"")</f>
        <v/>
      </c>
      <c r="M1129" s="148" t="str">
        <f t="shared" si="1"/>
        <v/>
      </c>
      <c r="N1129" s="147" t="str">
        <f t="shared" si="2"/>
        <v/>
      </c>
      <c r="O1129" s="147" t="str">
        <f t="shared" si="21"/>
        <v/>
      </c>
      <c r="P1129" s="147" t="str">
        <f>IFERROR(__xludf.DUMMYFUNCTION("if(C1129="""","""",iferror(if(row()&lt;&gt;2,INDEX(arrayformula(filter($Q$2:$Q1128,$C$2:$C1128&lt;&gt;"""",row($C$2:$C1128)=max(if($C$2:$C1128=C1129,row($C$2:$C1128),0)))) ,1),0),0))"),"")</f>
        <v/>
      </c>
      <c r="Q1129" s="147" t="str">
        <f t="shared" si="22"/>
        <v/>
      </c>
      <c r="R1129" s="147" t="str">
        <f t="shared" si="23"/>
        <v/>
      </c>
      <c r="S1129" s="147" t="str">
        <f t="shared" si="24"/>
        <v/>
      </c>
      <c r="T1129" s="147" t="str">
        <f t="shared" si="7"/>
        <v/>
      </c>
      <c r="U1129" s="150" t="str">
        <f t="shared" si="8"/>
        <v/>
      </c>
      <c r="V1129" s="151" t="str">
        <f>IFERROR(VLOOKUP(C1129,Ativos!$A$1:$G2000,5,),)</f>
        <v/>
      </c>
    </row>
    <row r="1130" ht="21.0" customHeight="1">
      <c r="A1130" s="152"/>
      <c r="B1130" s="160"/>
      <c r="C1130" s="153"/>
      <c r="D1130" s="154"/>
      <c r="E1130" s="139"/>
      <c r="F1130" s="139"/>
      <c r="G1130" s="139"/>
      <c r="H1130" s="135"/>
      <c r="I1130" s="141"/>
      <c r="J1130" s="147" t="str">
        <f>IFERROR(__xludf.DUMMYFUNCTION("IF(ISBLANK(A1130),IFERROR(1/0),IF(COUNT(FILTER(F:F,A:A=A1130))&gt;1,TRUNC(N1130*F1130/SUM(FILTER(N:N,A:A=A1130)),3),F1130))"),"")</f>
        <v/>
      </c>
      <c r="K1130" s="147" t="str">
        <f>IFERROR(__xludf.DUMMYFUNCTION("IF(ISBLANK(A1130),IFERROR(1/0),IF(COUNT(FILTER(G:G,((A:A=A1130)*(B:B=""V""))))&gt;1,TRUNC(N1130*G1130/SUM(FILTER(N:N,((A:A=A1130)*(B:B=""V"")))),3),G1130))"),"")</f>
        <v/>
      </c>
      <c r="L1130" s="148" t="str">
        <f>IFERROR(__xludf.DUMMYFUNCTION("if($C1130="""","""",iferror(if(row()&lt;&gt;2,INDEX(arrayformula(filter($M$2:$M1129,$C$2:$C1129&lt;&gt;"""",row($C$2:$C1129)=max(if($C$2:$C1129=C1130,row($C$2:$C1129),0)))) ,1),0),0))"),"")</f>
        <v/>
      </c>
      <c r="M1130" s="148" t="str">
        <f t="shared" si="1"/>
        <v/>
      </c>
      <c r="N1130" s="147" t="str">
        <f t="shared" si="2"/>
        <v/>
      </c>
      <c r="O1130" s="147" t="str">
        <f t="shared" si="21"/>
        <v/>
      </c>
      <c r="P1130" s="147" t="str">
        <f>IFERROR(__xludf.DUMMYFUNCTION("if(C1130="""","""",iferror(if(row()&lt;&gt;2,INDEX(arrayformula(filter($Q$2:$Q1129,$C$2:$C1129&lt;&gt;"""",row($C$2:$C1129)=max(if($C$2:$C1129=C1130,row($C$2:$C1129),0)))) ,1),0),0))"),"")</f>
        <v/>
      </c>
      <c r="Q1130" s="147" t="str">
        <f t="shared" si="22"/>
        <v/>
      </c>
      <c r="R1130" s="147" t="str">
        <f t="shared" si="23"/>
        <v/>
      </c>
      <c r="S1130" s="147" t="str">
        <f t="shared" si="24"/>
        <v/>
      </c>
      <c r="T1130" s="147" t="str">
        <f t="shared" si="7"/>
        <v/>
      </c>
      <c r="U1130" s="150" t="str">
        <f t="shared" si="8"/>
        <v/>
      </c>
      <c r="V1130" s="151" t="str">
        <f>IFERROR(VLOOKUP(C1130,Ativos!$A$1:$G2000,5,),)</f>
        <v/>
      </c>
    </row>
    <row r="1131" ht="21.0" customHeight="1">
      <c r="A1131" s="152"/>
      <c r="B1131" s="160"/>
      <c r="C1131" s="153"/>
      <c r="D1131" s="154"/>
      <c r="E1131" s="139"/>
      <c r="F1131" s="139"/>
      <c r="G1131" s="139"/>
      <c r="H1131" s="135"/>
      <c r="I1131" s="141"/>
      <c r="J1131" s="147" t="str">
        <f>IFERROR(__xludf.DUMMYFUNCTION("IF(ISBLANK(A1131),IFERROR(1/0),IF(COUNT(FILTER(F:F,A:A=A1131))&gt;1,TRUNC(N1131*F1131/SUM(FILTER(N:N,A:A=A1131)),3),F1131))"),"")</f>
        <v/>
      </c>
      <c r="K1131" s="147" t="str">
        <f>IFERROR(__xludf.DUMMYFUNCTION("IF(ISBLANK(A1131),IFERROR(1/0),IF(COUNT(FILTER(G:G,((A:A=A1131)*(B:B=""V""))))&gt;1,TRUNC(N1131*G1131/SUM(FILTER(N:N,((A:A=A1131)*(B:B=""V"")))),3),G1131))"),"")</f>
        <v/>
      </c>
      <c r="L1131" s="148" t="str">
        <f>IFERROR(__xludf.DUMMYFUNCTION("if($C1131="""","""",iferror(if(row()&lt;&gt;2,INDEX(arrayformula(filter($M$2:$M1130,$C$2:$C1130&lt;&gt;"""",row($C$2:$C1130)=max(if($C$2:$C1130=C1131,row($C$2:$C1130),0)))) ,1),0),0))"),"")</f>
        <v/>
      </c>
      <c r="M1131" s="148" t="str">
        <f t="shared" si="1"/>
        <v/>
      </c>
      <c r="N1131" s="147" t="str">
        <f t="shared" si="2"/>
        <v/>
      </c>
      <c r="O1131" s="147" t="str">
        <f t="shared" si="21"/>
        <v/>
      </c>
      <c r="P1131" s="147" t="str">
        <f>IFERROR(__xludf.DUMMYFUNCTION("if(C1131="""","""",iferror(if(row()&lt;&gt;2,INDEX(arrayformula(filter($Q$2:$Q1130,$C$2:$C1130&lt;&gt;"""",row($C$2:$C1130)=max(if($C$2:$C1130=C1131,row($C$2:$C1130),0)))) ,1),0),0))"),"")</f>
        <v/>
      </c>
      <c r="Q1131" s="147" t="str">
        <f t="shared" si="22"/>
        <v/>
      </c>
      <c r="R1131" s="147" t="str">
        <f t="shared" si="23"/>
        <v/>
      </c>
      <c r="S1131" s="147" t="str">
        <f t="shared" si="24"/>
        <v/>
      </c>
      <c r="T1131" s="147" t="str">
        <f t="shared" si="7"/>
        <v/>
      </c>
      <c r="U1131" s="150" t="str">
        <f t="shared" si="8"/>
        <v/>
      </c>
      <c r="V1131" s="151" t="str">
        <f>IFERROR(VLOOKUP(C1131,Ativos!$A$1:$G2000,5,),)</f>
        <v/>
      </c>
    </row>
    <row r="1132" ht="21.0" customHeight="1">
      <c r="A1132" s="152"/>
      <c r="B1132" s="160"/>
      <c r="C1132" s="153"/>
      <c r="D1132" s="154"/>
      <c r="E1132" s="139"/>
      <c r="F1132" s="139"/>
      <c r="G1132" s="139"/>
      <c r="H1132" s="135"/>
      <c r="I1132" s="141"/>
      <c r="J1132" s="147" t="str">
        <f>IFERROR(__xludf.DUMMYFUNCTION("IF(ISBLANK(A1132),IFERROR(1/0),IF(COUNT(FILTER(F:F,A:A=A1132))&gt;1,TRUNC(N1132*F1132/SUM(FILTER(N:N,A:A=A1132)),3),F1132))"),"")</f>
        <v/>
      </c>
      <c r="K1132" s="147" t="str">
        <f>IFERROR(__xludf.DUMMYFUNCTION("IF(ISBLANK(A1132),IFERROR(1/0),IF(COUNT(FILTER(G:G,((A:A=A1132)*(B:B=""V""))))&gt;1,TRUNC(N1132*G1132/SUM(FILTER(N:N,((A:A=A1132)*(B:B=""V"")))),3),G1132))"),"")</f>
        <v/>
      </c>
      <c r="L1132" s="148" t="str">
        <f>IFERROR(__xludf.DUMMYFUNCTION("if($C1132="""","""",iferror(if(row()&lt;&gt;2,INDEX(arrayformula(filter($M$2:$M1131,$C$2:$C1131&lt;&gt;"""",row($C$2:$C1131)=max(if($C$2:$C1131=C1132,row($C$2:$C1131),0)))) ,1),0),0))"),"")</f>
        <v/>
      </c>
      <c r="M1132" s="148" t="str">
        <f t="shared" si="1"/>
        <v/>
      </c>
      <c r="N1132" s="147" t="str">
        <f t="shared" si="2"/>
        <v/>
      </c>
      <c r="O1132" s="147" t="str">
        <f t="shared" si="21"/>
        <v/>
      </c>
      <c r="P1132" s="147" t="str">
        <f>IFERROR(__xludf.DUMMYFUNCTION("if(C1132="""","""",iferror(if(row()&lt;&gt;2,INDEX(arrayformula(filter($Q$2:$Q1131,$C$2:$C1131&lt;&gt;"""",row($C$2:$C1131)=max(if($C$2:$C1131=C1132,row($C$2:$C1131),0)))) ,1),0),0))"),"")</f>
        <v/>
      </c>
      <c r="Q1132" s="147" t="str">
        <f t="shared" si="22"/>
        <v/>
      </c>
      <c r="R1132" s="147" t="str">
        <f t="shared" si="23"/>
        <v/>
      </c>
      <c r="S1132" s="147" t="str">
        <f t="shared" si="24"/>
        <v/>
      </c>
      <c r="T1132" s="147" t="str">
        <f t="shared" si="7"/>
        <v/>
      </c>
      <c r="U1132" s="150" t="str">
        <f t="shared" si="8"/>
        <v/>
      </c>
      <c r="V1132" s="151" t="str">
        <f>IFERROR(VLOOKUP(C1132,Ativos!$A$1:$G2000,5,),)</f>
        <v/>
      </c>
    </row>
    <row r="1133" ht="21.0" customHeight="1">
      <c r="A1133" s="152"/>
      <c r="B1133" s="160"/>
      <c r="C1133" s="153"/>
      <c r="D1133" s="154"/>
      <c r="E1133" s="139"/>
      <c r="F1133" s="139"/>
      <c r="G1133" s="139"/>
      <c r="H1133" s="135"/>
      <c r="I1133" s="141"/>
      <c r="J1133" s="147" t="str">
        <f>IFERROR(__xludf.DUMMYFUNCTION("IF(ISBLANK(A1133),IFERROR(1/0),IF(COUNT(FILTER(F:F,A:A=A1133))&gt;1,TRUNC(N1133*F1133/SUM(FILTER(N:N,A:A=A1133)),3),F1133))"),"")</f>
        <v/>
      </c>
      <c r="K1133" s="147" t="str">
        <f>IFERROR(__xludf.DUMMYFUNCTION("IF(ISBLANK(A1133),IFERROR(1/0),IF(COUNT(FILTER(G:G,((A:A=A1133)*(B:B=""V""))))&gt;1,TRUNC(N1133*G1133/SUM(FILTER(N:N,((A:A=A1133)*(B:B=""V"")))),3),G1133))"),"")</f>
        <v/>
      </c>
      <c r="L1133" s="148" t="str">
        <f>IFERROR(__xludf.DUMMYFUNCTION("if($C1133="""","""",iferror(if(row()&lt;&gt;2,INDEX(arrayformula(filter($M$2:$M1132,$C$2:$C1132&lt;&gt;"""",row($C$2:$C1132)=max(if($C$2:$C1132=C1133,row($C$2:$C1132),0)))) ,1),0),0))"),"")</f>
        <v/>
      </c>
      <c r="M1133" s="148" t="str">
        <f t="shared" si="1"/>
        <v/>
      </c>
      <c r="N1133" s="147" t="str">
        <f t="shared" si="2"/>
        <v/>
      </c>
      <c r="O1133" s="147" t="str">
        <f t="shared" si="21"/>
        <v/>
      </c>
      <c r="P1133" s="147" t="str">
        <f>IFERROR(__xludf.DUMMYFUNCTION("if(C1133="""","""",iferror(if(row()&lt;&gt;2,INDEX(arrayformula(filter($Q$2:$Q1132,$C$2:$C1132&lt;&gt;"""",row($C$2:$C1132)=max(if($C$2:$C1132=C1133,row($C$2:$C1132),0)))) ,1),0),0))"),"")</f>
        <v/>
      </c>
      <c r="Q1133" s="147" t="str">
        <f t="shared" si="22"/>
        <v/>
      </c>
      <c r="R1133" s="147" t="str">
        <f t="shared" si="23"/>
        <v/>
      </c>
      <c r="S1133" s="147" t="str">
        <f t="shared" si="24"/>
        <v/>
      </c>
      <c r="T1133" s="147" t="str">
        <f t="shared" si="7"/>
        <v/>
      </c>
      <c r="U1133" s="150" t="str">
        <f t="shared" si="8"/>
        <v/>
      </c>
      <c r="V1133" s="151" t="str">
        <f>IFERROR(VLOOKUP(C1133,Ativos!$A$1:$G2000,5,),)</f>
        <v/>
      </c>
    </row>
    <row r="1134" ht="21.0" customHeight="1">
      <c r="A1134" s="152"/>
      <c r="B1134" s="160"/>
      <c r="C1134" s="153"/>
      <c r="D1134" s="154"/>
      <c r="E1134" s="139"/>
      <c r="F1134" s="139"/>
      <c r="G1134" s="139"/>
      <c r="H1134" s="135"/>
      <c r="I1134" s="141"/>
      <c r="J1134" s="147" t="str">
        <f>IFERROR(__xludf.DUMMYFUNCTION("IF(ISBLANK(A1134),IFERROR(1/0),IF(COUNT(FILTER(F:F,A:A=A1134))&gt;1,TRUNC(N1134*F1134/SUM(FILTER(N:N,A:A=A1134)),3),F1134))"),"")</f>
        <v/>
      </c>
      <c r="K1134" s="147" t="str">
        <f>IFERROR(__xludf.DUMMYFUNCTION("IF(ISBLANK(A1134),IFERROR(1/0),IF(COUNT(FILTER(G:G,((A:A=A1134)*(B:B=""V""))))&gt;1,TRUNC(N1134*G1134/SUM(FILTER(N:N,((A:A=A1134)*(B:B=""V"")))),3),G1134))"),"")</f>
        <v/>
      </c>
      <c r="L1134" s="148" t="str">
        <f>IFERROR(__xludf.DUMMYFUNCTION("if($C1134="""","""",iferror(if(row()&lt;&gt;2,INDEX(arrayformula(filter($M$2:$M1133,$C$2:$C1133&lt;&gt;"""",row($C$2:$C1133)=max(if($C$2:$C1133=C1134,row($C$2:$C1133),0)))) ,1),0),0))"),"")</f>
        <v/>
      </c>
      <c r="M1134" s="148" t="str">
        <f t="shared" si="1"/>
        <v/>
      </c>
      <c r="N1134" s="147" t="str">
        <f t="shared" si="2"/>
        <v/>
      </c>
      <c r="O1134" s="147" t="str">
        <f t="shared" si="21"/>
        <v/>
      </c>
      <c r="P1134" s="147" t="str">
        <f>IFERROR(__xludf.DUMMYFUNCTION("if(C1134="""","""",iferror(if(row()&lt;&gt;2,INDEX(arrayformula(filter($Q$2:$Q1133,$C$2:$C1133&lt;&gt;"""",row($C$2:$C1133)=max(if($C$2:$C1133=C1134,row($C$2:$C1133),0)))) ,1),0),0))"),"")</f>
        <v/>
      </c>
      <c r="Q1134" s="147" t="str">
        <f t="shared" si="22"/>
        <v/>
      </c>
      <c r="R1134" s="147" t="str">
        <f t="shared" si="23"/>
        <v/>
      </c>
      <c r="S1134" s="147" t="str">
        <f t="shared" si="24"/>
        <v/>
      </c>
      <c r="T1134" s="147" t="str">
        <f t="shared" si="7"/>
        <v/>
      </c>
      <c r="U1134" s="150" t="str">
        <f t="shared" si="8"/>
        <v/>
      </c>
      <c r="V1134" s="151" t="str">
        <f>IFERROR(VLOOKUP(C1134,Ativos!$A$1:$G2000,5,),)</f>
        <v/>
      </c>
    </row>
    <row r="1135" ht="21.0" customHeight="1">
      <c r="A1135" s="152"/>
      <c r="B1135" s="160"/>
      <c r="C1135" s="153"/>
      <c r="D1135" s="154"/>
      <c r="E1135" s="139"/>
      <c r="F1135" s="139"/>
      <c r="G1135" s="139"/>
      <c r="H1135" s="135"/>
      <c r="I1135" s="141"/>
      <c r="J1135" s="147" t="str">
        <f>IFERROR(__xludf.DUMMYFUNCTION("IF(ISBLANK(A1135),IFERROR(1/0),IF(COUNT(FILTER(F:F,A:A=A1135))&gt;1,TRUNC(N1135*F1135/SUM(FILTER(N:N,A:A=A1135)),3),F1135))"),"")</f>
        <v/>
      </c>
      <c r="K1135" s="147" t="str">
        <f>IFERROR(__xludf.DUMMYFUNCTION("IF(ISBLANK(A1135),IFERROR(1/0),IF(COUNT(FILTER(G:G,((A:A=A1135)*(B:B=""V""))))&gt;1,TRUNC(N1135*G1135/SUM(FILTER(N:N,((A:A=A1135)*(B:B=""V"")))),3),G1135))"),"")</f>
        <v/>
      </c>
      <c r="L1135" s="148" t="str">
        <f>IFERROR(__xludf.DUMMYFUNCTION("if($C1135="""","""",iferror(if(row()&lt;&gt;2,INDEX(arrayformula(filter($M$2:$M1134,$C$2:$C1134&lt;&gt;"""",row($C$2:$C1134)=max(if($C$2:$C1134=C1135,row($C$2:$C1134),0)))) ,1),0),0))"),"")</f>
        <v/>
      </c>
      <c r="M1135" s="148" t="str">
        <f t="shared" si="1"/>
        <v/>
      </c>
      <c r="N1135" s="147" t="str">
        <f t="shared" si="2"/>
        <v/>
      </c>
      <c r="O1135" s="147" t="str">
        <f t="shared" si="21"/>
        <v/>
      </c>
      <c r="P1135" s="147" t="str">
        <f>IFERROR(__xludf.DUMMYFUNCTION("if(C1135="""","""",iferror(if(row()&lt;&gt;2,INDEX(arrayformula(filter($Q$2:$Q1134,$C$2:$C1134&lt;&gt;"""",row($C$2:$C1134)=max(if($C$2:$C1134=C1135,row($C$2:$C1134),0)))) ,1),0),0))"),"")</f>
        <v/>
      </c>
      <c r="Q1135" s="147" t="str">
        <f t="shared" si="22"/>
        <v/>
      </c>
      <c r="R1135" s="147" t="str">
        <f t="shared" si="23"/>
        <v/>
      </c>
      <c r="S1135" s="147" t="str">
        <f t="shared" si="24"/>
        <v/>
      </c>
      <c r="T1135" s="147" t="str">
        <f t="shared" si="7"/>
        <v/>
      </c>
      <c r="U1135" s="150" t="str">
        <f t="shared" si="8"/>
        <v/>
      </c>
      <c r="V1135" s="151" t="str">
        <f>IFERROR(VLOOKUP(C1135,Ativos!$A$1:$G2000,5,),)</f>
        <v/>
      </c>
    </row>
    <row r="1136" ht="21.0" customHeight="1">
      <c r="A1136" s="152"/>
      <c r="B1136" s="160"/>
      <c r="C1136" s="153"/>
      <c r="D1136" s="154"/>
      <c r="E1136" s="139"/>
      <c r="F1136" s="139"/>
      <c r="G1136" s="139"/>
      <c r="H1136" s="135"/>
      <c r="I1136" s="141"/>
      <c r="J1136" s="147" t="str">
        <f>IFERROR(__xludf.DUMMYFUNCTION("IF(ISBLANK(A1136),IFERROR(1/0),IF(COUNT(FILTER(F:F,A:A=A1136))&gt;1,TRUNC(N1136*F1136/SUM(FILTER(N:N,A:A=A1136)),3),F1136))"),"")</f>
        <v/>
      </c>
      <c r="K1136" s="147" t="str">
        <f>IFERROR(__xludf.DUMMYFUNCTION("IF(ISBLANK(A1136),IFERROR(1/0),IF(COUNT(FILTER(G:G,((A:A=A1136)*(B:B=""V""))))&gt;1,TRUNC(N1136*G1136/SUM(FILTER(N:N,((A:A=A1136)*(B:B=""V"")))),3),G1136))"),"")</f>
        <v/>
      </c>
      <c r="L1136" s="148" t="str">
        <f>IFERROR(__xludf.DUMMYFUNCTION("if($C1136="""","""",iferror(if(row()&lt;&gt;2,INDEX(arrayformula(filter($M$2:$M1135,$C$2:$C1135&lt;&gt;"""",row($C$2:$C1135)=max(if($C$2:$C1135=C1136,row($C$2:$C1135),0)))) ,1),0),0))"),"")</f>
        <v/>
      </c>
      <c r="M1136" s="148" t="str">
        <f t="shared" si="1"/>
        <v/>
      </c>
      <c r="N1136" s="147" t="str">
        <f t="shared" si="2"/>
        <v/>
      </c>
      <c r="O1136" s="147" t="str">
        <f t="shared" si="21"/>
        <v/>
      </c>
      <c r="P1136" s="147" t="str">
        <f>IFERROR(__xludf.DUMMYFUNCTION("if(C1136="""","""",iferror(if(row()&lt;&gt;2,INDEX(arrayformula(filter($Q$2:$Q1135,$C$2:$C1135&lt;&gt;"""",row($C$2:$C1135)=max(if($C$2:$C1135=C1136,row($C$2:$C1135),0)))) ,1),0),0))"),"")</f>
        <v/>
      </c>
      <c r="Q1136" s="147" t="str">
        <f t="shared" si="22"/>
        <v/>
      </c>
      <c r="R1136" s="147" t="str">
        <f t="shared" si="23"/>
        <v/>
      </c>
      <c r="S1136" s="147" t="str">
        <f t="shared" si="24"/>
        <v/>
      </c>
      <c r="T1136" s="147" t="str">
        <f t="shared" si="7"/>
        <v/>
      </c>
      <c r="U1136" s="150" t="str">
        <f t="shared" si="8"/>
        <v/>
      </c>
      <c r="V1136" s="151" t="str">
        <f>IFERROR(VLOOKUP(C1136,Ativos!$A$1:$G2000,5,),)</f>
        <v/>
      </c>
    </row>
    <row r="1137" ht="21.0" customHeight="1">
      <c r="A1137" s="152"/>
      <c r="B1137" s="160"/>
      <c r="C1137" s="153"/>
      <c r="D1137" s="154"/>
      <c r="E1137" s="139"/>
      <c r="F1137" s="139"/>
      <c r="G1137" s="139"/>
      <c r="H1137" s="135"/>
      <c r="I1137" s="141"/>
      <c r="J1137" s="147" t="str">
        <f>IFERROR(__xludf.DUMMYFUNCTION("IF(ISBLANK(A1137),IFERROR(1/0),IF(COUNT(FILTER(F:F,A:A=A1137))&gt;1,TRUNC(N1137*F1137/SUM(FILTER(N:N,A:A=A1137)),3),F1137))"),"")</f>
        <v/>
      </c>
      <c r="K1137" s="147" t="str">
        <f>IFERROR(__xludf.DUMMYFUNCTION("IF(ISBLANK(A1137),IFERROR(1/0),IF(COUNT(FILTER(G:G,((A:A=A1137)*(B:B=""V""))))&gt;1,TRUNC(N1137*G1137/SUM(FILTER(N:N,((A:A=A1137)*(B:B=""V"")))),3),G1137))"),"")</f>
        <v/>
      </c>
      <c r="L1137" s="148" t="str">
        <f>IFERROR(__xludf.DUMMYFUNCTION("if($C1137="""","""",iferror(if(row()&lt;&gt;2,INDEX(arrayformula(filter($M$2:$M1136,$C$2:$C1136&lt;&gt;"""",row($C$2:$C1136)=max(if($C$2:$C1136=C1137,row($C$2:$C1136),0)))) ,1),0),0))"),"")</f>
        <v/>
      </c>
      <c r="M1137" s="148" t="str">
        <f t="shared" si="1"/>
        <v/>
      </c>
      <c r="N1137" s="147" t="str">
        <f t="shared" si="2"/>
        <v/>
      </c>
      <c r="O1137" s="147" t="str">
        <f t="shared" si="21"/>
        <v/>
      </c>
      <c r="P1137" s="147" t="str">
        <f>IFERROR(__xludf.DUMMYFUNCTION("if(C1137="""","""",iferror(if(row()&lt;&gt;2,INDEX(arrayformula(filter($Q$2:$Q1136,$C$2:$C1136&lt;&gt;"""",row($C$2:$C1136)=max(if($C$2:$C1136=C1137,row($C$2:$C1136),0)))) ,1),0),0))"),"")</f>
        <v/>
      </c>
      <c r="Q1137" s="147" t="str">
        <f t="shared" si="22"/>
        <v/>
      </c>
      <c r="R1137" s="147" t="str">
        <f t="shared" si="23"/>
        <v/>
      </c>
      <c r="S1137" s="147" t="str">
        <f t="shared" si="24"/>
        <v/>
      </c>
      <c r="T1137" s="147" t="str">
        <f t="shared" si="7"/>
        <v/>
      </c>
      <c r="U1137" s="150" t="str">
        <f t="shared" si="8"/>
        <v/>
      </c>
      <c r="V1137" s="151" t="str">
        <f>IFERROR(VLOOKUP(C1137,Ativos!$A$1:$G2000,5,),)</f>
        <v/>
      </c>
    </row>
    <row r="1138" ht="21.0" customHeight="1">
      <c r="A1138" s="152"/>
      <c r="B1138" s="160"/>
      <c r="C1138" s="153"/>
      <c r="D1138" s="154"/>
      <c r="E1138" s="139"/>
      <c r="F1138" s="139"/>
      <c r="G1138" s="139"/>
      <c r="H1138" s="135"/>
      <c r="I1138" s="141"/>
      <c r="J1138" s="147" t="str">
        <f>IFERROR(__xludf.DUMMYFUNCTION("IF(ISBLANK(A1138),IFERROR(1/0),IF(COUNT(FILTER(F:F,A:A=A1138))&gt;1,TRUNC(N1138*F1138/SUM(FILTER(N:N,A:A=A1138)),3),F1138))"),"")</f>
        <v/>
      </c>
      <c r="K1138" s="147" t="str">
        <f>IFERROR(__xludf.DUMMYFUNCTION("IF(ISBLANK(A1138),IFERROR(1/0),IF(COUNT(FILTER(G:G,((A:A=A1138)*(B:B=""V""))))&gt;1,TRUNC(N1138*G1138/SUM(FILTER(N:N,((A:A=A1138)*(B:B=""V"")))),3),G1138))"),"")</f>
        <v/>
      </c>
      <c r="L1138" s="148" t="str">
        <f>IFERROR(__xludf.DUMMYFUNCTION("if($C1138="""","""",iferror(if(row()&lt;&gt;2,INDEX(arrayformula(filter($M$2:$M1137,$C$2:$C1137&lt;&gt;"""",row($C$2:$C1137)=max(if($C$2:$C1137=C1138,row($C$2:$C1137),0)))) ,1),0),0))"),"")</f>
        <v/>
      </c>
      <c r="M1138" s="148" t="str">
        <f t="shared" si="1"/>
        <v/>
      </c>
      <c r="N1138" s="147" t="str">
        <f t="shared" si="2"/>
        <v/>
      </c>
      <c r="O1138" s="147" t="str">
        <f t="shared" si="21"/>
        <v/>
      </c>
      <c r="P1138" s="147" t="str">
        <f>IFERROR(__xludf.DUMMYFUNCTION("if(C1138="""","""",iferror(if(row()&lt;&gt;2,INDEX(arrayformula(filter($Q$2:$Q1137,$C$2:$C1137&lt;&gt;"""",row($C$2:$C1137)=max(if($C$2:$C1137=C1138,row($C$2:$C1137),0)))) ,1),0),0))"),"")</f>
        <v/>
      </c>
      <c r="Q1138" s="147" t="str">
        <f t="shared" si="22"/>
        <v/>
      </c>
      <c r="R1138" s="147" t="str">
        <f t="shared" si="23"/>
        <v/>
      </c>
      <c r="S1138" s="147" t="str">
        <f t="shared" si="24"/>
        <v/>
      </c>
      <c r="T1138" s="147" t="str">
        <f t="shared" si="7"/>
        <v/>
      </c>
      <c r="U1138" s="150" t="str">
        <f t="shared" si="8"/>
        <v/>
      </c>
      <c r="V1138" s="151" t="str">
        <f>IFERROR(VLOOKUP(C1138,Ativos!$A$1:$G2000,5,),)</f>
        <v/>
      </c>
    </row>
    <row r="1139" ht="21.0" customHeight="1">
      <c r="A1139" s="152"/>
      <c r="B1139" s="160"/>
      <c r="C1139" s="153"/>
      <c r="D1139" s="154"/>
      <c r="E1139" s="139"/>
      <c r="F1139" s="139"/>
      <c r="G1139" s="139"/>
      <c r="H1139" s="135"/>
      <c r="I1139" s="141"/>
      <c r="J1139" s="147" t="str">
        <f>IFERROR(__xludf.DUMMYFUNCTION("IF(ISBLANK(A1139),IFERROR(1/0),IF(COUNT(FILTER(F:F,A:A=A1139))&gt;1,TRUNC(N1139*F1139/SUM(FILTER(N:N,A:A=A1139)),3),F1139))"),"")</f>
        <v/>
      </c>
      <c r="K1139" s="147" t="str">
        <f>IFERROR(__xludf.DUMMYFUNCTION("IF(ISBLANK(A1139),IFERROR(1/0),IF(COUNT(FILTER(G:G,((A:A=A1139)*(B:B=""V""))))&gt;1,TRUNC(N1139*G1139/SUM(FILTER(N:N,((A:A=A1139)*(B:B=""V"")))),3),G1139))"),"")</f>
        <v/>
      </c>
      <c r="L1139" s="148" t="str">
        <f>IFERROR(__xludf.DUMMYFUNCTION("if($C1139="""","""",iferror(if(row()&lt;&gt;2,INDEX(arrayformula(filter($M$2:$M1138,$C$2:$C1138&lt;&gt;"""",row($C$2:$C1138)=max(if($C$2:$C1138=C1139,row($C$2:$C1138),0)))) ,1),0),0))"),"")</f>
        <v/>
      </c>
      <c r="M1139" s="148" t="str">
        <f t="shared" si="1"/>
        <v/>
      </c>
      <c r="N1139" s="147" t="str">
        <f t="shared" si="2"/>
        <v/>
      </c>
      <c r="O1139" s="147" t="str">
        <f t="shared" si="21"/>
        <v/>
      </c>
      <c r="P1139" s="147" t="str">
        <f>IFERROR(__xludf.DUMMYFUNCTION("if(C1139="""","""",iferror(if(row()&lt;&gt;2,INDEX(arrayformula(filter($Q$2:$Q1138,$C$2:$C1138&lt;&gt;"""",row($C$2:$C1138)=max(if($C$2:$C1138=C1139,row($C$2:$C1138),0)))) ,1),0),0))"),"")</f>
        <v/>
      </c>
      <c r="Q1139" s="147" t="str">
        <f t="shared" si="22"/>
        <v/>
      </c>
      <c r="R1139" s="147" t="str">
        <f t="shared" si="23"/>
        <v/>
      </c>
      <c r="S1139" s="147" t="str">
        <f t="shared" si="24"/>
        <v/>
      </c>
      <c r="T1139" s="147" t="str">
        <f t="shared" si="7"/>
        <v/>
      </c>
      <c r="U1139" s="150" t="str">
        <f t="shared" si="8"/>
        <v/>
      </c>
      <c r="V1139" s="151" t="str">
        <f>IFERROR(VLOOKUP(C1139,Ativos!$A$1:$G2000,5,),)</f>
        <v/>
      </c>
    </row>
    <row r="1140" ht="21.0" customHeight="1">
      <c r="A1140" s="152"/>
      <c r="B1140" s="160"/>
      <c r="C1140" s="153"/>
      <c r="D1140" s="154"/>
      <c r="E1140" s="139"/>
      <c r="F1140" s="139"/>
      <c r="G1140" s="139"/>
      <c r="H1140" s="135"/>
      <c r="I1140" s="141"/>
      <c r="J1140" s="147" t="str">
        <f>IFERROR(__xludf.DUMMYFUNCTION("IF(ISBLANK(A1140),IFERROR(1/0),IF(COUNT(FILTER(F:F,A:A=A1140))&gt;1,TRUNC(N1140*F1140/SUM(FILTER(N:N,A:A=A1140)),3),F1140))"),"")</f>
        <v/>
      </c>
      <c r="K1140" s="147" t="str">
        <f>IFERROR(__xludf.DUMMYFUNCTION("IF(ISBLANK(A1140),IFERROR(1/0),IF(COUNT(FILTER(G:G,((A:A=A1140)*(B:B=""V""))))&gt;1,TRUNC(N1140*G1140/SUM(FILTER(N:N,((A:A=A1140)*(B:B=""V"")))),3),G1140))"),"")</f>
        <v/>
      </c>
      <c r="L1140" s="148" t="str">
        <f>IFERROR(__xludf.DUMMYFUNCTION("if($C1140="""","""",iferror(if(row()&lt;&gt;2,INDEX(arrayformula(filter($M$2:$M1139,$C$2:$C1139&lt;&gt;"""",row($C$2:$C1139)=max(if($C$2:$C1139=C1140,row($C$2:$C1139),0)))) ,1),0),0))"),"")</f>
        <v/>
      </c>
      <c r="M1140" s="148" t="str">
        <f t="shared" si="1"/>
        <v/>
      </c>
      <c r="N1140" s="147" t="str">
        <f t="shared" si="2"/>
        <v/>
      </c>
      <c r="O1140" s="147" t="str">
        <f t="shared" si="21"/>
        <v/>
      </c>
      <c r="P1140" s="147" t="str">
        <f>IFERROR(__xludf.DUMMYFUNCTION("if(C1140="""","""",iferror(if(row()&lt;&gt;2,INDEX(arrayformula(filter($Q$2:$Q1139,$C$2:$C1139&lt;&gt;"""",row($C$2:$C1139)=max(if($C$2:$C1139=C1140,row($C$2:$C1139),0)))) ,1),0),0))"),"")</f>
        <v/>
      </c>
      <c r="Q1140" s="147" t="str">
        <f t="shared" si="22"/>
        <v/>
      </c>
      <c r="R1140" s="147" t="str">
        <f t="shared" si="23"/>
        <v/>
      </c>
      <c r="S1140" s="147" t="str">
        <f t="shared" si="24"/>
        <v/>
      </c>
      <c r="T1140" s="147" t="str">
        <f t="shared" si="7"/>
        <v/>
      </c>
      <c r="U1140" s="150" t="str">
        <f t="shared" si="8"/>
        <v/>
      </c>
      <c r="V1140" s="151" t="str">
        <f>IFERROR(VLOOKUP(C1140,Ativos!$A$1:$G2000,5,),)</f>
        <v/>
      </c>
    </row>
    <row r="1141" ht="21.0" customHeight="1">
      <c r="A1141" s="152"/>
      <c r="B1141" s="160"/>
      <c r="C1141" s="153"/>
      <c r="D1141" s="154"/>
      <c r="E1141" s="139"/>
      <c r="F1141" s="139"/>
      <c r="G1141" s="139"/>
      <c r="H1141" s="135"/>
      <c r="I1141" s="141"/>
      <c r="J1141" s="147" t="str">
        <f>IFERROR(__xludf.DUMMYFUNCTION("IF(ISBLANK(A1141),IFERROR(1/0),IF(COUNT(FILTER(F:F,A:A=A1141))&gt;1,TRUNC(N1141*F1141/SUM(FILTER(N:N,A:A=A1141)),3),F1141))"),"")</f>
        <v/>
      </c>
      <c r="K1141" s="147" t="str">
        <f>IFERROR(__xludf.DUMMYFUNCTION("IF(ISBLANK(A1141),IFERROR(1/0),IF(COUNT(FILTER(G:G,((A:A=A1141)*(B:B=""V""))))&gt;1,TRUNC(N1141*G1141/SUM(FILTER(N:N,((A:A=A1141)*(B:B=""V"")))),3),G1141))"),"")</f>
        <v/>
      </c>
      <c r="L1141" s="148" t="str">
        <f>IFERROR(__xludf.DUMMYFUNCTION("if($C1141="""","""",iferror(if(row()&lt;&gt;2,INDEX(arrayformula(filter($M$2:$M1140,$C$2:$C1140&lt;&gt;"""",row($C$2:$C1140)=max(if($C$2:$C1140=C1141,row($C$2:$C1140),0)))) ,1),0),0))"),"")</f>
        <v/>
      </c>
      <c r="M1141" s="148" t="str">
        <f t="shared" si="1"/>
        <v/>
      </c>
      <c r="N1141" s="147" t="str">
        <f t="shared" si="2"/>
        <v/>
      </c>
      <c r="O1141" s="147" t="str">
        <f t="shared" si="21"/>
        <v/>
      </c>
      <c r="P1141" s="147" t="str">
        <f>IFERROR(__xludf.DUMMYFUNCTION("if(C1141="""","""",iferror(if(row()&lt;&gt;2,INDEX(arrayformula(filter($Q$2:$Q1140,$C$2:$C1140&lt;&gt;"""",row($C$2:$C1140)=max(if($C$2:$C1140=C1141,row($C$2:$C1140),0)))) ,1),0),0))"),"")</f>
        <v/>
      </c>
      <c r="Q1141" s="147" t="str">
        <f t="shared" si="22"/>
        <v/>
      </c>
      <c r="R1141" s="147" t="str">
        <f t="shared" si="23"/>
        <v/>
      </c>
      <c r="S1141" s="147" t="str">
        <f t="shared" si="24"/>
        <v/>
      </c>
      <c r="T1141" s="147" t="str">
        <f t="shared" si="7"/>
        <v/>
      </c>
      <c r="U1141" s="150" t="str">
        <f t="shared" si="8"/>
        <v/>
      </c>
      <c r="V1141" s="151" t="str">
        <f>IFERROR(VLOOKUP(C1141,Ativos!$A$1:$G2000,5,),)</f>
        <v/>
      </c>
    </row>
    <row r="1142" ht="21.0" customHeight="1">
      <c r="A1142" s="152"/>
      <c r="B1142" s="160"/>
      <c r="C1142" s="153"/>
      <c r="D1142" s="154"/>
      <c r="E1142" s="139"/>
      <c r="F1142" s="139"/>
      <c r="G1142" s="139"/>
      <c r="H1142" s="135"/>
      <c r="I1142" s="141"/>
      <c r="J1142" s="147" t="str">
        <f>IFERROR(__xludf.DUMMYFUNCTION("IF(ISBLANK(A1142),IFERROR(1/0),IF(COUNT(FILTER(F:F,A:A=A1142))&gt;1,TRUNC(N1142*F1142/SUM(FILTER(N:N,A:A=A1142)),3),F1142))"),"")</f>
        <v/>
      </c>
      <c r="K1142" s="147" t="str">
        <f>IFERROR(__xludf.DUMMYFUNCTION("IF(ISBLANK(A1142),IFERROR(1/0),IF(COUNT(FILTER(G:G,((A:A=A1142)*(B:B=""V""))))&gt;1,TRUNC(N1142*G1142/SUM(FILTER(N:N,((A:A=A1142)*(B:B=""V"")))),3),G1142))"),"")</f>
        <v/>
      </c>
      <c r="L1142" s="148" t="str">
        <f>IFERROR(__xludf.DUMMYFUNCTION("if($C1142="""","""",iferror(if(row()&lt;&gt;2,INDEX(arrayformula(filter($M$2:$M1141,$C$2:$C1141&lt;&gt;"""",row($C$2:$C1141)=max(if($C$2:$C1141=C1142,row($C$2:$C1141),0)))) ,1),0),0))"),"")</f>
        <v/>
      </c>
      <c r="M1142" s="148" t="str">
        <f t="shared" si="1"/>
        <v/>
      </c>
      <c r="N1142" s="147" t="str">
        <f t="shared" si="2"/>
        <v/>
      </c>
      <c r="O1142" s="147" t="str">
        <f t="shared" si="21"/>
        <v/>
      </c>
      <c r="P1142" s="147" t="str">
        <f>IFERROR(__xludf.DUMMYFUNCTION("if(C1142="""","""",iferror(if(row()&lt;&gt;2,INDEX(arrayformula(filter($Q$2:$Q1141,$C$2:$C1141&lt;&gt;"""",row($C$2:$C1141)=max(if($C$2:$C1141=C1142,row($C$2:$C1141),0)))) ,1),0),0))"),"")</f>
        <v/>
      </c>
      <c r="Q1142" s="147" t="str">
        <f t="shared" si="22"/>
        <v/>
      </c>
      <c r="R1142" s="147" t="str">
        <f t="shared" si="23"/>
        <v/>
      </c>
      <c r="S1142" s="147" t="str">
        <f t="shared" si="24"/>
        <v/>
      </c>
      <c r="T1142" s="147" t="str">
        <f t="shared" si="7"/>
        <v/>
      </c>
      <c r="U1142" s="150" t="str">
        <f t="shared" si="8"/>
        <v/>
      </c>
      <c r="V1142" s="151" t="str">
        <f>IFERROR(VLOOKUP(C1142,Ativos!$A$1:$G2000,5,),)</f>
        <v/>
      </c>
    </row>
    <row r="1143" ht="21.0" customHeight="1">
      <c r="A1143" s="152"/>
      <c r="B1143" s="160"/>
      <c r="C1143" s="153"/>
      <c r="D1143" s="154"/>
      <c r="E1143" s="139"/>
      <c r="F1143" s="139"/>
      <c r="G1143" s="139"/>
      <c r="H1143" s="135"/>
      <c r="I1143" s="141"/>
      <c r="J1143" s="147" t="str">
        <f>IFERROR(__xludf.DUMMYFUNCTION("IF(ISBLANK(A1143),IFERROR(1/0),IF(COUNT(FILTER(F:F,A:A=A1143))&gt;1,TRUNC(N1143*F1143/SUM(FILTER(N:N,A:A=A1143)),3),F1143))"),"")</f>
        <v/>
      </c>
      <c r="K1143" s="147" t="str">
        <f>IFERROR(__xludf.DUMMYFUNCTION("IF(ISBLANK(A1143),IFERROR(1/0),IF(COUNT(FILTER(G:G,((A:A=A1143)*(B:B=""V""))))&gt;1,TRUNC(N1143*G1143/SUM(FILTER(N:N,((A:A=A1143)*(B:B=""V"")))),3),G1143))"),"")</f>
        <v/>
      </c>
      <c r="L1143" s="148" t="str">
        <f>IFERROR(__xludf.DUMMYFUNCTION("if($C1143="""","""",iferror(if(row()&lt;&gt;2,INDEX(arrayformula(filter($M$2:$M1142,$C$2:$C1142&lt;&gt;"""",row($C$2:$C1142)=max(if($C$2:$C1142=C1143,row($C$2:$C1142),0)))) ,1),0),0))"),"")</f>
        <v/>
      </c>
      <c r="M1143" s="148" t="str">
        <f t="shared" si="1"/>
        <v/>
      </c>
      <c r="N1143" s="147" t="str">
        <f t="shared" si="2"/>
        <v/>
      </c>
      <c r="O1143" s="147" t="str">
        <f t="shared" si="21"/>
        <v/>
      </c>
      <c r="P1143" s="147" t="str">
        <f>IFERROR(__xludf.DUMMYFUNCTION("if(C1143="""","""",iferror(if(row()&lt;&gt;2,INDEX(arrayformula(filter($Q$2:$Q1142,$C$2:$C1142&lt;&gt;"""",row($C$2:$C1142)=max(if($C$2:$C1142=C1143,row($C$2:$C1142),0)))) ,1),0),0))"),"")</f>
        <v/>
      </c>
      <c r="Q1143" s="147" t="str">
        <f t="shared" si="22"/>
        <v/>
      </c>
      <c r="R1143" s="147" t="str">
        <f t="shared" si="23"/>
        <v/>
      </c>
      <c r="S1143" s="147" t="str">
        <f t="shared" si="24"/>
        <v/>
      </c>
      <c r="T1143" s="147" t="str">
        <f t="shared" si="7"/>
        <v/>
      </c>
      <c r="U1143" s="150" t="str">
        <f t="shared" si="8"/>
        <v/>
      </c>
      <c r="V1143" s="151" t="str">
        <f>IFERROR(VLOOKUP(C1143,Ativos!$A$1:$G2000,5,),)</f>
        <v/>
      </c>
    </row>
    <row r="1144" ht="21.0" customHeight="1">
      <c r="A1144" s="152"/>
      <c r="B1144" s="160"/>
      <c r="C1144" s="153"/>
      <c r="D1144" s="154"/>
      <c r="E1144" s="139"/>
      <c r="F1144" s="139"/>
      <c r="G1144" s="139"/>
      <c r="H1144" s="135"/>
      <c r="I1144" s="141"/>
      <c r="J1144" s="147" t="str">
        <f>IFERROR(__xludf.DUMMYFUNCTION("IF(ISBLANK(A1144),IFERROR(1/0),IF(COUNT(FILTER(F:F,A:A=A1144))&gt;1,TRUNC(N1144*F1144/SUM(FILTER(N:N,A:A=A1144)),3),F1144))"),"")</f>
        <v/>
      </c>
      <c r="K1144" s="147" t="str">
        <f>IFERROR(__xludf.DUMMYFUNCTION("IF(ISBLANK(A1144),IFERROR(1/0),IF(COUNT(FILTER(G:G,((A:A=A1144)*(B:B=""V""))))&gt;1,TRUNC(N1144*G1144/SUM(FILTER(N:N,((A:A=A1144)*(B:B=""V"")))),3),G1144))"),"")</f>
        <v/>
      </c>
      <c r="L1144" s="148" t="str">
        <f>IFERROR(__xludf.DUMMYFUNCTION("if($C1144="""","""",iferror(if(row()&lt;&gt;2,INDEX(arrayformula(filter($M$2:$M1143,$C$2:$C1143&lt;&gt;"""",row($C$2:$C1143)=max(if($C$2:$C1143=C1144,row($C$2:$C1143),0)))) ,1),0),0))"),"")</f>
        <v/>
      </c>
      <c r="M1144" s="148" t="str">
        <f t="shared" si="1"/>
        <v/>
      </c>
      <c r="N1144" s="147" t="str">
        <f t="shared" si="2"/>
        <v/>
      </c>
      <c r="O1144" s="147" t="str">
        <f t="shared" si="21"/>
        <v/>
      </c>
      <c r="P1144" s="147" t="str">
        <f>IFERROR(__xludf.DUMMYFUNCTION("if(C1144="""","""",iferror(if(row()&lt;&gt;2,INDEX(arrayformula(filter($Q$2:$Q1143,$C$2:$C1143&lt;&gt;"""",row($C$2:$C1143)=max(if($C$2:$C1143=C1144,row($C$2:$C1143),0)))) ,1),0),0))"),"")</f>
        <v/>
      </c>
      <c r="Q1144" s="147" t="str">
        <f t="shared" si="22"/>
        <v/>
      </c>
      <c r="R1144" s="147" t="str">
        <f t="shared" si="23"/>
        <v/>
      </c>
      <c r="S1144" s="147" t="str">
        <f t="shared" si="24"/>
        <v/>
      </c>
      <c r="T1144" s="147" t="str">
        <f t="shared" si="7"/>
        <v/>
      </c>
      <c r="U1144" s="150" t="str">
        <f t="shared" si="8"/>
        <v/>
      </c>
      <c r="V1144" s="151" t="str">
        <f>IFERROR(VLOOKUP(C1144,Ativos!$A$1:$G2000,5,),)</f>
        <v/>
      </c>
    </row>
    <row r="1145" ht="21.0" customHeight="1">
      <c r="A1145" s="152"/>
      <c r="B1145" s="160"/>
      <c r="C1145" s="153"/>
      <c r="D1145" s="154"/>
      <c r="E1145" s="139"/>
      <c r="F1145" s="139"/>
      <c r="G1145" s="139"/>
      <c r="H1145" s="135"/>
      <c r="I1145" s="141"/>
      <c r="J1145" s="147" t="str">
        <f>IFERROR(__xludf.DUMMYFUNCTION("IF(ISBLANK(A1145),IFERROR(1/0),IF(COUNT(FILTER(F:F,A:A=A1145))&gt;1,TRUNC(N1145*F1145/SUM(FILTER(N:N,A:A=A1145)),3),F1145))"),"")</f>
        <v/>
      </c>
      <c r="K1145" s="147" t="str">
        <f>IFERROR(__xludf.DUMMYFUNCTION("IF(ISBLANK(A1145),IFERROR(1/0),IF(COUNT(FILTER(G:G,((A:A=A1145)*(B:B=""V""))))&gt;1,TRUNC(N1145*G1145/SUM(FILTER(N:N,((A:A=A1145)*(B:B=""V"")))),3),G1145))"),"")</f>
        <v/>
      </c>
      <c r="L1145" s="148" t="str">
        <f>IFERROR(__xludf.DUMMYFUNCTION("if($C1145="""","""",iferror(if(row()&lt;&gt;2,INDEX(arrayformula(filter($M$2:$M1144,$C$2:$C1144&lt;&gt;"""",row($C$2:$C1144)=max(if($C$2:$C1144=C1145,row($C$2:$C1144),0)))) ,1),0),0))"),"")</f>
        <v/>
      </c>
      <c r="M1145" s="148" t="str">
        <f t="shared" si="1"/>
        <v/>
      </c>
      <c r="N1145" s="147" t="str">
        <f t="shared" si="2"/>
        <v/>
      </c>
      <c r="O1145" s="147" t="str">
        <f t="shared" si="21"/>
        <v/>
      </c>
      <c r="P1145" s="147" t="str">
        <f>IFERROR(__xludf.DUMMYFUNCTION("if(C1145="""","""",iferror(if(row()&lt;&gt;2,INDEX(arrayformula(filter($Q$2:$Q1144,$C$2:$C1144&lt;&gt;"""",row($C$2:$C1144)=max(if($C$2:$C1144=C1145,row($C$2:$C1144),0)))) ,1),0),0))"),"")</f>
        <v/>
      </c>
      <c r="Q1145" s="147" t="str">
        <f t="shared" si="22"/>
        <v/>
      </c>
      <c r="R1145" s="147" t="str">
        <f t="shared" si="23"/>
        <v/>
      </c>
      <c r="S1145" s="147" t="str">
        <f t="shared" si="24"/>
        <v/>
      </c>
      <c r="T1145" s="147" t="str">
        <f t="shared" si="7"/>
        <v/>
      </c>
      <c r="U1145" s="150" t="str">
        <f t="shared" si="8"/>
        <v/>
      </c>
      <c r="V1145" s="151" t="str">
        <f>IFERROR(VLOOKUP(C1145,Ativos!$A$1:$G2000,5,),)</f>
        <v/>
      </c>
    </row>
    <row r="1146" ht="21.0" customHeight="1">
      <c r="A1146" s="152"/>
      <c r="B1146" s="160"/>
      <c r="C1146" s="153"/>
      <c r="D1146" s="154"/>
      <c r="E1146" s="139"/>
      <c r="F1146" s="139"/>
      <c r="G1146" s="139"/>
      <c r="H1146" s="135"/>
      <c r="I1146" s="141"/>
      <c r="J1146" s="147" t="str">
        <f>IFERROR(__xludf.DUMMYFUNCTION("IF(ISBLANK(A1146),IFERROR(1/0),IF(COUNT(FILTER(F:F,A:A=A1146))&gt;1,TRUNC(N1146*F1146/SUM(FILTER(N:N,A:A=A1146)),3),F1146))"),"")</f>
        <v/>
      </c>
      <c r="K1146" s="147" t="str">
        <f>IFERROR(__xludf.DUMMYFUNCTION("IF(ISBLANK(A1146),IFERROR(1/0),IF(COUNT(FILTER(G:G,((A:A=A1146)*(B:B=""V""))))&gt;1,TRUNC(N1146*G1146/SUM(FILTER(N:N,((A:A=A1146)*(B:B=""V"")))),3),G1146))"),"")</f>
        <v/>
      </c>
      <c r="L1146" s="148" t="str">
        <f>IFERROR(__xludf.DUMMYFUNCTION("if($C1146="""","""",iferror(if(row()&lt;&gt;2,INDEX(arrayformula(filter($M$2:$M1145,$C$2:$C1145&lt;&gt;"""",row($C$2:$C1145)=max(if($C$2:$C1145=C1146,row($C$2:$C1145),0)))) ,1),0),0))"),"")</f>
        <v/>
      </c>
      <c r="M1146" s="148" t="str">
        <f t="shared" si="1"/>
        <v/>
      </c>
      <c r="N1146" s="147" t="str">
        <f t="shared" si="2"/>
        <v/>
      </c>
      <c r="O1146" s="147" t="str">
        <f t="shared" si="21"/>
        <v/>
      </c>
      <c r="P1146" s="147" t="str">
        <f>IFERROR(__xludf.DUMMYFUNCTION("if(C1146="""","""",iferror(if(row()&lt;&gt;2,INDEX(arrayformula(filter($Q$2:$Q1145,$C$2:$C1145&lt;&gt;"""",row($C$2:$C1145)=max(if($C$2:$C1145=C1146,row($C$2:$C1145),0)))) ,1),0),0))"),"")</f>
        <v/>
      </c>
      <c r="Q1146" s="147" t="str">
        <f t="shared" si="22"/>
        <v/>
      </c>
      <c r="R1146" s="147" t="str">
        <f t="shared" si="23"/>
        <v/>
      </c>
      <c r="S1146" s="147" t="str">
        <f t="shared" si="24"/>
        <v/>
      </c>
      <c r="T1146" s="147" t="str">
        <f t="shared" si="7"/>
        <v/>
      </c>
      <c r="U1146" s="150" t="str">
        <f t="shared" si="8"/>
        <v/>
      </c>
      <c r="V1146" s="151" t="str">
        <f>IFERROR(VLOOKUP(C1146,Ativos!$A$1:$G2000,5,),)</f>
        <v/>
      </c>
    </row>
    <row r="1147" ht="21.0" customHeight="1">
      <c r="A1147" s="152"/>
      <c r="B1147" s="160"/>
      <c r="C1147" s="153"/>
      <c r="D1147" s="154"/>
      <c r="E1147" s="139"/>
      <c r="F1147" s="139"/>
      <c r="G1147" s="139"/>
      <c r="H1147" s="135"/>
      <c r="I1147" s="141"/>
      <c r="J1147" s="147" t="str">
        <f>IFERROR(__xludf.DUMMYFUNCTION("IF(ISBLANK(A1147),IFERROR(1/0),IF(COUNT(FILTER(F:F,A:A=A1147))&gt;1,TRUNC(N1147*F1147/SUM(FILTER(N:N,A:A=A1147)),3),F1147))"),"")</f>
        <v/>
      </c>
      <c r="K1147" s="147" t="str">
        <f>IFERROR(__xludf.DUMMYFUNCTION("IF(ISBLANK(A1147),IFERROR(1/0),IF(COUNT(FILTER(G:G,((A:A=A1147)*(B:B=""V""))))&gt;1,TRUNC(N1147*G1147/SUM(FILTER(N:N,((A:A=A1147)*(B:B=""V"")))),3),G1147))"),"")</f>
        <v/>
      </c>
      <c r="L1147" s="148" t="str">
        <f>IFERROR(__xludf.DUMMYFUNCTION("if($C1147="""","""",iferror(if(row()&lt;&gt;2,INDEX(arrayformula(filter($M$2:$M1146,$C$2:$C1146&lt;&gt;"""",row($C$2:$C1146)=max(if($C$2:$C1146=C1147,row($C$2:$C1146),0)))) ,1),0),0))"),"")</f>
        <v/>
      </c>
      <c r="M1147" s="148" t="str">
        <f t="shared" si="1"/>
        <v/>
      </c>
      <c r="N1147" s="147" t="str">
        <f t="shared" si="2"/>
        <v/>
      </c>
      <c r="O1147" s="147" t="str">
        <f t="shared" si="21"/>
        <v/>
      </c>
      <c r="P1147" s="147" t="str">
        <f>IFERROR(__xludf.DUMMYFUNCTION("if(C1147="""","""",iferror(if(row()&lt;&gt;2,INDEX(arrayformula(filter($Q$2:$Q1146,$C$2:$C1146&lt;&gt;"""",row($C$2:$C1146)=max(if($C$2:$C1146=C1147,row($C$2:$C1146),0)))) ,1),0),0))"),"")</f>
        <v/>
      </c>
      <c r="Q1147" s="147" t="str">
        <f t="shared" si="22"/>
        <v/>
      </c>
      <c r="R1147" s="147" t="str">
        <f t="shared" si="23"/>
        <v/>
      </c>
      <c r="S1147" s="147" t="str">
        <f t="shared" si="24"/>
        <v/>
      </c>
      <c r="T1147" s="147" t="str">
        <f t="shared" si="7"/>
        <v/>
      </c>
      <c r="U1147" s="150" t="str">
        <f t="shared" si="8"/>
        <v/>
      </c>
      <c r="V1147" s="151" t="str">
        <f>IFERROR(VLOOKUP(C1147,Ativos!$A$1:$G2000,5,),)</f>
        <v/>
      </c>
    </row>
    <row r="1148" ht="21.0" customHeight="1">
      <c r="A1148" s="152"/>
      <c r="B1148" s="160"/>
      <c r="C1148" s="153"/>
      <c r="D1148" s="154"/>
      <c r="E1148" s="139"/>
      <c r="F1148" s="139"/>
      <c r="G1148" s="139"/>
      <c r="H1148" s="135"/>
      <c r="I1148" s="141"/>
      <c r="J1148" s="147" t="str">
        <f>IFERROR(__xludf.DUMMYFUNCTION("IF(ISBLANK(A1148),IFERROR(1/0),IF(COUNT(FILTER(F:F,A:A=A1148))&gt;1,TRUNC(N1148*F1148/SUM(FILTER(N:N,A:A=A1148)),3),F1148))"),"")</f>
        <v/>
      </c>
      <c r="K1148" s="147" t="str">
        <f>IFERROR(__xludf.DUMMYFUNCTION("IF(ISBLANK(A1148),IFERROR(1/0),IF(COUNT(FILTER(G:G,((A:A=A1148)*(B:B=""V""))))&gt;1,TRUNC(N1148*G1148/SUM(FILTER(N:N,((A:A=A1148)*(B:B=""V"")))),3),G1148))"),"")</f>
        <v/>
      </c>
      <c r="L1148" s="148" t="str">
        <f>IFERROR(__xludf.DUMMYFUNCTION("if($C1148="""","""",iferror(if(row()&lt;&gt;2,INDEX(arrayformula(filter($M$2:$M1147,$C$2:$C1147&lt;&gt;"""",row($C$2:$C1147)=max(if($C$2:$C1147=C1148,row($C$2:$C1147),0)))) ,1),0),0))"),"")</f>
        <v/>
      </c>
      <c r="M1148" s="148" t="str">
        <f t="shared" si="1"/>
        <v/>
      </c>
      <c r="N1148" s="147" t="str">
        <f t="shared" si="2"/>
        <v/>
      </c>
      <c r="O1148" s="147" t="str">
        <f t="shared" si="21"/>
        <v/>
      </c>
      <c r="P1148" s="147" t="str">
        <f>IFERROR(__xludf.DUMMYFUNCTION("if(C1148="""","""",iferror(if(row()&lt;&gt;2,INDEX(arrayformula(filter($Q$2:$Q1147,$C$2:$C1147&lt;&gt;"""",row($C$2:$C1147)=max(if($C$2:$C1147=C1148,row($C$2:$C1147),0)))) ,1),0),0))"),"")</f>
        <v/>
      </c>
      <c r="Q1148" s="147" t="str">
        <f t="shared" si="22"/>
        <v/>
      </c>
      <c r="R1148" s="147" t="str">
        <f t="shared" si="23"/>
        <v/>
      </c>
      <c r="S1148" s="147" t="str">
        <f t="shared" si="24"/>
        <v/>
      </c>
      <c r="T1148" s="147" t="str">
        <f t="shared" si="7"/>
        <v/>
      </c>
      <c r="U1148" s="150" t="str">
        <f t="shared" si="8"/>
        <v/>
      </c>
      <c r="V1148" s="151" t="str">
        <f>IFERROR(VLOOKUP(C1148,Ativos!$A$1:$G2000,5,),)</f>
        <v/>
      </c>
    </row>
    <row r="1149" ht="21.0" customHeight="1">
      <c r="A1149" s="152"/>
      <c r="B1149" s="160"/>
      <c r="C1149" s="153"/>
      <c r="D1149" s="154"/>
      <c r="E1149" s="139"/>
      <c r="F1149" s="139"/>
      <c r="G1149" s="139"/>
      <c r="H1149" s="135"/>
      <c r="I1149" s="141"/>
      <c r="J1149" s="147" t="str">
        <f>IFERROR(__xludf.DUMMYFUNCTION("IF(ISBLANK(A1149),IFERROR(1/0),IF(COUNT(FILTER(F:F,A:A=A1149))&gt;1,TRUNC(N1149*F1149/SUM(FILTER(N:N,A:A=A1149)),3),F1149))"),"")</f>
        <v/>
      </c>
      <c r="K1149" s="147" t="str">
        <f>IFERROR(__xludf.DUMMYFUNCTION("IF(ISBLANK(A1149),IFERROR(1/0),IF(COUNT(FILTER(G:G,((A:A=A1149)*(B:B=""V""))))&gt;1,TRUNC(N1149*G1149/SUM(FILTER(N:N,((A:A=A1149)*(B:B=""V"")))),3),G1149))"),"")</f>
        <v/>
      </c>
      <c r="L1149" s="148" t="str">
        <f>IFERROR(__xludf.DUMMYFUNCTION("if($C1149="""","""",iferror(if(row()&lt;&gt;2,INDEX(arrayformula(filter($M$2:$M1148,$C$2:$C1148&lt;&gt;"""",row($C$2:$C1148)=max(if($C$2:$C1148=C1149,row($C$2:$C1148),0)))) ,1),0),0))"),"")</f>
        <v/>
      </c>
      <c r="M1149" s="148" t="str">
        <f t="shared" si="1"/>
        <v/>
      </c>
      <c r="N1149" s="147" t="str">
        <f t="shared" si="2"/>
        <v/>
      </c>
      <c r="O1149" s="147" t="str">
        <f t="shared" si="21"/>
        <v/>
      </c>
      <c r="P1149" s="147" t="str">
        <f>IFERROR(__xludf.DUMMYFUNCTION("if(C1149="""","""",iferror(if(row()&lt;&gt;2,INDEX(arrayformula(filter($Q$2:$Q1148,$C$2:$C1148&lt;&gt;"""",row($C$2:$C1148)=max(if($C$2:$C1148=C1149,row($C$2:$C1148),0)))) ,1),0),0))"),"")</f>
        <v/>
      </c>
      <c r="Q1149" s="147" t="str">
        <f t="shared" si="22"/>
        <v/>
      </c>
      <c r="R1149" s="147" t="str">
        <f t="shared" si="23"/>
        <v/>
      </c>
      <c r="S1149" s="147" t="str">
        <f t="shared" si="24"/>
        <v/>
      </c>
      <c r="T1149" s="147" t="str">
        <f t="shared" si="7"/>
        <v/>
      </c>
      <c r="U1149" s="150" t="str">
        <f t="shared" si="8"/>
        <v/>
      </c>
      <c r="V1149" s="151" t="str">
        <f>IFERROR(VLOOKUP(C1149,Ativos!$A$1:$G2000,5,),)</f>
        <v/>
      </c>
    </row>
    <row r="1150" ht="21.0" customHeight="1">
      <c r="A1150" s="152"/>
      <c r="B1150" s="160"/>
      <c r="C1150" s="153"/>
      <c r="D1150" s="154"/>
      <c r="E1150" s="139"/>
      <c r="F1150" s="139"/>
      <c r="G1150" s="139"/>
      <c r="H1150" s="135"/>
      <c r="I1150" s="141"/>
      <c r="J1150" s="147" t="str">
        <f>IFERROR(__xludf.DUMMYFUNCTION("IF(ISBLANK(A1150),IFERROR(1/0),IF(COUNT(FILTER(F:F,A:A=A1150))&gt;1,TRUNC(N1150*F1150/SUM(FILTER(N:N,A:A=A1150)),3),F1150))"),"")</f>
        <v/>
      </c>
      <c r="K1150" s="147" t="str">
        <f>IFERROR(__xludf.DUMMYFUNCTION("IF(ISBLANK(A1150),IFERROR(1/0),IF(COUNT(FILTER(G:G,((A:A=A1150)*(B:B=""V""))))&gt;1,TRUNC(N1150*G1150/SUM(FILTER(N:N,((A:A=A1150)*(B:B=""V"")))),3),G1150))"),"")</f>
        <v/>
      </c>
      <c r="L1150" s="148" t="str">
        <f>IFERROR(__xludf.DUMMYFUNCTION("if($C1150="""","""",iferror(if(row()&lt;&gt;2,INDEX(arrayformula(filter($M$2:$M1149,$C$2:$C1149&lt;&gt;"""",row($C$2:$C1149)=max(if($C$2:$C1149=C1150,row($C$2:$C1149),0)))) ,1),0),0))"),"")</f>
        <v/>
      </c>
      <c r="M1150" s="148" t="str">
        <f t="shared" si="1"/>
        <v/>
      </c>
      <c r="N1150" s="147" t="str">
        <f t="shared" si="2"/>
        <v/>
      </c>
      <c r="O1150" s="147" t="str">
        <f t="shared" si="21"/>
        <v/>
      </c>
      <c r="P1150" s="147" t="str">
        <f>IFERROR(__xludf.DUMMYFUNCTION("if(C1150="""","""",iferror(if(row()&lt;&gt;2,INDEX(arrayformula(filter($Q$2:$Q1149,$C$2:$C1149&lt;&gt;"""",row($C$2:$C1149)=max(if($C$2:$C1149=C1150,row($C$2:$C1149),0)))) ,1),0),0))"),"")</f>
        <v/>
      </c>
      <c r="Q1150" s="147" t="str">
        <f t="shared" si="22"/>
        <v/>
      </c>
      <c r="R1150" s="147" t="str">
        <f t="shared" si="23"/>
        <v/>
      </c>
      <c r="S1150" s="147" t="str">
        <f t="shared" si="24"/>
        <v/>
      </c>
      <c r="T1150" s="147" t="str">
        <f t="shared" si="7"/>
        <v/>
      </c>
      <c r="U1150" s="150" t="str">
        <f t="shared" si="8"/>
        <v/>
      </c>
      <c r="V1150" s="151" t="str">
        <f>IFERROR(VLOOKUP(C1150,Ativos!$A$1:$G2000,5,),)</f>
        <v/>
      </c>
    </row>
    <row r="1151" ht="21.0" customHeight="1">
      <c r="A1151" s="152"/>
      <c r="B1151" s="160"/>
      <c r="C1151" s="153"/>
      <c r="D1151" s="154"/>
      <c r="E1151" s="139"/>
      <c r="F1151" s="139"/>
      <c r="G1151" s="139"/>
      <c r="H1151" s="135"/>
      <c r="I1151" s="141"/>
      <c r="J1151" s="147" t="str">
        <f>IFERROR(__xludf.DUMMYFUNCTION("IF(ISBLANK(A1151),IFERROR(1/0),IF(COUNT(FILTER(F:F,A:A=A1151))&gt;1,TRUNC(N1151*F1151/SUM(FILTER(N:N,A:A=A1151)),3),F1151))"),"")</f>
        <v/>
      </c>
      <c r="K1151" s="147" t="str">
        <f>IFERROR(__xludf.DUMMYFUNCTION("IF(ISBLANK(A1151),IFERROR(1/0),IF(COUNT(FILTER(G:G,((A:A=A1151)*(B:B=""V""))))&gt;1,TRUNC(N1151*G1151/SUM(FILTER(N:N,((A:A=A1151)*(B:B=""V"")))),3),G1151))"),"")</f>
        <v/>
      </c>
      <c r="L1151" s="148" t="str">
        <f>IFERROR(__xludf.DUMMYFUNCTION("if($C1151="""","""",iferror(if(row()&lt;&gt;2,INDEX(arrayformula(filter($M$2:$M1150,$C$2:$C1150&lt;&gt;"""",row($C$2:$C1150)=max(if($C$2:$C1150=C1151,row($C$2:$C1150),0)))) ,1),0),0))"),"")</f>
        <v/>
      </c>
      <c r="M1151" s="148" t="str">
        <f t="shared" si="1"/>
        <v/>
      </c>
      <c r="N1151" s="147" t="str">
        <f t="shared" si="2"/>
        <v/>
      </c>
      <c r="O1151" s="147" t="str">
        <f t="shared" si="21"/>
        <v/>
      </c>
      <c r="P1151" s="147" t="str">
        <f>IFERROR(__xludf.DUMMYFUNCTION("if(C1151="""","""",iferror(if(row()&lt;&gt;2,INDEX(arrayformula(filter($Q$2:$Q1150,$C$2:$C1150&lt;&gt;"""",row($C$2:$C1150)=max(if($C$2:$C1150=C1151,row($C$2:$C1150),0)))) ,1),0),0))"),"")</f>
        <v/>
      </c>
      <c r="Q1151" s="147" t="str">
        <f t="shared" si="22"/>
        <v/>
      </c>
      <c r="R1151" s="147" t="str">
        <f t="shared" si="23"/>
        <v/>
      </c>
      <c r="S1151" s="147" t="str">
        <f t="shared" si="24"/>
        <v/>
      </c>
      <c r="T1151" s="147" t="str">
        <f t="shared" si="7"/>
        <v/>
      </c>
      <c r="U1151" s="150" t="str">
        <f t="shared" si="8"/>
        <v/>
      </c>
      <c r="V1151" s="151" t="str">
        <f>IFERROR(VLOOKUP(C1151,Ativos!$A$1:$G2000,5,),)</f>
        <v/>
      </c>
    </row>
    <row r="1152" ht="21.0" customHeight="1">
      <c r="A1152" s="152"/>
      <c r="B1152" s="160"/>
      <c r="C1152" s="153"/>
      <c r="D1152" s="154"/>
      <c r="E1152" s="139"/>
      <c r="F1152" s="139"/>
      <c r="G1152" s="139"/>
      <c r="H1152" s="135"/>
      <c r="I1152" s="141"/>
      <c r="J1152" s="147" t="str">
        <f>IFERROR(__xludf.DUMMYFUNCTION("IF(ISBLANK(A1152),IFERROR(1/0),IF(COUNT(FILTER(F:F,A:A=A1152))&gt;1,TRUNC(N1152*F1152/SUM(FILTER(N:N,A:A=A1152)),3),F1152))"),"")</f>
        <v/>
      </c>
      <c r="K1152" s="147" t="str">
        <f>IFERROR(__xludf.DUMMYFUNCTION("IF(ISBLANK(A1152),IFERROR(1/0),IF(COUNT(FILTER(G:G,((A:A=A1152)*(B:B=""V""))))&gt;1,TRUNC(N1152*G1152/SUM(FILTER(N:N,((A:A=A1152)*(B:B=""V"")))),3),G1152))"),"")</f>
        <v/>
      </c>
      <c r="L1152" s="148" t="str">
        <f>IFERROR(__xludf.DUMMYFUNCTION("if($C1152="""","""",iferror(if(row()&lt;&gt;2,INDEX(arrayformula(filter($M$2:$M1151,$C$2:$C1151&lt;&gt;"""",row($C$2:$C1151)=max(if($C$2:$C1151=C1152,row($C$2:$C1151),0)))) ,1),0),0))"),"")</f>
        <v/>
      </c>
      <c r="M1152" s="148" t="str">
        <f t="shared" si="1"/>
        <v/>
      </c>
      <c r="N1152" s="147" t="str">
        <f t="shared" si="2"/>
        <v/>
      </c>
      <c r="O1152" s="147" t="str">
        <f t="shared" si="21"/>
        <v/>
      </c>
      <c r="P1152" s="147" t="str">
        <f>IFERROR(__xludf.DUMMYFUNCTION("if(C1152="""","""",iferror(if(row()&lt;&gt;2,INDEX(arrayformula(filter($Q$2:$Q1151,$C$2:$C1151&lt;&gt;"""",row($C$2:$C1151)=max(if($C$2:$C1151=C1152,row($C$2:$C1151),0)))) ,1),0),0))"),"")</f>
        <v/>
      </c>
      <c r="Q1152" s="147" t="str">
        <f t="shared" si="22"/>
        <v/>
      </c>
      <c r="R1152" s="147" t="str">
        <f t="shared" si="23"/>
        <v/>
      </c>
      <c r="S1152" s="147" t="str">
        <f t="shared" si="24"/>
        <v/>
      </c>
      <c r="T1152" s="147" t="str">
        <f t="shared" si="7"/>
        <v/>
      </c>
      <c r="U1152" s="150" t="str">
        <f t="shared" si="8"/>
        <v/>
      </c>
      <c r="V1152" s="151" t="str">
        <f>IFERROR(VLOOKUP(C1152,Ativos!$A$1:$G2000,5,),)</f>
        <v/>
      </c>
    </row>
    <row r="1153" ht="21.0" customHeight="1">
      <c r="A1153" s="152"/>
      <c r="B1153" s="160"/>
      <c r="C1153" s="153"/>
      <c r="D1153" s="154"/>
      <c r="E1153" s="139"/>
      <c r="F1153" s="139"/>
      <c r="G1153" s="139"/>
      <c r="H1153" s="135"/>
      <c r="I1153" s="141"/>
      <c r="J1153" s="147" t="str">
        <f>IFERROR(__xludf.DUMMYFUNCTION("IF(ISBLANK(A1153),IFERROR(1/0),IF(COUNT(FILTER(F:F,A:A=A1153))&gt;1,TRUNC(N1153*F1153/SUM(FILTER(N:N,A:A=A1153)),3),F1153))"),"")</f>
        <v/>
      </c>
      <c r="K1153" s="147" t="str">
        <f>IFERROR(__xludf.DUMMYFUNCTION("IF(ISBLANK(A1153),IFERROR(1/0),IF(COUNT(FILTER(G:G,((A:A=A1153)*(B:B=""V""))))&gt;1,TRUNC(N1153*G1153/SUM(FILTER(N:N,((A:A=A1153)*(B:B=""V"")))),3),G1153))"),"")</f>
        <v/>
      </c>
      <c r="L1153" s="148" t="str">
        <f>IFERROR(__xludf.DUMMYFUNCTION("if($C1153="""","""",iferror(if(row()&lt;&gt;2,INDEX(arrayformula(filter($M$2:$M1152,$C$2:$C1152&lt;&gt;"""",row($C$2:$C1152)=max(if($C$2:$C1152=C1153,row($C$2:$C1152),0)))) ,1),0),0))"),"")</f>
        <v/>
      </c>
      <c r="M1153" s="148" t="str">
        <f t="shared" si="1"/>
        <v/>
      </c>
      <c r="N1153" s="147" t="str">
        <f t="shared" si="2"/>
        <v/>
      </c>
      <c r="O1153" s="147" t="str">
        <f t="shared" si="21"/>
        <v/>
      </c>
      <c r="P1153" s="147" t="str">
        <f>IFERROR(__xludf.DUMMYFUNCTION("if(C1153="""","""",iferror(if(row()&lt;&gt;2,INDEX(arrayformula(filter($Q$2:$Q1152,$C$2:$C1152&lt;&gt;"""",row($C$2:$C1152)=max(if($C$2:$C1152=C1153,row($C$2:$C1152),0)))) ,1),0),0))"),"")</f>
        <v/>
      </c>
      <c r="Q1153" s="147" t="str">
        <f t="shared" si="22"/>
        <v/>
      </c>
      <c r="R1153" s="147" t="str">
        <f t="shared" si="23"/>
        <v/>
      </c>
      <c r="S1153" s="147" t="str">
        <f t="shared" si="24"/>
        <v/>
      </c>
      <c r="T1153" s="147" t="str">
        <f t="shared" si="7"/>
        <v/>
      </c>
      <c r="U1153" s="150" t="str">
        <f t="shared" si="8"/>
        <v/>
      </c>
      <c r="V1153" s="151" t="str">
        <f>IFERROR(VLOOKUP(C1153,Ativos!$A$1:$G2000,5,),)</f>
        <v/>
      </c>
    </row>
    <row r="1154" ht="21.0" customHeight="1">
      <c r="A1154" s="152"/>
      <c r="B1154" s="160"/>
      <c r="C1154" s="153"/>
      <c r="D1154" s="154"/>
      <c r="E1154" s="139"/>
      <c r="F1154" s="139"/>
      <c r="G1154" s="139"/>
      <c r="H1154" s="135"/>
      <c r="I1154" s="141"/>
      <c r="J1154" s="147" t="str">
        <f>IFERROR(__xludf.DUMMYFUNCTION("IF(ISBLANK(A1154),IFERROR(1/0),IF(COUNT(FILTER(F:F,A:A=A1154))&gt;1,TRUNC(N1154*F1154/SUM(FILTER(N:N,A:A=A1154)),3),F1154))"),"")</f>
        <v/>
      </c>
      <c r="K1154" s="147" t="str">
        <f>IFERROR(__xludf.DUMMYFUNCTION("IF(ISBLANK(A1154),IFERROR(1/0),IF(COUNT(FILTER(G:G,((A:A=A1154)*(B:B=""V""))))&gt;1,TRUNC(N1154*G1154/SUM(FILTER(N:N,((A:A=A1154)*(B:B=""V"")))),3),G1154))"),"")</f>
        <v/>
      </c>
      <c r="L1154" s="148" t="str">
        <f>IFERROR(__xludf.DUMMYFUNCTION("if($C1154="""","""",iferror(if(row()&lt;&gt;2,INDEX(arrayformula(filter($M$2:$M1153,$C$2:$C1153&lt;&gt;"""",row($C$2:$C1153)=max(if($C$2:$C1153=C1154,row($C$2:$C1153),0)))) ,1),0),0))"),"")</f>
        <v/>
      </c>
      <c r="M1154" s="148" t="str">
        <f t="shared" si="1"/>
        <v/>
      </c>
      <c r="N1154" s="147" t="str">
        <f t="shared" si="2"/>
        <v/>
      </c>
      <c r="O1154" s="147" t="str">
        <f t="shared" si="21"/>
        <v/>
      </c>
      <c r="P1154" s="147" t="str">
        <f>IFERROR(__xludf.DUMMYFUNCTION("if(C1154="""","""",iferror(if(row()&lt;&gt;2,INDEX(arrayformula(filter($Q$2:$Q1153,$C$2:$C1153&lt;&gt;"""",row($C$2:$C1153)=max(if($C$2:$C1153=C1154,row($C$2:$C1153),0)))) ,1),0),0))"),"")</f>
        <v/>
      </c>
      <c r="Q1154" s="147" t="str">
        <f t="shared" si="22"/>
        <v/>
      </c>
      <c r="R1154" s="147" t="str">
        <f t="shared" si="23"/>
        <v/>
      </c>
      <c r="S1154" s="147" t="str">
        <f t="shared" si="24"/>
        <v/>
      </c>
      <c r="T1154" s="147" t="str">
        <f t="shared" si="7"/>
        <v/>
      </c>
      <c r="U1154" s="150" t="str">
        <f t="shared" si="8"/>
        <v/>
      </c>
      <c r="V1154" s="151" t="str">
        <f>IFERROR(VLOOKUP(C1154,Ativos!$A$1:$G2000,5,),)</f>
        <v/>
      </c>
    </row>
    <row r="1155" ht="21.0" customHeight="1">
      <c r="A1155" s="152"/>
      <c r="B1155" s="160"/>
      <c r="C1155" s="153"/>
      <c r="D1155" s="154"/>
      <c r="E1155" s="139"/>
      <c r="F1155" s="139"/>
      <c r="G1155" s="139"/>
      <c r="H1155" s="135"/>
      <c r="I1155" s="141"/>
      <c r="J1155" s="147" t="str">
        <f>IFERROR(__xludf.DUMMYFUNCTION("IF(ISBLANK(A1155),IFERROR(1/0),IF(COUNT(FILTER(F:F,A:A=A1155))&gt;1,TRUNC(N1155*F1155/SUM(FILTER(N:N,A:A=A1155)),3),F1155))"),"")</f>
        <v/>
      </c>
      <c r="K1155" s="147" t="str">
        <f>IFERROR(__xludf.DUMMYFUNCTION("IF(ISBLANK(A1155),IFERROR(1/0),IF(COUNT(FILTER(G:G,((A:A=A1155)*(B:B=""V""))))&gt;1,TRUNC(N1155*G1155/SUM(FILTER(N:N,((A:A=A1155)*(B:B=""V"")))),3),G1155))"),"")</f>
        <v/>
      </c>
      <c r="L1155" s="148" t="str">
        <f>IFERROR(__xludf.DUMMYFUNCTION("if($C1155="""","""",iferror(if(row()&lt;&gt;2,INDEX(arrayformula(filter($M$2:$M1154,$C$2:$C1154&lt;&gt;"""",row($C$2:$C1154)=max(if($C$2:$C1154=C1155,row($C$2:$C1154),0)))) ,1),0),0))"),"")</f>
        <v/>
      </c>
      <c r="M1155" s="148" t="str">
        <f t="shared" si="1"/>
        <v/>
      </c>
      <c r="N1155" s="147" t="str">
        <f t="shared" si="2"/>
        <v/>
      </c>
      <c r="O1155" s="147" t="str">
        <f t="shared" si="21"/>
        <v/>
      </c>
      <c r="P1155" s="147" t="str">
        <f>IFERROR(__xludf.DUMMYFUNCTION("if(C1155="""","""",iferror(if(row()&lt;&gt;2,INDEX(arrayformula(filter($Q$2:$Q1154,$C$2:$C1154&lt;&gt;"""",row($C$2:$C1154)=max(if($C$2:$C1154=C1155,row($C$2:$C1154),0)))) ,1),0),0))"),"")</f>
        <v/>
      </c>
      <c r="Q1155" s="147" t="str">
        <f t="shared" si="22"/>
        <v/>
      </c>
      <c r="R1155" s="147" t="str">
        <f t="shared" si="23"/>
        <v/>
      </c>
      <c r="S1155" s="147" t="str">
        <f t="shared" si="24"/>
        <v/>
      </c>
      <c r="T1155" s="147" t="str">
        <f t="shared" si="7"/>
        <v/>
      </c>
      <c r="U1155" s="150" t="str">
        <f t="shared" si="8"/>
        <v/>
      </c>
      <c r="V1155" s="151" t="str">
        <f>IFERROR(VLOOKUP(C1155,Ativos!$A$1:$G2000,5,),)</f>
        <v/>
      </c>
    </row>
    <row r="1156" ht="21.0" customHeight="1">
      <c r="A1156" s="152"/>
      <c r="B1156" s="160"/>
      <c r="C1156" s="153"/>
      <c r="D1156" s="154"/>
      <c r="E1156" s="139"/>
      <c r="F1156" s="139"/>
      <c r="G1156" s="139"/>
      <c r="H1156" s="135"/>
      <c r="I1156" s="141"/>
      <c r="J1156" s="147" t="str">
        <f>IFERROR(__xludf.DUMMYFUNCTION("IF(ISBLANK(A1156),IFERROR(1/0),IF(COUNT(FILTER(F:F,A:A=A1156))&gt;1,TRUNC(N1156*F1156/SUM(FILTER(N:N,A:A=A1156)),3),F1156))"),"")</f>
        <v/>
      </c>
      <c r="K1156" s="147" t="str">
        <f>IFERROR(__xludf.DUMMYFUNCTION("IF(ISBLANK(A1156),IFERROR(1/0),IF(COUNT(FILTER(G:G,((A:A=A1156)*(B:B=""V""))))&gt;1,TRUNC(N1156*G1156/SUM(FILTER(N:N,((A:A=A1156)*(B:B=""V"")))),3),G1156))"),"")</f>
        <v/>
      </c>
      <c r="L1156" s="148" t="str">
        <f>IFERROR(__xludf.DUMMYFUNCTION("if($C1156="""","""",iferror(if(row()&lt;&gt;2,INDEX(arrayformula(filter($M$2:$M1155,$C$2:$C1155&lt;&gt;"""",row($C$2:$C1155)=max(if($C$2:$C1155=C1156,row($C$2:$C1155),0)))) ,1),0),0))"),"")</f>
        <v/>
      </c>
      <c r="M1156" s="148" t="str">
        <f t="shared" si="1"/>
        <v/>
      </c>
      <c r="N1156" s="147" t="str">
        <f t="shared" si="2"/>
        <v/>
      </c>
      <c r="O1156" s="147" t="str">
        <f t="shared" si="21"/>
        <v/>
      </c>
      <c r="P1156" s="147" t="str">
        <f>IFERROR(__xludf.DUMMYFUNCTION("if(C1156="""","""",iferror(if(row()&lt;&gt;2,INDEX(arrayformula(filter($Q$2:$Q1155,$C$2:$C1155&lt;&gt;"""",row($C$2:$C1155)=max(if($C$2:$C1155=C1156,row($C$2:$C1155),0)))) ,1),0),0))"),"")</f>
        <v/>
      </c>
      <c r="Q1156" s="147" t="str">
        <f t="shared" si="22"/>
        <v/>
      </c>
      <c r="R1156" s="147" t="str">
        <f t="shared" si="23"/>
        <v/>
      </c>
      <c r="S1156" s="147" t="str">
        <f t="shared" si="24"/>
        <v/>
      </c>
      <c r="T1156" s="147" t="str">
        <f t="shared" si="7"/>
        <v/>
      </c>
      <c r="U1156" s="150" t="str">
        <f t="shared" si="8"/>
        <v/>
      </c>
      <c r="V1156" s="151" t="str">
        <f>IFERROR(VLOOKUP(C1156,Ativos!$A$1:$G2000,5,),)</f>
        <v/>
      </c>
    </row>
    <row r="1157" ht="21.0" customHeight="1">
      <c r="A1157" s="152"/>
      <c r="B1157" s="160"/>
      <c r="C1157" s="153"/>
      <c r="D1157" s="154"/>
      <c r="E1157" s="139"/>
      <c r="F1157" s="139"/>
      <c r="G1157" s="139"/>
      <c r="H1157" s="135"/>
      <c r="I1157" s="141"/>
      <c r="J1157" s="147" t="str">
        <f>IFERROR(__xludf.DUMMYFUNCTION("IF(ISBLANK(A1157),IFERROR(1/0),IF(COUNT(FILTER(F:F,A:A=A1157))&gt;1,TRUNC(N1157*F1157/SUM(FILTER(N:N,A:A=A1157)),3),F1157))"),"")</f>
        <v/>
      </c>
      <c r="K1157" s="147" t="str">
        <f>IFERROR(__xludf.DUMMYFUNCTION("IF(ISBLANK(A1157),IFERROR(1/0),IF(COUNT(FILTER(G:G,((A:A=A1157)*(B:B=""V""))))&gt;1,TRUNC(N1157*G1157/SUM(FILTER(N:N,((A:A=A1157)*(B:B=""V"")))),3),G1157))"),"")</f>
        <v/>
      </c>
      <c r="L1157" s="148" t="str">
        <f>IFERROR(__xludf.DUMMYFUNCTION("if($C1157="""","""",iferror(if(row()&lt;&gt;2,INDEX(arrayformula(filter($M$2:$M1156,$C$2:$C1156&lt;&gt;"""",row($C$2:$C1156)=max(if($C$2:$C1156=C1157,row($C$2:$C1156),0)))) ,1),0),0))"),"")</f>
        <v/>
      </c>
      <c r="M1157" s="148" t="str">
        <f t="shared" si="1"/>
        <v/>
      </c>
      <c r="N1157" s="147" t="str">
        <f t="shared" si="2"/>
        <v/>
      </c>
      <c r="O1157" s="147" t="str">
        <f t="shared" si="21"/>
        <v/>
      </c>
      <c r="P1157" s="147" t="str">
        <f>IFERROR(__xludf.DUMMYFUNCTION("if(C1157="""","""",iferror(if(row()&lt;&gt;2,INDEX(arrayformula(filter($Q$2:$Q1156,$C$2:$C1156&lt;&gt;"""",row($C$2:$C1156)=max(if($C$2:$C1156=C1157,row($C$2:$C1156),0)))) ,1),0),0))"),"")</f>
        <v/>
      </c>
      <c r="Q1157" s="147" t="str">
        <f t="shared" si="22"/>
        <v/>
      </c>
      <c r="R1157" s="147" t="str">
        <f t="shared" si="23"/>
        <v/>
      </c>
      <c r="S1157" s="147" t="str">
        <f t="shared" si="24"/>
        <v/>
      </c>
      <c r="T1157" s="147" t="str">
        <f t="shared" si="7"/>
        <v/>
      </c>
      <c r="U1157" s="150" t="str">
        <f t="shared" si="8"/>
        <v/>
      </c>
      <c r="V1157" s="151" t="str">
        <f>IFERROR(VLOOKUP(C1157,Ativos!$A$1:$G2000,5,),)</f>
        <v/>
      </c>
    </row>
    <row r="1158" ht="21.0" customHeight="1">
      <c r="A1158" s="152"/>
      <c r="B1158" s="160"/>
      <c r="C1158" s="153"/>
      <c r="D1158" s="154"/>
      <c r="E1158" s="139"/>
      <c r="F1158" s="139"/>
      <c r="G1158" s="139"/>
      <c r="H1158" s="135"/>
      <c r="I1158" s="141"/>
      <c r="J1158" s="147" t="str">
        <f>IFERROR(__xludf.DUMMYFUNCTION("IF(ISBLANK(A1158),IFERROR(1/0),IF(COUNT(FILTER(F:F,A:A=A1158))&gt;1,TRUNC(N1158*F1158/SUM(FILTER(N:N,A:A=A1158)),3),F1158))"),"")</f>
        <v/>
      </c>
      <c r="K1158" s="147" t="str">
        <f>IFERROR(__xludf.DUMMYFUNCTION("IF(ISBLANK(A1158),IFERROR(1/0),IF(COUNT(FILTER(G:G,((A:A=A1158)*(B:B=""V""))))&gt;1,TRUNC(N1158*G1158/SUM(FILTER(N:N,((A:A=A1158)*(B:B=""V"")))),3),G1158))"),"")</f>
        <v/>
      </c>
      <c r="L1158" s="148" t="str">
        <f>IFERROR(__xludf.DUMMYFUNCTION("if($C1158="""","""",iferror(if(row()&lt;&gt;2,INDEX(arrayformula(filter($M$2:$M1157,$C$2:$C1157&lt;&gt;"""",row($C$2:$C1157)=max(if($C$2:$C1157=C1158,row($C$2:$C1157),0)))) ,1),0),0))"),"")</f>
        <v/>
      </c>
      <c r="M1158" s="148" t="str">
        <f t="shared" si="1"/>
        <v/>
      </c>
      <c r="N1158" s="147" t="str">
        <f t="shared" si="2"/>
        <v/>
      </c>
      <c r="O1158" s="147" t="str">
        <f t="shared" si="21"/>
        <v/>
      </c>
      <c r="P1158" s="147" t="str">
        <f>IFERROR(__xludf.DUMMYFUNCTION("if(C1158="""","""",iferror(if(row()&lt;&gt;2,INDEX(arrayformula(filter($Q$2:$Q1157,$C$2:$C1157&lt;&gt;"""",row($C$2:$C1157)=max(if($C$2:$C1157=C1158,row($C$2:$C1157),0)))) ,1),0),0))"),"")</f>
        <v/>
      </c>
      <c r="Q1158" s="147" t="str">
        <f t="shared" si="22"/>
        <v/>
      </c>
      <c r="R1158" s="147" t="str">
        <f t="shared" si="23"/>
        <v/>
      </c>
      <c r="S1158" s="147" t="str">
        <f t="shared" si="24"/>
        <v/>
      </c>
      <c r="T1158" s="147" t="str">
        <f t="shared" si="7"/>
        <v/>
      </c>
      <c r="U1158" s="150" t="str">
        <f t="shared" si="8"/>
        <v/>
      </c>
      <c r="V1158" s="151" t="str">
        <f>IFERROR(VLOOKUP(C1158,Ativos!$A$1:$G2000,5,),)</f>
        <v/>
      </c>
    </row>
    <row r="1159" ht="21.0" customHeight="1">
      <c r="A1159" s="152"/>
      <c r="B1159" s="160"/>
      <c r="C1159" s="153"/>
      <c r="D1159" s="154"/>
      <c r="E1159" s="139"/>
      <c r="F1159" s="139"/>
      <c r="G1159" s="139"/>
      <c r="H1159" s="135"/>
      <c r="I1159" s="141"/>
      <c r="J1159" s="147" t="str">
        <f>IFERROR(__xludf.DUMMYFUNCTION("IF(ISBLANK(A1159),IFERROR(1/0),IF(COUNT(FILTER(F:F,A:A=A1159))&gt;1,TRUNC(N1159*F1159/SUM(FILTER(N:N,A:A=A1159)),3),F1159))"),"")</f>
        <v/>
      </c>
      <c r="K1159" s="147" t="str">
        <f>IFERROR(__xludf.DUMMYFUNCTION("IF(ISBLANK(A1159),IFERROR(1/0),IF(COUNT(FILTER(G:G,((A:A=A1159)*(B:B=""V""))))&gt;1,TRUNC(N1159*G1159/SUM(FILTER(N:N,((A:A=A1159)*(B:B=""V"")))),3),G1159))"),"")</f>
        <v/>
      </c>
      <c r="L1159" s="148" t="str">
        <f>IFERROR(__xludf.DUMMYFUNCTION("if($C1159="""","""",iferror(if(row()&lt;&gt;2,INDEX(arrayformula(filter($M$2:$M1158,$C$2:$C1158&lt;&gt;"""",row($C$2:$C1158)=max(if($C$2:$C1158=C1159,row($C$2:$C1158),0)))) ,1),0),0))"),"")</f>
        <v/>
      </c>
      <c r="M1159" s="148" t="str">
        <f t="shared" si="1"/>
        <v/>
      </c>
      <c r="N1159" s="147" t="str">
        <f t="shared" si="2"/>
        <v/>
      </c>
      <c r="O1159" s="147" t="str">
        <f t="shared" si="21"/>
        <v/>
      </c>
      <c r="P1159" s="147" t="str">
        <f>IFERROR(__xludf.DUMMYFUNCTION("if(C1159="""","""",iferror(if(row()&lt;&gt;2,INDEX(arrayformula(filter($Q$2:$Q1158,$C$2:$C1158&lt;&gt;"""",row($C$2:$C1158)=max(if($C$2:$C1158=C1159,row($C$2:$C1158),0)))) ,1),0),0))"),"")</f>
        <v/>
      </c>
      <c r="Q1159" s="147" t="str">
        <f t="shared" si="22"/>
        <v/>
      </c>
      <c r="R1159" s="147" t="str">
        <f t="shared" si="23"/>
        <v/>
      </c>
      <c r="S1159" s="147" t="str">
        <f t="shared" si="24"/>
        <v/>
      </c>
      <c r="T1159" s="147" t="str">
        <f t="shared" si="7"/>
        <v/>
      </c>
      <c r="U1159" s="150" t="str">
        <f t="shared" si="8"/>
        <v/>
      </c>
      <c r="V1159" s="151" t="str">
        <f>IFERROR(VLOOKUP(C1159,Ativos!$A$1:$G2000,5,),)</f>
        <v/>
      </c>
    </row>
    <row r="1160" ht="21.0" customHeight="1">
      <c r="A1160" s="152"/>
      <c r="B1160" s="160"/>
      <c r="C1160" s="153"/>
      <c r="D1160" s="154"/>
      <c r="E1160" s="139"/>
      <c r="F1160" s="139"/>
      <c r="G1160" s="139"/>
      <c r="H1160" s="135"/>
      <c r="I1160" s="141"/>
      <c r="J1160" s="147" t="str">
        <f>IFERROR(__xludf.DUMMYFUNCTION("IF(ISBLANK(A1160),IFERROR(1/0),IF(COUNT(FILTER(F:F,A:A=A1160))&gt;1,TRUNC(N1160*F1160/SUM(FILTER(N:N,A:A=A1160)),3),F1160))"),"")</f>
        <v/>
      </c>
      <c r="K1160" s="147" t="str">
        <f>IFERROR(__xludf.DUMMYFUNCTION("IF(ISBLANK(A1160),IFERROR(1/0),IF(COUNT(FILTER(G:G,((A:A=A1160)*(B:B=""V""))))&gt;1,TRUNC(N1160*G1160/SUM(FILTER(N:N,((A:A=A1160)*(B:B=""V"")))),3),G1160))"),"")</f>
        <v/>
      </c>
      <c r="L1160" s="148" t="str">
        <f>IFERROR(__xludf.DUMMYFUNCTION("if($C1160="""","""",iferror(if(row()&lt;&gt;2,INDEX(arrayformula(filter($M$2:$M1159,$C$2:$C1159&lt;&gt;"""",row($C$2:$C1159)=max(if($C$2:$C1159=C1160,row($C$2:$C1159),0)))) ,1),0),0))"),"")</f>
        <v/>
      </c>
      <c r="M1160" s="148" t="str">
        <f t="shared" si="1"/>
        <v/>
      </c>
      <c r="N1160" s="147" t="str">
        <f t="shared" si="2"/>
        <v/>
      </c>
      <c r="O1160" s="147" t="str">
        <f t="shared" si="21"/>
        <v/>
      </c>
      <c r="P1160" s="147" t="str">
        <f>IFERROR(__xludf.DUMMYFUNCTION("if(C1160="""","""",iferror(if(row()&lt;&gt;2,INDEX(arrayformula(filter($Q$2:$Q1159,$C$2:$C1159&lt;&gt;"""",row($C$2:$C1159)=max(if($C$2:$C1159=C1160,row($C$2:$C1159),0)))) ,1),0),0))"),"")</f>
        <v/>
      </c>
      <c r="Q1160" s="147" t="str">
        <f t="shared" si="22"/>
        <v/>
      </c>
      <c r="R1160" s="147" t="str">
        <f t="shared" si="23"/>
        <v/>
      </c>
      <c r="S1160" s="147" t="str">
        <f t="shared" si="24"/>
        <v/>
      </c>
      <c r="T1160" s="147" t="str">
        <f t="shared" si="7"/>
        <v/>
      </c>
      <c r="U1160" s="150" t="str">
        <f t="shared" si="8"/>
        <v/>
      </c>
      <c r="V1160" s="151" t="str">
        <f>IFERROR(VLOOKUP(C1160,Ativos!$A$1:$G2000,5,),)</f>
        <v/>
      </c>
    </row>
    <row r="1161" ht="21.0" customHeight="1">
      <c r="A1161" s="152"/>
      <c r="B1161" s="160"/>
      <c r="C1161" s="153"/>
      <c r="D1161" s="154"/>
      <c r="E1161" s="139"/>
      <c r="F1161" s="139"/>
      <c r="G1161" s="139"/>
      <c r="H1161" s="135"/>
      <c r="I1161" s="141"/>
      <c r="J1161" s="147" t="str">
        <f>IFERROR(__xludf.DUMMYFUNCTION("IF(ISBLANK(A1161),IFERROR(1/0),IF(COUNT(FILTER(F:F,A:A=A1161))&gt;1,TRUNC(N1161*F1161/SUM(FILTER(N:N,A:A=A1161)),3),F1161))"),"")</f>
        <v/>
      </c>
      <c r="K1161" s="147" t="str">
        <f>IFERROR(__xludf.DUMMYFUNCTION("IF(ISBLANK(A1161),IFERROR(1/0),IF(COUNT(FILTER(G:G,((A:A=A1161)*(B:B=""V""))))&gt;1,TRUNC(N1161*G1161/SUM(FILTER(N:N,((A:A=A1161)*(B:B=""V"")))),3),G1161))"),"")</f>
        <v/>
      </c>
      <c r="L1161" s="148" t="str">
        <f>IFERROR(__xludf.DUMMYFUNCTION("if($C1161="""","""",iferror(if(row()&lt;&gt;2,INDEX(arrayformula(filter($M$2:$M1160,$C$2:$C1160&lt;&gt;"""",row($C$2:$C1160)=max(if($C$2:$C1160=C1161,row($C$2:$C1160),0)))) ,1),0),0))"),"")</f>
        <v/>
      </c>
      <c r="M1161" s="148" t="str">
        <f t="shared" si="1"/>
        <v/>
      </c>
      <c r="N1161" s="147" t="str">
        <f t="shared" si="2"/>
        <v/>
      </c>
      <c r="O1161" s="147" t="str">
        <f t="shared" si="21"/>
        <v/>
      </c>
      <c r="P1161" s="147" t="str">
        <f>IFERROR(__xludf.DUMMYFUNCTION("if(C1161="""","""",iferror(if(row()&lt;&gt;2,INDEX(arrayformula(filter($Q$2:$Q1160,$C$2:$C1160&lt;&gt;"""",row($C$2:$C1160)=max(if($C$2:$C1160=C1161,row($C$2:$C1160),0)))) ,1),0),0))"),"")</f>
        <v/>
      </c>
      <c r="Q1161" s="147" t="str">
        <f t="shared" si="22"/>
        <v/>
      </c>
      <c r="R1161" s="147" t="str">
        <f t="shared" si="23"/>
        <v/>
      </c>
      <c r="S1161" s="147" t="str">
        <f t="shared" si="24"/>
        <v/>
      </c>
      <c r="T1161" s="147" t="str">
        <f t="shared" si="7"/>
        <v/>
      </c>
      <c r="U1161" s="150" t="str">
        <f t="shared" si="8"/>
        <v/>
      </c>
      <c r="V1161" s="151" t="str">
        <f>IFERROR(VLOOKUP(C1161,Ativos!$A$1:$G2000,5,),)</f>
        <v/>
      </c>
    </row>
    <row r="1162" ht="21.0" customHeight="1">
      <c r="A1162" s="152"/>
      <c r="B1162" s="160"/>
      <c r="C1162" s="153"/>
      <c r="D1162" s="154"/>
      <c r="E1162" s="139"/>
      <c r="F1162" s="139"/>
      <c r="G1162" s="139"/>
      <c r="H1162" s="135"/>
      <c r="I1162" s="141"/>
      <c r="J1162" s="147" t="str">
        <f>IFERROR(__xludf.DUMMYFUNCTION("IF(ISBLANK(A1162),IFERROR(1/0),IF(COUNT(FILTER(F:F,A:A=A1162))&gt;1,TRUNC(N1162*F1162/SUM(FILTER(N:N,A:A=A1162)),3),F1162))"),"")</f>
        <v/>
      </c>
      <c r="K1162" s="147" t="str">
        <f>IFERROR(__xludf.DUMMYFUNCTION("IF(ISBLANK(A1162),IFERROR(1/0),IF(COUNT(FILTER(G:G,((A:A=A1162)*(B:B=""V""))))&gt;1,TRUNC(N1162*G1162/SUM(FILTER(N:N,((A:A=A1162)*(B:B=""V"")))),3),G1162))"),"")</f>
        <v/>
      </c>
      <c r="L1162" s="148" t="str">
        <f>IFERROR(__xludf.DUMMYFUNCTION("if($C1162="""","""",iferror(if(row()&lt;&gt;2,INDEX(arrayformula(filter($M$2:$M1161,$C$2:$C1161&lt;&gt;"""",row($C$2:$C1161)=max(if($C$2:$C1161=C1162,row($C$2:$C1161),0)))) ,1),0),0))"),"")</f>
        <v/>
      </c>
      <c r="M1162" s="148" t="str">
        <f t="shared" si="1"/>
        <v/>
      </c>
      <c r="N1162" s="147" t="str">
        <f t="shared" si="2"/>
        <v/>
      </c>
      <c r="O1162" s="147" t="str">
        <f t="shared" si="21"/>
        <v/>
      </c>
      <c r="P1162" s="147" t="str">
        <f>IFERROR(__xludf.DUMMYFUNCTION("if(C1162="""","""",iferror(if(row()&lt;&gt;2,INDEX(arrayformula(filter($Q$2:$Q1161,$C$2:$C1161&lt;&gt;"""",row($C$2:$C1161)=max(if($C$2:$C1161=C1162,row($C$2:$C1161),0)))) ,1),0),0))"),"")</f>
        <v/>
      </c>
      <c r="Q1162" s="147" t="str">
        <f t="shared" si="22"/>
        <v/>
      </c>
      <c r="R1162" s="147" t="str">
        <f t="shared" si="23"/>
        <v/>
      </c>
      <c r="S1162" s="147" t="str">
        <f t="shared" si="24"/>
        <v/>
      </c>
      <c r="T1162" s="147" t="str">
        <f t="shared" si="7"/>
        <v/>
      </c>
      <c r="U1162" s="150" t="str">
        <f t="shared" si="8"/>
        <v/>
      </c>
      <c r="V1162" s="151" t="str">
        <f>IFERROR(VLOOKUP(C1162,Ativos!$A$1:$G2000,5,),)</f>
        <v/>
      </c>
    </row>
    <row r="1163" ht="21.0" customHeight="1">
      <c r="A1163" s="152"/>
      <c r="B1163" s="160"/>
      <c r="C1163" s="153"/>
      <c r="D1163" s="154"/>
      <c r="E1163" s="139"/>
      <c r="F1163" s="139"/>
      <c r="G1163" s="139"/>
      <c r="H1163" s="135"/>
      <c r="I1163" s="141"/>
      <c r="J1163" s="147" t="str">
        <f>IFERROR(__xludf.DUMMYFUNCTION("IF(ISBLANK(A1163),IFERROR(1/0),IF(COUNT(FILTER(F:F,A:A=A1163))&gt;1,TRUNC(N1163*F1163/SUM(FILTER(N:N,A:A=A1163)),3),F1163))"),"")</f>
        <v/>
      </c>
      <c r="K1163" s="147" t="str">
        <f>IFERROR(__xludf.DUMMYFUNCTION("IF(ISBLANK(A1163),IFERROR(1/0),IF(COUNT(FILTER(G:G,((A:A=A1163)*(B:B=""V""))))&gt;1,TRUNC(N1163*G1163/SUM(FILTER(N:N,((A:A=A1163)*(B:B=""V"")))),3),G1163))"),"")</f>
        <v/>
      </c>
      <c r="L1163" s="148" t="str">
        <f>IFERROR(__xludf.DUMMYFUNCTION("if($C1163="""","""",iferror(if(row()&lt;&gt;2,INDEX(arrayformula(filter($M$2:$M1162,$C$2:$C1162&lt;&gt;"""",row($C$2:$C1162)=max(if($C$2:$C1162=C1163,row($C$2:$C1162),0)))) ,1),0),0))"),"")</f>
        <v/>
      </c>
      <c r="M1163" s="148" t="str">
        <f t="shared" si="1"/>
        <v/>
      </c>
      <c r="N1163" s="147" t="str">
        <f t="shared" si="2"/>
        <v/>
      </c>
      <c r="O1163" s="147" t="str">
        <f t="shared" si="21"/>
        <v/>
      </c>
      <c r="P1163" s="147" t="str">
        <f>IFERROR(__xludf.DUMMYFUNCTION("if(C1163="""","""",iferror(if(row()&lt;&gt;2,INDEX(arrayformula(filter($Q$2:$Q1162,$C$2:$C1162&lt;&gt;"""",row($C$2:$C1162)=max(if($C$2:$C1162=C1163,row($C$2:$C1162),0)))) ,1),0),0))"),"")</f>
        <v/>
      </c>
      <c r="Q1163" s="147" t="str">
        <f t="shared" si="22"/>
        <v/>
      </c>
      <c r="R1163" s="147" t="str">
        <f t="shared" si="23"/>
        <v/>
      </c>
      <c r="S1163" s="147" t="str">
        <f t="shared" si="24"/>
        <v/>
      </c>
      <c r="T1163" s="147" t="str">
        <f t="shared" si="7"/>
        <v/>
      </c>
      <c r="U1163" s="150" t="str">
        <f t="shared" si="8"/>
        <v/>
      </c>
      <c r="V1163" s="151" t="str">
        <f>IFERROR(VLOOKUP(C1163,Ativos!$A$1:$G2000,5,),)</f>
        <v/>
      </c>
    </row>
    <row r="1164" ht="21.0" customHeight="1">
      <c r="A1164" s="152"/>
      <c r="B1164" s="160"/>
      <c r="C1164" s="153"/>
      <c r="D1164" s="154"/>
      <c r="E1164" s="139"/>
      <c r="F1164" s="139"/>
      <c r="G1164" s="139"/>
      <c r="H1164" s="135"/>
      <c r="I1164" s="141"/>
      <c r="J1164" s="147" t="str">
        <f>IFERROR(__xludf.DUMMYFUNCTION("IF(ISBLANK(A1164),IFERROR(1/0),IF(COUNT(FILTER(F:F,A:A=A1164))&gt;1,TRUNC(N1164*F1164/SUM(FILTER(N:N,A:A=A1164)),3),F1164))"),"")</f>
        <v/>
      </c>
      <c r="K1164" s="147" t="str">
        <f>IFERROR(__xludf.DUMMYFUNCTION("IF(ISBLANK(A1164),IFERROR(1/0),IF(COUNT(FILTER(G:G,((A:A=A1164)*(B:B=""V""))))&gt;1,TRUNC(N1164*G1164/SUM(FILTER(N:N,((A:A=A1164)*(B:B=""V"")))),3),G1164))"),"")</f>
        <v/>
      </c>
      <c r="L1164" s="148" t="str">
        <f>IFERROR(__xludf.DUMMYFUNCTION("if($C1164="""","""",iferror(if(row()&lt;&gt;2,INDEX(arrayformula(filter($M$2:$M1163,$C$2:$C1163&lt;&gt;"""",row($C$2:$C1163)=max(if($C$2:$C1163=C1164,row($C$2:$C1163),0)))) ,1),0),0))"),"")</f>
        <v/>
      </c>
      <c r="M1164" s="148" t="str">
        <f t="shared" si="1"/>
        <v/>
      </c>
      <c r="N1164" s="147" t="str">
        <f t="shared" si="2"/>
        <v/>
      </c>
      <c r="O1164" s="147" t="str">
        <f t="shared" si="21"/>
        <v/>
      </c>
      <c r="P1164" s="147" t="str">
        <f>IFERROR(__xludf.DUMMYFUNCTION("if(C1164="""","""",iferror(if(row()&lt;&gt;2,INDEX(arrayformula(filter($Q$2:$Q1163,$C$2:$C1163&lt;&gt;"""",row($C$2:$C1163)=max(if($C$2:$C1163=C1164,row($C$2:$C1163),0)))) ,1),0),0))"),"")</f>
        <v/>
      </c>
      <c r="Q1164" s="147" t="str">
        <f t="shared" si="22"/>
        <v/>
      </c>
      <c r="R1164" s="147" t="str">
        <f t="shared" si="23"/>
        <v/>
      </c>
      <c r="S1164" s="147" t="str">
        <f t="shared" si="24"/>
        <v/>
      </c>
      <c r="T1164" s="147" t="str">
        <f t="shared" si="7"/>
        <v/>
      </c>
      <c r="U1164" s="150" t="str">
        <f t="shared" si="8"/>
        <v/>
      </c>
      <c r="V1164" s="151" t="str">
        <f>IFERROR(VLOOKUP(C1164,Ativos!$A$1:$G2000,5,),)</f>
        <v/>
      </c>
    </row>
    <row r="1165" ht="21.0" customHeight="1">
      <c r="A1165" s="152"/>
      <c r="B1165" s="160"/>
      <c r="C1165" s="153"/>
      <c r="D1165" s="154"/>
      <c r="E1165" s="139"/>
      <c r="F1165" s="139"/>
      <c r="G1165" s="139"/>
      <c r="H1165" s="135"/>
      <c r="I1165" s="141"/>
      <c r="J1165" s="147" t="str">
        <f>IFERROR(__xludf.DUMMYFUNCTION("IF(ISBLANK(A1165),IFERROR(1/0),IF(COUNT(FILTER(F:F,A:A=A1165))&gt;1,TRUNC(N1165*F1165/SUM(FILTER(N:N,A:A=A1165)),3),F1165))"),"")</f>
        <v/>
      </c>
      <c r="K1165" s="147" t="str">
        <f>IFERROR(__xludf.DUMMYFUNCTION("IF(ISBLANK(A1165),IFERROR(1/0),IF(COUNT(FILTER(G:G,((A:A=A1165)*(B:B=""V""))))&gt;1,TRUNC(N1165*G1165/SUM(FILTER(N:N,((A:A=A1165)*(B:B=""V"")))),3),G1165))"),"")</f>
        <v/>
      </c>
      <c r="L1165" s="148" t="str">
        <f>IFERROR(__xludf.DUMMYFUNCTION("if($C1165="""","""",iferror(if(row()&lt;&gt;2,INDEX(arrayformula(filter($M$2:$M1164,$C$2:$C1164&lt;&gt;"""",row($C$2:$C1164)=max(if($C$2:$C1164=C1165,row($C$2:$C1164),0)))) ,1),0),0))"),"")</f>
        <v/>
      </c>
      <c r="M1165" s="148" t="str">
        <f t="shared" si="1"/>
        <v/>
      </c>
      <c r="N1165" s="147" t="str">
        <f t="shared" si="2"/>
        <v/>
      </c>
      <c r="O1165" s="147" t="str">
        <f t="shared" si="21"/>
        <v/>
      </c>
      <c r="P1165" s="147" t="str">
        <f>IFERROR(__xludf.DUMMYFUNCTION("if(C1165="""","""",iferror(if(row()&lt;&gt;2,INDEX(arrayformula(filter($Q$2:$Q1164,$C$2:$C1164&lt;&gt;"""",row($C$2:$C1164)=max(if($C$2:$C1164=C1165,row($C$2:$C1164),0)))) ,1),0),0))"),"")</f>
        <v/>
      </c>
      <c r="Q1165" s="147" t="str">
        <f t="shared" si="22"/>
        <v/>
      </c>
      <c r="R1165" s="147" t="str">
        <f t="shared" si="23"/>
        <v/>
      </c>
      <c r="S1165" s="147" t="str">
        <f t="shared" si="24"/>
        <v/>
      </c>
      <c r="T1165" s="147" t="str">
        <f t="shared" si="7"/>
        <v/>
      </c>
      <c r="U1165" s="150" t="str">
        <f t="shared" si="8"/>
        <v/>
      </c>
      <c r="V1165" s="151" t="str">
        <f>IFERROR(VLOOKUP(C1165,Ativos!$A$1:$G2000,5,),)</f>
        <v/>
      </c>
    </row>
    <row r="1166" ht="21.0" customHeight="1">
      <c r="A1166" s="152"/>
      <c r="B1166" s="160"/>
      <c r="C1166" s="153"/>
      <c r="D1166" s="154"/>
      <c r="E1166" s="139"/>
      <c r="F1166" s="139"/>
      <c r="G1166" s="139"/>
      <c r="H1166" s="135"/>
      <c r="I1166" s="141"/>
      <c r="J1166" s="147" t="str">
        <f>IFERROR(__xludf.DUMMYFUNCTION("IF(ISBLANK(A1166),IFERROR(1/0),IF(COUNT(FILTER(F:F,A:A=A1166))&gt;1,TRUNC(N1166*F1166/SUM(FILTER(N:N,A:A=A1166)),3),F1166))"),"")</f>
        <v/>
      </c>
      <c r="K1166" s="147" t="str">
        <f>IFERROR(__xludf.DUMMYFUNCTION("IF(ISBLANK(A1166),IFERROR(1/0),IF(COUNT(FILTER(G:G,((A:A=A1166)*(B:B=""V""))))&gt;1,TRUNC(N1166*G1166/SUM(FILTER(N:N,((A:A=A1166)*(B:B=""V"")))),3),G1166))"),"")</f>
        <v/>
      </c>
      <c r="L1166" s="148" t="str">
        <f>IFERROR(__xludf.DUMMYFUNCTION("if($C1166="""","""",iferror(if(row()&lt;&gt;2,INDEX(arrayformula(filter($M$2:$M1165,$C$2:$C1165&lt;&gt;"""",row($C$2:$C1165)=max(if($C$2:$C1165=C1166,row($C$2:$C1165),0)))) ,1),0),0))"),"")</f>
        <v/>
      </c>
      <c r="M1166" s="148" t="str">
        <f t="shared" si="1"/>
        <v/>
      </c>
      <c r="N1166" s="147" t="str">
        <f t="shared" si="2"/>
        <v/>
      </c>
      <c r="O1166" s="147" t="str">
        <f t="shared" si="21"/>
        <v/>
      </c>
      <c r="P1166" s="147" t="str">
        <f>IFERROR(__xludf.DUMMYFUNCTION("if(C1166="""","""",iferror(if(row()&lt;&gt;2,INDEX(arrayformula(filter($Q$2:$Q1165,$C$2:$C1165&lt;&gt;"""",row($C$2:$C1165)=max(if($C$2:$C1165=C1166,row($C$2:$C1165),0)))) ,1),0),0))"),"")</f>
        <v/>
      </c>
      <c r="Q1166" s="147" t="str">
        <f t="shared" si="22"/>
        <v/>
      </c>
      <c r="R1166" s="147" t="str">
        <f t="shared" si="23"/>
        <v/>
      </c>
      <c r="S1166" s="147" t="str">
        <f t="shared" si="24"/>
        <v/>
      </c>
      <c r="T1166" s="147" t="str">
        <f t="shared" si="7"/>
        <v/>
      </c>
      <c r="U1166" s="150" t="str">
        <f t="shared" si="8"/>
        <v/>
      </c>
      <c r="V1166" s="151" t="str">
        <f>IFERROR(VLOOKUP(C1166,Ativos!$A$1:$G2000,5,),)</f>
        <v/>
      </c>
    </row>
    <row r="1167" ht="21.0" customHeight="1">
      <c r="A1167" s="152"/>
      <c r="B1167" s="160"/>
      <c r="C1167" s="153"/>
      <c r="D1167" s="154"/>
      <c r="E1167" s="139"/>
      <c r="F1167" s="139"/>
      <c r="G1167" s="139"/>
      <c r="H1167" s="135"/>
      <c r="I1167" s="141"/>
      <c r="J1167" s="147" t="str">
        <f>IFERROR(__xludf.DUMMYFUNCTION("IF(ISBLANK(A1167),IFERROR(1/0),IF(COUNT(FILTER(F:F,A:A=A1167))&gt;1,TRUNC(N1167*F1167/SUM(FILTER(N:N,A:A=A1167)),3),F1167))"),"")</f>
        <v/>
      </c>
      <c r="K1167" s="147" t="str">
        <f>IFERROR(__xludf.DUMMYFUNCTION("IF(ISBLANK(A1167),IFERROR(1/0),IF(COUNT(FILTER(G:G,((A:A=A1167)*(B:B=""V""))))&gt;1,TRUNC(N1167*G1167/SUM(FILTER(N:N,((A:A=A1167)*(B:B=""V"")))),3),G1167))"),"")</f>
        <v/>
      </c>
      <c r="L1167" s="148" t="str">
        <f>IFERROR(__xludf.DUMMYFUNCTION("if($C1167="""","""",iferror(if(row()&lt;&gt;2,INDEX(arrayformula(filter($M$2:$M1166,$C$2:$C1166&lt;&gt;"""",row($C$2:$C1166)=max(if($C$2:$C1166=C1167,row($C$2:$C1166),0)))) ,1),0),0))"),"")</f>
        <v/>
      </c>
      <c r="M1167" s="148" t="str">
        <f t="shared" si="1"/>
        <v/>
      </c>
      <c r="N1167" s="147" t="str">
        <f t="shared" si="2"/>
        <v/>
      </c>
      <c r="O1167" s="147" t="str">
        <f t="shared" si="21"/>
        <v/>
      </c>
      <c r="P1167" s="147" t="str">
        <f>IFERROR(__xludf.DUMMYFUNCTION("if(C1167="""","""",iferror(if(row()&lt;&gt;2,INDEX(arrayformula(filter($Q$2:$Q1166,$C$2:$C1166&lt;&gt;"""",row($C$2:$C1166)=max(if($C$2:$C1166=C1167,row($C$2:$C1166),0)))) ,1),0),0))"),"")</f>
        <v/>
      </c>
      <c r="Q1167" s="147" t="str">
        <f t="shared" si="22"/>
        <v/>
      </c>
      <c r="R1167" s="147" t="str">
        <f t="shared" si="23"/>
        <v/>
      </c>
      <c r="S1167" s="147" t="str">
        <f t="shared" si="24"/>
        <v/>
      </c>
      <c r="T1167" s="147" t="str">
        <f t="shared" si="7"/>
        <v/>
      </c>
      <c r="U1167" s="150" t="str">
        <f t="shared" si="8"/>
        <v/>
      </c>
      <c r="V1167" s="151" t="str">
        <f>IFERROR(VLOOKUP(C1167,Ativos!$A$1:$G2000,5,),)</f>
        <v/>
      </c>
    </row>
    <row r="1168" ht="21.0" customHeight="1">
      <c r="A1168" s="152"/>
      <c r="B1168" s="160"/>
      <c r="C1168" s="153"/>
      <c r="D1168" s="154"/>
      <c r="E1168" s="139"/>
      <c r="F1168" s="139"/>
      <c r="G1168" s="139"/>
      <c r="H1168" s="135"/>
      <c r="I1168" s="141"/>
      <c r="J1168" s="147" t="str">
        <f>IFERROR(__xludf.DUMMYFUNCTION("IF(ISBLANK(A1168),IFERROR(1/0),IF(COUNT(FILTER(F:F,A:A=A1168))&gt;1,TRUNC(N1168*F1168/SUM(FILTER(N:N,A:A=A1168)),3),F1168))"),"")</f>
        <v/>
      </c>
      <c r="K1168" s="147" t="str">
        <f>IFERROR(__xludf.DUMMYFUNCTION("IF(ISBLANK(A1168),IFERROR(1/0),IF(COUNT(FILTER(G:G,((A:A=A1168)*(B:B=""V""))))&gt;1,TRUNC(N1168*G1168/SUM(FILTER(N:N,((A:A=A1168)*(B:B=""V"")))),3),G1168))"),"")</f>
        <v/>
      </c>
      <c r="L1168" s="148" t="str">
        <f>IFERROR(__xludf.DUMMYFUNCTION("if($C1168="""","""",iferror(if(row()&lt;&gt;2,INDEX(arrayformula(filter($M$2:$M1167,$C$2:$C1167&lt;&gt;"""",row($C$2:$C1167)=max(if($C$2:$C1167=C1168,row($C$2:$C1167),0)))) ,1),0),0))"),"")</f>
        <v/>
      </c>
      <c r="M1168" s="148" t="str">
        <f t="shared" si="1"/>
        <v/>
      </c>
      <c r="N1168" s="147" t="str">
        <f t="shared" si="2"/>
        <v/>
      </c>
      <c r="O1168" s="147" t="str">
        <f t="shared" si="21"/>
        <v/>
      </c>
      <c r="P1168" s="147" t="str">
        <f>IFERROR(__xludf.DUMMYFUNCTION("if(C1168="""","""",iferror(if(row()&lt;&gt;2,INDEX(arrayformula(filter($Q$2:$Q1167,$C$2:$C1167&lt;&gt;"""",row($C$2:$C1167)=max(if($C$2:$C1167=C1168,row($C$2:$C1167),0)))) ,1),0),0))"),"")</f>
        <v/>
      </c>
      <c r="Q1168" s="147" t="str">
        <f t="shared" si="22"/>
        <v/>
      </c>
      <c r="R1168" s="147" t="str">
        <f t="shared" si="23"/>
        <v/>
      </c>
      <c r="S1168" s="147" t="str">
        <f t="shared" si="24"/>
        <v/>
      </c>
      <c r="T1168" s="147" t="str">
        <f t="shared" si="7"/>
        <v/>
      </c>
      <c r="U1168" s="150" t="str">
        <f t="shared" si="8"/>
        <v/>
      </c>
      <c r="V1168" s="151" t="str">
        <f>IFERROR(VLOOKUP(C1168,Ativos!$A$1:$G2000,5,),)</f>
        <v/>
      </c>
    </row>
    <row r="1169" ht="21.0" customHeight="1">
      <c r="A1169" s="152"/>
      <c r="B1169" s="160"/>
      <c r="C1169" s="153"/>
      <c r="D1169" s="154"/>
      <c r="E1169" s="139"/>
      <c r="F1169" s="139"/>
      <c r="G1169" s="139"/>
      <c r="H1169" s="135"/>
      <c r="I1169" s="141"/>
      <c r="J1169" s="147" t="str">
        <f>IFERROR(__xludf.DUMMYFUNCTION("IF(ISBLANK(A1169),IFERROR(1/0),IF(COUNT(FILTER(F:F,A:A=A1169))&gt;1,TRUNC(N1169*F1169/SUM(FILTER(N:N,A:A=A1169)),3),F1169))"),"")</f>
        <v/>
      </c>
      <c r="K1169" s="147" t="str">
        <f>IFERROR(__xludf.DUMMYFUNCTION("IF(ISBLANK(A1169),IFERROR(1/0),IF(COUNT(FILTER(G:G,((A:A=A1169)*(B:B=""V""))))&gt;1,TRUNC(N1169*G1169/SUM(FILTER(N:N,((A:A=A1169)*(B:B=""V"")))),3),G1169))"),"")</f>
        <v/>
      </c>
      <c r="L1169" s="148" t="str">
        <f>IFERROR(__xludf.DUMMYFUNCTION("if($C1169="""","""",iferror(if(row()&lt;&gt;2,INDEX(arrayformula(filter($M$2:$M1168,$C$2:$C1168&lt;&gt;"""",row($C$2:$C1168)=max(if($C$2:$C1168=C1169,row($C$2:$C1168),0)))) ,1),0),0))"),"")</f>
        <v/>
      </c>
      <c r="M1169" s="148" t="str">
        <f t="shared" si="1"/>
        <v/>
      </c>
      <c r="N1169" s="147" t="str">
        <f t="shared" si="2"/>
        <v/>
      </c>
      <c r="O1169" s="147" t="str">
        <f t="shared" si="21"/>
        <v/>
      </c>
      <c r="P1169" s="147" t="str">
        <f>IFERROR(__xludf.DUMMYFUNCTION("if(C1169="""","""",iferror(if(row()&lt;&gt;2,INDEX(arrayformula(filter($Q$2:$Q1168,$C$2:$C1168&lt;&gt;"""",row($C$2:$C1168)=max(if($C$2:$C1168=C1169,row($C$2:$C1168),0)))) ,1),0),0))"),"")</f>
        <v/>
      </c>
      <c r="Q1169" s="147" t="str">
        <f t="shared" si="22"/>
        <v/>
      </c>
      <c r="R1169" s="147" t="str">
        <f t="shared" si="23"/>
        <v/>
      </c>
      <c r="S1169" s="147" t="str">
        <f t="shared" si="24"/>
        <v/>
      </c>
      <c r="T1169" s="147" t="str">
        <f t="shared" si="7"/>
        <v/>
      </c>
      <c r="U1169" s="150" t="str">
        <f t="shared" si="8"/>
        <v/>
      </c>
      <c r="V1169" s="151" t="str">
        <f>IFERROR(VLOOKUP(C1169,Ativos!$A$1:$G2000,5,),)</f>
        <v/>
      </c>
    </row>
    <row r="1170" ht="21.0" customHeight="1">
      <c r="A1170" s="152"/>
      <c r="B1170" s="160"/>
      <c r="C1170" s="153"/>
      <c r="D1170" s="154"/>
      <c r="E1170" s="139"/>
      <c r="F1170" s="139"/>
      <c r="G1170" s="139"/>
      <c r="H1170" s="135"/>
      <c r="I1170" s="141"/>
      <c r="J1170" s="147" t="str">
        <f>IFERROR(__xludf.DUMMYFUNCTION("IF(ISBLANK(A1170),IFERROR(1/0),IF(COUNT(FILTER(F:F,A:A=A1170))&gt;1,TRUNC(N1170*F1170/SUM(FILTER(N:N,A:A=A1170)),3),F1170))"),"")</f>
        <v/>
      </c>
      <c r="K1170" s="147" t="str">
        <f>IFERROR(__xludf.DUMMYFUNCTION("IF(ISBLANK(A1170),IFERROR(1/0),IF(COUNT(FILTER(G:G,((A:A=A1170)*(B:B=""V""))))&gt;1,TRUNC(N1170*G1170/SUM(FILTER(N:N,((A:A=A1170)*(B:B=""V"")))),3),G1170))"),"")</f>
        <v/>
      </c>
      <c r="L1170" s="148" t="str">
        <f>IFERROR(__xludf.DUMMYFUNCTION("if($C1170="""","""",iferror(if(row()&lt;&gt;2,INDEX(arrayformula(filter($M$2:$M1169,$C$2:$C1169&lt;&gt;"""",row($C$2:$C1169)=max(if($C$2:$C1169=C1170,row($C$2:$C1169),0)))) ,1),0),0))"),"")</f>
        <v/>
      </c>
      <c r="M1170" s="148" t="str">
        <f t="shared" si="1"/>
        <v/>
      </c>
      <c r="N1170" s="147" t="str">
        <f t="shared" si="2"/>
        <v/>
      </c>
      <c r="O1170" s="147" t="str">
        <f t="shared" si="21"/>
        <v/>
      </c>
      <c r="P1170" s="147" t="str">
        <f>IFERROR(__xludf.DUMMYFUNCTION("if(C1170="""","""",iferror(if(row()&lt;&gt;2,INDEX(arrayformula(filter($Q$2:$Q1169,$C$2:$C1169&lt;&gt;"""",row($C$2:$C1169)=max(if($C$2:$C1169=C1170,row($C$2:$C1169),0)))) ,1),0),0))"),"")</f>
        <v/>
      </c>
      <c r="Q1170" s="147" t="str">
        <f t="shared" si="22"/>
        <v/>
      </c>
      <c r="R1170" s="147" t="str">
        <f t="shared" si="23"/>
        <v/>
      </c>
      <c r="S1170" s="147" t="str">
        <f t="shared" si="24"/>
        <v/>
      </c>
      <c r="T1170" s="147" t="str">
        <f t="shared" si="7"/>
        <v/>
      </c>
      <c r="U1170" s="150" t="str">
        <f t="shared" si="8"/>
        <v/>
      </c>
      <c r="V1170" s="151" t="str">
        <f>IFERROR(VLOOKUP(C1170,Ativos!$A$1:$G2000,5,),)</f>
        <v/>
      </c>
    </row>
    <row r="1171" ht="21.0" customHeight="1">
      <c r="A1171" s="152"/>
      <c r="B1171" s="160"/>
      <c r="C1171" s="153"/>
      <c r="D1171" s="154"/>
      <c r="E1171" s="139"/>
      <c r="F1171" s="139"/>
      <c r="G1171" s="139"/>
      <c r="H1171" s="135"/>
      <c r="I1171" s="141"/>
      <c r="J1171" s="147" t="str">
        <f>IFERROR(__xludf.DUMMYFUNCTION("IF(ISBLANK(A1171),IFERROR(1/0),IF(COUNT(FILTER(F:F,A:A=A1171))&gt;1,TRUNC(N1171*F1171/SUM(FILTER(N:N,A:A=A1171)),3),F1171))"),"")</f>
        <v/>
      </c>
      <c r="K1171" s="147" t="str">
        <f>IFERROR(__xludf.DUMMYFUNCTION("IF(ISBLANK(A1171),IFERROR(1/0),IF(COUNT(FILTER(G:G,((A:A=A1171)*(B:B=""V""))))&gt;1,TRUNC(N1171*G1171/SUM(FILTER(N:N,((A:A=A1171)*(B:B=""V"")))),3),G1171))"),"")</f>
        <v/>
      </c>
      <c r="L1171" s="148" t="str">
        <f>IFERROR(__xludf.DUMMYFUNCTION("if($C1171="""","""",iferror(if(row()&lt;&gt;2,INDEX(arrayformula(filter($M$2:$M1170,$C$2:$C1170&lt;&gt;"""",row($C$2:$C1170)=max(if($C$2:$C1170=C1171,row($C$2:$C1170),0)))) ,1),0),0))"),"")</f>
        <v/>
      </c>
      <c r="M1171" s="148" t="str">
        <f t="shared" si="1"/>
        <v/>
      </c>
      <c r="N1171" s="147" t="str">
        <f t="shared" si="2"/>
        <v/>
      </c>
      <c r="O1171" s="147" t="str">
        <f t="shared" si="21"/>
        <v/>
      </c>
      <c r="P1171" s="147" t="str">
        <f>IFERROR(__xludf.DUMMYFUNCTION("if(C1171="""","""",iferror(if(row()&lt;&gt;2,INDEX(arrayformula(filter($Q$2:$Q1170,$C$2:$C1170&lt;&gt;"""",row($C$2:$C1170)=max(if($C$2:$C1170=C1171,row($C$2:$C1170),0)))) ,1),0),0))"),"")</f>
        <v/>
      </c>
      <c r="Q1171" s="147" t="str">
        <f t="shared" si="22"/>
        <v/>
      </c>
      <c r="R1171" s="147" t="str">
        <f t="shared" si="23"/>
        <v/>
      </c>
      <c r="S1171" s="147" t="str">
        <f t="shared" si="24"/>
        <v/>
      </c>
      <c r="T1171" s="147" t="str">
        <f t="shared" si="7"/>
        <v/>
      </c>
      <c r="U1171" s="150" t="str">
        <f t="shared" si="8"/>
        <v/>
      </c>
      <c r="V1171" s="151" t="str">
        <f>IFERROR(VLOOKUP(C1171,Ativos!$A$1:$G2000,5,),)</f>
        <v/>
      </c>
    </row>
    <row r="1172" ht="21.0" customHeight="1">
      <c r="A1172" s="152"/>
      <c r="B1172" s="160"/>
      <c r="C1172" s="153"/>
      <c r="D1172" s="154"/>
      <c r="E1172" s="139"/>
      <c r="F1172" s="139"/>
      <c r="G1172" s="139"/>
      <c r="H1172" s="135"/>
      <c r="I1172" s="141"/>
      <c r="J1172" s="147" t="str">
        <f>IFERROR(__xludf.DUMMYFUNCTION("IF(ISBLANK(A1172),IFERROR(1/0),IF(COUNT(FILTER(F:F,A:A=A1172))&gt;1,TRUNC(N1172*F1172/SUM(FILTER(N:N,A:A=A1172)),3),F1172))"),"")</f>
        <v/>
      </c>
      <c r="K1172" s="147" t="str">
        <f>IFERROR(__xludf.DUMMYFUNCTION("IF(ISBLANK(A1172),IFERROR(1/0),IF(COUNT(FILTER(G:G,((A:A=A1172)*(B:B=""V""))))&gt;1,TRUNC(N1172*G1172/SUM(FILTER(N:N,((A:A=A1172)*(B:B=""V"")))),3),G1172))"),"")</f>
        <v/>
      </c>
      <c r="L1172" s="148" t="str">
        <f>IFERROR(__xludf.DUMMYFUNCTION("if($C1172="""","""",iferror(if(row()&lt;&gt;2,INDEX(arrayformula(filter($M$2:$M1171,$C$2:$C1171&lt;&gt;"""",row($C$2:$C1171)=max(if($C$2:$C1171=C1172,row($C$2:$C1171),0)))) ,1),0),0))"),"")</f>
        <v/>
      </c>
      <c r="M1172" s="148" t="str">
        <f t="shared" si="1"/>
        <v/>
      </c>
      <c r="N1172" s="147" t="str">
        <f t="shared" si="2"/>
        <v/>
      </c>
      <c r="O1172" s="147" t="str">
        <f t="shared" si="21"/>
        <v/>
      </c>
      <c r="P1172" s="147" t="str">
        <f>IFERROR(__xludf.DUMMYFUNCTION("if(C1172="""","""",iferror(if(row()&lt;&gt;2,INDEX(arrayformula(filter($Q$2:$Q1171,$C$2:$C1171&lt;&gt;"""",row($C$2:$C1171)=max(if($C$2:$C1171=C1172,row($C$2:$C1171),0)))) ,1),0),0))"),"")</f>
        <v/>
      </c>
      <c r="Q1172" s="147" t="str">
        <f t="shared" si="22"/>
        <v/>
      </c>
      <c r="R1172" s="147" t="str">
        <f t="shared" si="23"/>
        <v/>
      </c>
      <c r="S1172" s="147" t="str">
        <f t="shared" si="24"/>
        <v/>
      </c>
      <c r="T1172" s="147" t="str">
        <f t="shared" si="7"/>
        <v/>
      </c>
      <c r="U1172" s="150" t="str">
        <f t="shared" si="8"/>
        <v/>
      </c>
      <c r="V1172" s="151" t="str">
        <f>IFERROR(VLOOKUP(C1172,Ativos!$A$1:$G2000,5,),)</f>
        <v/>
      </c>
    </row>
    <row r="1173" ht="21.0" customHeight="1">
      <c r="A1173" s="152"/>
      <c r="B1173" s="160"/>
      <c r="C1173" s="153"/>
      <c r="D1173" s="154"/>
      <c r="E1173" s="139"/>
      <c r="F1173" s="139"/>
      <c r="G1173" s="139"/>
      <c r="H1173" s="135"/>
      <c r="I1173" s="141"/>
      <c r="J1173" s="147" t="str">
        <f>IFERROR(__xludf.DUMMYFUNCTION("IF(ISBLANK(A1173),IFERROR(1/0),IF(COUNT(FILTER(F:F,A:A=A1173))&gt;1,TRUNC(N1173*F1173/SUM(FILTER(N:N,A:A=A1173)),3),F1173))"),"")</f>
        <v/>
      </c>
      <c r="K1173" s="147" t="str">
        <f>IFERROR(__xludf.DUMMYFUNCTION("IF(ISBLANK(A1173),IFERROR(1/0),IF(COUNT(FILTER(G:G,((A:A=A1173)*(B:B=""V""))))&gt;1,TRUNC(N1173*G1173/SUM(FILTER(N:N,((A:A=A1173)*(B:B=""V"")))),3),G1173))"),"")</f>
        <v/>
      </c>
      <c r="L1173" s="148" t="str">
        <f>IFERROR(__xludf.DUMMYFUNCTION("if($C1173="""","""",iferror(if(row()&lt;&gt;2,INDEX(arrayformula(filter($M$2:$M1172,$C$2:$C1172&lt;&gt;"""",row($C$2:$C1172)=max(if($C$2:$C1172=C1173,row($C$2:$C1172),0)))) ,1),0),0))"),"")</f>
        <v/>
      </c>
      <c r="M1173" s="148" t="str">
        <f t="shared" si="1"/>
        <v/>
      </c>
      <c r="N1173" s="147" t="str">
        <f t="shared" si="2"/>
        <v/>
      </c>
      <c r="O1173" s="147" t="str">
        <f t="shared" si="21"/>
        <v/>
      </c>
      <c r="P1173" s="147" t="str">
        <f>IFERROR(__xludf.DUMMYFUNCTION("if(C1173="""","""",iferror(if(row()&lt;&gt;2,INDEX(arrayformula(filter($Q$2:$Q1172,$C$2:$C1172&lt;&gt;"""",row($C$2:$C1172)=max(if($C$2:$C1172=C1173,row($C$2:$C1172),0)))) ,1),0),0))"),"")</f>
        <v/>
      </c>
      <c r="Q1173" s="147" t="str">
        <f t="shared" si="22"/>
        <v/>
      </c>
      <c r="R1173" s="147" t="str">
        <f t="shared" si="23"/>
        <v/>
      </c>
      <c r="S1173" s="147" t="str">
        <f t="shared" si="24"/>
        <v/>
      </c>
      <c r="T1173" s="147" t="str">
        <f t="shared" si="7"/>
        <v/>
      </c>
      <c r="U1173" s="150" t="str">
        <f t="shared" si="8"/>
        <v/>
      </c>
      <c r="V1173" s="151" t="str">
        <f>IFERROR(VLOOKUP(C1173,Ativos!$A$1:$G2000,5,),)</f>
        <v/>
      </c>
    </row>
    <row r="1174" ht="21.0" customHeight="1">
      <c r="A1174" s="152"/>
      <c r="B1174" s="160"/>
      <c r="C1174" s="153"/>
      <c r="D1174" s="154"/>
      <c r="E1174" s="139"/>
      <c r="F1174" s="139"/>
      <c r="G1174" s="139"/>
      <c r="H1174" s="135"/>
      <c r="I1174" s="141"/>
      <c r="J1174" s="147" t="str">
        <f>IFERROR(__xludf.DUMMYFUNCTION("IF(ISBLANK(A1174),IFERROR(1/0),IF(COUNT(FILTER(F:F,A:A=A1174))&gt;1,TRUNC(N1174*F1174/SUM(FILTER(N:N,A:A=A1174)),3),F1174))"),"")</f>
        <v/>
      </c>
      <c r="K1174" s="147" t="str">
        <f>IFERROR(__xludf.DUMMYFUNCTION("IF(ISBLANK(A1174),IFERROR(1/0),IF(COUNT(FILTER(G:G,((A:A=A1174)*(B:B=""V""))))&gt;1,TRUNC(N1174*G1174/SUM(FILTER(N:N,((A:A=A1174)*(B:B=""V"")))),3),G1174))"),"")</f>
        <v/>
      </c>
      <c r="L1174" s="148" t="str">
        <f>IFERROR(__xludf.DUMMYFUNCTION("if($C1174="""","""",iferror(if(row()&lt;&gt;2,INDEX(arrayformula(filter($M$2:$M1173,$C$2:$C1173&lt;&gt;"""",row($C$2:$C1173)=max(if($C$2:$C1173=C1174,row($C$2:$C1173),0)))) ,1),0),0))"),"")</f>
        <v/>
      </c>
      <c r="M1174" s="148" t="str">
        <f t="shared" si="1"/>
        <v/>
      </c>
      <c r="N1174" s="147" t="str">
        <f t="shared" si="2"/>
        <v/>
      </c>
      <c r="O1174" s="147" t="str">
        <f t="shared" si="21"/>
        <v/>
      </c>
      <c r="P1174" s="147" t="str">
        <f>IFERROR(__xludf.DUMMYFUNCTION("if(C1174="""","""",iferror(if(row()&lt;&gt;2,INDEX(arrayformula(filter($Q$2:$Q1173,$C$2:$C1173&lt;&gt;"""",row($C$2:$C1173)=max(if($C$2:$C1173=C1174,row($C$2:$C1173),0)))) ,1),0),0))"),"")</f>
        <v/>
      </c>
      <c r="Q1174" s="147" t="str">
        <f t="shared" si="22"/>
        <v/>
      </c>
      <c r="R1174" s="147" t="str">
        <f t="shared" si="23"/>
        <v/>
      </c>
      <c r="S1174" s="147" t="str">
        <f t="shared" si="24"/>
        <v/>
      </c>
      <c r="T1174" s="147" t="str">
        <f t="shared" si="7"/>
        <v/>
      </c>
      <c r="U1174" s="150" t="str">
        <f t="shared" si="8"/>
        <v/>
      </c>
      <c r="V1174" s="151" t="str">
        <f>IFERROR(VLOOKUP(C1174,Ativos!$A$1:$G2000,5,),)</f>
        <v/>
      </c>
    </row>
    <row r="1175" ht="21.0" customHeight="1">
      <c r="A1175" s="152"/>
      <c r="B1175" s="160"/>
      <c r="C1175" s="153"/>
      <c r="D1175" s="154"/>
      <c r="E1175" s="139"/>
      <c r="F1175" s="139"/>
      <c r="G1175" s="139"/>
      <c r="H1175" s="135"/>
      <c r="I1175" s="141"/>
      <c r="J1175" s="147" t="str">
        <f>IFERROR(__xludf.DUMMYFUNCTION("IF(ISBLANK(A1175),IFERROR(1/0),IF(COUNT(FILTER(F:F,A:A=A1175))&gt;1,TRUNC(N1175*F1175/SUM(FILTER(N:N,A:A=A1175)),3),F1175))"),"")</f>
        <v/>
      </c>
      <c r="K1175" s="147" t="str">
        <f>IFERROR(__xludf.DUMMYFUNCTION("IF(ISBLANK(A1175),IFERROR(1/0),IF(COUNT(FILTER(G:G,((A:A=A1175)*(B:B=""V""))))&gt;1,TRUNC(N1175*G1175/SUM(FILTER(N:N,((A:A=A1175)*(B:B=""V"")))),3),G1175))"),"")</f>
        <v/>
      </c>
      <c r="L1175" s="148" t="str">
        <f>IFERROR(__xludf.DUMMYFUNCTION("if($C1175="""","""",iferror(if(row()&lt;&gt;2,INDEX(arrayformula(filter($M$2:$M1174,$C$2:$C1174&lt;&gt;"""",row($C$2:$C1174)=max(if($C$2:$C1174=C1175,row($C$2:$C1174),0)))) ,1),0),0))"),"")</f>
        <v/>
      </c>
      <c r="M1175" s="148" t="str">
        <f t="shared" si="1"/>
        <v/>
      </c>
      <c r="N1175" s="147" t="str">
        <f t="shared" si="2"/>
        <v/>
      </c>
      <c r="O1175" s="147" t="str">
        <f t="shared" si="21"/>
        <v/>
      </c>
      <c r="P1175" s="147" t="str">
        <f>IFERROR(__xludf.DUMMYFUNCTION("if(C1175="""","""",iferror(if(row()&lt;&gt;2,INDEX(arrayformula(filter($Q$2:$Q1174,$C$2:$C1174&lt;&gt;"""",row($C$2:$C1174)=max(if($C$2:$C1174=C1175,row($C$2:$C1174),0)))) ,1),0),0))"),"")</f>
        <v/>
      </c>
      <c r="Q1175" s="147" t="str">
        <f t="shared" si="22"/>
        <v/>
      </c>
      <c r="R1175" s="147" t="str">
        <f t="shared" si="23"/>
        <v/>
      </c>
      <c r="S1175" s="147" t="str">
        <f t="shared" si="24"/>
        <v/>
      </c>
      <c r="T1175" s="147" t="str">
        <f t="shared" si="7"/>
        <v/>
      </c>
      <c r="U1175" s="150" t="str">
        <f t="shared" si="8"/>
        <v/>
      </c>
      <c r="V1175" s="151" t="str">
        <f>IFERROR(VLOOKUP(C1175,Ativos!$A$1:$G2000,5,),)</f>
        <v/>
      </c>
    </row>
    <row r="1176" ht="21.0" customHeight="1">
      <c r="A1176" s="152"/>
      <c r="B1176" s="160"/>
      <c r="C1176" s="153"/>
      <c r="D1176" s="154"/>
      <c r="E1176" s="139"/>
      <c r="F1176" s="139"/>
      <c r="G1176" s="139"/>
      <c r="H1176" s="135"/>
      <c r="I1176" s="141"/>
      <c r="J1176" s="147" t="str">
        <f>IFERROR(__xludf.DUMMYFUNCTION("IF(ISBLANK(A1176),IFERROR(1/0),IF(COUNT(FILTER(F:F,A:A=A1176))&gt;1,TRUNC(N1176*F1176/SUM(FILTER(N:N,A:A=A1176)),3),F1176))"),"")</f>
        <v/>
      </c>
      <c r="K1176" s="147" t="str">
        <f>IFERROR(__xludf.DUMMYFUNCTION("IF(ISBLANK(A1176),IFERROR(1/0),IF(COUNT(FILTER(G:G,((A:A=A1176)*(B:B=""V""))))&gt;1,TRUNC(N1176*G1176/SUM(FILTER(N:N,((A:A=A1176)*(B:B=""V"")))),3),G1176))"),"")</f>
        <v/>
      </c>
      <c r="L1176" s="148" t="str">
        <f>IFERROR(__xludf.DUMMYFUNCTION("if($C1176="""","""",iferror(if(row()&lt;&gt;2,INDEX(arrayformula(filter($M$2:$M1175,$C$2:$C1175&lt;&gt;"""",row($C$2:$C1175)=max(if($C$2:$C1175=C1176,row($C$2:$C1175),0)))) ,1),0),0))"),"")</f>
        <v/>
      </c>
      <c r="M1176" s="148" t="str">
        <f t="shared" si="1"/>
        <v/>
      </c>
      <c r="N1176" s="147" t="str">
        <f t="shared" si="2"/>
        <v/>
      </c>
      <c r="O1176" s="147" t="str">
        <f t="shared" si="21"/>
        <v/>
      </c>
      <c r="P1176" s="147" t="str">
        <f>IFERROR(__xludf.DUMMYFUNCTION("if(C1176="""","""",iferror(if(row()&lt;&gt;2,INDEX(arrayformula(filter($Q$2:$Q1175,$C$2:$C1175&lt;&gt;"""",row($C$2:$C1175)=max(if($C$2:$C1175=C1176,row($C$2:$C1175),0)))) ,1),0),0))"),"")</f>
        <v/>
      </c>
      <c r="Q1176" s="147" t="str">
        <f t="shared" si="22"/>
        <v/>
      </c>
      <c r="R1176" s="147" t="str">
        <f t="shared" si="23"/>
        <v/>
      </c>
      <c r="S1176" s="147" t="str">
        <f t="shared" si="24"/>
        <v/>
      </c>
      <c r="T1176" s="147" t="str">
        <f t="shared" si="7"/>
        <v/>
      </c>
      <c r="U1176" s="150" t="str">
        <f t="shared" si="8"/>
        <v/>
      </c>
      <c r="V1176" s="151" t="str">
        <f>IFERROR(VLOOKUP(C1176,Ativos!$A$1:$G2000,5,),)</f>
        <v/>
      </c>
    </row>
    <row r="1177" ht="21.0" customHeight="1">
      <c r="A1177" s="152"/>
      <c r="B1177" s="160"/>
      <c r="C1177" s="153"/>
      <c r="D1177" s="154"/>
      <c r="E1177" s="139"/>
      <c r="F1177" s="139"/>
      <c r="G1177" s="139"/>
      <c r="H1177" s="135"/>
      <c r="I1177" s="141"/>
      <c r="J1177" s="147" t="str">
        <f>IFERROR(__xludf.DUMMYFUNCTION("IF(ISBLANK(A1177),IFERROR(1/0),IF(COUNT(FILTER(F:F,A:A=A1177))&gt;1,TRUNC(N1177*F1177/SUM(FILTER(N:N,A:A=A1177)),3),F1177))"),"")</f>
        <v/>
      </c>
      <c r="K1177" s="147" t="str">
        <f>IFERROR(__xludf.DUMMYFUNCTION("IF(ISBLANK(A1177),IFERROR(1/0),IF(COUNT(FILTER(G:G,((A:A=A1177)*(B:B=""V""))))&gt;1,TRUNC(N1177*G1177/SUM(FILTER(N:N,((A:A=A1177)*(B:B=""V"")))),3),G1177))"),"")</f>
        <v/>
      </c>
      <c r="L1177" s="148" t="str">
        <f>IFERROR(__xludf.DUMMYFUNCTION("if($C1177="""","""",iferror(if(row()&lt;&gt;2,INDEX(arrayformula(filter($M$2:$M1176,$C$2:$C1176&lt;&gt;"""",row($C$2:$C1176)=max(if($C$2:$C1176=C1177,row($C$2:$C1176),0)))) ,1),0),0))"),"")</f>
        <v/>
      </c>
      <c r="M1177" s="148" t="str">
        <f t="shared" si="1"/>
        <v/>
      </c>
      <c r="N1177" s="147" t="str">
        <f t="shared" si="2"/>
        <v/>
      </c>
      <c r="O1177" s="147" t="str">
        <f t="shared" si="21"/>
        <v/>
      </c>
      <c r="P1177" s="147" t="str">
        <f>IFERROR(__xludf.DUMMYFUNCTION("if(C1177="""","""",iferror(if(row()&lt;&gt;2,INDEX(arrayformula(filter($Q$2:$Q1176,$C$2:$C1176&lt;&gt;"""",row($C$2:$C1176)=max(if($C$2:$C1176=C1177,row($C$2:$C1176),0)))) ,1),0),0))"),"")</f>
        <v/>
      </c>
      <c r="Q1177" s="147" t="str">
        <f t="shared" si="22"/>
        <v/>
      </c>
      <c r="R1177" s="147" t="str">
        <f t="shared" si="23"/>
        <v/>
      </c>
      <c r="S1177" s="147" t="str">
        <f t="shared" si="24"/>
        <v/>
      </c>
      <c r="T1177" s="147" t="str">
        <f t="shared" si="7"/>
        <v/>
      </c>
      <c r="U1177" s="150" t="str">
        <f t="shared" si="8"/>
        <v/>
      </c>
      <c r="V1177" s="151" t="str">
        <f>IFERROR(VLOOKUP(C1177,Ativos!$A$1:$G2000,5,),)</f>
        <v/>
      </c>
    </row>
    <row r="1178" ht="21.0" customHeight="1">
      <c r="A1178" s="152"/>
      <c r="B1178" s="160"/>
      <c r="C1178" s="153"/>
      <c r="D1178" s="154"/>
      <c r="E1178" s="139"/>
      <c r="F1178" s="139"/>
      <c r="G1178" s="139"/>
      <c r="H1178" s="135"/>
      <c r="I1178" s="141"/>
      <c r="J1178" s="147" t="str">
        <f>IFERROR(__xludf.DUMMYFUNCTION("IF(ISBLANK(A1178),IFERROR(1/0),IF(COUNT(FILTER(F:F,A:A=A1178))&gt;1,TRUNC(N1178*F1178/SUM(FILTER(N:N,A:A=A1178)),3),F1178))"),"")</f>
        <v/>
      </c>
      <c r="K1178" s="147" t="str">
        <f>IFERROR(__xludf.DUMMYFUNCTION("IF(ISBLANK(A1178),IFERROR(1/0),IF(COUNT(FILTER(G:G,((A:A=A1178)*(B:B=""V""))))&gt;1,TRUNC(N1178*G1178/SUM(FILTER(N:N,((A:A=A1178)*(B:B=""V"")))),3),G1178))"),"")</f>
        <v/>
      </c>
      <c r="L1178" s="148" t="str">
        <f>IFERROR(__xludf.DUMMYFUNCTION("if($C1178="""","""",iferror(if(row()&lt;&gt;2,INDEX(arrayformula(filter($M$2:$M1177,$C$2:$C1177&lt;&gt;"""",row($C$2:$C1177)=max(if($C$2:$C1177=C1178,row($C$2:$C1177),0)))) ,1),0),0))"),"")</f>
        <v/>
      </c>
      <c r="M1178" s="148" t="str">
        <f t="shared" si="1"/>
        <v/>
      </c>
      <c r="N1178" s="147" t="str">
        <f t="shared" si="2"/>
        <v/>
      </c>
      <c r="O1178" s="147" t="str">
        <f t="shared" si="21"/>
        <v/>
      </c>
      <c r="P1178" s="147" t="str">
        <f>IFERROR(__xludf.DUMMYFUNCTION("if(C1178="""","""",iferror(if(row()&lt;&gt;2,INDEX(arrayformula(filter($Q$2:$Q1177,$C$2:$C1177&lt;&gt;"""",row($C$2:$C1177)=max(if($C$2:$C1177=C1178,row($C$2:$C1177),0)))) ,1),0),0))"),"")</f>
        <v/>
      </c>
      <c r="Q1178" s="147" t="str">
        <f t="shared" si="22"/>
        <v/>
      </c>
      <c r="R1178" s="147" t="str">
        <f t="shared" si="23"/>
        <v/>
      </c>
      <c r="S1178" s="147" t="str">
        <f t="shared" si="24"/>
        <v/>
      </c>
      <c r="T1178" s="147" t="str">
        <f t="shared" si="7"/>
        <v/>
      </c>
      <c r="U1178" s="150" t="str">
        <f t="shared" si="8"/>
        <v/>
      </c>
      <c r="V1178" s="151" t="str">
        <f>IFERROR(VLOOKUP(C1178,Ativos!$A$1:$G2000,5,),)</f>
        <v/>
      </c>
    </row>
    <row r="1179" ht="21.0" customHeight="1">
      <c r="A1179" s="152"/>
      <c r="B1179" s="160"/>
      <c r="C1179" s="153"/>
      <c r="D1179" s="154"/>
      <c r="E1179" s="139"/>
      <c r="F1179" s="139"/>
      <c r="G1179" s="139"/>
      <c r="H1179" s="135"/>
      <c r="I1179" s="141"/>
      <c r="J1179" s="147" t="str">
        <f>IFERROR(__xludf.DUMMYFUNCTION("IF(ISBLANK(A1179),IFERROR(1/0),IF(COUNT(FILTER(F:F,A:A=A1179))&gt;1,TRUNC(N1179*F1179/SUM(FILTER(N:N,A:A=A1179)),3),F1179))"),"")</f>
        <v/>
      </c>
      <c r="K1179" s="147" t="str">
        <f>IFERROR(__xludf.DUMMYFUNCTION("IF(ISBLANK(A1179),IFERROR(1/0),IF(COUNT(FILTER(G:G,((A:A=A1179)*(B:B=""V""))))&gt;1,TRUNC(N1179*G1179/SUM(FILTER(N:N,((A:A=A1179)*(B:B=""V"")))),3),G1179))"),"")</f>
        <v/>
      </c>
      <c r="L1179" s="148" t="str">
        <f>IFERROR(__xludf.DUMMYFUNCTION("if($C1179="""","""",iferror(if(row()&lt;&gt;2,INDEX(arrayformula(filter($M$2:$M1178,$C$2:$C1178&lt;&gt;"""",row($C$2:$C1178)=max(if($C$2:$C1178=C1179,row($C$2:$C1178),0)))) ,1),0),0))"),"")</f>
        <v/>
      </c>
      <c r="M1179" s="148" t="str">
        <f t="shared" si="1"/>
        <v/>
      </c>
      <c r="N1179" s="147" t="str">
        <f t="shared" si="2"/>
        <v/>
      </c>
      <c r="O1179" s="147" t="str">
        <f t="shared" si="21"/>
        <v/>
      </c>
      <c r="P1179" s="147" t="str">
        <f>IFERROR(__xludf.DUMMYFUNCTION("if(C1179="""","""",iferror(if(row()&lt;&gt;2,INDEX(arrayformula(filter($Q$2:$Q1178,$C$2:$C1178&lt;&gt;"""",row($C$2:$C1178)=max(if($C$2:$C1178=C1179,row($C$2:$C1178),0)))) ,1),0),0))"),"")</f>
        <v/>
      </c>
      <c r="Q1179" s="147" t="str">
        <f t="shared" si="22"/>
        <v/>
      </c>
      <c r="R1179" s="147" t="str">
        <f t="shared" si="23"/>
        <v/>
      </c>
      <c r="S1179" s="147" t="str">
        <f t="shared" si="24"/>
        <v/>
      </c>
      <c r="T1179" s="147" t="str">
        <f t="shared" si="7"/>
        <v/>
      </c>
      <c r="U1179" s="150" t="str">
        <f t="shared" si="8"/>
        <v/>
      </c>
      <c r="V1179" s="151" t="str">
        <f>IFERROR(VLOOKUP(C1179,Ativos!$A$1:$G2000,5,),)</f>
        <v/>
      </c>
    </row>
    <row r="1180" ht="21.0" customHeight="1">
      <c r="A1180" s="152"/>
      <c r="B1180" s="160"/>
      <c r="C1180" s="153"/>
      <c r="D1180" s="154"/>
      <c r="E1180" s="139"/>
      <c r="F1180" s="139"/>
      <c r="G1180" s="139"/>
      <c r="H1180" s="135"/>
      <c r="I1180" s="141"/>
      <c r="J1180" s="147" t="str">
        <f>IFERROR(__xludf.DUMMYFUNCTION("IF(ISBLANK(A1180),IFERROR(1/0),IF(COUNT(FILTER(F:F,A:A=A1180))&gt;1,TRUNC(N1180*F1180/SUM(FILTER(N:N,A:A=A1180)),3),F1180))"),"")</f>
        <v/>
      </c>
      <c r="K1180" s="147" t="str">
        <f>IFERROR(__xludf.DUMMYFUNCTION("IF(ISBLANK(A1180),IFERROR(1/0),IF(COUNT(FILTER(G:G,((A:A=A1180)*(B:B=""V""))))&gt;1,TRUNC(N1180*G1180/SUM(FILTER(N:N,((A:A=A1180)*(B:B=""V"")))),3),G1180))"),"")</f>
        <v/>
      </c>
      <c r="L1180" s="148" t="str">
        <f>IFERROR(__xludf.DUMMYFUNCTION("if($C1180="""","""",iferror(if(row()&lt;&gt;2,INDEX(arrayformula(filter($M$2:$M1179,$C$2:$C1179&lt;&gt;"""",row($C$2:$C1179)=max(if($C$2:$C1179=C1180,row($C$2:$C1179),0)))) ,1),0),0))"),"")</f>
        <v/>
      </c>
      <c r="M1180" s="148" t="str">
        <f t="shared" si="1"/>
        <v/>
      </c>
      <c r="N1180" s="147" t="str">
        <f t="shared" si="2"/>
        <v/>
      </c>
      <c r="O1180" s="147" t="str">
        <f t="shared" si="21"/>
        <v/>
      </c>
      <c r="P1180" s="147" t="str">
        <f>IFERROR(__xludf.DUMMYFUNCTION("if(C1180="""","""",iferror(if(row()&lt;&gt;2,INDEX(arrayformula(filter($Q$2:$Q1179,$C$2:$C1179&lt;&gt;"""",row($C$2:$C1179)=max(if($C$2:$C1179=C1180,row($C$2:$C1179),0)))) ,1),0),0))"),"")</f>
        <v/>
      </c>
      <c r="Q1180" s="147" t="str">
        <f t="shared" si="22"/>
        <v/>
      </c>
      <c r="R1180" s="147" t="str">
        <f t="shared" si="23"/>
        <v/>
      </c>
      <c r="S1180" s="147" t="str">
        <f t="shared" si="24"/>
        <v/>
      </c>
      <c r="T1180" s="147" t="str">
        <f t="shared" si="7"/>
        <v/>
      </c>
      <c r="U1180" s="150" t="str">
        <f t="shared" si="8"/>
        <v/>
      </c>
      <c r="V1180" s="151" t="str">
        <f>IFERROR(VLOOKUP(C1180,Ativos!$A$1:$G2000,5,),)</f>
        <v/>
      </c>
    </row>
    <row r="1181" ht="21.0" customHeight="1">
      <c r="A1181" s="152"/>
      <c r="B1181" s="160"/>
      <c r="C1181" s="153"/>
      <c r="D1181" s="154"/>
      <c r="E1181" s="139"/>
      <c r="F1181" s="139"/>
      <c r="G1181" s="139"/>
      <c r="H1181" s="135"/>
      <c r="I1181" s="141"/>
      <c r="J1181" s="147" t="str">
        <f>IFERROR(__xludf.DUMMYFUNCTION("IF(ISBLANK(A1181),IFERROR(1/0),IF(COUNT(FILTER(F:F,A:A=A1181))&gt;1,TRUNC(N1181*F1181/SUM(FILTER(N:N,A:A=A1181)),3),F1181))"),"")</f>
        <v/>
      </c>
      <c r="K1181" s="147" t="str">
        <f>IFERROR(__xludf.DUMMYFUNCTION("IF(ISBLANK(A1181),IFERROR(1/0),IF(COUNT(FILTER(G:G,((A:A=A1181)*(B:B=""V""))))&gt;1,TRUNC(N1181*G1181/SUM(FILTER(N:N,((A:A=A1181)*(B:B=""V"")))),3),G1181))"),"")</f>
        <v/>
      </c>
      <c r="L1181" s="148" t="str">
        <f>IFERROR(__xludf.DUMMYFUNCTION("if($C1181="""","""",iferror(if(row()&lt;&gt;2,INDEX(arrayformula(filter($M$2:$M1180,$C$2:$C1180&lt;&gt;"""",row($C$2:$C1180)=max(if($C$2:$C1180=C1181,row($C$2:$C1180),0)))) ,1),0),0))"),"")</f>
        <v/>
      </c>
      <c r="M1181" s="148" t="str">
        <f t="shared" si="1"/>
        <v/>
      </c>
      <c r="N1181" s="147" t="str">
        <f t="shared" si="2"/>
        <v/>
      </c>
      <c r="O1181" s="147" t="str">
        <f t="shared" si="21"/>
        <v/>
      </c>
      <c r="P1181" s="147" t="str">
        <f>IFERROR(__xludf.DUMMYFUNCTION("if(C1181="""","""",iferror(if(row()&lt;&gt;2,INDEX(arrayformula(filter($Q$2:$Q1180,$C$2:$C1180&lt;&gt;"""",row($C$2:$C1180)=max(if($C$2:$C1180=C1181,row($C$2:$C1180),0)))) ,1),0),0))"),"")</f>
        <v/>
      </c>
      <c r="Q1181" s="147" t="str">
        <f t="shared" si="22"/>
        <v/>
      </c>
      <c r="R1181" s="147" t="str">
        <f t="shared" si="23"/>
        <v/>
      </c>
      <c r="S1181" s="147" t="str">
        <f t="shared" si="24"/>
        <v/>
      </c>
      <c r="T1181" s="147" t="str">
        <f t="shared" si="7"/>
        <v/>
      </c>
      <c r="U1181" s="150" t="str">
        <f t="shared" si="8"/>
        <v/>
      </c>
      <c r="V1181" s="151" t="str">
        <f>IFERROR(VLOOKUP(C1181,Ativos!$A$1:$G2000,5,),)</f>
        <v/>
      </c>
    </row>
    <row r="1182" ht="21.0" customHeight="1">
      <c r="A1182" s="152"/>
      <c r="B1182" s="160"/>
      <c r="C1182" s="153"/>
      <c r="D1182" s="154"/>
      <c r="E1182" s="139"/>
      <c r="F1182" s="139"/>
      <c r="G1182" s="139"/>
      <c r="H1182" s="135"/>
      <c r="I1182" s="141"/>
      <c r="J1182" s="147" t="str">
        <f>IFERROR(__xludf.DUMMYFUNCTION("IF(ISBLANK(A1182),IFERROR(1/0),IF(COUNT(FILTER(F:F,A:A=A1182))&gt;1,TRUNC(N1182*F1182/SUM(FILTER(N:N,A:A=A1182)),3),F1182))"),"")</f>
        <v/>
      </c>
      <c r="K1182" s="147" t="str">
        <f>IFERROR(__xludf.DUMMYFUNCTION("IF(ISBLANK(A1182),IFERROR(1/0),IF(COUNT(FILTER(G:G,((A:A=A1182)*(B:B=""V""))))&gt;1,TRUNC(N1182*G1182/SUM(FILTER(N:N,((A:A=A1182)*(B:B=""V"")))),3),G1182))"),"")</f>
        <v/>
      </c>
      <c r="L1182" s="148" t="str">
        <f>IFERROR(__xludf.DUMMYFUNCTION("if($C1182="""","""",iferror(if(row()&lt;&gt;2,INDEX(arrayformula(filter($M$2:$M1181,$C$2:$C1181&lt;&gt;"""",row($C$2:$C1181)=max(if($C$2:$C1181=C1182,row($C$2:$C1181),0)))) ,1),0),0))"),"")</f>
        <v/>
      </c>
      <c r="M1182" s="148" t="str">
        <f t="shared" si="1"/>
        <v/>
      </c>
      <c r="N1182" s="147" t="str">
        <f t="shared" si="2"/>
        <v/>
      </c>
      <c r="O1182" s="147" t="str">
        <f t="shared" si="21"/>
        <v/>
      </c>
      <c r="P1182" s="147" t="str">
        <f>IFERROR(__xludf.DUMMYFUNCTION("if(C1182="""","""",iferror(if(row()&lt;&gt;2,INDEX(arrayformula(filter($Q$2:$Q1181,$C$2:$C1181&lt;&gt;"""",row($C$2:$C1181)=max(if($C$2:$C1181=C1182,row($C$2:$C1181),0)))) ,1),0),0))"),"")</f>
        <v/>
      </c>
      <c r="Q1182" s="147" t="str">
        <f t="shared" si="22"/>
        <v/>
      </c>
      <c r="R1182" s="147" t="str">
        <f t="shared" si="23"/>
        <v/>
      </c>
      <c r="S1182" s="147" t="str">
        <f t="shared" si="24"/>
        <v/>
      </c>
      <c r="T1182" s="147" t="str">
        <f t="shared" si="7"/>
        <v/>
      </c>
      <c r="U1182" s="150" t="str">
        <f t="shared" si="8"/>
        <v/>
      </c>
      <c r="V1182" s="151" t="str">
        <f>IFERROR(VLOOKUP(C1182,Ativos!$A$1:$G2000,5,),)</f>
        <v/>
      </c>
    </row>
    <row r="1183" ht="21.0" customHeight="1">
      <c r="A1183" s="152"/>
      <c r="B1183" s="160"/>
      <c r="C1183" s="153"/>
      <c r="D1183" s="154"/>
      <c r="E1183" s="139"/>
      <c r="F1183" s="139"/>
      <c r="G1183" s="139"/>
      <c r="H1183" s="135"/>
      <c r="I1183" s="141"/>
      <c r="J1183" s="147" t="str">
        <f>IFERROR(__xludf.DUMMYFUNCTION("IF(ISBLANK(A1183),IFERROR(1/0),IF(COUNT(FILTER(F:F,A:A=A1183))&gt;1,TRUNC(N1183*F1183/SUM(FILTER(N:N,A:A=A1183)),3),F1183))"),"")</f>
        <v/>
      </c>
      <c r="K1183" s="147" t="str">
        <f>IFERROR(__xludf.DUMMYFUNCTION("IF(ISBLANK(A1183),IFERROR(1/0),IF(COUNT(FILTER(G:G,((A:A=A1183)*(B:B=""V""))))&gt;1,TRUNC(N1183*G1183/SUM(FILTER(N:N,((A:A=A1183)*(B:B=""V"")))),3),G1183))"),"")</f>
        <v/>
      </c>
      <c r="L1183" s="148" t="str">
        <f>IFERROR(__xludf.DUMMYFUNCTION("if($C1183="""","""",iferror(if(row()&lt;&gt;2,INDEX(arrayformula(filter($M$2:$M1182,$C$2:$C1182&lt;&gt;"""",row($C$2:$C1182)=max(if($C$2:$C1182=C1183,row($C$2:$C1182),0)))) ,1),0),0))"),"")</f>
        <v/>
      </c>
      <c r="M1183" s="148" t="str">
        <f t="shared" si="1"/>
        <v/>
      </c>
      <c r="N1183" s="147" t="str">
        <f t="shared" si="2"/>
        <v/>
      </c>
      <c r="O1183" s="147" t="str">
        <f t="shared" si="21"/>
        <v/>
      </c>
      <c r="P1183" s="147" t="str">
        <f>IFERROR(__xludf.DUMMYFUNCTION("if(C1183="""","""",iferror(if(row()&lt;&gt;2,INDEX(arrayformula(filter($Q$2:$Q1182,$C$2:$C1182&lt;&gt;"""",row($C$2:$C1182)=max(if($C$2:$C1182=C1183,row($C$2:$C1182),0)))) ,1),0),0))"),"")</f>
        <v/>
      </c>
      <c r="Q1183" s="147" t="str">
        <f t="shared" si="22"/>
        <v/>
      </c>
      <c r="R1183" s="147" t="str">
        <f t="shared" si="23"/>
        <v/>
      </c>
      <c r="S1183" s="147" t="str">
        <f t="shared" si="24"/>
        <v/>
      </c>
      <c r="T1183" s="147" t="str">
        <f t="shared" si="7"/>
        <v/>
      </c>
      <c r="U1183" s="150" t="str">
        <f t="shared" si="8"/>
        <v/>
      </c>
      <c r="V1183" s="151" t="str">
        <f>IFERROR(VLOOKUP(C1183,Ativos!$A$1:$G2000,5,),)</f>
        <v/>
      </c>
    </row>
    <row r="1184" ht="21.0" customHeight="1">
      <c r="A1184" s="152"/>
      <c r="B1184" s="160"/>
      <c r="C1184" s="153"/>
      <c r="D1184" s="154"/>
      <c r="E1184" s="139"/>
      <c r="F1184" s="139"/>
      <c r="G1184" s="139"/>
      <c r="H1184" s="135"/>
      <c r="I1184" s="141"/>
      <c r="J1184" s="147" t="str">
        <f>IFERROR(__xludf.DUMMYFUNCTION("IF(ISBLANK(A1184),IFERROR(1/0),IF(COUNT(FILTER(F:F,A:A=A1184))&gt;1,TRUNC(N1184*F1184/SUM(FILTER(N:N,A:A=A1184)),3),F1184))"),"")</f>
        <v/>
      </c>
      <c r="K1184" s="147" t="str">
        <f>IFERROR(__xludf.DUMMYFUNCTION("IF(ISBLANK(A1184),IFERROR(1/0),IF(COUNT(FILTER(G:G,((A:A=A1184)*(B:B=""V""))))&gt;1,TRUNC(N1184*G1184/SUM(FILTER(N:N,((A:A=A1184)*(B:B=""V"")))),3),G1184))"),"")</f>
        <v/>
      </c>
      <c r="L1184" s="148" t="str">
        <f>IFERROR(__xludf.DUMMYFUNCTION("if($C1184="""","""",iferror(if(row()&lt;&gt;2,INDEX(arrayformula(filter($M$2:$M1183,$C$2:$C1183&lt;&gt;"""",row($C$2:$C1183)=max(if($C$2:$C1183=C1184,row($C$2:$C1183),0)))) ,1),0),0))"),"")</f>
        <v/>
      </c>
      <c r="M1184" s="148" t="str">
        <f t="shared" si="1"/>
        <v/>
      </c>
      <c r="N1184" s="147" t="str">
        <f t="shared" si="2"/>
        <v/>
      </c>
      <c r="O1184" s="147" t="str">
        <f t="shared" si="21"/>
        <v/>
      </c>
      <c r="P1184" s="147" t="str">
        <f>IFERROR(__xludf.DUMMYFUNCTION("if(C1184="""","""",iferror(if(row()&lt;&gt;2,INDEX(arrayformula(filter($Q$2:$Q1183,$C$2:$C1183&lt;&gt;"""",row($C$2:$C1183)=max(if($C$2:$C1183=C1184,row($C$2:$C1183),0)))) ,1),0),0))"),"")</f>
        <v/>
      </c>
      <c r="Q1184" s="147" t="str">
        <f t="shared" si="22"/>
        <v/>
      </c>
      <c r="R1184" s="147" t="str">
        <f t="shared" si="23"/>
        <v/>
      </c>
      <c r="S1184" s="147" t="str">
        <f t="shared" si="24"/>
        <v/>
      </c>
      <c r="T1184" s="147" t="str">
        <f t="shared" si="7"/>
        <v/>
      </c>
      <c r="U1184" s="150" t="str">
        <f t="shared" si="8"/>
        <v/>
      </c>
      <c r="V1184" s="151" t="str">
        <f>IFERROR(VLOOKUP(C1184,Ativos!$A$1:$G2000,5,),)</f>
        <v/>
      </c>
    </row>
    <row r="1185" ht="21.0" customHeight="1">
      <c r="A1185" s="152"/>
      <c r="B1185" s="160"/>
      <c r="C1185" s="153"/>
      <c r="D1185" s="154"/>
      <c r="E1185" s="139"/>
      <c r="F1185" s="139"/>
      <c r="G1185" s="139"/>
      <c r="H1185" s="135"/>
      <c r="I1185" s="141"/>
      <c r="J1185" s="147" t="str">
        <f>IFERROR(__xludf.DUMMYFUNCTION("IF(ISBLANK(A1185),IFERROR(1/0),IF(COUNT(FILTER(F:F,A:A=A1185))&gt;1,TRUNC(N1185*F1185/SUM(FILTER(N:N,A:A=A1185)),3),F1185))"),"")</f>
        <v/>
      </c>
      <c r="K1185" s="147" t="str">
        <f>IFERROR(__xludf.DUMMYFUNCTION("IF(ISBLANK(A1185),IFERROR(1/0),IF(COUNT(FILTER(G:G,((A:A=A1185)*(B:B=""V""))))&gt;1,TRUNC(N1185*G1185/SUM(FILTER(N:N,((A:A=A1185)*(B:B=""V"")))),3),G1185))"),"")</f>
        <v/>
      </c>
      <c r="L1185" s="148" t="str">
        <f>IFERROR(__xludf.DUMMYFUNCTION("if($C1185="""","""",iferror(if(row()&lt;&gt;2,INDEX(arrayformula(filter($M$2:$M1184,$C$2:$C1184&lt;&gt;"""",row($C$2:$C1184)=max(if($C$2:$C1184=C1185,row($C$2:$C1184),0)))) ,1),0),0))"),"")</f>
        <v/>
      </c>
      <c r="M1185" s="148" t="str">
        <f t="shared" si="1"/>
        <v/>
      </c>
      <c r="N1185" s="147" t="str">
        <f t="shared" si="2"/>
        <v/>
      </c>
      <c r="O1185" s="147" t="str">
        <f t="shared" si="21"/>
        <v/>
      </c>
      <c r="P1185" s="147" t="str">
        <f>IFERROR(__xludf.DUMMYFUNCTION("if(C1185="""","""",iferror(if(row()&lt;&gt;2,INDEX(arrayformula(filter($Q$2:$Q1184,$C$2:$C1184&lt;&gt;"""",row($C$2:$C1184)=max(if($C$2:$C1184=C1185,row($C$2:$C1184),0)))) ,1),0),0))"),"")</f>
        <v/>
      </c>
      <c r="Q1185" s="147" t="str">
        <f t="shared" si="22"/>
        <v/>
      </c>
      <c r="R1185" s="147" t="str">
        <f t="shared" si="23"/>
        <v/>
      </c>
      <c r="S1185" s="147" t="str">
        <f t="shared" si="24"/>
        <v/>
      </c>
      <c r="T1185" s="147" t="str">
        <f t="shared" si="7"/>
        <v/>
      </c>
      <c r="U1185" s="150" t="str">
        <f t="shared" si="8"/>
        <v/>
      </c>
      <c r="V1185" s="151" t="str">
        <f>IFERROR(VLOOKUP(C1185,Ativos!$A$1:$G2000,5,),)</f>
        <v/>
      </c>
    </row>
    <row r="1186" ht="21.0" customHeight="1">
      <c r="A1186" s="152"/>
      <c r="B1186" s="160"/>
      <c r="C1186" s="153"/>
      <c r="D1186" s="154"/>
      <c r="E1186" s="139"/>
      <c r="F1186" s="139"/>
      <c r="G1186" s="139"/>
      <c r="H1186" s="135"/>
      <c r="I1186" s="141"/>
      <c r="J1186" s="147" t="str">
        <f>IFERROR(__xludf.DUMMYFUNCTION("IF(ISBLANK(A1186),IFERROR(1/0),IF(COUNT(FILTER(F:F,A:A=A1186))&gt;1,TRUNC(N1186*F1186/SUM(FILTER(N:N,A:A=A1186)),3),F1186))"),"")</f>
        <v/>
      </c>
      <c r="K1186" s="147" t="str">
        <f>IFERROR(__xludf.DUMMYFUNCTION("IF(ISBLANK(A1186),IFERROR(1/0),IF(COUNT(FILTER(G:G,((A:A=A1186)*(B:B=""V""))))&gt;1,TRUNC(N1186*G1186/SUM(FILTER(N:N,((A:A=A1186)*(B:B=""V"")))),3),G1186))"),"")</f>
        <v/>
      </c>
      <c r="L1186" s="148" t="str">
        <f>IFERROR(__xludf.DUMMYFUNCTION("if($C1186="""","""",iferror(if(row()&lt;&gt;2,INDEX(arrayformula(filter($M$2:$M1185,$C$2:$C1185&lt;&gt;"""",row($C$2:$C1185)=max(if($C$2:$C1185=C1186,row($C$2:$C1185),0)))) ,1),0),0))"),"")</f>
        <v/>
      </c>
      <c r="M1186" s="148" t="str">
        <f t="shared" si="1"/>
        <v/>
      </c>
      <c r="N1186" s="147" t="str">
        <f t="shared" si="2"/>
        <v/>
      </c>
      <c r="O1186" s="147" t="str">
        <f t="shared" si="21"/>
        <v/>
      </c>
      <c r="P1186" s="147" t="str">
        <f>IFERROR(__xludf.DUMMYFUNCTION("if(C1186="""","""",iferror(if(row()&lt;&gt;2,INDEX(arrayformula(filter($Q$2:$Q1185,$C$2:$C1185&lt;&gt;"""",row($C$2:$C1185)=max(if($C$2:$C1185=C1186,row($C$2:$C1185),0)))) ,1),0),0))"),"")</f>
        <v/>
      </c>
      <c r="Q1186" s="147" t="str">
        <f t="shared" si="22"/>
        <v/>
      </c>
      <c r="R1186" s="147" t="str">
        <f t="shared" si="23"/>
        <v/>
      </c>
      <c r="S1186" s="147" t="str">
        <f t="shared" si="24"/>
        <v/>
      </c>
      <c r="T1186" s="147" t="str">
        <f t="shared" si="7"/>
        <v/>
      </c>
      <c r="U1186" s="150" t="str">
        <f t="shared" si="8"/>
        <v/>
      </c>
      <c r="V1186" s="151" t="str">
        <f>IFERROR(VLOOKUP(C1186,Ativos!$A$1:$G2000,5,),)</f>
        <v/>
      </c>
    </row>
    <row r="1187" ht="21.0" customHeight="1">
      <c r="A1187" s="152"/>
      <c r="B1187" s="160"/>
      <c r="C1187" s="153"/>
      <c r="D1187" s="154"/>
      <c r="E1187" s="139"/>
      <c r="F1187" s="139"/>
      <c r="G1187" s="139"/>
      <c r="H1187" s="135"/>
      <c r="I1187" s="141"/>
      <c r="J1187" s="147" t="str">
        <f>IFERROR(__xludf.DUMMYFUNCTION("IF(ISBLANK(A1187),IFERROR(1/0),IF(COUNT(FILTER(F:F,A:A=A1187))&gt;1,TRUNC(N1187*F1187/SUM(FILTER(N:N,A:A=A1187)),3),F1187))"),"")</f>
        <v/>
      </c>
      <c r="K1187" s="147" t="str">
        <f>IFERROR(__xludf.DUMMYFUNCTION("IF(ISBLANK(A1187),IFERROR(1/0),IF(COUNT(FILTER(G:G,((A:A=A1187)*(B:B=""V""))))&gt;1,TRUNC(N1187*G1187/SUM(FILTER(N:N,((A:A=A1187)*(B:B=""V"")))),3),G1187))"),"")</f>
        <v/>
      </c>
      <c r="L1187" s="148" t="str">
        <f>IFERROR(__xludf.DUMMYFUNCTION("if($C1187="""","""",iferror(if(row()&lt;&gt;2,INDEX(arrayformula(filter($M$2:$M1186,$C$2:$C1186&lt;&gt;"""",row($C$2:$C1186)=max(if($C$2:$C1186=C1187,row($C$2:$C1186),0)))) ,1),0),0))"),"")</f>
        <v/>
      </c>
      <c r="M1187" s="148" t="str">
        <f t="shared" si="1"/>
        <v/>
      </c>
      <c r="N1187" s="147" t="str">
        <f t="shared" si="2"/>
        <v/>
      </c>
      <c r="O1187" s="147" t="str">
        <f t="shared" si="21"/>
        <v/>
      </c>
      <c r="P1187" s="147" t="str">
        <f>IFERROR(__xludf.DUMMYFUNCTION("if(C1187="""","""",iferror(if(row()&lt;&gt;2,INDEX(arrayformula(filter($Q$2:$Q1186,$C$2:$C1186&lt;&gt;"""",row($C$2:$C1186)=max(if($C$2:$C1186=C1187,row($C$2:$C1186),0)))) ,1),0),0))"),"")</f>
        <v/>
      </c>
      <c r="Q1187" s="147" t="str">
        <f t="shared" si="22"/>
        <v/>
      </c>
      <c r="R1187" s="147" t="str">
        <f t="shared" si="23"/>
        <v/>
      </c>
      <c r="S1187" s="147" t="str">
        <f t="shared" si="24"/>
        <v/>
      </c>
      <c r="T1187" s="147" t="str">
        <f t="shared" si="7"/>
        <v/>
      </c>
      <c r="U1187" s="150" t="str">
        <f t="shared" si="8"/>
        <v/>
      </c>
      <c r="V1187" s="151" t="str">
        <f>IFERROR(VLOOKUP(C1187,Ativos!$A$1:$G2000,5,),)</f>
        <v/>
      </c>
    </row>
    <row r="1188" ht="21.0" customHeight="1">
      <c r="A1188" s="152"/>
      <c r="B1188" s="160"/>
      <c r="C1188" s="153"/>
      <c r="D1188" s="154"/>
      <c r="E1188" s="139"/>
      <c r="F1188" s="139"/>
      <c r="G1188" s="139"/>
      <c r="H1188" s="135"/>
      <c r="I1188" s="141"/>
      <c r="J1188" s="147" t="str">
        <f>IFERROR(__xludf.DUMMYFUNCTION("IF(ISBLANK(A1188),IFERROR(1/0),IF(COUNT(FILTER(F:F,A:A=A1188))&gt;1,TRUNC(N1188*F1188/SUM(FILTER(N:N,A:A=A1188)),3),F1188))"),"")</f>
        <v/>
      </c>
      <c r="K1188" s="147" t="str">
        <f>IFERROR(__xludf.DUMMYFUNCTION("IF(ISBLANK(A1188),IFERROR(1/0),IF(COUNT(FILTER(G:G,((A:A=A1188)*(B:B=""V""))))&gt;1,TRUNC(N1188*G1188/SUM(FILTER(N:N,((A:A=A1188)*(B:B=""V"")))),3),G1188))"),"")</f>
        <v/>
      </c>
      <c r="L1188" s="148" t="str">
        <f>IFERROR(__xludf.DUMMYFUNCTION("if($C1188="""","""",iferror(if(row()&lt;&gt;2,INDEX(arrayformula(filter($M$2:$M1187,$C$2:$C1187&lt;&gt;"""",row($C$2:$C1187)=max(if($C$2:$C1187=C1188,row($C$2:$C1187),0)))) ,1),0),0))"),"")</f>
        <v/>
      </c>
      <c r="M1188" s="148" t="str">
        <f t="shared" si="1"/>
        <v/>
      </c>
      <c r="N1188" s="147" t="str">
        <f t="shared" si="2"/>
        <v/>
      </c>
      <c r="O1188" s="147" t="str">
        <f t="shared" si="21"/>
        <v/>
      </c>
      <c r="P1188" s="147" t="str">
        <f>IFERROR(__xludf.DUMMYFUNCTION("if(C1188="""","""",iferror(if(row()&lt;&gt;2,INDEX(arrayformula(filter($Q$2:$Q1187,$C$2:$C1187&lt;&gt;"""",row($C$2:$C1187)=max(if($C$2:$C1187=C1188,row($C$2:$C1187),0)))) ,1),0),0))"),"")</f>
        <v/>
      </c>
      <c r="Q1188" s="147" t="str">
        <f t="shared" si="22"/>
        <v/>
      </c>
      <c r="R1188" s="147" t="str">
        <f t="shared" si="23"/>
        <v/>
      </c>
      <c r="S1188" s="147" t="str">
        <f t="shared" si="24"/>
        <v/>
      </c>
      <c r="T1188" s="147" t="str">
        <f t="shared" si="7"/>
        <v/>
      </c>
      <c r="U1188" s="150" t="str">
        <f t="shared" si="8"/>
        <v/>
      </c>
      <c r="V1188" s="151" t="str">
        <f>IFERROR(VLOOKUP(C1188,Ativos!$A$1:$G2000,5,),)</f>
        <v/>
      </c>
    </row>
    <row r="1189" ht="21.0" customHeight="1">
      <c r="A1189" s="152"/>
      <c r="B1189" s="160"/>
      <c r="C1189" s="153"/>
      <c r="D1189" s="154"/>
      <c r="E1189" s="139"/>
      <c r="F1189" s="139"/>
      <c r="G1189" s="139"/>
      <c r="H1189" s="135"/>
      <c r="I1189" s="141"/>
      <c r="J1189" s="147" t="str">
        <f>IFERROR(__xludf.DUMMYFUNCTION("IF(ISBLANK(A1189),IFERROR(1/0),IF(COUNT(FILTER(F:F,A:A=A1189))&gt;1,TRUNC(N1189*F1189/SUM(FILTER(N:N,A:A=A1189)),3),F1189))"),"")</f>
        <v/>
      </c>
      <c r="K1189" s="147" t="str">
        <f>IFERROR(__xludf.DUMMYFUNCTION("IF(ISBLANK(A1189),IFERROR(1/0),IF(COUNT(FILTER(G:G,((A:A=A1189)*(B:B=""V""))))&gt;1,TRUNC(N1189*G1189/SUM(FILTER(N:N,((A:A=A1189)*(B:B=""V"")))),3),G1189))"),"")</f>
        <v/>
      </c>
      <c r="L1189" s="148" t="str">
        <f>IFERROR(__xludf.DUMMYFUNCTION("if($C1189="""","""",iferror(if(row()&lt;&gt;2,INDEX(arrayformula(filter($M$2:$M1188,$C$2:$C1188&lt;&gt;"""",row($C$2:$C1188)=max(if($C$2:$C1188=C1189,row($C$2:$C1188),0)))) ,1),0),0))"),"")</f>
        <v/>
      </c>
      <c r="M1189" s="148" t="str">
        <f t="shared" si="1"/>
        <v/>
      </c>
      <c r="N1189" s="147" t="str">
        <f t="shared" si="2"/>
        <v/>
      </c>
      <c r="O1189" s="147" t="str">
        <f t="shared" si="21"/>
        <v/>
      </c>
      <c r="P1189" s="147" t="str">
        <f>IFERROR(__xludf.DUMMYFUNCTION("if(C1189="""","""",iferror(if(row()&lt;&gt;2,INDEX(arrayformula(filter($Q$2:$Q1188,$C$2:$C1188&lt;&gt;"""",row($C$2:$C1188)=max(if($C$2:$C1188=C1189,row($C$2:$C1188),0)))) ,1),0),0))"),"")</f>
        <v/>
      </c>
      <c r="Q1189" s="147" t="str">
        <f t="shared" si="22"/>
        <v/>
      </c>
      <c r="R1189" s="147" t="str">
        <f t="shared" si="23"/>
        <v/>
      </c>
      <c r="S1189" s="147" t="str">
        <f t="shared" si="24"/>
        <v/>
      </c>
      <c r="T1189" s="147" t="str">
        <f t="shared" si="7"/>
        <v/>
      </c>
      <c r="U1189" s="150" t="str">
        <f t="shared" si="8"/>
        <v/>
      </c>
      <c r="V1189" s="151" t="str">
        <f>IFERROR(VLOOKUP(C1189,Ativos!$A$1:$G2000,5,),)</f>
        <v/>
      </c>
    </row>
    <row r="1190" ht="21.0" customHeight="1">
      <c r="A1190" s="152"/>
      <c r="B1190" s="160"/>
      <c r="C1190" s="153"/>
      <c r="D1190" s="154"/>
      <c r="E1190" s="139"/>
      <c r="F1190" s="139"/>
      <c r="G1190" s="139"/>
      <c r="H1190" s="135"/>
      <c r="I1190" s="141"/>
      <c r="J1190" s="147" t="str">
        <f>IFERROR(__xludf.DUMMYFUNCTION("IF(ISBLANK(A1190),IFERROR(1/0),IF(COUNT(FILTER(F:F,A:A=A1190))&gt;1,TRUNC(N1190*F1190/SUM(FILTER(N:N,A:A=A1190)),3),F1190))"),"")</f>
        <v/>
      </c>
      <c r="K1190" s="147" t="str">
        <f>IFERROR(__xludf.DUMMYFUNCTION("IF(ISBLANK(A1190),IFERROR(1/0),IF(COUNT(FILTER(G:G,((A:A=A1190)*(B:B=""V""))))&gt;1,TRUNC(N1190*G1190/SUM(FILTER(N:N,((A:A=A1190)*(B:B=""V"")))),3),G1190))"),"")</f>
        <v/>
      </c>
      <c r="L1190" s="148" t="str">
        <f>IFERROR(__xludf.DUMMYFUNCTION("if($C1190="""","""",iferror(if(row()&lt;&gt;2,INDEX(arrayformula(filter($M$2:$M1189,$C$2:$C1189&lt;&gt;"""",row($C$2:$C1189)=max(if($C$2:$C1189=C1190,row($C$2:$C1189),0)))) ,1),0),0))"),"")</f>
        <v/>
      </c>
      <c r="M1190" s="148" t="str">
        <f t="shared" si="1"/>
        <v/>
      </c>
      <c r="N1190" s="147" t="str">
        <f t="shared" si="2"/>
        <v/>
      </c>
      <c r="O1190" s="147" t="str">
        <f t="shared" si="21"/>
        <v/>
      </c>
      <c r="P1190" s="147" t="str">
        <f>IFERROR(__xludf.DUMMYFUNCTION("if(C1190="""","""",iferror(if(row()&lt;&gt;2,INDEX(arrayformula(filter($Q$2:$Q1189,$C$2:$C1189&lt;&gt;"""",row($C$2:$C1189)=max(if($C$2:$C1189=C1190,row($C$2:$C1189),0)))) ,1),0),0))"),"")</f>
        <v/>
      </c>
      <c r="Q1190" s="147" t="str">
        <f t="shared" si="22"/>
        <v/>
      </c>
      <c r="R1190" s="147" t="str">
        <f t="shared" si="23"/>
        <v/>
      </c>
      <c r="S1190" s="147" t="str">
        <f t="shared" si="24"/>
        <v/>
      </c>
      <c r="T1190" s="147" t="str">
        <f t="shared" si="7"/>
        <v/>
      </c>
      <c r="U1190" s="150" t="str">
        <f t="shared" si="8"/>
        <v/>
      </c>
      <c r="V1190" s="151" t="str">
        <f>IFERROR(VLOOKUP(C1190,Ativos!$A$1:$G2000,5,),)</f>
        <v/>
      </c>
    </row>
    <row r="1191" ht="21.0" customHeight="1">
      <c r="A1191" s="152"/>
      <c r="B1191" s="160"/>
      <c r="C1191" s="153"/>
      <c r="D1191" s="154"/>
      <c r="E1191" s="139"/>
      <c r="F1191" s="139"/>
      <c r="G1191" s="139"/>
      <c r="H1191" s="135"/>
      <c r="I1191" s="141"/>
      <c r="J1191" s="147" t="str">
        <f>IFERROR(__xludf.DUMMYFUNCTION("IF(ISBLANK(A1191),IFERROR(1/0),IF(COUNT(FILTER(F:F,A:A=A1191))&gt;1,TRUNC(N1191*F1191/SUM(FILTER(N:N,A:A=A1191)),3),F1191))"),"")</f>
        <v/>
      </c>
      <c r="K1191" s="147" t="str">
        <f>IFERROR(__xludf.DUMMYFUNCTION("IF(ISBLANK(A1191),IFERROR(1/0),IF(COUNT(FILTER(G:G,((A:A=A1191)*(B:B=""V""))))&gt;1,TRUNC(N1191*G1191/SUM(FILTER(N:N,((A:A=A1191)*(B:B=""V"")))),3),G1191))"),"")</f>
        <v/>
      </c>
      <c r="L1191" s="148" t="str">
        <f>IFERROR(__xludf.DUMMYFUNCTION("if($C1191="""","""",iferror(if(row()&lt;&gt;2,INDEX(arrayformula(filter($M$2:$M1190,$C$2:$C1190&lt;&gt;"""",row($C$2:$C1190)=max(if($C$2:$C1190=C1191,row($C$2:$C1190),0)))) ,1),0),0))"),"")</f>
        <v/>
      </c>
      <c r="M1191" s="148" t="str">
        <f t="shared" si="1"/>
        <v/>
      </c>
      <c r="N1191" s="147" t="str">
        <f t="shared" si="2"/>
        <v/>
      </c>
      <c r="O1191" s="147" t="str">
        <f t="shared" si="21"/>
        <v/>
      </c>
      <c r="P1191" s="147" t="str">
        <f>IFERROR(__xludf.DUMMYFUNCTION("if(C1191="""","""",iferror(if(row()&lt;&gt;2,INDEX(arrayformula(filter($Q$2:$Q1190,$C$2:$C1190&lt;&gt;"""",row($C$2:$C1190)=max(if($C$2:$C1190=C1191,row($C$2:$C1190),0)))) ,1),0),0))"),"")</f>
        <v/>
      </c>
      <c r="Q1191" s="147" t="str">
        <f t="shared" si="22"/>
        <v/>
      </c>
      <c r="R1191" s="147" t="str">
        <f t="shared" si="23"/>
        <v/>
      </c>
      <c r="S1191" s="147" t="str">
        <f t="shared" si="24"/>
        <v/>
      </c>
      <c r="T1191" s="147" t="str">
        <f t="shared" si="7"/>
        <v/>
      </c>
      <c r="U1191" s="150" t="str">
        <f t="shared" si="8"/>
        <v/>
      </c>
      <c r="V1191" s="151" t="str">
        <f>IFERROR(VLOOKUP(C1191,Ativos!$A$1:$G2000,5,),)</f>
        <v/>
      </c>
    </row>
    <row r="1192" ht="21.0" customHeight="1">
      <c r="A1192" s="152"/>
      <c r="B1192" s="160"/>
      <c r="C1192" s="153"/>
      <c r="D1192" s="154"/>
      <c r="E1192" s="139"/>
      <c r="F1192" s="139"/>
      <c r="G1192" s="139"/>
      <c r="H1192" s="135"/>
      <c r="I1192" s="141"/>
      <c r="J1192" s="147" t="str">
        <f>IFERROR(__xludf.DUMMYFUNCTION("IF(ISBLANK(A1192),IFERROR(1/0),IF(COUNT(FILTER(F:F,A:A=A1192))&gt;1,TRUNC(N1192*F1192/SUM(FILTER(N:N,A:A=A1192)),3),F1192))"),"")</f>
        <v/>
      </c>
      <c r="K1192" s="147" t="str">
        <f>IFERROR(__xludf.DUMMYFUNCTION("IF(ISBLANK(A1192),IFERROR(1/0),IF(COUNT(FILTER(G:G,((A:A=A1192)*(B:B=""V""))))&gt;1,TRUNC(N1192*G1192/SUM(FILTER(N:N,((A:A=A1192)*(B:B=""V"")))),3),G1192))"),"")</f>
        <v/>
      </c>
      <c r="L1192" s="148" t="str">
        <f>IFERROR(__xludf.DUMMYFUNCTION("if($C1192="""","""",iferror(if(row()&lt;&gt;2,INDEX(arrayformula(filter($M$2:$M1191,$C$2:$C1191&lt;&gt;"""",row($C$2:$C1191)=max(if($C$2:$C1191=C1192,row($C$2:$C1191),0)))) ,1),0),0))"),"")</f>
        <v/>
      </c>
      <c r="M1192" s="148" t="str">
        <f t="shared" si="1"/>
        <v/>
      </c>
      <c r="N1192" s="147" t="str">
        <f t="shared" si="2"/>
        <v/>
      </c>
      <c r="O1192" s="147" t="str">
        <f t="shared" si="21"/>
        <v/>
      </c>
      <c r="P1192" s="147" t="str">
        <f>IFERROR(__xludf.DUMMYFUNCTION("if(C1192="""","""",iferror(if(row()&lt;&gt;2,INDEX(arrayformula(filter($Q$2:$Q1191,$C$2:$C1191&lt;&gt;"""",row($C$2:$C1191)=max(if($C$2:$C1191=C1192,row($C$2:$C1191),0)))) ,1),0),0))"),"")</f>
        <v/>
      </c>
      <c r="Q1192" s="147" t="str">
        <f t="shared" si="22"/>
        <v/>
      </c>
      <c r="R1192" s="147" t="str">
        <f t="shared" si="23"/>
        <v/>
      </c>
      <c r="S1192" s="147" t="str">
        <f t="shared" si="24"/>
        <v/>
      </c>
      <c r="T1192" s="147" t="str">
        <f t="shared" si="7"/>
        <v/>
      </c>
      <c r="U1192" s="150" t="str">
        <f t="shared" si="8"/>
        <v/>
      </c>
      <c r="V1192" s="151" t="str">
        <f>IFERROR(VLOOKUP(C1192,Ativos!$A$1:$G2000,5,),)</f>
        <v/>
      </c>
    </row>
    <row r="1193" ht="21.0" customHeight="1">
      <c r="A1193" s="152"/>
      <c r="B1193" s="160"/>
      <c r="C1193" s="153"/>
      <c r="D1193" s="154"/>
      <c r="E1193" s="139"/>
      <c r="F1193" s="139"/>
      <c r="G1193" s="139"/>
      <c r="H1193" s="135"/>
      <c r="I1193" s="141"/>
      <c r="J1193" s="147" t="str">
        <f>IFERROR(__xludf.DUMMYFUNCTION("IF(ISBLANK(A1193),IFERROR(1/0),IF(COUNT(FILTER(F:F,A:A=A1193))&gt;1,TRUNC(N1193*F1193/SUM(FILTER(N:N,A:A=A1193)),3),F1193))"),"")</f>
        <v/>
      </c>
      <c r="K1193" s="147" t="str">
        <f>IFERROR(__xludf.DUMMYFUNCTION("IF(ISBLANK(A1193),IFERROR(1/0),IF(COUNT(FILTER(G:G,((A:A=A1193)*(B:B=""V""))))&gt;1,TRUNC(N1193*G1193/SUM(FILTER(N:N,((A:A=A1193)*(B:B=""V"")))),3),G1193))"),"")</f>
        <v/>
      </c>
      <c r="L1193" s="148" t="str">
        <f>IFERROR(__xludf.DUMMYFUNCTION("if($C1193="""","""",iferror(if(row()&lt;&gt;2,INDEX(arrayformula(filter($M$2:$M1192,$C$2:$C1192&lt;&gt;"""",row($C$2:$C1192)=max(if($C$2:$C1192=C1193,row($C$2:$C1192),0)))) ,1),0),0))"),"")</f>
        <v/>
      </c>
      <c r="M1193" s="148" t="str">
        <f t="shared" si="1"/>
        <v/>
      </c>
      <c r="N1193" s="147" t="str">
        <f t="shared" si="2"/>
        <v/>
      </c>
      <c r="O1193" s="147" t="str">
        <f t="shared" si="21"/>
        <v/>
      </c>
      <c r="P1193" s="147" t="str">
        <f>IFERROR(__xludf.DUMMYFUNCTION("if(C1193="""","""",iferror(if(row()&lt;&gt;2,INDEX(arrayformula(filter($Q$2:$Q1192,$C$2:$C1192&lt;&gt;"""",row($C$2:$C1192)=max(if($C$2:$C1192=C1193,row($C$2:$C1192),0)))) ,1),0),0))"),"")</f>
        <v/>
      </c>
      <c r="Q1193" s="147" t="str">
        <f t="shared" si="22"/>
        <v/>
      </c>
      <c r="R1193" s="147" t="str">
        <f t="shared" si="23"/>
        <v/>
      </c>
      <c r="S1193" s="147" t="str">
        <f t="shared" si="24"/>
        <v/>
      </c>
      <c r="T1193" s="147" t="str">
        <f t="shared" si="7"/>
        <v/>
      </c>
      <c r="U1193" s="150" t="str">
        <f t="shared" si="8"/>
        <v/>
      </c>
      <c r="V1193" s="151" t="str">
        <f>IFERROR(VLOOKUP(C1193,Ativos!$A$1:$G2000,5,),)</f>
        <v/>
      </c>
    </row>
    <row r="1194" ht="21.0" customHeight="1">
      <c r="A1194" s="152"/>
      <c r="B1194" s="160"/>
      <c r="C1194" s="153"/>
      <c r="D1194" s="154"/>
      <c r="E1194" s="139"/>
      <c r="F1194" s="139"/>
      <c r="G1194" s="139"/>
      <c r="H1194" s="135"/>
      <c r="I1194" s="141"/>
      <c r="J1194" s="147" t="str">
        <f>IFERROR(__xludf.DUMMYFUNCTION("IF(ISBLANK(A1194),IFERROR(1/0),IF(COUNT(FILTER(F:F,A:A=A1194))&gt;1,TRUNC(N1194*F1194/SUM(FILTER(N:N,A:A=A1194)),3),F1194))"),"")</f>
        <v/>
      </c>
      <c r="K1194" s="147" t="str">
        <f>IFERROR(__xludf.DUMMYFUNCTION("IF(ISBLANK(A1194),IFERROR(1/0),IF(COUNT(FILTER(G:G,((A:A=A1194)*(B:B=""V""))))&gt;1,TRUNC(N1194*G1194/SUM(FILTER(N:N,((A:A=A1194)*(B:B=""V"")))),3),G1194))"),"")</f>
        <v/>
      </c>
      <c r="L1194" s="148" t="str">
        <f>IFERROR(__xludf.DUMMYFUNCTION("if($C1194="""","""",iferror(if(row()&lt;&gt;2,INDEX(arrayformula(filter($M$2:$M1193,$C$2:$C1193&lt;&gt;"""",row($C$2:$C1193)=max(if($C$2:$C1193=C1194,row($C$2:$C1193),0)))) ,1),0),0))"),"")</f>
        <v/>
      </c>
      <c r="M1194" s="148" t="str">
        <f t="shared" si="1"/>
        <v/>
      </c>
      <c r="N1194" s="147" t="str">
        <f t="shared" si="2"/>
        <v/>
      </c>
      <c r="O1194" s="147" t="str">
        <f t="shared" si="21"/>
        <v/>
      </c>
      <c r="P1194" s="147" t="str">
        <f>IFERROR(__xludf.DUMMYFUNCTION("if(C1194="""","""",iferror(if(row()&lt;&gt;2,INDEX(arrayformula(filter($Q$2:$Q1193,$C$2:$C1193&lt;&gt;"""",row($C$2:$C1193)=max(if($C$2:$C1193=C1194,row($C$2:$C1193),0)))) ,1),0),0))"),"")</f>
        <v/>
      </c>
      <c r="Q1194" s="147" t="str">
        <f t="shared" si="22"/>
        <v/>
      </c>
      <c r="R1194" s="147" t="str">
        <f t="shared" si="23"/>
        <v/>
      </c>
      <c r="S1194" s="147" t="str">
        <f t="shared" si="24"/>
        <v/>
      </c>
      <c r="T1194" s="147" t="str">
        <f t="shared" si="7"/>
        <v/>
      </c>
      <c r="U1194" s="150" t="str">
        <f t="shared" si="8"/>
        <v/>
      </c>
      <c r="V1194" s="151" t="str">
        <f>IFERROR(VLOOKUP(C1194,Ativos!$A$1:$G2000,5,),)</f>
        <v/>
      </c>
    </row>
    <row r="1195" ht="21.0" customHeight="1">
      <c r="A1195" s="152"/>
      <c r="B1195" s="160"/>
      <c r="C1195" s="153"/>
      <c r="D1195" s="154"/>
      <c r="E1195" s="139"/>
      <c r="F1195" s="139"/>
      <c r="G1195" s="139"/>
      <c r="H1195" s="135"/>
      <c r="I1195" s="141"/>
      <c r="J1195" s="147" t="str">
        <f>IFERROR(__xludf.DUMMYFUNCTION("IF(ISBLANK(A1195),IFERROR(1/0),IF(COUNT(FILTER(F:F,A:A=A1195))&gt;1,TRUNC(N1195*F1195/SUM(FILTER(N:N,A:A=A1195)),3),F1195))"),"")</f>
        <v/>
      </c>
      <c r="K1195" s="147" t="str">
        <f>IFERROR(__xludf.DUMMYFUNCTION("IF(ISBLANK(A1195),IFERROR(1/0),IF(COUNT(FILTER(G:G,((A:A=A1195)*(B:B=""V""))))&gt;1,TRUNC(N1195*G1195/SUM(FILTER(N:N,((A:A=A1195)*(B:B=""V"")))),3),G1195))"),"")</f>
        <v/>
      </c>
      <c r="L1195" s="148" t="str">
        <f>IFERROR(__xludf.DUMMYFUNCTION("if($C1195="""","""",iferror(if(row()&lt;&gt;2,INDEX(arrayformula(filter($M$2:$M1194,$C$2:$C1194&lt;&gt;"""",row($C$2:$C1194)=max(if($C$2:$C1194=C1195,row($C$2:$C1194),0)))) ,1),0),0))"),"")</f>
        <v/>
      </c>
      <c r="M1195" s="148" t="str">
        <f t="shared" si="1"/>
        <v/>
      </c>
      <c r="N1195" s="147" t="str">
        <f t="shared" si="2"/>
        <v/>
      </c>
      <c r="O1195" s="147" t="str">
        <f t="shared" si="21"/>
        <v/>
      </c>
      <c r="P1195" s="147" t="str">
        <f>IFERROR(__xludf.DUMMYFUNCTION("if(C1195="""","""",iferror(if(row()&lt;&gt;2,INDEX(arrayformula(filter($Q$2:$Q1194,$C$2:$C1194&lt;&gt;"""",row($C$2:$C1194)=max(if($C$2:$C1194=C1195,row($C$2:$C1194),0)))) ,1),0),0))"),"")</f>
        <v/>
      </c>
      <c r="Q1195" s="147" t="str">
        <f t="shared" si="22"/>
        <v/>
      </c>
      <c r="R1195" s="147" t="str">
        <f t="shared" si="23"/>
        <v/>
      </c>
      <c r="S1195" s="147" t="str">
        <f t="shared" si="24"/>
        <v/>
      </c>
      <c r="T1195" s="147" t="str">
        <f t="shared" si="7"/>
        <v/>
      </c>
      <c r="U1195" s="150" t="str">
        <f t="shared" si="8"/>
        <v/>
      </c>
      <c r="V1195" s="151" t="str">
        <f>IFERROR(VLOOKUP(C1195,Ativos!$A$1:$G2000,5,),)</f>
        <v/>
      </c>
    </row>
    <row r="1196" ht="21.0" customHeight="1">
      <c r="A1196" s="152"/>
      <c r="B1196" s="160"/>
      <c r="C1196" s="153"/>
      <c r="D1196" s="154"/>
      <c r="E1196" s="139"/>
      <c r="F1196" s="139"/>
      <c r="G1196" s="139"/>
      <c r="H1196" s="135"/>
      <c r="I1196" s="141"/>
      <c r="J1196" s="147" t="str">
        <f>IFERROR(__xludf.DUMMYFUNCTION("IF(ISBLANK(A1196),IFERROR(1/0),IF(COUNT(FILTER(F:F,A:A=A1196))&gt;1,TRUNC(N1196*F1196/SUM(FILTER(N:N,A:A=A1196)),3),F1196))"),"")</f>
        <v/>
      </c>
      <c r="K1196" s="147" t="str">
        <f>IFERROR(__xludf.DUMMYFUNCTION("IF(ISBLANK(A1196),IFERROR(1/0),IF(COUNT(FILTER(G:G,((A:A=A1196)*(B:B=""V""))))&gt;1,TRUNC(N1196*G1196/SUM(FILTER(N:N,((A:A=A1196)*(B:B=""V"")))),3),G1196))"),"")</f>
        <v/>
      </c>
      <c r="L1196" s="148" t="str">
        <f>IFERROR(__xludf.DUMMYFUNCTION("if($C1196="""","""",iferror(if(row()&lt;&gt;2,INDEX(arrayformula(filter($M$2:$M1195,$C$2:$C1195&lt;&gt;"""",row($C$2:$C1195)=max(if($C$2:$C1195=C1196,row($C$2:$C1195),0)))) ,1),0),0))"),"")</f>
        <v/>
      </c>
      <c r="M1196" s="148" t="str">
        <f t="shared" si="1"/>
        <v/>
      </c>
      <c r="N1196" s="147" t="str">
        <f t="shared" si="2"/>
        <v/>
      </c>
      <c r="O1196" s="147" t="str">
        <f t="shared" si="21"/>
        <v/>
      </c>
      <c r="P1196" s="147" t="str">
        <f>IFERROR(__xludf.DUMMYFUNCTION("if(C1196="""","""",iferror(if(row()&lt;&gt;2,INDEX(arrayformula(filter($Q$2:$Q1195,$C$2:$C1195&lt;&gt;"""",row($C$2:$C1195)=max(if($C$2:$C1195=C1196,row($C$2:$C1195),0)))) ,1),0),0))"),"")</f>
        <v/>
      </c>
      <c r="Q1196" s="147" t="str">
        <f t="shared" si="22"/>
        <v/>
      </c>
      <c r="R1196" s="147" t="str">
        <f t="shared" si="23"/>
        <v/>
      </c>
      <c r="S1196" s="147" t="str">
        <f t="shared" si="24"/>
        <v/>
      </c>
      <c r="T1196" s="147" t="str">
        <f t="shared" si="7"/>
        <v/>
      </c>
      <c r="U1196" s="150" t="str">
        <f t="shared" si="8"/>
        <v/>
      </c>
      <c r="V1196" s="151" t="str">
        <f>IFERROR(VLOOKUP(C1196,Ativos!$A$1:$G2000,5,),)</f>
        <v/>
      </c>
    </row>
    <row r="1197" ht="21.0" customHeight="1">
      <c r="A1197" s="152"/>
      <c r="B1197" s="160"/>
      <c r="C1197" s="153"/>
      <c r="D1197" s="154"/>
      <c r="E1197" s="139"/>
      <c r="F1197" s="139"/>
      <c r="G1197" s="139"/>
      <c r="H1197" s="135"/>
      <c r="I1197" s="141"/>
      <c r="J1197" s="147" t="str">
        <f>IFERROR(__xludf.DUMMYFUNCTION("IF(ISBLANK(A1197),IFERROR(1/0),IF(COUNT(FILTER(F:F,A:A=A1197))&gt;1,TRUNC(N1197*F1197/SUM(FILTER(N:N,A:A=A1197)),3),F1197))"),"")</f>
        <v/>
      </c>
      <c r="K1197" s="147" t="str">
        <f>IFERROR(__xludf.DUMMYFUNCTION("IF(ISBLANK(A1197),IFERROR(1/0),IF(COUNT(FILTER(G:G,((A:A=A1197)*(B:B=""V""))))&gt;1,TRUNC(N1197*G1197/SUM(FILTER(N:N,((A:A=A1197)*(B:B=""V"")))),3),G1197))"),"")</f>
        <v/>
      </c>
      <c r="L1197" s="148" t="str">
        <f>IFERROR(__xludf.DUMMYFUNCTION("if($C1197="""","""",iferror(if(row()&lt;&gt;2,INDEX(arrayformula(filter($M$2:$M1196,$C$2:$C1196&lt;&gt;"""",row($C$2:$C1196)=max(if($C$2:$C1196=C1197,row($C$2:$C1196),0)))) ,1),0),0))"),"")</f>
        <v/>
      </c>
      <c r="M1197" s="148" t="str">
        <f t="shared" si="1"/>
        <v/>
      </c>
      <c r="N1197" s="147" t="str">
        <f t="shared" si="2"/>
        <v/>
      </c>
      <c r="O1197" s="147" t="str">
        <f t="shared" si="21"/>
        <v/>
      </c>
      <c r="P1197" s="147" t="str">
        <f>IFERROR(__xludf.DUMMYFUNCTION("if(C1197="""","""",iferror(if(row()&lt;&gt;2,INDEX(arrayformula(filter($Q$2:$Q1196,$C$2:$C1196&lt;&gt;"""",row($C$2:$C1196)=max(if($C$2:$C1196=C1197,row($C$2:$C1196),0)))) ,1),0),0))"),"")</f>
        <v/>
      </c>
      <c r="Q1197" s="147" t="str">
        <f t="shared" si="22"/>
        <v/>
      </c>
      <c r="R1197" s="147" t="str">
        <f t="shared" si="23"/>
        <v/>
      </c>
      <c r="S1197" s="147" t="str">
        <f t="shared" si="24"/>
        <v/>
      </c>
      <c r="T1197" s="147" t="str">
        <f t="shared" si="7"/>
        <v/>
      </c>
      <c r="U1197" s="150" t="str">
        <f t="shared" si="8"/>
        <v/>
      </c>
      <c r="V1197" s="151" t="str">
        <f>IFERROR(VLOOKUP(C1197,Ativos!$A$1:$G2000,5,),)</f>
        <v/>
      </c>
    </row>
    <row r="1198" ht="21.0" customHeight="1">
      <c r="A1198" s="152"/>
      <c r="B1198" s="160"/>
      <c r="C1198" s="153"/>
      <c r="D1198" s="154"/>
      <c r="E1198" s="139"/>
      <c r="F1198" s="139"/>
      <c r="G1198" s="139"/>
      <c r="H1198" s="135"/>
      <c r="I1198" s="141"/>
      <c r="J1198" s="147" t="str">
        <f>IFERROR(__xludf.DUMMYFUNCTION("IF(ISBLANK(A1198),IFERROR(1/0),IF(COUNT(FILTER(F:F,A:A=A1198))&gt;1,TRUNC(N1198*F1198/SUM(FILTER(N:N,A:A=A1198)),3),F1198))"),"")</f>
        <v/>
      </c>
      <c r="K1198" s="147" t="str">
        <f>IFERROR(__xludf.DUMMYFUNCTION("IF(ISBLANK(A1198),IFERROR(1/0),IF(COUNT(FILTER(G:G,((A:A=A1198)*(B:B=""V""))))&gt;1,TRUNC(N1198*G1198/SUM(FILTER(N:N,((A:A=A1198)*(B:B=""V"")))),3),G1198))"),"")</f>
        <v/>
      </c>
      <c r="L1198" s="148" t="str">
        <f>IFERROR(__xludf.DUMMYFUNCTION("if($C1198="""","""",iferror(if(row()&lt;&gt;2,INDEX(arrayformula(filter($M$2:$M1197,$C$2:$C1197&lt;&gt;"""",row($C$2:$C1197)=max(if($C$2:$C1197=C1198,row($C$2:$C1197),0)))) ,1),0),0))"),"")</f>
        <v/>
      </c>
      <c r="M1198" s="148" t="str">
        <f t="shared" si="1"/>
        <v/>
      </c>
      <c r="N1198" s="147" t="str">
        <f t="shared" si="2"/>
        <v/>
      </c>
      <c r="O1198" s="147" t="str">
        <f t="shared" si="21"/>
        <v/>
      </c>
      <c r="P1198" s="147" t="str">
        <f>IFERROR(__xludf.DUMMYFUNCTION("if(C1198="""","""",iferror(if(row()&lt;&gt;2,INDEX(arrayformula(filter($Q$2:$Q1197,$C$2:$C1197&lt;&gt;"""",row($C$2:$C1197)=max(if($C$2:$C1197=C1198,row($C$2:$C1197),0)))) ,1),0),0))"),"")</f>
        <v/>
      </c>
      <c r="Q1198" s="147" t="str">
        <f t="shared" si="22"/>
        <v/>
      </c>
      <c r="R1198" s="147" t="str">
        <f t="shared" si="23"/>
        <v/>
      </c>
      <c r="S1198" s="147" t="str">
        <f t="shared" si="24"/>
        <v/>
      </c>
      <c r="T1198" s="147" t="str">
        <f t="shared" si="7"/>
        <v/>
      </c>
      <c r="U1198" s="150" t="str">
        <f t="shared" si="8"/>
        <v/>
      </c>
      <c r="V1198" s="151" t="str">
        <f>IFERROR(VLOOKUP(C1198,Ativos!$A$1:$G2000,5,),)</f>
        <v/>
      </c>
    </row>
    <row r="1199" ht="21.0" customHeight="1">
      <c r="A1199" s="152"/>
      <c r="B1199" s="160"/>
      <c r="C1199" s="153"/>
      <c r="D1199" s="154"/>
      <c r="E1199" s="139"/>
      <c r="F1199" s="139"/>
      <c r="G1199" s="139"/>
      <c r="H1199" s="135"/>
      <c r="I1199" s="141"/>
      <c r="J1199" s="147" t="str">
        <f>IFERROR(__xludf.DUMMYFUNCTION("IF(ISBLANK(A1199),IFERROR(1/0),IF(COUNT(FILTER(F:F,A:A=A1199))&gt;1,TRUNC(N1199*F1199/SUM(FILTER(N:N,A:A=A1199)),3),F1199))"),"")</f>
        <v/>
      </c>
      <c r="K1199" s="147" t="str">
        <f>IFERROR(__xludf.DUMMYFUNCTION("IF(ISBLANK(A1199),IFERROR(1/0),IF(COUNT(FILTER(G:G,((A:A=A1199)*(B:B=""V""))))&gt;1,TRUNC(N1199*G1199/SUM(FILTER(N:N,((A:A=A1199)*(B:B=""V"")))),3),G1199))"),"")</f>
        <v/>
      </c>
      <c r="L1199" s="148" t="str">
        <f>IFERROR(__xludf.DUMMYFUNCTION("if($C1199="""","""",iferror(if(row()&lt;&gt;2,INDEX(arrayformula(filter($M$2:$M1198,$C$2:$C1198&lt;&gt;"""",row($C$2:$C1198)=max(if($C$2:$C1198=C1199,row($C$2:$C1198),0)))) ,1),0),0))"),"")</f>
        <v/>
      </c>
      <c r="M1199" s="148" t="str">
        <f t="shared" si="1"/>
        <v/>
      </c>
      <c r="N1199" s="147" t="str">
        <f t="shared" si="2"/>
        <v/>
      </c>
      <c r="O1199" s="147" t="str">
        <f t="shared" si="21"/>
        <v/>
      </c>
      <c r="P1199" s="147" t="str">
        <f>IFERROR(__xludf.DUMMYFUNCTION("if(C1199="""","""",iferror(if(row()&lt;&gt;2,INDEX(arrayformula(filter($Q$2:$Q1198,$C$2:$C1198&lt;&gt;"""",row($C$2:$C1198)=max(if($C$2:$C1198=C1199,row($C$2:$C1198),0)))) ,1),0),0))"),"")</f>
        <v/>
      </c>
      <c r="Q1199" s="147" t="str">
        <f t="shared" si="22"/>
        <v/>
      </c>
      <c r="R1199" s="147" t="str">
        <f t="shared" si="23"/>
        <v/>
      </c>
      <c r="S1199" s="147" t="str">
        <f t="shared" si="24"/>
        <v/>
      </c>
      <c r="T1199" s="147" t="str">
        <f t="shared" si="7"/>
        <v/>
      </c>
      <c r="U1199" s="150" t="str">
        <f t="shared" si="8"/>
        <v/>
      </c>
      <c r="V1199" s="151" t="str">
        <f>IFERROR(VLOOKUP(C1199,Ativos!$A$1:$G2000,5,),)</f>
        <v/>
      </c>
    </row>
    <row r="1200" ht="21.0" customHeight="1">
      <c r="A1200" s="152"/>
      <c r="B1200" s="160"/>
      <c r="C1200" s="153"/>
      <c r="D1200" s="154"/>
      <c r="E1200" s="139"/>
      <c r="F1200" s="139"/>
      <c r="G1200" s="139"/>
      <c r="H1200" s="135"/>
      <c r="I1200" s="141"/>
      <c r="J1200" s="147" t="str">
        <f>IFERROR(__xludf.DUMMYFUNCTION("IF(ISBLANK(A1200),IFERROR(1/0),IF(COUNT(FILTER(F:F,A:A=A1200))&gt;1,TRUNC(N1200*F1200/SUM(FILTER(N:N,A:A=A1200)),3),F1200))"),"")</f>
        <v/>
      </c>
      <c r="K1200" s="147" t="str">
        <f>IFERROR(__xludf.DUMMYFUNCTION("IF(ISBLANK(A1200),IFERROR(1/0),IF(COUNT(FILTER(G:G,((A:A=A1200)*(B:B=""V""))))&gt;1,TRUNC(N1200*G1200/SUM(FILTER(N:N,((A:A=A1200)*(B:B=""V"")))),3),G1200))"),"")</f>
        <v/>
      </c>
      <c r="L1200" s="148" t="str">
        <f>IFERROR(__xludf.DUMMYFUNCTION("if($C1200="""","""",iferror(if(row()&lt;&gt;2,INDEX(arrayformula(filter($M$2:$M1199,$C$2:$C1199&lt;&gt;"""",row($C$2:$C1199)=max(if($C$2:$C1199=C1200,row($C$2:$C1199),0)))) ,1),0),0))"),"")</f>
        <v/>
      </c>
      <c r="M1200" s="148" t="str">
        <f t="shared" si="1"/>
        <v/>
      </c>
      <c r="N1200" s="147" t="str">
        <f t="shared" si="2"/>
        <v/>
      </c>
      <c r="O1200" s="147" t="str">
        <f t="shared" si="21"/>
        <v/>
      </c>
      <c r="P1200" s="147" t="str">
        <f>IFERROR(__xludf.DUMMYFUNCTION("if(C1200="""","""",iferror(if(row()&lt;&gt;2,INDEX(arrayformula(filter($Q$2:$Q1199,$C$2:$C1199&lt;&gt;"""",row($C$2:$C1199)=max(if($C$2:$C1199=C1200,row($C$2:$C1199),0)))) ,1),0),0))"),"")</f>
        <v/>
      </c>
      <c r="Q1200" s="147" t="str">
        <f t="shared" si="22"/>
        <v/>
      </c>
      <c r="R1200" s="147" t="str">
        <f t="shared" si="23"/>
        <v/>
      </c>
      <c r="S1200" s="147" t="str">
        <f t="shared" si="24"/>
        <v/>
      </c>
      <c r="T1200" s="147" t="str">
        <f t="shared" si="7"/>
        <v/>
      </c>
      <c r="U1200" s="150" t="str">
        <f t="shared" si="8"/>
        <v/>
      </c>
      <c r="V1200" s="151" t="str">
        <f>IFERROR(VLOOKUP(C1200,Ativos!$A$1:$G2000,5,),)</f>
        <v/>
      </c>
    </row>
    <row r="1201" ht="21.0" customHeight="1">
      <c r="A1201" s="152"/>
      <c r="B1201" s="160"/>
      <c r="C1201" s="153"/>
      <c r="D1201" s="154"/>
      <c r="E1201" s="139"/>
      <c r="F1201" s="139"/>
      <c r="G1201" s="139"/>
      <c r="H1201" s="135"/>
      <c r="I1201" s="141"/>
      <c r="J1201" s="147" t="str">
        <f>IFERROR(__xludf.DUMMYFUNCTION("IF(ISBLANK(A1201),IFERROR(1/0),IF(COUNT(FILTER(F:F,A:A=A1201))&gt;1,TRUNC(N1201*F1201/SUM(FILTER(N:N,A:A=A1201)),3),F1201))"),"")</f>
        <v/>
      </c>
      <c r="K1201" s="147" t="str">
        <f>IFERROR(__xludf.DUMMYFUNCTION("IF(ISBLANK(A1201),IFERROR(1/0),IF(COUNT(FILTER(G:G,((A:A=A1201)*(B:B=""V""))))&gt;1,TRUNC(N1201*G1201/SUM(FILTER(N:N,((A:A=A1201)*(B:B=""V"")))),3),G1201))"),"")</f>
        <v/>
      </c>
      <c r="L1201" s="148" t="str">
        <f>IFERROR(__xludf.DUMMYFUNCTION("if($C1201="""","""",iferror(if(row()&lt;&gt;2,INDEX(arrayformula(filter($M$2:$M1200,$C$2:$C1200&lt;&gt;"""",row($C$2:$C1200)=max(if($C$2:$C1200=C1201,row($C$2:$C1200),0)))) ,1),0),0))"),"")</f>
        <v/>
      </c>
      <c r="M1201" s="148" t="str">
        <f t="shared" si="1"/>
        <v/>
      </c>
      <c r="N1201" s="147" t="str">
        <f t="shared" si="2"/>
        <v/>
      </c>
      <c r="O1201" s="147" t="str">
        <f t="shared" si="21"/>
        <v/>
      </c>
      <c r="P1201" s="147" t="str">
        <f>IFERROR(__xludf.DUMMYFUNCTION("if(C1201="""","""",iferror(if(row()&lt;&gt;2,INDEX(arrayformula(filter($Q$2:$Q1200,$C$2:$C1200&lt;&gt;"""",row($C$2:$C1200)=max(if($C$2:$C1200=C1201,row($C$2:$C1200),0)))) ,1),0),0))"),"")</f>
        <v/>
      </c>
      <c r="Q1201" s="147" t="str">
        <f t="shared" si="22"/>
        <v/>
      </c>
      <c r="R1201" s="147" t="str">
        <f t="shared" si="23"/>
        <v/>
      </c>
      <c r="S1201" s="147" t="str">
        <f t="shared" si="24"/>
        <v/>
      </c>
      <c r="T1201" s="147" t="str">
        <f t="shared" si="7"/>
        <v/>
      </c>
      <c r="U1201" s="150" t="str">
        <f t="shared" si="8"/>
        <v/>
      </c>
      <c r="V1201" s="151" t="str">
        <f>IFERROR(VLOOKUP(C1201,Ativos!$A$1:$G2000,5,),)</f>
        <v/>
      </c>
    </row>
    <row r="1202" ht="21.0" customHeight="1">
      <c r="A1202" s="152"/>
      <c r="B1202" s="160"/>
      <c r="C1202" s="153"/>
      <c r="D1202" s="154"/>
      <c r="E1202" s="139"/>
      <c r="F1202" s="139"/>
      <c r="G1202" s="139"/>
      <c r="H1202" s="135"/>
      <c r="I1202" s="141"/>
      <c r="J1202" s="147" t="str">
        <f>IFERROR(__xludf.DUMMYFUNCTION("IF(ISBLANK(A1202),IFERROR(1/0),IF(COUNT(FILTER(F:F,A:A=A1202))&gt;1,TRUNC(N1202*F1202/SUM(FILTER(N:N,A:A=A1202)),3),F1202))"),"")</f>
        <v/>
      </c>
      <c r="K1202" s="147" t="str">
        <f>IFERROR(__xludf.DUMMYFUNCTION("IF(ISBLANK(A1202),IFERROR(1/0),IF(COUNT(FILTER(G:G,((A:A=A1202)*(B:B=""V""))))&gt;1,TRUNC(N1202*G1202/SUM(FILTER(N:N,((A:A=A1202)*(B:B=""V"")))),3),G1202))"),"")</f>
        <v/>
      </c>
      <c r="L1202" s="148" t="str">
        <f>IFERROR(__xludf.DUMMYFUNCTION("if($C1202="""","""",iferror(if(row()&lt;&gt;2,INDEX(arrayformula(filter($M$2:$M1201,$C$2:$C1201&lt;&gt;"""",row($C$2:$C1201)=max(if($C$2:$C1201=C1202,row($C$2:$C1201),0)))) ,1),0),0))"),"")</f>
        <v/>
      </c>
      <c r="M1202" s="148" t="str">
        <f t="shared" si="1"/>
        <v/>
      </c>
      <c r="N1202" s="147" t="str">
        <f t="shared" si="2"/>
        <v/>
      </c>
      <c r="O1202" s="147" t="str">
        <f t="shared" si="21"/>
        <v/>
      </c>
      <c r="P1202" s="147" t="str">
        <f>IFERROR(__xludf.DUMMYFUNCTION("if(C1202="""","""",iferror(if(row()&lt;&gt;2,INDEX(arrayformula(filter($Q$2:$Q1201,$C$2:$C1201&lt;&gt;"""",row($C$2:$C1201)=max(if($C$2:$C1201=C1202,row($C$2:$C1201),0)))) ,1),0),0))"),"")</f>
        <v/>
      </c>
      <c r="Q1202" s="147" t="str">
        <f t="shared" si="22"/>
        <v/>
      </c>
      <c r="R1202" s="147" t="str">
        <f t="shared" si="23"/>
        <v/>
      </c>
      <c r="S1202" s="147" t="str">
        <f t="shared" si="24"/>
        <v/>
      </c>
      <c r="T1202" s="147" t="str">
        <f t="shared" si="7"/>
        <v/>
      </c>
      <c r="U1202" s="150" t="str">
        <f t="shared" si="8"/>
        <v/>
      </c>
      <c r="V1202" s="151" t="str">
        <f>IFERROR(VLOOKUP(C1202,Ativos!$A$1:$G2000,5,),)</f>
        <v/>
      </c>
    </row>
    <row r="1203" ht="21.0" customHeight="1">
      <c r="A1203" s="152"/>
      <c r="B1203" s="160"/>
      <c r="C1203" s="153"/>
      <c r="D1203" s="154"/>
      <c r="E1203" s="139"/>
      <c r="F1203" s="139"/>
      <c r="G1203" s="139"/>
      <c r="H1203" s="135"/>
      <c r="I1203" s="141"/>
      <c r="J1203" s="147" t="str">
        <f>IFERROR(__xludf.DUMMYFUNCTION("IF(ISBLANK(A1203),IFERROR(1/0),IF(COUNT(FILTER(F:F,A:A=A1203))&gt;1,TRUNC(N1203*F1203/SUM(FILTER(N:N,A:A=A1203)),3),F1203))"),"")</f>
        <v/>
      </c>
      <c r="K1203" s="147" t="str">
        <f>IFERROR(__xludf.DUMMYFUNCTION("IF(ISBLANK(A1203),IFERROR(1/0),IF(COUNT(FILTER(G:G,((A:A=A1203)*(B:B=""V""))))&gt;1,TRUNC(N1203*G1203/SUM(FILTER(N:N,((A:A=A1203)*(B:B=""V"")))),3),G1203))"),"")</f>
        <v/>
      </c>
      <c r="L1203" s="148" t="str">
        <f>IFERROR(__xludf.DUMMYFUNCTION("if($C1203="""","""",iferror(if(row()&lt;&gt;2,INDEX(arrayformula(filter($M$2:$M1202,$C$2:$C1202&lt;&gt;"""",row($C$2:$C1202)=max(if($C$2:$C1202=C1203,row($C$2:$C1202),0)))) ,1),0),0))"),"")</f>
        <v/>
      </c>
      <c r="M1203" s="148" t="str">
        <f t="shared" si="1"/>
        <v/>
      </c>
      <c r="N1203" s="147" t="str">
        <f t="shared" si="2"/>
        <v/>
      </c>
      <c r="O1203" s="147" t="str">
        <f t="shared" si="21"/>
        <v/>
      </c>
      <c r="P1203" s="147" t="str">
        <f>IFERROR(__xludf.DUMMYFUNCTION("if(C1203="""","""",iferror(if(row()&lt;&gt;2,INDEX(arrayformula(filter($Q$2:$Q1202,$C$2:$C1202&lt;&gt;"""",row($C$2:$C1202)=max(if($C$2:$C1202=C1203,row($C$2:$C1202),0)))) ,1),0),0))"),"")</f>
        <v/>
      </c>
      <c r="Q1203" s="147" t="str">
        <f t="shared" si="22"/>
        <v/>
      </c>
      <c r="R1203" s="147" t="str">
        <f t="shared" si="23"/>
        <v/>
      </c>
      <c r="S1203" s="147" t="str">
        <f t="shared" si="24"/>
        <v/>
      </c>
      <c r="T1203" s="147" t="str">
        <f t="shared" si="7"/>
        <v/>
      </c>
      <c r="U1203" s="150" t="str">
        <f t="shared" si="8"/>
        <v/>
      </c>
      <c r="V1203" s="151" t="str">
        <f>IFERROR(VLOOKUP(C1203,Ativos!$A$1:$G2000,5,),)</f>
        <v/>
      </c>
    </row>
    <row r="1204" ht="21.0" customHeight="1">
      <c r="A1204" s="152"/>
      <c r="B1204" s="160"/>
      <c r="C1204" s="153"/>
      <c r="D1204" s="154"/>
      <c r="E1204" s="139"/>
      <c r="F1204" s="139"/>
      <c r="G1204" s="139"/>
      <c r="H1204" s="135"/>
      <c r="I1204" s="141"/>
      <c r="J1204" s="147" t="str">
        <f>IFERROR(__xludf.DUMMYFUNCTION("IF(ISBLANK(A1204),IFERROR(1/0),IF(COUNT(FILTER(F:F,A:A=A1204))&gt;1,TRUNC(N1204*F1204/SUM(FILTER(N:N,A:A=A1204)),3),F1204))"),"")</f>
        <v/>
      </c>
      <c r="K1204" s="147" t="str">
        <f>IFERROR(__xludf.DUMMYFUNCTION("IF(ISBLANK(A1204),IFERROR(1/0),IF(COUNT(FILTER(G:G,((A:A=A1204)*(B:B=""V""))))&gt;1,TRUNC(N1204*G1204/SUM(FILTER(N:N,((A:A=A1204)*(B:B=""V"")))),3),G1204))"),"")</f>
        <v/>
      </c>
      <c r="L1204" s="148" t="str">
        <f>IFERROR(__xludf.DUMMYFUNCTION("if($C1204="""","""",iferror(if(row()&lt;&gt;2,INDEX(arrayformula(filter($M$2:$M1203,$C$2:$C1203&lt;&gt;"""",row($C$2:$C1203)=max(if($C$2:$C1203=C1204,row($C$2:$C1203),0)))) ,1),0),0))"),"")</f>
        <v/>
      </c>
      <c r="M1204" s="148" t="str">
        <f t="shared" si="1"/>
        <v/>
      </c>
      <c r="N1204" s="147" t="str">
        <f t="shared" si="2"/>
        <v/>
      </c>
      <c r="O1204" s="147" t="str">
        <f t="shared" si="21"/>
        <v/>
      </c>
      <c r="P1204" s="147" t="str">
        <f>IFERROR(__xludf.DUMMYFUNCTION("if(C1204="""","""",iferror(if(row()&lt;&gt;2,INDEX(arrayformula(filter($Q$2:$Q1203,$C$2:$C1203&lt;&gt;"""",row($C$2:$C1203)=max(if($C$2:$C1203=C1204,row($C$2:$C1203),0)))) ,1),0),0))"),"")</f>
        <v/>
      </c>
      <c r="Q1204" s="147" t="str">
        <f t="shared" si="22"/>
        <v/>
      </c>
      <c r="R1204" s="147" t="str">
        <f t="shared" si="23"/>
        <v/>
      </c>
      <c r="S1204" s="147" t="str">
        <f t="shared" si="24"/>
        <v/>
      </c>
      <c r="T1204" s="147" t="str">
        <f t="shared" si="7"/>
        <v/>
      </c>
      <c r="U1204" s="150" t="str">
        <f t="shared" si="8"/>
        <v/>
      </c>
      <c r="V1204" s="151" t="str">
        <f>IFERROR(VLOOKUP(C1204,Ativos!$A$1:$G2000,5,),)</f>
        <v/>
      </c>
    </row>
    <row r="1205" ht="21.0" customHeight="1">
      <c r="A1205" s="152"/>
      <c r="B1205" s="160"/>
      <c r="C1205" s="153"/>
      <c r="D1205" s="154"/>
      <c r="E1205" s="139"/>
      <c r="F1205" s="139"/>
      <c r="G1205" s="139"/>
      <c r="H1205" s="135"/>
      <c r="I1205" s="141"/>
      <c r="J1205" s="147" t="str">
        <f>IFERROR(__xludf.DUMMYFUNCTION("IF(ISBLANK(A1205),IFERROR(1/0),IF(COUNT(FILTER(F:F,A:A=A1205))&gt;1,TRUNC(N1205*F1205/SUM(FILTER(N:N,A:A=A1205)),3),F1205))"),"")</f>
        <v/>
      </c>
      <c r="K1205" s="147" t="str">
        <f>IFERROR(__xludf.DUMMYFUNCTION("IF(ISBLANK(A1205),IFERROR(1/0),IF(COUNT(FILTER(G:G,((A:A=A1205)*(B:B=""V""))))&gt;1,TRUNC(N1205*G1205/SUM(FILTER(N:N,((A:A=A1205)*(B:B=""V"")))),3),G1205))"),"")</f>
        <v/>
      </c>
      <c r="L1205" s="148" t="str">
        <f>IFERROR(__xludf.DUMMYFUNCTION("if($C1205="""","""",iferror(if(row()&lt;&gt;2,INDEX(arrayformula(filter($M$2:$M1204,$C$2:$C1204&lt;&gt;"""",row($C$2:$C1204)=max(if($C$2:$C1204=C1205,row($C$2:$C1204),0)))) ,1),0),0))"),"")</f>
        <v/>
      </c>
      <c r="M1205" s="148" t="str">
        <f t="shared" si="1"/>
        <v/>
      </c>
      <c r="N1205" s="147" t="str">
        <f t="shared" si="2"/>
        <v/>
      </c>
      <c r="O1205" s="147" t="str">
        <f t="shared" si="21"/>
        <v/>
      </c>
      <c r="P1205" s="147" t="str">
        <f>IFERROR(__xludf.DUMMYFUNCTION("if(C1205="""","""",iferror(if(row()&lt;&gt;2,INDEX(arrayformula(filter($Q$2:$Q1204,$C$2:$C1204&lt;&gt;"""",row($C$2:$C1204)=max(if($C$2:$C1204=C1205,row($C$2:$C1204),0)))) ,1),0),0))"),"")</f>
        <v/>
      </c>
      <c r="Q1205" s="147" t="str">
        <f t="shared" si="22"/>
        <v/>
      </c>
      <c r="R1205" s="147" t="str">
        <f t="shared" si="23"/>
        <v/>
      </c>
      <c r="S1205" s="147" t="str">
        <f t="shared" si="24"/>
        <v/>
      </c>
      <c r="T1205" s="147" t="str">
        <f t="shared" si="7"/>
        <v/>
      </c>
      <c r="U1205" s="150" t="str">
        <f t="shared" si="8"/>
        <v/>
      </c>
      <c r="V1205" s="151" t="str">
        <f>IFERROR(VLOOKUP(C1205,Ativos!$A$1:$G2000,5,),)</f>
        <v/>
      </c>
    </row>
    <row r="1206" ht="21.0" customHeight="1">
      <c r="A1206" s="152"/>
      <c r="B1206" s="160"/>
      <c r="C1206" s="153"/>
      <c r="D1206" s="154"/>
      <c r="E1206" s="139"/>
      <c r="F1206" s="139"/>
      <c r="G1206" s="139"/>
      <c r="H1206" s="135"/>
      <c r="I1206" s="141"/>
      <c r="J1206" s="147" t="str">
        <f>IFERROR(__xludf.DUMMYFUNCTION("IF(ISBLANK(A1206),IFERROR(1/0),IF(COUNT(FILTER(F:F,A:A=A1206))&gt;1,TRUNC(N1206*F1206/SUM(FILTER(N:N,A:A=A1206)),3),F1206))"),"")</f>
        <v/>
      </c>
      <c r="K1206" s="147" t="str">
        <f>IFERROR(__xludf.DUMMYFUNCTION("IF(ISBLANK(A1206),IFERROR(1/0),IF(COUNT(FILTER(G:G,((A:A=A1206)*(B:B=""V""))))&gt;1,TRUNC(N1206*G1206/SUM(FILTER(N:N,((A:A=A1206)*(B:B=""V"")))),3),G1206))"),"")</f>
        <v/>
      </c>
      <c r="L1206" s="148" t="str">
        <f>IFERROR(__xludf.DUMMYFUNCTION("if($C1206="""","""",iferror(if(row()&lt;&gt;2,INDEX(arrayformula(filter($M$2:$M1205,$C$2:$C1205&lt;&gt;"""",row($C$2:$C1205)=max(if($C$2:$C1205=C1206,row($C$2:$C1205),0)))) ,1),0),0))"),"")</f>
        <v/>
      </c>
      <c r="M1206" s="148" t="str">
        <f t="shared" si="1"/>
        <v/>
      </c>
      <c r="N1206" s="147" t="str">
        <f t="shared" si="2"/>
        <v/>
      </c>
      <c r="O1206" s="147" t="str">
        <f t="shared" si="21"/>
        <v/>
      </c>
      <c r="P1206" s="147" t="str">
        <f>IFERROR(__xludf.DUMMYFUNCTION("if(C1206="""","""",iferror(if(row()&lt;&gt;2,INDEX(arrayformula(filter($Q$2:$Q1205,$C$2:$C1205&lt;&gt;"""",row($C$2:$C1205)=max(if($C$2:$C1205=C1206,row($C$2:$C1205),0)))) ,1),0),0))"),"")</f>
        <v/>
      </c>
      <c r="Q1206" s="147" t="str">
        <f t="shared" si="22"/>
        <v/>
      </c>
      <c r="R1206" s="147" t="str">
        <f t="shared" si="23"/>
        <v/>
      </c>
      <c r="S1206" s="147" t="str">
        <f t="shared" si="24"/>
        <v/>
      </c>
      <c r="T1206" s="147" t="str">
        <f t="shared" si="7"/>
        <v/>
      </c>
      <c r="U1206" s="150" t="str">
        <f t="shared" si="8"/>
        <v/>
      </c>
      <c r="V1206" s="151" t="str">
        <f>IFERROR(VLOOKUP(C1206,Ativos!$A$1:$G2000,5,),)</f>
        <v/>
      </c>
    </row>
    <row r="1207" ht="21.0" customHeight="1">
      <c r="A1207" s="152"/>
      <c r="B1207" s="160"/>
      <c r="C1207" s="153"/>
      <c r="D1207" s="154"/>
      <c r="E1207" s="139"/>
      <c r="F1207" s="139"/>
      <c r="G1207" s="139"/>
      <c r="H1207" s="135"/>
      <c r="I1207" s="141"/>
      <c r="J1207" s="147" t="str">
        <f>IFERROR(__xludf.DUMMYFUNCTION("IF(ISBLANK(A1207),IFERROR(1/0),IF(COUNT(FILTER(F:F,A:A=A1207))&gt;1,TRUNC(N1207*F1207/SUM(FILTER(N:N,A:A=A1207)),3),F1207))"),"")</f>
        <v/>
      </c>
      <c r="K1207" s="147" t="str">
        <f>IFERROR(__xludf.DUMMYFUNCTION("IF(ISBLANK(A1207),IFERROR(1/0),IF(COUNT(FILTER(G:G,((A:A=A1207)*(B:B=""V""))))&gt;1,TRUNC(N1207*G1207/SUM(FILTER(N:N,((A:A=A1207)*(B:B=""V"")))),3),G1207))"),"")</f>
        <v/>
      </c>
      <c r="L1207" s="148" t="str">
        <f>IFERROR(__xludf.DUMMYFUNCTION("if($C1207="""","""",iferror(if(row()&lt;&gt;2,INDEX(arrayformula(filter($M$2:$M1206,$C$2:$C1206&lt;&gt;"""",row($C$2:$C1206)=max(if($C$2:$C1206=C1207,row($C$2:$C1206),0)))) ,1),0),0))"),"")</f>
        <v/>
      </c>
      <c r="M1207" s="148" t="str">
        <f t="shared" si="1"/>
        <v/>
      </c>
      <c r="N1207" s="147" t="str">
        <f t="shared" si="2"/>
        <v/>
      </c>
      <c r="O1207" s="147" t="str">
        <f t="shared" si="21"/>
        <v/>
      </c>
      <c r="P1207" s="147" t="str">
        <f>IFERROR(__xludf.DUMMYFUNCTION("if(C1207="""","""",iferror(if(row()&lt;&gt;2,INDEX(arrayformula(filter($Q$2:$Q1206,$C$2:$C1206&lt;&gt;"""",row($C$2:$C1206)=max(if($C$2:$C1206=C1207,row($C$2:$C1206),0)))) ,1),0),0))"),"")</f>
        <v/>
      </c>
      <c r="Q1207" s="147" t="str">
        <f t="shared" si="22"/>
        <v/>
      </c>
      <c r="R1207" s="147" t="str">
        <f t="shared" si="23"/>
        <v/>
      </c>
      <c r="S1207" s="147" t="str">
        <f t="shared" si="24"/>
        <v/>
      </c>
      <c r="T1207" s="147" t="str">
        <f t="shared" si="7"/>
        <v/>
      </c>
      <c r="U1207" s="150" t="str">
        <f t="shared" si="8"/>
        <v/>
      </c>
      <c r="V1207" s="151" t="str">
        <f>IFERROR(VLOOKUP(C1207,Ativos!$A$1:$G2000,5,),)</f>
        <v/>
      </c>
    </row>
    <row r="1208" ht="21.0" customHeight="1">
      <c r="A1208" s="152"/>
      <c r="B1208" s="160"/>
      <c r="C1208" s="153"/>
      <c r="D1208" s="154"/>
      <c r="E1208" s="139"/>
      <c r="F1208" s="139"/>
      <c r="G1208" s="139"/>
      <c r="H1208" s="135"/>
      <c r="I1208" s="141"/>
      <c r="J1208" s="147" t="str">
        <f>IFERROR(__xludf.DUMMYFUNCTION("IF(ISBLANK(A1208),IFERROR(1/0),IF(COUNT(FILTER(F:F,A:A=A1208))&gt;1,TRUNC(N1208*F1208/SUM(FILTER(N:N,A:A=A1208)),3),F1208))"),"")</f>
        <v/>
      </c>
      <c r="K1208" s="147" t="str">
        <f>IFERROR(__xludf.DUMMYFUNCTION("IF(ISBLANK(A1208),IFERROR(1/0),IF(COUNT(FILTER(G:G,((A:A=A1208)*(B:B=""V""))))&gt;1,TRUNC(N1208*G1208/SUM(FILTER(N:N,((A:A=A1208)*(B:B=""V"")))),3),G1208))"),"")</f>
        <v/>
      </c>
      <c r="L1208" s="148" t="str">
        <f>IFERROR(__xludf.DUMMYFUNCTION("if($C1208="""","""",iferror(if(row()&lt;&gt;2,INDEX(arrayformula(filter($M$2:$M1207,$C$2:$C1207&lt;&gt;"""",row($C$2:$C1207)=max(if($C$2:$C1207=C1208,row($C$2:$C1207),0)))) ,1),0),0))"),"")</f>
        <v/>
      </c>
      <c r="M1208" s="148" t="str">
        <f t="shared" si="1"/>
        <v/>
      </c>
      <c r="N1208" s="147" t="str">
        <f t="shared" si="2"/>
        <v/>
      </c>
      <c r="O1208" s="147" t="str">
        <f t="shared" si="21"/>
        <v/>
      </c>
      <c r="P1208" s="147" t="str">
        <f>IFERROR(__xludf.DUMMYFUNCTION("if(C1208="""","""",iferror(if(row()&lt;&gt;2,INDEX(arrayformula(filter($Q$2:$Q1207,$C$2:$C1207&lt;&gt;"""",row($C$2:$C1207)=max(if($C$2:$C1207=C1208,row($C$2:$C1207),0)))) ,1),0),0))"),"")</f>
        <v/>
      </c>
      <c r="Q1208" s="147" t="str">
        <f t="shared" si="22"/>
        <v/>
      </c>
      <c r="R1208" s="147" t="str">
        <f t="shared" si="23"/>
        <v/>
      </c>
      <c r="S1208" s="147" t="str">
        <f t="shared" si="24"/>
        <v/>
      </c>
      <c r="T1208" s="147" t="str">
        <f t="shared" si="7"/>
        <v/>
      </c>
      <c r="U1208" s="150" t="str">
        <f t="shared" si="8"/>
        <v/>
      </c>
      <c r="V1208" s="151" t="str">
        <f>IFERROR(VLOOKUP(C1208,Ativos!$A$1:$G2000,5,),)</f>
        <v/>
      </c>
    </row>
    <row r="1209" ht="21.0" customHeight="1">
      <c r="A1209" s="152"/>
      <c r="B1209" s="160"/>
      <c r="C1209" s="153"/>
      <c r="D1209" s="154"/>
      <c r="E1209" s="139"/>
      <c r="F1209" s="139"/>
      <c r="G1209" s="139"/>
      <c r="H1209" s="135"/>
      <c r="I1209" s="141"/>
      <c r="J1209" s="147" t="str">
        <f>IFERROR(__xludf.DUMMYFUNCTION("IF(ISBLANK(A1209),IFERROR(1/0),IF(COUNT(FILTER(F:F,A:A=A1209))&gt;1,TRUNC(N1209*F1209/SUM(FILTER(N:N,A:A=A1209)),3),F1209))"),"")</f>
        <v/>
      </c>
      <c r="K1209" s="147" t="str">
        <f>IFERROR(__xludf.DUMMYFUNCTION("IF(ISBLANK(A1209),IFERROR(1/0),IF(COUNT(FILTER(G:G,((A:A=A1209)*(B:B=""V""))))&gt;1,TRUNC(N1209*G1209/SUM(FILTER(N:N,((A:A=A1209)*(B:B=""V"")))),3),G1209))"),"")</f>
        <v/>
      </c>
      <c r="L1209" s="148" t="str">
        <f>IFERROR(__xludf.DUMMYFUNCTION("if($C1209="""","""",iferror(if(row()&lt;&gt;2,INDEX(arrayformula(filter($M$2:$M1208,$C$2:$C1208&lt;&gt;"""",row($C$2:$C1208)=max(if($C$2:$C1208=C1209,row($C$2:$C1208),0)))) ,1),0),0))"),"")</f>
        <v/>
      </c>
      <c r="M1209" s="148" t="str">
        <f t="shared" si="1"/>
        <v/>
      </c>
      <c r="N1209" s="147" t="str">
        <f t="shared" si="2"/>
        <v/>
      </c>
      <c r="O1209" s="147" t="str">
        <f t="shared" si="21"/>
        <v/>
      </c>
      <c r="P1209" s="147" t="str">
        <f>IFERROR(__xludf.DUMMYFUNCTION("if(C1209="""","""",iferror(if(row()&lt;&gt;2,INDEX(arrayformula(filter($Q$2:$Q1208,$C$2:$C1208&lt;&gt;"""",row($C$2:$C1208)=max(if($C$2:$C1208=C1209,row($C$2:$C1208),0)))) ,1),0),0))"),"")</f>
        <v/>
      </c>
      <c r="Q1209" s="147" t="str">
        <f t="shared" si="22"/>
        <v/>
      </c>
      <c r="R1209" s="147" t="str">
        <f t="shared" si="23"/>
        <v/>
      </c>
      <c r="S1209" s="147" t="str">
        <f t="shared" si="24"/>
        <v/>
      </c>
      <c r="T1209" s="147" t="str">
        <f t="shared" si="7"/>
        <v/>
      </c>
      <c r="U1209" s="150" t="str">
        <f t="shared" si="8"/>
        <v/>
      </c>
      <c r="V1209" s="151" t="str">
        <f>IFERROR(VLOOKUP(C1209,Ativos!$A$1:$G2000,5,),)</f>
        <v/>
      </c>
    </row>
    <row r="1210" ht="21.0" customHeight="1">
      <c r="A1210" s="152"/>
      <c r="B1210" s="160"/>
      <c r="C1210" s="153"/>
      <c r="D1210" s="154"/>
      <c r="E1210" s="139"/>
      <c r="F1210" s="139"/>
      <c r="G1210" s="139"/>
      <c r="H1210" s="135"/>
      <c r="I1210" s="141"/>
      <c r="J1210" s="147" t="str">
        <f>IFERROR(__xludf.DUMMYFUNCTION("IF(ISBLANK(A1210),IFERROR(1/0),IF(COUNT(FILTER(F:F,A:A=A1210))&gt;1,TRUNC(N1210*F1210/SUM(FILTER(N:N,A:A=A1210)),3),F1210))"),"")</f>
        <v/>
      </c>
      <c r="K1210" s="147" t="str">
        <f>IFERROR(__xludf.DUMMYFUNCTION("IF(ISBLANK(A1210),IFERROR(1/0),IF(COUNT(FILTER(G:G,((A:A=A1210)*(B:B=""V""))))&gt;1,TRUNC(N1210*G1210/SUM(FILTER(N:N,((A:A=A1210)*(B:B=""V"")))),3),G1210))"),"")</f>
        <v/>
      </c>
      <c r="L1210" s="148" t="str">
        <f>IFERROR(__xludf.DUMMYFUNCTION("if($C1210="""","""",iferror(if(row()&lt;&gt;2,INDEX(arrayformula(filter($M$2:$M1209,$C$2:$C1209&lt;&gt;"""",row($C$2:$C1209)=max(if($C$2:$C1209=C1210,row($C$2:$C1209),0)))) ,1),0),0))"),"")</f>
        <v/>
      </c>
      <c r="M1210" s="148" t="str">
        <f t="shared" si="1"/>
        <v/>
      </c>
      <c r="N1210" s="147" t="str">
        <f t="shared" si="2"/>
        <v/>
      </c>
      <c r="O1210" s="147" t="str">
        <f t="shared" si="21"/>
        <v/>
      </c>
      <c r="P1210" s="147" t="str">
        <f>IFERROR(__xludf.DUMMYFUNCTION("if(C1210="""","""",iferror(if(row()&lt;&gt;2,INDEX(arrayformula(filter($Q$2:$Q1209,$C$2:$C1209&lt;&gt;"""",row($C$2:$C1209)=max(if($C$2:$C1209=C1210,row($C$2:$C1209),0)))) ,1),0),0))"),"")</f>
        <v/>
      </c>
      <c r="Q1210" s="147" t="str">
        <f t="shared" si="22"/>
        <v/>
      </c>
      <c r="R1210" s="147" t="str">
        <f t="shared" si="23"/>
        <v/>
      </c>
      <c r="S1210" s="147" t="str">
        <f t="shared" si="24"/>
        <v/>
      </c>
      <c r="T1210" s="147" t="str">
        <f t="shared" si="7"/>
        <v/>
      </c>
      <c r="U1210" s="150" t="str">
        <f t="shared" si="8"/>
        <v/>
      </c>
      <c r="V1210" s="151" t="str">
        <f>IFERROR(VLOOKUP(C1210,Ativos!$A$1:$G2000,5,),)</f>
        <v/>
      </c>
    </row>
    <row r="1211" ht="21.0" customHeight="1">
      <c r="A1211" s="152"/>
      <c r="B1211" s="160"/>
      <c r="C1211" s="153"/>
      <c r="D1211" s="154"/>
      <c r="E1211" s="139"/>
      <c r="F1211" s="139"/>
      <c r="G1211" s="139"/>
      <c r="H1211" s="135"/>
      <c r="I1211" s="141"/>
      <c r="J1211" s="147" t="str">
        <f>IFERROR(__xludf.DUMMYFUNCTION("IF(ISBLANK(A1211),IFERROR(1/0),IF(COUNT(FILTER(F:F,A:A=A1211))&gt;1,TRUNC(N1211*F1211/SUM(FILTER(N:N,A:A=A1211)),3),F1211))"),"")</f>
        <v/>
      </c>
      <c r="K1211" s="147" t="str">
        <f>IFERROR(__xludf.DUMMYFUNCTION("IF(ISBLANK(A1211),IFERROR(1/0),IF(COUNT(FILTER(G:G,((A:A=A1211)*(B:B=""V""))))&gt;1,TRUNC(N1211*G1211/SUM(FILTER(N:N,((A:A=A1211)*(B:B=""V"")))),3),G1211))"),"")</f>
        <v/>
      </c>
      <c r="L1211" s="148" t="str">
        <f>IFERROR(__xludf.DUMMYFUNCTION("if($C1211="""","""",iferror(if(row()&lt;&gt;2,INDEX(arrayformula(filter($M$2:$M1210,$C$2:$C1210&lt;&gt;"""",row($C$2:$C1210)=max(if($C$2:$C1210=C1211,row($C$2:$C1210),0)))) ,1),0),0))"),"")</f>
        <v/>
      </c>
      <c r="M1211" s="148" t="str">
        <f t="shared" si="1"/>
        <v/>
      </c>
      <c r="N1211" s="147" t="str">
        <f t="shared" si="2"/>
        <v/>
      </c>
      <c r="O1211" s="147" t="str">
        <f t="shared" si="21"/>
        <v/>
      </c>
      <c r="P1211" s="147" t="str">
        <f>IFERROR(__xludf.DUMMYFUNCTION("if(C1211="""","""",iferror(if(row()&lt;&gt;2,INDEX(arrayformula(filter($Q$2:$Q1210,$C$2:$C1210&lt;&gt;"""",row($C$2:$C1210)=max(if($C$2:$C1210=C1211,row($C$2:$C1210),0)))) ,1),0),0))"),"")</f>
        <v/>
      </c>
      <c r="Q1211" s="147" t="str">
        <f t="shared" si="22"/>
        <v/>
      </c>
      <c r="R1211" s="147" t="str">
        <f t="shared" si="23"/>
        <v/>
      </c>
      <c r="S1211" s="147" t="str">
        <f t="shared" si="24"/>
        <v/>
      </c>
      <c r="T1211" s="147" t="str">
        <f t="shared" si="7"/>
        <v/>
      </c>
      <c r="U1211" s="150" t="str">
        <f t="shared" si="8"/>
        <v/>
      </c>
      <c r="V1211" s="151" t="str">
        <f>IFERROR(VLOOKUP(C1211,Ativos!$A$1:$G2000,5,),)</f>
        <v/>
      </c>
    </row>
    <row r="1212" ht="21.0" customHeight="1">
      <c r="A1212" s="152"/>
      <c r="B1212" s="160"/>
      <c r="C1212" s="153"/>
      <c r="D1212" s="154"/>
      <c r="E1212" s="139"/>
      <c r="F1212" s="139"/>
      <c r="G1212" s="139"/>
      <c r="H1212" s="135"/>
      <c r="I1212" s="141"/>
      <c r="J1212" s="147" t="str">
        <f>IFERROR(__xludf.DUMMYFUNCTION("IF(ISBLANK(A1212),IFERROR(1/0),IF(COUNT(FILTER(F:F,A:A=A1212))&gt;1,TRUNC(N1212*F1212/SUM(FILTER(N:N,A:A=A1212)),3),F1212))"),"")</f>
        <v/>
      </c>
      <c r="K1212" s="147" t="str">
        <f>IFERROR(__xludf.DUMMYFUNCTION("IF(ISBLANK(A1212),IFERROR(1/0),IF(COUNT(FILTER(G:G,((A:A=A1212)*(B:B=""V""))))&gt;1,TRUNC(N1212*G1212/SUM(FILTER(N:N,((A:A=A1212)*(B:B=""V"")))),3),G1212))"),"")</f>
        <v/>
      </c>
      <c r="L1212" s="148" t="str">
        <f>IFERROR(__xludf.DUMMYFUNCTION("if($C1212="""","""",iferror(if(row()&lt;&gt;2,INDEX(arrayformula(filter($M$2:$M1211,$C$2:$C1211&lt;&gt;"""",row($C$2:$C1211)=max(if($C$2:$C1211=C1212,row($C$2:$C1211),0)))) ,1),0),0))"),"")</f>
        <v/>
      </c>
      <c r="M1212" s="148" t="str">
        <f t="shared" si="1"/>
        <v/>
      </c>
      <c r="N1212" s="147" t="str">
        <f t="shared" si="2"/>
        <v/>
      </c>
      <c r="O1212" s="147" t="str">
        <f t="shared" si="21"/>
        <v/>
      </c>
      <c r="P1212" s="147" t="str">
        <f>IFERROR(__xludf.DUMMYFUNCTION("if(C1212="""","""",iferror(if(row()&lt;&gt;2,INDEX(arrayformula(filter($Q$2:$Q1211,$C$2:$C1211&lt;&gt;"""",row($C$2:$C1211)=max(if($C$2:$C1211=C1212,row($C$2:$C1211),0)))) ,1),0),0))"),"")</f>
        <v/>
      </c>
      <c r="Q1212" s="147" t="str">
        <f t="shared" si="22"/>
        <v/>
      </c>
      <c r="R1212" s="147" t="str">
        <f t="shared" si="23"/>
        <v/>
      </c>
      <c r="S1212" s="147" t="str">
        <f t="shared" si="24"/>
        <v/>
      </c>
      <c r="T1212" s="147" t="str">
        <f t="shared" si="7"/>
        <v/>
      </c>
      <c r="U1212" s="150" t="str">
        <f t="shared" si="8"/>
        <v/>
      </c>
      <c r="V1212" s="151" t="str">
        <f>IFERROR(VLOOKUP(C1212,Ativos!$A$1:$G2000,5,),)</f>
        <v/>
      </c>
    </row>
    <row r="1213" ht="21.0" customHeight="1">
      <c r="A1213" s="152"/>
      <c r="B1213" s="160"/>
      <c r="C1213" s="153"/>
      <c r="D1213" s="154"/>
      <c r="E1213" s="139"/>
      <c r="F1213" s="139"/>
      <c r="G1213" s="139"/>
      <c r="H1213" s="135"/>
      <c r="I1213" s="141"/>
      <c r="J1213" s="147" t="str">
        <f>IFERROR(__xludf.DUMMYFUNCTION("IF(ISBLANK(A1213),IFERROR(1/0),IF(COUNT(FILTER(F:F,A:A=A1213))&gt;1,TRUNC(N1213*F1213/SUM(FILTER(N:N,A:A=A1213)),3),F1213))"),"")</f>
        <v/>
      </c>
      <c r="K1213" s="147" t="str">
        <f>IFERROR(__xludf.DUMMYFUNCTION("IF(ISBLANK(A1213),IFERROR(1/0),IF(COUNT(FILTER(G:G,((A:A=A1213)*(B:B=""V""))))&gt;1,TRUNC(N1213*G1213/SUM(FILTER(N:N,((A:A=A1213)*(B:B=""V"")))),3),G1213))"),"")</f>
        <v/>
      </c>
      <c r="L1213" s="148" t="str">
        <f>IFERROR(__xludf.DUMMYFUNCTION("if($C1213="""","""",iferror(if(row()&lt;&gt;2,INDEX(arrayformula(filter($M$2:$M1212,$C$2:$C1212&lt;&gt;"""",row($C$2:$C1212)=max(if($C$2:$C1212=C1213,row($C$2:$C1212),0)))) ,1),0),0))"),"")</f>
        <v/>
      </c>
      <c r="M1213" s="148" t="str">
        <f t="shared" si="1"/>
        <v/>
      </c>
      <c r="N1213" s="147" t="str">
        <f t="shared" si="2"/>
        <v/>
      </c>
      <c r="O1213" s="147" t="str">
        <f t="shared" si="21"/>
        <v/>
      </c>
      <c r="P1213" s="147" t="str">
        <f>IFERROR(__xludf.DUMMYFUNCTION("if(C1213="""","""",iferror(if(row()&lt;&gt;2,INDEX(arrayformula(filter($Q$2:$Q1212,$C$2:$C1212&lt;&gt;"""",row($C$2:$C1212)=max(if($C$2:$C1212=C1213,row($C$2:$C1212),0)))) ,1),0),0))"),"")</f>
        <v/>
      </c>
      <c r="Q1213" s="147" t="str">
        <f t="shared" si="22"/>
        <v/>
      </c>
      <c r="R1213" s="147" t="str">
        <f t="shared" si="23"/>
        <v/>
      </c>
      <c r="S1213" s="147" t="str">
        <f t="shared" si="24"/>
        <v/>
      </c>
      <c r="T1213" s="147" t="str">
        <f t="shared" si="7"/>
        <v/>
      </c>
      <c r="U1213" s="150" t="str">
        <f t="shared" si="8"/>
        <v/>
      </c>
      <c r="V1213" s="151" t="str">
        <f>IFERROR(VLOOKUP(C1213,Ativos!$A$1:$G2000,5,),)</f>
        <v/>
      </c>
    </row>
    <row r="1214" ht="21.0" customHeight="1">
      <c r="A1214" s="152"/>
      <c r="B1214" s="160"/>
      <c r="C1214" s="153"/>
      <c r="D1214" s="154"/>
      <c r="E1214" s="139"/>
      <c r="F1214" s="139"/>
      <c r="G1214" s="139"/>
      <c r="H1214" s="135"/>
      <c r="I1214" s="141"/>
      <c r="J1214" s="147" t="str">
        <f>IFERROR(__xludf.DUMMYFUNCTION("IF(ISBLANK(A1214),IFERROR(1/0),IF(COUNT(FILTER(F:F,A:A=A1214))&gt;1,TRUNC(N1214*F1214/SUM(FILTER(N:N,A:A=A1214)),3),F1214))"),"")</f>
        <v/>
      </c>
      <c r="K1214" s="147" t="str">
        <f>IFERROR(__xludf.DUMMYFUNCTION("IF(ISBLANK(A1214),IFERROR(1/0),IF(COUNT(FILTER(G:G,((A:A=A1214)*(B:B=""V""))))&gt;1,TRUNC(N1214*G1214/SUM(FILTER(N:N,((A:A=A1214)*(B:B=""V"")))),3),G1214))"),"")</f>
        <v/>
      </c>
      <c r="L1214" s="148" t="str">
        <f>IFERROR(__xludf.DUMMYFUNCTION("if($C1214="""","""",iferror(if(row()&lt;&gt;2,INDEX(arrayformula(filter($M$2:$M1213,$C$2:$C1213&lt;&gt;"""",row($C$2:$C1213)=max(if($C$2:$C1213=C1214,row($C$2:$C1213),0)))) ,1),0),0))"),"")</f>
        <v/>
      </c>
      <c r="M1214" s="148" t="str">
        <f t="shared" si="1"/>
        <v/>
      </c>
      <c r="N1214" s="147" t="str">
        <f t="shared" si="2"/>
        <v/>
      </c>
      <c r="O1214" s="147" t="str">
        <f t="shared" si="21"/>
        <v/>
      </c>
      <c r="P1214" s="147" t="str">
        <f>IFERROR(__xludf.DUMMYFUNCTION("if(C1214="""","""",iferror(if(row()&lt;&gt;2,INDEX(arrayformula(filter($Q$2:$Q1213,$C$2:$C1213&lt;&gt;"""",row($C$2:$C1213)=max(if($C$2:$C1213=C1214,row($C$2:$C1213),0)))) ,1),0),0))"),"")</f>
        <v/>
      </c>
      <c r="Q1214" s="147" t="str">
        <f t="shared" si="22"/>
        <v/>
      </c>
      <c r="R1214" s="147" t="str">
        <f t="shared" si="23"/>
        <v/>
      </c>
      <c r="S1214" s="147" t="str">
        <f t="shared" si="24"/>
        <v/>
      </c>
      <c r="T1214" s="147" t="str">
        <f t="shared" si="7"/>
        <v/>
      </c>
      <c r="U1214" s="150" t="str">
        <f t="shared" si="8"/>
        <v/>
      </c>
      <c r="V1214" s="151" t="str">
        <f>IFERROR(VLOOKUP(C1214,Ativos!$A$1:$G2000,5,),)</f>
        <v/>
      </c>
    </row>
    <row r="1215" ht="21.0" customHeight="1">
      <c r="A1215" s="152"/>
      <c r="B1215" s="160"/>
      <c r="C1215" s="153"/>
      <c r="D1215" s="154"/>
      <c r="E1215" s="139"/>
      <c r="F1215" s="139"/>
      <c r="G1215" s="139"/>
      <c r="H1215" s="135"/>
      <c r="I1215" s="141"/>
      <c r="J1215" s="147" t="str">
        <f>IFERROR(__xludf.DUMMYFUNCTION("IF(ISBLANK(A1215),IFERROR(1/0),IF(COUNT(FILTER(F:F,A:A=A1215))&gt;1,TRUNC(N1215*F1215/SUM(FILTER(N:N,A:A=A1215)),3),F1215))"),"")</f>
        <v/>
      </c>
      <c r="K1215" s="147" t="str">
        <f>IFERROR(__xludf.DUMMYFUNCTION("IF(ISBLANK(A1215),IFERROR(1/0),IF(COUNT(FILTER(G:G,((A:A=A1215)*(B:B=""V""))))&gt;1,TRUNC(N1215*G1215/SUM(FILTER(N:N,((A:A=A1215)*(B:B=""V"")))),3),G1215))"),"")</f>
        <v/>
      </c>
      <c r="L1215" s="148" t="str">
        <f>IFERROR(__xludf.DUMMYFUNCTION("if($C1215="""","""",iferror(if(row()&lt;&gt;2,INDEX(arrayformula(filter($M$2:$M1214,$C$2:$C1214&lt;&gt;"""",row($C$2:$C1214)=max(if($C$2:$C1214=C1215,row($C$2:$C1214),0)))) ,1),0),0))"),"")</f>
        <v/>
      </c>
      <c r="M1215" s="148" t="str">
        <f t="shared" si="1"/>
        <v/>
      </c>
      <c r="N1215" s="147" t="str">
        <f t="shared" si="2"/>
        <v/>
      </c>
      <c r="O1215" s="147" t="str">
        <f t="shared" si="21"/>
        <v/>
      </c>
      <c r="P1215" s="147" t="str">
        <f>IFERROR(__xludf.DUMMYFUNCTION("if(C1215="""","""",iferror(if(row()&lt;&gt;2,INDEX(arrayformula(filter($Q$2:$Q1214,$C$2:$C1214&lt;&gt;"""",row($C$2:$C1214)=max(if($C$2:$C1214=C1215,row($C$2:$C1214),0)))) ,1),0),0))"),"")</f>
        <v/>
      </c>
      <c r="Q1215" s="147" t="str">
        <f t="shared" si="22"/>
        <v/>
      </c>
      <c r="R1215" s="147" t="str">
        <f t="shared" si="23"/>
        <v/>
      </c>
      <c r="S1215" s="147" t="str">
        <f t="shared" si="24"/>
        <v/>
      </c>
      <c r="T1215" s="147" t="str">
        <f t="shared" si="7"/>
        <v/>
      </c>
      <c r="U1215" s="150" t="str">
        <f t="shared" si="8"/>
        <v/>
      </c>
      <c r="V1215" s="151" t="str">
        <f>IFERROR(VLOOKUP(C1215,Ativos!$A$1:$G2000,5,),)</f>
        <v/>
      </c>
    </row>
    <row r="1216" ht="21.0" customHeight="1">
      <c r="A1216" s="152"/>
      <c r="B1216" s="160"/>
      <c r="C1216" s="153"/>
      <c r="D1216" s="154"/>
      <c r="E1216" s="139"/>
      <c r="F1216" s="139"/>
      <c r="G1216" s="139"/>
      <c r="H1216" s="135"/>
      <c r="I1216" s="141"/>
      <c r="J1216" s="147" t="str">
        <f>IFERROR(__xludf.DUMMYFUNCTION("IF(ISBLANK(A1216),IFERROR(1/0),IF(COUNT(FILTER(F:F,A:A=A1216))&gt;1,TRUNC(N1216*F1216/SUM(FILTER(N:N,A:A=A1216)),3),F1216))"),"")</f>
        <v/>
      </c>
      <c r="K1216" s="147" t="str">
        <f>IFERROR(__xludf.DUMMYFUNCTION("IF(ISBLANK(A1216),IFERROR(1/0),IF(COUNT(FILTER(G:G,((A:A=A1216)*(B:B=""V""))))&gt;1,TRUNC(N1216*G1216/SUM(FILTER(N:N,((A:A=A1216)*(B:B=""V"")))),3),G1216))"),"")</f>
        <v/>
      </c>
      <c r="L1216" s="148" t="str">
        <f>IFERROR(__xludf.DUMMYFUNCTION("if($C1216="""","""",iferror(if(row()&lt;&gt;2,INDEX(arrayformula(filter($M$2:$M1215,$C$2:$C1215&lt;&gt;"""",row($C$2:$C1215)=max(if($C$2:$C1215=C1216,row($C$2:$C1215),0)))) ,1),0),0))"),"")</f>
        <v/>
      </c>
      <c r="M1216" s="148" t="str">
        <f t="shared" si="1"/>
        <v/>
      </c>
      <c r="N1216" s="147" t="str">
        <f t="shared" si="2"/>
        <v/>
      </c>
      <c r="O1216" s="147" t="str">
        <f t="shared" si="21"/>
        <v/>
      </c>
      <c r="P1216" s="147" t="str">
        <f>IFERROR(__xludf.DUMMYFUNCTION("if(C1216="""","""",iferror(if(row()&lt;&gt;2,INDEX(arrayformula(filter($Q$2:$Q1215,$C$2:$C1215&lt;&gt;"""",row($C$2:$C1215)=max(if($C$2:$C1215=C1216,row($C$2:$C1215),0)))) ,1),0),0))"),"")</f>
        <v/>
      </c>
      <c r="Q1216" s="147" t="str">
        <f t="shared" si="22"/>
        <v/>
      </c>
      <c r="R1216" s="147" t="str">
        <f t="shared" si="23"/>
        <v/>
      </c>
      <c r="S1216" s="147" t="str">
        <f t="shared" si="24"/>
        <v/>
      </c>
      <c r="T1216" s="147" t="str">
        <f t="shared" si="7"/>
        <v/>
      </c>
      <c r="U1216" s="150" t="str">
        <f t="shared" si="8"/>
        <v/>
      </c>
      <c r="V1216" s="151" t="str">
        <f>IFERROR(VLOOKUP(C1216,Ativos!$A$1:$G2000,5,),)</f>
        <v/>
      </c>
    </row>
    <row r="1217" ht="21.0" customHeight="1">
      <c r="A1217" s="152"/>
      <c r="B1217" s="160"/>
      <c r="C1217" s="153"/>
      <c r="D1217" s="154"/>
      <c r="E1217" s="139"/>
      <c r="F1217" s="139"/>
      <c r="G1217" s="139"/>
      <c r="H1217" s="135"/>
      <c r="I1217" s="141"/>
      <c r="J1217" s="147" t="str">
        <f>IFERROR(__xludf.DUMMYFUNCTION("IF(ISBLANK(A1217),IFERROR(1/0),IF(COUNT(FILTER(F:F,A:A=A1217))&gt;1,TRUNC(N1217*F1217/SUM(FILTER(N:N,A:A=A1217)),3),F1217))"),"")</f>
        <v/>
      </c>
      <c r="K1217" s="147" t="str">
        <f>IFERROR(__xludf.DUMMYFUNCTION("IF(ISBLANK(A1217),IFERROR(1/0),IF(COUNT(FILTER(G:G,((A:A=A1217)*(B:B=""V""))))&gt;1,TRUNC(N1217*G1217/SUM(FILTER(N:N,((A:A=A1217)*(B:B=""V"")))),3),G1217))"),"")</f>
        <v/>
      </c>
      <c r="L1217" s="148" t="str">
        <f>IFERROR(__xludf.DUMMYFUNCTION("if($C1217="""","""",iferror(if(row()&lt;&gt;2,INDEX(arrayformula(filter($M$2:$M1216,$C$2:$C1216&lt;&gt;"""",row($C$2:$C1216)=max(if($C$2:$C1216=C1217,row($C$2:$C1216),0)))) ,1),0),0))"),"")</f>
        <v/>
      </c>
      <c r="M1217" s="148" t="str">
        <f t="shared" si="1"/>
        <v/>
      </c>
      <c r="N1217" s="147" t="str">
        <f t="shared" si="2"/>
        <v/>
      </c>
      <c r="O1217" s="147" t="str">
        <f t="shared" si="21"/>
        <v/>
      </c>
      <c r="P1217" s="147" t="str">
        <f>IFERROR(__xludf.DUMMYFUNCTION("if(C1217="""","""",iferror(if(row()&lt;&gt;2,INDEX(arrayformula(filter($Q$2:$Q1216,$C$2:$C1216&lt;&gt;"""",row($C$2:$C1216)=max(if($C$2:$C1216=C1217,row($C$2:$C1216),0)))) ,1),0),0))"),"")</f>
        <v/>
      </c>
      <c r="Q1217" s="147" t="str">
        <f t="shared" si="22"/>
        <v/>
      </c>
      <c r="R1217" s="147" t="str">
        <f t="shared" si="23"/>
        <v/>
      </c>
      <c r="S1217" s="147" t="str">
        <f t="shared" si="24"/>
        <v/>
      </c>
      <c r="T1217" s="147" t="str">
        <f t="shared" si="7"/>
        <v/>
      </c>
      <c r="U1217" s="150" t="str">
        <f t="shared" si="8"/>
        <v/>
      </c>
      <c r="V1217" s="151" t="str">
        <f>IFERROR(VLOOKUP(C1217,Ativos!$A$1:$G2000,5,),)</f>
        <v/>
      </c>
    </row>
    <row r="1218" ht="21.0" customHeight="1">
      <c r="A1218" s="152"/>
      <c r="B1218" s="160"/>
      <c r="C1218" s="153"/>
      <c r="D1218" s="154"/>
      <c r="E1218" s="139"/>
      <c r="F1218" s="139"/>
      <c r="G1218" s="139"/>
      <c r="H1218" s="135"/>
      <c r="I1218" s="141"/>
      <c r="J1218" s="147" t="str">
        <f>IFERROR(__xludf.DUMMYFUNCTION("IF(ISBLANK(A1218),IFERROR(1/0),IF(COUNT(FILTER(F:F,A:A=A1218))&gt;1,TRUNC(N1218*F1218/SUM(FILTER(N:N,A:A=A1218)),3),F1218))"),"")</f>
        <v/>
      </c>
      <c r="K1218" s="147" t="str">
        <f>IFERROR(__xludf.DUMMYFUNCTION("IF(ISBLANK(A1218),IFERROR(1/0),IF(COUNT(FILTER(G:G,((A:A=A1218)*(B:B=""V""))))&gt;1,TRUNC(N1218*G1218/SUM(FILTER(N:N,((A:A=A1218)*(B:B=""V"")))),3),G1218))"),"")</f>
        <v/>
      </c>
      <c r="L1218" s="148" t="str">
        <f>IFERROR(__xludf.DUMMYFUNCTION("if($C1218="""","""",iferror(if(row()&lt;&gt;2,INDEX(arrayformula(filter($M$2:$M1217,$C$2:$C1217&lt;&gt;"""",row($C$2:$C1217)=max(if($C$2:$C1217=C1218,row($C$2:$C1217),0)))) ,1),0),0))"),"")</f>
        <v/>
      </c>
      <c r="M1218" s="148" t="str">
        <f t="shared" si="1"/>
        <v/>
      </c>
      <c r="N1218" s="147" t="str">
        <f t="shared" si="2"/>
        <v/>
      </c>
      <c r="O1218" s="147" t="str">
        <f t="shared" si="21"/>
        <v/>
      </c>
      <c r="P1218" s="147" t="str">
        <f>IFERROR(__xludf.DUMMYFUNCTION("if(C1218="""","""",iferror(if(row()&lt;&gt;2,INDEX(arrayformula(filter($Q$2:$Q1217,$C$2:$C1217&lt;&gt;"""",row($C$2:$C1217)=max(if($C$2:$C1217=C1218,row($C$2:$C1217),0)))) ,1),0),0))"),"")</f>
        <v/>
      </c>
      <c r="Q1218" s="147" t="str">
        <f t="shared" si="22"/>
        <v/>
      </c>
      <c r="R1218" s="147" t="str">
        <f t="shared" si="23"/>
        <v/>
      </c>
      <c r="S1218" s="147" t="str">
        <f t="shared" si="24"/>
        <v/>
      </c>
      <c r="T1218" s="147" t="str">
        <f t="shared" si="7"/>
        <v/>
      </c>
      <c r="U1218" s="150" t="str">
        <f t="shared" si="8"/>
        <v/>
      </c>
      <c r="V1218" s="151" t="str">
        <f>IFERROR(VLOOKUP(C1218,Ativos!$A$1:$G2000,5,),)</f>
        <v/>
      </c>
    </row>
    <row r="1219" ht="21.0" customHeight="1">
      <c r="A1219" s="152"/>
      <c r="B1219" s="160"/>
      <c r="C1219" s="153"/>
      <c r="D1219" s="154"/>
      <c r="E1219" s="139"/>
      <c r="F1219" s="139"/>
      <c r="G1219" s="139"/>
      <c r="H1219" s="135"/>
      <c r="I1219" s="141"/>
      <c r="J1219" s="147" t="str">
        <f>IFERROR(__xludf.DUMMYFUNCTION("IF(ISBLANK(A1219),IFERROR(1/0),IF(COUNT(FILTER(F:F,A:A=A1219))&gt;1,TRUNC(N1219*F1219/SUM(FILTER(N:N,A:A=A1219)),3),F1219))"),"")</f>
        <v/>
      </c>
      <c r="K1219" s="147" t="str">
        <f>IFERROR(__xludf.DUMMYFUNCTION("IF(ISBLANK(A1219),IFERROR(1/0),IF(COUNT(FILTER(G:G,((A:A=A1219)*(B:B=""V""))))&gt;1,TRUNC(N1219*G1219/SUM(FILTER(N:N,((A:A=A1219)*(B:B=""V"")))),3),G1219))"),"")</f>
        <v/>
      </c>
      <c r="L1219" s="148" t="str">
        <f>IFERROR(__xludf.DUMMYFUNCTION("if($C1219="""","""",iferror(if(row()&lt;&gt;2,INDEX(arrayformula(filter($M$2:$M1218,$C$2:$C1218&lt;&gt;"""",row($C$2:$C1218)=max(if($C$2:$C1218=C1219,row($C$2:$C1218),0)))) ,1),0),0))"),"")</f>
        <v/>
      </c>
      <c r="M1219" s="148" t="str">
        <f t="shared" si="1"/>
        <v/>
      </c>
      <c r="N1219" s="147" t="str">
        <f t="shared" si="2"/>
        <v/>
      </c>
      <c r="O1219" s="147" t="str">
        <f t="shared" si="21"/>
        <v/>
      </c>
      <c r="P1219" s="147" t="str">
        <f>IFERROR(__xludf.DUMMYFUNCTION("if(C1219="""","""",iferror(if(row()&lt;&gt;2,INDEX(arrayformula(filter($Q$2:$Q1218,$C$2:$C1218&lt;&gt;"""",row($C$2:$C1218)=max(if($C$2:$C1218=C1219,row($C$2:$C1218),0)))) ,1),0),0))"),"")</f>
        <v/>
      </c>
      <c r="Q1219" s="147" t="str">
        <f t="shared" si="22"/>
        <v/>
      </c>
      <c r="R1219" s="147" t="str">
        <f t="shared" si="23"/>
        <v/>
      </c>
      <c r="S1219" s="147" t="str">
        <f t="shared" si="24"/>
        <v/>
      </c>
      <c r="T1219" s="147" t="str">
        <f t="shared" si="7"/>
        <v/>
      </c>
      <c r="U1219" s="150" t="str">
        <f t="shared" si="8"/>
        <v/>
      </c>
      <c r="V1219" s="151" t="str">
        <f>IFERROR(VLOOKUP(C1219,Ativos!$A$1:$G2000,5,),)</f>
        <v/>
      </c>
    </row>
    <row r="1220" ht="21.0" customHeight="1">
      <c r="A1220" s="152"/>
      <c r="B1220" s="160"/>
      <c r="C1220" s="153"/>
      <c r="D1220" s="154"/>
      <c r="E1220" s="139"/>
      <c r="F1220" s="139"/>
      <c r="G1220" s="139"/>
      <c r="H1220" s="135"/>
      <c r="I1220" s="141"/>
      <c r="J1220" s="147" t="str">
        <f>IFERROR(__xludf.DUMMYFUNCTION("IF(ISBLANK(A1220),IFERROR(1/0),IF(COUNT(FILTER(F:F,A:A=A1220))&gt;1,TRUNC(N1220*F1220/SUM(FILTER(N:N,A:A=A1220)),3),F1220))"),"")</f>
        <v/>
      </c>
      <c r="K1220" s="147" t="str">
        <f>IFERROR(__xludf.DUMMYFUNCTION("IF(ISBLANK(A1220),IFERROR(1/0),IF(COUNT(FILTER(G:G,((A:A=A1220)*(B:B=""V""))))&gt;1,TRUNC(N1220*G1220/SUM(FILTER(N:N,((A:A=A1220)*(B:B=""V"")))),3),G1220))"),"")</f>
        <v/>
      </c>
      <c r="L1220" s="148" t="str">
        <f>IFERROR(__xludf.DUMMYFUNCTION("if($C1220="""","""",iferror(if(row()&lt;&gt;2,INDEX(arrayformula(filter($M$2:$M1219,$C$2:$C1219&lt;&gt;"""",row($C$2:$C1219)=max(if($C$2:$C1219=C1220,row($C$2:$C1219),0)))) ,1),0),0))"),"")</f>
        <v/>
      </c>
      <c r="M1220" s="148" t="str">
        <f t="shared" si="1"/>
        <v/>
      </c>
      <c r="N1220" s="147" t="str">
        <f t="shared" si="2"/>
        <v/>
      </c>
      <c r="O1220" s="147" t="str">
        <f t="shared" si="21"/>
        <v/>
      </c>
      <c r="P1220" s="147" t="str">
        <f>IFERROR(__xludf.DUMMYFUNCTION("if(C1220="""","""",iferror(if(row()&lt;&gt;2,INDEX(arrayformula(filter($Q$2:$Q1219,$C$2:$C1219&lt;&gt;"""",row($C$2:$C1219)=max(if($C$2:$C1219=C1220,row($C$2:$C1219),0)))) ,1),0),0))"),"")</f>
        <v/>
      </c>
      <c r="Q1220" s="147" t="str">
        <f t="shared" si="22"/>
        <v/>
      </c>
      <c r="R1220" s="147" t="str">
        <f t="shared" si="23"/>
        <v/>
      </c>
      <c r="S1220" s="147" t="str">
        <f t="shared" si="24"/>
        <v/>
      </c>
      <c r="T1220" s="147" t="str">
        <f t="shared" si="7"/>
        <v/>
      </c>
      <c r="U1220" s="150" t="str">
        <f t="shared" si="8"/>
        <v/>
      </c>
      <c r="V1220" s="151" t="str">
        <f>IFERROR(VLOOKUP(C1220,Ativos!$A$1:$G2000,5,),)</f>
        <v/>
      </c>
    </row>
    <row r="1221" ht="21.0" customHeight="1">
      <c r="A1221" s="152"/>
      <c r="B1221" s="160"/>
      <c r="C1221" s="153"/>
      <c r="D1221" s="154"/>
      <c r="E1221" s="139"/>
      <c r="F1221" s="139"/>
      <c r="G1221" s="139"/>
      <c r="H1221" s="135"/>
      <c r="I1221" s="141"/>
      <c r="J1221" s="147" t="str">
        <f>IFERROR(__xludf.DUMMYFUNCTION("IF(ISBLANK(A1221),IFERROR(1/0),IF(COUNT(FILTER(F:F,A:A=A1221))&gt;1,TRUNC(N1221*F1221/SUM(FILTER(N:N,A:A=A1221)),3),F1221))"),"")</f>
        <v/>
      </c>
      <c r="K1221" s="147" t="str">
        <f>IFERROR(__xludf.DUMMYFUNCTION("IF(ISBLANK(A1221),IFERROR(1/0),IF(COUNT(FILTER(G:G,((A:A=A1221)*(B:B=""V""))))&gt;1,TRUNC(N1221*G1221/SUM(FILTER(N:N,((A:A=A1221)*(B:B=""V"")))),3),G1221))"),"")</f>
        <v/>
      </c>
      <c r="L1221" s="148" t="str">
        <f>IFERROR(__xludf.DUMMYFUNCTION("if($C1221="""","""",iferror(if(row()&lt;&gt;2,INDEX(arrayformula(filter($M$2:$M1220,$C$2:$C1220&lt;&gt;"""",row($C$2:$C1220)=max(if($C$2:$C1220=C1221,row($C$2:$C1220),0)))) ,1),0),0))"),"")</f>
        <v/>
      </c>
      <c r="M1221" s="148" t="str">
        <f t="shared" si="1"/>
        <v/>
      </c>
      <c r="N1221" s="147" t="str">
        <f t="shared" si="2"/>
        <v/>
      </c>
      <c r="O1221" s="147" t="str">
        <f t="shared" si="21"/>
        <v/>
      </c>
      <c r="P1221" s="147" t="str">
        <f>IFERROR(__xludf.DUMMYFUNCTION("if(C1221="""","""",iferror(if(row()&lt;&gt;2,INDEX(arrayformula(filter($Q$2:$Q1220,$C$2:$C1220&lt;&gt;"""",row($C$2:$C1220)=max(if($C$2:$C1220=C1221,row($C$2:$C1220),0)))) ,1),0),0))"),"")</f>
        <v/>
      </c>
      <c r="Q1221" s="147" t="str">
        <f t="shared" si="22"/>
        <v/>
      </c>
      <c r="R1221" s="147" t="str">
        <f t="shared" si="23"/>
        <v/>
      </c>
      <c r="S1221" s="147" t="str">
        <f t="shared" si="24"/>
        <v/>
      </c>
      <c r="T1221" s="147" t="str">
        <f t="shared" si="7"/>
        <v/>
      </c>
      <c r="U1221" s="150" t="str">
        <f t="shared" si="8"/>
        <v/>
      </c>
      <c r="V1221" s="151" t="str">
        <f>IFERROR(VLOOKUP(C1221,Ativos!$A$1:$G2000,5,),)</f>
        <v/>
      </c>
    </row>
    <row r="1222" ht="21.0" customHeight="1">
      <c r="A1222" s="152"/>
      <c r="B1222" s="160"/>
      <c r="C1222" s="153"/>
      <c r="D1222" s="154"/>
      <c r="E1222" s="139"/>
      <c r="F1222" s="139"/>
      <c r="G1222" s="139"/>
      <c r="H1222" s="135"/>
      <c r="I1222" s="141"/>
      <c r="J1222" s="147" t="str">
        <f>IFERROR(__xludf.DUMMYFUNCTION("IF(ISBLANK(A1222),IFERROR(1/0),IF(COUNT(FILTER(F:F,A:A=A1222))&gt;1,TRUNC(N1222*F1222/SUM(FILTER(N:N,A:A=A1222)),3),F1222))"),"")</f>
        <v/>
      </c>
      <c r="K1222" s="147" t="str">
        <f>IFERROR(__xludf.DUMMYFUNCTION("IF(ISBLANK(A1222),IFERROR(1/0),IF(COUNT(FILTER(G:G,((A:A=A1222)*(B:B=""V""))))&gt;1,TRUNC(N1222*G1222/SUM(FILTER(N:N,((A:A=A1222)*(B:B=""V"")))),3),G1222))"),"")</f>
        <v/>
      </c>
      <c r="L1222" s="148" t="str">
        <f>IFERROR(__xludf.DUMMYFUNCTION("if($C1222="""","""",iferror(if(row()&lt;&gt;2,INDEX(arrayformula(filter($M$2:$M1221,$C$2:$C1221&lt;&gt;"""",row($C$2:$C1221)=max(if($C$2:$C1221=C1222,row($C$2:$C1221),0)))) ,1),0),0))"),"")</f>
        <v/>
      </c>
      <c r="M1222" s="148" t="str">
        <f t="shared" si="1"/>
        <v/>
      </c>
      <c r="N1222" s="147" t="str">
        <f t="shared" si="2"/>
        <v/>
      </c>
      <c r="O1222" s="147" t="str">
        <f t="shared" si="21"/>
        <v/>
      </c>
      <c r="P1222" s="147" t="str">
        <f>IFERROR(__xludf.DUMMYFUNCTION("if(C1222="""","""",iferror(if(row()&lt;&gt;2,INDEX(arrayformula(filter($Q$2:$Q1221,$C$2:$C1221&lt;&gt;"""",row($C$2:$C1221)=max(if($C$2:$C1221=C1222,row($C$2:$C1221),0)))) ,1),0),0))"),"")</f>
        <v/>
      </c>
      <c r="Q1222" s="147" t="str">
        <f t="shared" si="22"/>
        <v/>
      </c>
      <c r="R1222" s="147" t="str">
        <f t="shared" si="23"/>
        <v/>
      </c>
      <c r="S1222" s="147" t="str">
        <f t="shared" si="24"/>
        <v/>
      </c>
      <c r="T1222" s="147" t="str">
        <f t="shared" si="7"/>
        <v/>
      </c>
      <c r="U1222" s="150" t="str">
        <f t="shared" si="8"/>
        <v/>
      </c>
      <c r="V1222" s="151" t="str">
        <f>IFERROR(VLOOKUP(C1222,Ativos!$A$1:$G2000,5,),)</f>
        <v/>
      </c>
    </row>
    <row r="1223" ht="21.0" customHeight="1">
      <c r="A1223" s="152"/>
      <c r="B1223" s="160"/>
      <c r="C1223" s="153"/>
      <c r="D1223" s="154"/>
      <c r="E1223" s="139"/>
      <c r="F1223" s="139"/>
      <c r="G1223" s="139"/>
      <c r="H1223" s="135"/>
      <c r="I1223" s="141"/>
      <c r="J1223" s="147" t="str">
        <f>IFERROR(__xludf.DUMMYFUNCTION("IF(ISBLANK(A1223),IFERROR(1/0),IF(COUNT(FILTER(F:F,A:A=A1223))&gt;1,TRUNC(N1223*F1223/SUM(FILTER(N:N,A:A=A1223)),3),F1223))"),"")</f>
        <v/>
      </c>
      <c r="K1223" s="147" t="str">
        <f>IFERROR(__xludf.DUMMYFUNCTION("IF(ISBLANK(A1223),IFERROR(1/0),IF(COUNT(FILTER(G:G,((A:A=A1223)*(B:B=""V""))))&gt;1,TRUNC(N1223*G1223/SUM(FILTER(N:N,((A:A=A1223)*(B:B=""V"")))),3),G1223))"),"")</f>
        <v/>
      </c>
      <c r="L1223" s="148" t="str">
        <f>IFERROR(__xludf.DUMMYFUNCTION("if($C1223="""","""",iferror(if(row()&lt;&gt;2,INDEX(arrayformula(filter($M$2:$M1222,$C$2:$C1222&lt;&gt;"""",row($C$2:$C1222)=max(if($C$2:$C1222=C1223,row($C$2:$C1222),0)))) ,1),0),0))"),"")</f>
        <v/>
      </c>
      <c r="M1223" s="148" t="str">
        <f t="shared" si="1"/>
        <v/>
      </c>
      <c r="N1223" s="147" t="str">
        <f t="shared" si="2"/>
        <v/>
      </c>
      <c r="O1223" s="147" t="str">
        <f t="shared" si="21"/>
        <v/>
      </c>
      <c r="P1223" s="147" t="str">
        <f>IFERROR(__xludf.DUMMYFUNCTION("if(C1223="""","""",iferror(if(row()&lt;&gt;2,INDEX(arrayformula(filter($Q$2:$Q1222,$C$2:$C1222&lt;&gt;"""",row($C$2:$C1222)=max(if($C$2:$C1222=C1223,row($C$2:$C1222),0)))) ,1),0),0))"),"")</f>
        <v/>
      </c>
      <c r="Q1223" s="147" t="str">
        <f t="shared" si="22"/>
        <v/>
      </c>
      <c r="R1223" s="147" t="str">
        <f t="shared" si="23"/>
        <v/>
      </c>
      <c r="S1223" s="147" t="str">
        <f t="shared" si="24"/>
        <v/>
      </c>
      <c r="T1223" s="147" t="str">
        <f t="shared" si="7"/>
        <v/>
      </c>
      <c r="U1223" s="150" t="str">
        <f t="shared" si="8"/>
        <v/>
      </c>
      <c r="V1223" s="151" t="str">
        <f>IFERROR(VLOOKUP(C1223,Ativos!$A$1:$G2000,5,),)</f>
        <v/>
      </c>
    </row>
    <row r="1224" ht="21.0" customHeight="1">
      <c r="A1224" s="152"/>
      <c r="B1224" s="160"/>
      <c r="C1224" s="153"/>
      <c r="D1224" s="154"/>
      <c r="E1224" s="139"/>
      <c r="F1224" s="139"/>
      <c r="G1224" s="139"/>
      <c r="H1224" s="135"/>
      <c r="I1224" s="141"/>
      <c r="J1224" s="147" t="str">
        <f>IFERROR(__xludf.DUMMYFUNCTION("IF(ISBLANK(A1224),IFERROR(1/0),IF(COUNT(FILTER(F:F,A:A=A1224))&gt;1,TRUNC(N1224*F1224/SUM(FILTER(N:N,A:A=A1224)),3),F1224))"),"")</f>
        <v/>
      </c>
      <c r="K1224" s="147" t="str">
        <f>IFERROR(__xludf.DUMMYFUNCTION("IF(ISBLANK(A1224),IFERROR(1/0),IF(COUNT(FILTER(G:G,((A:A=A1224)*(B:B=""V""))))&gt;1,TRUNC(N1224*G1224/SUM(FILTER(N:N,((A:A=A1224)*(B:B=""V"")))),3),G1224))"),"")</f>
        <v/>
      </c>
      <c r="L1224" s="148" t="str">
        <f>IFERROR(__xludf.DUMMYFUNCTION("if($C1224="""","""",iferror(if(row()&lt;&gt;2,INDEX(arrayformula(filter($M$2:$M1223,$C$2:$C1223&lt;&gt;"""",row($C$2:$C1223)=max(if($C$2:$C1223=C1224,row($C$2:$C1223),0)))) ,1),0),0))"),"")</f>
        <v/>
      </c>
      <c r="M1224" s="148" t="str">
        <f t="shared" si="1"/>
        <v/>
      </c>
      <c r="N1224" s="147" t="str">
        <f t="shared" si="2"/>
        <v/>
      </c>
      <c r="O1224" s="147" t="str">
        <f t="shared" si="21"/>
        <v/>
      </c>
      <c r="P1224" s="147" t="str">
        <f>IFERROR(__xludf.DUMMYFUNCTION("if(C1224="""","""",iferror(if(row()&lt;&gt;2,INDEX(arrayformula(filter($Q$2:$Q1223,$C$2:$C1223&lt;&gt;"""",row($C$2:$C1223)=max(if($C$2:$C1223=C1224,row($C$2:$C1223),0)))) ,1),0),0))"),"")</f>
        <v/>
      </c>
      <c r="Q1224" s="147" t="str">
        <f t="shared" si="22"/>
        <v/>
      </c>
      <c r="R1224" s="147" t="str">
        <f t="shared" si="23"/>
        <v/>
      </c>
      <c r="S1224" s="147" t="str">
        <f t="shared" si="24"/>
        <v/>
      </c>
      <c r="T1224" s="147" t="str">
        <f t="shared" si="7"/>
        <v/>
      </c>
      <c r="U1224" s="150" t="str">
        <f t="shared" si="8"/>
        <v/>
      </c>
      <c r="V1224" s="151" t="str">
        <f>IFERROR(VLOOKUP(C1224,Ativos!$A$1:$G2000,5,),)</f>
        <v/>
      </c>
    </row>
    <row r="1225" ht="21.0" customHeight="1">
      <c r="A1225" s="152"/>
      <c r="B1225" s="160"/>
      <c r="C1225" s="153"/>
      <c r="D1225" s="154"/>
      <c r="E1225" s="139"/>
      <c r="F1225" s="139"/>
      <c r="G1225" s="139"/>
      <c r="H1225" s="135"/>
      <c r="I1225" s="141"/>
      <c r="J1225" s="147" t="str">
        <f>IFERROR(__xludf.DUMMYFUNCTION("IF(ISBLANK(A1225),IFERROR(1/0),IF(COUNT(FILTER(F:F,A:A=A1225))&gt;1,TRUNC(N1225*F1225/SUM(FILTER(N:N,A:A=A1225)),3),F1225))"),"")</f>
        <v/>
      </c>
      <c r="K1225" s="147" t="str">
        <f>IFERROR(__xludf.DUMMYFUNCTION("IF(ISBLANK(A1225),IFERROR(1/0),IF(COUNT(FILTER(G:G,((A:A=A1225)*(B:B=""V""))))&gt;1,TRUNC(N1225*G1225/SUM(FILTER(N:N,((A:A=A1225)*(B:B=""V"")))),3),G1225))"),"")</f>
        <v/>
      </c>
      <c r="L1225" s="148" t="str">
        <f>IFERROR(__xludf.DUMMYFUNCTION("if($C1225="""","""",iferror(if(row()&lt;&gt;2,INDEX(arrayformula(filter($M$2:$M1224,$C$2:$C1224&lt;&gt;"""",row($C$2:$C1224)=max(if($C$2:$C1224=C1225,row($C$2:$C1224),0)))) ,1),0),0))"),"")</f>
        <v/>
      </c>
      <c r="M1225" s="148" t="str">
        <f t="shared" si="1"/>
        <v/>
      </c>
      <c r="N1225" s="147" t="str">
        <f t="shared" si="2"/>
        <v/>
      </c>
      <c r="O1225" s="147" t="str">
        <f t="shared" si="21"/>
        <v/>
      </c>
      <c r="P1225" s="147" t="str">
        <f>IFERROR(__xludf.DUMMYFUNCTION("if(C1225="""","""",iferror(if(row()&lt;&gt;2,INDEX(arrayformula(filter($Q$2:$Q1224,$C$2:$C1224&lt;&gt;"""",row($C$2:$C1224)=max(if($C$2:$C1224=C1225,row($C$2:$C1224),0)))) ,1),0),0))"),"")</f>
        <v/>
      </c>
      <c r="Q1225" s="147" t="str">
        <f t="shared" si="22"/>
        <v/>
      </c>
      <c r="R1225" s="147" t="str">
        <f t="shared" si="23"/>
        <v/>
      </c>
      <c r="S1225" s="147" t="str">
        <f t="shared" si="24"/>
        <v/>
      </c>
      <c r="T1225" s="147" t="str">
        <f t="shared" si="7"/>
        <v/>
      </c>
      <c r="U1225" s="150" t="str">
        <f t="shared" si="8"/>
        <v/>
      </c>
      <c r="V1225" s="151" t="str">
        <f>IFERROR(VLOOKUP(C1225,Ativos!$A$1:$G2000,5,),)</f>
        <v/>
      </c>
    </row>
    <row r="1226" ht="21.0" customHeight="1">
      <c r="A1226" s="152"/>
      <c r="B1226" s="160"/>
      <c r="C1226" s="153"/>
      <c r="D1226" s="154"/>
      <c r="E1226" s="139"/>
      <c r="F1226" s="139"/>
      <c r="G1226" s="139"/>
      <c r="H1226" s="135"/>
      <c r="I1226" s="141"/>
      <c r="J1226" s="147" t="str">
        <f>IFERROR(__xludf.DUMMYFUNCTION("IF(ISBLANK(A1226),IFERROR(1/0),IF(COUNT(FILTER(F:F,A:A=A1226))&gt;1,TRUNC(N1226*F1226/SUM(FILTER(N:N,A:A=A1226)),3),F1226))"),"")</f>
        <v/>
      </c>
      <c r="K1226" s="147" t="str">
        <f>IFERROR(__xludf.DUMMYFUNCTION("IF(ISBLANK(A1226),IFERROR(1/0),IF(COUNT(FILTER(G:G,((A:A=A1226)*(B:B=""V""))))&gt;1,TRUNC(N1226*G1226/SUM(FILTER(N:N,((A:A=A1226)*(B:B=""V"")))),3),G1226))"),"")</f>
        <v/>
      </c>
      <c r="L1226" s="148" t="str">
        <f>IFERROR(__xludf.DUMMYFUNCTION("if($C1226="""","""",iferror(if(row()&lt;&gt;2,INDEX(arrayformula(filter($M$2:$M1225,$C$2:$C1225&lt;&gt;"""",row($C$2:$C1225)=max(if($C$2:$C1225=C1226,row($C$2:$C1225),0)))) ,1),0),0))"),"")</f>
        <v/>
      </c>
      <c r="M1226" s="148" t="str">
        <f t="shared" si="1"/>
        <v/>
      </c>
      <c r="N1226" s="147" t="str">
        <f t="shared" si="2"/>
        <v/>
      </c>
      <c r="O1226" s="147" t="str">
        <f t="shared" si="21"/>
        <v/>
      </c>
      <c r="P1226" s="147" t="str">
        <f>IFERROR(__xludf.DUMMYFUNCTION("if(C1226="""","""",iferror(if(row()&lt;&gt;2,INDEX(arrayformula(filter($Q$2:$Q1225,$C$2:$C1225&lt;&gt;"""",row($C$2:$C1225)=max(if($C$2:$C1225=C1226,row($C$2:$C1225),0)))) ,1),0),0))"),"")</f>
        <v/>
      </c>
      <c r="Q1226" s="147" t="str">
        <f t="shared" si="22"/>
        <v/>
      </c>
      <c r="R1226" s="147" t="str">
        <f t="shared" si="23"/>
        <v/>
      </c>
      <c r="S1226" s="147" t="str">
        <f t="shared" si="24"/>
        <v/>
      </c>
      <c r="T1226" s="147" t="str">
        <f t="shared" si="7"/>
        <v/>
      </c>
      <c r="U1226" s="150" t="str">
        <f t="shared" si="8"/>
        <v/>
      </c>
      <c r="V1226" s="151" t="str">
        <f>IFERROR(VLOOKUP(C1226,Ativos!$A$1:$G2000,5,),)</f>
        <v/>
      </c>
    </row>
    <row r="1227" ht="21.0" customHeight="1">
      <c r="A1227" s="152"/>
      <c r="B1227" s="160"/>
      <c r="C1227" s="153"/>
      <c r="D1227" s="154"/>
      <c r="E1227" s="139"/>
      <c r="F1227" s="139"/>
      <c r="G1227" s="139"/>
      <c r="H1227" s="135"/>
      <c r="I1227" s="141"/>
      <c r="J1227" s="147" t="str">
        <f>IFERROR(__xludf.DUMMYFUNCTION("IF(ISBLANK(A1227),IFERROR(1/0),IF(COUNT(FILTER(F:F,A:A=A1227))&gt;1,TRUNC(N1227*F1227/SUM(FILTER(N:N,A:A=A1227)),3),F1227))"),"")</f>
        <v/>
      </c>
      <c r="K1227" s="147" t="str">
        <f>IFERROR(__xludf.DUMMYFUNCTION("IF(ISBLANK(A1227),IFERROR(1/0),IF(COUNT(FILTER(G:G,((A:A=A1227)*(B:B=""V""))))&gt;1,TRUNC(N1227*G1227/SUM(FILTER(N:N,((A:A=A1227)*(B:B=""V"")))),3),G1227))"),"")</f>
        <v/>
      </c>
      <c r="L1227" s="148" t="str">
        <f>IFERROR(__xludf.DUMMYFUNCTION("if($C1227="""","""",iferror(if(row()&lt;&gt;2,INDEX(arrayformula(filter($M$2:$M1226,$C$2:$C1226&lt;&gt;"""",row($C$2:$C1226)=max(if($C$2:$C1226=C1227,row($C$2:$C1226),0)))) ,1),0),0))"),"")</f>
        <v/>
      </c>
      <c r="M1227" s="148" t="str">
        <f t="shared" si="1"/>
        <v/>
      </c>
      <c r="N1227" s="147" t="str">
        <f t="shared" si="2"/>
        <v/>
      </c>
      <c r="O1227" s="147" t="str">
        <f t="shared" si="21"/>
        <v/>
      </c>
      <c r="P1227" s="147" t="str">
        <f>IFERROR(__xludf.DUMMYFUNCTION("if(C1227="""","""",iferror(if(row()&lt;&gt;2,INDEX(arrayformula(filter($Q$2:$Q1226,$C$2:$C1226&lt;&gt;"""",row($C$2:$C1226)=max(if($C$2:$C1226=C1227,row($C$2:$C1226),0)))) ,1),0),0))"),"")</f>
        <v/>
      </c>
      <c r="Q1227" s="147" t="str">
        <f t="shared" si="22"/>
        <v/>
      </c>
      <c r="R1227" s="147" t="str">
        <f t="shared" si="23"/>
        <v/>
      </c>
      <c r="S1227" s="147" t="str">
        <f t="shared" si="24"/>
        <v/>
      </c>
      <c r="T1227" s="147" t="str">
        <f t="shared" si="7"/>
        <v/>
      </c>
      <c r="U1227" s="150" t="str">
        <f t="shared" si="8"/>
        <v/>
      </c>
      <c r="V1227" s="151" t="str">
        <f>IFERROR(VLOOKUP(C1227,Ativos!$A$1:$G2000,5,),)</f>
        <v/>
      </c>
    </row>
    <row r="1228" ht="21.0" customHeight="1">
      <c r="A1228" s="152"/>
      <c r="B1228" s="160"/>
      <c r="C1228" s="153"/>
      <c r="D1228" s="154"/>
      <c r="E1228" s="139"/>
      <c r="F1228" s="139"/>
      <c r="G1228" s="139"/>
      <c r="H1228" s="135"/>
      <c r="I1228" s="141"/>
      <c r="J1228" s="147" t="str">
        <f>IFERROR(__xludf.DUMMYFUNCTION("IF(ISBLANK(A1228),IFERROR(1/0),IF(COUNT(FILTER(F:F,A:A=A1228))&gt;1,TRUNC(N1228*F1228/SUM(FILTER(N:N,A:A=A1228)),3),F1228))"),"")</f>
        <v/>
      </c>
      <c r="K1228" s="147" t="str">
        <f>IFERROR(__xludf.DUMMYFUNCTION("IF(ISBLANK(A1228),IFERROR(1/0),IF(COUNT(FILTER(G:G,((A:A=A1228)*(B:B=""V""))))&gt;1,TRUNC(N1228*G1228/SUM(FILTER(N:N,((A:A=A1228)*(B:B=""V"")))),3),G1228))"),"")</f>
        <v/>
      </c>
      <c r="L1228" s="148" t="str">
        <f>IFERROR(__xludf.DUMMYFUNCTION("if($C1228="""","""",iferror(if(row()&lt;&gt;2,INDEX(arrayformula(filter($M$2:$M1227,$C$2:$C1227&lt;&gt;"""",row($C$2:$C1227)=max(if($C$2:$C1227=C1228,row($C$2:$C1227),0)))) ,1),0),0))"),"")</f>
        <v/>
      </c>
      <c r="M1228" s="148" t="str">
        <f t="shared" si="1"/>
        <v/>
      </c>
      <c r="N1228" s="147" t="str">
        <f t="shared" si="2"/>
        <v/>
      </c>
      <c r="O1228" s="147" t="str">
        <f t="shared" si="21"/>
        <v/>
      </c>
      <c r="P1228" s="147" t="str">
        <f>IFERROR(__xludf.DUMMYFUNCTION("if(C1228="""","""",iferror(if(row()&lt;&gt;2,INDEX(arrayformula(filter($Q$2:$Q1227,$C$2:$C1227&lt;&gt;"""",row($C$2:$C1227)=max(if($C$2:$C1227=C1228,row($C$2:$C1227),0)))) ,1),0),0))"),"")</f>
        <v/>
      </c>
      <c r="Q1228" s="147" t="str">
        <f t="shared" si="22"/>
        <v/>
      </c>
      <c r="R1228" s="147" t="str">
        <f t="shared" si="23"/>
        <v/>
      </c>
      <c r="S1228" s="147" t="str">
        <f t="shared" si="24"/>
        <v/>
      </c>
      <c r="T1228" s="147" t="str">
        <f t="shared" si="7"/>
        <v/>
      </c>
      <c r="U1228" s="150" t="str">
        <f t="shared" si="8"/>
        <v/>
      </c>
      <c r="V1228" s="151" t="str">
        <f>IFERROR(VLOOKUP(C1228,Ativos!$A$1:$G2000,5,),)</f>
        <v/>
      </c>
    </row>
    <row r="1229" ht="21.0" customHeight="1">
      <c r="A1229" s="152"/>
      <c r="B1229" s="160"/>
      <c r="C1229" s="153"/>
      <c r="D1229" s="154"/>
      <c r="E1229" s="139"/>
      <c r="F1229" s="139"/>
      <c r="G1229" s="139"/>
      <c r="H1229" s="135"/>
      <c r="I1229" s="141"/>
      <c r="J1229" s="147" t="str">
        <f>IFERROR(__xludf.DUMMYFUNCTION("IF(ISBLANK(A1229),IFERROR(1/0),IF(COUNT(FILTER(F:F,A:A=A1229))&gt;1,TRUNC(N1229*F1229/SUM(FILTER(N:N,A:A=A1229)),3),F1229))"),"")</f>
        <v/>
      </c>
      <c r="K1229" s="147" t="str">
        <f>IFERROR(__xludf.DUMMYFUNCTION("IF(ISBLANK(A1229),IFERROR(1/0),IF(COUNT(FILTER(G:G,((A:A=A1229)*(B:B=""V""))))&gt;1,TRUNC(N1229*G1229/SUM(FILTER(N:N,((A:A=A1229)*(B:B=""V"")))),3),G1229))"),"")</f>
        <v/>
      </c>
      <c r="L1229" s="148" t="str">
        <f>IFERROR(__xludf.DUMMYFUNCTION("if($C1229="""","""",iferror(if(row()&lt;&gt;2,INDEX(arrayformula(filter($M$2:$M1228,$C$2:$C1228&lt;&gt;"""",row($C$2:$C1228)=max(if($C$2:$C1228=C1229,row($C$2:$C1228),0)))) ,1),0),0))"),"")</f>
        <v/>
      </c>
      <c r="M1229" s="148" t="str">
        <f t="shared" si="1"/>
        <v/>
      </c>
      <c r="N1229" s="147" t="str">
        <f t="shared" si="2"/>
        <v/>
      </c>
      <c r="O1229" s="147" t="str">
        <f t="shared" si="21"/>
        <v/>
      </c>
      <c r="P1229" s="147" t="str">
        <f>IFERROR(__xludf.DUMMYFUNCTION("if(C1229="""","""",iferror(if(row()&lt;&gt;2,INDEX(arrayformula(filter($Q$2:$Q1228,$C$2:$C1228&lt;&gt;"""",row($C$2:$C1228)=max(if($C$2:$C1228=C1229,row($C$2:$C1228),0)))) ,1),0),0))"),"")</f>
        <v/>
      </c>
      <c r="Q1229" s="147" t="str">
        <f t="shared" si="22"/>
        <v/>
      </c>
      <c r="R1229" s="147" t="str">
        <f t="shared" si="23"/>
        <v/>
      </c>
      <c r="S1229" s="147" t="str">
        <f t="shared" si="24"/>
        <v/>
      </c>
      <c r="T1229" s="147" t="str">
        <f t="shared" si="7"/>
        <v/>
      </c>
      <c r="U1229" s="150" t="str">
        <f t="shared" si="8"/>
        <v/>
      </c>
      <c r="V1229" s="151" t="str">
        <f>IFERROR(VLOOKUP(C1229,Ativos!$A$1:$G2000,5,),)</f>
        <v/>
      </c>
    </row>
    <row r="1230" ht="21.0" customHeight="1">
      <c r="A1230" s="152"/>
      <c r="B1230" s="160"/>
      <c r="C1230" s="153"/>
      <c r="D1230" s="154"/>
      <c r="E1230" s="139"/>
      <c r="F1230" s="139"/>
      <c r="G1230" s="139"/>
      <c r="H1230" s="135"/>
      <c r="I1230" s="141"/>
      <c r="J1230" s="147" t="str">
        <f>IFERROR(__xludf.DUMMYFUNCTION("IF(ISBLANK(A1230),IFERROR(1/0),IF(COUNT(FILTER(F:F,A:A=A1230))&gt;1,TRUNC(N1230*F1230/SUM(FILTER(N:N,A:A=A1230)),3),F1230))"),"")</f>
        <v/>
      </c>
      <c r="K1230" s="147" t="str">
        <f>IFERROR(__xludf.DUMMYFUNCTION("IF(ISBLANK(A1230),IFERROR(1/0),IF(COUNT(FILTER(G:G,((A:A=A1230)*(B:B=""V""))))&gt;1,TRUNC(N1230*G1230/SUM(FILTER(N:N,((A:A=A1230)*(B:B=""V"")))),3),G1230))"),"")</f>
        <v/>
      </c>
      <c r="L1230" s="148" t="str">
        <f>IFERROR(__xludf.DUMMYFUNCTION("if($C1230="""","""",iferror(if(row()&lt;&gt;2,INDEX(arrayformula(filter($M$2:$M1229,$C$2:$C1229&lt;&gt;"""",row($C$2:$C1229)=max(if($C$2:$C1229=C1230,row($C$2:$C1229),0)))) ,1),0),0))"),"")</f>
        <v/>
      </c>
      <c r="M1230" s="148" t="str">
        <f t="shared" si="1"/>
        <v/>
      </c>
      <c r="N1230" s="147" t="str">
        <f t="shared" si="2"/>
        <v/>
      </c>
      <c r="O1230" s="147" t="str">
        <f t="shared" si="21"/>
        <v/>
      </c>
      <c r="P1230" s="147" t="str">
        <f>IFERROR(__xludf.DUMMYFUNCTION("if(C1230="""","""",iferror(if(row()&lt;&gt;2,INDEX(arrayformula(filter($Q$2:$Q1229,$C$2:$C1229&lt;&gt;"""",row($C$2:$C1229)=max(if($C$2:$C1229=C1230,row($C$2:$C1229),0)))) ,1),0),0))"),"")</f>
        <v/>
      </c>
      <c r="Q1230" s="147" t="str">
        <f t="shared" si="22"/>
        <v/>
      </c>
      <c r="R1230" s="147" t="str">
        <f t="shared" si="23"/>
        <v/>
      </c>
      <c r="S1230" s="147" t="str">
        <f t="shared" si="24"/>
        <v/>
      </c>
      <c r="T1230" s="147" t="str">
        <f t="shared" si="7"/>
        <v/>
      </c>
      <c r="U1230" s="150" t="str">
        <f t="shared" si="8"/>
        <v/>
      </c>
      <c r="V1230" s="151" t="str">
        <f>IFERROR(VLOOKUP(C1230,Ativos!$A$1:$G2000,5,),)</f>
        <v/>
      </c>
    </row>
    <row r="1231" ht="21.0" customHeight="1">
      <c r="A1231" s="152"/>
      <c r="B1231" s="160"/>
      <c r="C1231" s="153"/>
      <c r="D1231" s="154"/>
      <c r="E1231" s="139"/>
      <c r="F1231" s="139"/>
      <c r="G1231" s="139"/>
      <c r="H1231" s="135"/>
      <c r="I1231" s="141"/>
      <c r="J1231" s="147" t="str">
        <f>IFERROR(__xludf.DUMMYFUNCTION("IF(ISBLANK(A1231),IFERROR(1/0),IF(COUNT(FILTER(F:F,A:A=A1231))&gt;1,TRUNC(N1231*F1231/SUM(FILTER(N:N,A:A=A1231)),3),F1231))"),"")</f>
        <v/>
      </c>
      <c r="K1231" s="147" t="str">
        <f>IFERROR(__xludf.DUMMYFUNCTION("IF(ISBLANK(A1231),IFERROR(1/0),IF(COUNT(FILTER(G:G,((A:A=A1231)*(B:B=""V""))))&gt;1,TRUNC(N1231*G1231/SUM(FILTER(N:N,((A:A=A1231)*(B:B=""V"")))),3),G1231))"),"")</f>
        <v/>
      </c>
      <c r="L1231" s="148" t="str">
        <f>IFERROR(__xludf.DUMMYFUNCTION("if($C1231="""","""",iferror(if(row()&lt;&gt;2,INDEX(arrayformula(filter($M$2:$M1230,$C$2:$C1230&lt;&gt;"""",row($C$2:$C1230)=max(if($C$2:$C1230=C1231,row($C$2:$C1230),0)))) ,1),0),0))"),"")</f>
        <v/>
      </c>
      <c r="M1231" s="148" t="str">
        <f t="shared" si="1"/>
        <v/>
      </c>
      <c r="N1231" s="147" t="str">
        <f t="shared" si="2"/>
        <v/>
      </c>
      <c r="O1231" s="147" t="str">
        <f t="shared" si="21"/>
        <v/>
      </c>
      <c r="P1231" s="147" t="str">
        <f>IFERROR(__xludf.DUMMYFUNCTION("if(C1231="""","""",iferror(if(row()&lt;&gt;2,INDEX(arrayformula(filter($Q$2:$Q1230,$C$2:$C1230&lt;&gt;"""",row($C$2:$C1230)=max(if($C$2:$C1230=C1231,row($C$2:$C1230),0)))) ,1),0),0))"),"")</f>
        <v/>
      </c>
      <c r="Q1231" s="147" t="str">
        <f t="shared" si="22"/>
        <v/>
      </c>
      <c r="R1231" s="147" t="str">
        <f t="shared" si="23"/>
        <v/>
      </c>
      <c r="S1231" s="147" t="str">
        <f t="shared" si="24"/>
        <v/>
      </c>
      <c r="T1231" s="147" t="str">
        <f t="shared" si="7"/>
        <v/>
      </c>
      <c r="U1231" s="150" t="str">
        <f t="shared" si="8"/>
        <v/>
      </c>
      <c r="V1231" s="151" t="str">
        <f>IFERROR(VLOOKUP(C1231,Ativos!$A$1:$G2000,5,),)</f>
        <v/>
      </c>
    </row>
    <row r="1232" ht="21.0" customHeight="1">
      <c r="A1232" s="152"/>
      <c r="B1232" s="160"/>
      <c r="C1232" s="153"/>
      <c r="D1232" s="154"/>
      <c r="E1232" s="139"/>
      <c r="F1232" s="139"/>
      <c r="G1232" s="139"/>
      <c r="H1232" s="135"/>
      <c r="I1232" s="141"/>
      <c r="J1232" s="147" t="str">
        <f>IFERROR(__xludf.DUMMYFUNCTION("IF(ISBLANK(A1232),IFERROR(1/0),IF(COUNT(FILTER(F:F,A:A=A1232))&gt;1,TRUNC(N1232*F1232/SUM(FILTER(N:N,A:A=A1232)),3),F1232))"),"")</f>
        <v/>
      </c>
      <c r="K1232" s="147" t="str">
        <f>IFERROR(__xludf.DUMMYFUNCTION("IF(ISBLANK(A1232),IFERROR(1/0),IF(COUNT(FILTER(G:G,((A:A=A1232)*(B:B=""V""))))&gt;1,TRUNC(N1232*G1232/SUM(FILTER(N:N,((A:A=A1232)*(B:B=""V"")))),3),G1232))"),"")</f>
        <v/>
      </c>
      <c r="L1232" s="148" t="str">
        <f>IFERROR(__xludf.DUMMYFUNCTION("if($C1232="""","""",iferror(if(row()&lt;&gt;2,INDEX(arrayformula(filter($M$2:$M1231,$C$2:$C1231&lt;&gt;"""",row($C$2:$C1231)=max(if($C$2:$C1231=C1232,row($C$2:$C1231),0)))) ,1),0),0))"),"")</f>
        <v/>
      </c>
      <c r="M1232" s="148" t="str">
        <f t="shared" si="1"/>
        <v/>
      </c>
      <c r="N1232" s="147" t="str">
        <f t="shared" si="2"/>
        <v/>
      </c>
      <c r="O1232" s="147" t="str">
        <f t="shared" si="21"/>
        <v/>
      </c>
      <c r="P1232" s="147" t="str">
        <f>IFERROR(__xludf.DUMMYFUNCTION("if(C1232="""","""",iferror(if(row()&lt;&gt;2,INDEX(arrayformula(filter($Q$2:$Q1231,$C$2:$C1231&lt;&gt;"""",row($C$2:$C1231)=max(if($C$2:$C1231=C1232,row($C$2:$C1231),0)))) ,1),0),0))"),"")</f>
        <v/>
      </c>
      <c r="Q1232" s="147" t="str">
        <f t="shared" si="22"/>
        <v/>
      </c>
      <c r="R1232" s="147" t="str">
        <f t="shared" si="23"/>
        <v/>
      </c>
      <c r="S1232" s="147" t="str">
        <f t="shared" si="24"/>
        <v/>
      </c>
      <c r="T1232" s="147" t="str">
        <f t="shared" si="7"/>
        <v/>
      </c>
      <c r="U1232" s="150" t="str">
        <f t="shared" si="8"/>
        <v/>
      </c>
      <c r="V1232" s="151" t="str">
        <f>IFERROR(VLOOKUP(C1232,Ativos!$A$1:$G2000,5,),)</f>
        <v/>
      </c>
    </row>
    <row r="1233" ht="21.0" customHeight="1">
      <c r="A1233" s="152"/>
      <c r="B1233" s="160"/>
      <c r="C1233" s="153"/>
      <c r="D1233" s="154"/>
      <c r="E1233" s="139"/>
      <c r="F1233" s="139"/>
      <c r="G1233" s="139"/>
      <c r="H1233" s="135"/>
      <c r="I1233" s="141"/>
      <c r="J1233" s="147" t="str">
        <f>IFERROR(__xludf.DUMMYFUNCTION("IF(ISBLANK(A1233),IFERROR(1/0),IF(COUNT(FILTER(F:F,A:A=A1233))&gt;1,TRUNC(N1233*F1233/SUM(FILTER(N:N,A:A=A1233)),3),F1233))"),"")</f>
        <v/>
      </c>
      <c r="K1233" s="147" t="str">
        <f>IFERROR(__xludf.DUMMYFUNCTION("IF(ISBLANK(A1233),IFERROR(1/0),IF(COUNT(FILTER(G:G,((A:A=A1233)*(B:B=""V""))))&gt;1,TRUNC(N1233*G1233/SUM(FILTER(N:N,((A:A=A1233)*(B:B=""V"")))),3),G1233))"),"")</f>
        <v/>
      </c>
      <c r="L1233" s="148" t="str">
        <f>IFERROR(__xludf.DUMMYFUNCTION("if($C1233="""","""",iferror(if(row()&lt;&gt;2,INDEX(arrayformula(filter($M$2:$M1232,$C$2:$C1232&lt;&gt;"""",row($C$2:$C1232)=max(if($C$2:$C1232=C1233,row($C$2:$C1232),0)))) ,1),0),0))"),"")</f>
        <v/>
      </c>
      <c r="M1233" s="148" t="str">
        <f t="shared" si="1"/>
        <v/>
      </c>
      <c r="N1233" s="147" t="str">
        <f t="shared" si="2"/>
        <v/>
      </c>
      <c r="O1233" s="147" t="str">
        <f t="shared" si="21"/>
        <v/>
      </c>
      <c r="P1233" s="147" t="str">
        <f>IFERROR(__xludf.DUMMYFUNCTION("if(C1233="""","""",iferror(if(row()&lt;&gt;2,INDEX(arrayformula(filter($Q$2:$Q1232,$C$2:$C1232&lt;&gt;"""",row($C$2:$C1232)=max(if($C$2:$C1232=C1233,row($C$2:$C1232),0)))) ,1),0),0))"),"")</f>
        <v/>
      </c>
      <c r="Q1233" s="147" t="str">
        <f t="shared" si="22"/>
        <v/>
      </c>
      <c r="R1233" s="147" t="str">
        <f t="shared" si="23"/>
        <v/>
      </c>
      <c r="S1233" s="147" t="str">
        <f t="shared" si="24"/>
        <v/>
      </c>
      <c r="T1233" s="147" t="str">
        <f t="shared" si="7"/>
        <v/>
      </c>
      <c r="U1233" s="150" t="str">
        <f t="shared" si="8"/>
        <v/>
      </c>
      <c r="V1233" s="151" t="str">
        <f>IFERROR(VLOOKUP(C1233,Ativos!$A$1:$G2000,5,),)</f>
        <v/>
      </c>
    </row>
    <row r="1234" ht="21.0" customHeight="1">
      <c r="A1234" s="152"/>
      <c r="B1234" s="160"/>
      <c r="C1234" s="153"/>
      <c r="D1234" s="154"/>
      <c r="E1234" s="139"/>
      <c r="F1234" s="139"/>
      <c r="G1234" s="139"/>
      <c r="H1234" s="135"/>
      <c r="I1234" s="141"/>
      <c r="J1234" s="147" t="str">
        <f>IFERROR(__xludf.DUMMYFUNCTION("IF(ISBLANK(A1234),IFERROR(1/0),IF(COUNT(FILTER(F:F,A:A=A1234))&gt;1,TRUNC(N1234*F1234/SUM(FILTER(N:N,A:A=A1234)),3),F1234))"),"")</f>
        <v/>
      </c>
      <c r="K1234" s="147" t="str">
        <f>IFERROR(__xludf.DUMMYFUNCTION("IF(ISBLANK(A1234),IFERROR(1/0),IF(COUNT(FILTER(G:G,((A:A=A1234)*(B:B=""V""))))&gt;1,TRUNC(N1234*G1234/SUM(FILTER(N:N,((A:A=A1234)*(B:B=""V"")))),3),G1234))"),"")</f>
        <v/>
      </c>
      <c r="L1234" s="148" t="str">
        <f>IFERROR(__xludf.DUMMYFUNCTION("if($C1234="""","""",iferror(if(row()&lt;&gt;2,INDEX(arrayformula(filter($M$2:$M1233,$C$2:$C1233&lt;&gt;"""",row($C$2:$C1233)=max(if($C$2:$C1233=C1234,row($C$2:$C1233),0)))) ,1),0),0))"),"")</f>
        <v/>
      </c>
      <c r="M1234" s="148" t="str">
        <f t="shared" si="1"/>
        <v/>
      </c>
      <c r="N1234" s="147" t="str">
        <f t="shared" si="2"/>
        <v/>
      </c>
      <c r="O1234" s="147" t="str">
        <f t="shared" si="21"/>
        <v/>
      </c>
      <c r="P1234" s="147" t="str">
        <f>IFERROR(__xludf.DUMMYFUNCTION("if(C1234="""","""",iferror(if(row()&lt;&gt;2,INDEX(arrayformula(filter($Q$2:$Q1233,$C$2:$C1233&lt;&gt;"""",row($C$2:$C1233)=max(if($C$2:$C1233=C1234,row($C$2:$C1233),0)))) ,1),0),0))"),"")</f>
        <v/>
      </c>
      <c r="Q1234" s="147" t="str">
        <f t="shared" si="22"/>
        <v/>
      </c>
      <c r="R1234" s="147" t="str">
        <f t="shared" si="23"/>
        <v/>
      </c>
      <c r="S1234" s="147" t="str">
        <f t="shared" si="24"/>
        <v/>
      </c>
      <c r="T1234" s="147" t="str">
        <f t="shared" si="7"/>
        <v/>
      </c>
      <c r="U1234" s="150" t="str">
        <f t="shared" si="8"/>
        <v/>
      </c>
      <c r="V1234" s="151" t="str">
        <f>IFERROR(VLOOKUP(C1234,Ativos!$A$1:$G2000,5,),)</f>
        <v/>
      </c>
    </row>
    <row r="1235" ht="21.0" customHeight="1">
      <c r="A1235" s="152"/>
      <c r="B1235" s="160"/>
      <c r="C1235" s="153"/>
      <c r="D1235" s="154"/>
      <c r="E1235" s="139"/>
      <c r="F1235" s="139"/>
      <c r="G1235" s="139"/>
      <c r="H1235" s="135"/>
      <c r="I1235" s="141"/>
      <c r="J1235" s="147" t="str">
        <f>IFERROR(__xludf.DUMMYFUNCTION("IF(ISBLANK(A1235),IFERROR(1/0),IF(COUNT(FILTER(F:F,A:A=A1235))&gt;1,TRUNC(N1235*F1235/SUM(FILTER(N:N,A:A=A1235)),3),F1235))"),"")</f>
        <v/>
      </c>
      <c r="K1235" s="147" t="str">
        <f>IFERROR(__xludf.DUMMYFUNCTION("IF(ISBLANK(A1235),IFERROR(1/0),IF(COUNT(FILTER(G:G,((A:A=A1235)*(B:B=""V""))))&gt;1,TRUNC(N1235*G1235/SUM(FILTER(N:N,((A:A=A1235)*(B:B=""V"")))),3),G1235))"),"")</f>
        <v/>
      </c>
      <c r="L1235" s="148" t="str">
        <f>IFERROR(__xludf.DUMMYFUNCTION("if($C1235="""","""",iferror(if(row()&lt;&gt;2,INDEX(arrayformula(filter($M$2:$M1234,$C$2:$C1234&lt;&gt;"""",row($C$2:$C1234)=max(if($C$2:$C1234=C1235,row($C$2:$C1234),0)))) ,1),0),0))"),"")</f>
        <v/>
      </c>
      <c r="M1235" s="148" t="str">
        <f t="shared" si="1"/>
        <v/>
      </c>
      <c r="N1235" s="147" t="str">
        <f t="shared" si="2"/>
        <v/>
      </c>
      <c r="O1235" s="147" t="str">
        <f t="shared" si="21"/>
        <v/>
      </c>
      <c r="P1235" s="147" t="str">
        <f>IFERROR(__xludf.DUMMYFUNCTION("if(C1235="""","""",iferror(if(row()&lt;&gt;2,INDEX(arrayformula(filter($Q$2:$Q1234,$C$2:$C1234&lt;&gt;"""",row($C$2:$C1234)=max(if($C$2:$C1234=C1235,row($C$2:$C1234),0)))) ,1),0),0))"),"")</f>
        <v/>
      </c>
      <c r="Q1235" s="147" t="str">
        <f t="shared" si="22"/>
        <v/>
      </c>
      <c r="R1235" s="147" t="str">
        <f t="shared" si="23"/>
        <v/>
      </c>
      <c r="S1235" s="147" t="str">
        <f t="shared" si="24"/>
        <v/>
      </c>
      <c r="T1235" s="147" t="str">
        <f t="shared" si="7"/>
        <v/>
      </c>
      <c r="U1235" s="150" t="str">
        <f t="shared" si="8"/>
        <v/>
      </c>
      <c r="V1235" s="151" t="str">
        <f>IFERROR(VLOOKUP(C1235,Ativos!$A$1:$G2000,5,),)</f>
        <v/>
      </c>
    </row>
    <row r="1236" ht="21.0" customHeight="1">
      <c r="A1236" s="152"/>
      <c r="B1236" s="160"/>
      <c r="C1236" s="153"/>
      <c r="D1236" s="154"/>
      <c r="E1236" s="139"/>
      <c r="F1236" s="139"/>
      <c r="G1236" s="139"/>
      <c r="H1236" s="135"/>
      <c r="I1236" s="141"/>
      <c r="J1236" s="147" t="str">
        <f>IFERROR(__xludf.DUMMYFUNCTION("IF(ISBLANK(A1236),IFERROR(1/0),IF(COUNT(FILTER(F:F,A:A=A1236))&gt;1,TRUNC(N1236*F1236/SUM(FILTER(N:N,A:A=A1236)),3),F1236))"),"")</f>
        <v/>
      </c>
      <c r="K1236" s="147" t="str">
        <f>IFERROR(__xludf.DUMMYFUNCTION("IF(ISBLANK(A1236),IFERROR(1/0),IF(COUNT(FILTER(G:G,((A:A=A1236)*(B:B=""V""))))&gt;1,TRUNC(N1236*G1236/SUM(FILTER(N:N,((A:A=A1236)*(B:B=""V"")))),3),G1236))"),"")</f>
        <v/>
      </c>
      <c r="L1236" s="148" t="str">
        <f>IFERROR(__xludf.DUMMYFUNCTION("if($C1236="""","""",iferror(if(row()&lt;&gt;2,INDEX(arrayformula(filter($M$2:$M1235,$C$2:$C1235&lt;&gt;"""",row($C$2:$C1235)=max(if($C$2:$C1235=C1236,row($C$2:$C1235),0)))) ,1),0),0))"),"")</f>
        <v/>
      </c>
      <c r="M1236" s="148" t="str">
        <f t="shared" si="1"/>
        <v/>
      </c>
      <c r="N1236" s="147" t="str">
        <f t="shared" si="2"/>
        <v/>
      </c>
      <c r="O1236" s="147" t="str">
        <f t="shared" si="21"/>
        <v/>
      </c>
      <c r="P1236" s="147" t="str">
        <f>IFERROR(__xludf.DUMMYFUNCTION("if(C1236="""","""",iferror(if(row()&lt;&gt;2,INDEX(arrayformula(filter($Q$2:$Q1235,$C$2:$C1235&lt;&gt;"""",row($C$2:$C1235)=max(if($C$2:$C1235=C1236,row($C$2:$C1235),0)))) ,1),0),0))"),"")</f>
        <v/>
      </c>
      <c r="Q1236" s="147" t="str">
        <f t="shared" si="22"/>
        <v/>
      </c>
      <c r="R1236" s="147" t="str">
        <f t="shared" si="23"/>
        <v/>
      </c>
      <c r="S1236" s="147" t="str">
        <f t="shared" si="24"/>
        <v/>
      </c>
      <c r="T1236" s="147" t="str">
        <f t="shared" si="7"/>
        <v/>
      </c>
      <c r="U1236" s="150" t="str">
        <f t="shared" si="8"/>
        <v/>
      </c>
      <c r="V1236" s="151" t="str">
        <f>IFERROR(VLOOKUP(C1236,Ativos!$A$1:$G2000,5,),)</f>
        <v/>
      </c>
    </row>
    <row r="1237" ht="21.0" customHeight="1">
      <c r="A1237" s="152"/>
      <c r="B1237" s="160"/>
      <c r="C1237" s="153"/>
      <c r="D1237" s="154"/>
      <c r="E1237" s="139"/>
      <c r="F1237" s="139"/>
      <c r="G1237" s="139"/>
      <c r="H1237" s="135"/>
      <c r="I1237" s="141"/>
      <c r="J1237" s="147" t="str">
        <f>IFERROR(__xludf.DUMMYFUNCTION("IF(ISBLANK(A1237),IFERROR(1/0),IF(COUNT(FILTER(F:F,A:A=A1237))&gt;1,TRUNC(N1237*F1237/SUM(FILTER(N:N,A:A=A1237)),3),F1237))"),"")</f>
        <v/>
      </c>
      <c r="K1237" s="147" t="str">
        <f>IFERROR(__xludf.DUMMYFUNCTION("IF(ISBLANK(A1237),IFERROR(1/0),IF(COUNT(FILTER(G:G,((A:A=A1237)*(B:B=""V""))))&gt;1,TRUNC(N1237*G1237/SUM(FILTER(N:N,((A:A=A1237)*(B:B=""V"")))),3),G1237))"),"")</f>
        <v/>
      </c>
      <c r="L1237" s="148" t="str">
        <f>IFERROR(__xludf.DUMMYFUNCTION("if($C1237="""","""",iferror(if(row()&lt;&gt;2,INDEX(arrayformula(filter($M$2:$M1236,$C$2:$C1236&lt;&gt;"""",row($C$2:$C1236)=max(if($C$2:$C1236=C1237,row($C$2:$C1236),0)))) ,1),0),0))"),"")</f>
        <v/>
      </c>
      <c r="M1237" s="148" t="str">
        <f t="shared" si="1"/>
        <v/>
      </c>
      <c r="N1237" s="147" t="str">
        <f t="shared" si="2"/>
        <v/>
      </c>
      <c r="O1237" s="147" t="str">
        <f t="shared" si="21"/>
        <v/>
      </c>
      <c r="P1237" s="147" t="str">
        <f>IFERROR(__xludf.DUMMYFUNCTION("if(C1237="""","""",iferror(if(row()&lt;&gt;2,INDEX(arrayformula(filter($Q$2:$Q1236,$C$2:$C1236&lt;&gt;"""",row($C$2:$C1236)=max(if($C$2:$C1236=C1237,row($C$2:$C1236),0)))) ,1),0),0))"),"")</f>
        <v/>
      </c>
      <c r="Q1237" s="147" t="str">
        <f t="shared" si="22"/>
        <v/>
      </c>
      <c r="R1237" s="147" t="str">
        <f t="shared" si="23"/>
        <v/>
      </c>
      <c r="S1237" s="147" t="str">
        <f t="shared" si="24"/>
        <v/>
      </c>
      <c r="T1237" s="147" t="str">
        <f t="shared" si="7"/>
        <v/>
      </c>
      <c r="U1237" s="150" t="str">
        <f t="shared" si="8"/>
        <v/>
      </c>
      <c r="V1237" s="151" t="str">
        <f>IFERROR(VLOOKUP(C1237,Ativos!$A$1:$G2000,5,),)</f>
        <v/>
      </c>
    </row>
    <row r="1238" ht="21.0" customHeight="1">
      <c r="A1238" s="152"/>
      <c r="B1238" s="160"/>
      <c r="C1238" s="153"/>
      <c r="D1238" s="154"/>
      <c r="E1238" s="139"/>
      <c r="F1238" s="139"/>
      <c r="G1238" s="139"/>
      <c r="H1238" s="135"/>
      <c r="I1238" s="141"/>
      <c r="J1238" s="147" t="str">
        <f>IFERROR(__xludf.DUMMYFUNCTION("IF(ISBLANK(A1238),IFERROR(1/0),IF(COUNT(FILTER(F:F,A:A=A1238))&gt;1,TRUNC(N1238*F1238/SUM(FILTER(N:N,A:A=A1238)),3),F1238))"),"")</f>
        <v/>
      </c>
      <c r="K1238" s="147" t="str">
        <f>IFERROR(__xludf.DUMMYFUNCTION("IF(ISBLANK(A1238),IFERROR(1/0),IF(COUNT(FILTER(G:G,((A:A=A1238)*(B:B=""V""))))&gt;1,TRUNC(N1238*G1238/SUM(FILTER(N:N,((A:A=A1238)*(B:B=""V"")))),3),G1238))"),"")</f>
        <v/>
      </c>
      <c r="L1238" s="148" t="str">
        <f>IFERROR(__xludf.DUMMYFUNCTION("if($C1238="""","""",iferror(if(row()&lt;&gt;2,INDEX(arrayformula(filter($M$2:$M1237,$C$2:$C1237&lt;&gt;"""",row($C$2:$C1237)=max(if($C$2:$C1237=C1238,row($C$2:$C1237),0)))) ,1),0),0))"),"")</f>
        <v/>
      </c>
      <c r="M1238" s="148" t="str">
        <f t="shared" si="1"/>
        <v/>
      </c>
      <c r="N1238" s="147" t="str">
        <f t="shared" si="2"/>
        <v/>
      </c>
      <c r="O1238" s="147" t="str">
        <f t="shared" si="21"/>
        <v/>
      </c>
      <c r="P1238" s="147" t="str">
        <f>IFERROR(__xludf.DUMMYFUNCTION("if(C1238="""","""",iferror(if(row()&lt;&gt;2,INDEX(arrayformula(filter($Q$2:$Q1237,$C$2:$C1237&lt;&gt;"""",row($C$2:$C1237)=max(if($C$2:$C1237=C1238,row($C$2:$C1237),0)))) ,1),0),0))"),"")</f>
        <v/>
      </c>
      <c r="Q1238" s="147" t="str">
        <f t="shared" si="22"/>
        <v/>
      </c>
      <c r="R1238" s="147" t="str">
        <f t="shared" si="23"/>
        <v/>
      </c>
      <c r="S1238" s="147" t="str">
        <f t="shared" si="24"/>
        <v/>
      </c>
      <c r="T1238" s="147" t="str">
        <f t="shared" si="7"/>
        <v/>
      </c>
      <c r="U1238" s="150" t="str">
        <f t="shared" si="8"/>
        <v/>
      </c>
      <c r="V1238" s="151" t="str">
        <f>IFERROR(VLOOKUP(C1238,Ativos!$A$1:$G2000,5,),)</f>
        <v/>
      </c>
    </row>
    <row r="1239" ht="21.0" customHeight="1">
      <c r="A1239" s="152"/>
      <c r="B1239" s="160"/>
      <c r="C1239" s="153"/>
      <c r="D1239" s="154"/>
      <c r="E1239" s="139"/>
      <c r="F1239" s="139"/>
      <c r="G1239" s="139"/>
      <c r="H1239" s="135"/>
      <c r="I1239" s="141"/>
      <c r="J1239" s="147" t="str">
        <f>IFERROR(__xludf.DUMMYFUNCTION("IF(ISBLANK(A1239),IFERROR(1/0),IF(COUNT(FILTER(F:F,A:A=A1239))&gt;1,TRUNC(N1239*F1239/SUM(FILTER(N:N,A:A=A1239)),3),F1239))"),"")</f>
        <v/>
      </c>
      <c r="K1239" s="147" t="str">
        <f>IFERROR(__xludf.DUMMYFUNCTION("IF(ISBLANK(A1239),IFERROR(1/0),IF(COUNT(FILTER(G:G,((A:A=A1239)*(B:B=""V""))))&gt;1,TRUNC(N1239*G1239/SUM(FILTER(N:N,((A:A=A1239)*(B:B=""V"")))),3),G1239))"),"")</f>
        <v/>
      </c>
      <c r="L1239" s="148" t="str">
        <f>IFERROR(__xludf.DUMMYFUNCTION("if($C1239="""","""",iferror(if(row()&lt;&gt;2,INDEX(arrayformula(filter($M$2:$M1238,$C$2:$C1238&lt;&gt;"""",row($C$2:$C1238)=max(if($C$2:$C1238=C1239,row($C$2:$C1238),0)))) ,1),0),0))"),"")</f>
        <v/>
      </c>
      <c r="M1239" s="148" t="str">
        <f t="shared" si="1"/>
        <v/>
      </c>
      <c r="N1239" s="147" t="str">
        <f t="shared" si="2"/>
        <v/>
      </c>
      <c r="O1239" s="147" t="str">
        <f t="shared" si="21"/>
        <v/>
      </c>
      <c r="P1239" s="147" t="str">
        <f>IFERROR(__xludf.DUMMYFUNCTION("if(C1239="""","""",iferror(if(row()&lt;&gt;2,INDEX(arrayformula(filter($Q$2:$Q1238,$C$2:$C1238&lt;&gt;"""",row($C$2:$C1238)=max(if($C$2:$C1238=C1239,row($C$2:$C1238),0)))) ,1),0),0))"),"")</f>
        <v/>
      </c>
      <c r="Q1239" s="147" t="str">
        <f t="shared" si="22"/>
        <v/>
      </c>
      <c r="R1239" s="147" t="str">
        <f t="shared" si="23"/>
        <v/>
      </c>
      <c r="S1239" s="147" t="str">
        <f t="shared" si="24"/>
        <v/>
      </c>
      <c r="T1239" s="147" t="str">
        <f t="shared" si="7"/>
        <v/>
      </c>
      <c r="U1239" s="150" t="str">
        <f t="shared" si="8"/>
        <v/>
      </c>
      <c r="V1239" s="151" t="str">
        <f>IFERROR(VLOOKUP(C1239,Ativos!$A$1:$G2000,5,),)</f>
        <v/>
      </c>
    </row>
    <row r="1240" ht="21.0" customHeight="1">
      <c r="A1240" s="152"/>
      <c r="B1240" s="160"/>
      <c r="C1240" s="153"/>
      <c r="D1240" s="154"/>
      <c r="E1240" s="139"/>
      <c r="F1240" s="139"/>
      <c r="G1240" s="139"/>
      <c r="H1240" s="135"/>
      <c r="I1240" s="141"/>
      <c r="J1240" s="147" t="str">
        <f>IFERROR(__xludf.DUMMYFUNCTION("IF(ISBLANK(A1240),IFERROR(1/0),IF(COUNT(FILTER(F:F,A:A=A1240))&gt;1,TRUNC(N1240*F1240/SUM(FILTER(N:N,A:A=A1240)),3),F1240))"),"")</f>
        <v/>
      </c>
      <c r="K1240" s="147" t="str">
        <f>IFERROR(__xludf.DUMMYFUNCTION("IF(ISBLANK(A1240),IFERROR(1/0),IF(COUNT(FILTER(G:G,((A:A=A1240)*(B:B=""V""))))&gt;1,TRUNC(N1240*G1240/SUM(FILTER(N:N,((A:A=A1240)*(B:B=""V"")))),3),G1240))"),"")</f>
        <v/>
      </c>
      <c r="L1240" s="148" t="str">
        <f>IFERROR(__xludf.DUMMYFUNCTION("if($C1240="""","""",iferror(if(row()&lt;&gt;2,INDEX(arrayformula(filter($M$2:$M1239,$C$2:$C1239&lt;&gt;"""",row($C$2:$C1239)=max(if($C$2:$C1239=C1240,row($C$2:$C1239),0)))) ,1),0),0))"),"")</f>
        <v/>
      </c>
      <c r="M1240" s="148" t="str">
        <f t="shared" si="1"/>
        <v/>
      </c>
      <c r="N1240" s="147" t="str">
        <f t="shared" si="2"/>
        <v/>
      </c>
      <c r="O1240" s="147" t="str">
        <f t="shared" si="21"/>
        <v/>
      </c>
      <c r="P1240" s="147" t="str">
        <f>IFERROR(__xludf.DUMMYFUNCTION("if(C1240="""","""",iferror(if(row()&lt;&gt;2,INDEX(arrayformula(filter($Q$2:$Q1239,$C$2:$C1239&lt;&gt;"""",row($C$2:$C1239)=max(if($C$2:$C1239=C1240,row($C$2:$C1239),0)))) ,1),0),0))"),"")</f>
        <v/>
      </c>
      <c r="Q1240" s="147" t="str">
        <f t="shared" si="22"/>
        <v/>
      </c>
      <c r="R1240" s="147" t="str">
        <f t="shared" si="23"/>
        <v/>
      </c>
      <c r="S1240" s="147" t="str">
        <f t="shared" si="24"/>
        <v/>
      </c>
      <c r="T1240" s="147" t="str">
        <f t="shared" si="7"/>
        <v/>
      </c>
      <c r="U1240" s="150" t="str">
        <f t="shared" si="8"/>
        <v/>
      </c>
      <c r="V1240" s="151" t="str">
        <f>IFERROR(VLOOKUP(C1240,Ativos!$A$1:$G2000,5,),)</f>
        <v/>
      </c>
    </row>
    <row r="1241" ht="21.0" customHeight="1">
      <c r="A1241" s="152"/>
      <c r="B1241" s="160"/>
      <c r="C1241" s="153"/>
      <c r="D1241" s="154"/>
      <c r="E1241" s="139"/>
      <c r="F1241" s="139"/>
      <c r="G1241" s="139"/>
      <c r="H1241" s="135"/>
      <c r="I1241" s="141"/>
      <c r="J1241" s="147" t="str">
        <f>IFERROR(__xludf.DUMMYFUNCTION("IF(ISBLANK(A1241),IFERROR(1/0),IF(COUNT(FILTER(F:F,A:A=A1241))&gt;1,TRUNC(N1241*F1241/SUM(FILTER(N:N,A:A=A1241)),3),F1241))"),"")</f>
        <v/>
      </c>
      <c r="K1241" s="147" t="str">
        <f>IFERROR(__xludf.DUMMYFUNCTION("IF(ISBLANK(A1241),IFERROR(1/0),IF(COUNT(FILTER(G:G,((A:A=A1241)*(B:B=""V""))))&gt;1,TRUNC(N1241*G1241/SUM(FILTER(N:N,((A:A=A1241)*(B:B=""V"")))),3),G1241))"),"")</f>
        <v/>
      </c>
      <c r="L1241" s="148" t="str">
        <f>IFERROR(__xludf.DUMMYFUNCTION("if($C1241="""","""",iferror(if(row()&lt;&gt;2,INDEX(arrayformula(filter($M$2:$M1240,$C$2:$C1240&lt;&gt;"""",row($C$2:$C1240)=max(if($C$2:$C1240=C1241,row($C$2:$C1240),0)))) ,1),0),0))"),"")</f>
        <v/>
      </c>
      <c r="M1241" s="148" t="str">
        <f t="shared" si="1"/>
        <v/>
      </c>
      <c r="N1241" s="147" t="str">
        <f t="shared" si="2"/>
        <v/>
      </c>
      <c r="O1241" s="147" t="str">
        <f t="shared" si="21"/>
        <v/>
      </c>
      <c r="P1241" s="147" t="str">
        <f>IFERROR(__xludf.DUMMYFUNCTION("if(C1241="""","""",iferror(if(row()&lt;&gt;2,INDEX(arrayformula(filter($Q$2:$Q1240,$C$2:$C1240&lt;&gt;"""",row($C$2:$C1240)=max(if($C$2:$C1240=C1241,row($C$2:$C1240),0)))) ,1),0),0))"),"")</f>
        <v/>
      </c>
      <c r="Q1241" s="147" t="str">
        <f t="shared" si="22"/>
        <v/>
      </c>
      <c r="R1241" s="147" t="str">
        <f t="shared" si="23"/>
        <v/>
      </c>
      <c r="S1241" s="147" t="str">
        <f t="shared" si="24"/>
        <v/>
      </c>
      <c r="T1241" s="147" t="str">
        <f t="shared" si="7"/>
        <v/>
      </c>
      <c r="U1241" s="150" t="str">
        <f t="shared" si="8"/>
        <v/>
      </c>
      <c r="V1241" s="151" t="str">
        <f>IFERROR(VLOOKUP(C1241,Ativos!$A$1:$G2000,5,),)</f>
        <v/>
      </c>
    </row>
    <row r="1242" ht="21.0" customHeight="1">
      <c r="A1242" s="152"/>
      <c r="B1242" s="160"/>
      <c r="C1242" s="153"/>
      <c r="D1242" s="154"/>
      <c r="E1242" s="139"/>
      <c r="F1242" s="139"/>
      <c r="G1242" s="139"/>
      <c r="H1242" s="135"/>
      <c r="I1242" s="141"/>
      <c r="J1242" s="147" t="str">
        <f>IFERROR(__xludf.DUMMYFUNCTION("IF(ISBLANK(A1242),IFERROR(1/0),IF(COUNT(FILTER(F:F,A:A=A1242))&gt;1,TRUNC(N1242*F1242/SUM(FILTER(N:N,A:A=A1242)),3),F1242))"),"")</f>
        <v/>
      </c>
      <c r="K1242" s="147" t="str">
        <f>IFERROR(__xludf.DUMMYFUNCTION("IF(ISBLANK(A1242),IFERROR(1/0),IF(COUNT(FILTER(G:G,((A:A=A1242)*(B:B=""V""))))&gt;1,TRUNC(N1242*G1242/SUM(FILTER(N:N,((A:A=A1242)*(B:B=""V"")))),3),G1242))"),"")</f>
        <v/>
      </c>
      <c r="L1242" s="148" t="str">
        <f>IFERROR(__xludf.DUMMYFUNCTION("if($C1242="""","""",iferror(if(row()&lt;&gt;2,INDEX(arrayformula(filter($M$2:$M1241,$C$2:$C1241&lt;&gt;"""",row($C$2:$C1241)=max(if($C$2:$C1241=C1242,row($C$2:$C1241),0)))) ,1),0),0))"),"")</f>
        <v/>
      </c>
      <c r="M1242" s="148" t="str">
        <f t="shared" si="1"/>
        <v/>
      </c>
      <c r="N1242" s="147" t="str">
        <f t="shared" si="2"/>
        <v/>
      </c>
      <c r="O1242" s="147" t="str">
        <f t="shared" si="21"/>
        <v/>
      </c>
      <c r="P1242" s="147" t="str">
        <f>IFERROR(__xludf.DUMMYFUNCTION("if(C1242="""","""",iferror(if(row()&lt;&gt;2,INDEX(arrayformula(filter($Q$2:$Q1241,$C$2:$C1241&lt;&gt;"""",row($C$2:$C1241)=max(if($C$2:$C1241=C1242,row($C$2:$C1241),0)))) ,1),0),0))"),"")</f>
        <v/>
      </c>
      <c r="Q1242" s="147" t="str">
        <f t="shared" si="22"/>
        <v/>
      </c>
      <c r="R1242" s="147" t="str">
        <f t="shared" si="23"/>
        <v/>
      </c>
      <c r="S1242" s="147" t="str">
        <f t="shared" si="24"/>
        <v/>
      </c>
      <c r="T1242" s="147" t="str">
        <f t="shared" si="7"/>
        <v/>
      </c>
      <c r="U1242" s="150" t="str">
        <f t="shared" si="8"/>
        <v/>
      </c>
      <c r="V1242" s="151" t="str">
        <f>IFERROR(VLOOKUP(C1242,Ativos!$A$1:$G2000,5,),)</f>
        <v/>
      </c>
    </row>
    <row r="1243" ht="21.0" customHeight="1">
      <c r="A1243" s="152"/>
      <c r="B1243" s="160"/>
      <c r="C1243" s="153"/>
      <c r="D1243" s="154"/>
      <c r="E1243" s="139"/>
      <c r="F1243" s="139"/>
      <c r="G1243" s="139"/>
      <c r="H1243" s="135"/>
      <c r="I1243" s="141"/>
      <c r="J1243" s="147" t="str">
        <f>IFERROR(__xludf.DUMMYFUNCTION("IF(ISBLANK(A1243),IFERROR(1/0),IF(COUNT(FILTER(F:F,A:A=A1243))&gt;1,TRUNC(N1243*F1243/SUM(FILTER(N:N,A:A=A1243)),3),F1243))"),"")</f>
        <v/>
      </c>
      <c r="K1243" s="147" t="str">
        <f>IFERROR(__xludf.DUMMYFUNCTION("IF(ISBLANK(A1243),IFERROR(1/0),IF(COUNT(FILTER(G:G,((A:A=A1243)*(B:B=""V""))))&gt;1,TRUNC(N1243*G1243/SUM(FILTER(N:N,((A:A=A1243)*(B:B=""V"")))),3),G1243))"),"")</f>
        <v/>
      </c>
      <c r="L1243" s="148" t="str">
        <f>IFERROR(__xludf.DUMMYFUNCTION("if($C1243="""","""",iferror(if(row()&lt;&gt;2,INDEX(arrayformula(filter($M$2:$M1242,$C$2:$C1242&lt;&gt;"""",row($C$2:$C1242)=max(if($C$2:$C1242=C1243,row($C$2:$C1242),0)))) ,1),0),0))"),"")</f>
        <v/>
      </c>
      <c r="M1243" s="148" t="str">
        <f t="shared" si="1"/>
        <v/>
      </c>
      <c r="N1243" s="147" t="str">
        <f t="shared" si="2"/>
        <v/>
      </c>
      <c r="O1243" s="147" t="str">
        <f t="shared" si="21"/>
        <v/>
      </c>
      <c r="P1243" s="147" t="str">
        <f>IFERROR(__xludf.DUMMYFUNCTION("if(C1243="""","""",iferror(if(row()&lt;&gt;2,INDEX(arrayformula(filter($Q$2:$Q1242,$C$2:$C1242&lt;&gt;"""",row($C$2:$C1242)=max(if($C$2:$C1242=C1243,row($C$2:$C1242),0)))) ,1),0),0))"),"")</f>
        <v/>
      </c>
      <c r="Q1243" s="147" t="str">
        <f t="shared" si="22"/>
        <v/>
      </c>
      <c r="R1243" s="147" t="str">
        <f t="shared" si="23"/>
        <v/>
      </c>
      <c r="S1243" s="147" t="str">
        <f t="shared" si="24"/>
        <v/>
      </c>
      <c r="T1243" s="147" t="str">
        <f t="shared" si="7"/>
        <v/>
      </c>
      <c r="U1243" s="150" t="str">
        <f t="shared" si="8"/>
        <v/>
      </c>
      <c r="V1243" s="151" t="str">
        <f>IFERROR(VLOOKUP(C1243,Ativos!$A$1:$G2000,5,),)</f>
        <v/>
      </c>
    </row>
    <row r="1244" ht="21.0" customHeight="1">
      <c r="A1244" s="152"/>
      <c r="B1244" s="160"/>
      <c r="C1244" s="153"/>
      <c r="D1244" s="154"/>
      <c r="E1244" s="139"/>
      <c r="F1244" s="139"/>
      <c r="G1244" s="139"/>
      <c r="H1244" s="135"/>
      <c r="I1244" s="141"/>
      <c r="J1244" s="147" t="str">
        <f>IFERROR(__xludf.DUMMYFUNCTION("IF(ISBLANK(A1244),IFERROR(1/0),IF(COUNT(FILTER(F:F,A:A=A1244))&gt;1,TRUNC(N1244*F1244/SUM(FILTER(N:N,A:A=A1244)),3),F1244))"),"")</f>
        <v/>
      </c>
      <c r="K1244" s="147" t="str">
        <f>IFERROR(__xludf.DUMMYFUNCTION("IF(ISBLANK(A1244),IFERROR(1/0),IF(COUNT(FILTER(G:G,((A:A=A1244)*(B:B=""V""))))&gt;1,TRUNC(N1244*G1244/SUM(FILTER(N:N,((A:A=A1244)*(B:B=""V"")))),3),G1244))"),"")</f>
        <v/>
      </c>
      <c r="L1244" s="148" t="str">
        <f>IFERROR(__xludf.DUMMYFUNCTION("if($C1244="""","""",iferror(if(row()&lt;&gt;2,INDEX(arrayformula(filter($M$2:$M1243,$C$2:$C1243&lt;&gt;"""",row($C$2:$C1243)=max(if($C$2:$C1243=C1244,row($C$2:$C1243),0)))) ,1),0),0))"),"")</f>
        <v/>
      </c>
      <c r="M1244" s="148" t="str">
        <f t="shared" si="1"/>
        <v/>
      </c>
      <c r="N1244" s="147" t="str">
        <f t="shared" si="2"/>
        <v/>
      </c>
      <c r="O1244" s="147" t="str">
        <f t="shared" si="21"/>
        <v/>
      </c>
      <c r="P1244" s="147" t="str">
        <f>IFERROR(__xludf.DUMMYFUNCTION("if(C1244="""","""",iferror(if(row()&lt;&gt;2,INDEX(arrayformula(filter($Q$2:$Q1243,$C$2:$C1243&lt;&gt;"""",row($C$2:$C1243)=max(if($C$2:$C1243=C1244,row($C$2:$C1243),0)))) ,1),0),0))"),"")</f>
        <v/>
      </c>
      <c r="Q1244" s="147" t="str">
        <f t="shared" si="22"/>
        <v/>
      </c>
      <c r="R1244" s="147" t="str">
        <f t="shared" si="23"/>
        <v/>
      </c>
      <c r="S1244" s="147" t="str">
        <f t="shared" si="24"/>
        <v/>
      </c>
      <c r="T1244" s="147" t="str">
        <f t="shared" si="7"/>
        <v/>
      </c>
      <c r="U1244" s="150" t="str">
        <f t="shared" si="8"/>
        <v/>
      </c>
      <c r="V1244" s="151" t="str">
        <f>IFERROR(VLOOKUP(C1244,Ativos!$A$1:$G2000,5,),)</f>
        <v/>
      </c>
    </row>
    <row r="1245" ht="21.0" customHeight="1">
      <c r="A1245" s="152"/>
      <c r="B1245" s="160"/>
      <c r="C1245" s="153"/>
      <c r="D1245" s="154"/>
      <c r="E1245" s="139"/>
      <c r="F1245" s="139"/>
      <c r="G1245" s="139"/>
      <c r="H1245" s="135"/>
      <c r="I1245" s="141"/>
      <c r="J1245" s="147" t="str">
        <f>IFERROR(__xludf.DUMMYFUNCTION("IF(ISBLANK(A1245),IFERROR(1/0),IF(COUNT(FILTER(F:F,A:A=A1245))&gt;1,TRUNC(N1245*F1245/SUM(FILTER(N:N,A:A=A1245)),3),F1245))"),"")</f>
        <v/>
      </c>
      <c r="K1245" s="147" t="str">
        <f>IFERROR(__xludf.DUMMYFUNCTION("IF(ISBLANK(A1245),IFERROR(1/0),IF(COUNT(FILTER(G:G,((A:A=A1245)*(B:B=""V""))))&gt;1,TRUNC(N1245*G1245/SUM(FILTER(N:N,((A:A=A1245)*(B:B=""V"")))),3),G1245))"),"")</f>
        <v/>
      </c>
      <c r="L1245" s="148" t="str">
        <f>IFERROR(__xludf.DUMMYFUNCTION("if($C1245="""","""",iferror(if(row()&lt;&gt;2,INDEX(arrayformula(filter($M$2:$M1244,$C$2:$C1244&lt;&gt;"""",row($C$2:$C1244)=max(if($C$2:$C1244=C1245,row($C$2:$C1244),0)))) ,1),0),0))"),"")</f>
        <v/>
      </c>
      <c r="M1245" s="148" t="str">
        <f t="shared" si="1"/>
        <v/>
      </c>
      <c r="N1245" s="147" t="str">
        <f t="shared" si="2"/>
        <v/>
      </c>
      <c r="O1245" s="147" t="str">
        <f t="shared" si="21"/>
        <v/>
      </c>
      <c r="P1245" s="147" t="str">
        <f>IFERROR(__xludf.DUMMYFUNCTION("if(C1245="""","""",iferror(if(row()&lt;&gt;2,INDEX(arrayformula(filter($Q$2:$Q1244,$C$2:$C1244&lt;&gt;"""",row($C$2:$C1244)=max(if($C$2:$C1244=C1245,row($C$2:$C1244),0)))) ,1),0),0))"),"")</f>
        <v/>
      </c>
      <c r="Q1245" s="147" t="str">
        <f t="shared" si="22"/>
        <v/>
      </c>
      <c r="R1245" s="147" t="str">
        <f t="shared" si="23"/>
        <v/>
      </c>
      <c r="S1245" s="147" t="str">
        <f t="shared" si="24"/>
        <v/>
      </c>
      <c r="T1245" s="147" t="str">
        <f t="shared" si="7"/>
        <v/>
      </c>
      <c r="U1245" s="150" t="str">
        <f t="shared" si="8"/>
        <v/>
      </c>
      <c r="V1245" s="151" t="str">
        <f>IFERROR(VLOOKUP(C1245,Ativos!$A$1:$G2000,5,),)</f>
        <v/>
      </c>
    </row>
    <row r="1246" ht="21.0" customHeight="1">
      <c r="A1246" s="152"/>
      <c r="B1246" s="160"/>
      <c r="C1246" s="153"/>
      <c r="D1246" s="154"/>
      <c r="E1246" s="139"/>
      <c r="F1246" s="139"/>
      <c r="G1246" s="139"/>
      <c r="H1246" s="135"/>
      <c r="I1246" s="141"/>
      <c r="J1246" s="147" t="str">
        <f>IFERROR(__xludf.DUMMYFUNCTION("IF(ISBLANK(A1246),IFERROR(1/0),IF(COUNT(FILTER(F:F,A:A=A1246))&gt;1,TRUNC(N1246*F1246/SUM(FILTER(N:N,A:A=A1246)),3),F1246))"),"")</f>
        <v/>
      </c>
      <c r="K1246" s="147" t="str">
        <f>IFERROR(__xludf.DUMMYFUNCTION("IF(ISBLANK(A1246),IFERROR(1/0),IF(COUNT(FILTER(G:G,((A:A=A1246)*(B:B=""V""))))&gt;1,TRUNC(N1246*G1246/SUM(FILTER(N:N,((A:A=A1246)*(B:B=""V"")))),3),G1246))"),"")</f>
        <v/>
      </c>
      <c r="L1246" s="148" t="str">
        <f>IFERROR(__xludf.DUMMYFUNCTION("if($C1246="""","""",iferror(if(row()&lt;&gt;2,INDEX(arrayformula(filter($M$2:$M1245,$C$2:$C1245&lt;&gt;"""",row($C$2:$C1245)=max(if($C$2:$C1245=C1246,row($C$2:$C1245),0)))) ,1),0),0))"),"")</f>
        <v/>
      </c>
      <c r="M1246" s="148" t="str">
        <f t="shared" si="1"/>
        <v/>
      </c>
      <c r="N1246" s="147" t="str">
        <f t="shared" si="2"/>
        <v/>
      </c>
      <c r="O1246" s="147" t="str">
        <f t="shared" si="21"/>
        <v/>
      </c>
      <c r="P1246" s="147" t="str">
        <f>IFERROR(__xludf.DUMMYFUNCTION("if(C1246="""","""",iferror(if(row()&lt;&gt;2,INDEX(arrayformula(filter($Q$2:$Q1245,$C$2:$C1245&lt;&gt;"""",row($C$2:$C1245)=max(if($C$2:$C1245=C1246,row($C$2:$C1245),0)))) ,1),0),0))"),"")</f>
        <v/>
      </c>
      <c r="Q1246" s="147" t="str">
        <f t="shared" si="22"/>
        <v/>
      </c>
      <c r="R1246" s="147" t="str">
        <f t="shared" si="23"/>
        <v/>
      </c>
      <c r="S1246" s="147" t="str">
        <f t="shared" si="24"/>
        <v/>
      </c>
      <c r="T1246" s="147" t="str">
        <f t="shared" si="7"/>
        <v/>
      </c>
      <c r="U1246" s="150" t="str">
        <f t="shared" si="8"/>
        <v/>
      </c>
      <c r="V1246" s="151" t="str">
        <f>IFERROR(VLOOKUP(C1246,Ativos!$A$1:$G2000,5,),)</f>
        <v/>
      </c>
    </row>
    <row r="1247" ht="21.0" customHeight="1">
      <c r="A1247" s="152"/>
      <c r="B1247" s="160"/>
      <c r="C1247" s="153"/>
      <c r="D1247" s="154"/>
      <c r="E1247" s="139"/>
      <c r="F1247" s="139"/>
      <c r="G1247" s="139"/>
      <c r="H1247" s="135"/>
      <c r="I1247" s="141"/>
      <c r="J1247" s="147" t="str">
        <f>IFERROR(__xludf.DUMMYFUNCTION("IF(ISBLANK(A1247),IFERROR(1/0),IF(COUNT(FILTER(F:F,A:A=A1247))&gt;1,TRUNC(N1247*F1247/SUM(FILTER(N:N,A:A=A1247)),3),F1247))"),"")</f>
        <v/>
      </c>
      <c r="K1247" s="147" t="str">
        <f>IFERROR(__xludf.DUMMYFUNCTION("IF(ISBLANK(A1247),IFERROR(1/0),IF(COUNT(FILTER(G:G,((A:A=A1247)*(B:B=""V""))))&gt;1,TRUNC(N1247*G1247/SUM(FILTER(N:N,((A:A=A1247)*(B:B=""V"")))),3),G1247))"),"")</f>
        <v/>
      </c>
      <c r="L1247" s="148" t="str">
        <f>IFERROR(__xludf.DUMMYFUNCTION("if($C1247="""","""",iferror(if(row()&lt;&gt;2,INDEX(arrayformula(filter($M$2:$M1246,$C$2:$C1246&lt;&gt;"""",row($C$2:$C1246)=max(if($C$2:$C1246=C1247,row($C$2:$C1246),0)))) ,1),0),0))"),"")</f>
        <v/>
      </c>
      <c r="M1247" s="148" t="str">
        <f t="shared" si="1"/>
        <v/>
      </c>
      <c r="N1247" s="147" t="str">
        <f t="shared" si="2"/>
        <v/>
      </c>
      <c r="O1247" s="147" t="str">
        <f t="shared" si="21"/>
        <v/>
      </c>
      <c r="P1247" s="147" t="str">
        <f>IFERROR(__xludf.DUMMYFUNCTION("if(C1247="""","""",iferror(if(row()&lt;&gt;2,INDEX(arrayformula(filter($Q$2:$Q1246,$C$2:$C1246&lt;&gt;"""",row($C$2:$C1246)=max(if($C$2:$C1246=C1247,row($C$2:$C1246),0)))) ,1),0),0))"),"")</f>
        <v/>
      </c>
      <c r="Q1247" s="147" t="str">
        <f t="shared" si="22"/>
        <v/>
      </c>
      <c r="R1247" s="147" t="str">
        <f t="shared" si="23"/>
        <v/>
      </c>
      <c r="S1247" s="147" t="str">
        <f t="shared" si="24"/>
        <v/>
      </c>
      <c r="T1247" s="147" t="str">
        <f t="shared" si="7"/>
        <v/>
      </c>
      <c r="U1247" s="150" t="str">
        <f t="shared" si="8"/>
        <v/>
      </c>
      <c r="V1247" s="151" t="str">
        <f>IFERROR(VLOOKUP(C1247,Ativos!$A$1:$G2000,5,),)</f>
        <v/>
      </c>
    </row>
    <row r="1248" ht="21.0" customHeight="1">
      <c r="A1248" s="152"/>
      <c r="B1248" s="160"/>
      <c r="C1248" s="153"/>
      <c r="D1248" s="154"/>
      <c r="E1248" s="139"/>
      <c r="F1248" s="139"/>
      <c r="G1248" s="139"/>
      <c r="H1248" s="135"/>
      <c r="I1248" s="141"/>
      <c r="J1248" s="147" t="str">
        <f>IFERROR(__xludf.DUMMYFUNCTION("IF(ISBLANK(A1248),IFERROR(1/0),IF(COUNT(FILTER(F:F,A:A=A1248))&gt;1,TRUNC(N1248*F1248/SUM(FILTER(N:N,A:A=A1248)),3),F1248))"),"")</f>
        <v/>
      </c>
      <c r="K1248" s="147" t="str">
        <f>IFERROR(__xludf.DUMMYFUNCTION("IF(ISBLANK(A1248),IFERROR(1/0),IF(COUNT(FILTER(G:G,((A:A=A1248)*(B:B=""V""))))&gt;1,TRUNC(N1248*G1248/SUM(FILTER(N:N,((A:A=A1248)*(B:B=""V"")))),3),G1248))"),"")</f>
        <v/>
      </c>
      <c r="L1248" s="148" t="str">
        <f>IFERROR(__xludf.DUMMYFUNCTION("if($C1248="""","""",iferror(if(row()&lt;&gt;2,INDEX(arrayformula(filter($M$2:$M1247,$C$2:$C1247&lt;&gt;"""",row($C$2:$C1247)=max(if($C$2:$C1247=C1248,row($C$2:$C1247),0)))) ,1),0),0))"),"")</f>
        <v/>
      </c>
      <c r="M1248" s="148" t="str">
        <f t="shared" si="1"/>
        <v/>
      </c>
      <c r="N1248" s="147" t="str">
        <f t="shared" si="2"/>
        <v/>
      </c>
      <c r="O1248" s="147" t="str">
        <f t="shared" si="21"/>
        <v/>
      </c>
      <c r="P1248" s="147" t="str">
        <f>IFERROR(__xludf.DUMMYFUNCTION("if(C1248="""","""",iferror(if(row()&lt;&gt;2,INDEX(arrayformula(filter($Q$2:$Q1247,$C$2:$C1247&lt;&gt;"""",row($C$2:$C1247)=max(if($C$2:$C1247=C1248,row($C$2:$C1247),0)))) ,1),0),0))"),"")</f>
        <v/>
      </c>
      <c r="Q1248" s="147" t="str">
        <f t="shared" si="22"/>
        <v/>
      </c>
      <c r="R1248" s="147" t="str">
        <f t="shared" si="23"/>
        <v/>
      </c>
      <c r="S1248" s="147" t="str">
        <f t="shared" si="24"/>
        <v/>
      </c>
      <c r="T1248" s="147" t="str">
        <f t="shared" si="7"/>
        <v/>
      </c>
      <c r="U1248" s="150" t="str">
        <f t="shared" si="8"/>
        <v/>
      </c>
      <c r="V1248" s="151" t="str">
        <f>IFERROR(VLOOKUP(C1248,Ativos!$A$1:$G2000,5,),)</f>
        <v/>
      </c>
    </row>
    <row r="1249" ht="21.0" customHeight="1">
      <c r="A1249" s="152"/>
      <c r="B1249" s="160"/>
      <c r="C1249" s="153"/>
      <c r="D1249" s="154"/>
      <c r="E1249" s="139"/>
      <c r="F1249" s="139"/>
      <c r="G1249" s="139"/>
      <c r="H1249" s="135"/>
      <c r="I1249" s="141"/>
      <c r="J1249" s="147" t="str">
        <f>IFERROR(__xludf.DUMMYFUNCTION("IF(ISBLANK(A1249),IFERROR(1/0),IF(COUNT(FILTER(F:F,A:A=A1249))&gt;1,TRUNC(N1249*F1249/SUM(FILTER(N:N,A:A=A1249)),3),F1249))"),"")</f>
        <v/>
      </c>
      <c r="K1249" s="147" t="str">
        <f>IFERROR(__xludf.DUMMYFUNCTION("IF(ISBLANK(A1249),IFERROR(1/0),IF(COUNT(FILTER(G:G,((A:A=A1249)*(B:B=""V""))))&gt;1,TRUNC(N1249*G1249/SUM(FILTER(N:N,((A:A=A1249)*(B:B=""V"")))),3),G1249))"),"")</f>
        <v/>
      </c>
      <c r="L1249" s="148" t="str">
        <f>IFERROR(__xludf.DUMMYFUNCTION("if($C1249="""","""",iferror(if(row()&lt;&gt;2,INDEX(arrayformula(filter($M$2:$M1248,$C$2:$C1248&lt;&gt;"""",row($C$2:$C1248)=max(if($C$2:$C1248=C1249,row($C$2:$C1248),0)))) ,1),0),0))"),"")</f>
        <v/>
      </c>
      <c r="M1249" s="148" t="str">
        <f t="shared" si="1"/>
        <v/>
      </c>
      <c r="N1249" s="147" t="str">
        <f t="shared" si="2"/>
        <v/>
      </c>
      <c r="O1249" s="147" t="str">
        <f t="shared" si="21"/>
        <v/>
      </c>
      <c r="P1249" s="147" t="str">
        <f>IFERROR(__xludf.DUMMYFUNCTION("if(C1249="""","""",iferror(if(row()&lt;&gt;2,INDEX(arrayformula(filter($Q$2:$Q1248,$C$2:$C1248&lt;&gt;"""",row($C$2:$C1248)=max(if($C$2:$C1248=C1249,row($C$2:$C1248),0)))) ,1),0),0))"),"")</f>
        <v/>
      </c>
      <c r="Q1249" s="147" t="str">
        <f t="shared" si="22"/>
        <v/>
      </c>
      <c r="R1249" s="147" t="str">
        <f t="shared" si="23"/>
        <v/>
      </c>
      <c r="S1249" s="147" t="str">
        <f t="shared" si="24"/>
        <v/>
      </c>
      <c r="T1249" s="147" t="str">
        <f t="shared" si="7"/>
        <v/>
      </c>
      <c r="U1249" s="150" t="str">
        <f t="shared" si="8"/>
        <v/>
      </c>
      <c r="V1249" s="151" t="str">
        <f>IFERROR(VLOOKUP(C1249,Ativos!$A$1:$G2000,5,),)</f>
        <v/>
      </c>
    </row>
    <row r="1250" ht="21.0" customHeight="1">
      <c r="A1250" s="152"/>
      <c r="B1250" s="160"/>
      <c r="C1250" s="153"/>
      <c r="D1250" s="154"/>
      <c r="E1250" s="139"/>
      <c r="F1250" s="139"/>
      <c r="G1250" s="139"/>
      <c r="H1250" s="135"/>
      <c r="I1250" s="141"/>
      <c r="J1250" s="147" t="str">
        <f>IFERROR(__xludf.DUMMYFUNCTION("IF(ISBLANK(A1250),IFERROR(1/0),IF(COUNT(FILTER(F:F,A:A=A1250))&gt;1,TRUNC(N1250*F1250/SUM(FILTER(N:N,A:A=A1250)),3),F1250))"),"")</f>
        <v/>
      </c>
      <c r="K1250" s="147" t="str">
        <f>IFERROR(__xludf.DUMMYFUNCTION("IF(ISBLANK(A1250),IFERROR(1/0),IF(COUNT(FILTER(G:G,((A:A=A1250)*(B:B=""V""))))&gt;1,TRUNC(N1250*G1250/SUM(FILTER(N:N,((A:A=A1250)*(B:B=""V"")))),3),G1250))"),"")</f>
        <v/>
      </c>
      <c r="L1250" s="148" t="str">
        <f>IFERROR(__xludf.DUMMYFUNCTION("if($C1250="""","""",iferror(if(row()&lt;&gt;2,INDEX(arrayformula(filter($M$2:$M1249,$C$2:$C1249&lt;&gt;"""",row($C$2:$C1249)=max(if($C$2:$C1249=C1250,row($C$2:$C1249),0)))) ,1),0),0))"),"")</f>
        <v/>
      </c>
      <c r="M1250" s="148" t="str">
        <f t="shared" si="1"/>
        <v/>
      </c>
      <c r="N1250" s="147" t="str">
        <f t="shared" si="2"/>
        <v/>
      </c>
      <c r="O1250" s="147" t="str">
        <f t="shared" si="21"/>
        <v/>
      </c>
      <c r="P1250" s="147" t="str">
        <f>IFERROR(__xludf.DUMMYFUNCTION("if(C1250="""","""",iferror(if(row()&lt;&gt;2,INDEX(arrayformula(filter($Q$2:$Q1249,$C$2:$C1249&lt;&gt;"""",row($C$2:$C1249)=max(if($C$2:$C1249=C1250,row($C$2:$C1249),0)))) ,1),0),0))"),"")</f>
        <v/>
      </c>
      <c r="Q1250" s="147" t="str">
        <f t="shared" si="22"/>
        <v/>
      </c>
      <c r="R1250" s="147" t="str">
        <f t="shared" si="23"/>
        <v/>
      </c>
      <c r="S1250" s="147" t="str">
        <f t="shared" si="24"/>
        <v/>
      </c>
      <c r="T1250" s="147" t="str">
        <f t="shared" si="7"/>
        <v/>
      </c>
      <c r="U1250" s="150" t="str">
        <f t="shared" si="8"/>
        <v/>
      </c>
      <c r="V1250" s="151" t="str">
        <f>IFERROR(VLOOKUP(C1250,Ativos!$A$1:$G2000,5,),)</f>
        <v/>
      </c>
    </row>
    <row r="1251" ht="21.0" customHeight="1">
      <c r="A1251" s="152"/>
      <c r="B1251" s="160"/>
      <c r="C1251" s="153"/>
      <c r="D1251" s="154"/>
      <c r="E1251" s="139"/>
      <c r="F1251" s="139"/>
      <c r="G1251" s="139"/>
      <c r="H1251" s="135"/>
      <c r="I1251" s="141"/>
      <c r="J1251" s="147" t="str">
        <f>IFERROR(__xludf.DUMMYFUNCTION("IF(ISBLANK(A1251),IFERROR(1/0),IF(COUNT(FILTER(F:F,A:A=A1251))&gt;1,TRUNC(N1251*F1251/SUM(FILTER(N:N,A:A=A1251)),3),F1251))"),"")</f>
        <v/>
      </c>
      <c r="K1251" s="147" t="str">
        <f>IFERROR(__xludf.DUMMYFUNCTION("IF(ISBLANK(A1251),IFERROR(1/0),IF(COUNT(FILTER(G:G,((A:A=A1251)*(B:B=""V""))))&gt;1,TRUNC(N1251*G1251/SUM(FILTER(N:N,((A:A=A1251)*(B:B=""V"")))),3),G1251))"),"")</f>
        <v/>
      </c>
      <c r="L1251" s="148" t="str">
        <f>IFERROR(__xludf.DUMMYFUNCTION("if($C1251="""","""",iferror(if(row()&lt;&gt;2,INDEX(arrayformula(filter($M$2:$M1250,$C$2:$C1250&lt;&gt;"""",row($C$2:$C1250)=max(if($C$2:$C1250=C1251,row($C$2:$C1250),0)))) ,1),0),0))"),"")</f>
        <v/>
      </c>
      <c r="M1251" s="148" t="str">
        <f t="shared" si="1"/>
        <v/>
      </c>
      <c r="N1251" s="147" t="str">
        <f t="shared" si="2"/>
        <v/>
      </c>
      <c r="O1251" s="147" t="str">
        <f t="shared" si="21"/>
        <v/>
      </c>
      <c r="P1251" s="147" t="str">
        <f>IFERROR(__xludf.DUMMYFUNCTION("if(C1251="""","""",iferror(if(row()&lt;&gt;2,INDEX(arrayformula(filter($Q$2:$Q1250,$C$2:$C1250&lt;&gt;"""",row($C$2:$C1250)=max(if($C$2:$C1250=C1251,row($C$2:$C1250),0)))) ,1),0),0))"),"")</f>
        <v/>
      </c>
      <c r="Q1251" s="147" t="str">
        <f t="shared" si="22"/>
        <v/>
      </c>
      <c r="R1251" s="147" t="str">
        <f t="shared" si="23"/>
        <v/>
      </c>
      <c r="S1251" s="147" t="str">
        <f t="shared" si="24"/>
        <v/>
      </c>
      <c r="T1251" s="147" t="str">
        <f t="shared" si="7"/>
        <v/>
      </c>
      <c r="U1251" s="150" t="str">
        <f t="shared" si="8"/>
        <v/>
      </c>
      <c r="V1251" s="151" t="str">
        <f>IFERROR(VLOOKUP(C1251,Ativos!$A$1:$G2000,5,),)</f>
        <v/>
      </c>
    </row>
    <row r="1252" ht="21.0" customHeight="1">
      <c r="A1252" s="152"/>
      <c r="B1252" s="160"/>
      <c r="C1252" s="153"/>
      <c r="D1252" s="154"/>
      <c r="E1252" s="139"/>
      <c r="F1252" s="139"/>
      <c r="G1252" s="139"/>
      <c r="H1252" s="135"/>
      <c r="I1252" s="141"/>
      <c r="J1252" s="147" t="str">
        <f>IFERROR(__xludf.DUMMYFUNCTION("IF(ISBLANK(A1252),IFERROR(1/0),IF(COUNT(FILTER(F:F,A:A=A1252))&gt;1,TRUNC(N1252*F1252/SUM(FILTER(N:N,A:A=A1252)),3),F1252))"),"")</f>
        <v/>
      </c>
      <c r="K1252" s="147" t="str">
        <f>IFERROR(__xludf.DUMMYFUNCTION("IF(ISBLANK(A1252),IFERROR(1/0),IF(COUNT(FILTER(G:G,((A:A=A1252)*(B:B=""V""))))&gt;1,TRUNC(N1252*G1252/SUM(FILTER(N:N,((A:A=A1252)*(B:B=""V"")))),3),G1252))"),"")</f>
        <v/>
      </c>
      <c r="L1252" s="148" t="str">
        <f>IFERROR(__xludf.DUMMYFUNCTION("if($C1252="""","""",iferror(if(row()&lt;&gt;2,INDEX(arrayformula(filter($M$2:$M1251,$C$2:$C1251&lt;&gt;"""",row($C$2:$C1251)=max(if($C$2:$C1251=C1252,row($C$2:$C1251),0)))) ,1),0),0))"),"")</f>
        <v/>
      </c>
      <c r="M1252" s="148" t="str">
        <f t="shared" si="1"/>
        <v/>
      </c>
      <c r="N1252" s="147" t="str">
        <f t="shared" si="2"/>
        <v/>
      </c>
      <c r="O1252" s="147" t="str">
        <f t="shared" si="21"/>
        <v/>
      </c>
      <c r="P1252" s="147" t="str">
        <f>IFERROR(__xludf.DUMMYFUNCTION("if(C1252="""","""",iferror(if(row()&lt;&gt;2,INDEX(arrayformula(filter($Q$2:$Q1251,$C$2:$C1251&lt;&gt;"""",row($C$2:$C1251)=max(if($C$2:$C1251=C1252,row($C$2:$C1251),0)))) ,1),0),0))"),"")</f>
        <v/>
      </c>
      <c r="Q1252" s="147" t="str">
        <f t="shared" si="22"/>
        <v/>
      </c>
      <c r="R1252" s="147" t="str">
        <f t="shared" si="23"/>
        <v/>
      </c>
      <c r="S1252" s="147" t="str">
        <f t="shared" si="24"/>
        <v/>
      </c>
      <c r="T1252" s="147" t="str">
        <f t="shared" si="7"/>
        <v/>
      </c>
      <c r="U1252" s="150" t="str">
        <f t="shared" si="8"/>
        <v/>
      </c>
      <c r="V1252" s="151" t="str">
        <f>IFERROR(VLOOKUP(C1252,Ativos!$A$1:$G2000,5,),)</f>
        <v/>
      </c>
    </row>
    <row r="1253" ht="21.0" customHeight="1">
      <c r="A1253" s="152"/>
      <c r="B1253" s="160"/>
      <c r="C1253" s="153"/>
      <c r="D1253" s="154"/>
      <c r="E1253" s="139"/>
      <c r="F1253" s="139"/>
      <c r="G1253" s="139"/>
      <c r="H1253" s="135"/>
      <c r="I1253" s="141"/>
      <c r="J1253" s="147" t="str">
        <f>IFERROR(__xludf.DUMMYFUNCTION("IF(ISBLANK(A1253),IFERROR(1/0),IF(COUNT(FILTER(F:F,A:A=A1253))&gt;1,TRUNC(N1253*F1253/SUM(FILTER(N:N,A:A=A1253)),3),F1253))"),"")</f>
        <v/>
      </c>
      <c r="K1253" s="147" t="str">
        <f>IFERROR(__xludf.DUMMYFUNCTION("IF(ISBLANK(A1253),IFERROR(1/0),IF(COUNT(FILTER(G:G,((A:A=A1253)*(B:B=""V""))))&gt;1,TRUNC(N1253*G1253/SUM(FILTER(N:N,((A:A=A1253)*(B:B=""V"")))),3),G1253))"),"")</f>
        <v/>
      </c>
      <c r="L1253" s="148" t="str">
        <f>IFERROR(__xludf.DUMMYFUNCTION("if($C1253="""","""",iferror(if(row()&lt;&gt;2,INDEX(arrayformula(filter($M$2:$M1252,$C$2:$C1252&lt;&gt;"""",row($C$2:$C1252)=max(if($C$2:$C1252=C1253,row($C$2:$C1252),0)))) ,1),0),0))"),"")</f>
        <v/>
      </c>
      <c r="M1253" s="148" t="str">
        <f t="shared" si="1"/>
        <v/>
      </c>
      <c r="N1253" s="147" t="str">
        <f t="shared" si="2"/>
        <v/>
      </c>
      <c r="O1253" s="147" t="str">
        <f t="shared" si="21"/>
        <v/>
      </c>
      <c r="P1253" s="147" t="str">
        <f>IFERROR(__xludf.DUMMYFUNCTION("if(C1253="""","""",iferror(if(row()&lt;&gt;2,INDEX(arrayformula(filter($Q$2:$Q1252,$C$2:$C1252&lt;&gt;"""",row($C$2:$C1252)=max(if($C$2:$C1252=C1253,row($C$2:$C1252),0)))) ,1),0),0))"),"")</f>
        <v/>
      </c>
      <c r="Q1253" s="147" t="str">
        <f t="shared" si="22"/>
        <v/>
      </c>
      <c r="R1253" s="147" t="str">
        <f t="shared" si="23"/>
        <v/>
      </c>
      <c r="S1253" s="147" t="str">
        <f t="shared" si="24"/>
        <v/>
      </c>
      <c r="T1253" s="147" t="str">
        <f t="shared" si="7"/>
        <v/>
      </c>
      <c r="U1253" s="150" t="str">
        <f t="shared" si="8"/>
        <v/>
      </c>
      <c r="V1253" s="151" t="str">
        <f>IFERROR(VLOOKUP(C1253,Ativos!$A$1:$G2000,5,),)</f>
        <v/>
      </c>
    </row>
    <row r="1254" ht="21.0" customHeight="1">
      <c r="A1254" s="152"/>
      <c r="B1254" s="160"/>
      <c r="C1254" s="153"/>
      <c r="D1254" s="154"/>
      <c r="E1254" s="139"/>
      <c r="F1254" s="139"/>
      <c r="G1254" s="139"/>
      <c r="H1254" s="135"/>
      <c r="I1254" s="141"/>
      <c r="J1254" s="147" t="str">
        <f>IFERROR(__xludf.DUMMYFUNCTION("IF(ISBLANK(A1254),IFERROR(1/0),IF(COUNT(FILTER(F:F,A:A=A1254))&gt;1,TRUNC(N1254*F1254/SUM(FILTER(N:N,A:A=A1254)),3),F1254))"),"")</f>
        <v/>
      </c>
      <c r="K1254" s="147" t="str">
        <f>IFERROR(__xludf.DUMMYFUNCTION("IF(ISBLANK(A1254),IFERROR(1/0),IF(COUNT(FILTER(G:G,((A:A=A1254)*(B:B=""V""))))&gt;1,TRUNC(N1254*G1254/SUM(FILTER(N:N,((A:A=A1254)*(B:B=""V"")))),3),G1254))"),"")</f>
        <v/>
      </c>
      <c r="L1254" s="148" t="str">
        <f>IFERROR(__xludf.DUMMYFUNCTION("if($C1254="""","""",iferror(if(row()&lt;&gt;2,INDEX(arrayformula(filter($M$2:$M1253,$C$2:$C1253&lt;&gt;"""",row($C$2:$C1253)=max(if($C$2:$C1253=C1254,row($C$2:$C1253),0)))) ,1),0),0))"),"")</f>
        <v/>
      </c>
      <c r="M1254" s="148" t="str">
        <f t="shared" si="1"/>
        <v/>
      </c>
      <c r="N1254" s="147" t="str">
        <f t="shared" si="2"/>
        <v/>
      </c>
      <c r="O1254" s="147" t="str">
        <f t="shared" si="21"/>
        <v/>
      </c>
      <c r="P1254" s="147" t="str">
        <f>IFERROR(__xludf.DUMMYFUNCTION("if(C1254="""","""",iferror(if(row()&lt;&gt;2,INDEX(arrayformula(filter($Q$2:$Q1253,$C$2:$C1253&lt;&gt;"""",row($C$2:$C1253)=max(if($C$2:$C1253=C1254,row($C$2:$C1253),0)))) ,1),0),0))"),"")</f>
        <v/>
      </c>
      <c r="Q1254" s="147" t="str">
        <f t="shared" si="22"/>
        <v/>
      </c>
      <c r="R1254" s="147" t="str">
        <f t="shared" si="23"/>
        <v/>
      </c>
      <c r="S1254" s="147" t="str">
        <f t="shared" si="24"/>
        <v/>
      </c>
      <c r="T1254" s="147" t="str">
        <f t="shared" si="7"/>
        <v/>
      </c>
      <c r="U1254" s="150" t="str">
        <f t="shared" si="8"/>
        <v/>
      </c>
      <c r="V1254" s="151" t="str">
        <f>IFERROR(VLOOKUP(C1254,Ativos!$A$1:$G2000,5,),)</f>
        <v/>
      </c>
    </row>
    <row r="1255" ht="21.0" customHeight="1">
      <c r="A1255" s="152"/>
      <c r="B1255" s="160"/>
      <c r="C1255" s="153"/>
      <c r="D1255" s="154"/>
      <c r="E1255" s="139"/>
      <c r="F1255" s="139"/>
      <c r="G1255" s="139"/>
      <c r="H1255" s="135"/>
      <c r="I1255" s="141"/>
      <c r="J1255" s="147" t="str">
        <f>IFERROR(__xludf.DUMMYFUNCTION("IF(ISBLANK(A1255),IFERROR(1/0),IF(COUNT(FILTER(F:F,A:A=A1255))&gt;1,TRUNC(N1255*F1255/SUM(FILTER(N:N,A:A=A1255)),3),F1255))"),"")</f>
        <v/>
      </c>
      <c r="K1255" s="147" t="str">
        <f>IFERROR(__xludf.DUMMYFUNCTION("IF(ISBLANK(A1255),IFERROR(1/0),IF(COUNT(FILTER(G:G,((A:A=A1255)*(B:B=""V""))))&gt;1,TRUNC(N1255*G1255/SUM(FILTER(N:N,((A:A=A1255)*(B:B=""V"")))),3),G1255))"),"")</f>
        <v/>
      </c>
      <c r="L1255" s="148" t="str">
        <f>IFERROR(__xludf.DUMMYFUNCTION("if($C1255="""","""",iferror(if(row()&lt;&gt;2,INDEX(arrayformula(filter($M$2:$M1254,$C$2:$C1254&lt;&gt;"""",row($C$2:$C1254)=max(if($C$2:$C1254=C1255,row($C$2:$C1254),0)))) ,1),0),0))"),"")</f>
        <v/>
      </c>
      <c r="M1255" s="148" t="str">
        <f t="shared" si="1"/>
        <v/>
      </c>
      <c r="N1255" s="147" t="str">
        <f t="shared" si="2"/>
        <v/>
      </c>
      <c r="O1255" s="147" t="str">
        <f t="shared" si="21"/>
        <v/>
      </c>
      <c r="P1255" s="147" t="str">
        <f>IFERROR(__xludf.DUMMYFUNCTION("if(C1255="""","""",iferror(if(row()&lt;&gt;2,INDEX(arrayformula(filter($Q$2:$Q1254,$C$2:$C1254&lt;&gt;"""",row($C$2:$C1254)=max(if($C$2:$C1254=C1255,row($C$2:$C1254),0)))) ,1),0),0))"),"")</f>
        <v/>
      </c>
      <c r="Q1255" s="147" t="str">
        <f t="shared" si="22"/>
        <v/>
      </c>
      <c r="R1255" s="147" t="str">
        <f t="shared" si="23"/>
        <v/>
      </c>
      <c r="S1255" s="147" t="str">
        <f t="shared" si="24"/>
        <v/>
      </c>
      <c r="T1255" s="147" t="str">
        <f t="shared" si="7"/>
        <v/>
      </c>
      <c r="U1255" s="150" t="str">
        <f t="shared" si="8"/>
        <v/>
      </c>
      <c r="V1255" s="151" t="str">
        <f>IFERROR(VLOOKUP(C1255,Ativos!$A$1:$G2000,5,),)</f>
        <v/>
      </c>
    </row>
    <row r="1256" ht="21.0" customHeight="1">
      <c r="A1256" s="152"/>
      <c r="B1256" s="160"/>
      <c r="C1256" s="153"/>
      <c r="D1256" s="154"/>
      <c r="E1256" s="139"/>
      <c r="F1256" s="139"/>
      <c r="G1256" s="139"/>
      <c r="H1256" s="135"/>
      <c r="I1256" s="141"/>
      <c r="J1256" s="147" t="str">
        <f>IFERROR(__xludf.DUMMYFUNCTION("IF(ISBLANK(A1256),IFERROR(1/0),IF(COUNT(FILTER(F:F,A:A=A1256))&gt;1,TRUNC(N1256*F1256/SUM(FILTER(N:N,A:A=A1256)),3),F1256))"),"")</f>
        <v/>
      </c>
      <c r="K1256" s="147" t="str">
        <f>IFERROR(__xludf.DUMMYFUNCTION("IF(ISBLANK(A1256),IFERROR(1/0),IF(COUNT(FILTER(G:G,((A:A=A1256)*(B:B=""V""))))&gt;1,TRUNC(N1256*G1256/SUM(FILTER(N:N,((A:A=A1256)*(B:B=""V"")))),3),G1256))"),"")</f>
        <v/>
      </c>
      <c r="L1256" s="148" t="str">
        <f>IFERROR(__xludf.DUMMYFUNCTION("if($C1256="""","""",iferror(if(row()&lt;&gt;2,INDEX(arrayformula(filter($M$2:$M1255,$C$2:$C1255&lt;&gt;"""",row($C$2:$C1255)=max(if($C$2:$C1255=C1256,row($C$2:$C1255),0)))) ,1),0),0))"),"")</f>
        <v/>
      </c>
      <c r="M1256" s="148" t="str">
        <f t="shared" si="1"/>
        <v/>
      </c>
      <c r="N1256" s="147" t="str">
        <f t="shared" si="2"/>
        <v/>
      </c>
      <c r="O1256" s="147" t="str">
        <f t="shared" si="21"/>
        <v/>
      </c>
      <c r="P1256" s="147" t="str">
        <f>IFERROR(__xludf.DUMMYFUNCTION("if(C1256="""","""",iferror(if(row()&lt;&gt;2,INDEX(arrayformula(filter($Q$2:$Q1255,$C$2:$C1255&lt;&gt;"""",row($C$2:$C1255)=max(if($C$2:$C1255=C1256,row($C$2:$C1255),0)))) ,1),0),0))"),"")</f>
        <v/>
      </c>
      <c r="Q1256" s="147" t="str">
        <f t="shared" si="22"/>
        <v/>
      </c>
      <c r="R1256" s="147" t="str">
        <f t="shared" si="23"/>
        <v/>
      </c>
      <c r="S1256" s="147" t="str">
        <f t="shared" si="24"/>
        <v/>
      </c>
      <c r="T1256" s="147" t="str">
        <f t="shared" si="7"/>
        <v/>
      </c>
      <c r="U1256" s="150" t="str">
        <f t="shared" si="8"/>
        <v/>
      </c>
      <c r="V1256" s="151" t="str">
        <f>IFERROR(VLOOKUP(C1256,Ativos!$A$1:$G2000,5,),)</f>
        <v/>
      </c>
    </row>
    <row r="1257" ht="21.0" customHeight="1">
      <c r="A1257" s="152"/>
      <c r="B1257" s="160"/>
      <c r="C1257" s="153"/>
      <c r="D1257" s="154"/>
      <c r="E1257" s="139"/>
      <c r="F1257" s="139"/>
      <c r="G1257" s="139"/>
      <c r="H1257" s="135"/>
      <c r="I1257" s="141"/>
      <c r="J1257" s="147" t="str">
        <f>IFERROR(__xludf.DUMMYFUNCTION("IF(ISBLANK(A1257),IFERROR(1/0),IF(COUNT(FILTER(F:F,A:A=A1257))&gt;1,TRUNC(N1257*F1257/SUM(FILTER(N:N,A:A=A1257)),3),F1257))"),"")</f>
        <v/>
      </c>
      <c r="K1257" s="147" t="str">
        <f>IFERROR(__xludf.DUMMYFUNCTION("IF(ISBLANK(A1257),IFERROR(1/0),IF(COUNT(FILTER(G:G,((A:A=A1257)*(B:B=""V""))))&gt;1,TRUNC(N1257*G1257/SUM(FILTER(N:N,((A:A=A1257)*(B:B=""V"")))),3),G1257))"),"")</f>
        <v/>
      </c>
      <c r="L1257" s="148" t="str">
        <f>IFERROR(__xludf.DUMMYFUNCTION("if($C1257="""","""",iferror(if(row()&lt;&gt;2,INDEX(arrayformula(filter($M$2:$M1256,$C$2:$C1256&lt;&gt;"""",row($C$2:$C1256)=max(if($C$2:$C1256=C1257,row($C$2:$C1256),0)))) ,1),0),0))"),"")</f>
        <v/>
      </c>
      <c r="M1257" s="148" t="str">
        <f t="shared" si="1"/>
        <v/>
      </c>
      <c r="N1257" s="147" t="str">
        <f t="shared" si="2"/>
        <v/>
      </c>
      <c r="O1257" s="147" t="str">
        <f t="shared" si="21"/>
        <v/>
      </c>
      <c r="P1257" s="147" t="str">
        <f>IFERROR(__xludf.DUMMYFUNCTION("if(C1257="""","""",iferror(if(row()&lt;&gt;2,INDEX(arrayformula(filter($Q$2:$Q1256,$C$2:$C1256&lt;&gt;"""",row($C$2:$C1256)=max(if($C$2:$C1256=C1257,row($C$2:$C1256),0)))) ,1),0),0))"),"")</f>
        <v/>
      </c>
      <c r="Q1257" s="147" t="str">
        <f t="shared" si="22"/>
        <v/>
      </c>
      <c r="R1257" s="147" t="str">
        <f t="shared" si="23"/>
        <v/>
      </c>
      <c r="S1257" s="147" t="str">
        <f t="shared" si="24"/>
        <v/>
      </c>
      <c r="T1257" s="147" t="str">
        <f t="shared" si="7"/>
        <v/>
      </c>
      <c r="U1257" s="150" t="str">
        <f t="shared" si="8"/>
        <v/>
      </c>
      <c r="V1257" s="151" t="str">
        <f>IFERROR(VLOOKUP(C1257,Ativos!$A$1:$G2000,5,),)</f>
        <v/>
      </c>
    </row>
    <row r="1258" ht="21.0" customHeight="1">
      <c r="A1258" s="152"/>
      <c r="B1258" s="160"/>
      <c r="C1258" s="153"/>
      <c r="D1258" s="154"/>
      <c r="E1258" s="139"/>
      <c r="F1258" s="139"/>
      <c r="G1258" s="139"/>
      <c r="H1258" s="135"/>
      <c r="I1258" s="141"/>
      <c r="J1258" s="147" t="str">
        <f>IFERROR(__xludf.DUMMYFUNCTION("IF(ISBLANK(A1258),IFERROR(1/0),IF(COUNT(FILTER(F:F,A:A=A1258))&gt;1,TRUNC(N1258*F1258/SUM(FILTER(N:N,A:A=A1258)),3),F1258))"),"")</f>
        <v/>
      </c>
      <c r="K1258" s="147" t="str">
        <f>IFERROR(__xludf.DUMMYFUNCTION("IF(ISBLANK(A1258),IFERROR(1/0),IF(COUNT(FILTER(G:G,((A:A=A1258)*(B:B=""V""))))&gt;1,TRUNC(N1258*G1258/SUM(FILTER(N:N,((A:A=A1258)*(B:B=""V"")))),3),G1258))"),"")</f>
        <v/>
      </c>
      <c r="L1258" s="148" t="str">
        <f>IFERROR(__xludf.DUMMYFUNCTION("if($C1258="""","""",iferror(if(row()&lt;&gt;2,INDEX(arrayformula(filter($M$2:$M1257,$C$2:$C1257&lt;&gt;"""",row($C$2:$C1257)=max(if($C$2:$C1257=C1258,row($C$2:$C1257),0)))) ,1),0),0))"),"")</f>
        <v/>
      </c>
      <c r="M1258" s="148" t="str">
        <f t="shared" si="1"/>
        <v/>
      </c>
      <c r="N1258" s="147" t="str">
        <f t="shared" si="2"/>
        <v/>
      </c>
      <c r="O1258" s="147" t="str">
        <f t="shared" si="21"/>
        <v/>
      </c>
      <c r="P1258" s="147" t="str">
        <f>IFERROR(__xludf.DUMMYFUNCTION("if(C1258="""","""",iferror(if(row()&lt;&gt;2,INDEX(arrayformula(filter($Q$2:$Q1257,$C$2:$C1257&lt;&gt;"""",row($C$2:$C1257)=max(if($C$2:$C1257=C1258,row($C$2:$C1257),0)))) ,1),0),0))"),"")</f>
        <v/>
      </c>
      <c r="Q1258" s="147" t="str">
        <f t="shared" si="22"/>
        <v/>
      </c>
      <c r="R1258" s="147" t="str">
        <f t="shared" si="23"/>
        <v/>
      </c>
      <c r="S1258" s="147" t="str">
        <f t="shared" si="24"/>
        <v/>
      </c>
      <c r="T1258" s="147" t="str">
        <f t="shared" si="7"/>
        <v/>
      </c>
      <c r="U1258" s="150" t="str">
        <f t="shared" si="8"/>
        <v/>
      </c>
      <c r="V1258" s="151" t="str">
        <f>IFERROR(VLOOKUP(C1258,Ativos!$A$1:$G2000,5,),)</f>
        <v/>
      </c>
    </row>
    <row r="1259" ht="21.0" customHeight="1">
      <c r="A1259" s="152"/>
      <c r="B1259" s="160"/>
      <c r="C1259" s="153"/>
      <c r="D1259" s="154"/>
      <c r="E1259" s="139"/>
      <c r="F1259" s="139"/>
      <c r="G1259" s="139"/>
      <c r="H1259" s="135"/>
      <c r="I1259" s="141"/>
      <c r="J1259" s="147" t="str">
        <f>IFERROR(__xludf.DUMMYFUNCTION("IF(ISBLANK(A1259),IFERROR(1/0),IF(COUNT(FILTER(F:F,A:A=A1259))&gt;1,TRUNC(N1259*F1259/SUM(FILTER(N:N,A:A=A1259)),3),F1259))"),"")</f>
        <v/>
      </c>
      <c r="K1259" s="147" t="str">
        <f>IFERROR(__xludf.DUMMYFUNCTION("IF(ISBLANK(A1259),IFERROR(1/0),IF(COUNT(FILTER(G:G,((A:A=A1259)*(B:B=""V""))))&gt;1,TRUNC(N1259*G1259/SUM(FILTER(N:N,((A:A=A1259)*(B:B=""V"")))),3),G1259))"),"")</f>
        <v/>
      </c>
      <c r="L1259" s="148" t="str">
        <f>IFERROR(__xludf.DUMMYFUNCTION("if($C1259="""","""",iferror(if(row()&lt;&gt;2,INDEX(arrayformula(filter($M$2:$M1258,$C$2:$C1258&lt;&gt;"""",row($C$2:$C1258)=max(if($C$2:$C1258=C1259,row($C$2:$C1258),0)))) ,1),0),0))"),"")</f>
        <v/>
      </c>
      <c r="M1259" s="148" t="str">
        <f t="shared" si="1"/>
        <v/>
      </c>
      <c r="N1259" s="147" t="str">
        <f t="shared" si="2"/>
        <v/>
      </c>
      <c r="O1259" s="147" t="str">
        <f t="shared" si="21"/>
        <v/>
      </c>
      <c r="P1259" s="147" t="str">
        <f>IFERROR(__xludf.DUMMYFUNCTION("if(C1259="""","""",iferror(if(row()&lt;&gt;2,INDEX(arrayformula(filter($Q$2:$Q1258,$C$2:$C1258&lt;&gt;"""",row($C$2:$C1258)=max(if($C$2:$C1258=C1259,row($C$2:$C1258),0)))) ,1),0),0))"),"")</f>
        <v/>
      </c>
      <c r="Q1259" s="147" t="str">
        <f t="shared" si="22"/>
        <v/>
      </c>
      <c r="R1259" s="147" t="str">
        <f t="shared" si="23"/>
        <v/>
      </c>
      <c r="S1259" s="147" t="str">
        <f t="shared" si="24"/>
        <v/>
      </c>
      <c r="T1259" s="147" t="str">
        <f t="shared" si="7"/>
        <v/>
      </c>
      <c r="U1259" s="150" t="str">
        <f t="shared" si="8"/>
        <v/>
      </c>
      <c r="V1259" s="151" t="str">
        <f>IFERROR(VLOOKUP(C1259,Ativos!$A$1:$G2000,5,),)</f>
        <v/>
      </c>
    </row>
    <row r="1260" ht="21.0" customHeight="1">
      <c r="A1260" s="152"/>
      <c r="B1260" s="160"/>
      <c r="C1260" s="153"/>
      <c r="D1260" s="154"/>
      <c r="E1260" s="139"/>
      <c r="F1260" s="139"/>
      <c r="G1260" s="139"/>
      <c r="H1260" s="135"/>
      <c r="I1260" s="141"/>
      <c r="J1260" s="147" t="str">
        <f>IFERROR(__xludf.DUMMYFUNCTION("IF(ISBLANK(A1260),IFERROR(1/0),IF(COUNT(FILTER(F:F,A:A=A1260))&gt;1,TRUNC(N1260*F1260/SUM(FILTER(N:N,A:A=A1260)),3),F1260))"),"")</f>
        <v/>
      </c>
      <c r="K1260" s="147" t="str">
        <f>IFERROR(__xludf.DUMMYFUNCTION("IF(ISBLANK(A1260),IFERROR(1/0),IF(COUNT(FILTER(G:G,((A:A=A1260)*(B:B=""V""))))&gt;1,TRUNC(N1260*G1260/SUM(FILTER(N:N,((A:A=A1260)*(B:B=""V"")))),3),G1260))"),"")</f>
        <v/>
      </c>
      <c r="L1260" s="148" t="str">
        <f>IFERROR(__xludf.DUMMYFUNCTION("if($C1260="""","""",iferror(if(row()&lt;&gt;2,INDEX(arrayformula(filter($M$2:$M1259,$C$2:$C1259&lt;&gt;"""",row($C$2:$C1259)=max(if($C$2:$C1259=C1260,row($C$2:$C1259),0)))) ,1),0),0))"),"")</f>
        <v/>
      </c>
      <c r="M1260" s="148" t="str">
        <f t="shared" si="1"/>
        <v/>
      </c>
      <c r="N1260" s="147" t="str">
        <f t="shared" si="2"/>
        <v/>
      </c>
      <c r="O1260" s="147" t="str">
        <f t="shared" si="21"/>
        <v/>
      </c>
      <c r="P1260" s="147" t="str">
        <f>IFERROR(__xludf.DUMMYFUNCTION("if(C1260="""","""",iferror(if(row()&lt;&gt;2,INDEX(arrayformula(filter($Q$2:$Q1259,$C$2:$C1259&lt;&gt;"""",row($C$2:$C1259)=max(if($C$2:$C1259=C1260,row($C$2:$C1259),0)))) ,1),0),0))"),"")</f>
        <v/>
      </c>
      <c r="Q1260" s="147" t="str">
        <f t="shared" si="22"/>
        <v/>
      </c>
      <c r="R1260" s="147" t="str">
        <f t="shared" si="23"/>
        <v/>
      </c>
      <c r="S1260" s="147" t="str">
        <f t="shared" si="24"/>
        <v/>
      </c>
      <c r="T1260" s="147" t="str">
        <f t="shared" si="7"/>
        <v/>
      </c>
      <c r="U1260" s="150" t="str">
        <f t="shared" si="8"/>
        <v/>
      </c>
      <c r="V1260" s="151" t="str">
        <f>IFERROR(VLOOKUP(C1260,Ativos!$A$1:$G2000,5,),)</f>
        <v/>
      </c>
    </row>
    <row r="1261" ht="21.0" customHeight="1">
      <c r="A1261" s="152"/>
      <c r="B1261" s="160"/>
      <c r="C1261" s="153"/>
      <c r="D1261" s="154"/>
      <c r="E1261" s="139"/>
      <c r="F1261" s="139"/>
      <c r="G1261" s="139"/>
      <c r="H1261" s="135"/>
      <c r="I1261" s="141"/>
      <c r="J1261" s="147" t="str">
        <f>IFERROR(__xludf.DUMMYFUNCTION("IF(ISBLANK(A1261),IFERROR(1/0),IF(COUNT(FILTER(F:F,A:A=A1261))&gt;1,TRUNC(N1261*F1261/SUM(FILTER(N:N,A:A=A1261)),3),F1261))"),"")</f>
        <v/>
      </c>
      <c r="K1261" s="147" t="str">
        <f>IFERROR(__xludf.DUMMYFUNCTION("IF(ISBLANK(A1261),IFERROR(1/0),IF(COUNT(FILTER(G:G,((A:A=A1261)*(B:B=""V""))))&gt;1,TRUNC(N1261*G1261/SUM(FILTER(N:N,((A:A=A1261)*(B:B=""V"")))),3),G1261))"),"")</f>
        <v/>
      </c>
      <c r="L1261" s="148" t="str">
        <f>IFERROR(__xludf.DUMMYFUNCTION("if($C1261="""","""",iferror(if(row()&lt;&gt;2,INDEX(arrayformula(filter($M$2:$M1260,$C$2:$C1260&lt;&gt;"""",row($C$2:$C1260)=max(if($C$2:$C1260=C1261,row($C$2:$C1260),0)))) ,1),0),0))"),"")</f>
        <v/>
      </c>
      <c r="M1261" s="148" t="str">
        <f t="shared" si="1"/>
        <v/>
      </c>
      <c r="N1261" s="147" t="str">
        <f t="shared" si="2"/>
        <v/>
      </c>
      <c r="O1261" s="147" t="str">
        <f t="shared" si="21"/>
        <v/>
      </c>
      <c r="P1261" s="147" t="str">
        <f>IFERROR(__xludf.DUMMYFUNCTION("if(C1261="""","""",iferror(if(row()&lt;&gt;2,INDEX(arrayformula(filter($Q$2:$Q1260,$C$2:$C1260&lt;&gt;"""",row($C$2:$C1260)=max(if($C$2:$C1260=C1261,row($C$2:$C1260),0)))) ,1),0),0))"),"")</f>
        <v/>
      </c>
      <c r="Q1261" s="147" t="str">
        <f t="shared" si="22"/>
        <v/>
      </c>
      <c r="R1261" s="147" t="str">
        <f t="shared" si="23"/>
        <v/>
      </c>
      <c r="S1261" s="147" t="str">
        <f t="shared" si="24"/>
        <v/>
      </c>
      <c r="T1261" s="147" t="str">
        <f t="shared" si="7"/>
        <v/>
      </c>
      <c r="U1261" s="150" t="str">
        <f t="shared" si="8"/>
        <v/>
      </c>
      <c r="V1261" s="151" t="str">
        <f>IFERROR(VLOOKUP(C1261,Ativos!$A$1:$G2000,5,),)</f>
        <v/>
      </c>
    </row>
    <row r="1262" ht="21.0" customHeight="1">
      <c r="A1262" s="152"/>
      <c r="B1262" s="160"/>
      <c r="C1262" s="153"/>
      <c r="D1262" s="154"/>
      <c r="E1262" s="139"/>
      <c r="F1262" s="139"/>
      <c r="G1262" s="139"/>
      <c r="H1262" s="135"/>
      <c r="I1262" s="141"/>
      <c r="J1262" s="147" t="str">
        <f>IFERROR(__xludf.DUMMYFUNCTION("IF(ISBLANK(A1262),IFERROR(1/0),IF(COUNT(FILTER(F:F,A:A=A1262))&gt;1,TRUNC(N1262*F1262/SUM(FILTER(N:N,A:A=A1262)),3),F1262))"),"")</f>
        <v/>
      </c>
      <c r="K1262" s="147" t="str">
        <f>IFERROR(__xludf.DUMMYFUNCTION("IF(ISBLANK(A1262),IFERROR(1/0),IF(COUNT(FILTER(G:G,((A:A=A1262)*(B:B=""V""))))&gt;1,TRUNC(N1262*G1262/SUM(FILTER(N:N,((A:A=A1262)*(B:B=""V"")))),3),G1262))"),"")</f>
        <v/>
      </c>
      <c r="L1262" s="148" t="str">
        <f>IFERROR(__xludf.DUMMYFUNCTION("if($C1262="""","""",iferror(if(row()&lt;&gt;2,INDEX(arrayformula(filter($M$2:$M1261,$C$2:$C1261&lt;&gt;"""",row($C$2:$C1261)=max(if($C$2:$C1261=C1262,row($C$2:$C1261),0)))) ,1),0),0))"),"")</f>
        <v/>
      </c>
      <c r="M1262" s="148" t="str">
        <f t="shared" si="1"/>
        <v/>
      </c>
      <c r="N1262" s="147" t="str">
        <f t="shared" si="2"/>
        <v/>
      </c>
      <c r="O1262" s="147" t="str">
        <f t="shared" si="21"/>
        <v/>
      </c>
      <c r="P1262" s="147" t="str">
        <f>IFERROR(__xludf.DUMMYFUNCTION("if(C1262="""","""",iferror(if(row()&lt;&gt;2,INDEX(arrayformula(filter($Q$2:$Q1261,$C$2:$C1261&lt;&gt;"""",row($C$2:$C1261)=max(if($C$2:$C1261=C1262,row($C$2:$C1261),0)))) ,1),0),0))"),"")</f>
        <v/>
      </c>
      <c r="Q1262" s="147" t="str">
        <f t="shared" si="22"/>
        <v/>
      </c>
      <c r="R1262" s="147" t="str">
        <f t="shared" si="23"/>
        <v/>
      </c>
      <c r="S1262" s="147" t="str">
        <f t="shared" si="24"/>
        <v/>
      </c>
      <c r="T1262" s="147" t="str">
        <f t="shared" si="7"/>
        <v/>
      </c>
      <c r="U1262" s="150" t="str">
        <f t="shared" si="8"/>
        <v/>
      </c>
      <c r="V1262" s="151" t="str">
        <f>IFERROR(VLOOKUP(C1262,Ativos!$A$1:$G2000,5,),)</f>
        <v/>
      </c>
    </row>
    <row r="1263" ht="21.0" customHeight="1">
      <c r="A1263" s="152"/>
      <c r="B1263" s="160"/>
      <c r="C1263" s="153"/>
      <c r="D1263" s="154"/>
      <c r="E1263" s="139"/>
      <c r="F1263" s="139"/>
      <c r="G1263" s="139"/>
      <c r="H1263" s="135"/>
      <c r="I1263" s="141"/>
      <c r="J1263" s="147" t="str">
        <f>IFERROR(__xludf.DUMMYFUNCTION("IF(ISBLANK(A1263),IFERROR(1/0),IF(COUNT(FILTER(F:F,A:A=A1263))&gt;1,TRUNC(N1263*F1263/SUM(FILTER(N:N,A:A=A1263)),3),F1263))"),"")</f>
        <v/>
      </c>
      <c r="K1263" s="147" t="str">
        <f>IFERROR(__xludf.DUMMYFUNCTION("IF(ISBLANK(A1263),IFERROR(1/0),IF(COUNT(FILTER(G:G,((A:A=A1263)*(B:B=""V""))))&gt;1,TRUNC(N1263*G1263/SUM(FILTER(N:N,((A:A=A1263)*(B:B=""V"")))),3),G1263))"),"")</f>
        <v/>
      </c>
      <c r="L1263" s="148" t="str">
        <f>IFERROR(__xludf.DUMMYFUNCTION("if($C1263="""","""",iferror(if(row()&lt;&gt;2,INDEX(arrayformula(filter($M$2:$M1262,$C$2:$C1262&lt;&gt;"""",row($C$2:$C1262)=max(if($C$2:$C1262=C1263,row($C$2:$C1262),0)))) ,1),0),0))"),"")</f>
        <v/>
      </c>
      <c r="M1263" s="148" t="str">
        <f t="shared" si="1"/>
        <v/>
      </c>
      <c r="N1263" s="147" t="str">
        <f t="shared" si="2"/>
        <v/>
      </c>
      <c r="O1263" s="147" t="str">
        <f t="shared" si="21"/>
        <v/>
      </c>
      <c r="P1263" s="147" t="str">
        <f>IFERROR(__xludf.DUMMYFUNCTION("if(C1263="""","""",iferror(if(row()&lt;&gt;2,INDEX(arrayformula(filter($Q$2:$Q1262,$C$2:$C1262&lt;&gt;"""",row($C$2:$C1262)=max(if($C$2:$C1262=C1263,row($C$2:$C1262),0)))) ,1),0),0))"),"")</f>
        <v/>
      </c>
      <c r="Q1263" s="147" t="str">
        <f t="shared" si="22"/>
        <v/>
      </c>
      <c r="R1263" s="147" t="str">
        <f t="shared" si="23"/>
        <v/>
      </c>
      <c r="S1263" s="147" t="str">
        <f t="shared" si="24"/>
        <v/>
      </c>
      <c r="T1263" s="147" t="str">
        <f t="shared" si="7"/>
        <v/>
      </c>
      <c r="U1263" s="150" t="str">
        <f t="shared" si="8"/>
        <v/>
      </c>
      <c r="V1263" s="151" t="str">
        <f>IFERROR(VLOOKUP(C1263,Ativos!$A$1:$G2000,5,),)</f>
        <v/>
      </c>
    </row>
    <row r="1264" ht="21.0" customHeight="1">
      <c r="A1264" s="152"/>
      <c r="B1264" s="160"/>
      <c r="C1264" s="153"/>
      <c r="D1264" s="154"/>
      <c r="E1264" s="139"/>
      <c r="F1264" s="139"/>
      <c r="G1264" s="139"/>
      <c r="H1264" s="135"/>
      <c r="I1264" s="141"/>
      <c r="J1264" s="147" t="str">
        <f>IFERROR(__xludf.DUMMYFUNCTION("IF(ISBLANK(A1264),IFERROR(1/0),IF(COUNT(FILTER(F:F,A:A=A1264))&gt;1,TRUNC(N1264*F1264/SUM(FILTER(N:N,A:A=A1264)),3),F1264))"),"")</f>
        <v/>
      </c>
      <c r="K1264" s="147" t="str">
        <f>IFERROR(__xludf.DUMMYFUNCTION("IF(ISBLANK(A1264),IFERROR(1/0),IF(COUNT(FILTER(G:G,((A:A=A1264)*(B:B=""V""))))&gt;1,TRUNC(N1264*G1264/SUM(FILTER(N:N,((A:A=A1264)*(B:B=""V"")))),3),G1264))"),"")</f>
        <v/>
      </c>
      <c r="L1264" s="148" t="str">
        <f>IFERROR(__xludf.DUMMYFUNCTION("if($C1264="""","""",iferror(if(row()&lt;&gt;2,INDEX(arrayformula(filter($M$2:$M1263,$C$2:$C1263&lt;&gt;"""",row($C$2:$C1263)=max(if($C$2:$C1263=C1264,row($C$2:$C1263),0)))) ,1),0),0))"),"")</f>
        <v/>
      </c>
      <c r="M1264" s="148" t="str">
        <f t="shared" si="1"/>
        <v/>
      </c>
      <c r="N1264" s="147" t="str">
        <f t="shared" si="2"/>
        <v/>
      </c>
      <c r="O1264" s="147" t="str">
        <f t="shared" si="21"/>
        <v/>
      </c>
      <c r="P1264" s="147" t="str">
        <f>IFERROR(__xludf.DUMMYFUNCTION("if(C1264="""","""",iferror(if(row()&lt;&gt;2,INDEX(arrayformula(filter($Q$2:$Q1263,$C$2:$C1263&lt;&gt;"""",row($C$2:$C1263)=max(if($C$2:$C1263=C1264,row($C$2:$C1263),0)))) ,1),0),0))"),"")</f>
        <v/>
      </c>
      <c r="Q1264" s="147" t="str">
        <f t="shared" si="22"/>
        <v/>
      </c>
      <c r="R1264" s="147" t="str">
        <f t="shared" si="23"/>
        <v/>
      </c>
      <c r="S1264" s="147" t="str">
        <f t="shared" si="24"/>
        <v/>
      </c>
      <c r="T1264" s="147" t="str">
        <f t="shared" si="7"/>
        <v/>
      </c>
      <c r="U1264" s="150" t="str">
        <f t="shared" si="8"/>
        <v/>
      </c>
      <c r="V1264" s="151" t="str">
        <f>IFERROR(VLOOKUP(C1264,Ativos!$A$1:$G2000,5,),)</f>
        <v/>
      </c>
    </row>
    <row r="1265" ht="21.0" customHeight="1">
      <c r="A1265" s="152"/>
      <c r="B1265" s="160"/>
      <c r="C1265" s="153"/>
      <c r="D1265" s="154"/>
      <c r="E1265" s="139"/>
      <c r="F1265" s="139"/>
      <c r="G1265" s="139"/>
      <c r="H1265" s="135"/>
      <c r="I1265" s="141"/>
      <c r="J1265" s="147" t="str">
        <f>IFERROR(__xludf.DUMMYFUNCTION("IF(ISBLANK(A1265),IFERROR(1/0),IF(COUNT(FILTER(F:F,A:A=A1265))&gt;1,TRUNC(N1265*F1265/SUM(FILTER(N:N,A:A=A1265)),3),F1265))"),"")</f>
        <v/>
      </c>
      <c r="K1265" s="147" t="str">
        <f>IFERROR(__xludf.DUMMYFUNCTION("IF(ISBLANK(A1265),IFERROR(1/0),IF(COUNT(FILTER(G:G,((A:A=A1265)*(B:B=""V""))))&gt;1,TRUNC(N1265*G1265/SUM(FILTER(N:N,((A:A=A1265)*(B:B=""V"")))),3),G1265))"),"")</f>
        <v/>
      </c>
      <c r="L1265" s="148" t="str">
        <f>IFERROR(__xludf.DUMMYFUNCTION("if($C1265="""","""",iferror(if(row()&lt;&gt;2,INDEX(arrayformula(filter($M$2:$M1264,$C$2:$C1264&lt;&gt;"""",row($C$2:$C1264)=max(if($C$2:$C1264=C1265,row($C$2:$C1264),0)))) ,1),0),0))"),"")</f>
        <v/>
      </c>
      <c r="M1265" s="148" t="str">
        <f t="shared" si="1"/>
        <v/>
      </c>
      <c r="N1265" s="147" t="str">
        <f t="shared" si="2"/>
        <v/>
      </c>
      <c r="O1265" s="147" t="str">
        <f t="shared" si="21"/>
        <v/>
      </c>
      <c r="P1265" s="147" t="str">
        <f>IFERROR(__xludf.DUMMYFUNCTION("if(C1265="""","""",iferror(if(row()&lt;&gt;2,INDEX(arrayformula(filter($Q$2:$Q1264,$C$2:$C1264&lt;&gt;"""",row($C$2:$C1264)=max(if($C$2:$C1264=C1265,row($C$2:$C1264),0)))) ,1),0),0))"),"")</f>
        <v/>
      </c>
      <c r="Q1265" s="147" t="str">
        <f t="shared" si="22"/>
        <v/>
      </c>
      <c r="R1265" s="147" t="str">
        <f t="shared" si="23"/>
        <v/>
      </c>
      <c r="S1265" s="147" t="str">
        <f t="shared" si="24"/>
        <v/>
      </c>
      <c r="T1265" s="147" t="str">
        <f t="shared" si="7"/>
        <v/>
      </c>
      <c r="U1265" s="150" t="str">
        <f t="shared" si="8"/>
        <v/>
      </c>
      <c r="V1265" s="151" t="str">
        <f>IFERROR(VLOOKUP(C1265,Ativos!$A$1:$G2000,5,),)</f>
        <v/>
      </c>
    </row>
    <row r="1266" ht="21.0" customHeight="1">
      <c r="A1266" s="152"/>
      <c r="B1266" s="160"/>
      <c r="C1266" s="153"/>
      <c r="D1266" s="154"/>
      <c r="E1266" s="139"/>
      <c r="F1266" s="139"/>
      <c r="G1266" s="139"/>
      <c r="H1266" s="135"/>
      <c r="I1266" s="141"/>
      <c r="J1266" s="147" t="str">
        <f>IFERROR(__xludf.DUMMYFUNCTION("IF(ISBLANK(A1266),IFERROR(1/0),IF(COUNT(FILTER(F:F,A:A=A1266))&gt;1,TRUNC(N1266*F1266/SUM(FILTER(N:N,A:A=A1266)),3),F1266))"),"")</f>
        <v/>
      </c>
      <c r="K1266" s="147" t="str">
        <f>IFERROR(__xludf.DUMMYFUNCTION("IF(ISBLANK(A1266),IFERROR(1/0),IF(COUNT(FILTER(G:G,((A:A=A1266)*(B:B=""V""))))&gt;1,TRUNC(N1266*G1266/SUM(FILTER(N:N,((A:A=A1266)*(B:B=""V"")))),3),G1266))"),"")</f>
        <v/>
      </c>
      <c r="L1266" s="148" t="str">
        <f>IFERROR(__xludf.DUMMYFUNCTION("if($C1266="""","""",iferror(if(row()&lt;&gt;2,INDEX(arrayformula(filter($M$2:$M1265,$C$2:$C1265&lt;&gt;"""",row($C$2:$C1265)=max(if($C$2:$C1265=C1266,row($C$2:$C1265),0)))) ,1),0),0))"),"")</f>
        <v/>
      </c>
      <c r="M1266" s="148" t="str">
        <f t="shared" si="1"/>
        <v/>
      </c>
      <c r="N1266" s="147" t="str">
        <f t="shared" si="2"/>
        <v/>
      </c>
      <c r="O1266" s="147" t="str">
        <f t="shared" si="21"/>
        <v/>
      </c>
      <c r="P1266" s="147" t="str">
        <f>IFERROR(__xludf.DUMMYFUNCTION("if(C1266="""","""",iferror(if(row()&lt;&gt;2,INDEX(arrayformula(filter($Q$2:$Q1265,$C$2:$C1265&lt;&gt;"""",row($C$2:$C1265)=max(if($C$2:$C1265=C1266,row($C$2:$C1265),0)))) ,1),0),0))"),"")</f>
        <v/>
      </c>
      <c r="Q1266" s="147" t="str">
        <f t="shared" si="22"/>
        <v/>
      </c>
      <c r="R1266" s="147" t="str">
        <f t="shared" si="23"/>
        <v/>
      </c>
      <c r="S1266" s="147" t="str">
        <f t="shared" si="24"/>
        <v/>
      </c>
      <c r="T1266" s="147" t="str">
        <f t="shared" si="7"/>
        <v/>
      </c>
      <c r="U1266" s="150" t="str">
        <f t="shared" si="8"/>
        <v/>
      </c>
      <c r="V1266" s="151" t="str">
        <f>IFERROR(VLOOKUP(C1266,Ativos!$A$1:$G2000,5,),)</f>
        <v/>
      </c>
    </row>
    <row r="1267" ht="21.0" customHeight="1">
      <c r="A1267" s="152"/>
      <c r="B1267" s="160"/>
      <c r="C1267" s="153"/>
      <c r="D1267" s="154"/>
      <c r="E1267" s="139"/>
      <c r="F1267" s="139"/>
      <c r="G1267" s="139"/>
      <c r="H1267" s="135"/>
      <c r="I1267" s="141"/>
      <c r="J1267" s="147" t="str">
        <f>IFERROR(__xludf.DUMMYFUNCTION("IF(ISBLANK(A1267),IFERROR(1/0),IF(COUNT(FILTER(F:F,A:A=A1267))&gt;1,TRUNC(N1267*F1267/SUM(FILTER(N:N,A:A=A1267)),3),F1267))"),"")</f>
        <v/>
      </c>
      <c r="K1267" s="147" t="str">
        <f>IFERROR(__xludf.DUMMYFUNCTION("IF(ISBLANK(A1267),IFERROR(1/0),IF(COUNT(FILTER(G:G,((A:A=A1267)*(B:B=""V""))))&gt;1,TRUNC(N1267*G1267/SUM(FILTER(N:N,((A:A=A1267)*(B:B=""V"")))),3),G1267))"),"")</f>
        <v/>
      </c>
      <c r="L1267" s="148" t="str">
        <f>IFERROR(__xludf.DUMMYFUNCTION("if($C1267="""","""",iferror(if(row()&lt;&gt;2,INDEX(arrayformula(filter($M$2:$M1266,$C$2:$C1266&lt;&gt;"""",row($C$2:$C1266)=max(if($C$2:$C1266=C1267,row($C$2:$C1266),0)))) ,1),0),0))"),"")</f>
        <v/>
      </c>
      <c r="M1267" s="148" t="str">
        <f t="shared" si="1"/>
        <v/>
      </c>
      <c r="N1267" s="147" t="str">
        <f t="shared" si="2"/>
        <v/>
      </c>
      <c r="O1267" s="147" t="str">
        <f t="shared" si="21"/>
        <v/>
      </c>
      <c r="P1267" s="147" t="str">
        <f>IFERROR(__xludf.DUMMYFUNCTION("if(C1267="""","""",iferror(if(row()&lt;&gt;2,INDEX(arrayformula(filter($Q$2:$Q1266,$C$2:$C1266&lt;&gt;"""",row($C$2:$C1266)=max(if($C$2:$C1266=C1267,row($C$2:$C1266),0)))) ,1),0),0))"),"")</f>
        <v/>
      </c>
      <c r="Q1267" s="147" t="str">
        <f t="shared" si="22"/>
        <v/>
      </c>
      <c r="R1267" s="147" t="str">
        <f t="shared" si="23"/>
        <v/>
      </c>
      <c r="S1267" s="147" t="str">
        <f t="shared" si="24"/>
        <v/>
      </c>
      <c r="T1267" s="147" t="str">
        <f t="shared" si="7"/>
        <v/>
      </c>
      <c r="U1267" s="150" t="str">
        <f t="shared" si="8"/>
        <v/>
      </c>
      <c r="V1267" s="151" t="str">
        <f>IFERROR(VLOOKUP(C1267,Ativos!$A$1:$G2000,5,),)</f>
        <v/>
      </c>
    </row>
    <row r="1268" ht="21.0" customHeight="1">
      <c r="A1268" s="152"/>
      <c r="B1268" s="160"/>
      <c r="C1268" s="153"/>
      <c r="D1268" s="154"/>
      <c r="E1268" s="139"/>
      <c r="F1268" s="139"/>
      <c r="G1268" s="139"/>
      <c r="H1268" s="135"/>
      <c r="I1268" s="141"/>
      <c r="J1268" s="147" t="str">
        <f>IFERROR(__xludf.DUMMYFUNCTION("IF(ISBLANK(A1268),IFERROR(1/0),IF(COUNT(FILTER(F:F,A:A=A1268))&gt;1,TRUNC(N1268*F1268/SUM(FILTER(N:N,A:A=A1268)),3),F1268))"),"")</f>
        <v/>
      </c>
      <c r="K1268" s="147" t="str">
        <f>IFERROR(__xludf.DUMMYFUNCTION("IF(ISBLANK(A1268),IFERROR(1/0),IF(COUNT(FILTER(G:G,((A:A=A1268)*(B:B=""V""))))&gt;1,TRUNC(N1268*G1268/SUM(FILTER(N:N,((A:A=A1268)*(B:B=""V"")))),3),G1268))"),"")</f>
        <v/>
      </c>
      <c r="L1268" s="148" t="str">
        <f>IFERROR(__xludf.DUMMYFUNCTION("if($C1268="""","""",iferror(if(row()&lt;&gt;2,INDEX(arrayformula(filter($M$2:$M1267,$C$2:$C1267&lt;&gt;"""",row($C$2:$C1267)=max(if($C$2:$C1267=C1268,row($C$2:$C1267),0)))) ,1),0),0))"),"")</f>
        <v/>
      </c>
      <c r="M1268" s="148" t="str">
        <f t="shared" si="1"/>
        <v/>
      </c>
      <c r="N1268" s="147" t="str">
        <f t="shared" si="2"/>
        <v/>
      </c>
      <c r="O1268" s="147" t="str">
        <f t="shared" si="21"/>
        <v/>
      </c>
      <c r="P1268" s="147" t="str">
        <f>IFERROR(__xludf.DUMMYFUNCTION("if(C1268="""","""",iferror(if(row()&lt;&gt;2,INDEX(arrayformula(filter($Q$2:$Q1267,$C$2:$C1267&lt;&gt;"""",row($C$2:$C1267)=max(if($C$2:$C1267=C1268,row($C$2:$C1267),0)))) ,1),0),0))"),"")</f>
        <v/>
      </c>
      <c r="Q1268" s="147" t="str">
        <f t="shared" si="22"/>
        <v/>
      </c>
      <c r="R1268" s="147" t="str">
        <f t="shared" si="23"/>
        <v/>
      </c>
      <c r="S1268" s="147" t="str">
        <f t="shared" si="24"/>
        <v/>
      </c>
      <c r="T1268" s="147" t="str">
        <f t="shared" si="7"/>
        <v/>
      </c>
      <c r="U1268" s="150" t="str">
        <f t="shared" si="8"/>
        <v/>
      </c>
      <c r="V1268" s="151" t="str">
        <f>IFERROR(VLOOKUP(C1268,Ativos!$A$1:$G2000,5,),)</f>
        <v/>
      </c>
    </row>
    <row r="1269" ht="21.0" customHeight="1">
      <c r="A1269" s="152"/>
      <c r="B1269" s="160"/>
      <c r="C1269" s="153"/>
      <c r="D1269" s="154"/>
      <c r="E1269" s="139"/>
      <c r="F1269" s="139"/>
      <c r="G1269" s="139"/>
      <c r="H1269" s="135"/>
      <c r="I1269" s="141"/>
      <c r="J1269" s="147" t="str">
        <f>IFERROR(__xludf.DUMMYFUNCTION("IF(ISBLANK(A1269),IFERROR(1/0),IF(COUNT(FILTER(F:F,A:A=A1269))&gt;1,TRUNC(N1269*F1269/SUM(FILTER(N:N,A:A=A1269)),3),F1269))"),"")</f>
        <v/>
      </c>
      <c r="K1269" s="147" t="str">
        <f>IFERROR(__xludf.DUMMYFUNCTION("IF(ISBLANK(A1269),IFERROR(1/0),IF(COUNT(FILTER(G:G,((A:A=A1269)*(B:B=""V""))))&gt;1,TRUNC(N1269*G1269/SUM(FILTER(N:N,((A:A=A1269)*(B:B=""V"")))),3),G1269))"),"")</f>
        <v/>
      </c>
      <c r="L1269" s="148" t="str">
        <f>IFERROR(__xludf.DUMMYFUNCTION("if($C1269="""","""",iferror(if(row()&lt;&gt;2,INDEX(arrayformula(filter($M$2:$M1268,$C$2:$C1268&lt;&gt;"""",row($C$2:$C1268)=max(if($C$2:$C1268=C1269,row($C$2:$C1268),0)))) ,1),0),0))"),"")</f>
        <v/>
      </c>
      <c r="M1269" s="148" t="str">
        <f t="shared" si="1"/>
        <v/>
      </c>
      <c r="N1269" s="147" t="str">
        <f t="shared" si="2"/>
        <v/>
      </c>
      <c r="O1269" s="147" t="str">
        <f t="shared" si="21"/>
        <v/>
      </c>
      <c r="P1269" s="147" t="str">
        <f>IFERROR(__xludf.DUMMYFUNCTION("if(C1269="""","""",iferror(if(row()&lt;&gt;2,INDEX(arrayformula(filter($Q$2:$Q1268,$C$2:$C1268&lt;&gt;"""",row($C$2:$C1268)=max(if($C$2:$C1268=C1269,row($C$2:$C1268),0)))) ,1),0),0))"),"")</f>
        <v/>
      </c>
      <c r="Q1269" s="147" t="str">
        <f t="shared" si="22"/>
        <v/>
      </c>
      <c r="R1269" s="147" t="str">
        <f t="shared" si="23"/>
        <v/>
      </c>
      <c r="S1269" s="147" t="str">
        <f t="shared" si="24"/>
        <v/>
      </c>
      <c r="T1269" s="147" t="str">
        <f t="shared" si="7"/>
        <v/>
      </c>
      <c r="U1269" s="150" t="str">
        <f t="shared" si="8"/>
        <v/>
      </c>
      <c r="V1269" s="151" t="str">
        <f>IFERROR(VLOOKUP(C1269,Ativos!$A$1:$G2000,5,),)</f>
        <v/>
      </c>
    </row>
    <row r="1270" ht="21.0" customHeight="1">
      <c r="A1270" s="152"/>
      <c r="B1270" s="160"/>
      <c r="C1270" s="153"/>
      <c r="D1270" s="154"/>
      <c r="E1270" s="139"/>
      <c r="F1270" s="139"/>
      <c r="G1270" s="139"/>
      <c r="H1270" s="135"/>
      <c r="I1270" s="141"/>
      <c r="J1270" s="147" t="str">
        <f>IFERROR(__xludf.DUMMYFUNCTION("IF(ISBLANK(A1270),IFERROR(1/0),IF(COUNT(FILTER(F:F,A:A=A1270))&gt;1,TRUNC(N1270*F1270/SUM(FILTER(N:N,A:A=A1270)),3),F1270))"),"")</f>
        <v/>
      </c>
      <c r="K1270" s="147" t="str">
        <f>IFERROR(__xludf.DUMMYFUNCTION("IF(ISBLANK(A1270),IFERROR(1/0),IF(COUNT(FILTER(G:G,((A:A=A1270)*(B:B=""V""))))&gt;1,TRUNC(N1270*G1270/SUM(FILTER(N:N,((A:A=A1270)*(B:B=""V"")))),3),G1270))"),"")</f>
        <v/>
      </c>
      <c r="L1270" s="148" t="str">
        <f>IFERROR(__xludf.DUMMYFUNCTION("if($C1270="""","""",iferror(if(row()&lt;&gt;2,INDEX(arrayformula(filter($M$2:$M1269,$C$2:$C1269&lt;&gt;"""",row($C$2:$C1269)=max(if($C$2:$C1269=C1270,row($C$2:$C1269),0)))) ,1),0),0))"),"")</f>
        <v/>
      </c>
      <c r="M1270" s="148" t="str">
        <f t="shared" si="1"/>
        <v/>
      </c>
      <c r="N1270" s="147" t="str">
        <f t="shared" si="2"/>
        <v/>
      </c>
      <c r="O1270" s="147" t="str">
        <f t="shared" si="21"/>
        <v/>
      </c>
      <c r="P1270" s="147" t="str">
        <f>IFERROR(__xludf.DUMMYFUNCTION("if(C1270="""","""",iferror(if(row()&lt;&gt;2,INDEX(arrayformula(filter($Q$2:$Q1269,$C$2:$C1269&lt;&gt;"""",row($C$2:$C1269)=max(if($C$2:$C1269=C1270,row($C$2:$C1269),0)))) ,1),0),0))"),"")</f>
        <v/>
      </c>
      <c r="Q1270" s="147" t="str">
        <f t="shared" si="22"/>
        <v/>
      </c>
      <c r="R1270" s="147" t="str">
        <f t="shared" si="23"/>
        <v/>
      </c>
      <c r="S1270" s="147" t="str">
        <f t="shared" si="24"/>
        <v/>
      </c>
      <c r="T1270" s="147" t="str">
        <f t="shared" si="7"/>
        <v/>
      </c>
      <c r="U1270" s="150" t="str">
        <f t="shared" si="8"/>
        <v/>
      </c>
      <c r="V1270" s="151" t="str">
        <f>IFERROR(VLOOKUP(C1270,Ativos!$A$1:$G2000,5,),)</f>
        <v/>
      </c>
    </row>
    <row r="1271" ht="21.0" customHeight="1">
      <c r="A1271" s="152"/>
      <c r="B1271" s="160"/>
      <c r="C1271" s="153"/>
      <c r="D1271" s="154"/>
      <c r="E1271" s="139"/>
      <c r="F1271" s="139"/>
      <c r="G1271" s="139"/>
      <c r="H1271" s="135"/>
      <c r="I1271" s="141"/>
      <c r="J1271" s="147" t="str">
        <f>IFERROR(__xludf.DUMMYFUNCTION("IF(ISBLANK(A1271),IFERROR(1/0),IF(COUNT(FILTER(F:F,A:A=A1271))&gt;1,TRUNC(N1271*F1271/SUM(FILTER(N:N,A:A=A1271)),3),F1271))"),"")</f>
        <v/>
      </c>
      <c r="K1271" s="147" t="str">
        <f>IFERROR(__xludf.DUMMYFUNCTION("IF(ISBLANK(A1271),IFERROR(1/0),IF(COUNT(FILTER(G:G,((A:A=A1271)*(B:B=""V""))))&gt;1,TRUNC(N1271*G1271/SUM(FILTER(N:N,((A:A=A1271)*(B:B=""V"")))),3),G1271))"),"")</f>
        <v/>
      </c>
      <c r="L1271" s="148" t="str">
        <f>IFERROR(__xludf.DUMMYFUNCTION("if($C1271="""","""",iferror(if(row()&lt;&gt;2,INDEX(arrayformula(filter($M$2:$M1270,$C$2:$C1270&lt;&gt;"""",row($C$2:$C1270)=max(if($C$2:$C1270=C1271,row($C$2:$C1270),0)))) ,1),0),0))"),"")</f>
        <v/>
      </c>
      <c r="M1271" s="148" t="str">
        <f t="shared" si="1"/>
        <v/>
      </c>
      <c r="N1271" s="147" t="str">
        <f t="shared" si="2"/>
        <v/>
      </c>
      <c r="O1271" s="147" t="str">
        <f t="shared" si="21"/>
        <v/>
      </c>
      <c r="P1271" s="147" t="str">
        <f>IFERROR(__xludf.DUMMYFUNCTION("if(C1271="""","""",iferror(if(row()&lt;&gt;2,INDEX(arrayformula(filter($Q$2:$Q1270,$C$2:$C1270&lt;&gt;"""",row($C$2:$C1270)=max(if($C$2:$C1270=C1271,row($C$2:$C1270),0)))) ,1),0),0))"),"")</f>
        <v/>
      </c>
      <c r="Q1271" s="147" t="str">
        <f t="shared" si="22"/>
        <v/>
      </c>
      <c r="R1271" s="147" t="str">
        <f t="shared" si="23"/>
        <v/>
      </c>
      <c r="S1271" s="147" t="str">
        <f t="shared" si="24"/>
        <v/>
      </c>
      <c r="T1271" s="147" t="str">
        <f t="shared" si="7"/>
        <v/>
      </c>
      <c r="U1271" s="150" t="str">
        <f t="shared" si="8"/>
        <v/>
      </c>
      <c r="V1271" s="151" t="str">
        <f>IFERROR(VLOOKUP(C1271,Ativos!$A$1:$G2000,5,),)</f>
        <v/>
      </c>
    </row>
    <row r="1272" ht="21.0" customHeight="1">
      <c r="A1272" s="152"/>
      <c r="B1272" s="160"/>
      <c r="C1272" s="153"/>
      <c r="D1272" s="154"/>
      <c r="E1272" s="139"/>
      <c r="F1272" s="139"/>
      <c r="G1272" s="139"/>
      <c r="H1272" s="135"/>
      <c r="I1272" s="141"/>
      <c r="J1272" s="147" t="str">
        <f>IFERROR(__xludf.DUMMYFUNCTION("IF(ISBLANK(A1272),IFERROR(1/0),IF(COUNT(FILTER(F:F,A:A=A1272))&gt;1,TRUNC(N1272*F1272/SUM(FILTER(N:N,A:A=A1272)),3),F1272))"),"")</f>
        <v/>
      </c>
      <c r="K1272" s="147" t="str">
        <f>IFERROR(__xludf.DUMMYFUNCTION("IF(ISBLANK(A1272),IFERROR(1/0),IF(COUNT(FILTER(G:G,((A:A=A1272)*(B:B=""V""))))&gt;1,TRUNC(N1272*G1272/SUM(FILTER(N:N,((A:A=A1272)*(B:B=""V"")))),3),G1272))"),"")</f>
        <v/>
      </c>
      <c r="L1272" s="148" t="str">
        <f>IFERROR(__xludf.DUMMYFUNCTION("if($C1272="""","""",iferror(if(row()&lt;&gt;2,INDEX(arrayformula(filter($M$2:$M1271,$C$2:$C1271&lt;&gt;"""",row($C$2:$C1271)=max(if($C$2:$C1271=C1272,row($C$2:$C1271),0)))) ,1),0),0))"),"")</f>
        <v/>
      </c>
      <c r="M1272" s="148" t="str">
        <f t="shared" si="1"/>
        <v/>
      </c>
      <c r="N1272" s="147" t="str">
        <f t="shared" si="2"/>
        <v/>
      </c>
      <c r="O1272" s="147" t="str">
        <f t="shared" si="21"/>
        <v/>
      </c>
      <c r="P1272" s="147" t="str">
        <f>IFERROR(__xludf.DUMMYFUNCTION("if(C1272="""","""",iferror(if(row()&lt;&gt;2,INDEX(arrayformula(filter($Q$2:$Q1271,$C$2:$C1271&lt;&gt;"""",row($C$2:$C1271)=max(if($C$2:$C1271=C1272,row($C$2:$C1271),0)))) ,1),0),0))"),"")</f>
        <v/>
      </c>
      <c r="Q1272" s="147" t="str">
        <f t="shared" si="22"/>
        <v/>
      </c>
      <c r="R1272" s="147" t="str">
        <f t="shared" si="23"/>
        <v/>
      </c>
      <c r="S1272" s="147" t="str">
        <f t="shared" si="24"/>
        <v/>
      </c>
      <c r="T1272" s="147" t="str">
        <f t="shared" si="7"/>
        <v/>
      </c>
      <c r="U1272" s="150" t="str">
        <f t="shared" si="8"/>
        <v/>
      </c>
      <c r="V1272" s="151" t="str">
        <f>IFERROR(VLOOKUP(C1272,Ativos!$A$1:$G2000,5,),)</f>
        <v/>
      </c>
    </row>
    <row r="1273" ht="21.0" customHeight="1">
      <c r="A1273" s="152"/>
      <c r="B1273" s="160"/>
      <c r="C1273" s="153"/>
      <c r="D1273" s="154"/>
      <c r="E1273" s="139"/>
      <c r="F1273" s="139"/>
      <c r="G1273" s="139"/>
      <c r="H1273" s="135"/>
      <c r="I1273" s="141"/>
      <c r="J1273" s="147" t="str">
        <f>IFERROR(__xludf.DUMMYFUNCTION("IF(ISBLANK(A1273),IFERROR(1/0),IF(COUNT(FILTER(F:F,A:A=A1273))&gt;1,TRUNC(N1273*F1273/SUM(FILTER(N:N,A:A=A1273)),3),F1273))"),"")</f>
        <v/>
      </c>
      <c r="K1273" s="147" t="str">
        <f>IFERROR(__xludf.DUMMYFUNCTION("IF(ISBLANK(A1273),IFERROR(1/0),IF(COUNT(FILTER(G:G,((A:A=A1273)*(B:B=""V""))))&gt;1,TRUNC(N1273*G1273/SUM(FILTER(N:N,((A:A=A1273)*(B:B=""V"")))),3),G1273))"),"")</f>
        <v/>
      </c>
      <c r="L1273" s="148" t="str">
        <f>IFERROR(__xludf.DUMMYFUNCTION("if($C1273="""","""",iferror(if(row()&lt;&gt;2,INDEX(arrayformula(filter($M$2:$M1272,$C$2:$C1272&lt;&gt;"""",row($C$2:$C1272)=max(if($C$2:$C1272=C1273,row($C$2:$C1272),0)))) ,1),0),0))"),"")</f>
        <v/>
      </c>
      <c r="M1273" s="148" t="str">
        <f t="shared" si="1"/>
        <v/>
      </c>
      <c r="N1273" s="147" t="str">
        <f t="shared" si="2"/>
        <v/>
      </c>
      <c r="O1273" s="147" t="str">
        <f t="shared" si="21"/>
        <v/>
      </c>
      <c r="P1273" s="147" t="str">
        <f>IFERROR(__xludf.DUMMYFUNCTION("if(C1273="""","""",iferror(if(row()&lt;&gt;2,INDEX(arrayformula(filter($Q$2:$Q1272,$C$2:$C1272&lt;&gt;"""",row($C$2:$C1272)=max(if($C$2:$C1272=C1273,row($C$2:$C1272),0)))) ,1),0),0))"),"")</f>
        <v/>
      </c>
      <c r="Q1273" s="147" t="str">
        <f t="shared" si="22"/>
        <v/>
      </c>
      <c r="R1273" s="147" t="str">
        <f t="shared" si="23"/>
        <v/>
      </c>
      <c r="S1273" s="147" t="str">
        <f t="shared" si="24"/>
        <v/>
      </c>
      <c r="T1273" s="147" t="str">
        <f t="shared" si="7"/>
        <v/>
      </c>
      <c r="U1273" s="150" t="str">
        <f t="shared" si="8"/>
        <v/>
      </c>
      <c r="V1273" s="151" t="str">
        <f>IFERROR(VLOOKUP(C1273,Ativos!$A$1:$G2000,5,),)</f>
        <v/>
      </c>
    </row>
    <row r="1274" ht="21.0" customHeight="1">
      <c r="A1274" s="152"/>
      <c r="B1274" s="160"/>
      <c r="C1274" s="153"/>
      <c r="D1274" s="154"/>
      <c r="E1274" s="139"/>
      <c r="F1274" s="139"/>
      <c r="G1274" s="139"/>
      <c r="H1274" s="135"/>
      <c r="I1274" s="141"/>
      <c r="J1274" s="147" t="str">
        <f>IFERROR(__xludf.DUMMYFUNCTION("IF(ISBLANK(A1274),IFERROR(1/0),IF(COUNT(FILTER(F:F,A:A=A1274))&gt;1,TRUNC(N1274*F1274/SUM(FILTER(N:N,A:A=A1274)),3),F1274))"),"")</f>
        <v/>
      </c>
      <c r="K1274" s="147" t="str">
        <f>IFERROR(__xludf.DUMMYFUNCTION("IF(ISBLANK(A1274),IFERROR(1/0),IF(COUNT(FILTER(G:G,((A:A=A1274)*(B:B=""V""))))&gt;1,TRUNC(N1274*G1274/SUM(FILTER(N:N,((A:A=A1274)*(B:B=""V"")))),3),G1274))"),"")</f>
        <v/>
      </c>
      <c r="L1274" s="148" t="str">
        <f>IFERROR(__xludf.DUMMYFUNCTION("if($C1274="""","""",iferror(if(row()&lt;&gt;2,INDEX(arrayformula(filter($M$2:$M1273,$C$2:$C1273&lt;&gt;"""",row($C$2:$C1273)=max(if($C$2:$C1273=C1274,row($C$2:$C1273),0)))) ,1),0),0))"),"")</f>
        <v/>
      </c>
      <c r="M1274" s="148" t="str">
        <f t="shared" si="1"/>
        <v/>
      </c>
      <c r="N1274" s="147" t="str">
        <f t="shared" si="2"/>
        <v/>
      </c>
      <c r="O1274" s="147" t="str">
        <f t="shared" si="21"/>
        <v/>
      </c>
      <c r="P1274" s="147" t="str">
        <f>IFERROR(__xludf.DUMMYFUNCTION("if(C1274="""","""",iferror(if(row()&lt;&gt;2,INDEX(arrayformula(filter($Q$2:$Q1273,$C$2:$C1273&lt;&gt;"""",row($C$2:$C1273)=max(if($C$2:$C1273=C1274,row($C$2:$C1273),0)))) ,1),0),0))"),"")</f>
        <v/>
      </c>
      <c r="Q1274" s="147" t="str">
        <f t="shared" si="22"/>
        <v/>
      </c>
      <c r="R1274" s="147" t="str">
        <f t="shared" si="23"/>
        <v/>
      </c>
      <c r="S1274" s="147" t="str">
        <f t="shared" si="24"/>
        <v/>
      </c>
      <c r="T1274" s="147" t="str">
        <f t="shared" si="7"/>
        <v/>
      </c>
      <c r="U1274" s="150" t="str">
        <f t="shared" si="8"/>
        <v/>
      </c>
      <c r="V1274" s="151" t="str">
        <f>IFERROR(VLOOKUP(C1274,Ativos!$A$1:$G2000,5,),)</f>
        <v/>
      </c>
    </row>
    <row r="1275" ht="21.0" customHeight="1">
      <c r="A1275" s="152"/>
      <c r="B1275" s="160"/>
      <c r="C1275" s="153"/>
      <c r="D1275" s="154"/>
      <c r="E1275" s="139"/>
      <c r="F1275" s="139"/>
      <c r="G1275" s="139"/>
      <c r="H1275" s="135"/>
      <c r="I1275" s="141"/>
      <c r="J1275" s="147" t="str">
        <f>IFERROR(__xludf.DUMMYFUNCTION("IF(ISBLANK(A1275),IFERROR(1/0),IF(COUNT(FILTER(F:F,A:A=A1275))&gt;1,TRUNC(N1275*F1275/SUM(FILTER(N:N,A:A=A1275)),3),F1275))"),"")</f>
        <v/>
      </c>
      <c r="K1275" s="147" t="str">
        <f>IFERROR(__xludf.DUMMYFUNCTION("IF(ISBLANK(A1275),IFERROR(1/0),IF(COUNT(FILTER(G:G,((A:A=A1275)*(B:B=""V""))))&gt;1,TRUNC(N1275*G1275/SUM(FILTER(N:N,((A:A=A1275)*(B:B=""V"")))),3),G1275))"),"")</f>
        <v/>
      </c>
      <c r="L1275" s="148" t="str">
        <f>IFERROR(__xludf.DUMMYFUNCTION("if($C1275="""","""",iferror(if(row()&lt;&gt;2,INDEX(arrayformula(filter($M$2:$M1274,$C$2:$C1274&lt;&gt;"""",row($C$2:$C1274)=max(if($C$2:$C1274=C1275,row($C$2:$C1274),0)))) ,1),0),0))"),"")</f>
        <v/>
      </c>
      <c r="M1275" s="148" t="str">
        <f t="shared" si="1"/>
        <v/>
      </c>
      <c r="N1275" s="147" t="str">
        <f t="shared" si="2"/>
        <v/>
      </c>
      <c r="O1275" s="147" t="str">
        <f t="shared" si="21"/>
        <v/>
      </c>
      <c r="P1275" s="147" t="str">
        <f>IFERROR(__xludf.DUMMYFUNCTION("if(C1275="""","""",iferror(if(row()&lt;&gt;2,INDEX(arrayformula(filter($Q$2:$Q1274,$C$2:$C1274&lt;&gt;"""",row($C$2:$C1274)=max(if($C$2:$C1274=C1275,row($C$2:$C1274),0)))) ,1),0),0))"),"")</f>
        <v/>
      </c>
      <c r="Q1275" s="147" t="str">
        <f t="shared" si="22"/>
        <v/>
      </c>
      <c r="R1275" s="147" t="str">
        <f t="shared" si="23"/>
        <v/>
      </c>
      <c r="S1275" s="147" t="str">
        <f t="shared" si="24"/>
        <v/>
      </c>
      <c r="T1275" s="147" t="str">
        <f t="shared" si="7"/>
        <v/>
      </c>
      <c r="U1275" s="150" t="str">
        <f t="shared" si="8"/>
        <v/>
      </c>
      <c r="V1275" s="151" t="str">
        <f>IFERROR(VLOOKUP(C1275,Ativos!$A$1:$G2000,5,),)</f>
        <v/>
      </c>
    </row>
    <row r="1276" ht="21.0" customHeight="1">
      <c r="A1276" s="152"/>
      <c r="B1276" s="160"/>
      <c r="C1276" s="153"/>
      <c r="D1276" s="154"/>
      <c r="E1276" s="139"/>
      <c r="F1276" s="139"/>
      <c r="G1276" s="139"/>
      <c r="H1276" s="135"/>
      <c r="I1276" s="141"/>
      <c r="J1276" s="147" t="str">
        <f>IFERROR(__xludf.DUMMYFUNCTION("IF(ISBLANK(A1276),IFERROR(1/0),IF(COUNT(FILTER(F:F,A:A=A1276))&gt;1,TRUNC(N1276*F1276/SUM(FILTER(N:N,A:A=A1276)),3),F1276))"),"")</f>
        <v/>
      </c>
      <c r="K1276" s="147" t="str">
        <f>IFERROR(__xludf.DUMMYFUNCTION("IF(ISBLANK(A1276),IFERROR(1/0),IF(COUNT(FILTER(G:G,((A:A=A1276)*(B:B=""V""))))&gt;1,TRUNC(N1276*G1276/SUM(FILTER(N:N,((A:A=A1276)*(B:B=""V"")))),3),G1276))"),"")</f>
        <v/>
      </c>
      <c r="L1276" s="148" t="str">
        <f>IFERROR(__xludf.DUMMYFUNCTION("if($C1276="""","""",iferror(if(row()&lt;&gt;2,INDEX(arrayformula(filter($M$2:$M1275,$C$2:$C1275&lt;&gt;"""",row($C$2:$C1275)=max(if($C$2:$C1275=C1276,row($C$2:$C1275),0)))) ,1),0),0))"),"")</f>
        <v/>
      </c>
      <c r="M1276" s="148" t="str">
        <f t="shared" si="1"/>
        <v/>
      </c>
      <c r="N1276" s="147" t="str">
        <f t="shared" si="2"/>
        <v/>
      </c>
      <c r="O1276" s="147" t="str">
        <f t="shared" si="21"/>
        <v/>
      </c>
      <c r="P1276" s="147" t="str">
        <f>IFERROR(__xludf.DUMMYFUNCTION("if(C1276="""","""",iferror(if(row()&lt;&gt;2,INDEX(arrayformula(filter($Q$2:$Q1275,$C$2:$C1275&lt;&gt;"""",row($C$2:$C1275)=max(if($C$2:$C1275=C1276,row($C$2:$C1275),0)))) ,1),0),0))"),"")</f>
        <v/>
      </c>
      <c r="Q1276" s="147" t="str">
        <f t="shared" si="22"/>
        <v/>
      </c>
      <c r="R1276" s="147" t="str">
        <f t="shared" si="23"/>
        <v/>
      </c>
      <c r="S1276" s="147" t="str">
        <f t="shared" si="24"/>
        <v/>
      </c>
      <c r="T1276" s="147" t="str">
        <f t="shared" si="7"/>
        <v/>
      </c>
      <c r="U1276" s="150" t="str">
        <f t="shared" si="8"/>
        <v/>
      </c>
      <c r="V1276" s="151" t="str">
        <f>IFERROR(VLOOKUP(C1276,Ativos!$A$1:$G2000,5,),)</f>
        <v/>
      </c>
    </row>
    <row r="1277" ht="21.0" customHeight="1">
      <c r="A1277" s="152"/>
      <c r="B1277" s="160"/>
      <c r="C1277" s="153"/>
      <c r="D1277" s="154"/>
      <c r="E1277" s="139"/>
      <c r="F1277" s="139"/>
      <c r="G1277" s="139"/>
      <c r="H1277" s="135"/>
      <c r="I1277" s="141"/>
      <c r="J1277" s="147" t="str">
        <f>IFERROR(__xludf.DUMMYFUNCTION("IF(ISBLANK(A1277),IFERROR(1/0),IF(COUNT(FILTER(F:F,A:A=A1277))&gt;1,TRUNC(N1277*F1277/SUM(FILTER(N:N,A:A=A1277)),3),F1277))"),"")</f>
        <v/>
      </c>
      <c r="K1277" s="147" t="str">
        <f>IFERROR(__xludf.DUMMYFUNCTION("IF(ISBLANK(A1277),IFERROR(1/0),IF(COUNT(FILTER(G:G,((A:A=A1277)*(B:B=""V""))))&gt;1,TRUNC(N1277*G1277/SUM(FILTER(N:N,((A:A=A1277)*(B:B=""V"")))),3),G1277))"),"")</f>
        <v/>
      </c>
      <c r="L1277" s="148" t="str">
        <f>IFERROR(__xludf.DUMMYFUNCTION("if($C1277="""","""",iferror(if(row()&lt;&gt;2,INDEX(arrayformula(filter($M$2:$M1276,$C$2:$C1276&lt;&gt;"""",row($C$2:$C1276)=max(if($C$2:$C1276=C1277,row($C$2:$C1276),0)))) ,1),0),0))"),"")</f>
        <v/>
      </c>
      <c r="M1277" s="148" t="str">
        <f t="shared" si="1"/>
        <v/>
      </c>
      <c r="N1277" s="147" t="str">
        <f t="shared" si="2"/>
        <v/>
      </c>
      <c r="O1277" s="147" t="str">
        <f t="shared" si="21"/>
        <v/>
      </c>
      <c r="P1277" s="147" t="str">
        <f>IFERROR(__xludf.DUMMYFUNCTION("if(C1277="""","""",iferror(if(row()&lt;&gt;2,INDEX(arrayformula(filter($Q$2:$Q1276,$C$2:$C1276&lt;&gt;"""",row($C$2:$C1276)=max(if($C$2:$C1276=C1277,row($C$2:$C1276),0)))) ,1),0),0))"),"")</f>
        <v/>
      </c>
      <c r="Q1277" s="147" t="str">
        <f t="shared" si="22"/>
        <v/>
      </c>
      <c r="R1277" s="147" t="str">
        <f t="shared" si="23"/>
        <v/>
      </c>
      <c r="S1277" s="147" t="str">
        <f t="shared" si="24"/>
        <v/>
      </c>
      <c r="T1277" s="147" t="str">
        <f t="shared" si="7"/>
        <v/>
      </c>
      <c r="U1277" s="150" t="str">
        <f t="shared" si="8"/>
        <v/>
      </c>
      <c r="V1277" s="151" t="str">
        <f>IFERROR(VLOOKUP(C1277,Ativos!$A$1:$G2000,5,),)</f>
        <v/>
      </c>
    </row>
    <row r="1278" ht="21.0" customHeight="1">
      <c r="A1278" s="152"/>
      <c r="B1278" s="160"/>
      <c r="C1278" s="153"/>
      <c r="D1278" s="154"/>
      <c r="E1278" s="139"/>
      <c r="F1278" s="139"/>
      <c r="G1278" s="139"/>
      <c r="H1278" s="135"/>
      <c r="I1278" s="141"/>
      <c r="J1278" s="147" t="str">
        <f>IFERROR(__xludf.DUMMYFUNCTION("IF(ISBLANK(A1278),IFERROR(1/0),IF(COUNT(FILTER(F:F,A:A=A1278))&gt;1,TRUNC(N1278*F1278/SUM(FILTER(N:N,A:A=A1278)),3),F1278))"),"")</f>
        <v/>
      </c>
      <c r="K1278" s="147" t="str">
        <f>IFERROR(__xludf.DUMMYFUNCTION("IF(ISBLANK(A1278),IFERROR(1/0),IF(COUNT(FILTER(G:G,((A:A=A1278)*(B:B=""V""))))&gt;1,TRUNC(N1278*G1278/SUM(FILTER(N:N,((A:A=A1278)*(B:B=""V"")))),3),G1278))"),"")</f>
        <v/>
      </c>
      <c r="L1278" s="148" t="str">
        <f>IFERROR(__xludf.DUMMYFUNCTION("if($C1278="""","""",iferror(if(row()&lt;&gt;2,INDEX(arrayformula(filter($M$2:$M1277,$C$2:$C1277&lt;&gt;"""",row($C$2:$C1277)=max(if($C$2:$C1277=C1278,row($C$2:$C1277),0)))) ,1),0),0))"),"")</f>
        <v/>
      </c>
      <c r="M1278" s="148" t="str">
        <f t="shared" si="1"/>
        <v/>
      </c>
      <c r="N1278" s="147" t="str">
        <f t="shared" si="2"/>
        <v/>
      </c>
      <c r="O1278" s="147" t="str">
        <f t="shared" si="21"/>
        <v/>
      </c>
      <c r="P1278" s="147" t="str">
        <f>IFERROR(__xludf.DUMMYFUNCTION("if(C1278="""","""",iferror(if(row()&lt;&gt;2,INDEX(arrayformula(filter($Q$2:$Q1277,$C$2:$C1277&lt;&gt;"""",row($C$2:$C1277)=max(if($C$2:$C1277=C1278,row($C$2:$C1277),0)))) ,1),0),0))"),"")</f>
        <v/>
      </c>
      <c r="Q1278" s="147" t="str">
        <f t="shared" si="22"/>
        <v/>
      </c>
      <c r="R1278" s="147" t="str">
        <f t="shared" si="23"/>
        <v/>
      </c>
      <c r="S1278" s="147" t="str">
        <f t="shared" si="24"/>
        <v/>
      </c>
      <c r="T1278" s="147" t="str">
        <f t="shared" si="7"/>
        <v/>
      </c>
      <c r="U1278" s="150" t="str">
        <f t="shared" si="8"/>
        <v/>
      </c>
      <c r="V1278" s="151" t="str">
        <f>IFERROR(VLOOKUP(C1278,Ativos!$A$1:$G2000,5,),)</f>
        <v/>
      </c>
    </row>
    <row r="1279" ht="21.0" customHeight="1">
      <c r="A1279" s="152"/>
      <c r="B1279" s="160"/>
      <c r="C1279" s="153"/>
      <c r="D1279" s="154"/>
      <c r="E1279" s="139"/>
      <c r="F1279" s="139"/>
      <c r="G1279" s="139"/>
      <c r="H1279" s="135"/>
      <c r="I1279" s="141"/>
      <c r="J1279" s="147" t="str">
        <f>IFERROR(__xludf.DUMMYFUNCTION("IF(ISBLANK(A1279),IFERROR(1/0),IF(COUNT(FILTER(F:F,A:A=A1279))&gt;1,TRUNC(N1279*F1279/SUM(FILTER(N:N,A:A=A1279)),3),F1279))"),"")</f>
        <v/>
      </c>
      <c r="K1279" s="147" t="str">
        <f>IFERROR(__xludf.DUMMYFUNCTION("IF(ISBLANK(A1279),IFERROR(1/0),IF(COUNT(FILTER(G:G,((A:A=A1279)*(B:B=""V""))))&gt;1,TRUNC(N1279*G1279/SUM(FILTER(N:N,((A:A=A1279)*(B:B=""V"")))),3),G1279))"),"")</f>
        <v/>
      </c>
      <c r="L1279" s="148" t="str">
        <f>IFERROR(__xludf.DUMMYFUNCTION("if($C1279="""","""",iferror(if(row()&lt;&gt;2,INDEX(arrayformula(filter($M$2:$M1278,$C$2:$C1278&lt;&gt;"""",row($C$2:$C1278)=max(if($C$2:$C1278=C1279,row($C$2:$C1278),0)))) ,1),0),0))"),"")</f>
        <v/>
      </c>
      <c r="M1279" s="148" t="str">
        <f t="shared" si="1"/>
        <v/>
      </c>
      <c r="N1279" s="147" t="str">
        <f t="shared" si="2"/>
        <v/>
      </c>
      <c r="O1279" s="147" t="str">
        <f t="shared" si="21"/>
        <v/>
      </c>
      <c r="P1279" s="147" t="str">
        <f>IFERROR(__xludf.DUMMYFUNCTION("if(C1279="""","""",iferror(if(row()&lt;&gt;2,INDEX(arrayformula(filter($Q$2:$Q1278,$C$2:$C1278&lt;&gt;"""",row($C$2:$C1278)=max(if($C$2:$C1278=C1279,row($C$2:$C1278),0)))) ,1),0),0))"),"")</f>
        <v/>
      </c>
      <c r="Q1279" s="147" t="str">
        <f t="shared" si="22"/>
        <v/>
      </c>
      <c r="R1279" s="147" t="str">
        <f t="shared" si="23"/>
        <v/>
      </c>
      <c r="S1279" s="147" t="str">
        <f t="shared" si="24"/>
        <v/>
      </c>
      <c r="T1279" s="147" t="str">
        <f t="shared" si="7"/>
        <v/>
      </c>
      <c r="U1279" s="150" t="str">
        <f t="shared" si="8"/>
        <v/>
      </c>
      <c r="V1279" s="151" t="str">
        <f>IFERROR(VLOOKUP(C1279,Ativos!$A$1:$G2000,5,),)</f>
        <v/>
      </c>
    </row>
    <row r="1280" ht="21.0" customHeight="1">
      <c r="A1280" s="152"/>
      <c r="B1280" s="160"/>
      <c r="C1280" s="153"/>
      <c r="D1280" s="154"/>
      <c r="E1280" s="139"/>
      <c r="F1280" s="139"/>
      <c r="G1280" s="139"/>
      <c r="H1280" s="135"/>
      <c r="I1280" s="141"/>
      <c r="J1280" s="147" t="str">
        <f>IFERROR(__xludf.DUMMYFUNCTION("IF(ISBLANK(A1280),IFERROR(1/0),IF(COUNT(FILTER(F:F,A:A=A1280))&gt;1,TRUNC(N1280*F1280/SUM(FILTER(N:N,A:A=A1280)),3),F1280))"),"")</f>
        <v/>
      </c>
      <c r="K1280" s="147" t="str">
        <f>IFERROR(__xludf.DUMMYFUNCTION("IF(ISBLANK(A1280),IFERROR(1/0),IF(COUNT(FILTER(G:G,((A:A=A1280)*(B:B=""V""))))&gt;1,TRUNC(N1280*G1280/SUM(FILTER(N:N,((A:A=A1280)*(B:B=""V"")))),3),G1280))"),"")</f>
        <v/>
      </c>
      <c r="L1280" s="148" t="str">
        <f>IFERROR(__xludf.DUMMYFUNCTION("if($C1280="""","""",iferror(if(row()&lt;&gt;2,INDEX(arrayformula(filter($M$2:$M1279,$C$2:$C1279&lt;&gt;"""",row($C$2:$C1279)=max(if($C$2:$C1279=C1280,row($C$2:$C1279),0)))) ,1),0),0))"),"")</f>
        <v/>
      </c>
      <c r="M1280" s="148" t="str">
        <f t="shared" si="1"/>
        <v/>
      </c>
      <c r="N1280" s="147" t="str">
        <f t="shared" si="2"/>
        <v/>
      </c>
      <c r="O1280" s="147" t="str">
        <f t="shared" si="21"/>
        <v/>
      </c>
      <c r="P1280" s="147" t="str">
        <f>IFERROR(__xludf.DUMMYFUNCTION("if(C1280="""","""",iferror(if(row()&lt;&gt;2,INDEX(arrayformula(filter($Q$2:$Q1279,$C$2:$C1279&lt;&gt;"""",row($C$2:$C1279)=max(if($C$2:$C1279=C1280,row($C$2:$C1279),0)))) ,1),0),0))"),"")</f>
        <v/>
      </c>
      <c r="Q1280" s="147" t="str">
        <f t="shared" si="22"/>
        <v/>
      </c>
      <c r="R1280" s="147" t="str">
        <f t="shared" si="23"/>
        <v/>
      </c>
      <c r="S1280" s="147" t="str">
        <f t="shared" si="24"/>
        <v/>
      </c>
      <c r="T1280" s="147" t="str">
        <f t="shared" si="7"/>
        <v/>
      </c>
      <c r="U1280" s="150" t="str">
        <f t="shared" si="8"/>
        <v/>
      </c>
      <c r="V1280" s="151" t="str">
        <f>IFERROR(VLOOKUP(C1280,Ativos!$A$1:$G2000,5,),)</f>
        <v/>
      </c>
    </row>
    <row r="1281" ht="21.0" customHeight="1">
      <c r="A1281" s="152"/>
      <c r="B1281" s="160"/>
      <c r="C1281" s="153"/>
      <c r="D1281" s="154"/>
      <c r="E1281" s="139"/>
      <c r="F1281" s="139"/>
      <c r="G1281" s="139"/>
      <c r="H1281" s="135"/>
      <c r="I1281" s="141"/>
      <c r="J1281" s="147" t="str">
        <f>IFERROR(__xludf.DUMMYFUNCTION("IF(ISBLANK(A1281),IFERROR(1/0),IF(COUNT(FILTER(F:F,A:A=A1281))&gt;1,TRUNC(N1281*F1281/SUM(FILTER(N:N,A:A=A1281)),3),F1281))"),"")</f>
        <v/>
      </c>
      <c r="K1281" s="147" t="str">
        <f>IFERROR(__xludf.DUMMYFUNCTION("IF(ISBLANK(A1281),IFERROR(1/0),IF(COUNT(FILTER(G:G,((A:A=A1281)*(B:B=""V""))))&gt;1,TRUNC(N1281*G1281/SUM(FILTER(N:N,((A:A=A1281)*(B:B=""V"")))),3),G1281))"),"")</f>
        <v/>
      </c>
      <c r="L1281" s="148" t="str">
        <f>IFERROR(__xludf.DUMMYFUNCTION("if($C1281="""","""",iferror(if(row()&lt;&gt;2,INDEX(arrayformula(filter($M$2:$M1280,$C$2:$C1280&lt;&gt;"""",row($C$2:$C1280)=max(if($C$2:$C1280=C1281,row($C$2:$C1280),0)))) ,1),0),0))"),"")</f>
        <v/>
      </c>
      <c r="M1281" s="148" t="str">
        <f t="shared" si="1"/>
        <v/>
      </c>
      <c r="N1281" s="147" t="str">
        <f t="shared" si="2"/>
        <v/>
      </c>
      <c r="O1281" s="147" t="str">
        <f t="shared" si="21"/>
        <v/>
      </c>
      <c r="P1281" s="147" t="str">
        <f>IFERROR(__xludf.DUMMYFUNCTION("if(C1281="""","""",iferror(if(row()&lt;&gt;2,INDEX(arrayformula(filter($Q$2:$Q1280,$C$2:$C1280&lt;&gt;"""",row($C$2:$C1280)=max(if($C$2:$C1280=C1281,row($C$2:$C1280),0)))) ,1),0),0))"),"")</f>
        <v/>
      </c>
      <c r="Q1281" s="147" t="str">
        <f t="shared" si="22"/>
        <v/>
      </c>
      <c r="R1281" s="147" t="str">
        <f t="shared" si="23"/>
        <v/>
      </c>
      <c r="S1281" s="147" t="str">
        <f t="shared" si="24"/>
        <v/>
      </c>
      <c r="T1281" s="147" t="str">
        <f t="shared" si="7"/>
        <v/>
      </c>
      <c r="U1281" s="150" t="str">
        <f t="shared" si="8"/>
        <v/>
      </c>
      <c r="V1281" s="151" t="str">
        <f>IFERROR(VLOOKUP(C1281,Ativos!$A$1:$G2000,5,),)</f>
        <v/>
      </c>
    </row>
    <row r="1282" ht="21.0" customHeight="1">
      <c r="A1282" s="152"/>
      <c r="B1282" s="160"/>
      <c r="C1282" s="153"/>
      <c r="D1282" s="154"/>
      <c r="E1282" s="139"/>
      <c r="F1282" s="139"/>
      <c r="G1282" s="139"/>
      <c r="H1282" s="135"/>
      <c r="I1282" s="141"/>
      <c r="J1282" s="147" t="str">
        <f>IFERROR(__xludf.DUMMYFUNCTION("IF(ISBLANK(A1282),IFERROR(1/0),IF(COUNT(FILTER(F:F,A:A=A1282))&gt;1,TRUNC(N1282*F1282/SUM(FILTER(N:N,A:A=A1282)),3),F1282))"),"")</f>
        <v/>
      </c>
      <c r="K1282" s="147" t="str">
        <f>IFERROR(__xludf.DUMMYFUNCTION("IF(ISBLANK(A1282),IFERROR(1/0),IF(COUNT(FILTER(G:G,((A:A=A1282)*(B:B=""V""))))&gt;1,TRUNC(N1282*G1282/SUM(FILTER(N:N,((A:A=A1282)*(B:B=""V"")))),3),G1282))"),"")</f>
        <v/>
      </c>
      <c r="L1282" s="148" t="str">
        <f>IFERROR(__xludf.DUMMYFUNCTION("if($C1282="""","""",iferror(if(row()&lt;&gt;2,INDEX(arrayformula(filter($M$2:$M1281,$C$2:$C1281&lt;&gt;"""",row($C$2:$C1281)=max(if($C$2:$C1281=C1282,row($C$2:$C1281),0)))) ,1),0),0))"),"")</f>
        <v/>
      </c>
      <c r="M1282" s="148" t="str">
        <f t="shared" si="1"/>
        <v/>
      </c>
      <c r="N1282" s="147" t="str">
        <f t="shared" si="2"/>
        <v/>
      </c>
      <c r="O1282" s="147" t="str">
        <f t="shared" si="21"/>
        <v/>
      </c>
      <c r="P1282" s="147" t="str">
        <f>IFERROR(__xludf.DUMMYFUNCTION("if(C1282="""","""",iferror(if(row()&lt;&gt;2,INDEX(arrayformula(filter($Q$2:$Q1281,$C$2:$C1281&lt;&gt;"""",row($C$2:$C1281)=max(if($C$2:$C1281=C1282,row($C$2:$C1281),0)))) ,1),0),0))"),"")</f>
        <v/>
      </c>
      <c r="Q1282" s="147" t="str">
        <f t="shared" si="22"/>
        <v/>
      </c>
      <c r="R1282" s="147" t="str">
        <f t="shared" si="23"/>
        <v/>
      </c>
      <c r="S1282" s="147" t="str">
        <f t="shared" si="24"/>
        <v/>
      </c>
      <c r="T1282" s="147" t="str">
        <f t="shared" si="7"/>
        <v/>
      </c>
      <c r="U1282" s="150" t="str">
        <f t="shared" si="8"/>
        <v/>
      </c>
      <c r="V1282" s="151" t="str">
        <f>IFERROR(VLOOKUP(C1282,Ativos!$A$1:$G2000,5,),)</f>
        <v/>
      </c>
    </row>
    <row r="1283" ht="21.0" customHeight="1">
      <c r="A1283" s="152"/>
      <c r="B1283" s="160"/>
      <c r="C1283" s="153"/>
      <c r="D1283" s="154"/>
      <c r="E1283" s="139"/>
      <c r="F1283" s="139"/>
      <c r="G1283" s="139"/>
      <c r="H1283" s="135"/>
      <c r="I1283" s="141"/>
      <c r="J1283" s="147" t="str">
        <f>IFERROR(__xludf.DUMMYFUNCTION("IF(ISBLANK(A1283),IFERROR(1/0),IF(COUNT(FILTER(F:F,A:A=A1283))&gt;1,TRUNC(N1283*F1283/SUM(FILTER(N:N,A:A=A1283)),3),F1283))"),"")</f>
        <v/>
      </c>
      <c r="K1283" s="147" t="str">
        <f>IFERROR(__xludf.DUMMYFUNCTION("IF(ISBLANK(A1283),IFERROR(1/0),IF(COUNT(FILTER(G:G,((A:A=A1283)*(B:B=""V""))))&gt;1,TRUNC(N1283*G1283/SUM(FILTER(N:N,((A:A=A1283)*(B:B=""V"")))),3),G1283))"),"")</f>
        <v/>
      </c>
      <c r="L1283" s="148" t="str">
        <f>IFERROR(__xludf.DUMMYFUNCTION("if($C1283="""","""",iferror(if(row()&lt;&gt;2,INDEX(arrayformula(filter($M$2:$M1282,$C$2:$C1282&lt;&gt;"""",row($C$2:$C1282)=max(if($C$2:$C1282=C1283,row($C$2:$C1282),0)))) ,1),0),0))"),"")</f>
        <v/>
      </c>
      <c r="M1283" s="148" t="str">
        <f t="shared" si="1"/>
        <v/>
      </c>
      <c r="N1283" s="147" t="str">
        <f t="shared" si="2"/>
        <v/>
      </c>
      <c r="O1283" s="147" t="str">
        <f t="shared" si="21"/>
        <v/>
      </c>
      <c r="P1283" s="147" t="str">
        <f>IFERROR(__xludf.DUMMYFUNCTION("if(C1283="""","""",iferror(if(row()&lt;&gt;2,INDEX(arrayformula(filter($Q$2:$Q1282,$C$2:$C1282&lt;&gt;"""",row($C$2:$C1282)=max(if($C$2:$C1282=C1283,row($C$2:$C1282),0)))) ,1),0),0))"),"")</f>
        <v/>
      </c>
      <c r="Q1283" s="147" t="str">
        <f t="shared" si="22"/>
        <v/>
      </c>
      <c r="R1283" s="147" t="str">
        <f t="shared" si="23"/>
        <v/>
      </c>
      <c r="S1283" s="147" t="str">
        <f t="shared" si="24"/>
        <v/>
      </c>
      <c r="T1283" s="147" t="str">
        <f t="shared" si="7"/>
        <v/>
      </c>
      <c r="U1283" s="150" t="str">
        <f t="shared" si="8"/>
        <v/>
      </c>
      <c r="V1283" s="151" t="str">
        <f>IFERROR(VLOOKUP(C1283,Ativos!$A$1:$G2000,5,),)</f>
        <v/>
      </c>
    </row>
    <row r="1284" ht="21.0" customHeight="1">
      <c r="A1284" s="152"/>
      <c r="B1284" s="160"/>
      <c r="C1284" s="153"/>
      <c r="D1284" s="154"/>
      <c r="E1284" s="139"/>
      <c r="F1284" s="139"/>
      <c r="G1284" s="139"/>
      <c r="H1284" s="135"/>
      <c r="I1284" s="141"/>
      <c r="J1284" s="147" t="str">
        <f>IFERROR(__xludf.DUMMYFUNCTION("IF(ISBLANK(A1284),IFERROR(1/0),IF(COUNT(FILTER(F:F,A:A=A1284))&gt;1,TRUNC(N1284*F1284/SUM(FILTER(N:N,A:A=A1284)),3),F1284))"),"")</f>
        <v/>
      </c>
      <c r="K1284" s="147" t="str">
        <f>IFERROR(__xludf.DUMMYFUNCTION("IF(ISBLANK(A1284),IFERROR(1/0),IF(COUNT(FILTER(G:G,((A:A=A1284)*(B:B=""V""))))&gt;1,TRUNC(N1284*G1284/SUM(FILTER(N:N,((A:A=A1284)*(B:B=""V"")))),3),G1284))"),"")</f>
        <v/>
      </c>
      <c r="L1284" s="148" t="str">
        <f>IFERROR(__xludf.DUMMYFUNCTION("if($C1284="""","""",iferror(if(row()&lt;&gt;2,INDEX(arrayformula(filter($M$2:$M1283,$C$2:$C1283&lt;&gt;"""",row($C$2:$C1283)=max(if($C$2:$C1283=C1284,row($C$2:$C1283),0)))) ,1),0),0))"),"")</f>
        <v/>
      </c>
      <c r="M1284" s="148" t="str">
        <f t="shared" si="1"/>
        <v/>
      </c>
      <c r="N1284" s="147" t="str">
        <f t="shared" si="2"/>
        <v/>
      </c>
      <c r="O1284" s="147" t="str">
        <f t="shared" si="21"/>
        <v/>
      </c>
      <c r="P1284" s="147" t="str">
        <f>IFERROR(__xludf.DUMMYFUNCTION("if(C1284="""","""",iferror(if(row()&lt;&gt;2,INDEX(arrayformula(filter($Q$2:$Q1283,$C$2:$C1283&lt;&gt;"""",row($C$2:$C1283)=max(if($C$2:$C1283=C1284,row($C$2:$C1283),0)))) ,1),0),0))"),"")</f>
        <v/>
      </c>
      <c r="Q1284" s="147" t="str">
        <f t="shared" si="22"/>
        <v/>
      </c>
      <c r="R1284" s="147" t="str">
        <f t="shared" si="23"/>
        <v/>
      </c>
      <c r="S1284" s="147" t="str">
        <f t="shared" si="24"/>
        <v/>
      </c>
      <c r="T1284" s="147" t="str">
        <f t="shared" si="7"/>
        <v/>
      </c>
      <c r="U1284" s="150" t="str">
        <f t="shared" si="8"/>
        <v/>
      </c>
      <c r="V1284" s="151" t="str">
        <f>IFERROR(VLOOKUP(C1284,Ativos!$A$1:$G2000,5,),)</f>
        <v/>
      </c>
    </row>
    <row r="1285" ht="21.0" customHeight="1">
      <c r="A1285" s="152"/>
      <c r="B1285" s="160"/>
      <c r="C1285" s="153"/>
      <c r="D1285" s="154"/>
      <c r="E1285" s="139"/>
      <c r="F1285" s="139"/>
      <c r="G1285" s="139"/>
      <c r="H1285" s="135"/>
      <c r="I1285" s="141"/>
      <c r="J1285" s="147" t="str">
        <f>IFERROR(__xludf.DUMMYFUNCTION("IF(ISBLANK(A1285),IFERROR(1/0),IF(COUNT(FILTER(F:F,A:A=A1285))&gt;1,TRUNC(N1285*F1285/SUM(FILTER(N:N,A:A=A1285)),3),F1285))"),"")</f>
        <v/>
      </c>
      <c r="K1285" s="147" t="str">
        <f>IFERROR(__xludf.DUMMYFUNCTION("IF(ISBLANK(A1285),IFERROR(1/0),IF(COUNT(FILTER(G:G,((A:A=A1285)*(B:B=""V""))))&gt;1,TRUNC(N1285*G1285/SUM(FILTER(N:N,((A:A=A1285)*(B:B=""V"")))),3),G1285))"),"")</f>
        <v/>
      </c>
      <c r="L1285" s="148" t="str">
        <f>IFERROR(__xludf.DUMMYFUNCTION("if($C1285="""","""",iferror(if(row()&lt;&gt;2,INDEX(arrayformula(filter($M$2:$M1284,$C$2:$C1284&lt;&gt;"""",row($C$2:$C1284)=max(if($C$2:$C1284=C1285,row($C$2:$C1284),0)))) ,1),0),0))"),"")</f>
        <v/>
      </c>
      <c r="M1285" s="148" t="str">
        <f t="shared" si="1"/>
        <v/>
      </c>
      <c r="N1285" s="147" t="str">
        <f t="shared" si="2"/>
        <v/>
      </c>
      <c r="O1285" s="147" t="str">
        <f t="shared" si="21"/>
        <v/>
      </c>
      <c r="P1285" s="147" t="str">
        <f>IFERROR(__xludf.DUMMYFUNCTION("if(C1285="""","""",iferror(if(row()&lt;&gt;2,INDEX(arrayformula(filter($Q$2:$Q1284,$C$2:$C1284&lt;&gt;"""",row($C$2:$C1284)=max(if($C$2:$C1284=C1285,row($C$2:$C1284),0)))) ,1),0),0))"),"")</f>
        <v/>
      </c>
      <c r="Q1285" s="147" t="str">
        <f t="shared" si="22"/>
        <v/>
      </c>
      <c r="R1285" s="147" t="str">
        <f t="shared" si="23"/>
        <v/>
      </c>
      <c r="S1285" s="147" t="str">
        <f t="shared" si="24"/>
        <v/>
      </c>
      <c r="T1285" s="147" t="str">
        <f t="shared" si="7"/>
        <v/>
      </c>
      <c r="U1285" s="150" t="str">
        <f t="shared" si="8"/>
        <v/>
      </c>
      <c r="V1285" s="151" t="str">
        <f>IFERROR(VLOOKUP(C1285,Ativos!$A$1:$G2000,5,),)</f>
        <v/>
      </c>
    </row>
    <row r="1286" ht="21.0" customHeight="1">
      <c r="A1286" s="152"/>
      <c r="B1286" s="160"/>
      <c r="C1286" s="153"/>
      <c r="D1286" s="154"/>
      <c r="E1286" s="139"/>
      <c r="F1286" s="139"/>
      <c r="G1286" s="139"/>
      <c r="H1286" s="135"/>
      <c r="I1286" s="141"/>
      <c r="J1286" s="147" t="str">
        <f>IFERROR(__xludf.DUMMYFUNCTION("IF(ISBLANK(A1286),IFERROR(1/0),IF(COUNT(FILTER(F:F,A:A=A1286))&gt;1,TRUNC(N1286*F1286/SUM(FILTER(N:N,A:A=A1286)),3),F1286))"),"")</f>
        <v/>
      </c>
      <c r="K1286" s="147" t="str">
        <f>IFERROR(__xludf.DUMMYFUNCTION("IF(ISBLANK(A1286),IFERROR(1/0),IF(COUNT(FILTER(G:G,((A:A=A1286)*(B:B=""V""))))&gt;1,TRUNC(N1286*G1286/SUM(FILTER(N:N,((A:A=A1286)*(B:B=""V"")))),3),G1286))"),"")</f>
        <v/>
      </c>
      <c r="L1286" s="148" t="str">
        <f>IFERROR(__xludf.DUMMYFUNCTION("if($C1286="""","""",iferror(if(row()&lt;&gt;2,INDEX(arrayformula(filter($M$2:$M1285,$C$2:$C1285&lt;&gt;"""",row($C$2:$C1285)=max(if($C$2:$C1285=C1286,row($C$2:$C1285),0)))) ,1),0),0))"),"")</f>
        <v/>
      </c>
      <c r="M1286" s="148" t="str">
        <f t="shared" si="1"/>
        <v/>
      </c>
      <c r="N1286" s="147" t="str">
        <f t="shared" si="2"/>
        <v/>
      </c>
      <c r="O1286" s="147" t="str">
        <f t="shared" si="21"/>
        <v/>
      </c>
      <c r="P1286" s="147" t="str">
        <f>IFERROR(__xludf.DUMMYFUNCTION("if(C1286="""","""",iferror(if(row()&lt;&gt;2,INDEX(arrayformula(filter($Q$2:$Q1285,$C$2:$C1285&lt;&gt;"""",row($C$2:$C1285)=max(if($C$2:$C1285=C1286,row($C$2:$C1285),0)))) ,1),0),0))"),"")</f>
        <v/>
      </c>
      <c r="Q1286" s="147" t="str">
        <f t="shared" si="22"/>
        <v/>
      </c>
      <c r="R1286" s="147" t="str">
        <f t="shared" si="23"/>
        <v/>
      </c>
      <c r="S1286" s="147" t="str">
        <f t="shared" si="24"/>
        <v/>
      </c>
      <c r="T1286" s="147" t="str">
        <f t="shared" si="7"/>
        <v/>
      </c>
      <c r="U1286" s="150" t="str">
        <f t="shared" si="8"/>
        <v/>
      </c>
      <c r="V1286" s="151" t="str">
        <f>IFERROR(VLOOKUP(C1286,Ativos!$A$1:$G2000,5,),)</f>
        <v/>
      </c>
    </row>
    <row r="1287" ht="21.0" customHeight="1">
      <c r="A1287" s="152"/>
      <c r="B1287" s="160"/>
      <c r="C1287" s="153"/>
      <c r="D1287" s="154"/>
      <c r="E1287" s="139"/>
      <c r="F1287" s="139"/>
      <c r="G1287" s="139"/>
      <c r="H1287" s="135"/>
      <c r="I1287" s="141"/>
      <c r="J1287" s="147" t="str">
        <f>IFERROR(__xludf.DUMMYFUNCTION("IF(ISBLANK(A1287),IFERROR(1/0),IF(COUNT(FILTER(F:F,A:A=A1287))&gt;1,TRUNC(N1287*F1287/SUM(FILTER(N:N,A:A=A1287)),3),F1287))"),"")</f>
        <v/>
      </c>
      <c r="K1287" s="147" t="str">
        <f>IFERROR(__xludf.DUMMYFUNCTION("IF(ISBLANK(A1287),IFERROR(1/0),IF(COUNT(FILTER(G:G,((A:A=A1287)*(B:B=""V""))))&gt;1,TRUNC(N1287*G1287/SUM(FILTER(N:N,((A:A=A1287)*(B:B=""V"")))),3),G1287))"),"")</f>
        <v/>
      </c>
      <c r="L1287" s="148" t="str">
        <f>IFERROR(__xludf.DUMMYFUNCTION("if($C1287="""","""",iferror(if(row()&lt;&gt;2,INDEX(arrayformula(filter($M$2:$M1286,$C$2:$C1286&lt;&gt;"""",row($C$2:$C1286)=max(if($C$2:$C1286=C1287,row($C$2:$C1286),0)))) ,1),0),0))"),"")</f>
        <v/>
      </c>
      <c r="M1287" s="148" t="str">
        <f t="shared" si="1"/>
        <v/>
      </c>
      <c r="N1287" s="147" t="str">
        <f t="shared" si="2"/>
        <v/>
      </c>
      <c r="O1287" s="147" t="str">
        <f t="shared" si="21"/>
        <v/>
      </c>
      <c r="P1287" s="147" t="str">
        <f>IFERROR(__xludf.DUMMYFUNCTION("if(C1287="""","""",iferror(if(row()&lt;&gt;2,INDEX(arrayformula(filter($Q$2:$Q1286,$C$2:$C1286&lt;&gt;"""",row($C$2:$C1286)=max(if($C$2:$C1286=C1287,row($C$2:$C1286),0)))) ,1),0),0))"),"")</f>
        <v/>
      </c>
      <c r="Q1287" s="147" t="str">
        <f t="shared" si="22"/>
        <v/>
      </c>
      <c r="R1287" s="147" t="str">
        <f t="shared" si="23"/>
        <v/>
      </c>
      <c r="S1287" s="147" t="str">
        <f t="shared" si="24"/>
        <v/>
      </c>
      <c r="T1287" s="147" t="str">
        <f t="shared" si="7"/>
        <v/>
      </c>
      <c r="U1287" s="150" t="str">
        <f t="shared" si="8"/>
        <v/>
      </c>
      <c r="V1287" s="151" t="str">
        <f>IFERROR(VLOOKUP(C1287,Ativos!$A$1:$G2000,5,),)</f>
        <v/>
      </c>
    </row>
    <row r="1288" ht="21.0" customHeight="1">
      <c r="A1288" s="152"/>
      <c r="B1288" s="160"/>
      <c r="C1288" s="153"/>
      <c r="D1288" s="154"/>
      <c r="E1288" s="139"/>
      <c r="F1288" s="139"/>
      <c r="G1288" s="139"/>
      <c r="H1288" s="135"/>
      <c r="I1288" s="141"/>
      <c r="J1288" s="147" t="str">
        <f>IFERROR(__xludf.DUMMYFUNCTION("IF(ISBLANK(A1288),IFERROR(1/0),IF(COUNT(FILTER(F:F,A:A=A1288))&gt;1,TRUNC(N1288*F1288/SUM(FILTER(N:N,A:A=A1288)),3),F1288))"),"")</f>
        <v/>
      </c>
      <c r="K1288" s="147" t="str">
        <f>IFERROR(__xludf.DUMMYFUNCTION("IF(ISBLANK(A1288),IFERROR(1/0),IF(COUNT(FILTER(G:G,((A:A=A1288)*(B:B=""V""))))&gt;1,TRUNC(N1288*G1288/SUM(FILTER(N:N,((A:A=A1288)*(B:B=""V"")))),3),G1288))"),"")</f>
        <v/>
      </c>
      <c r="L1288" s="148" t="str">
        <f>IFERROR(__xludf.DUMMYFUNCTION("if($C1288="""","""",iferror(if(row()&lt;&gt;2,INDEX(arrayformula(filter($M$2:$M1287,$C$2:$C1287&lt;&gt;"""",row($C$2:$C1287)=max(if($C$2:$C1287=C1288,row($C$2:$C1287),0)))) ,1),0),0))"),"")</f>
        <v/>
      </c>
      <c r="M1288" s="148" t="str">
        <f t="shared" si="1"/>
        <v/>
      </c>
      <c r="N1288" s="147" t="str">
        <f t="shared" si="2"/>
        <v/>
      </c>
      <c r="O1288" s="147" t="str">
        <f t="shared" si="21"/>
        <v/>
      </c>
      <c r="P1288" s="147" t="str">
        <f>IFERROR(__xludf.DUMMYFUNCTION("if(C1288="""","""",iferror(if(row()&lt;&gt;2,INDEX(arrayformula(filter($Q$2:$Q1287,$C$2:$C1287&lt;&gt;"""",row($C$2:$C1287)=max(if($C$2:$C1287=C1288,row($C$2:$C1287),0)))) ,1),0),0))"),"")</f>
        <v/>
      </c>
      <c r="Q1288" s="147" t="str">
        <f t="shared" si="22"/>
        <v/>
      </c>
      <c r="R1288" s="147" t="str">
        <f t="shared" si="23"/>
        <v/>
      </c>
      <c r="S1288" s="147" t="str">
        <f t="shared" si="24"/>
        <v/>
      </c>
      <c r="T1288" s="147" t="str">
        <f t="shared" si="7"/>
        <v/>
      </c>
      <c r="U1288" s="150" t="str">
        <f t="shared" si="8"/>
        <v/>
      </c>
      <c r="V1288" s="151" t="str">
        <f>IFERROR(VLOOKUP(C1288,Ativos!$A$1:$G2000,5,),)</f>
        <v/>
      </c>
    </row>
    <row r="1289" ht="21.0" customHeight="1">
      <c r="A1289" s="152"/>
      <c r="B1289" s="160"/>
      <c r="C1289" s="153"/>
      <c r="D1289" s="154"/>
      <c r="E1289" s="139"/>
      <c r="F1289" s="139"/>
      <c r="G1289" s="139"/>
      <c r="H1289" s="135"/>
      <c r="I1289" s="141"/>
      <c r="J1289" s="147" t="str">
        <f>IFERROR(__xludf.DUMMYFUNCTION("IF(ISBLANK(A1289),IFERROR(1/0),IF(COUNT(FILTER(F:F,A:A=A1289))&gt;1,TRUNC(N1289*F1289/SUM(FILTER(N:N,A:A=A1289)),3),F1289))"),"")</f>
        <v/>
      </c>
      <c r="K1289" s="147" t="str">
        <f>IFERROR(__xludf.DUMMYFUNCTION("IF(ISBLANK(A1289),IFERROR(1/0),IF(COUNT(FILTER(G:G,((A:A=A1289)*(B:B=""V""))))&gt;1,TRUNC(N1289*G1289/SUM(FILTER(N:N,((A:A=A1289)*(B:B=""V"")))),3),G1289))"),"")</f>
        <v/>
      </c>
      <c r="L1289" s="148" t="str">
        <f>IFERROR(__xludf.DUMMYFUNCTION("if($C1289="""","""",iferror(if(row()&lt;&gt;2,INDEX(arrayformula(filter($M$2:$M1288,$C$2:$C1288&lt;&gt;"""",row($C$2:$C1288)=max(if($C$2:$C1288=C1289,row($C$2:$C1288),0)))) ,1),0),0))"),"")</f>
        <v/>
      </c>
      <c r="M1289" s="148" t="str">
        <f t="shared" si="1"/>
        <v/>
      </c>
      <c r="N1289" s="147" t="str">
        <f t="shared" si="2"/>
        <v/>
      </c>
      <c r="O1289" s="147" t="str">
        <f t="shared" si="21"/>
        <v/>
      </c>
      <c r="P1289" s="147" t="str">
        <f>IFERROR(__xludf.DUMMYFUNCTION("if(C1289="""","""",iferror(if(row()&lt;&gt;2,INDEX(arrayformula(filter($Q$2:$Q1288,$C$2:$C1288&lt;&gt;"""",row($C$2:$C1288)=max(if($C$2:$C1288=C1289,row($C$2:$C1288),0)))) ,1),0),0))"),"")</f>
        <v/>
      </c>
      <c r="Q1289" s="147" t="str">
        <f t="shared" si="22"/>
        <v/>
      </c>
      <c r="R1289" s="147" t="str">
        <f t="shared" si="23"/>
        <v/>
      </c>
      <c r="S1289" s="147" t="str">
        <f t="shared" si="24"/>
        <v/>
      </c>
      <c r="T1289" s="147" t="str">
        <f t="shared" si="7"/>
        <v/>
      </c>
      <c r="U1289" s="150" t="str">
        <f t="shared" si="8"/>
        <v/>
      </c>
      <c r="V1289" s="151" t="str">
        <f>IFERROR(VLOOKUP(C1289,Ativos!$A$1:$G2000,5,),)</f>
        <v/>
      </c>
    </row>
    <row r="1290" ht="21.0" customHeight="1">
      <c r="A1290" s="152"/>
      <c r="B1290" s="160"/>
      <c r="C1290" s="153"/>
      <c r="D1290" s="154"/>
      <c r="E1290" s="139"/>
      <c r="F1290" s="139"/>
      <c r="G1290" s="139"/>
      <c r="H1290" s="135"/>
      <c r="I1290" s="141"/>
      <c r="J1290" s="147" t="str">
        <f>IFERROR(__xludf.DUMMYFUNCTION("IF(ISBLANK(A1290),IFERROR(1/0),IF(COUNT(FILTER(F:F,A:A=A1290))&gt;1,TRUNC(N1290*F1290/SUM(FILTER(N:N,A:A=A1290)),3),F1290))"),"")</f>
        <v/>
      </c>
      <c r="K1290" s="147" t="str">
        <f>IFERROR(__xludf.DUMMYFUNCTION("IF(ISBLANK(A1290),IFERROR(1/0),IF(COUNT(FILTER(G:G,((A:A=A1290)*(B:B=""V""))))&gt;1,TRUNC(N1290*G1290/SUM(FILTER(N:N,((A:A=A1290)*(B:B=""V"")))),3),G1290))"),"")</f>
        <v/>
      </c>
      <c r="L1290" s="148" t="str">
        <f>IFERROR(__xludf.DUMMYFUNCTION("if($C1290="""","""",iferror(if(row()&lt;&gt;2,INDEX(arrayformula(filter($M$2:$M1289,$C$2:$C1289&lt;&gt;"""",row($C$2:$C1289)=max(if($C$2:$C1289=C1290,row($C$2:$C1289),0)))) ,1),0),0))"),"")</f>
        <v/>
      </c>
      <c r="M1290" s="148" t="str">
        <f t="shared" si="1"/>
        <v/>
      </c>
      <c r="N1290" s="147" t="str">
        <f t="shared" si="2"/>
        <v/>
      </c>
      <c r="O1290" s="147" t="str">
        <f t="shared" si="21"/>
        <v/>
      </c>
      <c r="P1290" s="147" t="str">
        <f>IFERROR(__xludf.DUMMYFUNCTION("if(C1290="""","""",iferror(if(row()&lt;&gt;2,INDEX(arrayformula(filter($Q$2:$Q1289,$C$2:$C1289&lt;&gt;"""",row($C$2:$C1289)=max(if($C$2:$C1289=C1290,row($C$2:$C1289),0)))) ,1),0),0))"),"")</f>
        <v/>
      </c>
      <c r="Q1290" s="147" t="str">
        <f t="shared" si="22"/>
        <v/>
      </c>
      <c r="R1290" s="147" t="str">
        <f t="shared" si="23"/>
        <v/>
      </c>
      <c r="S1290" s="147" t="str">
        <f t="shared" si="24"/>
        <v/>
      </c>
      <c r="T1290" s="147" t="str">
        <f t="shared" si="7"/>
        <v/>
      </c>
      <c r="U1290" s="150" t="str">
        <f t="shared" si="8"/>
        <v/>
      </c>
      <c r="V1290" s="151" t="str">
        <f>IFERROR(VLOOKUP(C1290,Ativos!$A$1:$G2000,5,),)</f>
        <v/>
      </c>
    </row>
    <row r="1291" ht="21.0" customHeight="1">
      <c r="A1291" s="152"/>
      <c r="B1291" s="160"/>
      <c r="C1291" s="153"/>
      <c r="D1291" s="154"/>
      <c r="E1291" s="139"/>
      <c r="F1291" s="139"/>
      <c r="G1291" s="139"/>
      <c r="H1291" s="135"/>
      <c r="I1291" s="141"/>
      <c r="J1291" s="147" t="str">
        <f>IFERROR(__xludf.DUMMYFUNCTION("IF(ISBLANK(A1291),IFERROR(1/0),IF(COUNT(FILTER(F:F,A:A=A1291))&gt;1,TRUNC(N1291*F1291/SUM(FILTER(N:N,A:A=A1291)),3),F1291))"),"")</f>
        <v/>
      </c>
      <c r="K1291" s="147" t="str">
        <f>IFERROR(__xludf.DUMMYFUNCTION("IF(ISBLANK(A1291),IFERROR(1/0),IF(COUNT(FILTER(G:G,((A:A=A1291)*(B:B=""V""))))&gt;1,TRUNC(N1291*G1291/SUM(FILTER(N:N,((A:A=A1291)*(B:B=""V"")))),3),G1291))"),"")</f>
        <v/>
      </c>
      <c r="L1291" s="148" t="str">
        <f>IFERROR(__xludf.DUMMYFUNCTION("if($C1291="""","""",iferror(if(row()&lt;&gt;2,INDEX(arrayformula(filter($M$2:$M1290,$C$2:$C1290&lt;&gt;"""",row($C$2:$C1290)=max(if($C$2:$C1290=C1291,row($C$2:$C1290),0)))) ,1),0),0))"),"")</f>
        <v/>
      </c>
      <c r="M1291" s="148" t="str">
        <f t="shared" si="1"/>
        <v/>
      </c>
      <c r="N1291" s="147" t="str">
        <f t="shared" si="2"/>
        <v/>
      </c>
      <c r="O1291" s="147" t="str">
        <f t="shared" si="21"/>
        <v/>
      </c>
      <c r="P1291" s="147" t="str">
        <f>IFERROR(__xludf.DUMMYFUNCTION("if(C1291="""","""",iferror(if(row()&lt;&gt;2,INDEX(arrayformula(filter($Q$2:$Q1290,$C$2:$C1290&lt;&gt;"""",row($C$2:$C1290)=max(if($C$2:$C1290=C1291,row($C$2:$C1290),0)))) ,1),0),0))"),"")</f>
        <v/>
      </c>
      <c r="Q1291" s="147" t="str">
        <f t="shared" si="22"/>
        <v/>
      </c>
      <c r="R1291" s="147" t="str">
        <f t="shared" si="23"/>
        <v/>
      </c>
      <c r="S1291" s="147" t="str">
        <f t="shared" si="24"/>
        <v/>
      </c>
      <c r="T1291" s="147" t="str">
        <f t="shared" si="7"/>
        <v/>
      </c>
      <c r="U1291" s="150" t="str">
        <f t="shared" si="8"/>
        <v/>
      </c>
      <c r="V1291" s="151" t="str">
        <f>IFERROR(VLOOKUP(C1291,Ativos!$A$1:$G2000,5,),)</f>
        <v/>
      </c>
    </row>
    <row r="1292" ht="21.0" customHeight="1">
      <c r="A1292" s="152"/>
      <c r="B1292" s="160"/>
      <c r="C1292" s="153"/>
      <c r="D1292" s="154"/>
      <c r="E1292" s="139"/>
      <c r="F1292" s="139"/>
      <c r="G1292" s="139"/>
      <c r="H1292" s="135"/>
      <c r="I1292" s="141"/>
      <c r="J1292" s="147" t="str">
        <f>IFERROR(__xludf.DUMMYFUNCTION("IF(ISBLANK(A1292),IFERROR(1/0),IF(COUNT(FILTER(F:F,A:A=A1292))&gt;1,TRUNC(N1292*F1292/SUM(FILTER(N:N,A:A=A1292)),3),F1292))"),"")</f>
        <v/>
      </c>
      <c r="K1292" s="147" t="str">
        <f>IFERROR(__xludf.DUMMYFUNCTION("IF(ISBLANK(A1292),IFERROR(1/0),IF(COUNT(FILTER(G:G,((A:A=A1292)*(B:B=""V""))))&gt;1,TRUNC(N1292*G1292/SUM(FILTER(N:N,((A:A=A1292)*(B:B=""V"")))),3),G1292))"),"")</f>
        <v/>
      </c>
      <c r="L1292" s="148" t="str">
        <f>IFERROR(__xludf.DUMMYFUNCTION("if($C1292="""","""",iferror(if(row()&lt;&gt;2,INDEX(arrayformula(filter($M$2:$M1291,$C$2:$C1291&lt;&gt;"""",row($C$2:$C1291)=max(if($C$2:$C1291=C1292,row($C$2:$C1291),0)))) ,1),0),0))"),"")</f>
        <v/>
      </c>
      <c r="M1292" s="148" t="str">
        <f t="shared" si="1"/>
        <v/>
      </c>
      <c r="N1292" s="147" t="str">
        <f t="shared" si="2"/>
        <v/>
      </c>
      <c r="O1292" s="147" t="str">
        <f t="shared" si="21"/>
        <v/>
      </c>
      <c r="P1292" s="147" t="str">
        <f>IFERROR(__xludf.DUMMYFUNCTION("if(C1292="""","""",iferror(if(row()&lt;&gt;2,INDEX(arrayformula(filter($Q$2:$Q1291,$C$2:$C1291&lt;&gt;"""",row($C$2:$C1291)=max(if($C$2:$C1291=C1292,row($C$2:$C1291),0)))) ,1),0),0))"),"")</f>
        <v/>
      </c>
      <c r="Q1292" s="147" t="str">
        <f t="shared" si="22"/>
        <v/>
      </c>
      <c r="R1292" s="147" t="str">
        <f t="shared" si="23"/>
        <v/>
      </c>
      <c r="S1292" s="147" t="str">
        <f t="shared" si="24"/>
        <v/>
      </c>
      <c r="T1292" s="147" t="str">
        <f t="shared" si="7"/>
        <v/>
      </c>
      <c r="U1292" s="150" t="str">
        <f t="shared" si="8"/>
        <v/>
      </c>
      <c r="V1292" s="151" t="str">
        <f>IFERROR(VLOOKUP(C1292,Ativos!$A$1:$G2000,5,),)</f>
        <v/>
      </c>
    </row>
    <row r="1293" ht="21.0" customHeight="1">
      <c r="A1293" s="152"/>
      <c r="B1293" s="160"/>
      <c r="C1293" s="153"/>
      <c r="D1293" s="154"/>
      <c r="E1293" s="139"/>
      <c r="F1293" s="139"/>
      <c r="G1293" s="139"/>
      <c r="H1293" s="135"/>
      <c r="I1293" s="141"/>
      <c r="J1293" s="147" t="str">
        <f>IFERROR(__xludf.DUMMYFUNCTION("IF(ISBLANK(A1293),IFERROR(1/0),IF(COUNT(FILTER(F:F,A:A=A1293))&gt;1,TRUNC(N1293*F1293/SUM(FILTER(N:N,A:A=A1293)),3),F1293))"),"")</f>
        <v/>
      </c>
      <c r="K1293" s="147" t="str">
        <f>IFERROR(__xludf.DUMMYFUNCTION("IF(ISBLANK(A1293),IFERROR(1/0),IF(COUNT(FILTER(G:G,((A:A=A1293)*(B:B=""V""))))&gt;1,TRUNC(N1293*G1293/SUM(FILTER(N:N,((A:A=A1293)*(B:B=""V"")))),3),G1293))"),"")</f>
        <v/>
      </c>
      <c r="L1293" s="148" t="str">
        <f>IFERROR(__xludf.DUMMYFUNCTION("if($C1293="""","""",iferror(if(row()&lt;&gt;2,INDEX(arrayformula(filter($M$2:$M1292,$C$2:$C1292&lt;&gt;"""",row($C$2:$C1292)=max(if($C$2:$C1292=C1293,row($C$2:$C1292),0)))) ,1),0),0))"),"")</f>
        <v/>
      </c>
      <c r="M1293" s="148" t="str">
        <f t="shared" si="1"/>
        <v/>
      </c>
      <c r="N1293" s="147" t="str">
        <f t="shared" si="2"/>
        <v/>
      </c>
      <c r="O1293" s="147" t="str">
        <f t="shared" si="21"/>
        <v/>
      </c>
      <c r="P1293" s="147" t="str">
        <f>IFERROR(__xludf.DUMMYFUNCTION("if(C1293="""","""",iferror(if(row()&lt;&gt;2,INDEX(arrayformula(filter($Q$2:$Q1292,$C$2:$C1292&lt;&gt;"""",row($C$2:$C1292)=max(if($C$2:$C1292=C1293,row($C$2:$C1292),0)))) ,1),0),0))"),"")</f>
        <v/>
      </c>
      <c r="Q1293" s="147" t="str">
        <f t="shared" si="22"/>
        <v/>
      </c>
      <c r="R1293" s="147" t="str">
        <f t="shared" si="23"/>
        <v/>
      </c>
      <c r="S1293" s="147" t="str">
        <f t="shared" si="24"/>
        <v/>
      </c>
      <c r="T1293" s="147" t="str">
        <f t="shared" si="7"/>
        <v/>
      </c>
      <c r="U1293" s="150" t="str">
        <f t="shared" si="8"/>
        <v/>
      </c>
      <c r="V1293" s="151" t="str">
        <f>IFERROR(VLOOKUP(C1293,Ativos!$A$1:$G2000,5,),)</f>
        <v/>
      </c>
    </row>
    <row r="1294" ht="21.0" customHeight="1">
      <c r="A1294" s="152"/>
      <c r="B1294" s="160"/>
      <c r="C1294" s="153"/>
      <c r="D1294" s="154"/>
      <c r="E1294" s="139"/>
      <c r="F1294" s="139"/>
      <c r="G1294" s="139"/>
      <c r="H1294" s="135"/>
      <c r="I1294" s="141"/>
      <c r="J1294" s="147" t="str">
        <f>IFERROR(__xludf.DUMMYFUNCTION("IF(ISBLANK(A1294),IFERROR(1/0),IF(COUNT(FILTER(F:F,A:A=A1294))&gt;1,TRUNC(N1294*F1294/SUM(FILTER(N:N,A:A=A1294)),3),F1294))"),"")</f>
        <v/>
      </c>
      <c r="K1294" s="147" t="str">
        <f>IFERROR(__xludf.DUMMYFUNCTION("IF(ISBLANK(A1294),IFERROR(1/0),IF(COUNT(FILTER(G:G,((A:A=A1294)*(B:B=""V""))))&gt;1,TRUNC(N1294*G1294/SUM(FILTER(N:N,((A:A=A1294)*(B:B=""V"")))),3),G1294))"),"")</f>
        <v/>
      </c>
      <c r="L1294" s="148" t="str">
        <f>IFERROR(__xludf.DUMMYFUNCTION("if($C1294="""","""",iferror(if(row()&lt;&gt;2,INDEX(arrayformula(filter($M$2:$M1293,$C$2:$C1293&lt;&gt;"""",row($C$2:$C1293)=max(if($C$2:$C1293=C1294,row($C$2:$C1293),0)))) ,1),0),0))"),"")</f>
        <v/>
      </c>
      <c r="M1294" s="148" t="str">
        <f t="shared" si="1"/>
        <v/>
      </c>
      <c r="N1294" s="147" t="str">
        <f t="shared" si="2"/>
        <v/>
      </c>
      <c r="O1294" s="147" t="str">
        <f t="shared" si="21"/>
        <v/>
      </c>
      <c r="P1294" s="147" t="str">
        <f>IFERROR(__xludf.DUMMYFUNCTION("if(C1294="""","""",iferror(if(row()&lt;&gt;2,INDEX(arrayformula(filter($Q$2:$Q1293,$C$2:$C1293&lt;&gt;"""",row($C$2:$C1293)=max(if($C$2:$C1293=C1294,row($C$2:$C1293),0)))) ,1),0),0))"),"")</f>
        <v/>
      </c>
      <c r="Q1294" s="147" t="str">
        <f t="shared" si="22"/>
        <v/>
      </c>
      <c r="R1294" s="147" t="str">
        <f t="shared" si="23"/>
        <v/>
      </c>
      <c r="S1294" s="147" t="str">
        <f t="shared" si="24"/>
        <v/>
      </c>
      <c r="T1294" s="147" t="str">
        <f t="shared" si="7"/>
        <v/>
      </c>
      <c r="U1294" s="150" t="str">
        <f t="shared" si="8"/>
        <v/>
      </c>
      <c r="V1294" s="151" t="str">
        <f>IFERROR(VLOOKUP(C1294,Ativos!$A$1:$G2000,5,),)</f>
        <v/>
      </c>
    </row>
    <row r="1295" ht="21.0" customHeight="1">
      <c r="A1295" s="152"/>
      <c r="B1295" s="160"/>
      <c r="C1295" s="153"/>
      <c r="D1295" s="154"/>
      <c r="E1295" s="139"/>
      <c r="F1295" s="139"/>
      <c r="G1295" s="139"/>
      <c r="H1295" s="135"/>
      <c r="I1295" s="141"/>
      <c r="J1295" s="147" t="str">
        <f>IFERROR(__xludf.DUMMYFUNCTION("IF(ISBLANK(A1295),IFERROR(1/0),IF(COUNT(FILTER(F:F,A:A=A1295))&gt;1,TRUNC(N1295*F1295/SUM(FILTER(N:N,A:A=A1295)),3),F1295))"),"")</f>
        <v/>
      </c>
      <c r="K1295" s="147" t="str">
        <f>IFERROR(__xludf.DUMMYFUNCTION("IF(ISBLANK(A1295),IFERROR(1/0),IF(COUNT(FILTER(G:G,((A:A=A1295)*(B:B=""V""))))&gt;1,TRUNC(N1295*G1295/SUM(FILTER(N:N,((A:A=A1295)*(B:B=""V"")))),3),G1295))"),"")</f>
        <v/>
      </c>
      <c r="L1295" s="148" t="str">
        <f>IFERROR(__xludf.DUMMYFUNCTION("if($C1295="""","""",iferror(if(row()&lt;&gt;2,INDEX(arrayformula(filter($M$2:$M1294,$C$2:$C1294&lt;&gt;"""",row($C$2:$C1294)=max(if($C$2:$C1294=C1295,row($C$2:$C1294),0)))) ,1),0),0))"),"")</f>
        <v/>
      </c>
      <c r="M1295" s="148" t="str">
        <f t="shared" si="1"/>
        <v/>
      </c>
      <c r="N1295" s="147" t="str">
        <f t="shared" si="2"/>
        <v/>
      </c>
      <c r="O1295" s="147" t="str">
        <f t="shared" si="21"/>
        <v/>
      </c>
      <c r="P1295" s="147" t="str">
        <f>IFERROR(__xludf.DUMMYFUNCTION("if(C1295="""","""",iferror(if(row()&lt;&gt;2,INDEX(arrayformula(filter($Q$2:$Q1294,$C$2:$C1294&lt;&gt;"""",row($C$2:$C1294)=max(if($C$2:$C1294=C1295,row($C$2:$C1294),0)))) ,1),0),0))"),"")</f>
        <v/>
      </c>
      <c r="Q1295" s="147" t="str">
        <f t="shared" si="22"/>
        <v/>
      </c>
      <c r="R1295" s="147" t="str">
        <f t="shared" si="23"/>
        <v/>
      </c>
      <c r="S1295" s="147" t="str">
        <f t="shared" si="24"/>
        <v/>
      </c>
      <c r="T1295" s="147" t="str">
        <f t="shared" si="7"/>
        <v/>
      </c>
      <c r="U1295" s="150" t="str">
        <f t="shared" si="8"/>
        <v/>
      </c>
      <c r="V1295" s="151" t="str">
        <f>IFERROR(VLOOKUP(C1295,Ativos!$A$1:$G2000,5,),)</f>
        <v/>
      </c>
    </row>
    <row r="1296" ht="21.0" customHeight="1">
      <c r="A1296" s="152"/>
      <c r="B1296" s="160"/>
      <c r="C1296" s="153"/>
      <c r="D1296" s="154"/>
      <c r="E1296" s="139"/>
      <c r="F1296" s="139"/>
      <c r="G1296" s="139"/>
      <c r="H1296" s="135"/>
      <c r="I1296" s="141"/>
      <c r="J1296" s="147" t="str">
        <f>IFERROR(__xludf.DUMMYFUNCTION("IF(ISBLANK(A1296),IFERROR(1/0),IF(COUNT(FILTER(F:F,A:A=A1296))&gt;1,TRUNC(N1296*F1296/SUM(FILTER(N:N,A:A=A1296)),3),F1296))"),"")</f>
        <v/>
      </c>
      <c r="K1296" s="147" t="str">
        <f>IFERROR(__xludf.DUMMYFUNCTION("IF(ISBLANK(A1296),IFERROR(1/0),IF(COUNT(FILTER(G:G,((A:A=A1296)*(B:B=""V""))))&gt;1,TRUNC(N1296*G1296/SUM(FILTER(N:N,((A:A=A1296)*(B:B=""V"")))),3),G1296))"),"")</f>
        <v/>
      </c>
      <c r="L1296" s="148" t="str">
        <f>IFERROR(__xludf.DUMMYFUNCTION("if($C1296="""","""",iferror(if(row()&lt;&gt;2,INDEX(arrayformula(filter($M$2:$M1295,$C$2:$C1295&lt;&gt;"""",row($C$2:$C1295)=max(if($C$2:$C1295=C1296,row($C$2:$C1295),0)))) ,1),0),0))"),"")</f>
        <v/>
      </c>
      <c r="M1296" s="148" t="str">
        <f t="shared" si="1"/>
        <v/>
      </c>
      <c r="N1296" s="147" t="str">
        <f t="shared" si="2"/>
        <v/>
      </c>
      <c r="O1296" s="147" t="str">
        <f t="shared" si="21"/>
        <v/>
      </c>
      <c r="P1296" s="147" t="str">
        <f>IFERROR(__xludf.DUMMYFUNCTION("if(C1296="""","""",iferror(if(row()&lt;&gt;2,INDEX(arrayformula(filter($Q$2:$Q1295,$C$2:$C1295&lt;&gt;"""",row($C$2:$C1295)=max(if($C$2:$C1295=C1296,row($C$2:$C1295),0)))) ,1),0),0))"),"")</f>
        <v/>
      </c>
      <c r="Q1296" s="147" t="str">
        <f t="shared" si="22"/>
        <v/>
      </c>
      <c r="R1296" s="147" t="str">
        <f t="shared" si="23"/>
        <v/>
      </c>
      <c r="S1296" s="147" t="str">
        <f t="shared" si="24"/>
        <v/>
      </c>
      <c r="T1296" s="147" t="str">
        <f t="shared" si="7"/>
        <v/>
      </c>
      <c r="U1296" s="150" t="str">
        <f t="shared" si="8"/>
        <v/>
      </c>
      <c r="V1296" s="151" t="str">
        <f>IFERROR(VLOOKUP(C1296,Ativos!$A$1:$G2000,5,),)</f>
        <v/>
      </c>
    </row>
    <row r="1297" ht="21.0" customHeight="1">
      <c r="A1297" s="152"/>
      <c r="B1297" s="160"/>
      <c r="C1297" s="153"/>
      <c r="D1297" s="154"/>
      <c r="E1297" s="139"/>
      <c r="F1297" s="139"/>
      <c r="G1297" s="139"/>
      <c r="H1297" s="135"/>
      <c r="I1297" s="141"/>
      <c r="J1297" s="147" t="str">
        <f>IFERROR(__xludf.DUMMYFUNCTION("IF(ISBLANK(A1297),IFERROR(1/0),IF(COUNT(FILTER(F:F,A:A=A1297))&gt;1,TRUNC(N1297*F1297/SUM(FILTER(N:N,A:A=A1297)),3),F1297))"),"")</f>
        <v/>
      </c>
      <c r="K1297" s="147" t="str">
        <f>IFERROR(__xludf.DUMMYFUNCTION("IF(ISBLANK(A1297),IFERROR(1/0),IF(COUNT(FILTER(G:G,((A:A=A1297)*(B:B=""V""))))&gt;1,TRUNC(N1297*G1297/SUM(FILTER(N:N,((A:A=A1297)*(B:B=""V"")))),3),G1297))"),"")</f>
        <v/>
      </c>
      <c r="L1297" s="148" t="str">
        <f>IFERROR(__xludf.DUMMYFUNCTION("if($C1297="""","""",iferror(if(row()&lt;&gt;2,INDEX(arrayformula(filter($M$2:$M1296,$C$2:$C1296&lt;&gt;"""",row($C$2:$C1296)=max(if($C$2:$C1296=C1297,row($C$2:$C1296),0)))) ,1),0),0))"),"")</f>
        <v/>
      </c>
      <c r="M1297" s="148" t="str">
        <f t="shared" si="1"/>
        <v/>
      </c>
      <c r="N1297" s="147" t="str">
        <f t="shared" si="2"/>
        <v/>
      </c>
      <c r="O1297" s="147" t="str">
        <f t="shared" si="21"/>
        <v/>
      </c>
      <c r="P1297" s="147" t="str">
        <f>IFERROR(__xludf.DUMMYFUNCTION("if(C1297="""","""",iferror(if(row()&lt;&gt;2,INDEX(arrayformula(filter($Q$2:$Q1296,$C$2:$C1296&lt;&gt;"""",row($C$2:$C1296)=max(if($C$2:$C1296=C1297,row($C$2:$C1296),0)))) ,1),0),0))"),"")</f>
        <v/>
      </c>
      <c r="Q1297" s="147" t="str">
        <f t="shared" si="22"/>
        <v/>
      </c>
      <c r="R1297" s="147" t="str">
        <f t="shared" si="23"/>
        <v/>
      </c>
      <c r="S1297" s="147" t="str">
        <f t="shared" si="24"/>
        <v/>
      </c>
      <c r="T1297" s="147" t="str">
        <f t="shared" si="7"/>
        <v/>
      </c>
      <c r="U1297" s="150" t="str">
        <f t="shared" si="8"/>
        <v/>
      </c>
      <c r="V1297" s="151" t="str">
        <f>IFERROR(VLOOKUP(C1297,Ativos!$A$1:$G2000,5,),)</f>
        <v/>
      </c>
    </row>
    <row r="1298" ht="21.0" customHeight="1">
      <c r="A1298" s="152"/>
      <c r="B1298" s="160"/>
      <c r="C1298" s="153"/>
      <c r="D1298" s="154"/>
      <c r="E1298" s="139"/>
      <c r="F1298" s="139"/>
      <c r="G1298" s="139"/>
      <c r="H1298" s="135"/>
      <c r="I1298" s="141"/>
      <c r="J1298" s="147" t="str">
        <f>IFERROR(__xludf.DUMMYFUNCTION("IF(ISBLANK(A1298),IFERROR(1/0),IF(COUNT(FILTER(F:F,A:A=A1298))&gt;1,TRUNC(N1298*F1298/SUM(FILTER(N:N,A:A=A1298)),3),F1298))"),"")</f>
        <v/>
      </c>
      <c r="K1298" s="147" t="str">
        <f>IFERROR(__xludf.DUMMYFUNCTION("IF(ISBLANK(A1298),IFERROR(1/0),IF(COUNT(FILTER(G:G,((A:A=A1298)*(B:B=""V""))))&gt;1,TRUNC(N1298*G1298/SUM(FILTER(N:N,((A:A=A1298)*(B:B=""V"")))),3),G1298))"),"")</f>
        <v/>
      </c>
      <c r="L1298" s="148" t="str">
        <f>IFERROR(__xludf.DUMMYFUNCTION("if($C1298="""","""",iferror(if(row()&lt;&gt;2,INDEX(arrayformula(filter($M$2:$M1297,$C$2:$C1297&lt;&gt;"""",row($C$2:$C1297)=max(if($C$2:$C1297=C1298,row($C$2:$C1297),0)))) ,1),0),0))"),"")</f>
        <v/>
      </c>
      <c r="M1298" s="148" t="str">
        <f t="shared" si="1"/>
        <v/>
      </c>
      <c r="N1298" s="147" t="str">
        <f t="shared" si="2"/>
        <v/>
      </c>
      <c r="O1298" s="147" t="str">
        <f t="shared" si="21"/>
        <v/>
      </c>
      <c r="P1298" s="147" t="str">
        <f>IFERROR(__xludf.DUMMYFUNCTION("if(C1298="""","""",iferror(if(row()&lt;&gt;2,INDEX(arrayformula(filter($Q$2:$Q1297,$C$2:$C1297&lt;&gt;"""",row($C$2:$C1297)=max(if($C$2:$C1297=C1298,row($C$2:$C1297),0)))) ,1),0),0))"),"")</f>
        <v/>
      </c>
      <c r="Q1298" s="147" t="str">
        <f t="shared" si="22"/>
        <v/>
      </c>
      <c r="R1298" s="147" t="str">
        <f t="shared" si="23"/>
        <v/>
      </c>
      <c r="S1298" s="147" t="str">
        <f t="shared" si="24"/>
        <v/>
      </c>
      <c r="T1298" s="147" t="str">
        <f t="shared" si="7"/>
        <v/>
      </c>
      <c r="U1298" s="150" t="str">
        <f t="shared" si="8"/>
        <v/>
      </c>
      <c r="V1298" s="151" t="str">
        <f>IFERROR(VLOOKUP(C1298,Ativos!$A$1:$G2000,5,),)</f>
        <v/>
      </c>
    </row>
    <row r="1299" ht="21.0" customHeight="1">
      <c r="A1299" s="152"/>
      <c r="B1299" s="160"/>
      <c r="C1299" s="153"/>
      <c r="D1299" s="154"/>
      <c r="E1299" s="139"/>
      <c r="F1299" s="139"/>
      <c r="G1299" s="139"/>
      <c r="H1299" s="135"/>
      <c r="I1299" s="141"/>
      <c r="J1299" s="147" t="str">
        <f>IFERROR(__xludf.DUMMYFUNCTION("IF(ISBLANK(A1299),IFERROR(1/0),IF(COUNT(FILTER(F:F,A:A=A1299))&gt;1,TRUNC(N1299*F1299/SUM(FILTER(N:N,A:A=A1299)),3),F1299))"),"")</f>
        <v/>
      </c>
      <c r="K1299" s="147" t="str">
        <f>IFERROR(__xludf.DUMMYFUNCTION("IF(ISBLANK(A1299),IFERROR(1/0),IF(COUNT(FILTER(G:G,((A:A=A1299)*(B:B=""V""))))&gt;1,TRUNC(N1299*G1299/SUM(FILTER(N:N,((A:A=A1299)*(B:B=""V"")))),3),G1299))"),"")</f>
        <v/>
      </c>
      <c r="L1299" s="148" t="str">
        <f>IFERROR(__xludf.DUMMYFUNCTION("if($C1299="""","""",iferror(if(row()&lt;&gt;2,INDEX(arrayformula(filter($M$2:$M1298,$C$2:$C1298&lt;&gt;"""",row($C$2:$C1298)=max(if($C$2:$C1298=C1299,row($C$2:$C1298),0)))) ,1),0),0))"),"")</f>
        <v/>
      </c>
      <c r="M1299" s="148" t="str">
        <f t="shared" si="1"/>
        <v/>
      </c>
      <c r="N1299" s="147" t="str">
        <f t="shared" si="2"/>
        <v/>
      </c>
      <c r="O1299" s="147" t="str">
        <f t="shared" si="21"/>
        <v/>
      </c>
      <c r="P1299" s="147" t="str">
        <f>IFERROR(__xludf.DUMMYFUNCTION("if(C1299="""","""",iferror(if(row()&lt;&gt;2,INDEX(arrayformula(filter($Q$2:$Q1298,$C$2:$C1298&lt;&gt;"""",row($C$2:$C1298)=max(if($C$2:$C1298=C1299,row($C$2:$C1298),0)))) ,1),0),0))"),"")</f>
        <v/>
      </c>
      <c r="Q1299" s="147" t="str">
        <f t="shared" si="22"/>
        <v/>
      </c>
      <c r="R1299" s="147" t="str">
        <f t="shared" si="23"/>
        <v/>
      </c>
      <c r="S1299" s="147" t="str">
        <f t="shared" si="24"/>
        <v/>
      </c>
      <c r="T1299" s="147" t="str">
        <f t="shared" si="7"/>
        <v/>
      </c>
      <c r="U1299" s="150" t="str">
        <f t="shared" si="8"/>
        <v/>
      </c>
      <c r="V1299" s="151" t="str">
        <f>IFERROR(VLOOKUP(C1299,Ativos!$A$1:$G2000,5,),)</f>
        <v/>
      </c>
    </row>
    <row r="1300" ht="21.0" customHeight="1">
      <c r="A1300" s="152"/>
      <c r="B1300" s="160"/>
      <c r="C1300" s="153"/>
      <c r="D1300" s="154"/>
      <c r="E1300" s="139"/>
      <c r="F1300" s="139"/>
      <c r="G1300" s="139"/>
      <c r="H1300" s="135"/>
      <c r="I1300" s="141"/>
      <c r="J1300" s="147" t="str">
        <f>IFERROR(__xludf.DUMMYFUNCTION("IF(ISBLANK(A1300),IFERROR(1/0),IF(COUNT(FILTER(F:F,A:A=A1300))&gt;1,TRUNC(N1300*F1300/SUM(FILTER(N:N,A:A=A1300)),3),F1300))"),"")</f>
        <v/>
      </c>
      <c r="K1300" s="147" t="str">
        <f>IFERROR(__xludf.DUMMYFUNCTION("IF(ISBLANK(A1300),IFERROR(1/0),IF(COUNT(FILTER(G:G,((A:A=A1300)*(B:B=""V""))))&gt;1,TRUNC(N1300*G1300/SUM(FILTER(N:N,((A:A=A1300)*(B:B=""V"")))),3),G1300))"),"")</f>
        <v/>
      </c>
      <c r="L1300" s="148" t="str">
        <f>IFERROR(__xludf.DUMMYFUNCTION("if($C1300="""","""",iferror(if(row()&lt;&gt;2,INDEX(arrayformula(filter($M$2:$M1299,$C$2:$C1299&lt;&gt;"""",row($C$2:$C1299)=max(if($C$2:$C1299=C1300,row($C$2:$C1299),0)))) ,1),0),0))"),"")</f>
        <v/>
      </c>
      <c r="M1300" s="148" t="str">
        <f t="shared" si="1"/>
        <v/>
      </c>
      <c r="N1300" s="147" t="str">
        <f t="shared" si="2"/>
        <v/>
      </c>
      <c r="O1300" s="147" t="str">
        <f t="shared" si="21"/>
        <v/>
      </c>
      <c r="P1300" s="147" t="str">
        <f>IFERROR(__xludf.DUMMYFUNCTION("if(C1300="""","""",iferror(if(row()&lt;&gt;2,INDEX(arrayformula(filter($Q$2:$Q1299,$C$2:$C1299&lt;&gt;"""",row($C$2:$C1299)=max(if($C$2:$C1299=C1300,row($C$2:$C1299),0)))) ,1),0),0))"),"")</f>
        <v/>
      </c>
      <c r="Q1300" s="147" t="str">
        <f t="shared" si="22"/>
        <v/>
      </c>
      <c r="R1300" s="147" t="str">
        <f t="shared" si="23"/>
        <v/>
      </c>
      <c r="S1300" s="147" t="str">
        <f t="shared" si="24"/>
        <v/>
      </c>
      <c r="T1300" s="147" t="str">
        <f t="shared" si="7"/>
        <v/>
      </c>
      <c r="U1300" s="150" t="str">
        <f t="shared" si="8"/>
        <v/>
      </c>
      <c r="V1300" s="151" t="str">
        <f>IFERROR(VLOOKUP(C1300,Ativos!$A$1:$G2000,5,),)</f>
        <v/>
      </c>
    </row>
    <row r="1301" ht="21.0" customHeight="1">
      <c r="A1301" s="152"/>
      <c r="B1301" s="160"/>
      <c r="C1301" s="153"/>
      <c r="D1301" s="154"/>
      <c r="E1301" s="139"/>
      <c r="F1301" s="139"/>
      <c r="G1301" s="139"/>
      <c r="H1301" s="135"/>
      <c r="I1301" s="141"/>
      <c r="J1301" s="147" t="str">
        <f>IFERROR(__xludf.DUMMYFUNCTION("IF(ISBLANK(A1301),IFERROR(1/0),IF(COUNT(FILTER(F:F,A:A=A1301))&gt;1,TRUNC(N1301*F1301/SUM(FILTER(N:N,A:A=A1301)),3),F1301))"),"")</f>
        <v/>
      </c>
      <c r="K1301" s="147" t="str">
        <f>IFERROR(__xludf.DUMMYFUNCTION("IF(ISBLANK(A1301),IFERROR(1/0),IF(COUNT(FILTER(G:G,((A:A=A1301)*(B:B=""V""))))&gt;1,TRUNC(N1301*G1301/SUM(FILTER(N:N,((A:A=A1301)*(B:B=""V"")))),3),G1301))"),"")</f>
        <v/>
      </c>
      <c r="L1301" s="148" t="str">
        <f>IFERROR(__xludf.DUMMYFUNCTION("if($C1301="""","""",iferror(if(row()&lt;&gt;2,INDEX(arrayformula(filter($M$2:$M1300,$C$2:$C1300&lt;&gt;"""",row($C$2:$C1300)=max(if($C$2:$C1300=C1301,row($C$2:$C1300),0)))) ,1),0),0))"),"")</f>
        <v/>
      </c>
      <c r="M1301" s="148" t="str">
        <f t="shared" si="1"/>
        <v/>
      </c>
      <c r="N1301" s="147" t="str">
        <f t="shared" si="2"/>
        <v/>
      </c>
      <c r="O1301" s="147" t="str">
        <f t="shared" si="21"/>
        <v/>
      </c>
      <c r="P1301" s="147" t="str">
        <f>IFERROR(__xludf.DUMMYFUNCTION("if(C1301="""","""",iferror(if(row()&lt;&gt;2,INDEX(arrayformula(filter($Q$2:$Q1300,$C$2:$C1300&lt;&gt;"""",row($C$2:$C1300)=max(if($C$2:$C1300=C1301,row($C$2:$C1300),0)))) ,1),0),0))"),"")</f>
        <v/>
      </c>
      <c r="Q1301" s="147" t="str">
        <f t="shared" si="22"/>
        <v/>
      </c>
      <c r="R1301" s="147" t="str">
        <f t="shared" si="23"/>
        <v/>
      </c>
      <c r="S1301" s="147" t="str">
        <f t="shared" si="24"/>
        <v/>
      </c>
      <c r="T1301" s="147" t="str">
        <f t="shared" si="7"/>
        <v/>
      </c>
      <c r="U1301" s="150" t="str">
        <f t="shared" si="8"/>
        <v/>
      </c>
      <c r="V1301" s="151" t="str">
        <f>IFERROR(VLOOKUP(C1301,Ativos!$A$1:$G2000,5,),)</f>
        <v/>
      </c>
    </row>
    <row r="1302" ht="21.0" customHeight="1">
      <c r="A1302" s="152"/>
      <c r="B1302" s="160"/>
      <c r="C1302" s="153"/>
      <c r="D1302" s="154"/>
      <c r="E1302" s="139"/>
      <c r="F1302" s="139"/>
      <c r="G1302" s="139"/>
      <c r="H1302" s="135"/>
      <c r="I1302" s="141"/>
      <c r="J1302" s="147" t="str">
        <f>IFERROR(__xludf.DUMMYFUNCTION("IF(ISBLANK(A1302),IFERROR(1/0),IF(COUNT(FILTER(F:F,A:A=A1302))&gt;1,TRUNC(N1302*F1302/SUM(FILTER(N:N,A:A=A1302)),3),F1302))"),"")</f>
        <v/>
      </c>
      <c r="K1302" s="147" t="str">
        <f>IFERROR(__xludf.DUMMYFUNCTION("IF(ISBLANK(A1302),IFERROR(1/0),IF(COUNT(FILTER(G:G,((A:A=A1302)*(B:B=""V""))))&gt;1,TRUNC(N1302*G1302/SUM(FILTER(N:N,((A:A=A1302)*(B:B=""V"")))),3),G1302))"),"")</f>
        <v/>
      </c>
      <c r="L1302" s="148" t="str">
        <f>IFERROR(__xludf.DUMMYFUNCTION("if($C1302="""","""",iferror(if(row()&lt;&gt;2,INDEX(arrayformula(filter($M$2:$M1301,$C$2:$C1301&lt;&gt;"""",row($C$2:$C1301)=max(if($C$2:$C1301=C1302,row($C$2:$C1301),0)))) ,1),0),0))"),"")</f>
        <v/>
      </c>
      <c r="M1302" s="148" t="str">
        <f t="shared" si="1"/>
        <v/>
      </c>
      <c r="N1302" s="147" t="str">
        <f t="shared" si="2"/>
        <v/>
      </c>
      <c r="O1302" s="147" t="str">
        <f t="shared" si="21"/>
        <v/>
      </c>
      <c r="P1302" s="147" t="str">
        <f>IFERROR(__xludf.DUMMYFUNCTION("if(C1302="""","""",iferror(if(row()&lt;&gt;2,INDEX(arrayformula(filter($Q$2:$Q1301,$C$2:$C1301&lt;&gt;"""",row($C$2:$C1301)=max(if($C$2:$C1301=C1302,row($C$2:$C1301),0)))) ,1),0),0))"),"")</f>
        <v/>
      </c>
      <c r="Q1302" s="147" t="str">
        <f t="shared" si="22"/>
        <v/>
      </c>
      <c r="R1302" s="147" t="str">
        <f t="shared" si="23"/>
        <v/>
      </c>
      <c r="S1302" s="147" t="str">
        <f t="shared" si="24"/>
        <v/>
      </c>
      <c r="T1302" s="147" t="str">
        <f t="shared" si="7"/>
        <v/>
      </c>
      <c r="U1302" s="150" t="str">
        <f t="shared" si="8"/>
        <v/>
      </c>
      <c r="V1302" s="151" t="str">
        <f>IFERROR(VLOOKUP(C1302,Ativos!$A$1:$G2000,5,),)</f>
        <v/>
      </c>
    </row>
    <row r="1303" ht="21.0" customHeight="1">
      <c r="A1303" s="152"/>
      <c r="B1303" s="160"/>
      <c r="C1303" s="153"/>
      <c r="D1303" s="154"/>
      <c r="E1303" s="139"/>
      <c r="F1303" s="139"/>
      <c r="G1303" s="139"/>
      <c r="H1303" s="135"/>
      <c r="I1303" s="141"/>
      <c r="J1303" s="147" t="str">
        <f>IFERROR(__xludf.DUMMYFUNCTION("IF(ISBLANK(A1303),IFERROR(1/0),IF(COUNT(FILTER(F:F,A:A=A1303))&gt;1,TRUNC(N1303*F1303/SUM(FILTER(N:N,A:A=A1303)),3),F1303))"),"")</f>
        <v/>
      </c>
      <c r="K1303" s="147" t="str">
        <f>IFERROR(__xludf.DUMMYFUNCTION("IF(ISBLANK(A1303),IFERROR(1/0),IF(COUNT(FILTER(G:G,((A:A=A1303)*(B:B=""V""))))&gt;1,TRUNC(N1303*G1303/SUM(FILTER(N:N,((A:A=A1303)*(B:B=""V"")))),3),G1303))"),"")</f>
        <v/>
      </c>
      <c r="L1303" s="148" t="str">
        <f>IFERROR(__xludf.DUMMYFUNCTION("if($C1303="""","""",iferror(if(row()&lt;&gt;2,INDEX(arrayformula(filter($M$2:$M1302,$C$2:$C1302&lt;&gt;"""",row($C$2:$C1302)=max(if($C$2:$C1302=C1303,row($C$2:$C1302),0)))) ,1),0),0))"),"")</f>
        <v/>
      </c>
      <c r="M1303" s="148" t="str">
        <f t="shared" si="1"/>
        <v/>
      </c>
      <c r="N1303" s="147" t="str">
        <f t="shared" si="2"/>
        <v/>
      </c>
      <c r="O1303" s="147" t="str">
        <f t="shared" si="21"/>
        <v/>
      </c>
      <c r="P1303" s="147" t="str">
        <f>IFERROR(__xludf.DUMMYFUNCTION("if(C1303="""","""",iferror(if(row()&lt;&gt;2,INDEX(arrayformula(filter($Q$2:$Q1302,$C$2:$C1302&lt;&gt;"""",row($C$2:$C1302)=max(if($C$2:$C1302=C1303,row($C$2:$C1302),0)))) ,1),0),0))"),"")</f>
        <v/>
      </c>
      <c r="Q1303" s="147" t="str">
        <f t="shared" si="22"/>
        <v/>
      </c>
      <c r="R1303" s="147" t="str">
        <f t="shared" si="23"/>
        <v/>
      </c>
      <c r="S1303" s="147" t="str">
        <f t="shared" si="24"/>
        <v/>
      </c>
      <c r="T1303" s="147" t="str">
        <f t="shared" si="7"/>
        <v/>
      </c>
      <c r="U1303" s="150" t="str">
        <f t="shared" si="8"/>
        <v/>
      </c>
      <c r="V1303" s="151" t="str">
        <f>IFERROR(VLOOKUP(C1303,Ativos!$A$1:$G2000,5,),)</f>
        <v/>
      </c>
    </row>
    <row r="1304" ht="21.0" customHeight="1">
      <c r="A1304" s="152"/>
      <c r="B1304" s="160"/>
      <c r="C1304" s="153"/>
      <c r="D1304" s="154"/>
      <c r="E1304" s="139"/>
      <c r="F1304" s="139"/>
      <c r="G1304" s="139"/>
      <c r="H1304" s="135"/>
      <c r="I1304" s="141"/>
      <c r="J1304" s="147" t="str">
        <f>IFERROR(__xludf.DUMMYFUNCTION("IF(ISBLANK(A1304),IFERROR(1/0),IF(COUNT(FILTER(F:F,A:A=A1304))&gt;1,TRUNC(N1304*F1304/SUM(FILTER(N:N,A:A=A1304)),3),F1304))"),"")</f>
        <v/>
      </c>
      <c r="K1304" s="147" t="str">
        <f>IFERROR(__xludf.DUMMYFUNCTION("IF(ISBLANK(A1304),IFERROR(1/0),IF(COUNT(FILTER(G:G,((A:A=A1304)*(B:B=""V""))))&gt;1,TRUNC(N1304*G1304/SUM(FILTER(N:N,((A:A=A1304)*(B:B=""V"")))),3),G1304))"),"")</f>
        <v/>
      </c>
      <c r="L1304" s="148" t="str">
        <f>IFERROR(__xludf.DUMMYFUNCTION("if($C1304="""","""",iferror(if(row()&lt;&gt;2,INDEX(arrayformula(filter($M$2:$M1303,$C$2:$C1303&lt;&gt;"""",row($C$2:$C1303)=max(if($C$2:$C1303=C1304,row($C$2:$C1303),0)))) ,1),0),0))"),"")</f>
        <v/>
      </c>
      <c r="M1304" s="148" t="str">
        <f t="shared" si="1"/>
        <v/>
      </c>
      <c r="N1304" s="147" t="str">
        <f t="shared" si="2"/>
        <v/>
      </c>
      <c r="O1304" s="147" t="str">
        <f t="shared" si="21"/>
        <v/>
      </c>
      <c r="P1304" s="147" t="str">
        <f>IFERROR(__xludf.DUMMYFUNCTION("if(C1304="""","""",iferror(if(row()&lt;&gt;2,INDEX(arrayformula(filter($Q$2:$Q1303,$C$2:$C1303&lt;&gt;"""",row($C$2:$C1303)=max(if($C$2:$C1303=C1304,row($C$2:$C1303),0)))) ,1),0),0))"),"")</f>
        <v/>
      </c>
      <c r="Q1304" s="147" t="str">
        <f t="shared" si="22"/>
        <v/>
      </c>
      <c r="R1304" s="147" t="str">
        <f t="shared" si="23"/>
        <v/>
      </c>
      <c r="S1304" s="147" t="str">
        <f t="shared" si="24"/>
        <v/>
      </c>
      <c r="T1304" s="147" t="str">
        <f t="shared" si="7"/>
        <v/>
      </c>
      <c r="U1304" s="150" t="str">
        <f t="shared" si="8"/>
        <v/>
      </c>
      <c r="V1304" s="151" t="str">
        <f>IFERROR(VLOOKUP(C1304,Ativos!$A$1:$G2000,5,),)</f>
        <v/>
      </c>
    </row>
    <row r="1305" ht="21.0" customHeight="1">
      <c r="A1305" s="152"/>
      <c r="B1305" s="160"/>
      <c r="C1305" s="153"/>
      <c r="D1305" s="154"/>
      <c r="E1305" s="139"/>
      <c r="F1305" s="139"/>
      <c r="G1305" s="139"/>
      <c r="H1305" s="135"/>
      <c r="I1305" s="141"/>
      <c r="J1305" s="147" t="str">
        <f>IFERROR(__xludf.DUMMYFUNCTION("IF(ISBLANK(A1305),IFERROR(1/0),IF(COUNT(FILTER(F:F,A:A=A1305))&gt;1,TRUNC(N1305*F1305/SUM(FILTER(N:N,A:A=A1305)),3),F1305))"),"")</f>
        <v/>
      </c>
      <c r="K1305" s="147" t="str">
        <f>IFERROR(__xludf.DUMMYFUNCTION("IF(ISBLANK(A1305),IFERROR(1/0),IF(COUNT(FILTER(G:G,((A:A=A1305)*(B:B=""V""))))&gt;1,TRUNC(N1305*G1305/SUM(FILTER(N:N,((A:A=A1305)*(B:B=""V"")))),3),G1305))"),"")</f>
        <v/>
      </c>
      <c r="L1305" s="148" t="str">
        <f>IFERROR(__xludf.DUMMYFUNCTION("if($C1305="""","""",iferror(if(row()&lt;&gt;2,INDEX(arrayformula(filter($M$2:$M1304,$C$2:$C1304&lt;&gt;"""",row($C$2:$C1304)=max(if($C$2:$C1304=C1305,row($C$2:$C1304),0)))) ,1),0),0))"),"")</f>
        <v/>
      </c>
      <c r="M1305" s="148" t="str">
        <f t="shared" si="1"/>
        <v/>
      </c>
      <c r="N1305" s="147" t="str">
        <f t="shared" si="2"/>
        <v/>
      </c>
      <c r="O1305" s="147" t="str">
        <f t="shared" si="21"/>
        <v/>
      </c>
      <c r="P1305" s="147" t="str">
        <f>IFERROR(__xludf.DUMMYFUNCTION("if(C1305="""","""",iferror(if(row()&lt;&gt;2,INDEX(arrayformula(filter($Q$2:$Q1304,$C$2:$C1304&lt;&gt;"""",row($C$2:$C1304)=max(if($C$2:$C1304=C1305,row($C$2:$C1304),0)))) ,1),0),0))"),"")</f>
        <v/>
      </c>
      <c r="Q1305" s="147" t="str">
        <f t="shared" si="22"/>
        <v/>
      </c>
      <c r="R1305" s="147" t="str">
        <f t="shared" si="23"/>
        <v/>
      </c>
      <c r="S1305" s="147" t="str">
        <f t="shared" si="24"/>
        <v/>
      </c>
      <c r="T1305" s="147" t="str">
        <f t="shared" si="7"/>
        <v/>
      </c>
      <c r="U1305" s="150" t="str">
        <f t="shared" si="8"/>
        <v/>
      </c>
      <c r="V1305" s="151" t="str">
        <f>IFERROR(VLOOKUP(C1305,Ativos!$A$1:$G2000,5,),)</f>
        <v/>
      </c>
    </row>
    <row r="1306" ht="21.0" customHeight="1">
      <c r="A1306" s="152"/>
      <c r="B1306" s="160"/>
      <c r="C1306" s="153"/>
      <c r="D1306" s="154"/>
      <c r="E1306" s="139"/>
      <c r="F1306" s="139"/>
      <c r="G1306" s="139"/>
      <c r="H1306" s="135"/>
      <c r="I1306" s="141"/>
      <c r="J1306" s="147" t="str">
        <f>IFERROR(__xludf.DUMMYFUNCTION("IF(ISBLANK(A1306),IFERROR(1/0),IF(COUNT(FILTER(F:F,A:A=A1306))&gt;1,TRUNC(N1306*F1306/SUM(FILTER(N:N,A:A=A1306)),3),F1306))"),"")</f>
        <v/>
      </c>
      <c r="K1306" s="147" t="str">
        <f>IFERROR(__xludf.DUMMYFUNCTION("IF(ISBLANK(A1306),IFERROR(1/0),IF(COUNT(FILTER(G:G,((A:A=A1306)*(B:B=""V""))))&gt;1,TRUNC(N1306*G1306/SUM(FILTER(N:N,((A:A=A1306)*(B:B=""V"")))),3),G1306))"),"")</f>
        <v/>
      </c>
      <c r="L1306" s="148" t="str">
        <f>IFERROR(__xludf.DUMMYFUNCTION("if($C1306="""","""",iferror(if(row()&lt;&gt;2,INDEX(arrayformula(filter($M$2:$M1305,$C$2:$C1305&lt;&gt;"""",row($C$2:$C1305)=max(if($C$2:$C1305=C1306,row($C$2:$C1305),0)))) ,1),0),0))"),"")</f>
        <v/>
      </c>
      <c r="M1306" s="148" t="str">
        <f t="shared" si="1"/>
        <v/>
      </c>
      <c r="N1306" s="147" t="str">
        <f t="shared" si="2"/>
        <v/>
      </c>
      <c r="O1306" s="147" t="str">
        <f t="shared" si="21"/>
        <v/>
      </c>
      <c r="P1306" s="147" t="str">
        <f>IFERROR(__xludf.DUMMYFUNCTION("if(C1306="""","""",iferror(if(row()&lt;&gt;2,INDEX(arrayformula(filter($Q$2:$Q1305,$C$2:$C1305&lt;&gt;"""",row($C$2:$C1305)=max(if($C$2:$C1305=C1306,row($C$2:$C1305),0)))) ,1),0),0))"),"")</f>
        <v/>
      </c>
      <c r="Q1306" s="147" t="str">
        <f t="shared" si="22"/>
        <v/>
      </c>
      <c r="R1306" s="147" t="str">
        <f t="shared" si="23"/>
        <v/>
      </c>
      <c r="S1306" s="147" t="str">
        <f t="shared" si="24"/>
        <v/>
      </c>
      <c r="T1306" s="147" t="str">
        <f t="shared" si="7"/>
        <v/>
      </c>
      <c r="U1306" s="150" t="str">
        <f t="shared" si="8"/>
        <v/>
      </c>
      <c r="V1306" s="151" t="str">
        <f>IFERROR(VLOOKUP(C1306,Ativos!$A$1:$G2000,5,),)</f>
        <v/>
      </c>
    </row>
    <row r="1307" ht="21.0" customHeight="1">
      <c r="A1307" s="152"/>
      <c r="B1307" s="160"/>
      <c r="C1307" s="153"/>
      <c r="D1307" s="154"/>
      <c r="E1307" s="139"/>
      <c r="F1307" s="139"/>
      <c r="G1307" s="139"/>
      <c r="H1307" s="135"/>
      <c r="I1307" s="141"/>
      <c r="J1307" s="147" t="str">
        <f>IFERROR(__xludf.DUMMYFUNCTION("IF(ISBLANK(A1307),IFERROR(1/0),IF(COUNT(FILTER(F:F,A:A=A1307))&gt;1,TRUNC(N1307*F1307/SUM(FILTER(N:N,A:A=A1307)),3),F1307))"),"")</f>
        <v/>
      </c>
      <c r="K1307" s="147" t="str">
        <f>IFERROR(__xludf.DUMMYFUNCTION("IF(ISBLANK(A1307),IFERROR(1/0),IF(COUNT(FILTER(G:G,((A:A=A1307)*(B:B=""V""))))&gt;1,TRUNC(N1307*G1307/SUM(FILTER(N:N,((A:A=A1307)*(B:B=""V"")))),3),G1307))"),"")</f>
        <v/>
      </c>
      <c r="L1307" s="148" t="str">
        <f>IFERROR(__xludf.DUMMYFUNCTION("if($C1307="""","""",iferror(if(row()&lt;&gt;2,INDEX(arrayformula(filter($M$2:$M1306,$C$2:$C1306&lt;&gt;"""",row($C$2:$C1306)=max(if($C$2:$C1306=C1307,row($C$2:$C1306),0)))) ,1),0),0))"),"")</f>
        <v/>
      </c>
      <c r="M1307" s="148" t="str">
        <f t="shared" si="1"/>
        <v/>
      </c>
      <c r="N1307" s="147" t="str">
        <f t="shared" si="2"/>
        <v/>
      </c>
      <c r="O1307" s="147" t="str">
        <f t="shared" si="21"/>
        <v/>
      </c>
      <c r="P1307" s="147" t="str">
        <f>IFERROR(__xludf.DUMMYFUNCTION("if(C1307="""","""",iferror(if(row()&lt;&gt;2,INDEX(arrayformula(filter($Q$2:$Q1306,$C$2:$C1306&lt;&gt;"""",row($C$2:$C1306)=max(if($C$2:$C1306=C1307,row($C$2:$C1306),0)))) ,1),0),0))"),"")</f>
        <v/>
      </c>
      <c r="Q1307" s="147" t="str">
        <f t="shared" si="22"/>
        <v/>
      </c>
      <c r="R1307" s="147" t="str">
        <f t="shared" si="23"/>
        <v/>
      </c>
      <c r="S1307" s="147" t="str">
        <f t="shared" si="24"/>
        <v/>
      </c>
      <c r="T1307" s="147" t="str">
        <f t="shared" si="7"/>
        <v/>
      </c>
      <c r="U1307" s="150" t="str">
        <f t="shared" si="8"/>
        <v/>
      </c>
      <c r="V1307" s="151" t="str">
        <f>IFERROR(VLOOKUP(C1307,Ativos!$A$1:$G2000,5,),)</f>
        <v/>
      </c>
    </row>
    <row r="1308" ht="21.0" customHeight="1">
      <c r="A1308" s="152"/>
      <c r="B1308" s="160"/>
      <c r="C1308" s="153"/>
      <c r="D1308" s="154"/>
      <c r="E1308" s="139"/>
      <c r="F1308" s="139"/>
      <c r="G1308" s="139"/>
      <c r="H1308" s="135"/>
      <c r="I1308" s="141"/>
      <c r="J1308" s="147" t="str">
        <f>IFERROR(__xludf.DUMMYFUNCTION("IF(ISBLANK(A1308),IFERROR(1/0),IF(COUNT(FILTER(F:F,A:A=A1308))&gt;1,TRUNC(N1308*F1308/SUM(FILTER(N:N,A:A=A1308)),3),F1308))"),"")</f>
        <v/>
      </c>
      <c r="K1308" s="147" t="str">
        <f>IFERROR(__xludf.DUMMYFUNCTION("IF(ISBLANK(A1308),IFERROR(1/0),IF(COUNT(FILTER(G:G,((A:A=A1308)*(B:B=""V""))))&gt;1,TRUNC(N1308*G1308/SUM(FILTER(N:N,((A:A=A1308)*(B:B=""V"")))),3),G1308))"),"")</f>
        <v/>
      </c>
      <c r="L1308" s="148" t="str">
        <f>IFERROR(__xludf.DUMMYFUNCTION("if($C1308="""","""",iferror(if(row()&lt;&gt;2,INDEX(arrayformula(filter($M$2:$M1307,$C$2:$C1307&lt;&gt;"""",row($C$2:$C1307)=max(if($C$2:$C1307=C1308,row($C$2:$C1307),0)))) ,1),0),0))"),"")</f>
        <v/>
      </c>
      <c r="M1308" s="148" t="str">
        <f t="shared" si="1"/>
        <v/>
      </c>
      <c r="N1308" s="147" t="str">
        <f t="shared" si="2"/>
        <v/>
      </c>
      <c r="O1308" s="147" t="str">
        <f t="shared" si="21"/>
        <v/>
      </c>
      <c r="P1308" s="147" t="str">
        <f>IFERROR(__xludf.DUMMYFUNCTION("if(C1308="""","""",iferror(if(row()&lt;&gt;2,INDEX(arrayformula(filter($Q$2:$Q1307,$C$2:$C1307&lt;&gt;"""",row($C$2:$C1307)=max(if($C$2:$C1307=C1308,row($C$2:$C1307),0)))) ,1),0),0))"),"")</f>
        <v/>
      </c>
      <c r="Q1308" s="147" t="str">
        <f t="shared" si="22"/>
        <v/>
      </c>
      <c r="R1308" s="147" t="str">
        <f t="shared" si="23"/>
        <v/>
      </c>
      <c r="S1308" s="147" t="str">
        <f t="shared" si="24"/>
        <v/>
      </c>
      <c r="T1308" s="147" t="str">
        <f t="shared" si="7"/>
        <v/>
      </c>
      <c r="U1308" s="150" t="str">
        <f t="shared" si="8"/>
        <v/>
      </c>
      <c r="V1308" s="151" t="str">
        <f>IFERROR(VLOOKUP(C1308,Ativos!$A$1:$G2000,5,),)</f>
        <v/>
      </c>
    </row>
    <row r="1309" ht="21.0" customHeight="1">
      <c r="A1309" s="152"/>
      <c r="B1309" s="160"/>
      <c r="C1309" s="153"/>
      <c r="D1309" s="154"/>
      <c r="E1309" s="139"/>
      <c r="F1309" s="139"/>
      <c r="G1309" s="139"/>
      <c r="H1309" s="135"/>
      <c r="I1309" s="141"/>
      <c r="J1309" s="147" t="str">
        <f>IFERROR(__xludf.DUMMYFUNCTION("IF(ISBLANK(A1309),IFERROR(1/0),IF(COUNT(FILTER(F:F,A:A=A1309))&gt;1,TRUNC(N1309*F1309/SUM(FILTER(N:N,A:A=A1309)),3),F1309))"),"")</f>
        <v/>
      </c>
      <c r="K1309" s="147" t="str">
        <f>IFERROR(__xludf.DUMMYFUNCTION("IF(ISBLANK(A1309),IFERROR(1/0),IF(COUNT(FILTER(G:G,((A:A=A1309)*(B:B=""V""))))&gt;1,TRUNC(N1309*G1309/SUM(FILTER(N:N,((A:A=A1309)*(B:B=""V"")))),3),G1309))"),"")</f>
        <v/>
      </c>
      <c r="L1309" s="148" t="str">
        <f>IFERROR(__xludf.DUMMYFUNCTION("if($C1309="""","""",iferror(if(row()&lt;&gt;2,INDEX(arrayformula(filter($M$2:$M1308,$C$2:$C1308&lt;&gt;"""",row($C$2:$C1308)=max(if($C$2:$C1308=C1309,row($C$2:$C1308),0)))) ,1),0),0))"),"")</f>
        <v/>
      </c>
      <c r="M1309" s="148" t="str">
        <f t="shared" si="1"/>
        <v/>
      </c>
      <c r="N1309" s="147" t="str">
        <f t="shared" si="2"/>
        <v/>
      </c>
      <c r="O1309" s="147" t="str">
        <f t="shared" si="21"/>
        <v/>
      </c>
      <c r="P1309" s="147" t="str">
        <f>IFERROR(__xludf.DUMMYFUNCTION("if(C1309="""","""",iferror(if(row()&lt;&gt;2,INDEX(arrayformula(filter($Q$2:$Q1308,$C$2:$C1308&lt;&gt;"""",row($C$2:$C1308)=max(if($C$2:$C1308=C1309,row($C$2:$C1308),0)))) ,1),0),0))"),"")</f>
        <v/>
      </c>
      <c r="Q1309" s="147" t="str">
        <f t="shared" si="22"/>
        <v/>
      </c>
      <c r="R1309" s="147" t="str">
        <f t="shared" si="23"/>
        <v/>
      </c>
      <c r="S1309" s="147" t="str">
        <f t="shared" si="24"/>
        <v/>
      </c>
      <c r="T1309" s="147" t="str">
        <f t="shared" si="7"/>
        <v/>
      </c>
      <c r="U1309" s="150" t="str">
        <f t="shared" si="8"/>
        <v/>
      </c>
      <c r="V1309" s="151" t="str">
        <f>IFERROR(VLOOKUP(C1309,Ativos!$A$1:$G2000,5,),)</f>
        <v/>
      </c>
    </row>
    <row r="1310" ht="21.0" customHeight="1">
      <c r="A1310" s="152"/>
      <c r="B1310" s="160"/>
      <c r="C1310" s="153"/>
      <c r="D1310" s="154"/>
      <c r="E1310" s="139"/>
      <c r="F1310" s="139"/>
      <c r="G1310" s="139"/>
      <c r="H1310" s="135"/>
      <c r="I1310" s="141"/>
      <c r="J1310" s="147" t="str">
        <f>IFERROR(__xludf.DUMMYFUNCTION("IF(ISBLANK(A1310),IFERROR(1/0),IF(COUNT(FILTER(F:F,A:A=A1310))&gt;1,TRUNC(N1310*F1310/SUM(FILTER(N:N,A:A=A1310)),3),F1310))"),"")</f>
        <v/>
      </c>
      <c r="K1310" s="147" t="str">
        <f>IFERROR(__xludf.DUMMYFUNCTION("IF(ISBLANK(A1310),IFERROR(1/0),IF(COUNT(FILTER(G:G,((A:A=A1310)*(B:B=""V""))))&gt;1,TRUNC(N1310*G1310/SUM(FILTER(N:N,((A:A=A1310)*(B:B=""V"")))),3),G1310))"),"")</f>
        <v/>
      </c>
      <c r="L1310" s="148" t="str">
        <f>IFERROR(__xludf.DUMMYFUNCTION("if($C1310="""","""",iferror(if(row()&lt;&gt;2,INDEX(arrayformula(filter($M$2:$M1309,$C$2:$C1309&lt;&gt;"""",row($C$2:$C1309)=max(if($C$2:$C1309=C1310,row($C$2:$C1309),0)))) ,1),0),0))"),"")</f>
        <v/>
      </c>
      <c r="M1310" s="148" t="str">
        <f t="shared" si="1"/>
        <v/>
      </c>
      <c r="N1310" s="147" t="str">
        <f t="shared" si="2"/>
        <v/>
      </c>
      <c r="O1310" s="147" t="str">
        <f t="shared" si="21"/>
        <v/>
      </c>
      <c r="P1310" s="147" t="str">
        <f>IFERROR(__xludf.DUMMYFUNCTION("if(C1310="""","""",iferror(if(row()&lt;&gt;2,INDEX(arrayformula(filter($Q$2:$Q1309,$C$2:$C1309&lt;&gt;"""",row($C$2:$C1309)=max(if($C$2:$C1309=C1310,row($C$2:$C1309),0)))) ,1),0),0))"),"")</f>
        <v/>
      </c>
      <c r="Q1310" s="147" t="str">
        <f t="shared" si="22"/>
        <v/>
      </c>
      <c r="R1310" s="147" t="str">
        <f t="shared" si="23"/>
        <v/>
      </c>
      <c r="S1310" s="147" t="str">
        <f t="shared" si="24"/>
        <v/>
      </c>
      <c r="T1310" s="147" t="str">
        <f t="shared" si="7"/>
        <v/>
      </c>
      <c r="U1310" s="150" t="str">
        <f t="shared" si="8"/>
        <v/>
      </c>
      <c r="V1310" s="151" t="str">
        <f>IFERROR(VLOOKUP(C1310,Ativos!$A$1:$G2000,5,),)</f>
        <v/>
      </c>
    </row>
    <row r="1311" ht="21.0" customHeight="1">
      <c r="A1311" s="152"/>
      <c r="B1311" s="160"/>
      <c r="C1311" s="153"/>
      <c r="D1311" s="154"/>
      <c r="E1311" s="139"/>
      <c r="F1311" s="139"/>
      <c r="G1311" s="139"/>
      <c r="H1311" s="135"/>
      <c r="I1311" s="141"/>
      <c r="J1311" s="147" t="str">
        <f>IFERROR(__xludf.DUMMYFUNCTION("IF(ISBLANK(A1311),IFERROR(1/0),IF(COUNT(FILTER(F:F,A:A=A1311))&gt;1,TRUNC(N1311*F1311/SUM(FILTER(N:N,A:A=A1311)),3),F1311))"),"")</f>
        <v/>
      </c>
      <c r="K1311" s="147" t="str">
        <f>IFERROR(__xludf.DUMMYFUNCTION("IF(ISBLANK(A1311),IFERROR(1/0),IF(COUNT(FILTER(G:G,((A:A=A1311)*(B:B=""V""))))&gt;1,TRUNC(N1311*G1311/SUM(FILTER(N:N,((A:A=A1311)*(B:B=""V"")))),3),G1311))"),"")</f>
        <v/>
      </c>
      <c r="L1311" s="148" t="str">
        <f>IFERROR(__xludf.DUMMYFUNCTION("if($C1311="""","""",iferror(if(row()&lt;&gt;2,INDEX(arrayformula(filter($M$2:$M1310,$C$2:$C1310&lt;&gt;"""",row($C$2:$C1310)=max(if($C$2:$C1310=C1311,row($C$2:$C1310),0)))) ,1),0),0))"),"")</f>
        <v/>
      </c>
      <c r="M1311" s="148" t="str">
        <f t="shared" si="1"/>
        <v/>
      </c>
      <c r="N1311" s="147" t="str">
        <f t="shared" si="2"/>
        <v/>
      </c>
      <c r="O1311" s="147" t="str">
        <f t="shared" si="21"/>
        <v/>
      </c>
      <c r="P1311" s="147" t="str">
        <f>IFERROR(__xludf.DUMMYFUNCTION("if(C1311="""","""",iferror(if(row()&lt;&gt;2,INDEX(arrayformula(filter($Q$2:$Q1310,$C$2:$C1310&lt;&gt;"""",row($C$2:$C1310)=max(if($C$2:$C1310=C1311,row($C$2:$C1310),0)))) ,1),0),0))"),"")</f>
        <v/>
      </c>
      <c r="Q1311" s="147" t="str">
        <f t="shared" si="22"/>
        <v/>
      </c>
      <c r="R1311" s="147" t="str">
        <f t="shared" si="23"/>
        <v/>
      </c>
      <c r="S1311" s="147" t="str">
        <f t="shared" si="24"/>
        <v/>
      </c>
      <c r="T1311" s="147" t="str">
        <f t="shared" si="7"/>
        <v/>
      </c>
      <c r="U1311" s="150" t="str">
        <f t="shared" si="8"/>
        <v/>
      </c>
      <c r="V1311" s="151" t="str">
        <f>IFERROR(VLOOKUP(C1311,Ativos!$A$1:$G2000,5,),)</f>
        <v/>
      </c>
    </row>
    <row r="1312" ht="21.0" customHeight="1">
      <c r="A1312" s="152"/>
      <c r="B1312" s="160"/>
      <c r="C1312" s="153"/>
      <c r="D1312" s="154"/>
      <c r="E1312" s="139"/>
      <c r="F1312" s="139"/>
      <c r="G1312" s="139"/>
      <c r="H1312" s="135"/>
      <c r="I1312" s="141"/>
      <c r="J1312" s="147" t="str">
        <f>IFERROR(__xludf.DUMMYFUNCTION("IF(ISBLANK(A1312),IFERROR(1/0),IF(COUNT(FILTER(F:F,A:A=A1312))&gt;1,TRUNC(N1312*F1312/SUM(FILTER(N:N,A:A=A1312)),3),F1312))"),"")</f>
        <v/>
      </c>
      <c r="K1312" s="147" t="str">
        <f>IFERROR(__xludf.DUMMYFUNCTION("IF(ISBLANK(A1312),IFERROR(1/0),IF(COUNT(FILTER(G:G,((A:A=A1312)*(B:B=""V""))))&gt;1,TRUNC(N1312*G1312/SUM(FILTER(N:N,((A:A=A1312)*(B:B=""V"")))),3),G1312))"),"")</f>
        <v/>
      </c>
      <c r="L1312" s="148" t="str">
        <f>IFERROR(__xludf.DUMMYFUNCTION("if($C1312="""","""",iferror(if(row()&lt;&gt;2,INDEX(arrayformula(filter($M$2:$M1311,$C$2:$C1311&lt;&gt;"""",row($C$2:$C1311)=max(if($C$2:$C1311=C1312,row($C$2:$C1311),0)))) ,1),0),0))"),"")</f>
        <v/>
      </c>
      <c r="M1312" s="148" t="str">
        <f t="shared" si="1"/>
        <v/>
      </c>
      <c r="N1312" s="147" t="str">
        <f t="shared" si="2"/>
        <v/>
      </c>
      <c r="O1312" s="147" t="str">
        <f t="shared" si="21"/>
        <v/>
      </c>
      <c r="P1312" s="147" t="str">
        <f>IFERROR(__xludf.DUMMYFUNCTION("if(C1312="""","""",iferror(if(row()&lt;&gt;2,INDEX(arrayformula(filter($Q$2:$Q1311,$C$2:$C1311&lt;&gt;"""",row($C$2:$C1311)=max(if($C$2:$C1311=C1312,row($C$2:$C1311),0)))) ,1),0),0))"),"")</f>
        <v/>
      </c>
      <c r="Q1312" s="147" t="str">
        <f t="shared" si="22"/>
        <v/>
      </c>
      <c r="R1312" s="147" t="str">
        <f t="shared" si="23"/>
        <v/>
      </c>
      <c r="S1312" s="147" t="str">
        <f t="shared" si="24"/>
        <v/>
      </c>
      <c r="T1312" s="147" t="str">
        <f t="shared" si="7"/>
        <v/>
      </c>
      <c r="U1312" s="150" t="str">
        <f t="shared" si="8"/>
        <v/>
      </c>
      <c r="V1312" s="151" t="str">
        <f>IFERROR(VLOOKUP(C1312,Ativos!$A$1:$G2000,5,),)</f>
        <v/>
      </c>
    </row>
    <row r="1313" ht="21.0" customHeight="1">
      <c r="A1313" s="152"/>
      <c r="B1313" s="160"/>
      <c r="C1313" s="153"/>
      <c r="D1313" s="154"/>
      <c r="E1313" s="139"/>
      <c r="F1313" s="139"/>
      <c r="G1313" s="139"/>
      <c r="H1313" s="135"/>
      <c r="I1313" s="141"/>
      <c r="J1313" s="147" t="str">
        <f>IFERROR(__xludf.DUMMYFUNCTION("IF(ISBLANK(A1313),IFERROR(1/0),IF(COUNT(FILTER(F:F,A:A=A1313))&gt;1,TRUNC(N1313*F1313/SUM(FILTER(N:N,A:A=A1313)),3),F1313))"),"")</f>
        <v/>
      </c>
      <c r="K1313" s="147" t="str">
        <f>IFERROR(__xludf.DUMMYFUNCTION("IF(ISBLANK(A1313),IFERROR(1/0),IF(COUNT(FILTER(G:G,((A:A=A1313)*(B:B=""V""))))&gt;1,TRUNC(N1313*G1313/SUM(FILTER(N:N,((A:A=A1313)*(B:B=""V"")))),3),G1313))"),"")</f>
        <v/>
      </c>
      <c r="L1313" s="148" t="str">
        <f>IFERROR(__xludf.DUMMYFUNCTION("if($C1313="""","""",iferror(if(row()&lt;&gt;2,INDEX(arrayformula(filter($M$2:$M1312,$C$2:$C1312&lt;&gt;"""",row($C$2:$C1312)=max(if($C$2:$C1312=C1313,row($C$2:$C1312),0)))) ,1),0),0))"),"")</f>
        <v/>
      </c>
      <c r="M1313" s="148" t="str">
        <f t="shared" si="1"/>
        <v/>
      </c>
      <c r="N1313" s="147" t="str">
        <f t="shared" si="2"/>
        <v/>
      </c>
      <c r="O1313" s="147" t="str">
        <f t="shared" si="21"/>
        <v/>
      </c>
      <c r="P1313" s="147" t="str">
        <f>IFERROR(__xludf.DUMMYFUNCTION("if(C1313="""","""",iferror(if(row()&lt;&gt;2,INDEX(arrayformula(filter($Q$2:$Q1312,$C$2:$C1312&lt;&gt;"""",row($C$2:$C1312)=max(if($C$2:$C1312=C1313,row($C$2:$C1312),0)))) ,1),0),0))"),"")</f>
        <v/>
      </c>
      <c r="Q1313" s="147" t="str">
        <f t="shared" si="22"/>
        <v/>
      </c>
      <c r="R1313" s="147" t="str">
        <f t="shared" si="23"/>
        <v/>
      </c>
      <c r="S1313" s="147" t="str">
        <f t="shared" si="24"/>
        <v/>
      </c>
      <c r="T1313" s="147" t="str">
        <f t="shared" si="7"/>
        <v/>
      </c>
      <c r="U1313" s="150" t="str">
        <f t="shared" si="8"/>
        <v/>
      </c>
      <c r="V1313" s="151" t="str">
        <f>IFERROR(VLOOKUP(C1313,Ativos!$A$1:$G2000,5,),)</f>
        <v/>
      </c>
    </row>
    <row r="1314" ht="21.0" customHeight="1">
      <c r="A1314" s="152"/>
      <c r="B1314" s="160"/>
      <c r="C1314" s="153"/>
      <c r="D1314" s="154"/>
      <c r="E1314" s="139"/>
      <c r="F1314" s="139"/>
      <c r="G1314" s="139"/>
      <c r="H1314" s="135"/>
      <c r="I1314" s="141"/>
      <c r="J1314" s="147" t="str">
        <f>IFERROR(__xludf.DUMMYFUNCTION("IF(ISBLANK(A1314),IFERROR(1/0),IF(COUNT(FILTER(F:F,A:A=A1314))&gt;1,TRUNC(N1314*F1314/SUM(FILTER(N:N,A:A=A1314)),3),F1314))"),"")</f>
        <v/>
      </c>
      <c r="K1314" s="147" t="str">
        <f>IFERROR(__xludf.DUMMYFUNCTION("IF(ISBLANK(A1314),IFERROR(1/0),IF(COUNT(FILTER(G:G,((A:A=A1314)*(B:B=""V""))))&gt;1,TRUNC(N1314*G1314/SUM(FILTER(N:N,((A:A=A1314)*(B:B=""V"")))),3),G1314))"),"")</f>
        <v/>
      </c>
      <c r="L1314" s="148" t="str">
        <f>IFERROR(__xludf.DUMMYFUNCTION("if($C1314="""","""",iferror(if(row()&lt;&gt;2,INDEX(arrayformula(filter($M$2:$M1313,$C$2:$C1313&lt;&gt;"""",row($C$2:$C1313)=max(if($C$2:$C1313=C1314,row($C$2:$C1313),0)))) ,1),0),0))"),"")</f>
        <v/>
      </c>
      <c r="M1314" s="148" t="str">
        <f t="shared" si="1"/>
        <v/>
      </c>
      <c r="N1314" s="147" t="str">
        <f t="shared" si="2"/>
        <v/>
      </c>
      <c r="O1314" s="147" t="str">
        <f t="shared" si="21"/>
        <v/>
      </c>
      <c r="P1314" s="147" t="str">
        <f>IFERROR(__xludf.DUMMYFUNCTION("if(C1314="""","""",iferror(if(row()&lt;&gt;2,INDEX(arrayformula(filter($Q$2:$Q1313,$C$2:$C1313&lt;&gt;"""",row($C$2:$C1313)=max(if($C$2:$C1313=C1314,row($C$2:$C1313),0)))) ,1),0),0))"),"")</f>
        <v/>
      </c>
      <c r="Q1314" s="147" t="str">
        <f t="shared" si="22"/>
        <v/>
      </c>
      <c r="R1314" s="147" t="str">
        <f t="shared" si="23"/>
        <v/>
      </c>
      <c r="S1314" s="147" t="str">
        <f t="shared" si="24"/>
        <v/>
      </c>
      <c r="T1314" s="147" t="str">
        <f t="shared" si="7"/>
        <v/>
      </c>
      <c r="U1314" s="150" t="str">
        <f t="shared" si="8"/>
        <v/>
      </c>
      <c r="V1314" s="151" t="str">
        <f>IFERROR(VLOOKUP(C1314,Ativos!$A$1:$G2000,5,),)</f>
        <v/>
      </c>
    </row>
    <row r="1315" ht="21.0" customHeight="1">
      <c r="A1315" s="152"/>
      <c r="B1315" s="160"/>
      <c r="C1315" s="153"/>
      <c r="D1315" s="154"/>
      <c r="E1315" s="139"/>
      <c r="F1315" s="139"/>
      <c r="G1315" s="139"/>
      <c r="H1315" s="135"/>
      <c r="I1315" s="141"/>
      <c r="J1315" s="147" t="str">
        <f>IFERROR(__xludf.DUMMYFUNCTION("IF(ISBLANK(A1315),IFERROR(1/0),IF(COUNT(FILTER(F:F,A:A=A1315))&gt;1,TRUNC(N1315*F1315/SUM(FILTER(N:N,A:A=A1315)),3),F1315))"),"")</f>
        <v/>
      </c>
      <c r="K1315" s="147" t="str">
        <f>IFERROR(__xludf.DUMMYFUNCTION("IF(ISBLANK(A1315),IFERROR(1/0),IF(COUNT(FILTER(G:G,((A:A=A1315)*(B:B=""V""))))&gt;1,TRUNC(N1315*G1315/SUM(FILTER(N:N,((A:A=A1315)*(B:B=""V"")))),3),G1315))"),"")</f>
        <v/>
      </c>
      <c r="L1315" s="148" t="str">
        <f>IFERROR(__xludf.DUMMYFUNCTION("if($C1315="""","""",iferror(if(row()&lt;&gt;2,INDEX(arrayformula(filter($M$2:$M1314,$C$2:$C1314&lt;&gt;"""",row($C$2:$C1314)=max(if($C$2:$C1314=C1315,row($C$2:$C1314),0)))) ,1),0),0))"),"")</f>
        <v/>
      </c>
      <c r="M1315" s="148" t="str">
        <f t="shared" si="1"/>
        <v/>
      </c>
      <c r="N1315" s="147" t="str">
        <f t="shared" si="2"/>
        <v/>
      </c>
      <c r="O1315" s="147" t="str">
        <f t="shared" si="21"/>
        <v/>
      </c>
      <c r="P1315" s="147" t="str">
        <f>IFERROR(__xludf.DUMMYFUNCTION("if(C1315="""","""",iferror(if(row()&lt;&gt;2,INDEX(arrayformula(filter($Q$2:$Q1314,$C$2:$C1314&lt;&gt;"""",row($C$2:$C1314)=max(if($C$2:$C1314=C1315,row($C$2:$C1314),0)))) ,1),0),0))"),"")</f>
        <v/>
      </c>
      <c r="Q1315" s="147" t="str">
        <f t="shared" si="22"/>
        <v/>
      </c>
      <c r="R1315" s="147" t="str">
        <f t="shared" si="23"/>
        <v/>
      </c>
      <c r="S1315" s="147" t="str">
        <f t="shared" si="24"/>
        <v/>
      </c>
      <c r="T1315" s="147" t="str">
        <f t="shared" si="7"/>
        <v/>
      </c>
      <c r="U1315" s="150" t="str">
        <f t="shared" si="8"/>
        <v/>
      </c>
      <c r="V1315" s="151" t="str">
        <f>IFERROR(VLOOKUP(C1315,Ativos!$A$1:$G2000,5,),)</f>
        <v/>
      </c>
    </row>
    <row r="1316" ht="21.0" customHeight="1">
      <c r="A1316" s="152"/>
      <c r="B1316" s="160"/>
      <c r="C1316" s="153"/>
      <c r="D1316" s="154"/>
      <c r="E1316" s="139"/>
      <c r="F1316" s="139"/>
      <c r="G1316" s="139"/>
      <c r="H1316" s="135"/>
      <c r="I1316" s="141"/>
      <c r="J1316" s="147" t="str">
        <f>IFERROR(__xludf.DUMMYFUNCTION("IF(ISBLANK(A1316),IFERROR(1/0),IF(COUNT(FILTER(F:F,A:A=A1316))&gt;1,TRUNC(N1316*F1316/SUM(FILTER(N:N,A:A=A1316)),3),F1316))"),"")</f>
        <v/>
      </c>
      <c r="K1316" s="147" t="str">
        <f>IFERROR(__xludf.DUMMYFUNCTION("IF(ISBLANK(A1316),IFERROR(1/0),IF(COUNT(FILTER(G:G,((A:A=A1316)*(B:B=""V""))))&gt;1,TRUNC(N1316*G1316/SUM(FILTER(N:N,((A:A=A1316)*(B:B=""V"")))),3),G1316))"),"")</f>
        <v/>
      </c>
      <c r="L1316" s="148" t="str">
        <f>IFERROR(__xludf.DUMMYFUNCTION("if($C1316="""","""",iferror(if(row()&lt;&gt;2,INDEX(arrayformula(filter($M$2:$M1315,$C$2:$C1315&lt;&gt;"""",row($C$2:$C1315)=max(if($C$2:$C1315=C1316,row($C$2:$C1315),0)))) ,1),0),0))"),"")</f>
        <v/>
      </c>
      <c r="M1316" s="148" t="str">
        <f t="shared" si="1"/>
        <v/>
      </c>
      <c r="N1316" s="147" t="str">
        <f t="shared" si="2"/>
        <v/>
      </c>
      <c r="O1316" s="147" t="str">
        <f t="shared" si="21"/>
        <v/>
      </c>
      <c r="P1316" s="147" t="str">
        <f>IFERROR(__xludf.DUMMYFUNCTION("if(C1316="""","""",iferror(if(row()&lt;&gt;2,INDEX(arrayformula(filter($Q$2:$Q1315,$C$2:$C1315&lt;&gt;"""",row($C$2:$C1315)=max(if($C$2:$C1315=C1316,row($C$2:$C1315),0)))) ,1),0),0))"),"")</f>
        <v/>
      </c>
      <c r="Q1316" s="147" t="str">
        <f t="shared" si="22"/>
        <v/>
      </c>
      <c r="R1316" s="147" t="str">
        <f t="shared" si="23"/>
        <v/>
      </c>
      <c r="S1316" s="147" t="str">
        <f t="shared" si="24"/>
        <v/>
      </c>
      <c r="T1316" s="147" t="str">
        <f t="shared" si="7"/>
        <v/>
      </c>
      <c r="U1316" s="150" t="str">
        <f t="shared" si="8"/>
        <v/>
      </c>
      <c r="V1316" s="151" t="str">
        <f>IFERROR(VLOOKUP(C1316,Ativos!$A$1:$G2000,5,),)</f>
        <v/>
      </c>
    </row>
    <row r="1317" ht="21.0" customHeight="1">
      <c r="A1317" s="152"/>
      <c r="B1317" s="160"/>
      <c r="C1317" s="153"/>
      <c r="D1317" s="154"/>
      <c r="E1317" s="139"/>
      <c r="F1317" s="139"/>
      <c r="G1317" s="139"/>
      <c r="H1317" s="135"/>
      <c r="I1317" s="141"/>
      <c r="J1317" s="147" t="str">
        <f>IFERROR(__xludf.DUMMYFUNCTION("IF(ISBLANK(A1317),IFERROR(1/0),IF(COUNT(FILTER(F:F,A:A=A1317))&gt;1,TRUNC(N1317*F1317/SUM(FILTER(N:N,A:A=A1317)),3),F1317))"),"")</f>
        <v/>
      </c>
      <c r="K1317" s="147" t="str">
        <f>IFERROR(__xludf.DUMMYFUNCTION("IF(ISBLANK(A1317),IFERROR(1/0),IF(COUNT(FILTER(G:G,((A:A=A1317)*(B:B=""V""))))&gt;1,TRUNC(N1317*G1317/SUM(FILTER(N:N,((A:A=A1317)*(B:B=""V"")))),3),G1317))"),"")</f>
        <v/>
      </c>
      <c r="L1317" s="148" t="str">
        <f>IFERROR(__xludf.DUMMYFUNCTION("if($C1317="""","""",iferror(if(row()&lt;&gt;2,INDEX(arrayformula(filter($M$2:$M1316,$C$2:$C1316&lt;&gt;"""",row($C$2:$C1316)=max(if($C$2:$C1316=C1317,row($C$2:$C1316),0)))) ,1),0),0))"),"")</f>
        <v/>
      </c>
      <c r="M1317" s="148" t="str">
        <f t="shared" si="1"/>
        <v/>
      </c>
      <c r="N1317" s="147" t="str">
        <f t="shared" si="2"/>
        <v/>
      </c>
      <c r="O1317" s="147" t="str">
        <f t="shared" si="21"/>
        <v/>
      </c>
      <c r="P1317" s="147" t="str">
        <f>IFERROR(__xludf.DUMMYFUNCTION("if(C1317="""","""",iferror(if(row()&lt;&gt;2,INDEX(arrayformula(filter($Q$2:$Q1316,$C$2:$C1316&lt;&gt;"""",row($C$2:$C1316)=max(if($C$2:$C1316=C1317,row($C$2:$C1316),0)))) ,1),0),0))"),"")</f>
        <v/>
      </c>
      <c r="Q1317" s="147" t="str">
        <f t="shared" si="22"/>
        <v/>
      </c>
      <c r="R1317" s="147" t="str">
        <f t="shared" si="23"/>
        <v/>
      </c>
      <c r="S1317" s="147" t="str">
        <f t="shared" si="24"/>
        <v/>
      </c>
      <c r="T1317" s="147" t="str">
        <f t="shared" si="7"/>
        <v/>
      </c>
      <c r="U1317" s="150" t="str">
        <f t="shared" si="8"/>
        <v/>
      </c>
      <c r="V1317" s="151" t="str">
        <f>IFERROR(VLOOKUP(C1317,Ativos!$A$1:$G2000,5,),)</f>
        <v/>
      </c>
    </row>
    <row r="1318" ht="21.0" customHeight="1">
      <c r="A1318" s="152"/>
      <c r="B1318" s="160"/>
      <c r="C1318" s="153"/>
      <c r="D1318" s="154"/>
      <c r="E1318" s="139"/>
      <c r="F1318" s="139"/>
      <c r="G1318" s="139"/>
      <c r="H1318" s="135"/>
      <c r="I1318" s="141"/>
      <c r="J1318" s="147" t="str">
        <f>IFERROR(__xludf.DUMMYFUNCTION("IF(ISBLANK(A1318),IFERROR(1/0),IF(COUNT(FILTER(F:F,A:A=A1318))&gt;1,TRUNC(N1318*F1318/SUM(FILTER(N:N,A:A=A1318)),3),F1318))"),"")</f>
        <v/>
      </c>
      <c r="K1318" s="147" t="str">
        <f>IFERROR(__xludf.DUMMYFUNCTION("IF(ISBLANK(A1318),IFERROR(1/0),IF(COUNT(FILTER(G:G,((A:A=A1318)*(B:B=""V""))))&gt;1,TRUNC(N1318*G1318/SUM(FILTER(N:N,((A:A=A1318)*(B:B=""V"")))),3),G1318))"),"")</f>
        <v/>
      </c>
      <c r="L1318" s="148" t="str">
        <f>IFERROR(__xludf.DUMMYFUNCTION("if($C1318="""","""",iferror(if(row()&lt;&gt;2,INDEX(arrayformula(filter($M$2:$M1317,$C$2:$C1317&lt;&gt;"""",row($C$2:$C1317)=max(if($C$2:$C1317=C1318,row($C$2:$C1317),0)))) ,1),0),0))"),"")</f>
        <v/>
      </c>
      <c r="M1318" s="148" t="str">
        <f t="shared" si="1"/>
        <v/>
      </c>
      <c r="N1318" s="147" t="str">
        <f t="shared" si="2"/>
        <v/>
      </c>
      <c r="O1318" s="147" t="str">
        <f t="shared" si="21"/>
        <v/>
      </c>
      <c r="P1318" s="147" t="str">
        <f>IFERROR(__xludf.DUMMYFUNCTION("if(C1318="""","""",iferror(if(row()&lt;&gt;2,INDEX(arrayformula(filter($Q$2:$Q1317,$C$2:$C1317&lt;&gt;"""",row($C$2:$C1317)=max(if($C$2:$C1317=C1318,row($C$2:$C1317),0)))) ,1),0),0))"),"")</f>
        <v/>
      </c>
      <c r="Q1318" s="147" t="str">
        <f t="shared" si="22"/>
        <v/>
      </c>
      <c r="R1318" s="147" t="str">
        <f t="shared" si="23"/>
        <v/>
      </c>
      <c r="S1318" s="147" t="str">
        <f t="shared" si="24"/>
        <v/>
      </c>
      <c r="T1318" s="147" t="str">
        <f t="shared" si="7"/>
        <v/>
      </c>
      <c r="U1318" s="150" t="str">
        <f t="shared" si="8"/>
        <v/>
      </c>
      <c r="V1318" s="151" t="str">
        <f>IFERROR(VLOOKUP(C1318,Ativos!$A$1:$G2000,5,),)</f>
        <v/>
      </c>
    </row>
    <row r="1319" ht="21.0" customHeight="1">
      <c r="A1319" s="152"/>
      <c r="B1319" s="160"/>
      <c r="C1319" s="153"/>
      <c r="D1319" s="154"/>
      <c r="E1319" s="139"/>
      <c r="F1319" s="139"/>
      <c r="G1319" s="139"/>
      <c r="H1319" s="135"/>
      <c r="I1319" s="141"/>
      <c r="J1319" s="147" t="str">
        <f>IFERROR(__xludf.DUMMYFUNCTION("IF(ISBLANK(A1319),IFERROR(1/0),IF(COUNT(FILTER(F:F,A:A=A1319))&gt;1,TRUNC(N1319*F1319/SUM(FILTER(N:N,A:A=A1319)),3),F1319))"),"")</f>
        <v/>
      </c>
      <c r="K1319" s="147" t="str">
        <f>IFERROR(__xludf.DUMMYFUNCTION("IF(ISBLANK(A1319),IFERROR(1/0),IF(COUNT(FILTER(G:G,((A:A=A1319)*(B:B=""V""))))&gt;1,TRUNC(N1319*G1319/SUM(FILTER(N:N,((A:A=A1319)*(B:B=""V"")))),3),G1319))"),"")</f>
        <v/>
      </c>
      <c r="L1319" s="148" t="str">
        <f>IFERROR(__xludf.DUMMYFUNCTION("if($C1319="""","""",iferror(if(row()&lt;&gt;2,INDEX(arrayformula(filter($M$2:$M1318,$C$2:$C1318&lt;&gt;"""",row($C$2:$C1318)=max(if($C$2:$C1318=C1319,row($C$2:$C1318),0)))) ,1),0),0))"),"")</f>
        <v/>
      </c>
      <c r="M1319" s="148" t="str">
        <f t="shared" si="1"/>
        <v/>
      </c>
      <c r="N1319" s="147" t="str">
        <f t="shared" si="2"/>
        <v/>
      </c>
      <c r="O1319" s="147" t="str">
        <f t="shared" si="21"/>
        <v/>
      </c>
      <c r="P1319" s="147" t="str">
        <f>IFERROR(__xludf.DUMMYFUNCTION("if(C1319="""","""",iferror(if(row()&lt;&gt;2,INDEX(arrayformula(filter($Q$2:$Q1318,$C$2:$C1318&lt;&gt;"""",row($C$2:$C1318)=max(if($C$2:$C1318=C1319,row($C$2:$C1318),0)))) ,1),0),0))"),"")</f>
        <v/>
      </c>
      <c r="Q1319" s="147" t="str">
        <f t="shared" si="22"/>
        <v/>
      </c>
      <c r="R1319" s="147" t="str">
        <f t="shared" si="23"/>
        <v/>
      </c>
      <c r="S1319" s="147" t="str">
        <f t="shared" si="24"/>
        <v/>
      </c>
      <c r="T1319" s="147" t="str">
        <f t="shared" si="7"/>
        <v/>
      </c>
      <c r="U1319" s="150" t="str">
        <f t="shared" si="8"/>
        <v/>
      </c>
      <c r="V1319" s="151" t="str">
        <f>IFERROR(VLOOKUP(C1319,Ativos!$A$1:$G2000,5,),)</f>
        <v/>
      </c>
    </row>
    <row r="1320" ht="21.0" customHeight="1">
      <c r="A1320" s="152"/>
      <c r="B1320" s="160"/>
      <c r="C1320" s="153"/>
      <c r="D1320" s="154"/>
      <c r="E1320" s="139"/>
      <c r="F1320" s="139"/>
      <c r="G1320" s="139"/>
      <c r="H1320" s="135"/>
      <c r="I1320" s="141"/>
      <c r="J1320" s="147" t="str">
        <f>IFERROR(__xludf.DUMMYFUNCTION("IF(ISBLANK(A1320),IFERROR(1/0),IF(COUNT(FILTER(F:F,A:A=A1320))&gt;1,TRUNC(N1320*F1320/SUM(FILTER(N:N,A:A=A1320)),3),F1320))"),"")</f>
        <v/>
      </c>
      <c r="K1320" s="147" t="str">
        <f>IFERROR(__xludf.DUMMYFUNCTION("IF(ISBLANK(A1320),IFERROR(1/0),IF(COUNT(FILTER(G:G,((A:A=A1320)*(B:B=""V""))))&gt;1,TRUNC(N1320*G1320/SUM(FILTER(N:N,((A:A=A1320)*(B:B=""V"")))),3),G1320))"),"")</f>
        <v/>
      </c>
      <c r="L1320" s="148" t="str">
        <f>IFERROR(__xludf.DUMMYFUNCTION("if($C1320="""","""",iferror(if(row()&lt;&gt;2,INDEX(arrayformula(filter($M$2:$M1319,$C$2:$C1319&lt;&gt;"""",row($C$2:$C1319)=max(if($C$2:$C1319=C1320,row($C$2:$C1319),0)))) ,1),0),0))"),"")</f>
        <v/>
      </c>
      <c r="M1320" s="148" t="str">
        <f t="shared" si="1"/>
        <v/>
      </c>
      <c r="N1320" s="147" t="str">
        <f t="shared" si="2"/>
        <v/>
      </c>
      <c r="O1320" s="147" t="str">
        <f t="shared" si="21"/>
        <v/>
      </c>
      <c r="P1320" s="147" t="str">
        <f>IFERROR(__xludf.DUMMYFUNCTION("if(C1320="""","""",iferror(if(row()&lt;&gt;2,INDEX(arrayformula(filter($Q$2:$Q1319,$C$2:$C1319&lt;&gt;"""",row($C$2:$C1319)=max(if($C$2:$C1319=C1320,row($C$2:$C1319),0)))) ,1),0),0))"),"")</f>
        <v/>
      </c>
      <c r="Q1320" s="147" t="str">
        <f t="shared" si="22"/>
        <v/>
      </c>
      <c r="R1320" s="147" t="str">
        <f t="shared" si="23"/>
        <v/>
      </c>
      <c r="S1320" s="147" t="str">
        <f t="shared" si="24"/>
        <v/>
      </c>
      <c r="T1320" s="147" t="str">
        <f t="shared" si="7"/>
        <v/>
      </c>
      <c r="U1320" s="150" t="str">
        <f t="shared" si="8"/>
        <v/>
      </c>
      <c r="V1320" s="151" t="str">
        <f>IFERROR(VLOOKUP(C1320,Ativos!$A$1:$G2000,5,),)</f>
        <v/>
      </c>
    </row>
    <row r="1321" ht="21.0" customHeight="1">
      <c r="A1321" s="152"/>
      <c r="B1321" s="160"/>
      <c r="C1321" s="153"/>
      <c r="D1321" s="154"/>
      <c r="E1321" s="139"/>
      <c r="F1321" s="139"/>
      <c r="G1321" s="139"/>
      <c r="H1321" s="135"/>
      <c r="I1321" s="141"/>
      <c r="J1321" s="147" t="str">
        <f>IFERROR(__xludf.DUMMYFUNCTION("IF(ISBLANK(A1321),IFERROR(1/0),IF(COUNT(FILTER(F:F,A:A=A1321))&gt;1,TRUNC(N1321*F1321/SUM(FILTER(N:N,A:A=A1321)),3),F1321))"),"")</f>
        <v/>
      </c>
      <c r="K1321" s="147" t="str">
        <f>IFERROR(__xludf.DUMMYFUNCTION("IF(ISBLANK(A1321),IFERROR(1/0),IF(COUNT(FILTER(G:G,((A:A=A1321)*(B:B=""V""))))&gt;1,TRUNC(N1321*G1321/SUM(FILTER(N:N,((A:A=A1321)*(B:B=""V"")))),3),G1321))"),"")</f>
        <v/>
      </c>
      <c r="L1321" s="148" t="str">
        <f>IFERROR(__xludf.DUMMYFUNCTION("if($C1321="""","""",iferror(if(row()&lt;&gt;2,INDEX(arrayformula(filter($M$2:$M1320,$C$2:$C1320&lt;&gt;"""",row($C$2:$C1320)=max(if($C$2:$C1320=C1321,row($C$2:$C1320),0)))) ,1),0),0))"),"")</f>
        <v/>
      </c>
      <c r="M1321" s="148" t="str">
        <f t="shared" si="1"/>
        <v/>
      </c>
      <c r="N1321" s="147" t="str">
        <f t="shared" si="2"/>
        <v/>
      </c>
      <c r="O1321" s="147" t="str">
        <f t="shared" si="21"/>
        <v/>
      </c>
      <c r="P1321" s="147" t="str">
        <f>IFERROR(__xludf.DUMMYFUNCTION("if(C1321="""","""",iferror(if(row()&lt;&gt;2,INDEX(arrayformula(filter($Q$2:$Q1320,$C$2:$C1320&lt;&gt;"""",row($C$2:$C1320)=max(if($C$2:$C1320=C1321,row($C$2:$C1320),0)))) ,1),0),0))"),"")</f>
        <v/>
      </c>
      <c r="Q1321" s="147" t="str">
        <f t="shared" si="22"/>
        <v/>
      </c>
      <c r="R1321" s="147" t="str">
        <f t="shared" si="23"/>
        <v/>
      </c>
      <c r="S1321" s="147" t="str">
        <f t="shared" si="24"/>
        <v/>
      </c>
      <c r="T1321" s="147" t="str">
        <f t="shared" si="7"/>
        <v/>
      </c>
      <c r="U1321" s="150" t="str">
        <f t="shared" si="8"/>
        <v/>
      </c>
      <c r="V1321" s="151" t="str">
        <f>IFERROR(VLOOKUP(C1321,Ativos!$A$1:$G2000,5,),)</f>
        <v/>
      </c>
    </row>
    <row r="1322" ht="21.0" customHeight="1">
      <c r="A1322" s="152"/>
      <c r="B1322" s="160"/>
      <c r="C1322" s="153"/>
      <c r="D1322" s="154"/>
      <c r="E1322" s="139"/>
      <c r="F1322" s="139"/>
      <c r="G1322" s="139"/>
      <c r="H1322" s="135"/>
      <c r="I1322" s="141"/>
      <c r="J1322" s="147" t="str">
        <f>IFERROR(__xludf.DUMMYFUNCTION("IF(ISBLANK(A1322),IFERROR(1/0),IF(COUNT(FILTER(F:F,A:A=A1322))&gt;1,TRUNC(N1322*F1322/SUM(FILTER(N:N,A:A=A1322)),3),F1322))"),"")</f>
        <v/>
      </c>
      <c r="K1322" s="147" t="str">
        <f>IFERROR(__xludf.DUMMYFUNCTION("IF(ISBLANK(A1322),IFERROR(1/0),IF(COUNT(FILTER(G:G,((A:A=A1322)*(B:B=""V""))))&gt;1,TRUNC(N1322*G1322/SUM(FILTER(N:N,((A:A=A1322)*(B:B=""V"")))),3),G1322))"),"")</f>
        <v/>
      </c>
      <c r="L1322" s="148" t="str">
        <f>IFERROR(__xludf.DUMMYFUNCTION("if($C1322="""","""",iferror(if(row()&lt;&gt;2,INDEX(arrayformula(filter($M$2:$M1321,$C$2:$C1321&lt;&gt;"""",row($C$2:$C1321)=max(if($C$2:$C1321=C1322,row($C$2:$C1321),0)))) ,1),0),0))"),"")</f>
        <v/>
      </c>
      <c r="M1322" s="148" t="str">
        <f t="shared" si="1"/>
        <v/>
      </c>
      <c r="N1322" s="147" t="str">
        <f t="shared" si="2"/>
        <v/>
      </c>
      <c r="O1322" s="147" t="str">
        <f t="shared" si="21"/>
        <v/>
      </c>
      <c r="P1322" s="147" t="str">
        <f>IFERROR(__xludf.DUMMYFUNCTION("if(C1322="""","""",iferror(if(row()&lt;&gt;2,INDEX(arrayformula(filter($Q$2:$Q1321,$C$2:$C1321&lt;&gt;"""",row($C$2:$C1321)=max(if($C$2:$C1321=C1322,row($C$2:$C1321),0)))) ,1),0),0))"),"")</f>
        <v/>
      </c>
      <c r="Q1322" s="147" t="str">
        <f t="shared" si="22"/>
        <v/>
      </c>
      <c r="R1322" s="147" t="str">
        <f t="shared" si="23"/>
        <v/>
      </c>
      <c r="S1322" s="147" t="str">
        <f t="shared" si="24"/>
        <v/>
      </c>
      <c r="T1322" s="147" t="str">
        <f t="shared" si="7"/>
        <v/>
      </c>
      <c r="U1322" s="150" t="str">
        <f t="shared" si="8"/>
        <v/>
      </c>
      <c r="V1322" s="151" t="str">
        <f>IFERROR(VLOOKUP(C1322,Ativos!$A$1:$G2000,5,),)</f>
        <v/>
      </c>
    </row>
    <row r="1323" ht="21.0" customHeight="1">
      <c r="A1323" s="152"/>
      <c r="B1323" s="160"/>
      <c r="C1323" s="153"/>
      <c r="D1323" s="154"/>
      <c r="E1323" s="139"/>
      <c r="F1323" s="139"/>
      <c r="G1323" s="139"/>
      <c r="H1323" s="135"/>
      <c r="I1323" s="141"/>
      <c r="J1323" s="147" t="str">
        <f>IFERROR(__xludf.DUMMYFUNCTION("IF(ISBLANK(A1323),IFERROR(1/0),IF(COUNT(FILTER(F:F,A:A=A1323))&gt;1,TRUNC(N1323*F1323/SUM(FILTER(N:N,A:A=A1323)),3),F1323))"),"")</f>
        <v/>
      </c>
      <c r="K1323" s="147" t="str">
        <f>IFERROR(__xludf.DUMMYFUNCTION("IF(ISBLANK(A1323),IFERROR(1/0),IF(COUNT(FILTER(G:G,((A:A=A1323)*(B:B=""V""))))&gt;1,TRUNC(N1323*G1323/SUM(FILTER(N:N,((A:A=A1323)*(B:B=""V"")))),3),G1323))"),"")</f>
        <v/>
      </c>
      <c r="L1323" s="148" t="str">
        <f>IFERROR(__xludf.DUMMYFUNCTION("if($C1323="""","""",iferror(if(row()&lt;&gt;2,INDEX(arrayformula(filter($M$2:$M1322,$C$2:$C1322&lt;&gt;"""",row($C$2:$C1322)=max(if($C$2:$C1322=C1323,row($C$2:$C1322),0)))) ,1),0),0))"),"")</f>
        <v/>
      </c>
      <c r="M1323" s="148" t="str">
        <f t="shared" si="1"/>
        <v/>
      </c>
      <c r="N1323" s="147" t="str">
        <f t="shared" si="2"/>
        <v/>
      </c>
      <c r="O1323" s="147" t="str">
        <f t="shared" si="21"/>
        <v/>
      </c>
      <c r="P1323" s="147" t="str">
        <f>IFERROR(__xludf.DUMMYFUNCTION("if(C1323="""","""",iferror(if(row()&lt;&gt;2,INDEX(arrayformula(filter($Q$2:$Q1322,$C$2:$C1322&lt;&gt;"""",row($C$2:$C1322)=max(if($C$2:$C1322=C1323,row($C$2:$C1322),0)))) ,1),0),0))"),"")</f>
        <v/>
      </c>
      <c r="Q1323" s="147" t="str">
        <f t="shared" si="22"/>
        <v/>
      </c>
      <c r="R1323" s="147" t="str">
        <f t="shared" si="23"/>
        <v/>
      </c>
      <c r="S1323" s="147" t="str">
        <f t="shared" si="24"/>
        <v/>
      </c>
      <c r="T1323" s="147" t="str">
        <f t="shared" si="7"/>
        <v/>
      </c>
      <c r="U1323" s="150" t="str">
        <f t="shared" si="8"/>
        <v/>
      </c>
      <c r="V1323" s="151" t="str">
        <f>IFERROR(VLOOKUP(C1323,Ativos!$A$1:$G2000,5,),)</f>
        <v/>
      </c>
    </row>
    <row r="1324" ht="21.0" customHeight="1">
      <c r="A1324" s="152"/>
      <c r="B1324" s="160"/>
      <c r="C1324" s="153"/>
      <c r="D1324" s="154"/>
      <c r="E1324" s="139"/>
      <c r="F1324" s="139"/>
      <c r="G1324" s="139"/>
      <c r="H1324" s="135"/>
      <c r="I1324" s="141"/>
      <c r="J1324" s="147" t="str">
        <f>IFERROR(__xludf.DUMMYFUNCTION("IF(ISBLANK(A1324),IFERROR(1/0),IF(COUNT(FILTER(F:F,A:A=A1324))&gt;1,TRUNC(N1324*F1324/SUM(FILTER(N:N,A:A=A1324)),3),F1324))"),"")</f>
        <v/>
      </c>
      <c r="K1324" s="147" t="str">
        <f>IFERROR(__xludf.DUMMYFUNCTION("IF(ISBLANK(A1324),IFERROR(1/0),IF(COUNT(FILTER(G:G,((A:A=A1324)*(B:B=""V""))))&gt;1,TRUNC(N1324*G1324/SUM(FILTER(N:N,((A:A=A1324)*(B:B=""V"")))),3),G1324))"),"")</f>
        <v/>
      </c>
      <c r="L1324" s="148" t="str">
        <f>IFERROR(__xludf.DUMMYFUNCTION("if($C1324="""","""",iferror(if(row()&lt;&gt;2,INDEX(arrayformula(filter($M$2:$M1323,$C$2:$C1323&lt;&gt;"""",row($C$2:$C1323)=max(if($C$2:$C1323=C1324,row($C$2:$C1323),0)))) ,1),0),0))"),"")</f>
        <v/>
      </c>
      <c r="M1324" s="148" t="str">
        <f t="shared" si="1"/>
        <v/>
      </c>
      <c r="N1324" s="147" t="str">
        <f t="shared" si="2"/>
        <v/>
      </c>
      <c r="O1324" s="147" t="str">
        <f t="shared" si="21"/>
        <v/>
      </c>
      <c r="P1324" s="147" t="str">
        <f>IFERROR(__xludf.DUMMYFUNCTION("if(C1324="""","""",iferror(if(row()&lt;&gt;2,INDEX(arrayformula(filter($Q$2:$Q1323,$C$2:$C1323&lt;&gt;"""",row($C$2:$C1323)=max(if($C$2:$C1323=C1324,row($C$2:$C1323),0)))) ,1),0),0))"),"")</f>
        <v/>
      </c>
      <c r="Q1324" s="147" t="str">
        <f t="shared" si="22"/>
        <v/>
      </c>
      <c r="R1324" s="147" t="str">
        <f t="shared" si="23"/>
        <v/>
      </c>
      <c r="S1324" s="147" t="str">
        <f t="shared" si="24"/>
        <v/>
      </c>
      <c r="T1324" s="147" t="str">
        <f t="shared" si="7"/>
        <v/>
      </c>
      <c r="U1324" s="150" t="str">
        <f t="shared" si="8"/>
        <v/>
      </c>
      <c r="V1324" s="151" t="str">
        <f>IFERROR(VLOOKUP(C1324,Ativos!$A$1:$G2000,5,),)</f>
        <v/>
      </c>
    </row>
    <row r="1325" ht="21.0" customHeight="1">
      <c r="A1325" s="152"/>
      <c r="B1325" s="160"/>
      <c r="C1325" s="153"/>
      <c r="D1325" s="154"/>
      <c r="E1325" s="139"/>
      <c r="F1325" s="139"/>
      <c r="G1325" s="139"/>
      <c r="H1325" s="135"/>
      <c r="I1325" s="141"/>
      <c r="J1325" s="147" t="str">
        <f>IFERROR(__xludf.DUMMYFUNCTION("IF(ISBLANK(A1325),IFERROR(1/0),IF(COUNT(FILTER(F:F,A:A=A1325))&gt;1,TRUNC(N1325*F1325/SUM(FILTER(N:N,A:A=A1325)),3),F1325))"),"")</f>
        <v/>
      </c>
      <c r="K1325" s="147" t="str">
        <f>IFERROR(__xludf.DUMMYFUNCTION("IF(ISBLANK(A1325),IFERROR(1/0),IF(COUNT(FILTER(G:G,((A:A=A1325)*(B:B=""V""))))&gt;1,TRUNC(N1325*G1325/SUM(FILTER(N:N,((A:A=A1325)*(B:B=""V"")))),3),G1325))"),"")</f>
        <v/>
      </c>
      <c r="L1325" s="148" t="str">
        <f>IFERROR(__xludf.DUMMYFUNCTION("if($C1325="""","""",iferror(if(row()&lt;&gt;2,INDEX(arrayformula(filter($M$2:$M1324,$C$2:$C1324&lt;&gt;"""",row($C$2:$C1324)=max(if($C$2:$C1324=C1325,row($C$2:$C1324),0)))) ,1),0),0))"),"")</f>
        <v/>
      </c>
      <c r="M1325" s="148" t="str">
        <f t="shared" si="1"/>
        <v/>
      </c>
      <c r="N1325" s="147" t="str">
        <f t="shared" si="2"/>
        <v/>
      </c>
      <c r="O1325" s="147" t="str">
        <f t="shared" si="21"/>
        <v/>
      </c>
      <c r="P1325" s="147" t="str">
        <f>IFERROR(__xludf.DUMMYFUNCTION("if(C1325="""","""",iferror(if(row()&lt;&gt;2,INDEX(arrayformula(filter($Q$2:$Q1324,$C$2:$C1324&lt;&gt;"""",row($C$2:$C1324)=max(if($C$2:$C1324=C1325,row($C$2:$C1324),0)))) ,1),0),0))"),"")</f>
        <v/>
      </c>
      <c r="Q1325" s="147" t="str">
        <f t="shared" si="22"/>
        <v/>
      </c>
      <c r="R1325" s="147" t="str">
        <f t="shared" si="23"/>
        <v/>
      </c>
      <c r="S1325" s="147" t="str">
        <f t="shared" si="24"/>
        <v/>
      </c>
      <c r="T1325" s="147" t="str">
        <f t="shared" si="7"/>
        <v/>
      </c>
      <c r="U1325" s="150" t="str">
        <f t="shared" si="8"/>
        <v/>
      </c>
      <c r="V1325" s="151" t="str">
        <f>IFERROR(VLOOKUP(C1325,Ativos!$A$1:$G2000,5,),)</f>
        <v/>
      </c>
    </row>
    <row r="1326" ht="21.0" customHeight="1">
      <c r="A1326" s="152"/>
      <c r="B1326" s="160"/>
      <c r="C1326" s="153"/>
      <c r="D1326" s="154"/>
      <c r="E1326" s="139"/>
      <c r="F1326" s="139"/>
      <c r="G1326" s="139"/>
      <c r="H1326" s="135"/>
      <c r="I1326" s="141"/>
      <c r="J1326" s="147" t="str">
        <f>IFERROR(__xludf.DUMMYFUNCTION("IF(ISBLANK(A1326),IFERROR(1/0),IF(COUNT(FILTER(F:F,A:A=A1326))&gt;1,TRUNC(N1326*F1326/SUM(FILTER(N:N,A:A=A1326)),3),F1326))"),"")</f>
        <v/>
      </c>
      <c r="K1326" s="147" t="str">
        <f>IFERROR(__xludf.DUMMYFUNCTION("IF(ISBLANK(A1326),IFERROR(1/0),IF(COUNT(FILTER(G:G,((A:A=A1326)*(B:B=""V""))))&gt;1,TRUNC(N1326*G1326/SUM(FILTER(N:N,((A:A=A1326)*(B:B=""V"")))),3),G1326))"),"")</f>
        <v/>
      </c>
      <c r="L1326" s="148" t="str">
        <f>IFERROR(__xludf.DUMMYFUNCTION("if($C1326="""","""",iferror(if(row()&lt;&gt;2,INDEX(arrayformula(filter($M$2:$M1325,$C$2:$C1325&lt;&gt;"""",row($C$2:$C1325)=max(if($C$2:$C1325=C1326,row($C$2:$C1325),0)))) ,1),0),0))"),"")</f>
        <v/>
      </c>
      <c r="M1326" s="148" t="str">
        <f t="shared" si="1"/>
        <v/>
      </c>
      <c r="N1326" s="147" t="str">
        <f t="shared" si="2"/>
        <v/>
      </c>
      <c r="O1326" s="147" t="str">
        <f t="shared" si="21"/>
        <v/>
      </c>
      <c r="P1326" s="147" t="str">
        <f>IFERROR(__xludf.DUMMYFUNCTION("if(C1326="""","""",iferror(if(row()&lt;&gt;2,INDEX(arrayformula(filter($Q$2:$Q1325,$C$2:$C1325&lt;&gt;"""",row($C$2:$C1325)=max(if($C$2:$C1325=C1326,row($C$2:$C1325),0)))) ,1),0),0))"),"")</f>
        <v/>
      </c>
      <c r="Q1326" s="147" t="str">
        <f t="shared" si="22"/>
        <v/>
      </c>
      <c r="R1326" s="147" t="str">
        <f t="shared" si="23"/>
        <v/>
      </c>
      <c r="S1326" s="147" t="str">
        <f t="shared" si="24"/>
        <v/>
      </c>
      <c r="T1326" s="147" t="str">
        <f t="shared" si="7"/>
        <v/>
      </c>
      <c r="U1326" s="150" t="str">
        <f t="shared" si="8"/>
        <v/>
      </c>
      <c r="V1326" s="151" t="str">
        <f>IFERROR(VLOOKUP(C1326,Ativos!$A$1:$G2000,5,),)</f>
        <v/>
      </c>
    </row>
    <row r="1327" ht="21.0" customHeight="1">
      <c r="A1327" s="152"/>
      <c r="B1327" s="160"/>
      <c r="C1327" s="153"/>
      <c r="D1327" s="154"/>
      <c r="E1327" s="139"/>
      <c r="F1327" s="139"/>
      <c r="G1327" s="139"/>
      <c r="H1327" s="135"/>
      <c r="I1327" s="141"/>
      <c r="J1327" s="147" t="str">
        <f>IFERROR(__xludf.DUMMYFUNCTION("IF(ISBLANK(A1327),IFERROR(1/0),IF(COUNT(FILTER(F:F,A:A=A1327))&gt;1,TRUNC(N1327*F1327/SUM(FILTER(N:N,A:A=A1327)),3),F1327))"),"")</f>
        <v/>
      </c>
      <c r="K1327" s="147" t="str">
        <f>IFERROR(__xludf.DUMMYFUNCTION("IF(ISBLANK(A1327),IFERROR(1/0),IF(COUNT(FILTER(G:G,((A:A=A1327)*(B:B=""V""))))&gt;1,TRUNC(N1327*G1327/SUM(FILTER(N:N,((A:A=A1327)*(B:B=""V"")))),3),G1327))"),"")</f>
        <v/>
      </c>
      <c r="L1327" s="148" t="str">
        <f>IFERROR(__xludf.DUMMYFUNCTION("if($C1327="""","""",iferror(if(row()&lt;&gt;2,INDEX(arrayformula(filter($M$2:$M1326,$C$2:$C1326&lt;&gt;"""",row($C$2:$C1326)=max(if($C$2:$C1326=C1327,row($C$2:$C1326),0)))) ,1),0),0))"),"")</f>
        <v/>
      </c>
      <c r="M1327" s="148" t="str">
        <f t="shared" si="1"/>
        <v/>
      </c>
      <c r="N1327" s="147" t="str">
        <f t="shared" si="2"/>
        <v/>
      </c>
      <c r="O1327" s="147" t="str">
        <f t="shared" si="21"/>
        <v/>
      </c>
      <c r="P1327" s="147" t="str">
        <f>IFERROR(__xludf.DUMMYFUNCTION("if(C1327="""","""",iferror(if(row()&lt;&gt;2,INDEX(arrayformula(filter($Q$2:$Q1326,$C$2:$C1326&lt;&gt;"""",row($C$2:$C1326)=max(if($C$2:$C1326=C1327,row($C$2:$C1326),0)))) ,1),0),0))"),"")</f>
        <v/>
      </c>
      <c r="Q1327" s="147" t="str">
        <f t="shared" si="22"/>
        <v/>
      </c>
      <c r="R1327" s="147" t="str">
        <f t="shared" si="23"/>
        <v/>
      </c>
      <c r="S1327" s="147" t="str">
        <f t="shared" si="24"/>
        <v/>
      </c>
      <c r="T1327" s="147" t="str">
        <f t="shared" si="7"/>
        <v/>
      </c>
      <c r="U1327" s="150" t="str">
        <f t="shared" si="8"/>
        <v/>
      </c>
      <c r="V1327" s="151" t="str">
        <f>IFERROR(VLOOKUP(C1327,Ativos!$A$1:$G2000,5,),)</f>
        <v/>
      </c>
    </row>
    <row r="1328" ht="21.0" customHeight="1">
      <c r="A1328" s="152"/>
      <c r="B1328" s="160"/>
      <c r="C1328" s="153"/>
      <c r="D1328" s="154"/>
      <c r="E1328" s="139"/>
      <c r="F1328" s="139"/>
      <c r="G1328" s="139"/>
      <c r="H1328" s="135"/>
      <c r="I1328" s="141"/>
      <c r="J1328" s="147" t="str">
        <f>IFERROR(__xludf.DUMMYFUNCTION("IF(ISBLANK(A1328),IFERROR(1/0),IF(COUNT(FILTER(F:F,A:A=A1328))&gt;1,TRUNC(N1328*F1328/SUM(FILTER(N:N,A:A=A1328)),3),F1328))"),"")</f>
        <v/>
      </c>
      <c r="K1328" s="147" t="str">
        <f>IFERROR(__xludf.DUMMYFUNCTION("IF(ISBLANK(A1328),IFERROR(1/0),IF(COUNT(FILTER(G:G,((A:A=A1328)*(B:B=""V""))))&gt;1,TRUNC(N1328*G1328/SUM(FILTER(N:N,((A:A=A1328)*(B:B=""V"")))),3),G1328))"),"")</f>
        <v/>
      </c>
      <c r="L1328" s="148" t="str">
        <f>IFERROR(__xludf.DUMMYFUNCTION("if($C1328="""","""",iferror(if(row()&lt;&gt;2,INDEX(arrayformula(filter($M$2:$M1327,$C$2:$C1327&lt;&gt;"""",row($C$2:$C1327)=max(if($C$2:$C1327=C1328,row($C$2:$C1327),0)))) ,1),0),0))"),"")</f>
        <v/>
      </c>
      <c r="M1328" s="148" t="str">
        <f t="shared" si="1"/>
        <v/>
      </c>
      <c r="N1328" s="147" t="str">
        <f t="shared" si="2"/>
        <v/>
      </c>
      <c r="O1328" s="147" t="str">
        <f t="shared" si="21"/>
        <v/>
      </c>
      <c r="P1328" s="147" t="str">
        <f>IFERROR(__xludf.DUMMYFUNCTION("if(C1328="""","""",iferror(if(row()&lt;&gt;2,INDEX(arrayformula(filter($Q$2:$Q1327,$C$2:$C1327&lt;&gt;"""",row($C$2:$C1327)=max(if($C$2:$C1327=C1328,row($C$2:$C1327),0)))) ,1),0),0))"),"")</f>
        <v/>
      </c>
      <c r="Q1328" s="147" t="str">
        <f t="shared" si="22"/>
        <v/>
      </c>
      <c r="R1328" s="147" t="str">
        <f t="shared" si="23"/>
        <v/>
      </c>
      <c r="S1328" s="147" t="str">
        <f t="shared" si="24"/>
        <v/>
      </c>
      <c r="T1328" s="147" t="str">
        <f t="shared" si="7"/>
        <v/>
      </c>
      <c r="U1328" s="150" t="str">
        <f t="shared" si="8"/>
        <v/>
      </c>
      <c r="V1328" s="151" t="str">
        <f>IFERROR(VLOOKUP(C1328,Ativos!$A$1:$G2000,5,),)</f>
        <v/>
      </c>
    </row>
    <row r="1329" ht="21.0" customHeight="1">
      <c r="A1329" s="152"/>
      <c r="B1329" s="160"/>
      <c r="C1329" s="153"/>
      <c r="D1329" s="154"/>
      <c r="E1329" s="139"/>
      <c r="F1329" s="139"/>
      <c r="G1329" s="139"/>
      <c r="H1329" s="135"/>
      <c r="I1329" s="141"/>
      <c r="J1329" s="147" t="str">
        <f>IFERROR(__xludf.DUMMYFUNCTION("IF(ISBLANK(A1329),IFERROR(1/0),IF(COUNT(FILTER(F:F,A:A=A1329))&gt;1,TRUNC(N1329*F1329/SUM(FILTER(N:N,A:A=A1329)),3),F1329))"),"")</f>
        <v/>
      </c>
      <c r="K1329" s="147" t="str">
        <f>IFERROR(__xludf.DUMMYFUNCTION("IF(ISBLANK(A1329),IFERROR(1/0),IF(COUNT(FILTER(G:G,((A:A=A1329)*(B:B=""V""))))&gt;1,TRUNC(N1329*G1329/SUM(FILTER(N:N,((A:A=A1329)*(B:B=""V"")))),3),G1329))"),"")</f>
        <v/>
      </c>
      <c r="L1329" s="148" t="str">
        <f>IFERROR(__xludf.DUMMYFUNCTION("if($C1329="""","""",iferror(if(row()&lt;&gt;2,INDEX(arrayformula(filter($M$2:$M1328,$C$2:$C1328&lt;&gt;"""",row($C$2:$C1328)=max(if($C$2:$C1328=C1329,row($C$2:$C1328),0)))) ,1),0),0))"),"")</f>
        <v/>
      </c>
      <c r="M1329" s="148" t="str">
        <f t="shared" si="1"/>
        <v/>
      </c>
      <c r="N1329" s="147" t="str">
        <f t="shared" si="2"/>
        <v/>
      </c>
      <c r="O1329" s="147" t="str">
        <f t="shared" si="21"/>
        <v/>
      </c>
      <c r="P1329" s="147" t="str">
        <f>IFERROR(__xludf.DUMMYFUNCTION("if(C1329="""","""",iferror(if(row()&lt;&gt;2,INDEX(arrayformula(filter($Q$2:$Q1328,$C$2:$C1328&lt;&gt;"""",row($C$2:$C1328)=max(if($C$2:$C1328=C1329,row($C$2:$C1328),0)))) ,1),0),0))"),"")</f>
        <v/>
      </c>
      <c r="Q1329" s="147" t="str">
        <f t="shared" si="22"/>
        <v/>
      </c>
      <c r="R1329" s="147" t="str">
        <f t="shared" si="23"/>
        <v/>
      </c>
      <c r="S1329" s="147" t="str">
        <f t="shared" si="24"/>
        <v/>
      </c>
      <c r="T1329" s="147" t="str">
        <f t="shared" si="7"/>
        <v/>
      </c>
      <c r="U1329" s="150" t="str">
        <f t="shared" si="8"/>
        <v/>
      </c>
      <c r="V1329" s="151" t="str">
        <f>IFERROR(VLOOKUP(C1329,Ativos!$A$1:$G2000,5,),)</f>
        <v/>
      </c>
    </row>
    <row r="1330" ht="21.0" customHeight="1">
      <c r="A1330" s="152"/>
      <c r="B1330" s="160"/>
      <c r="C1330" s="153"/>
      <c r="D1330" s="154"/>
      <c r="E1330" s="139"/>
      <c r="F1330" s="139"/>
      <c r="G1330" s="139"/>
      <c r="H1330" s="135"/>
      <c r="I1330" s="141"/>
      <c r="J1330" s="147" t="str">
        <f>IFERROR(__xludf.DUMMYFUNCTION("IF(ISBLANK(A1330),IFERROR(1/0),IF(COUNT(FILTER(F:F,A:A=A1330))&gt;1,TRUNC(N1330*F1330/SUM(FILTER(N:N,A:A=A1330)),3),F1330))"),"")</f>
        <v/>
      </c>
      <c r="K1330" s="147" t="str">
        <f>IFERROR(__xludf.DUMMYFUNCTION("IF(ISBLANK(A1330),IFERROR(1/0),IF(COUNT(FILTER(G:G,((A:A=A1330)*(B:B=""V""))))&gt;1,TRUNC(N1330*G1330/SUM(FILTER(N:N,((A:A=A1330)*(B:B=""V"")))),3),G1330))"),"")</f>
        <v/>
      </c>
      <c r="L1330" s="148" t="str">
        <f>IFERROR(__xludf.DUMMYFUNCTION("if($C1330="""","""",iferror(if(row()&lt;&gt;2,INDEX(arrayformula(filter($M$2:$M1329,$C$2:$C1329&lt;&gt;"""",row($C$2:$C1329)=max(if($C$2:$C1329=C1330,row($C$2:$C1329),0)))) ,1),0),0))"),"")</f>
        <v/>
      </c>
      <c r="M1330" s="148" t="str">
        <f t="shared" si="1"/>
        <v/>
      </c>
      <c r="N1330" s="147" t="str">
        <f t="shared" si="2"/>
        <v/>
      </c>
      <c r="O1330" s="147" t="str">
        <f t="shared" si="21"/>
        <v/>
      </c>
      <c r="P1330" s="147" t="str">
        <f>IFERROR(__xludf.DUMMYFUNCTION("if(C1330="""","""",iferror(if(row()&lt;&gt;2,INDEX(arrayformula(filter($Q$2:$Q1329,$C$2:$C1329&lt;&gt;"""",row($C$2:$C1329)=max(if($C$2:$C1329=C1330,row($C$2:$C1329),0)))) ,1),0),0))"),"")</f>
        <v/>
      </c>
      <c r="Q1330" s="147" t="str">
        <f t="shared" si="22"/>
        <v/>
      </c>
      <c r="R1330" s="147" t="str">
        <f t="shared" si="23"/>
        <v/>
      </c>
      <c r="S1330" s="147" t="str">
        <f t="shared" si="24"/>
        <v/>
      </c>
      <c r="T1330" s="147" t="str">
        <f t="shared" si="7"/>
        <v/>
      </c>
      <c r="U1330" s="150" t="str">
        <f t="shared" si="8"/>
        <v/>
      </c>
      <c r="V1330" s="151" t="str">
        <f>IFERROR(VLOOKUP(C1330,Ativos!$A$1:$G2000,5,),)</f>
        <v/>
      </c>
    </row>
    <row r="1331" ht="21.0" customHeight="1">
      <c r="A1331" s="152"/>
      <c r="B1331" s="160"/>
      <c r="C1331" s="153"/>
      <c r="D1331" s="154"/>
      <c r="E1331" s="139"/>
      <c r="F1331" s="139"/>
      <c r="G1331" s="139"/>
      <c r="H1331" s="135"/>
      <c r="I1331" s="141"/>
      <c r="J1331" s="147" t="str">
        <f>IFERROR(__xludf.DUMMYFUNCTION("IF(ISBLANK(A1331),IFERROR(1/0),IF(COUNT(FILTER(F:F,A:A=A1331))&gt;1,TRUNC(N1331*F1331/SUM(FILTER(N:N,A:A=A1331)),3),F1331))"),"")</f>
        <v/>
      </c>
      <c r="K1331" s="147" t="str">
        <f>IFERROR(__xludf.DUMMYFUNCTION("IF(ISBLANK(A1331),IFERROR(1/0),IF(COUNT(FILTER(G:G,((A:A=A1331)*(B:B=""V""))))&gt;1,TRUNC(N1331*G1331/SUM(FILTER(N:N,((A:A=A1331)*(B:B=""V"")))),3),G1331))"),"")</f>
        <v/>
      </c>
      <c r="L1331" s="148" t="str">
        <f>IFERROR(__xludf.DUMMYFUNCTION("if($C1331="""","""",iferror(if(row()&lt;&gt;2,INDEX(arrayformula(filter($M$2:$M1330,$C$2:$C1330&lt;&gt;"""",row($C$2:$C1330)=max(if($C$2:$C1330=C1331,row($C$2:$C1330),0)))) ,1),0),0))"),"")</f>
        <v/>
      </c>
      <c r="M1331" s="148" t="str">
        <f t="shared" si="1"/>
        <v/>
      </c>
      <c r="N1331" s="147" t="str">
        <f t="shared" si="2"/>
        <v/>
      </c>
      <c r="O1331" s="147" t="str">
        <f t="shared" si="21"/>
        <v/>
      </c>
      <c r="P1331" s="147" t="str">
        <f>IFERROR(__xludf.DUMMYFUNCTION("if(C1331="""","""",iferror(if(row()&lt;&gt;2,INDEX(arrayformula(filter($Q$2:$Q1330,$C$2:$C1330&lt;&gt;"""",row($C$2:$C1330)=max(if($C$2:$C1330=C1331,row($C$2:$C1330),0)))) ,1),0),0))"),"")</f>
        <v/>
      </c>
      <c r="Q1331" s="147" t="str">
        <f t="shared" si="22"/>
        <v/>
      </c>
      <c r="R1331" s="147" t="str">
        <f t="shared" si="23"/>
        <v/>
      </c>
      <c r="S1331" s="147" t="str">
        <f t="shared" si="24"/>
        <v/>
      </c>
      <c r="T1331" s="147" t="str">
        <f t="shared" si="7"/>
        <v/>
      </c>
      <c r="U1331" s="150" t="str">
        <f t="shared" si="8"/>
        <v/>
      </c>
      <c r="V1331" s="151" t="str">
        <f>IFERROR(VLOOKUP(C1331,Ativos!$A$1:$G2000,5,),)</f>
        <v/>
      </c>
    </row>
    <row r="1332" ht="21.0" customHeight="1">
      <c r="A1332" s="152"/>
      <c r="B1332" s="160"/>
      <c r="C1332" s="153"/>
      <c r="D1332" s="154"/>
      <c r="E1332" s="139"/>
      <c r="F1332" s="139"/>
      <c r="G1332" s="139"/>
      <c r="H1332" s="135"/>
      <c r="I1332" s="141"/>
      <c r="J1332" s="147" t="str">
        <f>IFERROR(__xludf.DUMMYFUNCTION("IF(ISBLANK(A1332),IFERROR(1/0),IF(COUNT(FILTER(F:F,A:A=A1332))&gt;1,TRUNC(N1332*F1332/SUM(FILTER(N:N,A:A=A1332)),3),F1332))"),"")</f>
        <v/>
      </c>
      <c r="K1332" s="147" t="str">
        <f>IFERROR(__xludf.DUMMYFUNCTION("IF(ISBLANK(A1332),IFERROR(1/0),IF(COUNT(FILTER(G:G,((A:A=A1332)*(B:B=""V""))))&gt;1,TRUNC(N1332*G1332/SUM(FILTER(N:N,((A:A=A1332)*(B:B=""V"")))),3),G1332))"),"")</f>
        <v/>
      </c>
      <c r="L1332" s="148" t="str">
        <f>IFERROR(__xludf.DUMMYFUNCTION("if($C1332="""","""",iferror(if(row()&lt;&gt;2,INDEX(arrayformula(filter($M$2:$M1331,$C$2:$C1331&lt;&gt;"""",row($C$2:$C1331)=max(if($C$2:$C1331=C1332,row($C$2:$C1331),0)))) ,1),0),0))"),"")</f>
        <v/>
      </c>
      <c r="M1332" s="148" t="str">
        <f t="shared" si="1"/>
        <v/>
      </c>
      <c r="N1332" s="147" t="str">
        <f t="shared" si="2"/>
        <v/>
      </c>
      <c r="O1332" s="147" t="str">
        <f t="shared" si="21"/>
        <v/>
      </c>
      <c r="P1332" s="147" t="str">
        <f>IFERROR(__xludf.DUMMYFUNCTION("if(C1332="""","""",iferror(if(row()&lt;&gt;2,INDEX(arrayformula(filter($Q$2:$Q1331,$C$2:$C1331&lt;&gt;"""",row($C$2:$C1331)=max(if($C$2:$C1331=C1332,row($C$2:$C1331),0)))) ,1),0),0))"),"")</f>
        <v/>
      </c>
      <c r="Q1332" s="147" t="str">
        <f t="shared" si="22"/>
        <v/>
      </c>
      <c r="R1332" s="147" t="str">
        <f t="shared" si="23"/>
        <v/>
      </c>
      <c r="S1332" s="147" t="str">
        <f t="shared" si="24"/>
        <v/>
      </c>
      <c r="T1332" s="147" t="str">
        <f t="shared" si="7"/>
        <v/>
      </c>
      <c r="U1332" s="150" t="str">
        <f t="shared" si="8"/>
        <v/>
      </c>
      <c r="V1332" s="151" t="str">
        <f>IFERROR(VLOOKUP(C1332,Ativos!$A$1:$G2000,5,),)</f>
        <v/>
      </c>
    </row>
    <row r="1333" ht="21.0" customHeight="1">
      <c r="A1333" s="152"/>
      <c r="B1333" s="160"/>
      <c r="C1333" s="153"/>
      <c r="D1333" s="154"/>
      <c r="E1333" s="139"/>
      <c r="F1333" s="139"/>
      <c r="G1333" s="139"/>
      <c r="H1333" s="135"/>
      <c r="I1333" s="141"/>
      <c r="J1333" s="147" t="str">
        <f>IFERROR(__xludf.DUMMYFUNCTION("IF(ISBLANK(A1333),IFERROR(1/0),IF(COUNT(FILTER(F:F,A:A=A1333))&gt;1,TRUNC(N1333*F1333/SUM(FILTER(N:N,A:A=A1333)),3),F1333))"),"")</f>
        <v/>
      </c>
      <c r="K1333" s="147" t="str">
        <f>IFERROR(__xludf.DUMMYFUNCTION("IF(ISBLANK(A1333),IFERROR(1/0),IF(COUNT(FILTER(G:G,((A:A=A1333)*(B:B=""V""))))&gt;1,TRUNC(N1333*G1333/SUM(FILTER(N:N,((A:A=A1333)*(B:B=""V"")))),3),G1333))"),"")</f>
        <v/>
      </c>
      <c r="L1333" s="148" t="str">
        <f>IFERROR(__xludf.DUMMYFUNCTION("if($C1333="""","""",iferror(if(row()&lt;&gt;2,INDEX(arrayformula(filter($M$2:$M1332,$C$2:$C1332&lt;&gt;"""",row($C$2:$C1332)=max(if($C$2:$C1332=C1333,row($C$2:$C1332),0)))) ,1),0),0))"),"")</f>
        <v/>
      </c>
      <c r="M1333" s="148" t="str">
        <f t="shared" si="1"/>
        <v/>
      </c>
      <c r="N1333" s="147" t="str">
        <f t="shared" si="2"/>
        <v/>
      </c>
      <c r="O1333" s="147" t="str">
        <f t="shared" si="21"/>
        <v/>
      </c>
      <c r="P1333" s="147" t="str">
        <f>IFERROR(__xludf.DUMMYFUNCTION("if(C1333="""","""",iferror(if(row()&lt;&gt;2,INDEX(arrayformula(filter($Q$2:$Q1332,$C$2:$C1332&lt;&gt;"""",row($C$2:$C1332)=max(if($C$2:$C1332=C1333,row($C$2:$C1332),0)))) ,1),0),0))"),"")</f>
        <v/>
      </c>
      <c r="Q1333" s="147" t="str">
        <f t="shared" si="22"/>
        <v/>
      </c>
      <c r="R1333" s="147" t="str">
        <f t="shared" si="23"/>
        <v/>
      </c>
      <c r="S1333" s="147" t="str">
        <f t="shared" si="24"/>
        <v/>
      </c>
      <c r="T1333" s="147" t="str">
        <f t="shared" si="7"/>
        <v/>
      </c>
      <c r="U1333" s="150" t="str">
        <f t="shared" si="8"/>
        <v/>
      </c>
      <c r="V1333" s="151" t="str">
        <f>IFERROR(VLOOKUP(C1333,Ativos!$A$1:$G2000,5,),)</f>
        <v/>
      </c>
    </row>
    <row r="1334" ht="21.0" customHeight="1">
      <c r="A1334" s="152"/>
      <c r="B1334" s="160"/>
      <c r="C1334" s="153"/>
      <c r="D1334" s="154"/>
      <c r="E1334" s="139"/>
      <c r="F1334" s="139"/>
      <c r="G1334" s="139"/>
      <c r="H1334" s="135"/>
      <c r="I1334" s="141"/>
      <c r="J1334" s="147" t="str">
        <f>IFERROR(__xludf.DUMMYFUNCTION("IF(ISBLANK(A1334),IFERROR(1/0),IF(COUNT(FILTER(F:F,A:A=A1334))&gt;1,TRUNC(N1334*F1334/SUM(FILTER(N:N,A:A=A1334)),3),F1334))"),"")</f>
        <v/>
      </c>
      <c r="K1334" s="147" t="str">
        <f>IFERROR(__xludf.DUMMYFUNCTION("IF(ISBLANK(A1334),IFERROR(1/0),IF(COUNT(FILTER(G:G,((A:A=A1334)*(B:B=""V""))))&gt;1,TRUNC(N1334*G1334/SUM(FILTER(N:N,((A:A=A1334)*(B:B=""V"")))),3),G1334))"),"")</f>
        <v/>
      </c>
      <c r="L1334" s="148" t="str">
        <f>IFERROR(__xludf.DUMMYFUNCTION("if($C1334="""","""",iferror(if(row()&lt;&gt;2,INDEX(arrayformula(filter($M$2:$M1333,$C$2:$C1333&lt;&gt;"""",row($C$2:$C1333)=max(if($C$2:$C1333=C1334,row($C$2:$C1333),0)))) ,1),0),0))"),"")</f>
        <v/>
      </c>
      <c r="M1334" s="148" t="str">
        <f t="shared" si="1"/>
        <v/>
      </c>
      <c r="N1334" s="147" t="str">
        <f t="shared" si="2"/>
        <v/>
      </c>
      <c r="O1334" s="147" t="str">
        <f t="shared" si="21"/>
        <v/>
      </c>
      <c r="P1334" s="147" t="str">
        <f>IFERROR(__xludf.DUMMYFUNCTION("if(C1334="""","""",iferror(if(row()&lt;&gt;2,INDEX(arrayformula(filter($Q$2:$Q1333,$C$2:$C1333&lt;&gt;"""",row($C$2:$C1333)=max(if($C$2:$C1333=C1334,row($C$2:$C1333),0)))) ,1),0),0))"),"")</f>
        <v/>
      </c>
      <c r="Q1334" s="147" t="str">
        <f t="shared" si="22"/>
        <v/>
      </c>
      <c r="R1334" s="147" t="str">
        <f t="shared" si="23"/>
        <v/>
      </c>
      <c r="S1334" s="147" t="str">
        <f t="shared" si="24"/>
        <v/>
      </c>
      <c r="T1334" s="147" t="str">
        <f t="shared" si="7"/>
        <v/>
      </c>
      <c r="U1334" s="150" t="str">
        <f t="shared" si="8"/>
        <v/>
      </c>
      <c r="V1334" s="151" t="str">
        <f>IFERROR(VLOOKUP(C1334,Ativos!$A$1:$G2000,5,),)</f>
        <v/>
      </c>
    </row>
    <row r="1335" ht="21.0" customHeight="1">
      <c r="A1335" s="152"/>
      <c r="B1335" s="160"/>
      <c r="C1335" s="153"/>
      <c r="D1335" s="154"/>
      <c r="E1335" s="139"/>
      <c r="F1335" s="139"/>
      <c r="G1335" s="139"/>
      <c r="H1335" s="135"/>
      <c r="I1335" s="141"/>
      <c r="J1335" s="147" t="str">
        <f>IFERROR(__xludf.DUMMYFUNCTION("IF(ISBLANK(A1335),IFERROR(1/0),IF(COUNT(FILTER(F:F,A:A=A1335))&gt;1,TRUNC(N1335*F1335/SUM(FILTER(N:N,A:A=A1335)),3),F1335))"),"")</f>
        <v/>
      </c>
      <c r="K1335" s="147" t="str">
        <f>IFERROR(__xludf.DUMMYFUNCTION("IF(ISBLANK(A1335),IFERROR(1/0),IF(COUNT(FILTER(G:G,((A:A=A1335)*(B:B=""V""))))&gt;1,TRUNC(N1335*G1335/SUM(FILTER(N:N,((A:A=A1335)*(B:B=""V"")))),3),G1335))"),"")</f>
        <v/>
      </c>
      <c r="L1335" s="148" t="str">
        <f>IFERROR(__xludf.DUMMYFUNCTION("if($C1335="""","""",iferror(if(row()&lt;&gt;2,INDEX(arrayformula(filter($M$2:$M1334,$C$2:$C1334&lt;&gt;"""",row($C$2:$C1334)=max(if($C$2:$C1334=C1335,row($C$2:$C1334),0)))) ,1),0),0))"),"")</f>
        <v/>
      </c>
      <c r="M1335" s="148" t="str">
        <f t="shared" si="1"/>
        <v/>
      </c>
      <c r="N1335" s="147" t="str">
        <f t="shared" si="2"/>
        <v/>
      </c>
      <c r="O1335" s="147" t="str">
        <f t="shared" si="21"/>
        <v/>
      </c>
      <c r="P1335" s="147" t="str">
        <f>IFERROR(__xludf.DUMMYFUNCTION("if(C1335="""","""",iferror(if(row()&lt;&gt;2,INDEX(arrayformula(filter($Q$2:$Q1334,$C$2:$C1334&lt;&gt;"""",row($C$2:$C1334)=max(if($C$2:$C1334=C1335,row($C$2:$C1334),0)))) ,1),0),0))"),"")</f>
        <v/>
      </c>
      <c r="Q1335" s="147" t="str">
        <f t="shared" si="22"/>
        <v/>
      </c>
      <c r="R1335" s="147" t="str">
        <f t="shared" si="23"/>
        <v/>
      </c>
      <c r="S1335" s="147" t="str">
        <f t="shared" si="24"/>
        <v/>
      </c>
      <c r="T1335" s="147" t="str">
        <f t="shared" si="7"/>
        <v/>
      </c>
      <c r="U1335" s="150" t="str">
        <f t="shared" si="8"/>
        <v/>
      </c>
      <c r="V1335" s="151" t="str">
        <f>IFERROR(VLOOKUP(C1335,Ativos!$A$1:$G2000,5,),)</f>
        <v/>
      </c>
    </row>
    <row r="1336" ht="21.0" customHeight="1">
      <c r="A1336" s="152"/>
      <c r="B1336" s="160"/>
      <c r="C1336" s="153"/>
      <c r="D1336" s="154"/>
      <c r="E1336" s="139"/>
      <c r="F1336" s="139"/>
      <c r="G1336" s="139"/>
      <c r="H1336" s="135"/>
      <c r="I1336" s="141"/>
      <c r="J1336" s="147" t="str">
        <f>IFERROR(__xludf.DUMMYFUNCTION("IF(ISBLANK(A1336),IFERROR(1/0),IF(COUNT(FILTER(F:F,A:A=A1336))&gt;1,TRUNC(N1336*F1336/SUM(FILTER(N:N,A:A=A1336)),3),F1336))"),"")</f>
        <v/>
      </c>
      <c r="K1336" s="147" t="str">
        <f>IFERROR(__xludf.DUMMYFUNCTION("IF(ISBLANK(A1336),IFERROR(1/0),IF(COUNT(FILTER(G:G,((A:A=A1336)*(B:B=""V""))))&gt;1,TRUNC(N1336*G1336/SUM(FILTER(N:N,((A:A=A1336)*(B:B=""V"")))),3),G1336))"),"")</f>
        <v/>
      </c>
      <c r="L1336" s="148" t="str">
        <f>IFERROR(__xludf.DUMMYFUNCTION("if($C1336="""","""",iferror(if(row()&lt;&gt;2,INDEX(arrayformula(filter($M$2:$M1335,$C$2:$C1335&lt;&gt;"""",row($C$2:$C1335)=max(if($C$2:$C1335=C1336,row($C$2:$C1335),0)))) ,1),0),0))"),"")</f>
        <v/>
      </c>
      <c r="M1336" s="148" t="str">
        <f t="shared" si="1"/>
        <v/>
      </c>
      <c r="N1336" s="147" t="str">
        <f t="shared" si="2"/>
        <v/>
      </c>
      <c r="O1336" s="147" t="str">
        <f t="shared" si="21"/>
        <v/>
      </c>
      <c r="P1336" s="147" t="str">
        <f>IFERROR(__xludf.DUMMYFUNCTION("if(C1336="""","""",iferror(if(row()&lt;&gt;2,INDEX(arrayformula(filter($Q$2:$Q1335,$C$2:$C1335&lt;&gt;"""",row($C$2:$C1335)=max(if($C$2:$C1335=C1336,row($C$2:$C1335),0)))) ,1),0),0))"),"")</f>
        <v/>
      </c>
      <c r="Q1336" s="147" t="str">
        <f t="shared" si="22"/>
        <v/>
      </c>
      <c r="R1336" s="147" t="str">
        <f t="shared" si="23"/>
        <v/>
      </c>
      <c r="S1336" s="147" t="str">
        <f t="shared" si="24"/>
        <v/>
      </c>
      <c r="T1336" s="147" t="str">
        <f t="shared" si="7"/>
        <v/>
      </c>
      <c r="U1336" s="150" t="str">
        <f t="shared" si="8"/>
        <v/>
      </c>
      <c r="V1336" s="151" t="str">
        <f>IFERROR(VLOOKUP(C1336,Ativos!$A$1:$G2000,5,),)</f>
        <v/>
      </c>
    </row>
    <row r="1337" ht="21.0" customHeight="1">
      <c r="A1337" s="152"/>
      <c r="B1337" s="160"/>
      <c r="C1337" s="153"/>
      <c r="D1337" s="154"/>
      <c r="E1337" s="139"/>
      <c r="F1337" s="139"/>
      <c r="G1337" s="139"/>
      <c r="H1337" s="135"/>
      <c r="I1337" s="141"/>
      <c r="J1337" s="147" t="str">
        <f>IFERROR(__xludf.DUMMYFUNCTION("IF(ISBLANK(A1337),IFERROR(1/0),IF(COUNT(FILTER(F:F,A:A=A1337))&gt;1,TRUNC(N1337*F1337/SUM(FILTER(N:N,A:A=A1337)),3),F1337))"),"")</f>
        <v/>
      </c>
      <c r="K1337" s="147" t="str">
        <f>IFERROR(__xludf.DUMMYFUNCTION("IF(ISBLANK(A1337),IFERROR(1/0),IF(COUNT(FILTER(G:G,((A:A=A1337)*(B:B=""V""))))&gt;1,TRUNC(N1337*G1337/SUM(FILTER(N:N,((A:A=A1337)*(B:B=""V"")))),3),G1337))"),"")</f>
        <v/>
      </c>
      <c r="L1337" s="148" t="str">
        <f>IFERROR(__xludf.DUMMYFUNCTION("if($C1337="""","""",iferror(if(row()&lt;&gt;2,INDEX(arrayformula(filter($M$2:$M1336,$C$2:$C1336&lt;&gt;"""",row($C$2:$C1336)=max(if($C$2:$C1336=C1337,row($C$2:$C1336),0)))) ,1),0),0))"),"")</f>
        <v/>
      </c>
      <c r="M1337" s="148" t="str">
        <f t="shared" si="1"/>
        <v/>
      </c>
      <c r="N1337" s="147" t="str">
        <f t="shared" si="2"/>
        <v/>
      </c>
      <c r="O1337" s="147" t="str">
        <f t="shared" si="21"/>
        <v/>
      </c>
      <c r="P1337" s="147" t="str">
        <f>IFERROR(__xludf.DUMMYFUNCTION("if(C1337="""","""",iferror(if(row()&lt;&gt;2,INDEX(arrayformula(filter($Q$2:$Q1336,$C$2:$C1336&lt;&gt;"""",row($C$2:$C1336)=max(if($C$2:$C1336=C1337,row($C$2:$C1336),0)))) ,1),0),0))"),"")</f>
        <v/>
      </c>
      <c r="Q1337" s="147" t="str">
        <f t="shared" si="22"/>
        <v/>
      </c>
      <c r="R1337" s="147" t="str">
        <f t="shared" si="23"/>
        <v/>
      </c>
      <c r="S1337" s="147" t="str">
        <f t="shared" si="24"/>
        <v/>
      </c>
      <c r="T1337" s="147" t="str">
        <f t="shared" si="7"/>
        <v/>
      </c>
      <c r="U1337" s="150" t="str">
        <f t="shared" si="8"/>
        <v/>
      </c>
      <c r="V1337" s="151" t="str">
        <f>IFERROR(VLOOKUP(C1337,Ativos!$A$1:$G2000,5,),)</f>
        <v/>
      </c>
    </row>
    <row r="1338" ht="21.0" customHeight="1">
      <c r="A1338" s="152"/>
      <c r="B1338" s="160"/>
      <c r="C1338" s="153"/>
      <c r="D1338" s="154"/>
      <c r="E1338" s="139"/>
      <c r="F1338" s="139"/>
      <c r="G1338" s="139"/>
      <c r="H1338" s="135"/>
      <c r="I1338" s="141"/>
      <c r="J1338" s="147" t="str">
        <f>IFERROR(__xludf.DUMMYFUNCTION("IF(ISBLANK(A1338),IFERROR(1/0),IF(COUNT(FILTER(F:F,A:A=A1338))&gt;1,TRUNC(N1338*F1338/SUM(FILTER(N:N,A:A=A1338)),3),F1338))"),"")</f>
        <v/>
      </c>
      <c r="K1338" s="147" t="str">
        <f>IFERROR(__xludf.DUMMYFUNCTION("IF(ISBLANK(A1338),IFERROR(1/0),IF(COUNT(FILTER(G:G,((A:A=A1338)*(B:B=""V""))))&gt;1,TRUNC(N1338*G1338/SUM(FILTER(N:N,((A:A=A1338)*(B:B=""V"")))),3),G1338))"),"")</f>
        <v/>
      </c>
      <c r="L1338" s="148" t="str">
        <f>IFERROR(__xludf.DUMMYFUNCTION("if($C1338="""","""",iferror(if(row()&lt;&gt;2,INDEX(arrayformula(filter($M$2:$M1337,$C$2:$C1337&lt;&gt;"""",row($C$2:$C1337)=max(if($C$2:$C1337=C1338,row($C$2:$C1337),0)))) ,1),0),0))"),"")</f>
        <v/>
      </c>
      <c r="M1338" s="148" t="str">
        <f t="shared" si="1"/>
        <v/>
      </c>
      <c r="N1338" s="147" t="str">
        <f t="shared" si="2"/>
        <v/>
      </c>
      <c r="O1338" s="147" t="str">
        <f t="shared" si="21"/>
        <v/>
      </c>
      <c r="P1338" s="147" t="str">
        <f>IFERROR(__xludf.DUMMYFUNCTION("if(C1338="""","""",iferror(if(row()&lt;&gt;2,INDEX(arrayformula(filter($Q$2:$Q1337,$C$2:$C1337&lt;&gt;"""",row($C$2:$C1337)=max(if($C$2:$C1337=C1338,row($C$2:$C1337),0)))) ,1),0),0))"),"")</f>
        <v/>
      </c>
      <c r="Q1338" s="147" t="str">
        <f t="shared" si="22"/>
        <v/>
      </c>
      <c r="R1338" s="147" t="str">
        <f t="shared" si="23"/>
        <v/>
      </c>
      <c r="S1338" s="147" t="str">
        <f t="shared" si="24"/>
        <v/>
      </c>
      <c r="T1338" s="147" t="str">
        <f t="shared" si="7"/>
        <v/>
      </c>
      <c r="U1338" s="150" t="str">
        <f t="shared" si="8"/>
        <v/>
      </c>
      <c r="V1338" s="151" t="str">
        <f>IFERROR(VLOOKUP(C1338,Ativos!$A$1:$G2000,5,),)</f>
        <v/>
      </c>
    </row>
    <row r="1339" ht="21.0" customHeight="1">
      <c r="A1339" s="152"/>
      <c r="B1339" s="160"/>
      <c r="C1339" s="153"/>
      <c r="D1339" s="154"/>
      <c r="E1339" s="139"/>
      <c r="F1339" s="139"/>
      <c r="G1339" s="139"/>
      <c r="H1339" s="135"/>
      <c r="I1339" s="141"/>
      <c r="J1339" s="147" t="str">
        <f>IFERROR(__xludf.DUMMYFUNCTION("IF(ISBLANK(A1339),IFERROR(1/0),IF(COUNT(FILTER(F:F,A:A=A1339))&gt;1,TRUNC(N1339*F1339/SUM(FILTER(N:N,A:A=A1339)),3),F1339))"),"")</f>
        <v/>
      </c>
      <c r="K1339" s="147" t="str">
        <f>IFERROR(__xludf.DUMMYFUNCTION("IF(ISBLANK(A1339),IFERROR(1/0),IF(COUNT(FILTER(G:G,((A:A=A1339)*(B:B=""V""))))&gt;1,TRUNC(N1339*G1339/SUM(FILTER(N:N,((A:A=A1339)*(B:B=""V"")))),3),G1339))"),"")</f>
        <v/>
      </c>
      <c r="L1339" s="148" t="str">
        <f>IFERROR(__xludf.DUMMYFUNCTION("if($C1339="""","""",iferror(if(row()&lt;&gt;2,INDEX(arrayformula(filter($M$2:$M1338,$C$2:$C1338&lt;&gt;"""",row($C$2:$C1338)=max(if($C$2:$C1338=C1339,row($C$2:$C1338),0)))) ,1),0),0))"),"")</f>
        <v/>
      </c>
      <c r="M1339" s="148" t="str">
        <f t="shared" si="1"/>
        <v/>
      </c>
      <c r="N1339" s="147" t="str">
        <f t="shared" si="2"/>
        <v/>
      </c>
      <c r="O1339" s="147" t="str">
        <f t="shared" si="21"/>
        <v/>
      </c>
      <c r="P1339" s="147" t="str">
        <f>IFERROR(__xludf.DUMMYFUNCTION("if(C1339="""","""",iferror(if(row()&lt;&gt;2,INDEX(arrayformula(filter($Q$2:$Q1338,$C$2:$C1338&lt;&gt;"""",row($C$2:$C1338)=max(if($C$2:$C1338=C1339,row($C$2:$C1338),0)))) ,1),0),0))"),"")</f>
        <v/>
      </c>
      <c r="Q1339" s="147" t="str">
        <f t="shared" si="22"/>
        <v/>
      </c>
      <c r="R1339" s="147" t="str">
        <f t="shared" si="23"/>
        <v/>
      </c>
      <c r="S1339" s="147" t="str">
        <f t="shared" si="24"/>
        <v/>
      </c>
      <c r="T1339" s="147" t="str">
        <f t="shared" si="7"/>
        <v/>
      </c>
      <c r="U1339" s="150" t="str">
        <f t="shared" si="8"/>
        <v/>
      </c>
      <c r="V1339" s="151" t="str">
        <f>IFERROR(VLOOKUP(C1339,Ativos!$A$1:$G2000,5,),)</f>
        <v/>
      </c>
    </row>
    <row r="1340" ht="21.0" customHeight="1">
      <c r="A1340" s="152"/>
      <c r="B1340" s="160"/>
      <c r="C1340" s="153"/>
      <c r="D1340" s="154"/>
      <c r="E1340" s="139"/>
      <c r="F1340" s="139"/>
      <c r="G1340" s="139"/>
      <c r="H1340" s="135"/>
      <c r="I1340" s="141"/>
      <c r="J1340" s="147" t="str">
        <f>IFERROR(__xludf.DUMMYFUNCTION("IF(ISBLANK(A1340),IFERROR(1/0),IF(COUNT(FILTER(F:F,A:A=A1340))&gt;1,TRUNC(N1340*F1340/SUM(FILTER(N:N,A:A=A1340)),3),F1340))"),"")</f>
        <v/>
      </c>
      <c r="K1340" s="147" t="str">
        <f>IFERROR(__xludf.DUMMYFUNCTION("IF(ISBLANK(A1340),IFERROR(1/0),IF(COUNT(FILTER(G:G,((A:A=A1340)*(B:B=""V""))))&gt;1,TRUNC(N1340*G1340/SUM(FILTER(N:N,((A:A=A1340)*(B:B=""V"")))),3),G1340))"),"")</f>
        <v/>
      </c>
      <c r="L1340" s="148" t="str">
        <f>IFERROR(__xludf.DUMMYFUNCTION("if($C1340="""","""",iferror(if(row()&lt;&gt;2,INDEX(arrayformula(filter($M$2:$M1339,$C$2:$C1339&lt;&gt;"""",row($C$2:$C1339)=max(if($C$2:$C1339=C1340,row($C$2:$C1339),0)))) ,1),0),0))"),"")</f>
        <v/>
      </c>
      <c r="M1340" s="148" t="str">
        <f t="shared" si="1"/>
        <v/>
      </c>
      <c r="N1340" s="147" t="str">
        <f t="shared" si="2"/>
        <v/>
      </c>
      <c r="O1340" s="147" t="str">
        <f t="shared" si="21"/>
        <v/>
      </c>
      <c r="P1340" s="147" t="str">
        <f>IFERROR(__xludf.DUMMYFUNCTION("if(C1340="""","""",iferror(if(row()&lt;&gt;2,INDEX(arrayformula(filter($Q$2:$Q1339,$C$2:$C1339&lt;&gt;"""",row($C$2:$C1339)=max(if($C$2:$C1339=C1340,row($C$2:$C1339),0)))) ,1),0),0))"),"")</f>
        <v/>
      </c>
      <c r="Q1340" s="147" t="str">
        <f t="shared" si="22"/>
        <v/>
      </c>
      <c r="R1340" s="147" t="str">
        <f t="shared" si="23"/>
        <v/>
      </c>
      <c r="S1340" s="147" t="str">
        <f t="shared" si="24"/>
        <v/>
      </c>
      <c r="T1340" s="147" t="str">
        <f t="shared" si="7"/>
        <v/>
      </c>
      <c r="U1340" s="150" t="str">
        <f t="shared" si="8"/>
        <v/>
      </c>
      <c r="V1340" s="151" t="str">
        <f>IFERROR(VLOOKUP(C1340,Ativos!$A$1:$G2000,5,),)</f>
        <v/>
      </c>
    </row>
    <row r="1341" ht="21.0" customHeight="1">
      <c r="A1341" s="152"/>
      <c r="B1341" s="160"/>
      <c r="C1341" s="153"/>
      <c r="D1341" s="154"/>
      <c r="E1341" s="139"/>
      <c r="F1341" s="139"/>
      <c r="G1341" s="139"/>
      <c r="H1341" s="135"/>
      <c r="I1341" s="141"/>
      <c r="J1341" s="147" t="str">
        <f>IFERROR(__xludf.DUMMYFUNCTION("IF(ISBLANK(A1341),IFERROR(1/0),IF(COUNT(FILTER(F:F,A:A=A1341))&gt;1,TRUNC(N1341*F1341/SUM(FILTER(N:N,A:A=A1341)),3),F1341))"),"")</f>
        <v/>
      </c>
      <c r="K1341" s="147" t="str">
        <f>IFERROR(__xludf.DUMMYFUNCTION("IF(ISBLANK(A1341),IFERROR(1/0),IF(COUNT(FILTER(G:G,((A:A=A1341)*(B:B=""V""))))&gt;1,TRUNC(N1341*G1341/SUM(FILTER(N:N,((A:A=A1341)*(B:B=""V"")))),3),G1341))"),"")</f>
        <v/>
      </c>
      <c r="L1341" s="148" t="str">
        <f>IFERROR(__xludf.DUMMYFUNCTION("if($C1341="""","""",iferror(if(row()&lt;&gt;2,INDEX(arrayformula(filter($M$2:$M1340,$C$2:$C1340&lt;&gt;"""",row($C$2:$C1340)=max(if($C$2:$C1340=C1341,row($C$2:$C1340),0)))) ,1),0),0))"),"")</f>
        <v/>
      </c>
      <c r="M1341" s="148" t="str">
        <f t="shared" si="1"/>
        <v/>
      </c>
      <c r="N1341" s="147" t="str">
        <f t="shared" si="2"/>
        <v/>
      </c>
      <c r="O1341" s="147" t="str">
        <f t="shared" si="21"/>
        <v/>
      </c>
      <c r="P1341" s="147" t="str">
        <f>IFERROR(__xludf.DUMMYFUNCTION("if(C1341="""","""",iferror(if(row()&lt;&gt;2,INDEX(arrayformula(filter($Q$2:$Q1340,$C$2:$C1340&lt;&gt;"""",row($C$2:$C1340)=max(if($C$2:$C1340=C1341,row($C$2:$C1340),0)))) ,1),0),0))"),"")</f>
        <v/>
      </c>
      <c r="Q1341" s="147" t="str">
        <f t="shared" si="22"/>
        <v/>
      </c>
      <c r="R1341" s="147" t="str">
        <f t="shared" si="23"/>
        <v/>
      </c>
      <c r="S1341" s="147" t="str">
        <f t="shared" si="24"/>
        <v/>
      </c>
      <c r="T1341" s="147" t="str">
        <f t="shared" si="7"/>
        <v/>
      </c>
      <c r="U1341" s="150" t="str">
        <f t="shared" si="8"/>
        <v/>
      </c>
      <c r="V1341" s="151" t="str">
        <f>IFERROR(VLOOKUP(C1341,Ativos!$A$1:$G2000,5,),)</f>
        <v/>
      </c>
    </row>
    <row r="1342" ht="21.0" customHeight="1">
      <c r="A1342" s="152"/>
      <c r="B1342" s="160"/>
      <c r="C1342" s="153"/>
      <c r="D1342" s="154"/>
      <c r="E1342" s="139"/>
      <c r="F1342" s="139"/>
      <c r="G1342" s="139"/>
      <c r="H1342" s="135"/>
      <c r="I1342" s="141"/>
      <c r="J1342" s="147" t="str">
        <f>IFERROR(__xludf.DUMMYFUNCTION("IF(ISBLANK(A1342),IFERROR(1/0),IF(COUNT(FILTER(F:F,A:A=A1342))&gt;1,TRUNC(N1342*F1342/SUM(FILTER(N:N,A:A=A1342)),3),F1342))"),"")</f>
        <v/>
      </c>
      <c r="K1342" s="147" t="str">
        <f>IFERROR(__xludf.DUMMYFUNCTION("IF(ISBLANK(A1342),IFERROR(1/0),IF(COUNT(FILTER(G:G,((A:A=A1342)*(B:B=""V""))))&gt;1,TRUNC(N1342*G1342/SUM(FILTER(N:N,((A:A=A1342)*(B:B=""V"")))),3),G1342))"),"")</f>
        <v/>
      </c>
      <c r="L1342" s="148" t="str">
        <f>IFERROR(__xludf.DUMMYFUNCTION("if($C1342="""","""",iferror(if(row()&lt;&gt;2,INDEX(arrayformula(filter($M$2:$M1341,$C$2:$C1341&lt;&gt;"""",row($C$2:$C1341)=max(if($C$2:$C1341=C1342,row($C$2:$C1341),0)))) ,1),0),0))"),"")</f>
        <v/>
      </c>
      <c r="M1342" s="148" t="str">
        <f t="shared" si="1"/>
        <v/>
      </c>
      <c r="N1342" s="147" t="str">
        <f t="shared" si="2"/>
        <v/>
      </c>
      <c r="O1342" s="147" t="str">
        <f t="shared" si="21"/>
        <v/>
      </c>
      <c r="P1342" s="147" t="str">
        <f>IFERROR(__xludf.DUMMYFUNCTION("if(C1342="""","""",iferror(if(row()&lt;&gt;2,INDEX(arrayformula(filter($Q$2:$Q1341,$C$2:$C1341&lt;&gt;"""",row($C$2:$C1341)=max(if($C$2:$C1341=C1342,row($C$2:$C1341),0)))) ,1),0),0))"),"")</f>
        <v/>
      </c>
      <c r="Q1342" s="147" t="str">
        <f t="shared" si="22"/>
        <v/>
      </c>
      <c r="R1342" s="147" t="str">
        <f t="shared" si="23"/>
        <v/>
      </c>
      <c r="S1342" s="147" t="str">
        <f t="shared" si="24"/>
        <v/>
      </c>
      <c r="T1342" s="147" t="str">
        <f t="shared" si="7"/>
        <v/>
      </c>
      <c r="U1342" s="150" t="str">
        <f t="shared" si="8"/>
        <v/>
      </c>
      <c r="V1342" s="151" t="str">
        <f>IFERROR(VLOOKUP(C1342,Ativos!$A$1:$G2000,5,),)</f>
        <v/>
      </c>
    </row>
    <row r="1343" ht="21.0" customHeight="1">
      <c r="A1343" s="152"/>
      <c r="B1343" s="160"/>
      <c r="C1343" s="153"/>
      <c r="D1343" s="154"/>
      <c r="E1343" s="139"/>
      <c r="F1343" s="139"/>
      <c r="G1343" s="139"/>
      <c r="H1343" s="135"/>
      <c r="I1343" s="141"/>
      <c r="J1343" s="147" t="str">
        <f>IFERROR(__xludf.DUMMYFUNCTION("IF(ISBLANK(A1343),IFERROR(1/0),IF(COUNT(FILTER(F:F,A:A=A1343))&gt;1,TRUNC(N1343*F1343/SUM(FILTER(N:N,A:A=A1343)),3),F1343))"),"")</f>
        <v/>
      </c>
      <c r="K1343" s="147" t="str">
        <f>IFERROR(__xludf.DUMMYFUNCTION("IF(ISBLANK(A1343),IFERROR(1/0),IF(COUNT(FILTER(G:G,((A:A=A1343)*(B:B=""V""))))&gt;1,TRUNC(N1343*G1343/SUM(FILTER(N:N,((A:A=A1343)*(B:B=""V"")))),3),G1343))"),"")</f>
        <v/>
      </c>
      <c r="L1343" s="148" t="str">
        <f>IFERROR(__xludf.DUMMYFUNCTION("if($C1343="""","""",iferror(if(row()&lt;&gt;2,INDEX(arrayformula(filter($M$2:$M1342,$C$2:$C1342&lt;&gt;"""",row($C$2:$C1342)=max(if($C$2:$C1342=C1343,row($C$2:$C1342),0)))) ,1),0),0))"),"")</f>
        <v/>
      </c>
      <c r="M1343" s="148" t="str">
        <f t="shared" si="1"/>
        <v/>
      </c>
      <c r="N1343" s="147" t="str">
        <f t="shared" si="2"/>
        <v/>
      </c>
      <c r="O1343" s="147" t="str">
        <f t="shared" si="21"/>
        <v/>
      </c>
      <c r="P1343" s="147" t="str">
        <f>IFERROR(__xludf.DUMMYFUNCTION("if(C1343="""","""",iferror(if(row()&lt;&gt;2,INDEX(arrayformula(filter($Q$2:$Q1342,$C$2:$C1342&lt;&gt;"""",row($C$2:$C1342)=max(if($C$2:$C1342=C1343,row($C$2:$C1342),0)))) ,1),0),0))"),"")</f>
        <v/>
      </c>
      <c r="Q1343" s="147" t="str">
        <f t="shared" si="22"/>
        <v/>
      </c>
      <c r="R1343" s="147" t="str">
        <f t="shared" si="23"/>
        <v/>
      </c>
      <c r="S1343" s="147" t="str">
        <f t="shared" si="24"/>
        <v/>
      </c>
      <c r="T1343" s="147" t="str">
        <f t="shared" si="7"/>
        <v/>
      </c>
      <c r="U1343" s="150" t="str">
        <f t="shared" si="8"/>
        <v/>
      </c>
      <c r="V1343" s="151" t="str">
        <f>IFERROR(VLOOKUP(C1343,Ativos!$A$1:$G2000,5,),)</f>
        <v/>
      </c>
    </row>
    <row r="1344" ht="21.0" customHeight="1">
      <c r="A1344" s="152"/>
      <c r="B1344" s="160"/>
      <c r="C1344" s="153"/>
      <c r="D1344" s="154"/>
      <c r="E1344" s="139"/>
      <c r="F1344" s="139"/>
      <c r="G1344" s="139"/>
      <c r="H1344" s="135"/>
      <c r="I1344" s="141"/>
      <c r="J1344" s="147" t="str">
        <f>IFERROR(__xludf.DUMMYFUNCTION("IF(ISBLANK(A1344),IFERROR(1/0),IF(COUNT(FILTER(F:F,A:A=A1344))&gt;1,TRUNC(N1344*F1344/SUM(FILTER(N:N,A:A=A1344)),3),F1344))"),"")</f>
        <v/>
      </c>
      <c r="K1344" s="147" t="str">
        <f>IFERROR(__xludf.DUMMYFUNCTION("IF(ISBLANK(A1344),IFERROR(1/0),IF(COUNT(FILTER(G:G,((A:A=A1344)*(B:B=""V""))))&gt;1,TRUNC(N1344*G1344/SUM(FILTER(N:N,((A:A=A1344)*(B:B=""V"")))),3),G1344))"),"")</f>
        <v/>
      </c>
      <c r="L1344" s="148" t="str">
        <f>IFERROR(__xludf.DUMMYFUNCTION("if($C1344="""","""",iferror(if(row()&lt;&gt;2,INDEX(arrayformula(filter($M$2:$M1343,$C$2:$C1343&lt;&gt;"""",row($C$2:$C1343)=max(if($C$2:$C1343=C1344,row($C$2:$C1343),0)))) ,1),0),0))"),"")</f>
        <v/>
      </c>
      <c r="M1344" s="148" t="str">
        <f t="shared" si="1"/>
        <v/>
      </c>
      <c r="N1344" s="147" t="str">
        <f t="shared" si="2"/>
        <v/>
      </c>
      <c r="O1344" s="147" t="str">
        <f t="shared" si="21"/>
        <v/>
      </c>
      <c r="P1344" s="147" t="str">
        <f>IFERROR(__xludf.DUMMYFUNCTION("if(C1344="""","""",iferror(if(row()&lt;&gt;2,INDEX(arrayformula(filter($Q$2:$Q1343,$C$2:$C1343&lt;&gt;"""",row($C$2:$C1343)=max(if($C$2:$C1343=C1344,row($C$2:$C1343),0)))) ,1),0),0))"),"")</f>
        <v/>
      </c>
      <c r="Q1344" s="147" t="str">
        <f t="shared" si="22"/>
        <v/>
      </c>
      <c r="R1344" s="147" t="str">
        <f t="shared" si="23"/>
        <v/>
      </c>
      <c r="S1344" s="147" t="str">
        <f t="shared" si="24"/>
        <v/>
      </c>
      <c r="T1344" s="147" t="str">
        <f t="shared" si="7"/>
        <v/>
      </c>
      <c r="U1344" s="150" t="str">
        <f t="shared" si="8"/>
        <v/>
      </c>
      <c r="V1344" s="151" t="str">
        <f>IFERROR(VLOOKUP(C1344,Ativos!$A$1:$G2000,5,),)</f>
        <v/>
      </c>
    </row>
    <row r="1345" ht="21.0" customHeight="1">
      <c r="A1345" s="152"/>
      <c r="B1345" s="160"/>
      <c r="C1345" s="153"/>
      <c r="D1345" s="154"/>
      <c r="E1345" s="139"/>
      <c r="F1345" s="139"/>
      <c r="G1345" s="139"/>
      <c r="H1345" s="135"/>
      <c r="I1345" s="141"/>
      <c r="J1345" s="147" t="str">
        <f>IFERROR(__xludf.DUMMYFUNCTION("IF(ISBLANK(A1345),IFERROR(1/0),IF(COUNT(FILTER(F:F,A:A=A1345))&gt;1,TRUNC(N1345*F1345/SUM(FILTER(N:N,A:A=A1345)),3),F1345))"),"")</f>
        <v/>
      </c>
      <c r="K1345" s="147" t="str">
        <f>IFERROR(__xludf.DUMMYFUNCTION("IF(ISBLANK(A1345),IFERROR(1/0),IF(COUNT(FILTER(G:G,((A:A=A1345)*(B:B=""V""))))&gt;1,TRUNC(N1345*G1345/SUM(FILTER(N:N,((A:A=A1345)*(B:B=""V"")))),3),G1345))"),"")</f>
        <v/>
      </c>
      <c r="L1345" s="148" t="str">
        <f>IFERROR(__xludf.DUMMYFUNCTION("if($C1345="""","""",iferror(if(row()&lt;&gt;2,INDEX(arrayformula(filter($M$2:$M1344,$C$2:$C1344&lt;&gt;"""",row($C$2:$C1344)=max(if($C$2:$C1344=C1345,row($C$2:$C1344),0)))) ,1),0),0))"),"")</f>
        <v/>
      </c>
      <c r="M1345" s="148" t="str">
        <f t="shared" si="1"/>
        <v/>
      </c>
      <c r="N1345" s="147" t="str">
        <f t="shared" si="2"/>
        <v/>
      </c>
      <c r="O1345" s="147" t="str">
        <f t="shared" si="21"/>
        <v/>
      </c>
      <c r="P1345" s="147" t="str">
        <f>IFERROR(__xludf.DUMMYFUNCTION("if(C1345="""","""",iferror(if(row()&lt;&gt;2,INDEX(arrayformula(filter($Q$2:$Q1344,$C$2:$C1344&lt;&gt;"""",row($C$2:$C1344)=max(if($C$2:$C1344=C1345,row($C$2:$C1344),0)))) ,1),0),0))"),"")</f>
        <v/>
      </c>
      <c r="Q1345" s="147" t="str">
        <f t="shared" si="22"/>
        <v/>
      </c>
      <c r="R1345" s="147" t="str">
        <f t="shared" si="23"/>
        <v/>
      </c>
      <c r="S1345" s="147" t="str">
        <f t="shared" si="24"/>
        <v/>
      </c>
      <c r="T1345" s="147" t="str">
        <f t="shared" si="7"/>
        <v/>
      </c>
      <c r="U1345" s="150" t="str">
        <f t="shared" si="8"/>
        <v/>
      </c>
      <c r="V1345" s="151" t="str">
        <f>IFERROR(VLOOKUP(C1345,Ativos!$A$1:$G2000,5,),)</f>
        <v/>
      </c>
    </row>
    <row r="1346" ht="21.0" customHeight="1">
      <c r="A1346" s="152"/>
      <c r="B1346" s="160"/>
      <c r="C1346" s="153"/>
      <c r="D1346" s="154"/>
      <c r="E1346" s="139"/>
      <c r="F1346" s="139"/>
      <c r="G1346" s="139"/>
      <c r="H1346" s="135"/>
      <c r="I1346" s="141"/>
      <c r="J1346" s="147" t="str">
        <f>IFERROR(__xludf.DUMMYFUNCTION("IF(ISBLANK(A1346),IFERROR(1/0),IF(COUNT(FILTER(F:F,A:A=A1346))&gt;1,TRUNC(N1346*F1346/SUM(FILTER(N:N,A:A=A1346)),3),F1346))"),"")</f>
        <v/>
      </c>
      <c r="K1346" s="147" t="str">
        <f>IFERROR(__xludf.DUMMYFUNCTION("IF(ISBLANK(A1346),IFERROR(1/0),IF(COUNT(FILTER(G:G,((A:A=A1346)*(B:B=""V""))))&gt;1,TRUNC(N1346*G1346/SUM(FILTER(N:N,((A:A=A1346)*(B:B=""V"")))),3),G1346))"),"")</f>
        <v/>
      </c>
      <c r="L1346" s="148" t="str">
        <f>IFERROR(__xludf.DUMMYFUNCTION("if($C1346="""","""",iferror(if(row()&lt;&gt;2,INDEX(arrayformula(filter($M$2:$M1345,$C$2:$C1345&lt;&gt;"""",row($C$2:$C1345)=max(if($C$2:$C1345=C1346,row($C$2:$C1345),0)))) ,1),0),0))"),"")</f>
        <v/>
      </c>
      <c r="M1346" s="148" t="str">
        <f t="shared" si="1"/>
        <v/>
      </c>
      <c r="N1346" s="147" t="str">
        <f t="shared" si="2"/>
        <v/>
      </c>
      <c r="O1346" s="147" t="str">
        <f t="shared" si="21"/>
        <v/>
      </c>
      <c r="P1346" s="147" t="str">
        <f>IFERROR(__xludf.DUMMYFUNCTION("if(C1346="""","""",iferror(if(row()&lt;&gt;2,INDEX(arrayformula(filter($Q$2:$Q1345,$C$2:$C1345&lt;&gt;"""",row($C$2:$C1345)=max(if($C$2:$C1345=C1346,row($C$2:$C1345),0)))) ,1),0),0))"),"")</f>
        <v/>
      </c>
      <c r="Q1346" s="147" t="str">
        <f t="shared" si="22"/>
        <v/>
      </c>
      <c r="R1346" s="147" t="str">
        <f t="shared" si="23"/>
        <v/>
      </c>
      <c r="S1346" s="147" t="str">
        <f t="shared" si="24"/>
        <v/>
      </c>
      <c r="T1346" s="147" t="str">
        <f t="shared" si="7"/>
        <v/>
      </c>
      <c r="U1346" s="150" t="str">
        <f t="shared" si="8"/>
        <v/>
      </c>
      <c r="V1346" s="151" t="str">
        <f>IFERROR(VLOOKUP(C1346,Ativos!$A$1:$G2000,5,),)</f>
        <v/>
      </c>
    </row>
    <row r="1347" ht="21.0" customHeight="1">
      <c r="A1347" s="152"/>
      <c r="B1347" s="160"/>
      <c r="C1347" s="153"/>
      <c r="D1347" s="154"/>
      <c r="E1347" s="139"/>
      <c r="F1347" s="139"/>
      <c r="G1347" s="139"/>
      <c r="H1347" s="135"/>
      <c r="I1347" s="141"/>
      <c r="J1347" s="147" t="str">
        <f>IFERROR(__xludf.DUMMYFUNCTION("IF(ISBLANK(A1347),IFERROR(1/0),IF(COUNT(FILTER(F:F,A:A=A1347))&gt;1,TRUNC(N1347*F1347/SUM(FILTER(N:N,A:A=A1347)),3),F1347))"),"")</f>
        <v/>
      </c>
      <c r="K1347" s="147" t="str">
        <f>IFERROR(__xludf.DUMMYFUNCTION("IF(ISBLANK(A1347),IFERROR(1/0),IF(COUNT(FILTER(G:G,((A:A=A1347)*(B:B=""V""))))&gt;1,TRUNC(N1347*G1347/SUM(FILTER(N:N,((A:A=A1347)*(B:B=""V"")))),3),G1347))"),"")</f>
        <v/>
      </c>
      <c r="L1347" s="148" t="str">
        <f>IFERROR(__xludf.DUMMYFUNCTION("if($C1347="""","""",iferror(if(row()&lt;&gt;2,INDEX(arrayformula(filter($M$2:$M1346,$C$2:$C1346&lt;&gt;"""",row($C$2:$C1346)=max(if($C$2:$C1346=C1347,row($C$2:$C1346),0)))) ,1),0),0))"),"")</f>
        <v/>
      </c>
      <c r="M1347" s="148" t="str">
        <f t="shared" si="1"/>
        <v/>
      </c>
      <c r="N1347" s="147" t="str">
        <f t="shared" si="2"/>
        <v/>
      </c>
      <c r="O1347" s="147" t="str">
        <f t="shared" si="21"/>
        <v/>
      </c>
      <c r="P1347" s="147" t="str">
        <f>IFERROR(__xludf.DUMMYFUNCTION("if(C1347="""","""",iferror(if(row()&lt;&gt;2,INDEX(arrayformula(filter($Q$2:$Q1346,$C$2:$C1346&lt;&gt;"""",row($C$2:$C1346)=max(if($C$2:$C1346=C1347,row($C$2:$C1346),0)))) ,1),0),0))"),"")</f>
        <v/>
      </c>
      <c r="Q1347" s="147" t="str">
        <f t="shared" si="22"/>
        <v/>
      </c>
      <c r="R1347" s="147" t="str">
        <f t="shared" si="23"/>
        <v/>
      </c>
      <c r="S1347" s="147" t="str">
        <f t="shared" si="24"/>
        <v/>
      </c>
      <c r="T1347" s="147" t="str">
        <f t="shared" si="7"/>
        <v/>
      </c>
      <c r="U1347" s="150" t="str">
        <f t="shared" si="8"/>
        <v/>
      </c>
      <c r="V1347" s="151" t="str">
        <f>IFERROR(VLOOKUP(C1347,Ativos!$A$1:$G2000,5,),)</f>
        <v/>
      </c>
    </row>
    <row r="1348" ht="21.0" customHeight="1">
      <c r="A1348" s="152"/>
      <c r="B1348" s="160"/>
      <c r="C1348" s="153"/>
      <c r="D1348" s="154"/>
      <c r="E1348" s="139"/>
      <c r="F1348" s="139"/>
      <c r="G1348" s="139"/>
      <c r="H1348" s="135"/>
      <c r="I1348" s="141"/>
      <c r="J1348" s="147" t="str">
        <f>IFERROR(__xludf.DUMMYFUNCTION("IF(ISBLANK(A1348),IFERROR(1/0),IF(COUNT(FILTER(F:F,A:A=A1348))&gt;1,TRUNC(N1348*F1348/SUM(FILTER(N:N,A:A=A1348)),3),F1348))"),"")</f>
        <v/>
      </c>
      <c r="K1348" s="147" t="str">
        <f>IFERROR(__xludf.DUMMYFUNCTION("IF(ISBLANK(A1348),IFERROR(1/0),IF(COUNT(FILTER(G:G,((A:A=A1348)*(B:B=""V""))))&gt;1,TRUNC(N1348*G1348/SUM(FILTER(N:N,((A:A=A1348)*(B:B=""V"")))),3),G1348))"),"")</f>
        <v/>
      </c>
      <c r="L1348" s="148" t="str">
        <f>IFERROR(__xludf.DUMMYFUNCTION("if($C1348="""","""",iferror(if(row()&lt;&gt;2,INDEX(arrayformula(filter($M$2:$M1347,$C$2:$C1347&lt;&gt;"""",row($C$2:$C1347)=max(if($C$2:$C1347=C1348,row($C$2:$C1347),0)))) ,1),0),0))"),"")</f>
        <v/>
      </c>
      <c r="M1348" s="148" t="str">
        <f t="shared" si="1"/>
        <v/>
      </c>
      <c r="N1348" s="147" t="str">
        <f t="shared" si="2"/>
        <v/>
      </c>
      <c r="O1348" s="147" t="str">
        <f t="shared" si="21"/>
        <v/>
      </c>
      <c r="P1348" s="147" t="str">
        <f>IFERROR(__xludf.DUMMYFUNCTION("if(C1348="""","""",iferror(if(row()&lt;&gt;2,INDEX(arrayformula(filter($Q$2:$Q1347,$C$2:$C1347&lt;&gt;"""",row($C$2:$C1347)=max(if($C$2:$C1347=C1348,row($C$2:$C1347),0)))) ,1),0),0))"),"")</f>
        <v/>
      </c>
      <c r="Q1348" s="147" t="str">
        <f t="shared" si="22"/>
        <v/>
      </c>
      <c r="R1348" s="147" t="str">
        <f t="shared" si="23"/>
        <v/>
      </c>
      <c r="S1348" s="147" t="str">
        <f t="shared" si="24"/>
        <v/>
      </c>
      <c r="T1348" s="147" t="str">
        <f t="shared" si="7"/>
        <v/>
      </c>
      <c r="U1348" s="150" t="str">
        <f t="shared" si="8"/>
        <v/>
      </c>
      <c r="V1348" s="151" t="str">
        <f>IFERROR(VLOOKUP(C1348,Ativos!$A$1:$G2000,5,),)</f>
        <v/>
      </c>
    </row>
    <row r="1349" ht="21.0" customHeight="1">
      <c r="A1349" s="152"/>
      <c r="B1349" s="160"/>
      <c r="C1349" s="153"/>
      <c r="D1349" s="154"/>
      <c r="E1349" s="139"/>
      <c r="F1349" s="139"/>
      <c r="G1349" s="139"/>
      <c r="H1349" s="135"/>
      <c r="I1349" s="141"/>
      <c r="J1349" s="147" t="str">
        <f>IFERROR(__xludf.DUMMYFUNCTION("IF(ISBLANK(A1349),IFERROR(1/0),IF(COUNT(FILTER(F:F,A:A=A1349))&gt;1,TRUNC(N1349*F1349/SUM(FILTER(N:N,A:A=A1349)),3),F1349))"),"")</f>
        <v/>
      </c>
      <c r="K1349" s="147" t="str">
        <f>IFERROR(__xludf.DUMMYFUNCTION("IF(ISBLANK(A1349),IFERROR(1/0),IF(COUNT(FILTER(G:G,((A:A=A1349)*(B:B=""V""))))&gt;1,TRUNC(N1349*G1349/SUM(FILTER(N:N,((A:A=A1349)*(B:B=""V"")))),3),G1349))"),"")</f>
        <v/>
      </c>
      <c r="L1349" s="148" t="str">
        <f>IFERROR(__xludf.DUMMYFUNCTION("if($C1349="""","""",iferror(if(row()&lt;&gt;2,INDEX(arrayformula(filter($M$2:$M1348,$C$2:$C1348&lt;&gt;"""",row($C$2:$C1348)=max(if($C$2:$C1348=C1349,row($C$2:$C1348),0)))) ,1),0),0))"),"")</f>
        <v/>
      </c>
      <c r="M1349" s="148" t="str">
        <f t="shared" si="1"/>
        <v/>
      </c>
      <c r="N1349" s="147" t="str">
        <f t="shared" si="2"/>
        <v/>
      </c>
      <c r="O1349" s="147" t="str">
        <f t="shared" si="21"/>
        <v/>
      </c>
      <c r="P1349" s="147" t="str">
        <f>IFERROR(__xludf.DUMMYFUNCTION("if(C1349="""","""",iferror(if(row()&lt;&gt;2,INDEX(arrayformula(filter($Q$2:$Q1348,$C$2:$C1348&lt;&gt;"""",row($C$2:$C1348)=max(if($C$2:$C1348=C1349,row($C$2:$C1348),0)))) ,1),0),0))"),"")</f>
        <v/>
      </c>
      <c r="Q1349" s="147" t="str">
        <f t="shared" si="22"/>
        <v/>
      </c>
      <c r="R1349" s="147" t="str">
        <f t="shared" si="23"/>
        <v/>
      </c>
      <c r="S1349" s="147" t="str">
        <f t="shared" si="24"/>
        <v/>
      </c>
      <c r="T1349" s="147" t="str">
        <f t="shared" si="7"/>
        <v/>
      </c>
      <c r="U1349" s="150" t="str">
        <f t="shared" si="8"/>
        <v/>
      </c>
      <c r="V1349" s="151" t="str">
        <f>IFERROR(VLOOKUP(C1349,Ativos!$A$1:$G2000,5,),)</f>
        <v/>
      </c>
    </row>
    <row r="1350" ht="21.0" customHeight="1">
      <c r="A1350" s="152"/>
      <c r="B1350" s="160"/>
      <c r="C1350" s="153"/>
      <c r="D1350" s="154"/>
      <c r="E1350" s="139"/>
      <c r="F1350" s="139"/>
      <c r="G1350" s="139"/>
      <c r="H1350" s="135"/>
      <c r="I1350" s="141"/>
      <c r="J1350" s="147" t="str">
        <f>IFERROR(__xludf.DUMMYFUNCTION("IF(ISBLANK(A1350),IFERROR(1/0),IF(COUNT(FILTER(F:F,A:A=A1350))&gt;1,TRUNC(N1350*F1350/SUM(FILTER(N:N,A:A=A1350)),3),F1350))"),"")</f>
        <v/>
      </c>
      <c r="K1350" s="147" t="str">
        <f>IFERROR(__xludf.DUMMYFUNCTION("IF(ISBLANK(A1350),IFERROR(1/0),IF(COUNT(FILTER(G:G,((A:A=A1350)*(B:B=""V""))))&gt;1,TRUNC(N1350*G1350/SUM(FILTER(N:N,((A:A=A1350)*(B:B=""V"")))),3),G1350))"),"")</f>
        <v/>
      </c>
      <c r="L1350" s="148" t="str">
        <f>IFERROR(__xludf.DUMMYFUNCTION("if($C1350="""","""",iferror(if(row()&lt;&gt;2,INDEX(arrayformula(filter($M$2:$M1349,$C$2:$C1349&lt;&gt;"""",row($C$2:$C1349)=max(if($C$2:$C1349=C1350,row($C$2:$C1349),0)))) ,1),0),0))"),"")</f>
        <v/>
      </c>
      <c r="M1350" s="148" t="str">
        <f t="shared" si="1"/>
        <v/>
      </c>
      <c r="N1350" s="147" t="str">
        <f t="shared" si="2"/>
        <v/>
      </c>
      <c r="O1350" s="147" t="str">
        <f t="shared" si="21"/>
        <v/>
      </c>
      <c r="P1350" s="147" t="str">
        <f>IFERROR(__xludf.DUMMYFUNCTION("if(C1350="""","""",iferror(if(row()&lt;&gt;2,INDEX(arrayformula(filter($Q$2:$Q1349,$C$2:$C1349&lt;&gt;"""",row($C$2:$C1349)=max(if($C$2:$C1349=C1350,row($C$2:$C1349),0)))) ,1),0),0))"),"")</f>
        <v/>
      </c>
      <c r="Q1350" s="147" t="str">
        <f t="shared" si="22"/>
        <v/>
      </c>
      <c r="R1350" s="147" t="str">
        <f t="shared" si="23"/>
        <v/>
      </c>
      <c r="S1350" s="147" t="str">
        <f t="shared" si="24"/>
        <v/>
      </c>
      <c r="T1350" s="147" t="str">
        <f t="shared" si="7"/>
        <v/>
      </c>
      <c r="U1350" s="150" t="str">
        <f t="shared" si="8"/>
        <v/>
      </c>
      <c r="V1350" s="151" t="str">
        <f>IFERROR(VLOOKUP(C1350,Ativos!$A$1:$G2000,5,),)</f>
        <v/>
      </c>
    </row>
    <row r="1351" ht="21.0" customHeight="1">
      <c r="A1351" s="152"/>
      <c r="B1351" s="160"/>
      <c r="C1351" s="153"/>
      <c r="D1351" s="154"/>
      <c r="E1351" s="139"/>
      <c r="F1351" s="139"/>
      <c r="G1351" s="139"/>
      <c r="H1351" s="135"/>
      <c r="I1351" s="141"/>
      <c r="J1351" s="147" t="str">
        <f>IFERROR(__xludf.DUMMYFUNCTION("IF(ISBLANK(A1351),IFERROR(1/0),IF(COUNT(FILTER(F:F,A:A=A1351))&gt;1,TRUNC(N1351*F1351/SUM(FILTER(N:N,A:A=A1351)),3),F1351))"),"")</f>
        <v/>
      </c>
      <c r="K1351" s="147" t="str">
        <f>IFERROR(__xludf.DUMMYFUNCTION("IF(ISBLANK(A1351),IFERROR(1/0),IF(COUNT(FILTER(G:G,((A:A=A1351)*(B:B=""V""))))&gt;1,TRUNC(N1351*G1351/SUM(FILTER(N:N,((A:A=A1351)*(B:B=""V"")))),3),G1351))"),"")</f>
        <v/>
      </c>
      <c r="L1351" s="148" t="str">
        <f>IFERROR(__xludf.DUMMYFUNCTION("if($C1351="""","""",iferror(if(row()&lt;&gt;2,INDEX(arrayformula(filter($M$2:$M1350,$C$2:$C1350&lt;&gt;"""",row($C$2:$C1350)=max(if($C$2:$C1350=C1351,row($C$2:$C1350),0)))) ,1),0),0))"),"")</f>
        <v/>
      </c>
      <c r="M1351" s="148" t="str">
        <f t="shared" si="1"/>
        <v/>
      </c>
      <c r="N1351" s="147" t="str">
        <f t="shared" si="2"/>
        <v/>
      </c>
      <c r="O1351" s="147" t="str">
        <f t="shared" si="21"/>
        <v/>
      </c>
      <c r="P1351" s="147" t="str">
        <f>IFERROR(__xludf.DUMMYFUNCTION("if(C1351="""","""",iferror(if(row()&lt;&gt;2,INDEX(arrayformula(filter($Q$2:$Q1350,$C$2:$C1350&lt;&gt;"""",row($C$2:$C1350)=max(if($C$2:$C1350=C1351,row($C$2:$C1350),0)))) ,1),0),0))"),"")</f>
        <v/>
      </c>
      <c r="Q1351" s="147" t="str">
        <f t="shared" si="22"/>
        <v/>
      </c>
      <c r="R1351" s="147" t="str">
        <f t="shared" si="23"/>
        <v/>
      </c>
      <c r="S1351" s="147" t="str">
        <f t="shared" si="24"/>
        <v/>
      </c>
      <c r="T1351" s="147" t="str">
        <f t="shared" si="7"/>
        <v/>
      </c>
      <c r="U1351" s="150" t="str">
        <f t="shared" si="8"/>
        <v/>
      </c>
      <c r="V1351" s="151" t="str">
        <f>IFERROR(VLOOKUP(C1351,Ativos!$A$1:$G2000,5,),)</f>
        <v/>
      </c>
    </row>
    <row r="1352" ht="21.0" customHeight="1">
      <c r="A1352" s="152"/>
      <c r="B1352" s="160"/>
      <c r="C1352" s="153"/>
      <c r="D1352" s="154"/>
      <c r="E1352" s="139"/>
      <c r="F1352" s="139"/>
      <c r="G1352" s="139"/>
      <c r="H1352" s="135"/>
      <c r="I1352" s="141"/>
      <c r="J1352" s="147" t="str">
        <f>IFERROR(__xludf.DUMMYFUNCTION("IF(ISBLANK(A1352),IFERROR(1/0),IF(COUNT(FILTER(F:F,A:A=A1352))&gt;1,TRUNC(N1352*F1352/SUM(FILTER(N:N,A:A=A1352)),3),F1352))"),"")</f>
        <v/>
      </c>
      <c r="K1352" s="147" t="str">
        <f>IFERROR(__xludf.DUMMYFUNCTION("IF(ISBLANK(A1352),IFERROR(1/0),IF(COUNT(FILTER(G:G,((A:A=A1352)*(B:B=""V""))))&gt;1,TRUNC(N1352*G1352/SUM(FILTER(N:N,((A:A=A1352)*(B:B=""V"")))),3),G1352))"),"")</f>
        <v/>
      </c>
      <c r="L1352" s="148" t="str">
        <f>IFERROR(__xludf.DUMMYFUNCTION("if($C1352="""","""",iferror(if(row()&lt;&gt;2,INDEX(arrayformula(filter($M$2:$M1351,$C$2:$C1351&lt;&gt;"""",row($C$2:$C1351)=max(if($C$2:$C1351=C1352,row($C$2:$C1351),0)))) ,1),0),0))"),"")</f>
        <v/>
      </c>
      <c r="M1352" s="148" t="str">
        <f t="shared" si="1"/>
        <v/>
      </c>
      <c r="N1352" s="147" t="str">
        <f t="shared" si="2"/>
        <v/>
      </c>
      <c r="O1352" s="147" t="str">
        <f t="shared" si="21"/>
        <v/>
      </c>
      <c r="P1352" s="147" t="str">
        <f>IFERROR(__xludf.DUMMYFUNCTION("if(C1352="""","""",iferror(if(row()&lt;&gt;2,INDEX(arrayformula(filter($Q$2:$Q1351,$C$2:$C1351&lt;&gt;"""",row($C$2:$C1351)=max(if($C$2:$C1351=C1352,row($C$2:$C1351),0)))) ,1),0),0))"),"")</f>
        <v/>
      </c>
      <c r="Q1352" s="147" t="str">
        <f t="shared" si="22"/>
        <v/>
      </c>
      <c r="R1352" s="147" t="str">
        <f t="shared" si="23"/>
        <v/>
      </c>
      <c r="S1352" s="147" t="str">
        <f t="shared" si="24"/>
        <v/>
      </c>
      <c r="T1352" s="147" t="str">
        <f t="shared" si="7"/>
        <v/>
      </c>
      <c r="U1352" s="150" t="str">
        <f t="shared" si="8"/>
        <v/>
      </c>
      <c r="V1352" s="151" t="str">
        <f>IFERROR(VLOOKUP(C1352,Ativos!$A$1:$G2000,5,),)</f>
        <v/>
      </c>
    </row>
    <row r="1353" ht="21.0" customHeight="1">
      <c r="A1353" s="152"/>
      <c r="B1353" s="160"/>
      <c r="C1353" s="153"/>
      <c r="D1353" s="154"/>
      <c r="E1353" s="139"/>
      <c r="F1353" s="139"/>
      <c r="G1353" s="139"/>
      <c r="H1353" s="135"/>
      <c r="I1353" s="141"/>
      <c r="J1353" s="147" t="str">
        <f>IFERROR(__xludf.DUMMYFUNCTION("IF(ISBLANK(A1353),IFERROR(1/0),IF(COUNT(FILTER(F:F,A:A=A1353))&gt;1,TRUNC(N1353*F1353/SUM(FILTER(N:N,A:A=A1353)),3),F1353))"),"")</f>
        <v/>
      </c>
      <c r="K1353" s="147" t="str">
        <f>IFERROR(__xludf.DUMMYFUNCTION("IF(ISBLANK(A1353),IFERROR(1/0),IF(COUNT(FILTER(G:G,((A:A=A1353)*(B:B=""V""))))&gt;1,TRUNC(N1353*G1353/SUM(FILTER(N:N,((A:A=A1353)*(B:B=""V"")))),3),G1353))"),"")</f>
        <v/>
      </c>
      <c r="L1353" s="148" t="str">
        <f>IFERROR(__xludf.DUMMYFUNCTION("if($C1353="""","""",iferror(if(row()&lt;&gt;2,INDEX(arrayformula(filter($M$2:$M1352,$C$2:$C1352&lt;&gt;"""",row($C$2:$C1352)=max(if($C$2:$C1352=C1353,row($C$2:$C1352),0)))) ,1),0),0))"),"")</f>
        <v/>
      </c>
      <c r="M1353" s="148" t="str">
        <f t="shared" si="1"/>
        <v/>
      </c>
      <c r="N1353" s="147" t="str">
        <f t="shared" si="2"/>
        <v/>
      </c>
      <c r="O1353" s="147" t="str">
        <f t="shared" si="21"/>
        <v/>
      </c>
      <c r="P1353" s="147" t="str">
        <f>IFERROR(__xludf.DUMMYFUNCTION("if(C1353="""","""",iferror(if(row()&lt;&gt;2,INDEX(arrayformula(filter($Q$2:$Q1352,$C$2:$C1352&lt;&gt;"""",row($C$2:$C1352)=max(if($C$2:$C1352=C1353,row($C$2:$C1352),0)))) ,1),0),0))"),"")</f>
        <v/>
      </c>
      <c r="Q1353" s="147" t="str">
        <f t="shared" si="22"/>
        <v/>
      </c>
      <c r="R1353" s="147" t="str">
        <f t="shared" si="23"/>
        <v/>
      </c>
      <c r="S1353" s="147" t="str">
        <f t="shared" si="24"/>
        <v/>
      </c>
      <c r="T1353" s="147" t="str">
        <f t="shared" si="7"/>
        <v/>
      </c>
      <c r="U1353" s="150" t="str">
        <f t="shared" si="8"/>
        <v/>
      </c>
      <c r="V1353" s="151" t="str">
        <f>IFERROR(VLOOKUP(C1353,Ativos!$A$1:$G2000,5,),)</f>
        <v/>
      </c>
    </row>
    <row r="1354" ht="21.0" customHeight="1">
      <c r="A1354" s="152"/>
      <c r="B1354" s="160"/>
      <c r="C1354" s="153"/>
      <c r="D1354" s="154"/>
      <c r="E1354" s="139"/>
      <c r="F1354" s="139"/>
      <c r="G1354" s="139"/>
      <c r="H1354" s="135"/>
      <c r="I1354" s="141"/>
      <c r="J1354" s="147" t="str">
        <f>IFERROR(__xludf.DUMMYFUNCTION("IF(ISBLANK(A1354),IFERROR(1/0),IF(COUNT(FILTER(F:F,A:A=A1354))&gt;1,TRUNC(N1354*F1354/SUM(FILTER(N:N,A:A=A1354)),3),F1354))"),"")</f>
        <v/>
      </c>
      <c r="K1354" s="147" t="str">
        <f>IFERROR(__xludf.DUMMYFUNCTION("IF(ISBLANK(A1354),IFERROR(1/0),IF(COUNT(FILTER(G:G,((A:A=A1354)*(B:B=""V""))))&gt;1,TRUNC(N1354*G1354/SUM(FILTER(N:N,((A:A=A1354)*(B:B=""V"")))),3),G1354))"),"")</f>
        <v/>
      </c>
      <c r="L1354" s="148" t="str">
        <f>IFERROR(__xludf.DUMMYFUNCTION("if($C1354="""","""",iferror(if(row()&lt;&gt;2,INDEX(arrayformula(filter($M$2:$M1353,$C$2:$C1353&lt;&gt;"""",row($C$2:$C1353)=max(if($C$2:$C1353=C1354,row($C$2:$C1353),0)))) ,1),0),0))"),"")</f>
        <v/>
      </c>
      <c r="M1354" s="148" t="str">
        <f t="shared" si="1"/>
        <v/>
      </c>
      <c r="N1354" s="147" t="str">
        <f t="shared" si="2"/>
        <v/>
      </c>
      <c r="O1354" s="147" t="str">
        <f t="shared" si="21"/>
        <v/>
      </c>
      <c r="P1354" s="147" t="str">
        <f>IFERROR(__xludf.DUMMYFUNCTION("if(C1354="""","""",iferror(if(row()&lt;&gt;2,INDEX(arrayformula(filter($Q$2:$Q1353,$C$2:$C1353&lt;&gt;"""",row($C$2:$C1353)=max(if($C$2:$C1353=C1354,row($C$2:$C1353),0)))) ,1),0),0))"),"")</f>
        <v/>
      </c>
      <c r="Q1354" s="147" t="str">
        <f t="shared" si="22"/>
        <v/>
      </c>
      <c r="R1354" s="147" t="str">
        <f t="shared" si="23"/>
        <v/>
      </c>
      <c r="S1354" s="147" t="str">
        <f t="shared" si="24"/>
        <v/>
      </c>
      <c r="T1354" s="147" t="str">
        <f t="shared" si="7"/>
        <v/>
      </c>
      <c r="U1354" s="150" t="str">
        <f t="shared" si="8"/>
        <v/>
      </c>
      <c r="V1354" s="151" t="str">
        <f>IFERROR(VLOOKUP(C1354,Ativos!$A$1:$G2000,5,),)</f>
        <v/>
      </c>
    </row>
    <row r="1355" ht="21.0" customHeight="1">
      <c r="A1355" s="152"/>
      <c r="B1355" s="160"/>
      <c r="C1355" s="153"/>
      <c r="D1355" s="154"/>
      <c r="E1355" s="139"/>
      <c r="F1355" s="139"/>
      <c r="G1355" s="139"/>
      <c r="H1355" s="135"/>
      <c r="I1355" s="141"/>
      <c r="J1355" s="147" t="str">
        <f>IFERROR(__xludf.DUMMYFUNCTION("IF(ISBLANK(A1355),IFERROR(1/0),IF(COUNT(FILTER(F:F,A:A=A1355))&gt;1,TRUNC(N1355*F1355/SUM(FILTER(N:N,A:A=A1355)),3),F1355))"),"")</f>
        <v/>
      </c>
      <c r="K1355" s="147" t="str">
        <f>IFERROR(__xludf.DUMMYFUNCTION("IF(ISBLANK(A1355),IFERROR(1/0),IF(COUNT(FILTER(G:G,((A:A=A1355)*(B:B=""V""))))&gt;1,TRUNC(N1355*G1355/SUM(FILTER(N:N,((A:A=A1355)*(B:B=""V"")))),3),G1355))"),"")</f>
        <v/>
      </c>
      <c r="L1355" s="148" t="str">
        <f>IFERROR(__xludf.DUMMYFUNCTION("if($C1355="""","""",iferror(if(row()&lt;&gt;2,INDEX(arrayformula(filter($M$2:$M1354,$C$2:$C1354&lt;&gt;"""",row($C$2:$C1354)=max(if($C$2:$C1354=C1355,row($C$2:$C1354),0)))) ,1),0),0))"),"")</f>
        <v/>
      </c>
      <c r="M1355" s="148" t="str">
        <f t="shared" si="1"/>
        <v/>
      </c>
      <c r="N1355" s="147" t="str">
        <f t="shared" si="2"/>
        <v/>
      </c>
      <c r="O1355" s="147" t="str">
        <f t="shared" si="21"/>
        <v/>
      </c>
      <c r="P1355" s="147" t="str">
        <f>IFERROR(__xludf.DUMMYFUNCTION("if(C1355="""","""",iferror(if(row()&lt;&gt;2,INDEX(arrayformula(filter($Q$2:$Q1354,$C$2:$C1354&lt;&gt;"""",row($C$2:$C1354)=max(if($C$2:$C1354=C1355,row($C$2:$C1354),0)))) ,1),0),0))"),"")</f>
        <v/>
      </c>
      <c r="Q1355" s="147" t="str">
        <f t="shared" si="22"/>
        <v/>
      </c>
      <c r="R1355" s="147" t="str">
        <f t="shared" si="23"/>
        <v/>
      </c>
      <c r="S1355" s="147" t="str">
        <f t="shared" si="24"/>
        <v/>
      </c>
      <c r="T1355" s="147" t="str">
        <f t="shared" si="7"/>
        <v/>
      </c>
      <c r="U1355" s="150" t="str">
        <f t="shared" si="8"/>
        <v/>
      </c>
      <c r="V1355" s="151" t="str">
        <f>IFERROR(VLOOKUP(C1355,Ativos!$A$1:$G2000,5,),)</f>
        <v/>
      </c>
    </row>
    <row r="1356" ht="21.0" customHeight="1">
      <c r="A1356" s="152"/>
      <c r="B1356" s="160"/>
      <c r="C1356" s="153"/>
      <c r="D1356" s="154"/>
      <c r="E1356" s="139"/>
      <c r="F1356" s="139"/>
      <c r="G1356" s="139"/>
      <c r="H1356" s="135"/>
      <c r="I1356" s="141"/>
      <c r="J1356" s="147" t="str">
        <f>IFERROR(__xludf.DUMMYFUNCTION("IF(ISBLANK(A1356),IFERROR(1/0),IF(COUNT(FILTER(F:F,A:A=A1356))&gt;1,TRUNC(N1356*F1356/SUM(FILTER(N:N,A:A=A1356)),3),F1356))"),"")</f>
        <v/>
      </c>
      <c r="K1356" s="147" t="str">
        <f>IFERROR(__xludf.DUMMYFUNCTION("IF(ISBLANK(A1356),IFERROR(1/0),IF(COUNT(FILTER(G:G,((A:A=A1356)*(B:B=""V""))))&gt;1,TRUNC(N1356*G1356/SUM(FILTER(N:N,((A:A=A1356)*(B:B=""V"")))),3),G1356))"),"")</f>
        <v/>
      </c>
      <c r="L1356" s="148" t="str">
        <f>IFERROR(__xludf.DUMMYFUNCTION("if($C1356="""","""",iferror(if(row()&lt;&gt;2,INDEX(arrayformula(filter($M$2:$M1355,$C$2:$C1355&lt;&gt;"""",row($C$2:$C1355)=max(if($C$2:$C1355=C1356,row($C$2:$C1355),0)))) ,1),0),0))"),"")</f>
        <v/>
      </c>
      <c r="M1356" s="148" t="str">
        <f t="shared" si="1"/>
        <v/>
      </c>
      <c r="N1356" s="147" t="str">
        <f t="shared" si="2"/>
        <v/>
      </c>
      <c r="O1356" s="147" t="str">
        <f t="shared" si="21"/>
        <v/>
      </c>
      <c r="P1356" s="147" t="str">
        <f>IFERROR(__xludf.DUMMYFUNCTION("if(C1356="""","""",iferror(if(row()&lt;&gt;2,INDEX(arrayformula(filter($Q$2:$Q1355,$C$2:$C1355&lt;&gt;"""",row($C$2:$C1355)=max(if($C$2:$C1355=C1356,row($C$2:$C1355),0)))) ,1),0),0))"),"")</f>
        <v/>
      </c>
      <c r="Q1356" s="147" t="str">
        <f t="shared" si="22"/>
        <v/>
      </c>
      <c r="R1356" s="147" t="str">
        <f t="shared" si="23"/>
        <v/>
      </c>
      <c r="S1356" s="147" t="str">
        <f t="shared" si="24"/>
        <v/>
      </c>
      <c r="T1356" s="147" t="str">
        <f t="shared" si="7"/>
        <v/>
      </c>
      <c r="U1356" s="150" t="str">
        <f t="shared" si="8"/>
        <v/>
      </c>
      <c r="V1356" s="151" t="str">
        <f>IFERROR(VLOOKUP(C1356,Ativos!$A$1:$G2000,5,),)</f>
        <v/>
      </c>
    </row>
    <row r="1357" ht="21.0" customHeight="1">
      <c r="A1357" s="152"/>
      <c r="B1357" s="160"/>
      <c r="C1357" s="153"/>
      <c r="D1357" s="154"/>
      <c r="E1357" s="139"/>
      <c r="F1357" s="139"/>
      <c r="G1357" s="139"/>
      <c r="H1357" s="135"/>
      <c r="I1357" s="141"/>
      <c r="J1357" s="147" t="str">
        <f>IFERROR(__xludf.DUMMYFUNCTION("IF(ISBLANK(A1357),IFERROR(1/0),IF(COUNT(FILTER(F:F,A:A=A1357))&gt;1,TRUNC(N1357*F1357/SUM(FILTER(N:N,A:A=A1357)),3),F1357))"),"")</f>
        <v/>
      </c>
      <c r="K1357" s="147" t="str">
        <f>IFERROR(__xludf.DUMMYFUNCTION("IF(ISBLANK(A1357),IFERROR(1/0),IF(COUNT(FILTER(G:G,((A:A=A1357)*(B:B=""V""))))&gt;1,TRUNC(N1357*G1357/SUM(FILTER(N:N,((A:A=A1357)*(B:B=""V"")))),3),G1357))"),"")</f>
        <v/>
      </c>
      <c r="L1357" s="148" t="str">
        <f>IFERROR(__xludf.DUMMYFUNCTION("if($C1357="""","""",iferror(if(row()&lt;&gt;2,INDEX(arrayformula(filter($M$2:$M1356,$C$2:$C1356&lt;&gt;"""",row($C$2:$C1356)=max(if($C$2:$C1356=C1357,row($C$2:$C1356),0)))) ,1),0),0))"),"")</f>
        <v/>
      </c>
      <c r="M1357" s="148" t="str">
        <f t="shared" si="1"/>
        <v/>
      </c>
      <c r="N1357" s="147" t="str">
        <f t="shared" si="2"/>
        <v/>
      </c>
      <c r="O1357" s="147" t="str">
        <f t="shared" si="21"/>
        <v/>
      </c>
      <c r="P1357" s="147" t="str">
        <f>IFERROR(__xludf.DUMMYFUNCTION("if(C1357="""","""",iferror(if(row()&lt;&gt;2,INDEX(arrayformula(filter($Q$2:$Q1356,$C$2:$C1356&lt;&gt;"""",row($C$2:$C1356)=max(if($C$2:$C1356=C1357,row($C$2:$C1356),0)))) ,1),0),0))"),"")</f>
        <v/>
      </c>
      <c r="Q1357" s="147" t="str">
        <f t="shared" si="22"/>
        <v/>
      </c>
      <c r="R1357" s="147" t="str">
        <f t="shared" si="23"/>
        <v/>
      </c>
      <c r="S1357" s="147" t="str">
        <f t="shared" si="24"/>
        <v/>
      </c>
      <c r="T1357" s="147" t="str">
        <f t="shared" si="7"/>
        <v/>
      </c>
      <c r="U1357" s="150" t="str">
        <f t="shared" si="8"/>
        <v/>
      </c>
      <c r="V1357" s="151" t="str">
        <f>IFERROR(VLOOKUP(C1357,Ativos!$A$1:$G2000,5,),)</f>
        <v/>
      </c>
    </row>
    <row r="1358" ht="21.0" customHeight="1">
      <c r="A1358" s="152"/>
      <c r="B1358" s="160"/>
      <c r="C1358" s="153"/>
      <c r="D1358" s="154"/>
      <c r="E1358" s="139"/>
      <c r="F1358" s="139"/>
      <c r="G1358" s="139"/>
      <c r="H1358" s="135"/>
      <c r="I1358" s="141"/>
      <c r="J1358" s="147" t="str">
        <f>IFERROR(__xludf.DUMMYFUNCTION("IF(ISBLANK(A1358),IFERROR(1/0),IF(COUNT(FILTER(F:F,A:A=A1358))&gt;1,TRUNC(N1358*F1358/SUM(FILTER(N:N,A:A=A1358)),3),F1358))"),"")</f>
        <v/>
      </c>
      <c r="K1358" s="147" t="str">
        <f>IFERROR(__xludf.DUMMYFUNCTION("IF(ISBLANK(A1358),IFERROR(1/0),IF(COUNT(FILTER(G:G,((A:A=A1358)*(B:B=""V""))))&gt;1,TRUNC(N1358*G1358/SUM(FILTER(N:N,((A:A=A1358)*(B:B=""V"")))),3),G1358))"),"")</f>
        <v/>
      </c>
      <c r="L1358" s="148" t="str">
        <f>IFERROR(__xludf.DUMMYFUNCTION("if($C1358="""","""",iferror(if(row()&lt;&gt;2,INDEX(arrayformula(filter($M$2:$M1357,$C$2:$C1357&lt;&gt;"""",row($C$2:$C1357)=max(if($C$2:$C1357=C1358,row($C$2:$C1357),0)))) ,1),0),0))"),"")</f>
        <v/>
      </c>
      <c r="M1358" s="148" t="str">
        <f t="shared" si="1"/>
        <v/>
      </c>
      <c r="N1358" s="147" t="str">
        <f t="shared" si="2"/>
        <v/>
      </c>
      <c r="O1358" s="147" t="str">
        <f t="shared" si="21"/>
        <v/>
      </c>
      <c r="P1358" s="147" t="str">
        <f>IFERROR(__xludf.DUMMYFUNCTION("if(C1358="""","""",iferror(if(row()&lt;&gt;2,INDEX(arrayformula(filter($Q$2:$Q1357,$C$2:$C1357&lt;&gt;"""",row($C$2:$C1357)=max(if($C$2:$C1357=C1358,row($C$2:$C1357),0)))) ,1),0),0))"),"")</f>
        <v/>
      </c>
      <c r="Q1358" s="147" t="str">
        <f t="shared" si="22"/>
        <v/>
      </c>
      <c r="R1358" s="147" t="str">
        <f t="shared" si="23"/>
        <v/>
      </c>
      <c r="S1358" s="147" t="str">
        <f t="shared" si="24"/>
        <v/>
      </c>
      <c r="T1358" s="147" t="str">
        <f t="shared" si="7"/>
        <v/>
      </c>
      <c r="U1358" s="150" t="str">
        <f t="shared" si="8"/>
        <v/>
      </c>
      <c r="V1358" s="151" t="str">
        <f>IFERROR(VLOOKUP(C1358,Ativos!$A$1:$G2000,5,),)</f>
        <v/>
      </c>
    </row>
    <row r="1359" ht="21.0" customHeight="1">
      <c r="A1359" s="152"/>
      <c r="B1359" s="160"/>
      <c r="C1359" s="153"/>
      <c r="D1359" s="154"/>
      <c r="E1359" s="139"/>
      <c r="F1359" s="139"/>
      <c r="G1359" s="139"/>
      <c r="H1359" s="135"/>
      <c r="I1359" s="141"/>
      <c r="J1359" s="147" t="str">
        <f>IFERROR(__xludf.DUMMYFUNCTION("IF(ISBLANK(A1359),IFERROR(1/0),IF(COUNT(FILTER(F:F,A:A=A1359))&gt;1,TRUNC(N1359*F1359/SUM(FILTER(N:N,A:A=A1359)),3),F1359))"),"")</f>
        <v/>
      </c>
      <c r="K1359" s="147" t="str">
        <f>IFERROR(__xludf.DUMMYFUNCTION("IF(ISBLANK(A1359),IFERROR(1/0),IF(COUNT(FILTER(G:G,((A:A=A1359)*(B:B=""V""))))&gt;1,TRUNC(N1359*G1359/SUM(FILTER(N:N,((A:A=A1359)*(B:B=""V"")))),3),G1359))"),"")</f>
        <v/>
      </c>
      <c r="L1359" s="148" t="str">
        <f>IFERROR(__xludf.DUMMYFUNCTION("if($C1359="""","""",iferror(if(row()&lt;&gt;2,INDEX(arrayformula(filter($M$2:$M1358,$C$2:$C1358&lt;&gt;"""",row($C$2:$C1358)=max(if($C$2:$C1358=C1359,row($C$2:$C1358),0)))) ,1),0),0))"),"")</f>
        <v/>
      </c>
      <c r="M1359" s="148" t="str">
        <f t="shared" si="1"/>
        <v/>
      </c>
      <c r="N1359" s="147" t="str">
        <f t="shared" si="2"/>
        <v/>
      </c>
      <c r="O1359" s="147" t="str">
        <f t="shared" si="21"/>
        <v/>
      </c>
      <c r="P1359" s="147" t="str">
        <f>IFERROR(__xludf.DUMMYFUNCTION("if(C1359="""","""",iferror(if(row()&lt;&gt;2,INDEX(arrayformula(filter($Q$2:$Q1358,$C$2:$C1358&lt;&gt;"""",row($C$2:$C1358)=max(if($C$2:$C1358=C1359,row($C$2:$C1358),0)))) ,1),0),0))"),"")</f>
        <v/>
      </c>
      <c r="Q1359" s="147" t="str">
        <f t="shared" si="22"/>
        <v/>
      </c>
      <c r="R1359" s="147" t="str">
        <f t="shared" si="23"/>
        <v/>
      </c>
      <c r="S1359" s="147" t="str">
        <f t="shared" si="24"/>
        <v/>
      </c>
      <c r="T1359" s="147" t="str">
        <f t="shared" si="7"/>
        <v/>
      </c>
      <c r="U1359" s="150" t="str">
        <f t="shared" si="8"/>
        <v/>
      </c>
      <c r="V1359" s="151" t="str">
        <f>IFERROR(VLOOKUP(C1359,Ativos!$A$1:$G2000,5,),)</f>
        <v/>
      </c>
    </row>
    <row r="1360" ht="21.0" customHeight="1">
      <c r="A1360" s="152"/>
      <c r="B1360" s="160"/>
      <c r="C1360" s="153"/>
      <c r="D1360" s="154"/>
      <c r="E1360" s="139"/>
      <c r="F1360" s="139"/>
      <c r="G1360" s="139"/>
      <c r="H1360" s="135"/>
      <c r="I1360" s="141"/>
      <c r="J1360" s="147" t="str">
        <f>IFERROR(__xludf.DUMMYFUNCTION("IF(ISBLANK(A1360),IFERROR(1/0),IF(COUNT(FILTER(F:F,A:A=A1360))&gt;1,TRUNC(N1360*F1360/SUM(FILTER(N:N,A:A=A1360)),3),F1360))"),"")</f>
        <v/>
      </c>
      <c r="K1360" s="147" t="str">
        <f>IFERROR(__xludf.DUMMYFUNCTION("IF(ISBLANK(A1360),IFERROR(1/0),IF(COUNT(FILTER(G:G,((A:A=A1360)*(B:B=""V""))))&gt;1,TRUNC(N1360*G1360/SUM(FILTER(N:N,((A:A=A1360)*(B:B=""V"")))),3),G1360))"),"")</f>
        <v/>
      </c>
      <c r="L1360" s="148" t="str">
        <f>IFERROR(__xludf.DUMMYFUNCTION("if($C1360="""","""",iferror(if(row()&lt;&gt;2,INDEX(arrayformula(filter($M$2:$M1359,$C$2:$C1359&lt;&gt;"""",row($C$2:$C1359)=max(if($C$2:$C1359=C1360,row($C$2:$C1359),0)))) ,1),0),0))"),"")</f>
        <v/>
      </c>
      <c r="M1360" s="148" t="str">
        <f t="shared" si="1"/>
        <v/>
      </c>
      <c r="N1360" s="147" t="str">
        <f t="shared" si="2"/>
        <v/>
      </c>
      <c r="O1360" s="147" t="str">
        <f t="shared" si="21"/>
        <v/>
      </c>
      <c r="P1360" s="147" t="str">
        <f>IFERROR(__xludf.DUMMYFUNCTION("if(C1360="""","""",iferror(if(row()&lt;&gt;2,INDEX(arrayformula(filter($Q$2:$Q1359,$C$2:$C1359&lt;&gt;"""",row($C$2:$C1359)=max(if($C$2:$C1359=C1360,row($C$2:$C1359),0)))) ,1),0),0))"),"")</f>
        <v/>
      </c>
      <c r="Q1360" s="147" t="str">
        <f t="shared" si="22"/>
        <v/>
      </c>
      <c r="R1360" s="147" t="str">
        <f t="shared" si="23"/>
        <v/>
      </c>
      <c r="S1360" s="147" t="str">
        <f t="shared" si="24"/>
        <v/>
      </c>
      <c r="T1360" s="147" t="str">
        <f t="shared" si="7"/>
        <v/>
      </c>
      <c r="U1360" s="150" t="str">
        <f t="shared" si="8"/>
        <v/>
      </c>
      <c r="V1360" s="151" t="str">
        <f>IFERROR(VLOOKUP(C1360,Ativos!$A$1:$G2000,5,),)</f>
        <v/>
      </c>
    </row>
    <row r="1361" ht="21.0" customHeight="1">
      <c r="A1361" s="152"/>
      <c r="B1361" s="160"/>
      <c r="C1361" s="153"/>
      <c r="D1361" s="154"/>
      <c r="E1361" s="139"/>
      <c r="F1361" s="139"/>
      <c r="G1361" s="139"/>
      <c r="H1361" s="135"/>
      <c r="I1361" s="141"/>
      <c r="J1361" s="147" t="str">
        <f>IFERROR(__xludf.DUMMYFUNCTION("IF(ISBLANK(A1361),IFERROR(1/0),IF(COUNT(FILTER(F:F,A:A=A1361))&gt;1,TRUNC(N1361*F1361/SUM(FILTER(N:N,A:A=A1361)),3),F1361))"),"")</f>
        <v/>
      </c>
      <c r="K1361" s="147" t="str">
        <f>IFERROR(__xludf.DUMMYFUNCTION("IF(ISBLANK(A1361),IFERROR(1/0),IF(COUNT(FILTER(G:G,((A:A=A1361)*(B:B=""V""))))&gt;1,TRUNC(N1361*G1361/SUM(FILTER(N:N,((A:A=A1361)*(B:B=""V"")))),3),G1361))"),"")</f>
        <v/>
      </c>
      <c r="L1361" s="148" t="str">
        <f>IFERROR(__xludf.DUMMYFUNCTION("if($C1361="""","""",iferror(if(row()&lt;&gt;2,INDEX(arrayformula(filter($M$2:$M1360,$C$2:$C1360&lt;&gt;"""",row($C$2:$C1360)=max(if($C$2:$C1360=C1361,row($C$2:$C1360),0)))) ,1),0),0))"),"")</f>
        <v/>
      </c>
      <c r="M1361" s="148" t="str">
        <f t="shared" si="1"/>
        <v/>
      </c>
      <c r="N1361" s="147" t="str">
        <f t="shared" si="2"/>
        <v/>
      </c>
      <c r="O1361" s="147" t="str">
        <f t="shared" si="21"/>
        <v/>
      </c>
      <c r="P1361" s="147" t="str">
        <f>IFERROR(__xludf.DUMMYFUNCTION("if(C1361="""","""",iferror(if(row()&lt;&gt;2,INDEX(arrayformula(filter($Q$2:$Q1360,$C$2:$C1360&lt;&gt;"""",row($C$2:$C1360)=max(if($C$2:$C1360=C1361,row($C$2:$C1360),0)))) ,1),0),0))"),"")</f>
        <v/>
      </c>
      <c r="Q1361" s="147" t="str">
        <f t="shared" si="22"/>
        <v/>
      </c>
      <c r="R1361" s="147" t="str">
        <f t="shared" si="23"/>
        <v/>
      </c>
      <c r="S1361" s="147" t="str">
        <f t="shared" si="24"/>
        <v/>
      </c>
      <c r="T1361" s="147" t="str">
        <f t="shared" si="7"/>
        <v/>
      </c>
      <c r="U1361" s="150" t="str">
        <f t="shared" si="8"/>
        <v/>
      </c>
      <c r="V1361" s="151" t="str">
        <f>IFERROR(VLOOKUP(C1361,Ativos!$A$1:$G2000,5,),)</f>
        <v/>
      </c>
    </row>
    <row r="1362" ht="21.0" customHeight="1">
      <c r="A1362" s="152"/>
      <c r="B1362" s="160"/>
      <c r="C1362" s="153"/>
      <c r="D1362" s="154"/>
      <c r="E1362" s="139"/>
      <c r="F1362" s="139"/>
      <c r="G1362" s="139"/>
      <c r="H1362" s="135"/>
      <c r="I1362" s="141"/>
      <c r="J1362" s="147" t="str">
        <f>IFERROR(__xludf.DUMMYFUNCTION("IF(ISBLANK(A1362),IFERROR(1/0),IF(COUNT(FILTER(F:F,A:A=A1362))&gt;1,TRUNC(N1362*F1362/SUM(FILTER(N:N,A:A=A1362)),3),F1362))"),"")</f>
        <v/>
      </c>
      <c r="K1362" s="147" t="str">
        <f>IFERROR(__xludf.DUMMYFUNCTION("IF(ISBLANK(A1362),IFERROR(1/0),IF(COUNT(FILTER(G:G,((A:A=A1362)*(B:B=""V""))))&gt;1,TRUNC(N1362*G1362/SUM(FILTER(N:N,((A:A=A1362)*(B:B=""V"")))),3),G1362))"),"")</f>
        <v/>
      </c>
      <c r="L1362" s="148" t="str">
        <f>IFERROR(__xludf.DUMMYFUNCTION("if($C1362="""","""",iferror(if(row()&lt;&gt;2,INDEX(arrayformula(filter($M$2:$M1361,$C$2:$C1361&lt;&gt;"""",row($C$2:$C1361)=max(if($C$2:$C1361=C1362,row($C$2:$C1361),0)))) ,1),0),0))"),"")</f>
        <v/>
      </c>
      <c r="M1362" s="148" t="str">
        <f t="shared" si="1"/>
        <v/>
      </c>
      <c r="N1362" s="147" t="str">
        <f t="shared" si="2"/>
        <v/>
      </c>
      <c r="O1362" s="147" t="str">
        <f t="shared" si="21"/>
        <v/>
      </c>
      <c r="P1362" s="147" t="str">
        <f>IFERROR(__xludf.DUMMYFUNCTION("if(C1362="""","""",iferror(if(row()&lt;&gt;2,INDEX(arrayformula(filter($Q$2:$Q1361,$C$2:$C1361&lt;&gt;"""",row($C$2:$C1361)=max(if($C$2:$C1361=C1362,row($C$2:$C1361),0)))) ,1),0),0))"),"")</f>
        <v/>
      </c>
      <c r="Q1362" s="147" t="str">
        <f t="shared" si="22"/>
        <v/>
      </c>
      <c r="R1362" s="147" t="str">
        <f t="shared" si="23"/>
        <v/>
      </c>
      <c r="S1362" s="147" t="str">
        <f t="shared" si="24"/>
        <v/>
      </c>
      <c r="T1362" s="147" t="str">
        <f t="shared" si="7"/>
        <v/>
      </c>
      <c r="U1362" s="150" t="str">
        <f t="shared" si="8"/>
        <v/>
      </c>
      <c r="V1362" s="151" t="str">
        <f>IFERROR(VLOOKUP(C1362,Ativos!$A$1:$G2000,5,),)</f>
        <v/>
      </c>
    </row>
    <row r="1363" ht="21.0" customHeight="1">
      <c r="A1363" s="152"/>
      <c r="B1363" s="160"/>
      <c r="C1363" s="153"/>
      <c r="D1363" s="154"/>
      <c r="E1363" s="139"/>
      <c r="F1363" s="139"/>
      <c r="G1363" s="139"/>
      <c r="H1363" s="135"/>
      <c r="I1363" s="141"/>
      <c r="J1363" s="147" t="str">
        <f>IFERROR(__xludf.DUMMYFUNCTION("IF(ISBLANK(A1363),IFERROR(1/0),IF(COUNT(FILTER(F:F,A:A=A1363))&gt;1,TRUNC(N1363*F1363/SUM(FILTER(N:N,A:A=A1363)),3),F1363))"),"")</f>
        <v/>
      </c>
      <c r="K1363" s="147" t="str">
        <f>IFERROR(__xludf.DUMMYFUNCTION("IF(ISBLANK(A1363),IFERROR(1/0),IF(COUNT(FILTER(G:G,((A:A=A1363)*(B:B=""V""))))&gt;1,TRUNC(N1363*G1363/SUM(FILTER(N:N,((A:A=A1363)*(B:B=""V"")))),3),G1363))"),"")</f>
        <v/>
      </c>
      <c r="L1363" s="148" t="str">
        <f>IFERROR(__xludf.DUMMYFUNCTION("if($C1363="""","""",iferror(if(row()&lt;&gt;2,INDEX(arrayformula(filter($M$2:$M1362,$C$2:$C1362&lt;&gt;"""",row($C$2:$C1362)=max(if($C$2:$C1362=C1363,row($C$2:$C1362),0)))) ,1),0),0))"),"")</f>
        <v/>
      </c>
      <c r="M1363" s="148" t="str">
        <f t="shared" si="1"/>
        <v/>
      </c>
      <c r="N1363" s="147" t="str">
        <f t="shared" si="2"/>
        <v/>
      </c>
      <c r="O1363" s="147" t="str">
        <f t="shared" si="21"/>
        <v/>
      </c>
      <c r="P1363" s="147" t="str">
        <f>IFERROR(__xludf.DUMMYFUNCTION("if(C1363="""","""",iferror(if(row()&lt;&gt;2,INDEX(arrayformula(filter($Q$2:$Q1362,$C$2:$C1362&lt;&gt;"""",row($C$2:$C1362)=max(if($C$2:$C1362=C1363,row($C$2:$C1362),0)))) ,1),0),0))"),"")</f>
        <v/>
      </c>
      <c r="Q1363" s="147" t="str">
        <f t="shared" si="22"/>
        <v/>
      </c>
      <c r="R1363" s="147" t="str">
        <f t="shared" si="23"/>
        <v/>
      </c>
      <c r="S1363" s="147" t="str">
        <f t="shared" si="24"/>
        <v/>
      </c>
      <c r="T1363" s="147" t="str">
        <f t="shared" si="7"/>
        <v/>
      </c>
      <c r="U1363" s="150" t="str">
        <f t="shared" si="8"/>
        <v/>
      </c>
      <c r="V1363" s="151" t="str">
        <f>IFERROR(VLOOKUP(C1363,Ativos!$A$1:$G2000,5,),)</f>
        <v/>
      </c>
    </row>
    <row r="1364" ht="21.0" customHeight="1">
      <c r="A1364" s="152"/>
      <c r="B1364" s="160"/>
      <c r="C1364" s="153"/>
      <c r="D1364" s="154"/>
      <c r="E1364" s="139"/>
      <c r="F1364" s="139"/>
      <c r="G1364" s="139"/>
      <c r="H1364" s="135"/>
      <c r="I1364" s="141"/>
      <c r="J1364" s="147" t="str">
        <f>IFERROR(__xludf.DUMMYFUNCTION("IF(ISBLANK(A1364),IFERROR(1/0),IF(COUNT(FILTER(F:F,A:A=A1364))&gt;1,TRUNC(N1364*F1364/SUM(FILTER(N:N,A:A=A1364)),3),F1364))"),"")</f>
        <v/>
      </c>
      <c r="K1364" s="147" t="str">
        <f>IFERROR(__xludf.DUMMYFUNCTION("IF(ISBLANK(A1364),IFERROR(1/0),IF(COUNT(FILTER(G:G,((A:A=A1364)*(B:B=""V""))))&gt;1,TRUNC(N1364*G1364/SUM(FILTER(N:N,((A:A=A1364)*(B:B=""V"")))),3),G1364))"),"")</f>
        <v/>
      </c>
      <c r="L1364" s="148" t="str">
        <f>IFERROR(__xludf.DUMMYFUNCTION("if($C1364="""","""",iferror(if(row()&lt;&gt;2,INDEX(arrayformula(filter($M$2:$M1363,$C$2:$C1363&lt;&gt;"""",row($C$2:$C1363)=max(if($C$2:$C1363=C1364,row($C$2:$C1363),0)))) ,1),0),0))"),"")</f>
        <v/>
      </c>
      <c r="M1364" s="148" t="str">
        <f t="shared" si="1"/>
        <v/>
      </c>
      <c r="N1364" s="147" t="str">
        <f t="shared" si="2"/>
        <v/>
      </c>
      <c r="O1364" s="147" t="str">
        <f t="shared" si="21"/>
        <v/>
      </c>
      <c r="P1364" s="147" t="str">
        <f>IFERROR(__xludf.DUMMYFUNCTION("if(C1364="""","""",iferror(if(row()&lt;&gt;2,INDEX(arrayformula(filter($Q$2:$Q1363,$C$2:$C1363&lt;&gt;"""",row($C$2:$C1363)=max(if($C$2:$C1363=C1364,row($C$2:$C1363),0)))) ,1),0),0))"),"")</f>
        <v/>
      </c>
      <c r="Q1364" s="147" t="str">
        <f t="shared" si="22"/>
        <v/>
      </c>
      <c r="R1364" s="147" t="str">
        <f t="shared" si="23"/>
        <v/>
      </c>
      <c r="S1364" s="147" t="str">
        <f t="shared" si="24"/>
        <v/>
      </c>
      <c r="T1364" s="147" t="str">
        <f t="shared" si="7"/>
        <v/>
      </c>
      <c r="U1364" s="150" t="str">
        <f t="shared" si="8"/>
        <v/>
      </c>
      <c r="V1364" s="151" t="str">
        <f>IFERROR(VLOOKUP(C1364,Ativos!$A$1:$G2000,5,),)</f>
        <v/>
      </c>
    </row>
    <row r="1365" ht="21.0" customHeight="1">
      <c r="A1365" s="152"/>
      <c r="B1365" s="160"/>
      <c r="C1365" s="153"/>
      <c r="D1365" s="154"/>
      <c r="E1365" s="139"/>
      <c r="F1365" s="139"/>
      <c r="G1365" s="139"/>
      <c r="H1365" s="135"/>
      <c r="I1365" s="141"/>
      <c r="J1365" s="147" t="str">
        <f>IFERROR(__xludf.DUMMYFUNCTION("IF(ISBLANK(A1365),IFERROR(1/0),IF(COUNT(FILTER(F:F,A:A=A1365))&gt;1,TRUNC(N1365*F1365/SUM(FILTER(N:N,A:A=A1365)),3),F1365))"),"")</f>
        <v/>
      </c>
      <c r="K1365" s="147" t="str">
        <f>IFERROR(__xludf.DUMMYFUNCTION("IF(ISBLANK(A1365),IFERROR(1/0),IF(COUNT(FILTER(G:G,((A:A=A1365)*(B:B=""V""))))&gt;1,TRUNC(N1365*G1365/SUM(FILTER(N:N,((A:A=A1365)*(B:B=""V"")))),3),G1365))"),"")</f>
        <v/>
      </c>
      <c r="L1365" s="148" t="str">
        <f>IFERROR(__xludf.DUMMYFUNCTION("if($C1365="""","""",iferror(if(row()&lt;&gt;2,INDEX(arrayformula(filter($M$2:$M1364,$C$2:$C1364&lt;&gt;"""",row($C$2:$C1364)=max(if($C$2:$C1364=C1365,row($C$2:$C1364),0)))) ,1),0),0))"),"")</f>
        <v/>
      </c>
      <c r="M1365" s="148" t="str">
        <f t="shared" si="1"/>
        <v/>
      </c>
      <c r="N1365" s="147" t="str">
        <f t="shared" si="2"/>
        <v/>
      </c>
      <c r="O1365" s="147" t="str">
        <f t="shared" si="21"/>
        <v/>
      </c>
      <c r="P1365" s="147" t="str">
        <f>IFERROR(__xludf.DUMMYFUNCTION("if(C1365="""","""",iferror(if(row()&lt;&gt;2,INDEX(arrayformula(filter($Q$2:$Q1364,$C$2:$C1364&lt;&gt;"""",row($C$2:$C1364)=max(if($C$2:$C1364=C1365,row($C$2:$C1364),0)))) ,1),0),0))"),"")</f>
        <v/>
      </c>
      <c r="Q1365" s="147" t="str">
        <f t="shared" si="22"/>
        <v/>
      </c>
      <c r="R1365" s="147" t="str">
        <f t="shared" si="23"/>
        <v/>
      </c>
      <c r="S1365" s="147" t="str">
        <f t="shared" si="24"/>
        <v/>
      </c>
      <c r="T1365" s="147" t="str">
        <f t="shared" si="7"/>
        <v/>
      </c>
      <c r="U1365" s="150" t="str">
        <f t="shared" si="8"/>
        <v/>
      </c>
      <c r="V1365" s="151" t="str">
        <f>IFERROR(VLOOKUP(C1365,Ativos!$A$1:$G2000,5,),)</f>
        <v/>
      </c>
    </row>
    <row r="1366" ht="21.0" customHeight="1">
      <c r="A1366" s="152"/>
      <c r="B1366" s="160"/>
      <c r="C1366" s="153"/>
      <c r="D1366" s="154"/>
      <c r="E1366" s="139"/>
      <c r="F1366" s="139"/>
      <c r="G1366" s="139"/>
      <c r="H1366" s="135"/>
      <c r="I1366" s="141"/>
      <c r="J1366" s="147" t="str">
        <f>IFERROR(__xludf.DUMMYFUNCTION("IF(ISBLANK(A1366),IFERROR(1/0),IF(COUNT(FILTER(F:F,A:A=A1366))&gt;1,TRUNC(N1366*F1366/SUM(FILTER(N:N,A:A=A1366)),3),F1366))"),"")</f>
        <v/>
      </c>
      <c r="K1366" s="147" t="str">
        <f>IFERROR(__xludf.DUMMYFUNCTION("IF(ISBLANK(A1366),IFERROR(1/0),IF(COUNT(FILTER(G:G,((A:A=A1366)*(B:B=""V""))))&gt;1,TRUNC(N1366*G1366/SUM(FILTER(N:N,((A:A=A1366)*(B:B=""V"")))),3),G1366))"),"")</f>
        <v/>
      </c>
      <c r="L1366" s="148" t="str">
        <f>IFERROR(__xludf.DUMMYFUNCTION("if($C1366="""","""",iferror(if(row()&lt;&gt;2,INDEX(arrayformula(filter($M$2:$M1365,$C$2:$C1365&lt;&gt;"""",row($C$2:$C1365)=max(if($C$2:$C1365=C1366,row($C$2:$C1365),0)))) ,1),0),0))"),"")</f>
        <v/>
      </c>
      <c r="M1366" s="148" t="str">
        <f t="shared" si="1"/>
        <v/>
      </c>
      <c r="N1366" s="147" t="str">
        <f t="shared" si="2"/>
        <v/>
      </c>
      <c r="O1366" s="147" t="str">
        <f t="shared" si="21"/>
        <v/>
      </c>
      <c r="P1366" s="147" t="str">
        <f>IFERROR(__xludf.DUMMYFUNCTION("if(C1366="""","""",iferror(if(row()&lt;&gt;2,INDEX(arrayformula(filter($Q$2:$Q1365,$C$2:$C1365&lt;&gt;"""",row($C$2:$C1365)=max(if($C$2:$C1365=C1366,row($C$2:$C1365),0)))) ,1),0),0))"),"")</f>
        <v/>
      </c>
      <c r="Q1366" s="147" t="str">
        <f t="shared" si="22"/>
        <v/>
      </c>
      <c r="R1366" s="147" t="str">
        <f t="shared" si="23"/>
        <v/>
      </c>
      <c r="S1366" s="147" t="str">
        <f t="shared" si="24"/>
        <v/>
      </c>
      <c r="T1366" s="147" t="str">
        <f t="shared" si="7"/>
        <v/>
      </c>
      <c r="U1366" s="150" t="str">
        <f t="shared" si="8"/>
        <v/>
      </c>
      <c r="V1366" s="151" t="str">
        <f>IFERROR(VLOOKUP(C1366,Ativos!$A$1:$G2000,5,),)</f>
        <v/>
      </c>
    </row>
    <row r="1367" ht="21.0" customHeight="1">
      <c r="A1367" s="152"/>
      <c r="B1367" s="160"/>
      <c r="C1367" s="153"/>
      <c r="D1367" s="154"/>
      <c r="E1367" s="139"/>
      <c r="F1367" s="139"/>
      <c r="G1367" s="139"/>
      <c r="H1367" s="135"/>
      <c r="I1367" s="141"/>
      <c r="J1367" s="147" t="str">
        <f>IFERROR(__xludf.DUMMYFUNCTION("IF(ISBLANK(A1367),IFERROR(1/0),IF(COUNT(FILTER(F:F,A:A=A1367))&gt;1,TRUNC(N1367*F1367/SUM(FILTER(N:N,A:A=A1367)),3),F1367))"),"")</f>
        <v/>
      </c>
      <c r="K1367" s="147" t="str">
        <f>IFERROR(__xludf.DUMMYFUNCTION("IF(ISBLANK(A1367),IFERROR(1/0),IF(COUNT(FILTER(G:G,((A:A=A1367)*(B:B=""V""))))&gt;1,TRUNC(N1367*G1367/SUM(FILTER(N:N,((A:A=A1367)*(B:B=""V"")))),3),G1367))"),"")</f>
        <v/>
      </c>
      <c r="L1367" s="148" t="str">
        <f>IFERROR(__xludf.DUMMYFUNCTION("if($C1367="""","""",iferror(if(row()&lt;&gt;2,INDEX(arrayformula(filter($M$2:$M1366,$C$2:$C1366&lt;&gt;"""",row($C$2:$C1366)=max(if($C$2:$C1366=C1367,row($C$2:$C1366),0)))) ,1),0),0))"),"")</f>
        <v/>
      </c>
      <c r="M1367" s="148" t="str">
        <f t="shared" si="1"/>
        <v/>
      </c>
      <c r="N1367" s="147" t="str">
        <f t="shared" si="2"/>
        <v/>
      </c>
      <c r="O1367" s="147" t="str">
        <f t="shared" si="21"/>
        <v/>
      </c>
      <c r="P1367" s="147" t="str">
        <f>IFERROR(__xludf.DUMMYFUNCTION("if(C1367="""","""",iferror(if(row()&lt;&gt;2,INDEX(arrayformula(filter($Q$2:$Q1366,$C$2:$C1366&lt;&gt;"""",row($C$2:$C1366)=max(if($C$2:$C1366=C1367,row($C$2:$C1366),0)))) ,1),0),0))"),"")</f>
        <v/>
      </c>
      <c r="Q1367" s="147" t="str">
        <f t="shared" si="22"/>
        <v/>
      </c>
      <c r="R1367" s="147" t="str">
        <f t="shared" si="23"/>
        <v/>
      </c>
      <c r="S1367" s="147" t="str">
        <f t="shared" si="24"/>
        <v/>
      </c>
      <c r="T1367" s="147" t="str">
        <f t="shared" si="7"/>
        <v/>
      </c>
      <c r="U1367" s="150" t="str">
        <f t="shared" si="8"/>
        <v/>
      </c>
      <c r="V1367" s="151" t="str">
        <f>IFERROR(VLOOKUP(C1367,Ativos!$A$1:$G2000,5,),)</f>
        <v/>
      </c>
    </row>
    <row r="1368" ht="21.0" customHeight="1">
      <c r="A1368" s="152"/>
      <c r="B1368" s="160"/>
      <c r="C1368" s="153"/>
      <c r="D1368" s="154"/>
      <c r="E1368" s="139"/>
      <c r="F1368" s="139"/>
      <c r="G1368" s="139"/>
      <c r="H1368" s="135"/>
      <c r="I1368" s="141"/>
      <c r="J1368" s="147" t="str">
        <f>IFERROR(__xludf.DUMMYFUNCTION("IF(ISBLANK(A1368),IFERROR(1/0),IF(COUNT(FILTER(F:F,A:A=A1368))&gt;1,TRUNC(N1368*F1368/SUM(FILTER(N:N,A:A=A1368)),3),F1368))"),"")</f>
        <v/>
      </c>
      <c r="K1368" s="147" t="str">
        <f>IFERROR(__xludf.DUMMYFUNCTION("IF(ISBLANK(A1368),IFERROR(1/0),IF(COUNT(FILTER(G:G,((A:A=A1368)*(B:B=""V""))))&gt;1,TRUNC(N1368*G1368/SUM(FILTER(N:N,((A:A=A1368)*(B:B=""V"")))),3),G1368))"),"")</f>
        <v/>
      </c>
      <c r="L1368" s="148" t="str">
        <f>IFERROR(__xludf.DUMMYFUNCTION("if($C1368="""","""",iferror(if(row()&lt;&gt;2,INDEX(arrayformula(filter($M$2:$M1367,$C$2:$C1367&lt;&gt;"""",row($C$2:$C1367)=max(if($C$2:$C1367=C1368,row($C$2:$C1367),0)))) ,1),0),0))"),"")</f>
        <v/>
      </c>
      <c r="M1368" s="148" t="str">
        <f t="shared" si="1"/>
        <v/>
      </c>
      <c r="N1368" s="147" t="str">
        <f t="shared" si="2"/>
        <v/>
      </c>
      <c r="O1368" s="147" t="str">
        <f t="shared" si="21"/>
        <v/>
      </c>
      <c r="P1368" s="147" t="str">
        <f>IFERROR(__xludf.DUMMYFUNCTION("if(C1368="""","""",iferror(if(row()&lt;&gt;2,INDEX(arrayformula(filter($Q$2:$Q1367,$C$2:$C1367&lt;&gt;"""",row($C$2:$C1367)=max(if($C$2:$C1367=C1368,row($C$2:$C1367),0)))) ,1),0),0))"),"")</f>
        <v/>
      </c>
      <c r="Q1368" s="147" t="str">
        <f t="shared" si="22"/>
        <v/>
      </c>
      <c r="R1368" s="147" t="str">
        <f t="shared" si="23"/>
        <v/>
      </c>
      <c r="S1368" s="147" t="str">
        <f t="shared" si="24"/>
        <v/>
      </c>
      <c r="T1368" s="147" t="str">
        <f t="shared" si="7"/>
        <v/>
      </c>
      <c r="U1368" s="150" t="str">
        <f t="shared" si="8"/>
        <v/>
      </c>
      <c r="V1368" s="151" t="str">
        <f>IFERROR(VLOOKUP(C1368,Ativos!$A$1:$G2000,5,),)</f>
        <v/>
      </c>
    </row>
    <row r="1369" ht="21.0" customHeight="1">
      <c r="A1369" s="152"/>
      <c r="B1369" s="160"/>
      <c r="C1369" s="153"/>
      <c r="D1369" s="154"/>
      <c r="E1369" s="139"/>
      <c r="F1369" s="139"/>
      <c r="G1369" s="139"/>
      <c r="H1369" s="135"/>
      <c r="I1369" s="141"/>
      <c r="J1369" s="147" t="str">
        <f>IFERROR(__xludf.DUMMYFUNCTION("IF(ISBLANK(A1369),IFERROR(1/0),IF(COUNT(FILTER(F:F,A:A=A1369))&gt;1,TRUNC(N1369*F1369/SUM(FILTER(N:N,A:A=A1369)),3),F1369))"),"")</f>
        <v/>
      </c>
      <c r="K1369" s="147" t="str">
        <f>IFERROR(__xludf.DUMMYFUNCTION("IF(ISBLANK(A1369),IFERROR(1/0),IF(COUNT(FILTER(G:G,((A:A=A1369)*(B:B=""V""))))&gt;1,TRUNC(N1369*G1369/SUM(FILTER(N:N,((A:A=A1369)*(B:B=""V"")))),3),G1369))"),"")</f>
        <v/>
      </c>
      <c r="L1369" s="148" t="str">
        <f>IFERROR(__xludf.DUMMYFUNCTION("if($C1369="""","""",iferror(if(row()&lt;&gt;2,INDEX(arrayformula(filter($M$2:$M1368,$C$2:$C1368&lt;&gt;"""",row($C$2:$C1368)=max(if($C$2:$C1368=C1369,row($C$2:$C1368),0)))) ,1),0),0))"),"")</f>
        <v/>
      </c>
      <c r="M1369" s="148" t="str">
        <f t="shared" si="1"/>
        <v/>
      </c>
      <c r="N1369" s="147" t="str">
        <f t="shared" si="2"/>
        <v/>
      </c>
      <c r="O1369" s="147" t="str">
        <f t="shared" si="21"/>
        <v/>
      </c>
      <c r="P1369" s="147" t="str">
        <f>IFERROR(__xludf.DUMMYFUNCTION("if(C1369="""","""",iferror(if(row()&lt;&gt;2,INDEX(arrayformula(filter($Q$2:$Q1368,$C$2:$C1368&lt;&gt;"""",row($C$2:$C1368)=max(if($C$2:$C1368=C1369,row($C$2:$C1368),0)))) ,1),0),0))"),"")</f>
        <v/>
      </c>
      <c r="Q1369" s="147" t="str">
        <f t="shared" si="22"/>
        <v/>
      </c>
      <c r="R1369" s="147" t="str">
        <f t="shared" si="23"/>
        <v/>
      </c>
      <c r="S1369" s="147" t="str">
        <f t="shared" si="24"/>
        <v/>
      </c>
      <c r="T1369" s="147" t="str">
        <f t="shared" si="7"/>
        <v/>
      </c>
      <c r="U1369" s="150" t="str">
        <f t="shared" si="8"/>
        <v/>
      </c>
      <c r="V1369" s="151" t="str">
        <f>IFERROR(VLOOKUP(C1369,Ativos!$A$1:$G2000,5,),)</f>
        <v/>
      </c>
    </row>
    <row r="1370" ht="21.0" customHeight="1">
      <c r="A1370" s="152"/>
      <c r="B1370" s="160"/>
      <c r="C1370" s="153"/>
      <c r="D1370" s="154"/>
      <c r="E1370" s="139"/>
      <c r="F1370" s="139"/>
      <c r="G1370" s="139"/>
      <c r="H1370" s="135"/>
      <c r="I1370" s="141"/>
      <c r="J1370" s="147" t="str">
        <f>IFERROR(__xludf.DUMMYFUNCTION("IF(ISBLANK(A1370),IFERROR(1/0),IF(COUNT(FILTER(F:F,A:A=A1370))&gt;1,TRUNC(N1370*F1370/SUM(FILTER(N:N,A:A=A1370)),3),F1370))"),"")</f>
        <v/>
      </c>
      <c r="K1370" s="147" t="str">
        <f>IFERROR(__xludf.DUMMYFUNCTION("IF(ISBLANK(A1370),IFERROR(1/0),IF(COUNT(FILTER(G:G,((A:A=A1370)*(B:B=""V""))))&gt;1,TRUNC(N1370*G1370/SUM(FILTER(N:N,((A:A=A1370)*(B:B=""V"")))),3),G1370))"),"")</f>
        <v/>
      </c>
      <c r="L1370" s="148" t="str">
        <f>IFERROR(__xludf.DUMMYFUNCTION("if($C1370="""","""",iferror(if(row()&lt;&gt;2,INDEX(arrayformula(filter($M$2:$M1369,$C$2:$C1369&lt;&gt;"""",row($C$2:$C1369)=max(if($C$2:$C1369=C1370,row($C$2:$C1369),0)))) ,1),0),0))"),"")</f>
        <v/>
      </c>
      <c r="M1370" s="148" t="str">
        <f t="shared" si="1"/>
        <v/>
      </c>
      <c r="N1370" s="147" t="str">
        <f t="shared" si="2"/>
        <v/>
      </c>
      <c r="O1370" s="147" t="str">
        <f t="shared" si="21"/>
        <v/>
      </c>
      <c r="P1370" s="147" t="str">
        <f>IFERROR(__xludf.DUMMYFUNCTION("if(C1370="""","""",iferror(if(row()&lt;&gt;2,INDEX(arrayformula(filter($Q$2:$Q1369,$C$2:$C1369&lt;&gt;"""",row($C$2:$C1369)=max(if($C$2:$C1369=C1370,row($C$2:$C1369),0)))) ,1),0),0))"),"")</f>
        <v/>
      </c>
      <c r="Q1370" s="147" t="str">
        <f t="shared" si="22"/>
        <v/>
      </c>
      <c r="R1370" s="147" t="str">
        <f t="shared" si="23"/>
        <v/>
      </c>
      <c r="S1370" s="147" t="str">
        <f t="shared" si="24"/>
        <v/>
      </c>
      <c r="T1370" s="147" t="str">
        <f t="shared" si="7"/>
        <v/>
      </c>
      <c r="U1370" s="150" t="str">
        <f t="shared" si="8"/>
        <v/>
      </c>
      <c r="V1370" s="151" t="str">
        <f>IFERROR(VLOOKUP(C1370,Ativos!$A$1:$G2000,5,),)</f>
        <v/>
      </c>
    </row>
    <row r="1371" ht="21.0" customHeight="1">
      <c r="A1371" s="152"/>
      <c r="B1371" s="160"/>
      <c r="C1371" s="153"/>
      <c r="D1371" s="154"/>
      <c r="E1371" s="139"/>
      <c r="F1371" s="139"/>
      <c r="G1371" s="139"/>
      <c r="H1371" s="135"/>
      <c r="I1371" s="141"/>
      <c r="J1371" s="147" t="str">
        <f>IFERROR(__xludf.DUMMYFUNCTION("IF(ISBLANK(A1371),IFERROR(1/0),IF(COUNT(FILTER(F:F,A:A=A1371))&gt;1,TRUNC(N1371*F1371/SUM(FILTER(N:N,A:A=A1371)),3),F1371))"),"")</f>
        <v/>
      </c>
      <c r="K1371" s="147" t="str">
        <f>IFERROR(__xludf.DUMMYFUNCTION("IF(ISBLANK(A1371),IFERROR(1/0),IF(COUNT(FILTER(G:G,((A:A=A1371)*(B:B=""V""))))&gt;1,TRUNC(N1371*G1371/SUM(FILTER(N:N,((A:A=A1371)*(B:B=""V"")))),3),G1371))"),"")</f>
        <v/>
      </c>
      <c r="L1371" s="148" t="str">
        <f>IFERROR(__xludf.DUMMYFUNCTION("if($C1371="""","""",iferror(if(row()&lt;&gt;2,INDEX(arrayformula(filter($M$2:$M1370,$C$2:$C1370&lt;&gt;"""",row($C$2:$C1370)=max(if($C$2:$C1370=C1371,row($C$2:$C1370),0)))) ,1),0),0))"),"")</f>
        <v/>
      </c>
      <c r="M1371" s="148" t="str">
        <f t="shared" si="1"/>
        <v/>
      </c>
      <c r="N1371" s="147" t="str">
        <f t="shared" si="2"/>
        <v/>
      </c>
      <c r="O1371" s="147" t="str">
        <f t="shared" si="21"/>
        <v/>
      </c>
      <c r="P1371" s="147" t="str">
        <f>IFERROR(__xludf.DUMMYFUNCTION("if(C1371="""","""",iferror(if(row()&lt;&gt;2,INDEX(arrayformula(filter($Q$2:$Q1370,$C$2:$C1370&lt;&gt;"""",row($C$2:$C1370)=max(if($C$2:$C1370=C1371,row($C$2:$C1370),0)))) ,1),0),0))"),"")</f>
        <v/>
      </c>
      <c r="Q1371" s="147" t="str">
        <f t="shared" si="22"/>
        <v/>
      </c>
      <c r="R1371" s="147" t="str">
        <f t="shared" si="23"/>
        <v/>
      </c>
      <c r="S1371" s="147" t="str">
        <f t="shared" si="24"/>
        <v/>
      </c>
      <c r="T1371" s="147" t="str">
        <f t="shared" si="7"/>
        <v/>
      </c>
      <c r="U1371" s="150" t="str">
        <f t="shared" si="8"/>
        <v/>
      </c>
      <c r="V1371" s="151" t="str">
        <f>IFERROR(VLOOKUP(C1371,Ativos!$A$1:$G2000,5,),)</f>
        <v/>
      </c>
    </row>
    <row r="1372" ht="21.0" customHeight="1">
      <c r="A1372" s="152"/>
      <c r="B1372" s="160"/>
      <c r="C1372" s="153"/>
      <c r="D1372" s="154"/>
      <c r="E1372" s="139"/>
      <c r="F1372" s="139"/>
      <c r="G1372" s="139"/>
      <c r="H1372" s="135"/>
      <c r="I1372" s="141"/>
      <c r="J1372" s="147" t="str">
        <f>IFERROR(__xludf.DUMMYFUNCTION("IF(ISBLANK(A1372),IFERROR(1/0),IF(COUNT(FILTER(F:F,A:A=A1372))&gt;1,TRUNC(N1372*F1372/SUM(FILTER(N:N,A:A=A1372)),3),F1372))"),"")</f>
        <v/>
      </c>
      <c r="K1372" s="147" t="str">
        <f>IFERROR(__xludf.DUMMYFUNCTION("IF(ISBLANK(A1372),IFERROR(1/0),IF(COUNT(FILTER(G:G,((A:A=A1372)*(B:B=""V""))))&gt;1,TRUNC(N1372*G1372/SUM(FILTER(N:N,((A:A=A1372)*(B:B=""V"")))),3),G1372))"),"")</f>
        <v/>
      </c>
      <c r="L1372" s="148" t="str">
        <f>IFERROR(__xludf.DUMMYFUNCTION("if($C1372="""","""",iferror(if(row()&lt;&gt;2,INDEX(arrayformula(filter($M$2:$M1371,$C$2:$C1371&lt;&gt;"""",row($C$2:$C1371)=max(if($C$2:$C1371=C1372,row($C$2:$C1371),0)))) ,1),0),0))"),"")</f>
        <v/>
      </c>
      <c r="M1372" s="148" t="str">
        <f t="shared" si="1"/>
        <v/>
      </c>
      <c r="N1372" s="147" t="str">
        <f t="shared" si="2"/>
        <v/>
      </c>
      <c r="O1372" s="147" t="str">
        <f t="shared" si="21"/>
        <v/>
      </c>
      <c r="P1372" s="147" t="str">
        <f>IFERROR(__xludf.DUMMYFUNCTION("if(C1372="""","""",iferror(if(row()&lt;&gt;2,INDEX(arrayformula(filter($Q$2:$Q1371,$C$2:$C1371&lt;&gt;"""",row($C$2:$C1371)=max(if($C$2:$C1371=C1372,row($C$2:$C1371),0)))) ,1),0),0))"),"")</f>
        <v/>
      </c>
      <c r="Q1372" s="147" t="str">
        <f t="shared" si="22"/>
        <v/>
      </c>
      <c r="R1372" s="147" t="str">
        <f t="shared" si="23"/>
        <v/>
      </c>
      <c r="S1372" s="147" t="str">
        <f t="shared" si="24"/>
        <v/>
      </c>
      <c r="T1372" s="147" t="str">
        <f t="shared" si="7"/>
        <v/>
      </c>
      <c r="U1372" s="150" t="str">
        <f t="shared" si="8"/>
        <v/>
      </c>
      <c r="V1372" s="151" t="str">
        <f>IFERROR(VLOOKUP(C1372,Ativos!$A$1:$G2000,5,),)</f>
        <v/>
      </c>
    </row>
    <row r="1373" ht="21.0" customHeight="1">
      <c r="A1373" s="152"/>
      <c r="B1373" s="160"/>
      <c r="C1373" s="153"/>
      <c r="D1373" s="154"/>
      <c r="E1373" s="139"/>
      <c r="F1373" s="139"/>
      <c r="G1373" s="139"/>
      <c r="H1373" s="135"/>
      <c r="I1373" s="141"/>
      <c r="J1373" s="147" t="str">
        <f>IFERROR(__xludf.DUMMYFUNCTION("IF(ISBLANK(A1373),IFERROR(1/0),IF(COUNT(FILTER(F:F,A:A=A1373))&gt;1,TRUNC(N1373*F1373/SUM(FILTER(N:N,A:A=A1373)),3),F1373))"),"")</f>
        <v/>
      </c>
      <c r="K1373" s="147" t="str">
        <f>IFERROR(__xludf.DUMMYFUNCTION("IF(ISBLANK(A1373),IFERROR(1/0),IF(COUNT(FILTER(G:G,((A:A=A1373)*(B:B=""V""))))&gt;1,TRUNC(N1373*G1373/SUM(FILTER(N:N,((A:A=A1373)*(B:B=""V"")))),3),G1373))"),"")</f>
        <v/>
      </c>
      <c r="L1373" s="148" t="str">
        <f>IFERROR(__xludf.DUMMYFUNCTION("if($C1373="""","""",iferror(if(row()&lt;&gt;2,INDEX(arrayformula(filter($M$2:$M1372,$C$2:$C1372&lt;&gt;"""",row($C$2:$C1372)=max(if($C$2:$C1372=C1373,row($C$2:$C1372),0)))) ,1),0),0))"),"")</f>
        <v/>
      </c>
      <c r="M1373" s="148" t="str">
        <f t="shared" si="1"/>
        <v/>
      </c>
      <c r="N1373" s="147" t="str">
        <f t="shared" si="2"/>
        <v/>
      </c>
      <c r="O1373" s="147" t="str">
        <f t="shared" si="21"/>
        <v/>
      </c>
      <c r="P1373" s="147" t="str">
        <f>IFERROR(__xludf.DUMMYFUNCTION("if(C1373="""","""",iferror(if(row()&lt;&gt;2,INDEX(arrayformula(filter($Q$2:$Q1372,$C$2:$C1372&lt;&gt;"""",row($C$2:$C1372)=max(if($C$2:$C1372=C1373,row($C$2:$C1372),0)))) ,1),0),0))"),"")</f>
        <v/>
      </c>
      <c r="Q1373" s="147" t="str">
        <f t="shared" si="22"/>
        <v/>
      </c>
      <c r="R1373" s="147" t="str">
        <f t="shared" si="23"/>
        <v/>
      </c>
      <c r="S1373" s="147" t="str">
        <f t="shared" si="24"/>
        <v/>
      </c>
      <c r="T1373" s="147" t="str">
        <f t="shared" si="7"/>
        <v/>
      </c>
      <c r="U1373" s="150" t="str">
        <f t="shared" si="8"/>
        <v/>
      </c>
      <c r="V1373" s="151" t="str">
        <f>IFERROR(VLOOKUP(C1373,Ativos!$A$1:$G2000,5,),)</f>
        <v/>
      </c>
    </row>
    <row r="1374" ht="21.0" customHeight="1">
      <c r="A1374" s="152"/>
      <c r="B1374" s="160"/>
      <c r="C1374" s="153"/>
      <c r="D1374" s="154"/>
      <c r="E1374" s="139"/>
      <c r="F1374" s="139"/>
      <c r="G1374" s="139"/>
      <c r="H1374" s="135"/>
      <c r="I1374" s="141"/>
      <c r="J1374" s="147" t="str">
        <f>IFERROR(__xludf.DUMMYFUNCTION("IF(ISBLANK(A1374),IFERROR(1/0),IF(COUNT(FILTER(F:F,A:A=A1374))&gt;1,TRUNC(N1374*F1374/SUM(FILTER(N:N,A:A=A1374)),3),F1374))"),"")</f>
        <v/>
      </c>
      <c r="K1374" s="147" t="str">
        <f>IFERROR(__xludf.DUMMYFUNCTION("IF(ISBLANK(A1374),IFERROR(1/0),IF(COUNT(FILTER(G:G,((A:A=A1374)*(B:B=""V""))))&gt;1,TRUNC(N1374*G1374/SUM(FILTER(N:N,((A:A=A1374)*(B:B=""V"")))),3),G1374))"),"")</f>
        <v/>
      </c>
      <c r="L1374" s="148" t="str">
        <f>IFERROR(__xludf.DUMMYFUNCTION("if($C1374="""","""",iferror(if(row()&lt;&gt;2,INDEX(arrayformula(filter($M$2:$M1373,$C$2:$C1373&lt;&gt;"""",row($C$2:$C1373)=max(if($C$2:$C1373=C1374,row($C$2:$C1373),0)))) ,1),0),0))"),"")</f>
        <v/>
      </c>
      <c r="M1374" s="148" t="str">
        <f t="shared" si="1"/>
        <v/>
      </c>
      <c r="N1374" s="147" t="str">
        <f t="shared" si="2"/>
        <v/>
      </c>
      <c r="O1374" s="147" t="str">
        <f t="shared" si="21"/>
        <v/>
      </c>
      <c r="P1374" s="147" t="str">
        <f>IFERROR(__xludf.DUMMYFUNCTION("if(C1374="""","""",iferror(if(row()&lt;&gt;2,INDEX(arrayformula(filter($Q$2:$Q1373,$C$2:$C1373&lt;&gt;"""",row($C$2:$C1373)=max(if($C$2:$C1373=C1374,row($C$2:$C1373),0)))) ,1),0),0))"),"")</f>
        <v/>
      </c>
      <c r="Q1374" s="147" t="str">
        <f t="shared" si="22"/>
        <v/>
      </c>
      <c r="R1374" s="147" t="str">
        <f t="shared" si="23"/>
        <v/>
      </c>
      <c r="S1374" s="147" t="str">
        <f t="shared" si="24"/>
        <v/>
      </c>
      <c r="T1374" s="147" t="str">
        <f t="shared" si="7"/>
        <v/>
      </c>
      <c r="U1374" s="150" t="str">
        <f t="shared" si="8"/>
        <v/>
      </c>
      <c r="V1374" s="151" t="str">
        <f>IFERROR(VLOOKUP(C1374,Ativos!$A$1:$G2000,5,),)</f>
        <v/>
      </c>
    </row>
    <row r="1375" ht="21.0" customHeight="1">
      <c r="A1375" s="152"/>
      <c r="B1375" s="160"/>
      <c r="C1375" s="153"/>
      <c r="D1375" s="154"/>
      <c r="E1375" s="139"/>
      <c r="F1375" s="139"/>
      <c r="G1375" s="139"/>
      <c r="H1375" s="135"/>
      <c r="I1375" s="141"/>
      <c r="J1375" s="147" t="str">
        <f>IFERROR(__xludf.DUMMYFUNCTION("IF(ISBLANK(A1375),IFERROR(1/0),IF(COUNT(FILTER(F:F,A:A=A1375))&gt;1,TRUNC(N1375*F1375/SUM(FILTER(N:N,A:A=A1375)),3),F1375))"),"")</f>
        <v/>
      </c>
      <c r="K1375" s="147" t="str">
        <f>IFERROR(__xludf.DUMMYFUNCTION("IF(ISBLANK(A1375),IFERROR(1/0),IF(COUNT(FILTER(G:G,((A:A=A1375)*(B:B=""V""))))&gt;1,TRUNC(N1375*G1375/SUM(FILTER(N:N,((A:A=A1375)*(B:B=""V"")))),3),G1375))"),"")</f>
        <v/>
      </c>
      <c r="L1375" s="148" t="str">
        <f>IFERROR(__xludf.DUMMYFUNCTION("if($C1375="""","""",iferror(if(row()&lt;&gt;2,INDEX(arrayformula(filter($M$2:$M1374,$C$2:$C1374&lt;&gt;"""",row($C$2:$C1374)=max(if($C$2:$C1374=C1375,row($C$2:$C1374),0)))) ,1),0),0))"),"")</f>
        <v/>
      </c>
      <c r="M1375" s="148" t="str">
        <f t="shared" si="1"/>
        <v/>
      </c>
      <c r="N1375" s="147" t="str">
        <f t="shared" si="2"/>
        <v/>
      </c>
      <c r="O1375" s="147" t="str">
        <f t="shared" si="21"/>
        <v/>
      </c>
      <c r="P1375" s="147" t="str">
        <f>IFERROR(__xludf.DUMMYFUNCTION("if(C1375="""","""",iferror(if(row()&lt;&gt;2,INDEX(arrayformula(filter($Q$2:$Q1374,$C$2:$C1374&lt;&gt;"""",row($C$2:$C1374)=max(if($C$2:$C1374=C1375,row($C$2:$C1374),0)))) ,1),0),0))"),"")</f>
        <v/>
      </c>
      <c r="Q1375" s="147" t="str">
        <f t="shared" si="22"/>
        <v/>
      </c>
      <c r="R1375" s="147" t="str">
        <f t="shared" si="23"/>
        <v/>
      </c>
      <c r="S1375" s="147" t="str">
        <f t="shared" si="24"/>
        <v/>
      </c>
      <c r="T1375" s="147" t="str">
        <f t="shared" si="7"/>
        <v/>
      </c>
      <c r="U1375" s="150" t="str">
        <f t="shared" si="8"/>
        <v/>
      </c>
      <c r="V1375" s="151" t="str">
        <f>IFERROR(VLOOKUP(C1375,Ativos!$A$1:$G2000,5,),)</f>
        <v/>
      </c>
    </row>
    <row r="1376" ht="21.0" customHeight="1">
      <c r="A1376" s="152"/>
      <c r="B1376" s="160"/>
      <c r="C1376" s="153"/>
      <c r="D1376" s="154"/>
      <c r="E1376" s="139"/>
      <c r="F1376" s="139"/>
      <c r="G1376" s="139"/>
      <c r="H1376" s="135"/>
      <c r="I1376" s="141"/>
      <c r="J1376" s="147" t="str">
        <f>IFERROR(__xludf.DUMMYFUNCTION("IF(ISBLANK(A1376),IFERROR(1/0),IF(COUNT(FILTER(F:F,A:A=A1376))&gt;1,TRUNC(N1376*F1376/SUM(FILTER(N:N,A:A=A1376)),3),F1376))"),"")</f>
        <v/>
      </c>
      <c r="K1376" s="147" t="str">
        <f>IFERROR(__xludf.DUMMYFUNCTION("IF(ISBLANK(A1376),IFERROR(1/0),IF(COUNT(FILTER(G:G,((A:A=A1376)*(B:B=""V""))))&gt;1,TRUNC(N1376*G1376/SUM(FILTER(N:N,((A:A=A1376)*(B:B=""V"")))),3),G1376))"),"")</f>
        <v/>
      </c>
      <c r="L1376" s="148" t="str">
        <f>IFERROR(__xludf.DUMMYFUNCTION("if($C1376="""","""",iferror(if(row()&lt;&gt;2,INDEX(arrayformula(filter($M$2:$M1375,$C$2:$C1375&lt;&gt;"""",row($C$2:$C1375)=max(if($C$2:$C1375=C1376,row($C$2:$C1375),0)))) ,1),0),0))"),"")</f>
        <v/>
      </c>
      <c r="M1376" s="148" t="str">
        <f t="shared" si="1"/>
        <v/>
      </c>
      <c r="N1376" s="147" t="str">
        <f t="shared" si="2"/>
        <v/>
      </c>
      <c r="O1376" s="147" t="str">
        <f t="shared" si="21"/>
        <v/>
      </c>
      <c r="P1376" s="147" t="str">
        <f>IFERROR(__xludf.DUMMYFUNCTION("if(C1376="""","""",iferror(if(row()&lt;&gt;2,INDEX(arrayformula(filter($Q$2:$Q1375,$C$2:$C1375&lt;&gt;"""",row($C$2:$C1375)=max(if($C$2:$C1375=C1376,row($C$2:$C1375),0)))) ,1),0),0))"),"")</f>
        <v/>
      </c>
      <c r="Q1376" s="147" t="str">
        <f t="shared" si="22"/>
        <v/>
      </c>
      <c r="R1376" s="147" t="str">
        <f t="shared" si="23"/>
        <v/>
      </c>
      <c r="S1376" s="147" t="str">
        <f t="shared" si="24"/>
        <v/>
      </c>
      <c r="T1376" s="147" t="str">
        <f t="shared" si="7"/>
        <v/>
      </c>
      <c r="U1376" s="150" t="str">
        <f t="shared" si="8"/>
        <v/>
      </c>
      <c r="V1376" s="151" t="str">
        <f>IFERROR(VLOOKUP(C1376,Ativos!$A$1:$G2000,5,),)</f>
        <v/>
      </c>
    </row>
    <row r="1377" ht="21.0" customHeight="1">
      <c r="A1377" s="152"/>
      <c r="B1377" s="160"/>
      <c r="C1377" s="153"/>
      <c r="D1377" s="154"/>
      <c r="E1377" s="139"/>
      <c r="F1377" s="139"/>
      <c r="G1377" s="139"/>
      <c r="H1377" s="135"/>
      <c r="I1377" s="141"/>
      <c r="J1377" s="147" t="str">
        <f>IFERROR(__xludf.DUMMYFUNCTION("IF(ISBLANK(A1377),IFERROR(1/0),IF(COUNT(FILTER(F:F,A:A=A1377))&gt;1,TRUNC(N1377*F1377/SUM(FILTER(N:N,A:A=A1377)),3),F1377))"),"")</f>
        <v/>
      </c>
      <c r="K1377" s="147" t="str">
        <f>IFERROR(__xludf.DUMMYFUNCTION("IF(ISBLANK(A1377),IFERROR(1/0),IF(COUNT(FILTER(G:G,((A:A=A1377)*(B:B=""V""))))&gt;1,TRUNC(N1377*G1377/SUM(FILTER(N:N,((A:A=A1377)*(B:B=""V"")))),3),G1377))"),"")</f>
        <v/>
      </c>
      <c r="L1377" s="148" t="str">
        <f>IFERROR(__xludf.DUMMYFUNCTION("if($C1377="""","""",iferror(if(row()&lt;&gt;2,INDEX(arrayformula(filter($M$2:$M1376,$C$2:$C1376&lt;&gt;"""",row($C$2:$C1376)=max(if($C$2:$C1376=C1377,row($C$2:$C1376),0)))) ,1),0),0))"),"")</f>
        <v/>
      </c>
      <c r="M1377" s="148" t="str">
        <f t="shared" si="1"/>
        <v/>
      </c>
      <c r="N1377" s="147" t="str">
        <f t="shared" si="2"/>
        <v/>
      </c>
      <c r="O1377" s="147" t="str">
        <f t="shared" si="21"/>
        <v/>
      </c>
      <c r="P1377" s="147" t="str">
        <f>IFERROR(__xludf.DUMMYFUNCTION("if(C1377="""","""",iferror(if(row()&lt;&gt;2,INDEX(arrayformula(filter($Q$2:$Q1376,$C$2:$C1376&lt;&gt;"""",row($C$2:$C1376)=max(if($C$2:$C1376=C1377,row($C$2:$C1376),0)))) ,1),0),0))"),"")</f>
        <v/>
      </c>
      <c r="Q1377" s="147" t="str">
        <f t="shared" si="22"/>
        <v/>
      </c>
      <c r="R1377" s="147" t="str">
        <f t="shared" si="23"/>
        <v/>
      </c>
      <c r="S1377" s="147" t="str">
        <f t="shared" si="24"/>
        <v/>
      </c>
      <c r="T1377" s="147" t="str">
        <f t="shared" si="7"/>
        <v/>
      </c>
      <c r="U1377" s="150" t="str">
        <f t="shared" si="8"/>
        <v/>
      </c>
      <c r="V1377" s="151" t="str">
        <f>IFERROR(VLOOKUP(C1377,Ativos!$A$1:$G2000,5,),)</f>
        <v/>
      </c>
    </row>
    <row r="1378" ht="21.0" customHeight="1">
      <c r="A1378" s="152"/>
      <c r="B1378" s="160"/>
      <c r="C1378" s="153"/>
      <c r="D1378" s="154"/>
      <c r="E1378" s="139"/>
      <c r="F1378" s="139"/>
      <c r="G1378" s="139"/>
      <c r="H1378" s="135"/>
      <c r="I1378" s="141"/>
      <c r="J1378" s="147" t="str">
        <f>IFERROR(__xludf.DUMMYFUNCTION("IF(ISBLANK(A1378),IFERROR(1/0),IF(COUNT(FILTER(F:F,A:A=A1378))&gt;1,TRUNC(N1378*F1378/SUM(FILTER(N:N,A:A=A1378)),3),F1378))"),"")</f>
        <v/>
      </c>
      <c r="K1378" s="147" t="str">
        <f>IFERROR(__xludf.DUMMYFUNCTION("IF(ISBLANK(A1378),IFERROR(1/0),IF(COUNT(FILTER(G:G,((A:A=A1378)*(B:B=""V""))))&gt;1,TRUNC(N1378*G1378/SUM(FILTER(N:N,((A:A=A1378)*(B:B=""V"")))),3),G1378))"),"")</f>
        <v/>
      </c>
      <c r="L1378" s="148" t="str">
        <f>IFERROR(__xludf.DUMMYFUNCTION("if($C1378="""","""",iferror(if(row()&lt;&gt;2,INDEX(arrayformula(filter($M$2:$M1377,$C$2:$C1377&lt;&gt;"""",row($C$2:$C1377)=max(if($C$2:$C1377=C1378,row($C$2:$C1377),0)))) ,1),0),0))"),"")</f>
        <v/>
      </c>
      <c r="M1378" s="148" t="str">
        <f t="shared" si="1"/>
        <v/>
      </c>
      <c r="N1378" s="147" t="str">
        <f t="shared" si="2"/>
        <v/>
      </c>
      <c r="O1378" s="147" t="str">
        <f t="shared" si="21"/>
        <v/>
      </c>
      <c r="P1378" s="147" t="str">
        <f>IFERROR(__xludf.DUMMYFUNCTION("if(C1378="""","""",iferror(if(row()&lt;&gt;2,INDEX(arrayformula(filter($Q$2:$Q1377,$C$2:$C1377&lt;&gt;"""",row($C$2:$C1377)=max(if($C$2:$C1377=C1378,row($C$2:$C1377),0)))) ,1),0),0))"),"")</f>
        <v/>
      </c>
      <c r="Q1378" s="147" t="str">
        <f t="shared" si="22"/>
        <v/>
      </c>
      <c r="R1378" s="147" t="str">
        <f t="shared" si="23"/>
        <v/>
      </c>
      <c r="S1378" s="147" t="str">
        <f t="shared" si="24"/>
        <v/>
      </c>
      <c r="T1378" s="147" t="str">
        <f t="shared" si="7"/>
        <v/>
      </c>
      <c r="U1378" s="150" t="str">
        <f t="shared" si="8"/>
        <v/>
      </c>
      <c r="V1378" s="151" t="str">
        <f>IFERROR(VLOOKUP(C1378,Ativos!$A$1:$G2000,5,),)</f>
        <v/>
      </c>
    </row>
    <row r="1379" ht="21.0" customHeight="1">
      <c r="A1379" s="152"/>
      <c r="B1379" s="160"/>
      <c r="C1379" s="153"/>
      <c r="D1379" s="154"/>
      <c r="E1379" s="139"/>
      <c r="F1379" s="139"/>
      <c r="G1379" s="139"/>
      <c r="H1379" s="135"/>
      <c r="I1379" s="141"/>
      <c r="J1379" s="147" t="str">
        <f>IFERROR(__xludf.DUMMYFUNCTION("IF(ISBLANK(A1379),IFERROR(1/0),IF(COUNT(FILTER(F:F,A:A=A1379))&gt;1,TRUNC(N1379*F1379/SUM(FILTER(N:N,A:A=A1379)),3),F1379))"),"")</f>
        <v/>
      </c>
      <c r="K1379" s="147" t="str">
        <f>IFERROR(__xludf.DUMMYFUNCTION("IF(ISBLANK(A1379),IFERROR(1/0),IF(COUNT(FILTER(G:G,((A:A=A1379)*(B:B=""V""))))&gt;1,TRUNC(N1379*G1379/SUM(FILTER(N:N,((A:A=A1379)*(B:B=""V"")))),3),G1379))"),"")</f>
        <v/>
      </c>
      <c r="L1379" s="148" t="str">
        <f>IFERROR(__xludf.DUMMYFUNCTION("if($C1379="""","""",iferror(if(row()&lt;&gt;2,INDEX(arrayformula(filter($M$2:$M1378,$C$2:$C1378&lt;&gt;"""",row($C$2:$C1378)=max(if($C$2:$C1378=C1379,row($C$2:$C1378),0)))) ,1),0),0))"),"")</f>
        <v/>
      </c>
      <c r="M1379" s="148" t="str">
        <f t="shared" si="1"/>
        <v/>
      </c>
      <c r="N1379" s="147" t="str">
        <f t="shared" si="2"/>
        <v/>
      </c>
      <c r="O1379" s="147" t="str">
        <f t="shared" si="21"/>
        <v/>
      </c>
      <c r="P1379" s="147" t="str">
        <f>IFERROR(__xludf.DUMMYFUNCTION("if(C1379="""","""",iferror(if(row()&lt;&gt;2,INDEX(arrayformula(filter($Q$2:$Q1378,$C$2:$C1378&lt;&gt;"""",row($C$2:$C1378)=max(if($C$2:$C1378=C1379,row($C$2:$C1378),0)))) ,1),0),0))"),"")</f>
        <v/>
      </c>
      <c r="Q1379" s="147" t="str">
        <f t="shared" si="22"/>
        <v/>
      </c>
      <c r="R1379" s="147" t="str">
        <f t="shared" si="23"/>
        <v/>
      </c>
      <c r="S1379" s="147" t="str">
        <f t="shared" si="24"/>
        <v/>
      </c>
      <c r="T1379" s="147" t="str">
        <f t="shared" si="7"/>
        <v/>
      </c>
      <c r="U1379" s="150" t="str">
        <f t="shared" si="8"/>
        <v/>
      </c>
      <c r="V1379" s="151" t="str">
        <f>IFERROR(VLOOKUP(C1379,Ativos!$A$1:$G2000,5,),)</f>
        <v/>
      </c>
    </row>
    <row r="1380" ht="21.0" customHeight="1">
      <c r="A1380" s="152"/>
      <c r="B1380" s="160"/>
      <c r="C1380" s="153"/>
      <c r="D1380" s="154"/>
      <c r="E1380" s="139"/>
      <c r="F1380" s="139"/>
      <c r="G1380" s="139"/>
      <c r="H1380" s="135"/>
      <c r="I1380" s="141"/>
      <c r="J1380" s="147" t="str">
        <f>IFERROR(__xludf.DUMMYFUNCTION("IF(ISBLANK(A1380),IFERROR(1/0),IF(COUNT(FILTER(F:F,A:A=A1380))&gt;1,TRUNC(N1380*F1380/SUM(FILTER(N:N,A:A=A1380)),3),F1380))"),"")</f>
        <v/>
      </c>
      <c r="K1380" s="147" t="str">
        <f>IFERROR(__xludf.DUMMYFUNCTION("IF(ISBLANK(A1380),IFERROR(1/0),IF(COUNT(FILTER(G:G,((A:A=A1380)*(B:B=""V""))))&gt;1,TRUNC(N1380*G1380/SUM(FILTER(N:N,((A:A=A1380)*(B:B=""V"")))),3),G1380))"),"")</f>
        <v/>
      </c>
      <c r="L1380" s="148" t="str">
        <f>IFERROR(__xludf.DUMMYFUNCTION("if($C1380="""","""",iferror(if(row()&lt;&gt;2,INDEX(arrayformula(filter($M$2:$M1379,$C$2:$C1379&lt;&gt;"""",row($C$2:$C1379)=max(if($C$2:$C1379=C1380,row($C$2:$C1379),0)))) ,1),0),0))"),"")</f>
        <v/>
      </c>
      <c r="M1380" s="148" t="str">
        <f t="shared" si="1"/>
        <v/>
      </c>
      <c r="N1380" s="147" t="str">
        <f t="shared" si="2"/>
        <v/>
      </c>
      <c r="O1380" s="147" t="str">
        <f t="shared" si="21"/>
        <v/>
      </c>
      <c r="P1380" s="147" t="str">
        <f>IFERROR(__xludf.DUMMYFUNCTION("if(C1380="""","""",iferror(if(row()&lt;&gt;2,INDEX(arrayformula(filter($Q$2:$Q1379,$C$2:$C1379&lt;&gt;"""",row($C$2:$C1379)=max(if($C$2:$C1379=C1380,row($C$2:$C1379),0)))) ,1),0),0))"),"")</f>
        <v/>
      </c>
      <c r="Q1380" s="147" t="str">
        <f t="shared" si="22"/>
        <v/>
      </c>
      <c r="R1380" s="147" t="str">
        <f t="shared" si="23"/>
        <v/>
      </c>
      <c r="S1380" s="147" t="str">
        <f t="shared" si="24"/>
        <v/>
      </c>
      <c r="T1380" s="147" t="str">
        <f t="shared" si="7"/>
        <v/>
      </c>
      <c r="U1380" s="150" t="str">
        <f t="shared" si="8"/>
        <v/>
      </c>
      <c r="V1380" s="151" t="str">
        <f>IFERROR(VLOOKUP(C1380,Ativos!$A$1:$G2000,5,),)</f>
        <v/>
      </c>
    </row>
    <row r="1381" ht="21.0" customHeight="1">
      <c r="A1381" s="152"/>
      <c r="B1381" s="160"/>
      <c r="C1381" s="153"/>
      <c r="D1381" s="154"/>
      <c r="E1381" s="139"/>
      <c r="F1381" s="139"/>
      <c r="G1381" s="139"/>
      <c r="H1381" s="135"/>
      <c r="I1381" s="141"/>
      <c r="J1381" s="147" t="str">
        <f>IFERROR(__xludf.DUMMYFUNCTION("IF(ISBLANK(A1381),IFERROR(1/0),IF(COUNT(FILTER(F:F,A:A=A1381))&gt;1,TRUNC(N1381*F1381/SUM(FILTER(N:N,A:A=A1381)),3),F1381))"),"")</f>
        <v/>
      </c>
      <c r="K1381" s="147" t="str">
        <f>IFERROR(__xludf.DUMMYFUNCTION("IF(ISBLANK(A1381),IFERROR(1/0),IF(COUNT(FILTER(G:G,((A:A=A1381)*(B:B=""V""))))&gt;1,TRUNC(N1381*G1381/SUM(FILTER(N:N,((A:A=A1381)*(B:B=""V"")))),3),G1381))"),"")</f>
        <v/>
      </c>
      <c r="L1381" s="148" t="str">
        <f>IFERROR(__xludf.DUMMYFUNCTION("if($C1381="""","""",iferror(if(row()&lt;&gt;2,INDEX(arrayformula(filter($M$2:$M1380,$C$2:$C1380&lt;&gt;"""",row($C$2:$C1380)=max(if($C$2:$C1380=C1381,row($C$2:$C1380),0)))) ,1),0),0))"),"")</f>
        <v/>
      </c>
      <c r="M1381" s="148" t="str">
        <f t="shared" si="1"/>
        <v/>
      </c>
      <c r="N1381" s="147" t="str">
        <f t="shared" si="2"/>
        <v/>
      </c>
      <c r="O1381" s="147" t="str">
        <f t="shared" si="21"/>
        <v/>
      </c>
      <c r="P1381" s="147" t="str">
        <f>IFERROR(__xludf.DUMMYFUNCTION("if(C1381="""","""",iferror(if(row()&lt;&gt;2,INDEX(arrayformula(filter($Q$2:$Q1380,$C$2:$C1380&lt;&gt;"""",row($C$2:$C1380)=max(if($C$2:$C1380=C1381,row($C$2:$C1380),0)))) ,1),0),0))"),"")</f>
        <v/>
      </c>
      <c r="Q1381" s="147" t="str">
        <f t="shared" si="22"/>
        <v/>
      </c>
      <c r="R1381" s="147" t="str">
        <f t="shared" si="23"/>
        <v/>
      </c>
      <c r="S1381" s="147" t="str">
        <f t="shared" si="24"/>
        <v/>
      </c>
      <c r="T1381" s="147" t="str">
        <f t="shared" si="7"/>
        <v/>
      </c>
      <c r="U1381" s="150" t="str">
        <f t="shared" si="8"/>
        <v/>
      </c>
      <c r="V1381" s="151" t="str">
        <f>IFERROR(VLOOKUP(C1381,Ativos!$A$1:$G2000,5,),)</f>
        <v/>
      </c>
    </row>
    <row r="1382" ht="21.0" customHeight="1">
      <c r="A1382" s="152"/>
      <c r="B1382" s="160"/>
      <c r="C1382" s="153"/>
      <c r="D1382" s="154"/>
      <c r="E1382" s="139"/>
      <c r="F1382" s="139"/>
      <c r="G1382" s="139"/>
      <c r="H1382" s="135"/>
      <c r="I1382" s="141"/>
      <c r="J1382" s="147" t="str">
        <f>IFERROR(__xludf.DUMMYFUNCTION("IF(ISBLANK(A1382),IFERROR(1/0),IF(COUNT(FILTER(F:F,A:A=A1382))&gt;1,TRUNC(N1382*F1382/SUM(FILTER(N:N,A:A=A1382)),3),F1382))"),"")</f>
        <v/>
      </c>
      <c r="K1382" s="147" t="str">
        <f>IFERROR(__xludf.DUMMYFUNCTION("IF(ISBLANK(A1382),IFERROR(1/0),IF(COUNT(FILTER(G:G,((A:A=A1382)*(B:B=""V""))))&gt;1,TRUNC(N1382*G1382/SUM(FILTER(N:N,((A:A=A1382)*(B:B=""V"")))),3),G1382))"),"")</f>
        <v/>
      </c>
      <c r="L1382" s="148" t="str">
        <f>IFERROR(__xludf.DUMMYFUNCTION("if($C1382="""","""",iferror(if(row()&lt;&gt;2,INDEX(arrayformula(filter($M$2:$M1381,$C$2:$C1381&lt;&gt;"""",row($C$2:$C1381)=max(if($C$2:$C1381=C1382,row($C$2:$C1381),0)))) ,1),0),0))"),"")</f>
        <v/>
      </c>
      <c r="M1382" s="148" t="str">
        <f t="shared" si="1"/>
        <v/>
      </c>
      <c r="N1382" s="147" t="str">
        <f t="shared" si="2"/>
        <v/>
      </c>
      <c r="O1382" s="147" t="str">
        <f t="shared" si="21"/>
        <v/>
      </c>
      <c r="P1382" s="147" t="str">
        <f>IFERROR(__xludf.DUMMYFUNCTION("if(C1382="""","""",iferror(if(row()&lt;&gt;2,INDEX(arrayformula(filter($Q$2:$Q1381,$C$2:$C1381&lt;&gt;"""",row($C$2:$C1381)=max(if($C$2:$C1381=C1382,row($C$2:$C1381),0)))) ,1),0),0))"),"")</f>
        <v/>
      </c>
      <c r="Q1382" s="147" t="str">
        <f t="shared" si="22"/>
        <v/>
      </c>
      <c r="R1382" s="147" t="str">
        <f t="shared" si="23"/>
        <v/>
      </c>
      <c r="S1382" s="147" t="str">
        <f t="shared" si="24"/>
        <v/>
      </c>
      <c r="T1382" s="147" t="str">
        <f t="shared" si="7"/>
        <v/>
      </c>
      <c r="U1382" s="150" t="str">
        <f t="shared" si="8"/>
        <v/>
      </c>
      <c r="V1382" s="151" t="str">
        <f>IFERROR(VLOOKUP(C1382,Ativos!$A$1:$G2000,5,),)</f>
        <v/>
      </c>
    </row>
    <row r="1383" ht="21.0" customHeight="1">
      <c r="A1383" s="152"/>
      <c r="B1383" s="160"/>
      <c r="C1383" s="153"/>
      <c r="D1383" s="154"/>
      <c r="E1383" s="139"/>
      <c r="F1383" s="139"/>
      <c r="G1383" s="139"/>
      <c r="H1383" s="135"/>
      <c r="I1383" s="141"/>
      <c r="J1383" s="147" t="str">
        <f>IFERROR(__xludf.DUMMYFUNCTION("IF(ISBLANK(A1383),IFERROR(1/0),IF(COUNT(FILTER(F:F,A:A=A1383))&gt;1,TRUNC(N1383*F1383/SUM(FILTER(N:N,A:A=A1383)),3),F1383))"),"")</f>
        <v/>
      </c>
      <c r="K1383" s="147" t="str">
        <f>IFERROR(__xludf.DUMMYFUNCTION("IF(ISBLANK(A1383),IFERROR(1/0),IF(COUNT(FILTER(G:G,((A:A=A1383)*(B:B=""V""))))&gt;1,TRUNC(N1383*G1383/SUM(FILTER(N:N,((A:A=A1383)*(B:B=""V"")))),3),G1383))"),"")</f>
        <v/>
      </c>
      <c r="L1383" s="148" t="str">
        <f>IFERROR(__xludf.DUMMYFUNCTION("if($C1383="""","""",iferror(if(row()&lt;&gt;2,INDEX(arrayformula(filter($M$2:$M1382,$C$2:$C1382&lt;&gt;"""",row($C$2:$C1382)=max(if($C$2:$C1382=C1383,row($C$2:$C1382),0)))) ,1),0),0))"),"")</f>
        <v/>
      </c>
      <c r="M1383" s="148" t="str">
        <f t="shared" si="1"/>
        <v/>
      </c>
      <c r="N1383" s="147" t="str">
        <f t="shared" si="2"/>
        <v/>
      </c>
      <c r="O1383" s="147" t="str">
        <f t="shared" si="21"/>
        <v/>
      </c>
      <c r="P1383" s="147" t="str">
        <f>IFERROR(__xludf.DUMMYFUNCTION("if(C1383="""","""",iferror(if(row()&lt;&gt;2,INDEX(arrayformula(filter($Q$2:$Q1382,$C$2:$C1382&lt;&gt;"""",row($C$2:$C1382)=max(if($C$2:$C1382=C1383,row($C$2:$C1382),0)))) ,1),0),0))"),"")</f>
        <v/>
      </c>
      <c r="Q1383" s="147" t="str">
        <f t="shared" si="22"/>
        <v/>
      </c>
      <c r="R1383" s="147" t="str">
        <f t="shared" si="23"/>
        <v/>
      </c>
      <c r="S1383" s="147" t="str">
        <f t="shared" si="24"/>
        <v/>
      </c>
      <c r="T1383" s="147" t="str">
        <f t="shared" si="7"/>
        <v/>
      </c>
      <c r="U1383" s="150" t="str">
        <f t="shared" si="8"/>
        <v/>
      </c>
      <c r="V1383" s="151" t="str">
        <f>IFERROR(VLOOKUP(C1383,Ativos!$A$1:$G2000,5,),)</f>
        <v/>
      </c>
    </row>
    <row r="1384" ht="21.0" customHeight="1">
      <c r="A1384" s="152"/>
      <c r="B1384" s="160"/>
      <c r="C1384" s="153"/>
      <c r="D1384" s="154"/>
      <c r="E1384" s="139"/>
      <c r="F1384" s="139"/>
      <c r="G1384" s="139"/>
      <c r="H1384" s="135"/>
      <c r="I1384" s="141"/>
      <c r="J1384" s="147" t="str">
        <f>IFERROR(__xludf.DUMMYFUNCTION("IF(ISBLANK(A1384),IFERROR(1/0),IF(COUNT(FILTER(F:F,A:A=A1384))&gt;1,TRUNC(N1384*F1384/SUM(FILTER(N:N,A:A=A1384)),3),F1384))"),"")</f>
        <v/>
      </c>
      <c r="K1384" s="147" t="str">
        <f>IFERROR(__xludf.DUMMYFUNCTION("IF(ISBLANK(A1384),IFERROR(1/0),IF(COUNT(FILTER(G:G,((A:A=A1384)*(B:B=""V""))))&gt;1,TRUNC(N1384*G1384/SUM(FILTER(N:N,((A:A=A1384)*(B:B=""V"")))),3),G1384))"),"")</f>
        <v/>
      </c>
      <c r="L1384" s="148" t="str">
        <f>IFERROR(__xludf.DUMMYFUNCTION("if($C1384="""","""",iferror(if(row()&lt;&gt;2,INDEX(arrayformula(filter($M$2:$M1383,$C$2:$C1383&lt;&gt;"""",row($C$2:$C1383)=max(if($C$2:$C1383=C1384,row($C$2:$C1383),0)))) ,1),0),0))"),"")</f>
        <v/>
      </c>
      <c r="M1384" s="148" t="str">
        <f t="shared" si="1"/>
        <v/>
      </c>
      <c r="N1384" s="147" t="str">
        <f t="shared" si="2"/>
        <v/>
      </c>
      <c r="O1384" s="147" t="str">
        <f t="shared" si="21"/>
        <v/>
      </c>
      <c r="P1384" s="147" t="str">
        <f>IFERROR(__xludf.DUMMYFUNCTION("if(C1384="""","""",iferror(if(row()&lt;&gt;2,INDEX(arrayformula(filter($Q$2:$Q1383,$C$2:$C1383&lt;&gt;"""",row($C$2:$C1383)=max(if($C$2:$C1383=C1384,row($C$2:$C1383),0)))) ,1),0),0))"),"")</f>
        <v/>
      </c>
      <c r="Q1384" s="147" t="str">
        <f t="shared" si="22"/>
        <v/>
      </c>
      <c r="R1384" s="147" t="str">
        <f t="shared" si="23"/>
        <v/>
      </c>
      <c r="S1384" s="147" t="str">
        <f t="shared" si="24"/>
        <v/>
      </c>
      <c r="T1384" s="147" t="str">
        <f t="shared" si="7"/>
        <v/>
      </c>
      <c r="U1384" s="150" t="str">
        <f t="shared" si="8"/>
        <v/>
      </c>
      <c r="V1384" s="151" t="str">
        <f>IFERROR(VLOOKUP(C1384,Ativos!$A$1:$G2000,5,),)</f>
        <v/>
      </c>
    </row>
    <row r="1385" ht="21.0" customHeight="1">
      <c r="A1385" s="152"/>
      <c r="B1385" s="160"/>
      <c r="C1385" s="153"/>
      <c r="D1385" s="154"/>
      <c r="E1385" s="139"/>
      <c r="F1385" s="139"/>
      <c r="G1385" s="139"/>
      <c r="H1385" s="135"/>
      <c r="I1385" s="141"/>
      <c r="J1385" s="147" t="str">
        <f>IFERROR(__xludf.DUMMYFUNCTION("IF(ISBLANK(A1385),IFERROR(1/0),IF(COUNT(FILTER(F:F,A:A=A1385))&gt;1,TRUNC(N1385*F1385/SUM(FILTER(N:N,A:A=A1385)),3),F1385))"),"")</f>
        <v/>
      </c>
      <c r="K1385" s="147" t="str">
        <f>IFERROR(__xludf.DUMMYFUNCTION("IF(ISBLANK(A1385),IFERROR(1/0),IF(COUNT(FILTER(G:G,((A:A=A1385)*(B:B=""V""))))&gt;1,TRUNC(N1385*G1385/SUM(FILTER(N:N,((A:A=A1385)*(B:B=""V"")))),3),G1385))"),"")</f>
        <v/>
      </c>
      <c r="L1385" s="148" t="str">
        <f>IFERROR(__xludf.DUMMYFUNCTION("if($C1385="""","""",iferror(if(row()&lt;&gt;2,INDEX(arrayformula(filter($M$2:$M1384,$C$2:$C1384&lt;&gt;"""",row($C$2:$C1384)=max(if($C$2:$C1384=C1385,row($C$2:$C1384),0)))) ,1),0),0))"),"")</f>
        <v/>
      </c>
      <c r="M1385" s="148" t="str">
        <f t="shared" si="1"/>
        <v/>
      </c>
      <c r="N1385" s="147" t="str">
        <f t="shared" si="2"/>
        <v/>
      </c>
      <c r="O1385" s="147" t="str">
        <f t="shared" si="21"/>
        <v/>
      </c>
      <c r="P1385" s="147" t="str">
        <f>IFERROR(__xludf.DUMMYFUNCTION("if(C1385="""","""",iferror(if(row()&lt;&gt;2,INDEX(arrayformula(filter($Q$2:$Q1384,$C$2:$C1384&lt;&gt;"""",row($C$2:$C1384)=max(if($C$2:$C1384=C1385,row($C$2:$C1384),0)))) ,1),0),0))"),"")</f>
        <v/>
      </c>
      <c r="Q1385" s="147" t="str">
        <f t="shared" si="22"/>
        <v/>
      </c>
      <c r="R1385" s="147" t="str">
        <f t="shared" si="23"/>
        <v/>
      </c>
      <c r="S1385" s="147" t="str">
        <f t="shared" si="24"/>
        <v/>
      </c>
      <c r="T1385" s="147" t="str">
        <f t="shared" si="7"/>
        <v/>
      </c>
      <c r="U1385" s="150" t="str">
        <f t="shared" si="8"/>
        <v/>
      </c>
      <c r="V1385" s="151" t="str">
        <f>IFERROR(VLOOKUP(C1385,Ativos!$A$1:$G2000,5,),)</f>
        <v/>
      </c>
    </row>
    <row r="1386" ht="21.0" customHeight="1">
      <c r="A1386" s="152"/>
      <c r="B1386" s="160"/>
      <c r="C1386" s="153"/>
      <c r="D1386" s="154"/>
      <c r="E1386" s="139"/>
      <c r="F1386" s="139"/>
      <c r="G1386" s="139"/>
      <c r="H1386" s="135"/>
      <c r="I1386" s="141"/>
      <c r="J1386" s="147" t="str">
        <f>IFERROR(__xludf.DUMMYFUNCTION("IF(ISBLANK(A1386),IFERROR(1/0),IF(COUNT(FILTER(F:F,A:A=A1386))&gt;1,TRUNC(N1386*F1386/SUM(FILTER(N:N,A:A=A1386)),3),F1386))"),"")</f>
        <v/>
      </c>
      <c r="K1386" s="147" t="str">
        <f>IFERROR(__xludf.DUMMYFUNCTION("IF(ISBLANK(A1386),IFERROR(1/0),IF(COUNT(FILTER(G:G,((A:A=A1386)*(B:B=""V""))))&gt;1,TRUNC(N1386*G1386/SUM(FILTER(N:N,((A:A=A1386)*(B:B=""V"")))),3),G1386))"),"")</f>
        <v/>
      </c>
      <c r="L1386" s="148" t="str">
        <f>IFERROR(__xludf.DUMMYFUNCTION("if($C1386="""","""",iferror(if(row()&lt;&gt;2,INDEX(arrayformula(filter($M$2:$M1385,$C$2:$C1385&lt;&gt;"""",row($C$2:$C1385)=max(if($C$2:$C1385=C1386,row($C$2:$C1385),0)))) ,1),0),0))"),"")</f>
        <v/>
      </c>
      <c r="M1386" s="148" t="str">
        <f t="shared" si="1"/>
        <v/>
      </c>
      <c r="N1386" s="147" t="str">
        <f t="shared" si="2"/>
        <v/>
      </c>
      <c r="O1386" s="147" t="str">
        <f t="shared" si="21"/>
        <v/>
      </c>
      <c r="P1386" s="147" t="str">
        <f>IFERROR(__xludf.DUMMYFUNCTION("if(C1386="""","""",iferror(if(row()&lt;&gt;2,INDEX(arrayformula(filter($Q$2:$Q1385,$C$2:$C1385&lt;&gt;"""",row($C$2:$C1385)=max(if($C$2:$C1385=C1386,row($C$2:$C1385),0)))) ,1),0),0))"),"")</f>
        <v/>
      </c>
      <c r="Q1386" s="147" t="str">
        <f t="shared" si="22"/>
        <v/>
      </c>
      <c r="R1386" s="147" t="str">
        <f t="shared" si="23"/>
        <v/>
      </c>
      <c r="S1386" s="147" t="str">
        <f t="shared" si="24"/>
        <v/>
      </c>
      <c r="T1386" s="147" t="str">
        <f t="shared" si="7"/>
        <v/>
      </c>
      <c r="U1386" s="150" t="str">
        <f t="shared" si="8"/>
        <v/>
      </c>
      <c r="V1386" s="151" t="str">
        <f>IFERROR(VLOOKUP(C1386,Ativos!$A$1:$G2000,5,),)</f>
        <v/>
      </c>
    </row>
    <row r="1387" ht="21.0" customHeight="1">
      <c r="A1387" s="152"/>
      <c r="B1387" s="160"/>
      <c r="C1387" s="153"/>
      <c r="D1387" s="154"/>
      <c r="E1387" s="139"/>
      <c r="F1387" s="139"/>
      <c r="G1387" s="139"/>
      <c r="H1387" s="135"/>
      <c r="I1387" s="141"/>
      <c r="J1387" s="147" t="str">
        <f>IFERROR(__xludf.DUMMYFUNCTION("IF(ISBLANK(A1387),IFERROR(1/0),IF(COUNT(FILTER(F:F,A:A=A1387))&gt;1,TRUNC(N1387*F1387/SUM(FILTER(N:N,A:A=A1387)),3),F1387))"),"")</f>
        <v/>
      </c>
      <c r="K1387" s="147" t="str">
        <f>IFERROR(__xludf.DUMMYFUNCTION("IF(ISBLANK(A1387),IFERROR(1/0),IF(COUNT(FILTER(G:G,((A:A=A1387)*(B:B=""V""))))&gt;1,TRUNC(N1387*G1387/SUM(FILTER(N:N,((A:A=A1387)*(B:B=""V"")))),3),G1387))"),"")</f>
        <v/>
      </c>
      <c r="L1387" s="148" t="str">
        <f>IFERROR(__xludf.DUMMYFUNCTION("if($C1387="""","""",iferror(if(row()&lt;&gt;2,INDEX(arrayformula(filter($M$2:$M1386,$C$2:$C1386&lt;&gt;"""",row($C$2:$C1386)=max(if($C$2:$C1386=C1387,row($C$2:$C1386),0)))) ,1),0),0))"),"")</f>
        <v/>
      </c>
      <c r="M1387" s="148" t="str">
        <f t="shared" si="1"/>
        <v/>
      </c>
      <c r="N1387" s="147" t="str">
        <f t="shared" si="2"/>
        <v/>
      </c>
      <c r="O1387" s="147" t="str">
        <f t="shared" si="21"/>
        <v/>
      </c>
      <c r="P1387" s="147" t="str">
        <f>IFERROR(__xludf.DUMMYFUNCTION("if(C1387="""","""",iferror(if(row()&lt;&gt;2,INDEX(arrayformula(filter($Q$2:$Q1386,$C$2:$C1386&lt;&gt;"""",row($C$2:$C1386)=max(if($C$2:$C1386=C1387,row($C$2:$C1386),0)))) ,1),0),0))"),"")</f>
        <v/>
      </c>
      <c r="Q1387" s="147" t="str">
        <f t="shared" si="22"/>
        <v/>
      </c>
      <c r="R1387" s="147" t="str">
        <f t="shared" si="23"/>
        <v/>
      </c>
      <c r="S1387" s="147" t="str">
        <f t="shared" si="24"/>
        <v/>
      </c>
      <c r="T1387" s="147" t="str">
        <f t="shared" si="7"/>
        <v/>
      </c>
      <c r="U1387" s="150" t="str">
        <f t="shared" si="8"/>
        <v/>
      </c>
      <c r="V1387" s="151" t="str">
        <f>IFERROR(VLOOKUP(C1387,Ativos!$A$1:$G2000,5,),)</f>
        <v/>
      </c>
    </row>
    <row r="1388" ht="21.0" customHeight="1">
      <c r="A1388" s="152"/>
      <c r="B1388" s="160"/>
      <c r="C1388" s="153"/>
      <c r="D1388" s="154"/>
      <c r="E1388" s="139"/>
      <c r="F1388" s="139"/>
      <c r="G1388" s="139"/>
      <c r="H1388" s="135"/>
      <c r="I1388" s="141"/>
      <c r="J1388" s="147" t="str">
        <f>IFERROR(__xludf.DUMMYFUNCTION("IF(ISBLANK(A1388),IFERROR(1/0),IF(COUNT(FILTER(F:F,A:A=A1388))&gt;1,TRUNC(N1388*F1388/SUM(FILTER(N:N,A:A=A1388)),3),F1388))"),"")</f>
        <v/>
      </c>
      <c r="K1388" s="147" t="str">
        <f>IFERROR(__xludf.DUMMYFUNCTION("IF(ISBLANK(A1388),IFERROR(1/0),IF(COUNT(FILTER(G:G,((A:A=A1388)*(B:B=""V""))))&gt;1,TRUNC(N1388*G1388/SUM(FILTER(N:N,((A:A=A1388)*(B:B=""V"")))),3),G1388))"),"")</f>
        <v/>
      </c>
      <c r="L1388" s="148" t="str">
        <f>IFERROR(__xludf.DUMMYFUNCTION("if($C1388="""","""",iferror(if(row()&lt;&gt;2,INDEX(arrayformula(filter($M$2:$M1387,$C$2:$C1387&lt;&gt;"""",row($C$2:$C1387)=max(if($C$2:$C1387=C1388,row($C$2:$C1387),0)))) ,1),0),0))"),"")</f>
        <v/>
      </c>
      <c r="M1388" s="148" t="str">
        <f t="shared" si="1"/>
        <v/>
      </c>
      <c r="N1388" s="147" t="str">
        <f t="shared" si="2"/>
        <v/>
      </c>
      <c r="O1388" s="147" t="str">
        <f t="shared" si="21"/>
        <v/>
      </c>
      <c r="P1388" s="147" t="str">
        <f>IFERROR(__xludf.DUMMYFUNCTION("if(C1388="""","""",iferror(if(row()&lt;&gt;2,INDEX(arrayformula(filter($Q$2:$Q1387,$C$2:$C1387&lt;&gt;"""",row($C$2:$C1387)=max(if($C$2:$C1387=C1388,row($C$2:$C1387),0)))) ,1),0),0))"),"")</f>
        <v/>
      </c>
      <c r="Q1388" s="147" t="str">
        <f t="shared" si="22"/>
        <v/>
      </c>
      <c r="R1388" s="147" t="str">
        <f t="shared" si="23"/>
        <v/>
      </c>
      <c r="S1388" s="147" t="str">
        <f t="shared" si="24"/>
        <v/>
      </c>
      <c r="T1388" s="147" t="str">
        <f t="shared" si="7"/>
        <v/>
      </c>
      <c r="U1388" s="150" t="str">
        <f t="shared" si="8"/>
        <v/>
      </c>
      <c r="V1388" s="151" t="str">
        <f>IFERROR(VLOOKUP(C1388,Ativos!$A$1:$G2000,5,),)</f>
        <v/>
      </c>
    </row>
    <row r="1389" ht="21.0" customHeight="1">
      <c r="A1389" s="152"/>
      <c r="B1389" s="160"/>
      <c r="C1389" s="153"/>
      <c r="D1389" s="154"/>
      <c r="E1389" s="139"/>
      <c r="F1389" s="139"/>
      <c r="G1389" s="139"/>
      <c r="H1389" s="135"/>
      <c r="I1389" s="141"/>
      <c r="J1389" s="147" t="str">
        <f>IFERROR(__xludf.DUMMYFUNCTION("IF(ISBLANK(A1389),IFERROR(1/0),IF(COUNT(FILTER(F:F,A:A=A1389))&gt;1,TRUNC(N1389*F1389/SUM(FILTER(N:N,A:A=A1389)),3),F1389))"),"")</f>
        <v/>
      </c>
      <c r="K1389" s="147" t="str">
        <f>IFERROR(__xludf.DUMMYFUNCTION("IF(ISBLANK(A1389),IFERROR(1/0),IF(COUNT(FILTER(G:G,((A:A=A1389)*(B:B=""V""))))&gt;1,TRUNC(N1389*G1389/SUM(FILTER(N:N,((A:A=A1389)*(B:B=""V"")))),3),G1389))"),"")</f>
        <v/>
      </c>
      <c r="L1389" s="148" t="str">
        <f>IFERROR(__xludf.DUMMYFUNCTION("if($C1389="""","""",iferror(if(row()&lt;&gt;2,INDEX(arrayformula(filter($M$2:$M1388,$C$2:$C1388&lt;&gt;"""",row($C$2:$C1388)=max(if($C$2:$C1388=C1389,row($C$2:$C1388),0)))) ,1),0),0))"),"")</f>
        <v/>
      </c>
      <c r="M1389" s="148" t="str">
        <f t="shared" si="1"/>
        <v/>
      </c>
      <c r="N1389" s="147" t="str">
        <f t="shared" si="2"/>
        <v/>
      </c>
      <c r="O1389" s="147" t="str">
        <f t="shared" si="21"/>
        <v/>
      </c>
      <c r="P1389" s="147" t="str">
        <f>IFERROR(__xludf.DUMMYFUNCTION("if(C1389="""","""",iferror(if(row()&lt;&gt;2,INDEX(arrayformula(filter($Q$2:$Q1388,$C$2:$C1388&lt;&gt;"""",row($C$2:$C1388)=max(if($C$2:$C1388=C1389,row($C$2:$C1388),0)))) ,1),0),0))"),"")</f>
        <v/>
      </c>
      <c r="Q1389" s="147" t="str">
        <f t="shared" si="22"/>
        <v/>
      </c>
      <c r="R1389" s="147" t="str">
        <f t="shared" si="23"/>
        <v/>
      </c>
      <c r="S1389" s="147" t="str">
        <f t="shared" si="24"/>
        <v/>
      </c>
      <c r="T1389" s="147" t="str">
        <f t="shared" si="7"/>
        <v/>
      </c>
      <c r="U1389" s="150" t="str">
        <f t="shared" si="8"/>
        <v/>
      </c>
      <c r="V1389" s="151" t="str">
        <f>IFERROR(VLOOKUP(C1389,Ativos!$A$1:$G2000,5,),)</f>
        <v/>
      </c>
    </row>
    <row r="1390" ht="21.0" customHeight="1">
      <c r="A1390" s="152"/>
      <c r="B1390" s="160"/>
      <c r="C1390" s="153"/>
      <c r="D1390" s="154"/>
      <c r="E1390" s="139"/>
      <c r="F1390" s="139"/>
      <c r="G1390" s="139"/>
      <c r="H1390" s="135"/>
      <c r="I1390" s="141"/>
      <c r="J1390" s="147" t="str">
        <f>IFERROR(__xludf.DUMMYFUNCTION("IF(ISBLANK(A1390),IFERROR(1/0),IF(COUNT(FILTER(F:F,A:A=A1390))&gt;1,TRUNC(N1390*F1390/SUM(FILTER(N:N,A:A=A1390)),3),F1390))"),"")</f>
        <v/>
      </c>
      <c r="K1390" s="147" t="str">
        <f>IFERROR(__xludf.DUMMYFUNCTION("IF(ISBLANK(A1390),IFERROR(1/0),IF(COUNT(FILTER(G:G,((A:A=A1390)*(B:B=""V""))))&gt;1,TRUNC(N1390*G1390/SUM(FILTER(N:N,((A:A=A1390)*(B:B=""V"")))),3),G1390))"),"")</f>
        <v/>
      </c>
      <c r="L1390" s="148" t="str">
        <f>IFERROR(__xludf.DUMMYFUNCTION("if($C1390="""","""",iferror(if(row()&lt;&gt;2,INDEX(arrayformula(filter($M$2:$M1389,$C$2:$C1389&lt;&gt;"""",row($C$2:$C1389)=max(if($C$2:$C1389=C1390,row($C$2:$C1389),0)))) ,1),0),0))"),"")</f>
        <v/>
      </c>
      <c r="M1390" s="148" t="str">
        <f t="shared" si="1"/>
        <v/>
      </c>
      <c r="N1390" s="147" t="str">
        <f t="shared" si="2"/>
        <v/>
      </c>
      <c r="O1390" s="147" t="str">
        <f t="shared" si="21"/>
        <v/>
      </c>
      <c r="P1390" s="147" t="str">
        <f>IFERROR(__xludf.DUMMYFUNCTION("if(C1390="""","""",iferror(if(row()&lt;&gt;2,INDEX(arrayformula(filter($Q$2:$Q1389,$C$2:$C1389&lt;&gt;"""",row($C$2:$C1389)=max(if($C$2:$C1389=C1390,row($C$2:$C1389),0)))) ,1),0),0))"),"")</f>
        <v/>
      </c>
      <c r="Q1390" s="147" t="str">
        <f t="shared" si="22"/>
        <v/>
      </c>
      <c r="R1390" s="147" t="str">
        <f t="shared" si="23"/>
        <v/>
      </c>
      <c r="S1390" s="147" t="str">
        <f t="shared" si="24"/>
        <v/>
      </c>
      <c r="T1390" s="147" t="str">
        <f t="shared" si="7"/>
        <v/>
      </c>
      <c r="U1390" s="150" t="str">
        <f t="shared" si="8"/>
        <v/>
      </c>
      <c r="V1390" s="151" t="str">
        <f>IFERROR(VLOOKUP(C1390,Ativos!$A$1:$G2000,5,),)</f>
        <v/>
      </c>
    </row>
    <row r="1391" ht="21.0" customHeight="1">
      <c r="A1391" s="152"/>
      <c r="B1391" s="160"/>
      <c r="C1391" s="153"/>
      <c r="D1391" s="154"/>
      <c r="E1391" s="139"/>
      <c r="F1391" s="139"/>
      <c r="G1391" s="139"/>
      <c r="H1391" s="135"/>
      <c r="I1391" s="141"/>
      <c r="J1391" s="147" t="str">
        <f>IFERROR(__xludf.DUMMYFUNCTION("IF(ISBLANK(A1391),IFERROR(1/0),IF(COUNT(FILTER(F:F,A:A=A1391))&gt;1,TRUNC(N1391*F1391/SUM(FILTER(N:N,A:A=A1391)),3),F1391))"),"")</f>
        <v/>
      </c>
      <c r="K1391" s="147" t="str">
        <f>IFERROR(__xludf.DUMMYFUNCTION("IF(ISBLANK(A1391),IFERROR(1/0),IF(COUNT(FILTER(G:G,((A:A=A1391)*(B:B=""V""))))&gt;1,TRUNC(N1391*G1391/SUM(FILTER(N:N,((A:A=A1391)*(B:B=""V"")))),3),G1391))"),"")</f>
        <v/>
      </c>
      <c r="L1391" s="148" t="str">
        <f>IFERROR(__xludf.DUMMYFUNCTION("if($C1391="""","""",iferror(if(row()&lt;&gt;2,INDEX(arrayformula(filter($M$2:$M1390,$C$2:$C1390&lt;&gt;"""",row($C$2:$C1390)=max(if($C$2:$C1390=C1391,row($C$2:$C1390),0)))) ,1),0),0))"),"")</f>
        <v/>
      </c>
      <c r="M1391" s="148" t="str">
        <f t="shared" si="1"/>
        <v/>
      </c>
      <c r="N1391" s="147" t="str">
        <f t="shared" si="2"/>
        <v/>
      </c>
      <c r="O1391" s="147" t="str">
        <f t="shared" si="21"/>
        <v/>
      </c>
      <c r="P1391" s="147" t="str">
        <f>IFERROR(__xludf.DUMMYFUNCTION("if(C1391="""","""",iferror(if(row()&lt;&gt;2,INDEX(arrayformula(filter($Q$2:$Q1390,$C$2:$C1390&lt;&gt;"""",row($C$2:$C1390)=max(if($C$2:$C1390=C1391,row($C$2:$C1390),0)))) ,1),0),0))"),"")</f>
        <v/>
      </c>
      <c r="Q1391" s="147" t="str">
        <f t="shared" si="22"/>
        <v/>
      </c>
      <c r="R1391" s="147" t="str">
        <f t="shared" si="23"/>
        <v/>
      </c>
      <c r="S1391" s="147" t="str">
        <f t="shared" si="24"/>
        <v/>
      </c>
      <c r="T1391" s="147" t="str">
        <f t="shared" si="7"/>
        <v/>
      </c>
      <c r="U1391" s="150" t="str">
        <f t="shared" si="8"/>
        <v/>
      </c>
      <c r="V1391" s="151" t="str">
        <f>IFERROR(VLOOKUP(C1391,Ativos!$A$1:$G2000,5,),)</f>
        <v/>
      </c>
    </row>
    <row r="1392" ht="21.0" customHeight="1">
      <c r="A1392" s="152"/>
      <c r="B1392" s="160"/>
      <c r="C1392" s="153"/>
      <c r="D1392" s="154"/>
      <c r="E1392" s="139"/>
      <c r="F1392" s="139"/>
      <c r="G1392" s="139"/>
      <c r="H1392" s="135"/>
      <c r="I1392" s="141"/>
      <c r="J1392" s="147" t="str">
        <f>IFERROR(__xludf.DUMMYFUNCTION("IF(ISBLANK(A1392),IFERROR(1/0),IF(COUNT(FILTER(F:F,A:A=A1392))&gt;1,TRUNC(N1392*F1392/SUM(FILTER(N:N,A:A=A1392)),3),F1392))"),"")</f>
        <v/>
      </c>
      <c r="K1392" s="147" t="str">
        <f>IFERROR(__xludf.DUMMYFUNCTION("IF(ISBLANK(A1392),IFERROR(1/0),IF(COUNT(FILTER(G:G,((A:A=A1392)*(B:B=""V""))))&gt;1,TRUNC(N1392*G1392/SUM(FILTER(N:N,((A:A=A1392)*(B:B=""V"")))),3),G1392))"),"")</f>
        <v/>
      </c>
      <c r="L1392" s="148" t="str">
        <f>IFERROR(__xludf.DUMMYFUNCTION("if($C1392="""","""",iferror(if(row()&lt;&gt;2,INDEX(arrayformula(filter($M$2:$M1391,$C$2:$C1391&lt;&gt;"""",row($C$2:$C1391)=max(if($C$2:$C1391=C1392,row($C$2:$C1391),0)))) ,1),0),0))"),"")</f>
        <v/>
      </c>
      <c r="M1392" s="148" t="str">
        <f t="shared" si="1"/>
        <v/>
      </c>
      <c r="N1392" s="147" t="str">
        <f t="shared" si="2"/>
        <v/>
      </c>
      <c r="O1392" s="147" t="str">
        <f t="shared" si="21"/>
        <v/>
      </c>
      <c r="P1392" s="147" t="str">
        <f>IFERROR(__xludf.DUMMYFUNCTION("if(C1392="""","""",iferror(if(row()&lt;&gt;2,INDEX(arrayformula(filter($Q$2:$Q1391,$C$2:$C1391&lt;&gt;"""",row($C$2:$C1391)=max(if($C$2:$C1391=C1392,row($C$2:$C1391),0)))) ,1),0),0))"),"")</f>
        <v/>
      </c>
      <c r="Q1392" s="147" t="str">
        <f t="shared" si="22"/>
        <v/>
      </c>
      <c r="R1392" s="147" t="str">
        <f t="shared" si="23"/>
        <v/>
      </c>
      <c r="S1392" s="147" t="str">
        <f t="shared" si="24"/>
        <v/>
      </c>
      <c r="T1392" s="147" t="str">
        <f t="shared" si="7"/>
        <v/>
      </c>
      <c r="U1392" s="150" t="str">
        <f t="shared" si="8"/>
        <v/>
      </c>
      <c r="V1392" s="151" t="str">
        <f>IFERROR(VLOOKUP(C1392,Ativos!$A$1:$G2000,5,),)</f>
        <v/>
      </c>
    </row>
    <row r="1393" ht="21.0" customHeight="1">
      <c r="A1393" s="152"/>
      <c r="B1393" s="160"/>
      <c r="C1393" s="153"/>
      <c r="D1393" s="154"/>
      <c r="E1393" s="139"/>
      <c r="F1393" s="139"/>
      <c r="G1393" s="139"/>
      <c r="H1393" s="135"/>
      <c r="I1393" s="141"/>
      <c r="J1393" s="147" t="str">
        <f>IFERROR(__xludf.DUMMYFUNCTION("IF(ISBLANK(A1393),IFERROR(1/0),IF(COUNT(FILTER(F:F,A:A=A1393))&gt;1,TRUNC(N1393*F1393/SUM(FILTER(N:N,A:A=A1393)),3),F1393))"),"")</f>
        <v/>
      </c>
      <c r="K1393" s="147" t="str">
        <f>IFERROR(__xludf.DUMMYFUNCTION("IF(ISBLANK(A1393),IFERROR(1/0),IF(COUNT(FILTER(G:G,((A:A=A1393)*(B:B=""V""))))&gt;1,TRUNC(N1393*G1393/SUM(FILTER(N:N,((A:A=A1393)*(B:B=""V"")))),3),G1393))"),"")</f>
        <v/>
      </c>
      <c r="L1393" s="148" t="str">
        <f>IFERROR(__xludf.DUMMYFUNCTION("if($C1393="""","""",iferror(if(row()&lt;&gt;2,INDEX(arrayformula(filter($M$2:$M1392,$C$2:$C1392&lt;&gt;"""",row($C$2:$C1392)=max(if($C$2:$C1392=C1393,row($C$2:$C1392),0)))) ,1),0),0))"),"")</f>
        <v/>
      </c>
      <c r="M1393" s="148" t="str">
        <f t="shared" si="1"/>
        <v/>
      </c>
      <c r="N1393" s="147" t="str">
        <f t="shared" si="2"/>
        <v/>
      </c>
      <c r="O1393" s="147" t="str">
        <f t="shared" si="21"/>
        <v/>
      </c>
      <c r="P1393" s="147" t="str">
        <f>IFERROR(__xludf.DUMMYFUNCTION("if(C1393="""","""",iferror(if(row()&lt;&gt;2,INDEX(arrayformula(filter($Q$2:$Q1392,$C$2:$C1392&lt;&gt;"""",row($C$2:$C1392)=max(if($C$2:$C1392=C1393,row($C$2:$C1392),0)))) ,1),0),0))"),"")</f>
        <v/>
      </c>
      <c r="Q1393" s="147" t="str">
        <f t="shared" si="22"/>
        <v/>
      </c>
      <c r="R1393" s="147" t="str">
        <f t="shared" si="23"/>
        <v/>
      </c>
      <c r="S1393" s="147" t="str">
        <f t="shared" si="24"/>
        <v/>
      </c>
      <c r="T1393" s="147" t="str">
        <f t="shared" si="7"/>
        <v/>
      </c>
      <c r="U1393" s="150" t="str">
        <f t="shared" si="8"/>
        <v/>
      </c>
      <c r="V1393" s="151" t="str">
        <f>IFERROR(VLOOKUP(C1393,Ativos!$A$1:$G2000,5,),)</f>
        <v/>
      </c>
    </row>
    <row r="1394" ht="21.0" customHeight="1">
      <c r="A1394" s="152"/>
      <c r="B1394" s="160"/>
      <c r="C1394" s="153"/>
      <c r="D1394" s="154"/>
      <c r="E1394" s="139"/>
      <c r="F1394" s="139"/>
      <c r="G1394" s="139"/>
      <c r="H1394" s="135"/>
      <c r="I1394" s="141"/>
      <c r="J1394" s="147" t="str">
        <f>IFERROR(__xludf.DUMMYFUNCTION("IF(ISBLANK(A1394),IFERROR(1/0),IF(COUNT(FILTER(F:F,A:A=A1394))&gt;1,TRUNC(N1394*F1394/SUM(FILTER(N:N,A:A=A1394)),3),F1394))"),"")</f>
        <v/>
      </c>
      <c r="K1394" s="147" t="str">
        <f>IFERROR(__xludf.DUMMYFUNCTION("IF(ISBLANK(A1394),IFERROR(1/0),IF(COUNT(FILTER(G:G,((A:A=A1394)*(B:B=""V""))))&gt;1,TRUNC(N1394*G1394/SUM(FILTER(N:N,((A:A=A1394)*(B:B=""V"")))),3),G1394))"),"")</f>
        <v/>
      </c>
      <c r="L1394" s="148" t="str">
        <f>IFERROR(__xludf.DUMMYFUNCTION("if($C1394="""","""",iferror(if(row()&lt;&gt;2,INDEX(arrayformula(filter($M$2:$M1393,$C$2:$C1393&lt;&gt;"""",row($C$2:$C1393)=max(if($C$2:$C1393=C1394,row($C$2:$C1393),0)))) ,1),0),0))"),"")</f>
        <v/>
      </c>
      <c r="M1394" s="148" t="str">
        <f t="shared" si="1"/>
        <v/>
      </c>
      <c r="N1394" s="147" t="str">
        <f t="shared" si="2"/>
        <v/>
      </c>
      <c r="O1394" s="147" t="str">
        <f t="shared" si="21"/>
        <v/>
      </c>
      <c r="P1394" s="147" t="str">
        <f>IFERROR(__xludf.DUMMYFUNCTION("if(C1394="""","""",iferror(if(row()&lt;&gt;2,INDEX(arrayformula(filter($Q$2:$Q1393,$C$2:$C1393&lt;&gt;"""",row($C$2:$C1393)=max(if($C$2:$C1393=C1394,row($C$2:$C1393),0)))) ,1),0),0))"),"")</f>
        <v/>
      </c>
      <c r="Q1394" s="147" t="str">
        <f t="shared" si="22"/>
        <v/>
      </c>
      <c r="R1394" s="147" t="str">
        <f t="shared" si="23"/>
        <v/>
      </c>
      <c r="S1394" s="147" t="str">
        <f t="shared" si="24"/>
        <v/>
      </c>
      <c r="T1394" s="147" t="str">
        <f t="shared" si="7"/>
        <v/>
      </c>
      <c r="U1394" s="150" t="str">
        <f t="shared" si="8"/>
        <v/>
      </c>
      <c r="V1394" s="151" t="str">
        <f>IFERROR(VLOOKUP(C1394,Ativos!$A$1:$G2000,5,),)</f>
        <v/>
      </c>
    </row>
    <row r="1395" ht="21.0" customHeight="1">
      <c r="A1395" s="152"/>
      <c r="B1395" s="160"/>
      <c r="C1395" s="153"/>
      <c r="D1395" s="154"/>
      <c r="E1395" s="139"/>
      <c r="F1395" s="139"/>
      <c r="G1395" s="139"/>
      <c r="H1395" s="135"/>
      <c r="I1395" s="141"/>
      <c r="J1395" s="147" t="str">
        <f>IFERROR(__xludf.DUMMYFUNCTION("IF(ISBLANK(A1395),IFERROR(1/0),IF(COUNT(FILTER(F:F,A:A=A1395))&gt;1,TRUNC(N1395*F1395/SUM(FILTER(N:N,A:A=A1395)),3),F1395))"),"")</f>
        <v/>
      </c>
      <c r="K1395" s="147" t="str">
        <f>IFERROR(__xludf.DUMMYFUNCTION("IF(ISBLANK(A1395),IFERROR(1/0),IF(COUNT(FILTER(G:G,((A:A=A1395)*(B:B=""V""))))&gt;1,TRUNC(N1395*G1395/SUM(FILTER(N:N,((A:A=A1395)*(B:B=""V"")))),3),G1395))"),"")</f>
        <v/>
      </c>
      <c r="L1395" s="148" t="str">
        <f>IFERROR(__xludf.DUMMYFUNCTION("if($C1395="""","""",iferror(if(row()&lt;&gt;2,INDEX(arrayformula(filter($M$2:$M1394,$C$2:$C1394&lt;&gt;"""",row($C$2:$C1394)=max(if($C$2:$C1394=C1395,row($C$2:$C1394),0)))) ,1),0),0))"),"")</f>
        <v/>
      </c>
      <c r="M1395" s="148" t="str">
        <f t="shared" si="1"/>
        <v/>
      </c>
      <c r="N1395" s="147" t="str">
        <f t="shared" si="2"/>
        <v/>
      </c>
      <c r="O1395" s="147" t="str">
        <f t="shared" si="21"/>
        <v/>
      </c>
      <c r="P1395" s="147" t="str">
        <f>IFERROR(__xludf.DUMMYFUNCTION("if(C1395="""","""",iferror(if(row()&lt;&gt;2,INDEX(arrayformula(filter($Q$2:$Q1394,$C$2:$C1394&lt;&gt;"""",row($C$2:$C1394)=max(if($C$2:$C1394=C1395,row($C$2:$C1394),0)))) ,1),0),0))"),"")</f>
        <v/>
      </c>
      <c r="Q1395" s="147" t="str">
        <f t="shared" si="22"/>
        <v/>
      </c>
      <c r="R1395" s="147" t="str">
        <f t="shared" si="23"/>
        <v/>
      </c>
      <c r="S1395" s="147" t="str">
        <f t="shared" si="24"/>
        <v/>
      </c>
      <c r="T1395" s="147" t="str">
        <f t="shared" si="7"/>
        <v/>
      </c>
      <c r="U1395" s="150" t="str">
        <f t="shared" si="8"/>
        <v/>
      </c>
      <c r="V1395" s="151" t="str">
        <f>IFERROR(VLOOKUP(C1395,Ativos!$A$1:$G2000,5,),)</f>
        <v/>
      </c>
    </row>
    <row r="1396" ht="21.0" customHeight="1">
      <c r="A1396" s="152"/>
      <c r="B1396" s="160"/>
      <c r="C1396" s="153"/>
      <c r="D1396" s="154"/>
      <c r="E1396" s="139"/>
      <c r="F1396" s="139"/>
      <c r="G1396" s="139"/>
      <c r="H1396" s="135"/>
      <c r="I1396" s="141"/>
      <c r="J1396" s="147" t="str">
        <f>IFERROR(__xludf.DUMMYFUNCTION("IF(ISBLANK(A1396),IFERROR(1/0),IF(COUNT(FILTER(F:F,A:A=A1396))&gt;1,TRUNC(N1396*F1396/SUM(FILTER(N:N,A:A=A1396)),3),F1396))"),"")</f>
        <v/>
      </c>
      <c r="K1396" s="147" t="str">
        <f>IFERROR(__xludf.DUMMYFUNCTION("IF(ISBLANK(A1396),IFERROR(1/0),IF(COUNT(FILTER(G:G,((A:A=A1396)*(B:B=""V""))))&gt;1,TRUNC(N1396*G1396/SUM(FILTER(N:N,((A:A=A1396)*(B:B=""V"")))),3),G1396))"),"")</f>
        <v/>
      </c>
      <c r="L1396" s="148" t="str">
        <f>IFERROR(__xludf.DUMMYFUNCTION("if($C1396="""","""",iferror(if(row()&lt;&gt;2,INDEX(arrayformula(filter($M$2:$M1395,$C$2:$C1395&lt;&gt;"""",row($C$2:$C1395)=max(if($C$2:$C1395=C1396,row($C$2:$C1395),0)))) ,1),0),0))"),"")</f>
        <v/>
      </c>
      <c r="M1396" s="148" t="str">
        <f t="shared" si="1"/>
        <v/>
      </c>
      <c r="N1396" s="147" t="str">
        <f t="shared" si="2"/>
        <v/>
      </c>
      <c r="O1396" s="147" t="str">
        <f t="shared" si="21"/>
        <v/>
      </c>
      <c r="P1396" s="147" t="str">
        <f>IFERROR(__xludf.DUMMYFUNCTION("if(C1396="""","""",iferror(if(row()&lt;&gt;2,INDEX(arrayformula(filter($Q$2:$Q1395,$C$2:$C1395&lt;&gt;"""",row($C$2:$C1395)=max(if($C$2:$C1395=C1396,row($C$2:$C1395),0)))) ,1),0),0))"),"")</f>
        <v/>
      </c>
      <c r="Q1396" s="147" t="str">
        <f t="shared" si="22"/>
        <v/>
      </c>
      <c r="R1396" s="147" t="str">
        <f t="shared" si="23"/>
        <v/>
      </c>
      <c r="S1396" s="147" t="str">
        <f t="shared" si="24"/>
        <v/>
      </c>
      <c r="T1396" s="147" t="str">
        <f t="shared" si="7"/>
        <v/>
      </c>
      <c r="U1396" s="150" t="str">
        <f t="shared" si="8"/>
        <v/>
      </c>
      <c r="V1396" s="151" t="str">
        <f>IFERROR(VLOOKUP(C1396,Ativos!$A$1:$G2000,5,),)</f>
        <v/>
      </c>
    </row>
    <row r="1397" ht="21.0" customHeight="1">
      <c r="A1397" s="152"/>
      <c r="B1397" s="160"/>
      <c r="C1397" s="153"/>
      <c r="D1397" s="154"/>
      <c r="E1397" s="139"/>
      <c r="F1397" s="139"/>
      <c r="G1397" s="139"/>
      <c r="H1397" s="135"/>
      <c r="I1397" s="141"/>
      <c r="J1397" s="147" t="str">
        <f>IFERROR(__xludf.DUMMYFUNCTION("IF(ISBLANK(A1397),IFERROR(1/0),IF(COUNT(FILTER(F:F,A:A=A1397))&gt;1,TRUNC(N1397*F1397/SUM(FILTER(N:N,A:A=A1397)),3),F1397))"),"")</f>
        <v/>
      </c>
      <c r="K1397" s="147" t="str">
        <f>IFERROR(__xludf.DUMMYFUNCTION("IF(ISBLANK(A1397),IFERROR(1/0),IF(COUNT(FILTER(G:G,((A:A=A1397)*(B:B=""V""))))&gt;1,TRUNC(N1397*G1397/SUM(FILTER(N:N,((A:A=A1397)*(B:B=""V"")))),3),G1397))"),"")</f>
        <v/>
      </c>
      <c r="L1397" s="148" t="str">
        <f>IFERROR(__xludf.DUMMYFUNCTION("if($C1397="""","""",iferror(if(row()&lt;&gt;2,INDEX(arrayformula(filter($M$2:$M1396,$C$2:$C1396&lt;&gt;"""",row($C$2:$C1396)=max(if($C$2:$C1396=C1397,row($C$2:$C1396),0)))) ,1),0),0))"),"")</f>
        <v/>
      </c>
      <c r="M1397" s="148" t="str">
        <f t="shared" si="1"/>
        <v/>
      </c>
      <c r="N1397" s="147" t="str">
        <f t="shared" si="2"/>
        <v/>
      </c>
      <c r="O1397" s="147" t="str">
        <f t="shared" si="21"/>
        <v/>
      </c>
      <c r="P1397" s="147" t="str">
        <f>IFERROR(__xludf.DUMMYFUNCTION("if(C1397="""","""",iferror(if(row()&lt;&gt;2,INDEX(arrayformula(filter($Q$2:$Q1396,$C$2:$C1396&lt;&gt;"""",row($C$2:$C1396)=max(if($C$2:$C1396=C1397,row($C$2:$C1396),0)))) ,1),0),0))"),"")</f>
        <v/>
      </c>
      <c r="Q1397" s="147" t="str">
        <f t="shared" si="22"/>
        <v/>
      </c>
      <c r="R1397" s="147" t="str">
        <f t="shared" si="23"/>
        <v/>
      </c>
      <c r="S1397" s="147" t="str">
        <f t="shared" si="24"/>
        <v/>
      </c>
      <c r="T1397" s="147" t="str">
        <f t="shared" si="7"/>
        <v/>
      </c>
      <c r="U1397" s="150" t="str">
        <f t="shared" si="8"/>
        <v/>
      </c>
      <c r="V1397" s="151" t="str">
        <f>IFERROR(VLOOKUP(C1397,Ativos!$A$1:$G2000,5,),)</f>
        <v/>
      </c>
    </row>
    <row r="1398" ht="21.0" customHeight="1">
      <c r="A1398" s="152"/>
      <c r="B1398" s="160"/>
      <c r="C1398" s="153"/>
      <c r="D1398" s="154"/>
      <c r="E1398" s="139"/>
      <c r="F1398" s="139"/>
      <c r="G1398" s="139"/>
      <c r="H1398" s="135"/>
      <c r="I1398" s="141"/>
      <c r="J1398" s="147" t="str">
        <f>IFERROR(__xludf.DUMMYFUNCTION("IF(ISBLANK(A1398),IFERROR(1/0),IF(COUNT(FILTER(F:F,A:A=A1398))&gt;1,TRUNC(N1398*F1398/SUM(FILTER(N:N,A:A=A1398)),3),F1398))"),"")</f>
        <v/>
      </c>
      <c r="K1398" s="147" t="str">
        <f>IFERROR(__xludf.DUMMYFUNCTION("IF(ISBLANK(A1398),IFERROR(1/0),IF(COUNT(FILTER(G:G,((A:A=A1398)*(B:B=""V""))))&gt;1,TRUNC(N1398*G1398/SUM(FILTER(N:N,((A:A=A1398)*(B:B=""V"")))),3),G1398))"),"")</f>
        <v/>
      </c>
      <c r="L1398" s="148" t="str">
        <f>IFERROR(__xludf.DUMMYFUNCTION("if($C1398="""","""",iferror(if(row()&lt;&gt;2,INDEX(arrayformula(filter($M$2:$M1397,$C$2:$C1397&lt;&gt;"""",row($C$2:$C1397)=max(if($C$2:$C1397=C1398,row($C$2:$C1397),0)))) ,1),0),0))"),"")</f>
        <v/>
      </c>
      <c r="M1398" s="148" t="str">
        <f t="shared" si="1"/>
        <v/>
      </c>
      <c r="N1398" s="147" t="str">
        <f t="shared" si="2"/>
        <v/>
      </c>
      <c r="O1398" s="147" t="str">
        <f t="shared" si="21"/>
        <v/>
      </c>
      <c r="P1398" s="147" t="str">
        <f>IFERROR(__xludf.DUMMYFUNCTION("if(C1398="""","""",iferror(if(row()&lt;&gt;2,INDEX(arrayformula(filter($Q$2:$Q1397,$C$2:$C1397&lt;&gt;"""",row($C$2:$C1397)=max(if($C$2:$C1397=C1398,row($C$2:$C1397),0)))) ,1),0),0))"),"")</f>
        <v/>
      </c>
      <c r="Q1398" s="147" t="str">
        <f t="shared" si="22"/>
        <v/>
      </c>
      <c r="R1398" s="147" t="str">
        <f t="shared" si="23"/>
        <v/>
      </c>
      <c r="S1398" s="147" t="str">
        <f t="shared" si="24"/>
        <v/>
      </c>
      <c r="T1398" s="147" t="str">
        <f t="shared" si="7"/>
        <v/>
      </c>
      <c r="U1398" s="150" t="str">
        <f t="shared" si="8"/>
        <v/>
      </c>
      <c r="V1398" s="151" t="str">
        <f>IFERROR(VLOOKUP(C1398,Ativos!$A$1:$G2000,5,),)</f>
        <v/>
      </c>
    </row>
    <row r="1399" ht="21.0" customHeight="1">
      <c r="A1399" s="152"/>
      <c r="B1399" s="160"/>
      <c r="C1399" s="153"/>
      <c r="D1399" s="154"/>
      <c r="E1399" s="139"/>
      <c r="F1399" s="139"/>
      <c r="G1399" s="139"/>
      <c r="H1399" s="135"/>
      <c r="I1399" s="141"/>
      <c r="J1399" s="147" t="str">
        <f>IFERROR(__xludf.DUMMYFUNCTION("IF(ISBLANK(A1399),IFERROR(1/0),IF(COUNT(FILTER(F:F,A:A=A1399))&gt;1,TRUNC(N1399*F1399/SUM(FILTER(N:N,A:A=A1399)),3),F1399))"),"")</f>
        <v/>
      </c>
      <c r="K1399" s="147" t="str">
        <f>IFERROR(__xludf.DUMMYFUNCTION("IF(ISBLANK(A1399),IFERROR(1/0),IF(COUNT(FILTER(G:G,((A:A=A1399)*(B:B=""V""))))&gt;1,TRUNC(N1399*G1399/SUM(FILTER(N:N,((A:A=A1399)*(B:B=""V"")))),3),G1399))"),"")</f>
        <v/>
      </c>
      <c r="L1399" s="148" t="str">
        <f>IFERROR(__xludf.DUMMYFUNCTION("if($C1399="""","""",iferror(if(row()&lt;&gt;2,INDEX(arrayformula(filter($M$2:$M1398,$C$2:$C1398&lt;&gt;"""",row($C$2:$C1398)=max(if($C$2:$C1398=C1399,row($C$2:$C1398),0)))) ,1),0),0))"),"")</f>
        <v/>
      </c>
      <c r="M1399" s="148" t="str">
        <f t="shared" si="1"/>
        <v/>
      </c>
      <c r="N1399" s="147" t="str">
        <f t="shared" si="2"/>
        <v/>
      </c>
      <c r="O1399" s="147" t="str">
        <f t="shared" si="21"/>
        <v/>
      </c>
      <c r="P1399" s="147" t="str">
        <f>IFERROR(__xludf.DUMMYFUNCTION("if(C1399="""","""",iferror(if(row()&lt;&gt;2,INDEX(arrayformula(filter($Q$2:$Q1398,$C$2:$C1398&lt;&gt;"""",row($C$2:$C1398)=max(if($C$2:$C1398=C1399,row($C$2:$C1398),0)))) ,1),0),0))"),"")</f>
        <v/>
      </c>
      <c r="Q1399" s="147" t="str">
        <f t="shared" si="22"/>
        <v/>
      </c>
      <c r="R1399" s="147" t="str">
        <f t="shared" si="23"/>
        <v/>
      </c>
      <c r="S1399" s="147" t="str">
        <f t="shared" si="24"/>
        <v/>
      </c>
      <c r="T1399" s="147" t="str">
        <f t="shared" si="7"/>
        <v/>
      </c>
      <c r="U1399" s="150" t="str">
        <f t="shared" si="8"/>
        <v/>
      </c>
      <c r="V1399" s="151" t="str">
        <f>IFERROR(VLOOKUP(C1399,Ativos!$A$1:$G2000,5,),)</f>
        <v/>
      </c>
    </row>
    <row r="1400" ht="21.0" customHeight="1">
      <c r="A1400" s="152"/>
      <c r="B1400" s="160"/>
      <c r="C1400" s="153"/>
      <c r="D1400" s="154"/>
      <c r="E1400" s="139"/>
      <c r="F1400" s="139"/>
      <c r="G1400" s="139"/>
      <c r="H1400" s="135"/>
      <c r="I1400" s="141"/>
      <c r="J1400" s="147" t="str">
        <f>IFERROR(__xludf.DUMMYFUNCTION("IF(ISBLANK(A1400),IFERROR(1/0),IF(COUNT(FILTER(F:F,A:A=A1400))&gt;1,TRUNC(N1400*F1400/SUM(FILTER(N:N,A:A=A1400)),3),F1400))"),"")</f>
        <v/>
      </c>
      <c r="K1400" s="147" t="str">
        <f>IFERROR(__xludf.DUMMYFUNCTION("IF(ISBLANK(A1400),IFERROR(1/0),IF(COUNT(FILTER(G:G,((A:A=A1400)*(B:B=""V""))))&gt;1,TRUNC(N1400*G1400/SUM(FILTER(N:N,((A:A=A1400)*(B:B=""V"")))),3),G1400))"),"")</f>
        <v/>
      </c>
      <c r="L1400" s="148" t="str">
        <f>IFERROR(__xludf.DUMMYFUNCTION("if($C1400="""","""",iferror(if(row()&lt;&gt;2,INDEX(arrayformula(filter($M$2:$M1399,$C$2:$C1399&lt;&gt;"""",row($C$2:$C1399)=max(if($C$2:$C1399=C1400,row($C$2:$C1399),0)))) ,1),0),0))"),"")</f>
        <v/>
      </c>
      <c r="M1400" s="148" t="str">
        <f t="shared" si="1"/>
        <v/>
      </c>
      <c r="N1400" s="147" t="str">
        <f t="shared" si="2"/>
        <v/>
      </c>
      <c r="O1400" s="147" t="str">
        <f t="shared" si="21"/>
        <v/>
      </c>
      <c r="P1400" s="147" t="str">
        <f>IFERROR(__xludf.DUMMYFUNCTION("if(C1400="""","""",iferror(if(row()&lt;&gt;2,INDEX(arrayformula(filter($Q$2:$Q1399,$C$2:$C1399&lt;&gt;"""",row($C$2:$C1399)=max(if($C$2:$C1399=C1400,row($C$2:$C1399),0)))) ,1),0),0))"),"")</f>
        <v/>
      </c>
      <c r="Q1400" s="147" t="str">
        <f t="shared" si="22"/>
        <v/>
      </c>
      <c r="R1400" s="147" t="str">
        <f t="shared" si="23"/>
        <v/>
      </c>
      <c r="S1400" s="147" t="str">
        <f t="shared" si="24"/>
        <v/>
      </c>
      <c r="T1400" s="147" t="str">
        <f t="shared" si="7"/>
        <v/>
      </c>
      <c r="U1400" s="150" t="str">
        <f t="shared" si="8"/>
        <v/>
      </c>
      <c r="V1400" s="151" t="str">
        <f>IFERROR(VLOOKUP(C1400,Ativos!$A$1:$G2000,5,),)</f>
        <v/>
      </c>
    </row>
    <row r="1401" ht="21.0" customHeight="1">
      <c r="A1401" s="152"/>
      <c r="B1401" s="160"/>
      <c r="C1401" s="153"/>
      <c r="D1401" s="154"/>
      <c r="E1401" s="139"/>
      <c r="F1401" s="139"/>
      <c r="G1401" s="139"/>
      <c r="H1401" s="135"/>
      <c r="I1401" s="141"/>
      <c r="J1401" s="147" t="str">
        <f>IFERROR(__xludf.DUMMYFUNCTION("IF(ISBLANK(A1401),IFERROR(1/0),IF(COUNT(FILTER(F:F,A:A=A1401))&gt;1,TRUNC(N1401*F1401/SUM(FILTER(N:N,A:A=A1401)),3),F1401))"),"")</f>
        <v/>
      </c>
      <c r="K1401" s="147" t="str">
        <f>IFERROR(__xludf.DUMMYFUNCTION("IF(ISBLANK(A1401),IFERROR(1/0),IF(COUNT(FILTER(G:G,((A:A=A1401)*(B:B=""V""))))&gt;1,TRUNC(N1401*G1401/SUM(FILTER(N:N,((A:A=A1401)*(B:B=""V"")))),3),G1401))"),"")</f>
        <v/>
      </c>
      <c r="L1401" s="148" t="str">
        <f>IFERROR(__xludf.DUMMYFUNCTION("if($C1401="""","""",iferror(if(row()&lt;&gt;2,INDEX(arrayformula(filter($M$2:$M1400,$C$2:$C1400&lt;&gt;"""",row($C$2:$C1400)=max(if($C$2:$C1400=C1401,row($C$2:$C1400),0)))) ,1),0),0))"),"")</f>
        <v/>
      </c>
      <c r="M1401" s="148" t="str">
        <f t="shared" si="1"/>
        <v/>
      </c>
      <c r="N1401" s="147" t="str">
        <f t="shared" si="2"/>
        <v/>
      </c>
      <c r="O1401" s="147" t="str">
        <f t="shared" si="21"/>
        <v/>
      </c>
      <c r="P1401" s="147" t="str">
        <f>IFERROR(__xludf.DUMMYFUNCTION("if(C1401="""","""",iferror(if(row()&lt;&gt;2,INDEX(arrayformula(filter($Q$2:$Q1400,$C$2:$C1400&lt;&gt;"""",row($C$2:$C1400)=max(if($C$2:$C1400=C1401,row($C$2:$C1400),0)))) ,1),0),0))"),"")</f>
        <v/>
      </c>
      <c r="Q1401" s="147" t="str">
        <f t="shared" si="22"/>
        <v/>
      </c>
      <c r="R1401" s="147" t="str">
        <f t="shared" si="23"/>
        <v/>
      </c>
      <c r="S1401" s="147" t="str">
        <f t="shared" si="24"/>
        <v/>
      </c>
      <c r="T1401" s="147" t="str">
        <f t="shared" si="7"/>
        <v/>
      </c>
      <c r="U1401" s="150" t="str">
        <f t="shared" si="8"/>
        <v/>
      </c>
      <c r="V1401" s="151" t="str">
        <f>IFERROR(VLOOKUP(C1401,Ativos!$A$1:$G2000,5,),)</f>
        <v/>
      </c>
    </row>
    <row r="1402" ht="21.0" customHeight="1">
      <c r="A1402" s="152"/>
      <c r="B1402" s="160"/>
      <c r="C1402" s="153"/>
      <c r="D1402" s="154"/>
      <c r="E1402" s="139"/>
      <c r="F1402" s="139"/>
      <c r="G1402" s="139"/>
      <c r="H1402" s="135"/>
      <c r="I1402" s="141"/>
      <c r="J1402" s="147" t="str">
        <f>IFERROR(__xludf.DUMMYFUNCTION("IF(ISBLANK(A1402),IFERROR(1/0),IF(COUNT(FILTER(F:F,A:A=A1402))&gt;1,TRUNC(N1402*F1402/SUM(FILTER(N:N,A:A=A1402)),3),F1402))"),"")</f>
        <v/>
      </c>
      <c r="K1402" s="147" t="str">
        <f>IFERROR(__xludf.DUMMYFUNCTION("IF(ISBLANK(A1402),IFERROR(1/0),IF(COUNT(FILTER(G:G,((A:A=A1402)*(B:B=""V""))))&gt;1,TRUNC(N1402*G1402/SUM(FILTER(N:N,((A:A=A1402)*(B:B=""V"")))),3),G1402))"),"")</f>
        <v/>
      </c>
      <c r="L1402" s="148" t="str">
        <f>IFERROR(__xludf.DUMMYFUNCTION("if($C1402="""","""",iferror(if(row()&lt;&gt;2,INDEX(arrayformula(filter($M$2:$M1401,$C$2:$C1401&lt;&gt;"""",row($C$2:$C1401)=max(if($C$2:$C1401=C1402,row($C$2:$C1401),0)))) ,1),0),0))"),"")</f>
        <v/>
      </c>
      <c r="M1402" s="148" t="str">
        <f t="shared" si="1"/>
        <v/>
      </c>
      <c r="N1402" s="147" t="str">
        <f t="shared" si="2"/>
        <v/>
      </c>
      <c r="O1402" s="147" t="str">
        <f t="shared" si="21"/>
        <v/>
      </c>
      <c r="P1402" s="147" t="str">
        <f>IFERROR(__xludf.DUMMYFUNCTION("if(C1402="""","""",iferror(if(row()&lt;&gt;2,INDEX(arrayformula(filter($Q$2:$Q1401,$C$2:$C1401&lt;&gt;"""",row($C$2:$C1401)=max(if($C$2:$C1401=C1402,row($C$2:$C1401),0)))) ,1),0),0))"),"")</f>
        <v/>
      </c>
      <c r="Q1402" s="147" t="str">
        <f t="shared" si="22"/>
        <v/>
      </c>
      <c r="R1402" s="147" t="str">
        <f t="shared" si="23"/>
        <v/>
      </c>
      <c r="S1402" s="147" t="str">
        <f t="shared" si="24"/>
        <v/>
      </c>
      <c r="T1402" s="147" t="str">
        <f t="shared" si="7"/>
        <v/>
      </c>
      <c r="U1402" s="150" t="str">
        <f t="shared" si="8"/>
        <v/>
      </c>
      <c r="V1402" s="151" t="str">
        <f>IFERROR(VLOOKUP(C1402,Ativos!$A$1:$G2000,5,),)</f>
        <v/>
      </c>
    </row>
    <row r="1403" ht="21.0" customHeight="1">
      <c r="A1403" s="152"/>
      <c r="B1403" s="160"/>
      <c r="C1403" s="153"/>
      <c r="D1403" s="154"/>
      <c r="E1403" s="139"/>
      <c r="F1403" s="139"/>
      <c r="G1403" s="139"/>
      <c r="H1403" s="135"/>
      <c r="I1403" s="141"/>
      <c r="J1403" s="147" t="str">
        <f>IFERROR(__xludf.DUMMYFUNCTION("IF(ISBLANK(A1403),IFERROR(1/0),IF(COUNT(FILTER(F:F,A:A=A1403))&gt;1,TRUNC(N1403*F1403/SUM(FILTER(N:N,A:A=A1403)),3),F1403))"),"")</f>
        <v/>
      </c>
      <c r="K1403" s="147" t="str">
        <f>IFERROR(__xludf.DUMMYFUNCTION("IF(ISBLANK(A1403),IFERROR(1/0),IF(COUNT(FILTER(G:G,((A:A=A1403)*(B:B=""V""))))&gt;1,TRUNC(N1403*G1403/SUM(FILTER(N:N,((A:A=A1403)*(B:B=""V"")))),3),G1403))"),"")</f>
        <v/>
      </c>
      <c r="L1403" s="148" t="str">
        <f>IFERROR(__xludf.DUMMYFUNCTION("if($C1403="""","""",iferror(if(row()&lt;&gt;2,INDEX(arrayformula(filter($M$2:$M1402,$C$2:$C1402&lt;&gt;"""",row($C$2:$C1402)=max(if($C$2:$C1402=C1403,row($C$2:$C1402),0)))) ,1),0),0))"),"")</f>
        <v/>
      </c>
      <c r="M1403" s="148" t="str">
        <f t="shared" si="1"/>
        <v/>
      </c>
      <c r="N1403" s="147" t="str">
        <f t="shared" si="2"/>
        <v/>
      </c>
      <c r="O1403" s="147" t="str">
        <f t="shared" si="21"/>
        <v/>
      </c>
      <c r="P1403" s="147" t="str">
        <f>IFERROR(__xludf.DUMMYFUNCTION("if(C1403="""","""",iferror(if(row()&lt;&gt;2,INDEX(arrayformula(filter($Q$2:$Q1402,$C$2:$C1402&lt;&gt;"""",row($C$2:$C1402)=max(if($C$2:$C1402=C1403,row($C$2:$C1402),0)))) ,1),0),0))"),"")</f>
        <v/>
      </c>
      <c r="Q1403" s="147" t="str">
        <f t="shared" si="22"/>
        <v/>
      </c>
      <c r="R1403" s="147" t="str">
        <f t="shared" si="23"/>
        <v/>
      </c>
      <c r="S1403" s="147" t="str">
        <f t="shared" si="24"/>
        <v/>
      </c>
      <c r="T1403" s="147" t="str">
        <f t="shared" si="7"/>
        <v/>
      </c>
      <c r="U1403" s="150" t="str">
        <f t="shared" si="8"/>
        <v/>
      </c>
      <c r="V1403" s="151" t="str">
        <f>IFERROR(VLOOKUP(C1403,Ativos!$A$1:$G2000,5,),)</f>
        <v/>
      </c>
    </row>
    <row r="1404" ht="21.0" customHeight="1">
      <c r="A1404" s="152"/>
      <c r="B1404" s="160"/>
      <c r="C1404" s="153"/>
      <c r="D1404" s="154"/>
      <c r="E1404" s="139"/>
      <c r="F1404" s="139"/>
      <c r="G1404" s="139"/>
      <c r="H1404" s="135"/>
      <c r="I1404" s="141"/>
      <c r="J1404" s="147" t="str">
        <f>IFERROR(__xludf.DUMMYFUNCTION("IF(ISBLANK(A1404),IFERROR(1/0),IF(COUNT(FILTER(F:F,A:A=A1404))&gt;1,TRUNC(N1404*F1404/SUM(FILTER(N:N,A:A=A1404)),3),F1404))"),"")</f>
        <v/>
      </c>
      <c r="K1404" s="147" t="str">
        <f>IFERROR(__xludf.DUMMYFUNCTION("IF(ISBLANK(A1404),IFERROR(1/0),IF(COUNT(FILTER(G:G,((A:A=A1404)*(B:B=""V""))))&gt;1,TRUNC(N1404*G1404/SUM(FILTER(N:N,((A:A=A1404)*(B:B=""V"")))),3),G1404))"),"")</f>
        <v/>
      </c>
      <c r="L1404" s="148" t="str">
        <f>IFERROR(__xludf.DUMMYFUNCTION("if($C1404="""","""",iferror(if(row()&lt;&gt;2,INDEX(arrayformula(filter($M$2:$M1403,$C$2:$C1403&lt;&gt;"""",row($C$2:$C1403)=max(if($C$2:$C1403=C1404,row($C$2:$C1403),0)))) ,1),0),0))"),"")</f>
        <v/>
      </c>
      <c r="M1404" s="148" t="str">
        <f t="shared" si="1"/>
        <v/>
      </c>
      <c r="N1404" s="147" t="str">
        <f t="shared" si="2"/>
        <v/>
      </c>
      <c r="O1404" s="147" t="str">
        <f t="shared" si="21"/>
        <v/>
      </c>
      <c r="P1404" s="147" t="str">
        <f>IFERROR(__xludf.DUMMYFUNCTION("if(C1404="""","""",iferror(if(row()&lt;&gt;2,INDEX(arrayformula(filter($Q$2:$Q1403,$C$2:$C1403&lt;&gt;"""",row($C$2:$C1403)=max(if($C$2:$C1403=C1404,row($C$2:$C1403),0)))) ,1),0),0))"),"")</f>
        <v/>
      </c>
      <c r="Q1404" s="147" t="str">
        <f t="shared" si="22"/>
        <v/>
      </c>
      <c r="R1404" s="147" t="str">
        <f t="shared" si="23"/>
        <v/>
      </c>
      <c r="S1404" s="147" t="str">
        <f t="shared" si="24"/>
        <v/>
      </c>
      <c r="T1404" s="147" t="str">
        <f t="shared" si="7"/>
        <v/>
      </c>
      <c r="U1404" s="150" t="str">
        <f t="shared" si="8"/>
        <v/>
      </c>
      <c r="V1404" s="151" t="str">
        <f>IFERROR(VLOOKUP(C1404,Ativos!$A$1:$G2000,5,),)</f>
        <v/>
      </c>
    </row>
    <row r="1405" ht="21.0" customHeight="1">
      <c r="A1405" s="152"/>
      <c r="B1405" s="160"/>
      <c r="C1405" s="153"/>
      <c r="D1405" s="154"/>
      <c r="E1405" s="139"/>
      <c r="F1405" s="139"/>
      <c r="G1405" s="139"/>
      <c r="H1405" s="135"/>
      <c r="I1405" s="141"/>
      <c r="J1405" s="147" t="str">
        <f>IFERROR(__xludf.DUMMYFUNCTION("IF(ISBLANK(A1405),IFERROR(1/0),IF(COUNT(FILTER(F:F,A:A=A1405))&gt;1,TRUNC(N1405*F1405/SUM(FILTER(N:N,A:A=A1405)),3),F1405))"),"")</f>
        <v/>
      </c>
      <c r="K1405" s="147" t="str">
        <f>IFERROR(__xludf.DUMMYFUNCTION("IF(ISBLANK(A1405),IFERROR(1/0),IF(COUNT(FILTER(G:G,((A:A=A1405)*(B:B=""V""))))&gt;1,TRUNC(N1405*G1405/SUM(FILTER(N:N,((A:A=A1405)*(B:B=""V"")))),3),G1405))"),"")</f>
        <v/>
      </c>
      <c r="L1405" s="148" t="str">
        <f>IFERROR(__xludf.DUMMYFUNCTION("if($C1405="""","""",iferror(if(row()&lt;&gt;2,INDEX(arrayformula(filter($M$2:$M1404,$C$2:$C1404&lt;&gt;"""",row($C$2:$C1404)=max(if($C$2:$C1404=C1405,row($C$2:$C1404),0)))) ,1),0),0))"),"")</f>
        <v/>
      </c>
      <c r="M1405" s="148" t="str">
        <f t="shared" si="1"/>
        <v/>
      </c>
      <c r="N1405" s="147" t="str">
        <f t="shared" si="2"/>
        <v/>
      </c>
      <c r="O1405" s="147" t="str">
        <f t="shared" si="21"/>
        <v/>
      </c>
      <c r="P1405" s="147" t="str">
        <f>IFERROR(__xludf.DUMMYFUNCTION("if(C1405="""","""",iferror(if(row()&lt;&gt;2,INDEX(arrayformula(filter($Q$2:$Q1404,$C$2:$C1404&lt;&gt;"""",row($C$2:$C1404)=max(if($C$2:$C1404=C1405,row($C$2:$C1404),0)))) ,1),0),0))"),"")</f>
        <v/>
      </c>
      <c r="Q1405" s="147" t="str">
        <f t="shared" si="22"/>
        <v/>
      </c>
      <c r="R1405" s="147" t="str">
        <f t="shared" si="23"/>
        <v/>
      </c>
      <c r="S1405" s="147" t="str">
        <f t="shared" si="24"/>
        <v/>
      </c>
      <c r="T1405" s="147" t="str">
        <f t="shared" si="7"/>
        <v/>
      </c>
      <c r="U1405" s="150" t="str">
        <f t="shared" si="8"/>
        <v/>
      </c>
      <c r="V1405" s="151" t="str">
        <f>IFERROR(VLOOKUP(C1405,Ativos!$A$1:$G2000,5,),)</f>
        <v/>
      </c>
    </row>
    <row r="1406" ht="21.0" customHeight="1">
      <c r="A1406" s="152"/>
      <c r="B1406" s="160"/>
      <c r="C1406" s="153"/>
      <c r="D1406" s="154"/>
      <c r="E1406" s="139"/>
      <c r="F1406" s="139"/>
      <c r="G1406" s="139"/>
      <c r="H1406" s="135"/>
      <c r="I1406" s="141"/>
      <c r="J1406" s="147" t="str">
        <f>IFERROR(__xludf.DUMMYFUNCTION("IF(ISBLANK(A1406),IFERROR(1/0),IF(COUNT(FILTER(F:F,A:A=A1406))&gt;1,TRUNC(N1406*F1406/SUM(FILTER(N:N,A:A=A1406)),3),F1406))"),"")</f>
        <v/>
      </c>
      <c r="K1406" s="147" t="str">
        <f>IFERROR(__xludf.DUMMYFUNCTION("IF(ISBLANK(A1406),IFERROR(1/0),IF(COUNT(FILTER(G:G,((A:A=A1406)*(B:B=""V""))))&gt;1,TRUNC(N1406*G1406/SUM(FILTER(N:N,((A:A=A1406)*(B:B=""V"")))),3),G1406))"),"")</f>
        <v/>
      </c>
      <c r="L1406" s="148" t="str">
        <f>IFERROR(__xludf.DUMMYFUNCTION("if($C1406="""","""",iferror(if(row()&lt;&gt;2,INDEX(arrayformula(filter($M$2:$M1405,$C$2:$C1405&lt;&gt;"""",row($C$2:$C1405)=max(if($C$2:$C1405=C1406,row($C$2:$C1405),0)))) ,1),0),0))"),"")</f>
        <v/>
      </c>
      <c r="M1406" s="148" t="str">
        <f t="shared" si="1"/>
        <v/>
      </c>
      <c r="N1406" s="147" t="str">
        <f t="shared" si="2"/>
        <v/>
      </c>
      <c r="O1406" s="147" t="str">
        <f t="shared" si="21"/>
        <v/>
      </c>
      <c r="P1406" s="147" t="str">
        <f>IFERROR(__xludf.DUMMYFUNCTION("if(C1406="""","""",iferror(if(row()&lt;&gt;2,INDEX(arrayformula(filter($Q$2:$Q1405,$C$2:$C1405&lt;&gt;"""",row($C$2:$C1405)=max(if($C$2:$C1405=C1406,row($C$2:$C1405),0)))) ,1),0),0))"),"")</f>
        <v/>
      </c>
      <c r="Q1406" s="147" t="str">
        <f t="shared" si="22"/>
        <v/>
      </c>
      <c r="R1406" s="147" t="str">
        <f t="shared" si="23"/>
        <v/>
      </c>
      <c r="S1406" s="147" t="str">
        <f t="shared" si="24"/>
        <v/>
      </c>
      <c r="T1406" s="147" t="str">
        <f t="shared" si="7"/>
        <v/>
      </c>
      <c r="U1406" s="150" t="str">
        <f t="shared" si="8"/>
        <v/>
      </c>
      <c r="V1406" s="151" t="str">
        <f>IFERROR(VLOOKUP(C1406,Ativos!$A$1:$G2000,5,),)</f>
        <v/>
      </c>
    </row>
    <row r="1407" ht="21.0" customHeight="1">
      <c r="A1407" s="152"/>
      <c r="B1407" s="160"/>
      <c r="C1407" s="153"/>
      <c r="D1407" s="154"/>
      <c r="E1407" s="139"/>
      <c r="F1407" s="139"/>
      <c r="G1407" s="139"/>
      <c r="H1407" s="135"/>
      <c r="I1407" s="141"/>
      <c r="J1407" s="147" t="str">
        <f>IFERROR(__xludf.DUMMYFUNCTION("IF(ISBLANK(A1407),IFERROR(1/0),IF(COUNT(FILTER(F:F,A:A=A1407))&gt;1,TRUNC(N1407*F1407/SUM(FILTER(N:N,A:A=A1407)),3),F1407))"),"")</f>
        <v/>
      </c>
      <c r="K1407" s="147" t="str">
        <f>IFERROR(__xludf.DUMMYFUNCTION("IF(ISBLANK(A1407),IFERROR(1/0),IF(COUNT(FILTER(G:G,((A:A=A1407)*(B:B=""V""))))&gt;1,TRUNC(N1407*G1407/SUM(FILTER(N:N,((A:A=A1407)*(B:B=""V"")))),3),G1407))"),"")</f>
        <v/>
      </c>
      <c r="L1407" s="148" t="str">
        <f>IFERROR(__xludf.DUMMYFUNCTION("if($C1407="""","""",iferror(if(row()&lt;&gt;2,INDEX(arrayformula(filter($M$2:$M1406,$C$2:$C1406&lt;&gt;"""",row($C$2:$C1406)=max(if($C$2:$C1406=C1407,row($C$2:$C1406),0)))) ,1),0),0))"),"")</f>
        <v/>
      </c>
      <c r="M1407" s="148" t="str">
        <f t="shared" si="1"/>
        <v/>
      </c>
      <c r="N1407" s="147" t="str">
        <f t="shared" si="2"/>
        <v/>
      </c>
      <c r="O1407" s="147" t="str">
        <f t="shared" si="21"/>
        <v/>
      </c>
      <c r="P1407" s="147" t="str">
        <f>IFERROR(__xludf.DUMMYFUNCTION("if(C1407="""","""",iferror(if(row()&lt;&gt;2,INDEX(arrayformula(filter($Q$2:$Q1406,$C$2:$C1406&lt;&gt;"""",row($C$2:$C1406)=max(if($C$2:$C1406=C1407,row($C$2:$C1406),0)))) ,1),0),0))"),"")</f>
        <v/>
      </c>
      <c r="Q1407" s="147" t="str">
        <f t="shared" si="22"/>
        <v/>
      </c>
      <c r="R1407" s="147" t="str">
        <f t="shared" si="23"/>
        <v/>
      </c>
      <c r="S1407" s="147" t="str">
        <f t="shared" si="24"/>
        <v/>
      </c>
      <c r="T1407" s="147" t="str">
        <f t="shared" si="7"/>
        <v/>
      </c>
      <c r="U1407" s="150" t="str">
        <f t="shared" si="8"/>
        <v/>
      </c>
      <c r="V1407" s="151" t="str">
        <f>IFERROR(VLOOKUP(C1407,Ativos!$A$1:$G2000,5,),)</f>
        <v/>
      </c>
    </row>
    <row r="1408" ht="21.0" customHeight="1">
      <c r="A1408" s="152"/>
      <c r="B1408" s="160"/>
      <c r="C1408" s="153"/>
      <c r="D1408" s="154"/>
      <c r="E1408" s="139"/>
      <c r="F1408" s="139"/>
      <c r="G1408" s="139"/>
      <c r="H1408" s="135"/>
      <c r="I1408" s="141"/>
      <c r="J1408" s="147" t="str">
        <f>IFERROR(__xludf.DUMMYFUNCTION("IF(ISBLANK(A1408),IFERROR(1/0),IF(COUNT(FILTER(F:F,A:A=A1408))&gt;1,TRUNC(N1408*F1408/SUM(FILTER(N:N,A:A=A1408)),3),F1408))"),"")</f>
        <v/>
      </c>
      <c r="K1408" s="147" t="str">
        <f>IFERROR(__xludf.DUMMYFUNCTION("IF(ISBLANK(A1408),IFERROR(1/0),IF(COUNT(FILTER(G:G,((A:A=A1408)*(B:B=""V""))))&gt;1,TRUNC(N1408*G1408/SUM(FILTER(N:N,((A:A=A1408)*(B:B=""V"")))),3),G1408))"),"")</f>
        <v/>
      </c>
      <c r="L1408" s="148" t="str">
        <f>IFERROR(__xludf.DUMMYFUNCTION("if($C1408="""","""",iferror(if(row()&lt;&gt;2,INDEX(arrayformula(filter($M$2:$M1407,$C$2:$C1407&lt;&gt;"""",row($C$2:$C1407)=max(if($C$2:$C1407=C1408,row($C$2:$C1407),0)))) ,1),0),0))"),"")</f>
        <v/>
      </c>
      <c r="M1408" s="148" t="str">
        <f t="shared" si="1"/>
        <v/>
      </c>
      <c r="N1408" s="147" t="str">
        <f t="shared" si="2"/>
        <v/>
      </c>
      <c r="O1408" s="147" t="str">
        <f t="shared" si="21"/>
        <v/>
      </c>
      <c r="P1408" s="147" t="str">
        <f>IFERROR(__xludf.DUMMYFUNCTION("if(C1408="""","""",iferror(if(row()&lt;&gt;2,INDEX(arrayformula(filter($Q$2:$Q1407,$C$2:$C1407&lt;&gt;"""",row($C$2:$C1407)=max(if($C$2:$C1407=C1408,row($C$2:$C1407),0)))) ,1),0),0))"),"")</f>
        <v/>
      </c>
      <c r="Q1408" s="147" t="str">
        <f t="shared" si="22"/>
        <v/>
      </c>
      <c r="R1408" s="147" t="str">
        <f t="shared" si="23"/>
        <v/>
      </c>
      <c r="S1408" s="147" t="str">
        <f t="shared" si="24"/>
        <v/>
      </c>
      <c r="T1408" s="147" t="str">
        <f t="shared" si="7"/>
        <v/>
      </c>
      <c r="U1408" s="150" t="str">
        <f t="shared" si="8"/>
        <v/>
      </c>
      <c r="V1408" s="151" t="str">
        <f>IFERROR(VLOOKUP(C1408,Ativos!$A$1:$G2000,5,),)</f>
        <v/>
      </c>
    </row>
    <row r="1409" ht="21.0" customHeight="1">
      <c r="A1409" s="152"/>
      <c r="B1409" s="160"/>
      <c r="C1409" s="153"/>
      <c r="D1409" s="154"/>
      <c r="E1409" s="139"/>
      <c r="F1409" s="139"/>
      <c r="G1409" s="139"/>
      <c r="H1409" s="135"/>
      <c r="I1409" s="141"/>
      <c r="J1409" s="147" t="str">
        <f>IFERROR(__xludf.DUMMYFUNCTION("IF(ISBLANK(A1409),IFERROR(1/0),IF(COUNT(FILTER(F:F,A:A=A1409))&gt;1,TRUNC(N1409*F1409/SUM(FILTER(N:N,A:A=A1409)),3),F1409))"),"")</f>
        <v/>
      </c>
      <c r="K1409" s="147" t="str">
        <f>IFERROR(__xludf.DUMMYFUNCTION("IF(ISBLANK(A1409),IFERROR(1/0),IF(COUNT(FILTER(G:G,((A:A=A1409)*(B:B=""V""))))&gt;1,TRUNC(N1409*G1409/SUM(FILTER(N:N,((A:A=A1409)*(B:B=""V"")))),3),G1409))"),"")</f>
        <v/>
      </c>
      <c r="L1409" s="148" t="str">
        <f>IFERROR(__xludf.DUMMYFUNCTION("if($C1409="""","""",iferror(if(row()&lt;&gt;2,INDEX(arrayformula(filter($M$2:$M1408,$C$2:$C1408&lt;&gt;"""",row($C$2:$C1408)=max(if($C$2:$C1408=C1409,row($C$2:$C1408),0)))) ,1),0),0))"),"")</f>
        <v/>
      </c>
      <c r="M1409" s="148" t="str">
        <f t="shared" si="1"/>
        <v/>
      </c>
      <c r="N1409" s="147" t="str">
        <f t="shared" si="2"/>
        <v/>
      </c>
      <c r="O1409" s="147" t="str">
        <f t="shared" si="21"/>
        <v/>
      </c>
      <c r="P1409" s="147" t="str">
        <f>IFERROR(__xludf.DUMMYFUNCTION("if(C1409="""","""",iferror(if(row()&lt;&gt;2,INDEX(arrayformula(filter($Q$2:$Q1408,$C$2:$C1408&lt;&gt;"""",row($C$2:$C1408)=max(if($C$2:$C1408=C1409,row($C$2:$C1408),0)))) ,1),0),0))"),"")</f>
        <v/>
      </c>
      <c r="Q1409" s="147" t="str">
        <f t="shared" si="22"/>
        <v/>
      </c>
      <c r="R1409" s="147" t="str">
        <f t="shared" si="23"/>
        <v/>
      </c>
      <c r="S1409" s="147" t="str">
        <f t="shared" si="24"/>
        <v/>
      </c>
      <c r="T1409" s="147" t="str">
        <f t="shared" si="7"/>
        <v/>
      </c>
      <c r="U1409" s="150" t="str">
        <f t="shared" si="8"/>
        <v/>
      </c>
      <c r="V1409" s="151" t="str">
        <f>IFERROR(VLOOKUP(C1409,Ativos!$A$1:$G2000,5,),)</f>
        <v/>
      </c>
    </row>
    <row r="1410" ht="21.0" customHeight="1">
      <c r="A1410" s="152"/>
      <c r="B1410" s="160"/>
      <c r="C1410" s="153"/>
      <c r="D1410" s="154"/>
      <c r="E1410" s="139"/>
      <c r="F1410" s="139"/>
      <c r="G1410" s="139"/>
      <c r="H1410" s="135"/>
      <c r="I1410" s="141"/>
      <c r="J1410" s="147" t="str">
        <f>IFERROR(__xludf.DUMMYFUNCTION("IF(ISBLANK(A1410),IFERROR(1/0),IF(COUNT(FILTER(F:F,A:A=A1410))&gt;1,TRUNC(N1410*F1410/SUM(FILTER(N:N,A:A=A1410)),3),F1410))"),"")</f>
        <v/>
      </c>
      <c r="K1410" s="147" t="str">
        <f>IFERROR(__xludf.DUMMYFUNCTION("IF(ISBLANK(A1410),IFERROR(1/0),IF(COUNT(FILTER(G:G,((A:A=A1410)*(B:B=""V""))))&gt;1,TRUNC(N1410*G1410/SUM(FILTER(N:N,((A:A=A1410)*(B:B=""V"")))),3),G1410))"),"")</f>
        <v/>
      </c>
      <c r="L1410" s="148" t="str">
        <f>IFERROR(__xludf.DUMMYFUNCTION("if($C1410="""","""",iferror(if(row()&lt;&gt;2,INDEX(arrayformula(filter($M$2:$M1409,$C$2:$C1409&lt;&gt;"""",row($C$2:$C1409)=max(if($C$2:$C1409=C1410,row($C$2:$C1409),0)))) ,1),0),0))"),"")</f>
        <v/>
      </c>
      <c r="M1410" s="148" t="str">
        <f t="shared" si="1"/>
        <v/>
      </c>
      <c r="N1410" s="147" t="str">
        <f t="shared" si="2"/>
        <v/>
      </c>
      <c r="O1410" s="147" t="str">
        <f t="shared" si="21"/>
        <v/>
      </c>
      <c r="P1410" s="147" t="str">
        <f>IFERROR(__xludf.DUMMYFUNCTION("if(C1410="""","""",iferror(if(row()&lt;&gt;2,INDEX(arrayformula(filter($Q$2:$Q1409,$C$2:$C1409&lt;&gt;"""",row($C$2:$C1409)=max(if($C$2:$C1409=C1410,row($C$2:$C1409),0)))) ,1),0),0))"),"")</f>
        <v/>
      </c>
      <c r="Q1410" s="147" t="str">
        <f t="shared" si="22"/>
        <v/>
      </c>
      <c r="R1410" s="147" t="str">
        <f t="shared" si="23"/>
        <v/>
      </c>
      <c r="S1410" s="147" t="str">
        <f t="shared" si="24"/>
        <v/>
      </c>
      <c r="T1410" s="147" t="str">
        <f t="shared" si="7"/>
        <v/>
      </c>
      <c r="U1410" s="150" t="str">
        <f t="shared" si="8"/>
        <v/>
      </c>
      <c r="V1410" s="151" t="str">
        <f>IFERROR(VLOOKUP(C1410,Ativos!$A$1:$G2000,5,),)</f>
        <v/>
      </c>
    </row>
    <row r="1411" ht="21.0" customHeight="1">
      <c r="A1411" s="152"/>
      <c r="B1411" s="160"/>
      <c r="C1411" s="153"/>
      <c r="D1411" s="154"/>
      <c r="E1411" s="139"/>
      <c r="F1411" s="139"/>
      <c r="G1411" s="139"/>
      <c r="H1411" s="135"/>
      <c r="I1411" s="141"/>
      <c r="J1411" s="147" t="str">
        <f>IFERROR(__xludf.DUMMYFUNCTION("IF(ISBLANK(A1411),IFERROR(1/0),IF(COUNT(FILTER(F:F,A:A=A1411))&gt;1,TRUNC(N1411*F1411/SUM(FILTER(N:N,A:A=A1411)),3),F1411))"),"")</f>
        <v/>
      </c>
      <c r="K1411" s="147" t="str">
        <f>IFERROR(__xludf.DUMMYFUNCTION("IF(ISBLANK(A1411),IFERROR(1/0),IF(COUNT(FILTER(G:G,((A:A=A1411)*(B:B=""V""))))&gt;1,TRUNC(N1411*G1411/SUM(FILTER(N:N,((A:A=A1411)*(B:B=""V"")))),3),G1411))"),"")</f>
        <v/>
      </c>
      <c r="L1411" s="148" t="str">
        <f>IFERROR(__xludf.DUMMYFUNCTION("if($C1411="""","""",iferror(if(row()&lt;&gt;2,INDEX(arrayformula(filter($M$2:$M1410,$C$2:$C1410&lt;&gt;"""",row($C$2:$C1410)=max(if($C$2:$C1410=C1411,row($C$2:$C1410),0)))) ,1),0),0))"),"")</f>
        <v/>
      </c>
      <c r="M1411" s="148" t="str">
        <f t="shared" si="1"/>
        <v/>
      </c>
      <c r="N1411" s="147" t="str">
        <f t="shared" si="2"/>
        <v/>
      </c>
      <c r="O1411" s="147" t="str">
        <f t="shared" si="21"/>
        <v/>
      </c>
      <c r="P1411" s="147" t="str">
        <f>IFERROR(__xludf.DUMMYFUNCTION("if(C1411="""","""",iferror(if(row()&lt;&gt;2,INDEX(arrayformula(filter($Q$2:$Q1410,$C$2:$C1410&lt;&gt;"""",row($C$2:$C1410)=max(if($C$2:$C1410=C1411,row($C$2:$C1410),0)))) ,1),0),0))"),"")</f>
        <v/>
      </c>
      <c r="Q1411" s="147" t="str">
        <f t="shared" si="22"/>
        <v/>
      </c>
      <c r="R1411" s="147" t="str">
        <f t="shared" si="23"/>
        <v/>
      </c>
      <c r="S1411" s="147" t="str">
        <f t="shared" si="24"/>
        <v/>
      </c>
      <c r="T1411" s="147" t="str">
        <f t="shared" si="7"/>
        <v/>
      </c>
      <c r="U1411" s="150" t="str">
        <f t="shared" si="8"/>
        <v/>
      </c>
      <c r="V1411" s="151" t="str">
        <f>IFERROR(VLOOKUP(C1411,Ativos!$A$1:$G2000,5,),)</f>
        <v/>
      </c>
    </row>
    <row r="1412" ht="21.0" customHeight="1">
      <c r="A1412" s="152"/>
      <c r="B1412" s="160"/>
      <c r="C1412" s="153"/>
      <c r="D1412" s="154"/>
      <c r="E1412" s="139"/>
      <c r="F1412" s="139"/>
      <c r="G1412" s="139"/>
      <c r="H1412" s="135"/>
      <c r="I1412" s="141"/>
      <c r="J1412" s="147" t="str">
        <f>IFERROR(__xludf.DUMMYFUNCTION("IF(ISBLANK(A1412),IFERROR(1/0),IF(COUNT(FILTER(F:F,A:A=A1412))&gt;1,TRUNC(N1412*F1412/SUM(FILTER(N:N,A:A=A1412)),3),F1412))"),"")</f>
        <v/>
      </c>
      <c r="K1412" s="147" t="str">
        <f>IFERROR(__xludf.DUMMYFUNCTION("IF(ISBLANK(A1412),IFERROR(1/0),IF(COUNT(FILTER(G:G,((A:A=A1412)*(B:B=""V""))))&gt;1,TRUNC(N1412*G1412/SUM(FILTER(N:N,((A:A=A1412)*(B:B=""V"")))),3),G1412))"),"")</f>
        <v/>
      </c>
      <c r="L1412" s="148" t="str">
        <f>IFERROR(__xludf.DUMMYFUNCTION("if($C1412="""","""",iferror(if(row()&lt;&gt;2,INDEX(arrayformula(filter($M$2:$M1411,$C$2:$C1411&lt;&gt;"""",row($C$2:$C1411)=max(if($C$2:$C1411=C1412,row($C$2:$C1411),0)))) ,1),0),0))"),"")</f>
        <v/>
      </c>
      <c r="M1412" s="148" t="str">
        <f t="shared" si="1"/>
        <v/>
      </c>
      <c r="N1412" s="147" t="str">
        <f t="shared" si="2"/>
        <v/>
      </c>
      <c r="O1412" s="147" t="str">
        <f t="shared" si="21"/>
        <v/>
      </c>
      <c r="P1412" s="147" t="str">
        <f>IFERROR(__xludf.DUMMYFUNCTION("if(C1412="""","""",iferror(if(row()&lt;&gt;2,INDEX(arrayformula(filter($Q$2:$Q1411,$C$2:$C1411&lt;&gt;"""",row($C$2:$C1411)=max(if($C$2:$C1411=C1412,row($C$2:$C1411),0)))) ,1),0),0))"),"")</f>
        <v/>
      </c>
      <c r="Q1412" s="147" t="str">
        <f t="shared" si="22"/>
        <v/>
      </c>
      <c r="R1412" s="147" t="str">
        <f t="shared" si="23"/>
        <v/>
      </c>
      <c r="S1412" s="147" t="str">
        <f t="shared" si="24"/>
        <v/>
      </c>
      <c r="T1412" s="147" t="str">
        <f t="shared" si="7"/>
        <v/>
      </c>
      <c r="U1412" s="150" t="str">
        <f t="shared" si="8"/>
        <v/>
      </c>
      <c r="V1412" s="151" t="str">
        <f>IFERROR(VLOOKUP(C1412,Ativos!$A$1:$G2000,5,),)</f>
        <v/>
      </c>
    </row>
    <row r="1413" ht="21.0" customHeight="1">
      <c r="A1413" s="152"/>
      <c r="B1413" s="160"/>
      <c r="C1413" s="153"/>
      <c r="D1413" s="154"/>
      <c r="E1413" s="139"/>
      <c r="F1413" s="139"/>
      <c r="G1413" s="139"/>
      <c r="H1413" s="135"/>
      <c r="I1413" s="141"/>
      <c r="J1413" s="147" t="str">
        <f>IFERROR(__xludf.DUMMYFUNCTION("IF(ISBLANK(A1413),IFERROR(1/0),IF(COUNT(FILTER(F:F,A:A=A1413))&gt;1,TRUNC(N1413*F1413/SUM(FILTER(N:N,A:A=A1413)),3),F1413))"),"")</f>
        <v/>
      </c>
      <c r="K1413" s="147" t="str">
        <f>IFERROR(__xludf.DUMMYFUNCTION("IF(ISBLANK(A1413),IFERROR(1/0),IF(COUNT(FILTER(G:G,((A:A=A1413)*(B:B=""V""))))&gt;1,TRUNC(N1413*G1413/SUM(FILTER(N:N,((A:A=A1413)*(B:B=""V"")))),3),G1413))"),"")</f>
        <v/>
      </c>
      <c r="L1413" s="148" t="str">
        <f>IFERROR(__xludf.DUMMYFUNCTION("if($C1413="""","""",iferror(if(row()&lt;&gt;2,INDEX(arrayformula(filter($M$2:$M1412,$C$2:$C1412&lt;&gt;"""",row($C$2:$C1412)=max(if($C$2:$C1412=C1413,row($C$2:$C1412),0)))) ,1),0),0))"),"")</f>
        <v/>
      </c>
      <c r="M1413" s="148" t="str">
        <f t="shared" si="1"/>
        <v/>
      </c>
      <c r="N1413" s="147" t="str">
        <f t="shared" si="2"/>
        <v/>
      </c>
      <c r="O1413" s="147" t="str">
        <f t="shared" si="21"/>
        <v/>
      </c>
      <c r="P1413" s="147" t="str">
        <f>IFERROR(__xludf.DUMMYFUNCTION("if(C1413="""","""",iferror(if(row()&lt;&gt;2,INDEX(arrayformula(filter($Q$2:$Q1412,$C$2:$C1412&lt;&gt;"""",row($C$2:$C1412)=max(if($C$2:$C1412=C1413,row($C$2:$C1412),0)))) ,1),0),0))"),"")</f>
        <v/>
      </c>
      <c r="Q1413" s="147" t="str">
        <f t="shared" si="22"/>
        <v/>
      </c>
      <c r="R1413" s="147" t="str">
        <f t="shared" si="23"/>
        <v/>
      </c>
      <c r="S1413" s="147" t="str">
        <f t="shared" si="24"/>
        <v/>
      </c>
      <c r="T1413" s="147" t="str">
        <f t="shared" si="7"/>
        <v/>
      </c>
      <c r="U1413" s="150" t="str">
        <f t="shared" si="8"/>
        <v/>
      </c>
      <c r="V1413" s="151" t="str">
        <f>IFERROR(VLOOKUP(C1413,Ativos!$A$1:$G2000,5,),)</f>
        <v/>
      </c>
    </row>
    <row r="1414" ht="21.0" customHeight="1">
      <c r="A1414" s="152"/>
      <c r="B1414" s="160"/>
      <c r="C1414" s="153"/>
      <c r="D1414" s="154"/>
      <c r="E1414" s="139"/>
      <c r="F1414" s="139"/>
      <c r="G1414" s="139"/>
      <c r="H1414" s="135"/>
      <c r="I1414" s="141"/>
      <c r="J1414" s="147" t="str">
        <f>IFERROR(__xludf.DUMMYFUNCTION("IF(ISBLANK(A1414),IFERROR(1/0),IF(COUNT(FILTER(F:F,A:A=A1414))&gt;1,TRUNC(N1414*F1414/SUM(FILTER(N:N,A:A=A1414)),3),F1414))"),"")</f>
        <v/>
      </c>
      <c r="K1414" s="147" t="str">
        <f>IFERROR(__xludf.DUMMYFUNCTION("IF(ISBLANK(A1414),IFERROR(1/0),IF(COUNT(FILTER(G:G,((A:A=A1414)*(B:B=""V""))))&gt;1,TRUNC(N1414*G1414/SUM(FILTER(N:N,((A:A=A1414)*(B:B=""V"")))),3),G1414))"),"")</f>
        <v/>
      </c>
      <c r="L1414" s="148" t="str">
        <f>IFERROR(__xludf.DUMMYFUNCTION("if($C1414="""","""",iferror(if(row()&lt;&gt;2,INDEX(arrayformula(filter($M$2:$M1413,$C$2:$C1413&lt;&gt;"""",row($C$2:$C1413)=max(if($C$2:$C1413=C1414,row($C$2:$C1413),0)))) ,1),0),0))"),"")</f>
        <v/>
      </c>
      <c r="M1414" s="148" t="str">
        <f t="shared" si="1"/>
        <v/>
      </c>
      <c r="N1414" s="147" t="str">
        <f t="shared" si="2"/>
        <v/>
      </c>
      <c r="O1414" s="147" t="str">
        <f t="shared" si="21"/>
        <v/>
      </c>
      <c r="P1414" s="147" t="str">
        <f>IFERROR(__xludf.DUMMYFUNCTION("if(C1414="""","""",iferror(if(row()&lt;&gt;2,INDEX(arrayformula(filter($Q$2:$Q1413,$C$2:$C1413&lt;&gt;"""",row($C$2:$C1413)=max(if($C$2:$C1413=C1414,row($C$2:$C1413),0)))) ,1),0),0))"),"")</f>
        <v/>
      </c>
      <c r="Q1414" s="147" t="str">
        <f t="shared" si="22"/>
        <v/>
      </c>
      <c r="R1414" s="147" t="str">
        <f t="shared" si="23"/>
        <v/>
      </c>
      <c r="S1414" s="147" t="str">
        <f t="shared" si="24"/>
        <v/>
      </c>
      <c r="T1414" s="147" t="str">
        <f t="shared" si="7"/>
        <v/>
      </c>
      <c r="U1414" s="150" t="str">
        <f t="shared" si="8"/>
        <v/>
      </c>
      <c r="V1414" s="151" t="str">
        <f>IFERROR(VLOOKUP(C1414,Ativos!$A$1:$G2000,5,),)</f>
        <v/>
      </c>
    </row>
    <row r="1415" ht="21.0" customHeight="1">
      <c r="A1415" s="152"/>
      <c r="B1415" s="160"/>
      <c r="C1415" s="153"/>
      <c r="D1415" s="154"/>
      <c r="E1415" s="139"/>
      <c r="F1415" s="139"/>
      <c r="G1415" s="139"/>
      <c r="H1415" s="135"/>
      <c r="I1415" s="141"/>
      <c r="J1415" s="147" t="str">
        <f>IFERROR(__xludf.DUMMYFUNCTION("IF(ISBLANK(A1415),IFERROR(1/0),IF(COUNT(FILTER(F:F,A:A=A1415))&gt;1,TRUNC(N1415*F1415/SUM(FILTER(N:N,A:A=A1415)),3),F1415))"),"")</f>
        <v/>
      </c>
      <c r="K1415" s="147" t="str">
        <f>IFERROR(__xludf.DUMMYFUNCTION("IF(ISBLANK(A1415),IFERROR(1/0),IF(COUNT(FILTER(G:G,((A:A=A1415)*(B:B=""V""))))&gt;1,TRUNC(N1415*G1415/SUM(FILTER(N:N,((A:A=A1415)*(B:B=""V"")))),3),G1415))"),"")</f>
        <v/>
      </c>
      <c r="L1415" s="148" t="str">
        <f>IFERROR(__xludf.DUMMYFUNCTION("if($C1415="""","""",iferror(if(row()&lt;&gt;2,INDEX(arrayformula(filter($M$2:$M1414,$C$2:$C1414&lt;&gt;"""",row($C$2:$C1414)=max(if($C$2:$C1414=C1415,row($C$2:$C1414),0)))) ,1),0),0))"),"")</f>
        <v/>
      </c>
      <c r="M1415" s="148" t="str">
        <f t="shared" si="1"/>
        <v/>
      </c>
      <c r="N1415" s="147" t="str">
        <f t="shared" si="2"/>
        <v/>
      </c>
      <c r="O1415" s="147" t="str">
        <f t="shared" si="21"/>
        <v/>
      </c>
      <c r="P1415" s="147" t="str">
        <f>IFERROR(__xludf.DUMMYFUNCTION("if(C1415="""","""",iferror(if(row()&lt;&gt;2,INDEX(arrayformula(filter($Q$2:$Q1414,$C$2:$C1414&lt;&gt;"""",row($C$2:$C1414)=max(if($C$2:$C1414=C1415,row($C$2:$C1414),0)))) ,1),0),0))"),"")</f>
        <v/>
      </c>
      <c r="Q1415" s="147" t="str">
        <f t="shared" si="22"/>
        <v/>
      </c>
      <c r="R1415" s="147" t="str">
        <f t="shared" si="23"/>
        <v/>
      </c>
      <c r="S1415" s="147" t="str">
        <f t="shared" si="24"/>
        <v/>
      </c>
      <c r="T1415" s="147" t="str">
        <f t="shared" si="7"/>
        <v/>
      </c>
      <c r="U1415" s="150" t="str">
        <f t="shared" si="8"/>
        <v/>
      </c>
      <c r="V1415" s="151" t="str">
        <f>IFERROR(VLOOKUP(C1415,Ativos!$A$1:$G2000,5,),)</f>
        <v/>
      </c>
    </row>
    <row r="1416" ht="21.0" customHeight="1">
      <c r="A1416" s="152"/>
      <c r="B1416" s="160"/>
      <c r="C1416" s="153"/>
      <c r="D1416" s="154"/>
      <c r="E1416" s="139"/>
      <c r="F1416" s="139"/>
      <c r="G1416" s="139"/>
      <c r="H1416" s="135"/>
      <c r="I1416" s="141"/>
      <c r="J1416" s="147" t="str">
        <f>IFERROR(__xludf.DUMMYFUNCTION("IF(ISBLANK(A1416),IFERROR(1/0),IF(COUNT(FILTER(F:F,A:A=A1416))&gt;1,TRUNC(N1416*F1416/SUM(FILTER(N:N,A:A=A1416)),3),F1416))"),"")</f>
        <v/>
      </c>
      <c r="K1416" s="147" t="str">
        <f>IFERROR(__xludf.DUMMYFUNCTION("IF(ISBLANK(A1416),IFERROR(1/0),IF(COUNT(FILTER(G:G,((A:A=A1416)*(B:B=""V""))))&gt;1,TRUNC(N1416*G1416/SUM(FILTER(N:N,((A:A=A1416)*(B:B=""V"")))),3),G1416))"),"")</f>
        <v/>
      </c>
      <c r="L1416" s="148" t="str">
        <f>IFERROR(__xludf.DUMMYFUNCTION("if($C1416="""","""",iferror(if(row()&lt;&gt;2,INDEX(arrayformula(filter($M$2:$M1415,$C$2:$C1415&lt;&gt;"""",row($C$2:$C1415)=max(if($C$2:$C1415=C1416,row($C$2:$C1415),0)))) ,1),0),0))"),"")</f>
        <v/>
      </c>
      <c r="M1416" s="148" t="str">
        <f t="shared" si="1"/>
        <v/>
      </c>
      <c r="N1416" s="147" t="str">
        <f t="shared" si="2"/>
        <v/>
      </c>
      <c r="O1416" s="147" t="str">
        <f t="shared" si="21"/>
        <v/>
      </c>
      <c r="P1416" s="147" t="str">
        <f>IFERROR(__xludf.DUMMYFUNCTION("if(C1416="""","""",iferror(if(row()&lt;&gt;2,INDEX(arrayformula(filter($Q$2:$Q1415,$C$2:$C1415&lt;&gt;"""",row($C$2:$C1415)=max(if($C$2:$C1415=C1416,row($C$2:$C1415),0)))) ,1),0),0))"),"")</f>
        <v/>
      </c>
      <c r="Q1416" s="147" t="str">
        <f t="shared" si="22"/>
        <v/>
      </c>
      <c r="R1416" s="147" t="str">
        <f t="shared" si="23"/>
        <v/>
      </c>
      <c r="S1416" s="147" t="str">
        <f t="shared" si="24"/>
        <v/>
      </c>
      <c r="T1416" s="147" t="str">
        <f t="shared" si="7"/>
        <v/>
      </c>
      <c r="U1416" s="150" t="str">
        <f t="shared" si="8"/>
        <v/>
      </c>
      <c r="V1416" s="151" t="str">
        <f>IFERROR(VLOOKUP(C1416,Ativos!$A$1:$G2000,5,),)</f>
        <v/>
      </c>
    </row>
    <row r="1417" ht="21.0" customHeight="1">
      <c r="A1417" s="152"/>
      <c r="B1417" s="160"/>
      <c r="C1417" s="153"/>
      <c r="D1417" s="154"/>
      <c r="E1417" s="139"/>
      <c r="F1417" s="139"/>
      <c r="G1417" s="139"/>
      <c r="H1417" s="135"/>
      <c r="I1417" s="141"/>
      <c r="J1417" s="147" t="str">
        <f>IFERROR(__xludf.DUMMYFUNCTION("IF(ISBLANK(A1417),IFERROR(1/0),IF(COUNT(FILTER(F:F,A:A=A1417))&gt;1,TRUNC(N1417*F1417/SUM(FILTER(N:N,A:A=A1417)),3),F1417))"),"")</f>
        <v/>
      </c>
      <c r="K1417" s="147" t="str">
        <f>IFERROR(__xludf.DUMMYFUNCTION("IF(ISBLANK(A1417),IFERROR(1/0),IF(COUNT(FILTER(G:G,((A:A=A1417)*(B:B=""V""))))&gt;1,TRUNC(N1417*G1417/SUM(FILTER(N:N,((A:A=A1417)*(B:B=""V"")))),3),G1417))"),"")</f>
        <v/>
      </c>
      <c r="L1417" s="148" t="str">
        <f>IFERROR(__xludf.DUMMYFUNCTION("if($C1417="""","""",iferror(if(row()&lt;&gt;2,INDEX(arrayformula(filter($M$2:$M1416,$C$2:$C1416&lt;&gt;"""",row($C$2:$C1416)=max(if($C$2:$C1416=C1417,row($C$2:$C1416),0)))) ,1),0),0))"),"")</f>
        <v/>
      </c>
      <c r="M1417" s="148" t="str">
        <f t="shared" si="1"/>
        <v/>
      </c>
      <c r="N1417" s="147" t="str">
        <f t="shared" si="2"/>
        <v/>
      </c>
      <c r="O1417" s="147" t="str">
        <f t="shared" si="21"/>
        <v/>
      </c>
      <c r="P1417" s="147" t="str">
        <f>IFERROR(__xludf.DUMMYFUNCTION("if(C1417="""","""",iferror(if(row()&lt;&gt;2,INDEX(arrayformula(filter($Q$2:$Q1416,$C$2:$C1416&lt;&gt;"""",row($C$2:$C1416)=max(if($C$2:$C1416=C1417,row($C$2:$C1416),0)))) ,1),0),0))"),"")</f>
        <v/>
      </c>
      <c r="Q1417" s="147" t="str">
        <f t="shared" si="22"/>
        <v/>
      </c>
      <c r="R1417" s="147" t="str">
        <f t="shared" si="23"/>
        <v/>
      </c>
      <c r="S1417" s="147" t="str">
        <f t="shared" si="24"/>
        <v/>
      </c>
      <c r="T1417" s="147" t="str">
        <f t="shared" si="7"/>
        <v/>
      </c>
      <c r="U1417" s="150" t="str">
        <f t="shared" si="8"/>
        <v/>
      </c>
      <c r="V1417" s="151" t="str">
        <f>IFERROR(VLOOKUP(C1417,Ativos!$A$1:$G2000,5,),)</f>
        <v/>
      </c>
    </row>
    <row r="1418" ht="21.0" customHeight="1">
      <c r="A1418" s="152"/>
      <c r="B1418" s="160"/>
      <c r="C1418" s="153"/>
      <c r="D1418" s="154"/>
      <c r="E1418" s="139"/>
      <c r="F1418" s="139"/>
      <c r="G1418" s="139"/>
      <c r="H1418" s="135"/>
      <c r="I1418" s="141"/>
      <c r="J1418" s="147" t="str">
        <f>IFERROR(__xludf.DUMMYFUNCTION("IF(ISBLANK(A1418),IFERROR(1/0),IF(COUNT(FILTER(F:F,A:A=A1418))&gt;1,TRUNC(N1418*F1418/SUM(FILTER(N:N,A:A=A1418)),3),F1418))"),"")</f>
        <v/>
      </c>
      <c r="K1418" s="147" t="str">
        <f>IFERROR(__xludf.DUMMYFUNCTION("IF(ISBLANK(A1418),IFERROR(1/0),IF(COUNT(FILTER(G:G,((A:A=A1418)*(B:B=""V""))))&gt;1,TRUNC(N1418*G1418/SUM(FILTER(N:N,((A:A=A1418)*(B:B=""V"")))),3),G1418))"),"")</f>
        <v/>
      </c>
      <c r="L1418" s="148" t="str">
        <f>IFERROR(__xludf.DUMMYFUNCTION("if($C1418="""","""",iferror(if(row()&lt;&gt;2,INDEX(arrayformula(filter($M$2:$M1417,$C$2:$C1417&lt;&gt;"""",row($C$2:$C1417)=max(if($C$2:$C1417=C1418,row($C$2:$C1417),0)))) ,1),0),0))"),"")</f>
        <v/>
      </c>
      <c r="M1418" s="148" t="str">
        <f t="shared" si="1"/>
        <v/>
      </c>
      <c r="N1418" s="147" t="str">
        <f t="shared" si="2"/>
        <v/>
      </c>
      <c r="O1418" s="147" t="str">
        <f t="shared" si="21"/>
        <v/>
      </c>
      <c r="P1418" s="147" t="str">
        <f>IFERROR(__xludf.DUMMYFUNCTION("if(C1418="""","""",iferror(if(row()&lt;&gt;2,INDEX(arrayformula(filter($Q$2:$Q1417,$C$2:$C1417&lt;&gt;"""",row($C$2:$C1417)=max(if($C$2:$C1417=C1418,row($C$2:$C1417),0)))) ,1),0),0))"),"")</f>
        <v/>
      </c>
      <c r="Q1418" s="147" t="str">
        <f t="shared" si="22"/>
        <v/>
      </c>
      <c r="R1418" s="147" t="str">
        <f t="shared" si="23"/>
        <v/>
      </c>
      <c r="S1418" s="147" t="str">
        <f t="shared" si="24"/>
        <v/>
      </c>
      <c r="T1418" s="147" t="str">
        <f t="shared" si="7"/>
        <v/>
      </c>
      <c r="U1418" s="150" t="str">
        <f t="shared" si="8"/>
        <v/>
      </c>
      <c r="V1418" s="151" t="str">
        <f>IFERROR(VLOOKUP(C1418,Ativos!$A$1:$G2000,5,),)</f>
        <v/>
      </c>
    </row>
    <row r="1419" ht="21.0" customHeight="1">
      <c r="A1419" s="152"/>
      <c r="B1419" s="160"/>
      <c r="C1419" s="153"/>
      <c r="D1419" s="154"/>
      <c r="E1419" s="139"/>
      <c r="F1419" s="139"/>
      <c r="G1419" s="139"/>
      <c r="H1419" s="135"/>
      <c r="I1419" s="141"/>
      <c r="J1419" s="147" t="str">
        <f>IFERROR(__xludf.DUMMYFUNCTION("IF(ISBLANK(A1419),IFERROR(1/0),IF(COUNT(FILTER(F:F,A:A=A1419))&gt;1,TRUNC(N1419*F1419/SUM(FILTER(N:N,A:A=A1419)),3),F1419))"),"")</f>
        <v/>
      </c>
      <c r="K1419" s="147" t="str">
        <f>IFERROR(__xludf.DUMMYFUNCTION("IF(ISBLANK(A1419),IFERROR(1/0),IF(COUNT(FILTER(G:G,((A:A=A1419)*(B:B=""V""))))&gt;1,TRUNC(N1419*G1419/SUM(FILTER(N:N,((A:A=A1419)*(B:B=""V"")))),3),G1419))"),"")</f>
        <v/>
      </c>
      <c r="L1419" s="148" t="str">
        <f>IFERROR(__xludf.DUMMYFUNCTION("if($C1419="""","""",iferror(if(row()&lt;&gt;2,INDEX(arrayformula(filter($M$2:$M1418,$C$2:$C1418&lt;&gt;"""",row($C$2:$C1418)=max(if($C$2:$C1418=C1419,row($C$2:$C1418),0)))) ,1),0),0))"),"")</f>
        <v/>
      </c>
      <c r="M1419" s="148" t="str">
        <f t="shared" si="1"/>
        <v/>
      </c>
      <c r="N1419" s="147" t="str">
        <f t="shared" si="2"/>
        <v/>
      </c>
      <c r="O1419" s="147" t="str">
        <f t="shared" si="21"/>
        <v/>
      </c>
      <c r="P1419" s="147" t="str">
        <f>IFERROR(__xludf.DUMMYFUNCTION("if(C1419="""","""",iferror(if(row()&lt;&gt;2,INDEX(arrayformula(filter($Q$2:$Q1418,$C$2:$C1418&lt;&gt;"""",row($C$2:$C1418)=max(if($C$2:$C1418=C1419,row($C$2:$C1418),0)))) ,1),0),0))"),"")</f>
        <v/>
      </c>
      <c r="Q1419" s="147" t="str">
        <f t="shared" si="22"/>
        <v/>
      </c>
      <c r="R1419" s="147" t="str">
        <f t="shared" si="23"/>
        <v/>
      </c>
      <c r="S1419" s="147" t="str">
        <f t="shared" si="24"/>
        <v/>
      </c>
      <c r="T1419" s="147" t="str">
        <f t="shared" si="7"/>
        <v/>
      </c>
      <c r="U1419" s="150" t="str">
        <f t="shared" si="8"/>
        <v/>
      </c>
      <c r="V1419" s="151" t="str">
        <f>IFERROR(VLOOKUP(C1419,Ativos!$A$1:$G2000,5,),)</f>
        <v/>
      </c>
    </row>
    <row r="1420" ht="21.0" customHeight="1">
      <c r="A1420" s="152"/>
      <c r="B1420" s="160"/>
      <c r="C1420" s="153"/>
      <c r="D1420" s="154"/>
      <c r="E1420" s="139"/>
      <c r="F1420" s="139"/>
      <c r="G1420" s="139"/>
      <c r="H1420" s="135"/>
      <c r="I1420" s="141"/>
      <c r="J1420" s="147" t="str">
        <f>IFERROR(__xludf.DUMMYFUNCTION("IF(ISBLANK(A1420),IFERROR(1/0),IF(COUNT(FILTER(F:F,A:A=A1420))&gt;1,TRUNC(N1420*F1420/SUM(FILTER(N:N,A:A=A1420)),3),F1420))"),"")</f>
        <v/>
      </c>
      <c r="K1420" s="147" t="str">
        <f>IFERROR(__xludf.DUMMYFUNCTION("IF(ISBLANK(A1420),IFERROR(1/0),IF(COUNT(FILTER(G:G,((A:A=A1420)*(B:B=""V""))))&gt;1,TRUNC(N1420*G1420/SUM(FILTER(N:N,((A:A=A1420)*(B:B=""V"")))),3),G1420))"),"")</f>
        <v/>
      </c>
      <c r="L1420" s="148" t="str">
        <f>IFERROR(__xludf.DUMMYFUNCTION("if($C1420="""","""",iferror(if(row()&lt;&gt;2,INDEX(arrayformula(filter($M$2:$M1419,$C$2:$C1419&lt;&gt;"""",row($C$2:$C1419)=max(if($C$2:$C1419=C1420,row($C$2:$C1419),0)))) ,1),0),0))"),"")</f>
        <v/>
      </c>
      <c r="M1420" s="148" t="str">
        <f t="shared" si="1"/>
        <v/>
      </c>
      <c r="N1420" s="147" t="str">
        <f t="shared" si="2"/>
        <v/>
      </c>
      <c r="O1420" s="147" t="str">
        <f t="shared" si="21"/>
        <v/>
      </c>
      <c r="P1420" s="147" t="str">
        <f>IFERROR(__xludf.DUMMYFUNCTION("if(C1420="""","""",iferror(if(row()&lt;&gt;2,INDEX(arrayformula(filter($Q$2:$Q1419,$C$2:$C1419&lt;&gt;"""",row($C$2:$C1419)=max(if($C$2:$C1419=C1420,row($C$2:$C1419),0)))) ,1),0),0))"),"")</f>
        <v/>
      </c>
      <c r="Q1420" s="147" t="str">
        <f t="shared" si="22"/>
        <v/>
      </c>
      <c r="R1420" s="147" t="str">
        <f t="shared" si="23"/>
        <v/>
      </c>
      <c r="S1420" s="147" t="str">
        <f t="shared" si="24"/>
        <v/>
      </c>
      <c r="T1420" s="147" t="str">
        <f t="shared" si="7"/>
        <v/>
      </c>
      <c r="U1420" s="150" t="str">
        <f t="shared" si="8"/>
        <v/>
      </c>
      <c r="V1420" s="151" t="str">
        <f>IFERROR(VLOOKUP(C1420,Ativos!$A$1:$G2000,5,),)</f>
        <v/>
      </c>
    </row>
    <row r="1421" ht="21.0" customHeight="1">
      <c r="A1421" s="152"/>
      <c r="B1421" s="160"/>
      <c r="C1421" s="153"/>
      <c r="D1421" s="154"/>
      <c r="E1421" s="139"/>
      <c r="F1421" s="139"/>
      <c r="G1421" s="139"/>
      <c r="H1421" s="135"/>
      <c r="I1421" s="141"/>
      <c r="J1421" s="147" t="str">
        <f>IFERROR(__xludf.DUMMYFUNCTION("IF(ISBLANK(A1421),IFERROR(1/0),IF(COUNT(FILTER(F:F,A:A=A1421))&gt;1,TRUNC(N1421*F1421/SUM(FILTER(N:N,A:A=A1421)),3),F1421))"),"")</f>
        <v/>
      </c>
      <c r="K1421" s="147" t="str">
        <f>IFERROR(__xludf.DUMMYFUNCTION("IF(ISBLANK(A1421),IFERROR(1/0),IF(COUNT(FILTER(G:G,((A:A=A1421)*(B:B=""V""))))&gt;1,TRUNC(N1421*G1421/SUM(FILTER(N:N,((A:A=A1421)*(B:B=""V"")))),3),G1421))"),"")</f>
        <v/>
      </c>
      <c r="L1421" s="148" t="str">
        <f>IFERROR(__xludf.DUMMYFUNCTION("if($C1421="""","""",iferror(if(row()&lt;&gt;2,INDEX(arrayformula(filter($M$2:$M1420,$C$2:$C1420&lt;&gt;"""",row($C$2:$C1420)=max(if($C$2:$C1420=C1421,row($C$2:$C1420),0)))) ,1),0),0))"),"")</f>
        <v/>
      </c>
      <c r="M1421" s="148" t="str">
        <f t="shared" si="1"/>
        <v/>
      </c>
      <c r="N1421" s="147" t="str">
        <f t="shared" si="2"/>
        <v/>
      </c>
      <c r="O1421" s="147" t="str">
        <f t="shared" si="21"/>
        <v/>
      </c>
      <c r="P1421" s="147" t="str">
        <f>IFERROR(__xludf.DUMMYFUNCTION("if(C1421="""","""",iferror(if(row()&lt;&gt;2,INDEX(arrayformula(filter($Q$2:$Q1420,$C$2:$C1420&lt;&gt;"""",row($C$2:$C1420)=max(if($C$2:$C1420=C1421,row($C$2:$C1420),0)))) ,1),0),0))"),"")</f>
        <v/>
      </c>
      <c r="Q1421" s="147" t="str">
        <f t="shared" si="22"/>
        <v/>
      </c>
      <c r="R1421" s="147" t="str">
        <f t="shared" si="23"/>
        <v/>
      </c>
      <c r="S1421" s="147" t="str">
        <f t="shared" si="24"/>
        <v/>
      </c>
      <c r="T1421" s="147" t="str">
        <f t="shared" si="7"/>
        <v/>
      </c>
      <c r="U1421" s="150" t="str">
        <f t="shared" si="8"/>
        <v/>
      </c>
      <c r="V1421" s="151" t="str">
        <f>IFERROR(VLOOKUP(C1421,Ativos!$A$1:$G2000,5,),)</f>
        <v/>
      </c>
    </row>
    <row r="1422" ht="21.0" customHeight="1">
      <c r="A1422" s="152"/>
      <c r="B1422" s="160"/>
      <c r="C1422" s="153"/>
      <c r="D1422" s="154"/>
      <c r="E1422" s="139"/>
      <c r="F1422" s="139"/>
      <c r="G1422" s="139"/>
      <c r="H1422" s="135"/>
      <c r="I1422" s="141"/>
      <c r="J1422" s="147" t="str">
        <f>IFERROR(__xludf.DUMMYFUNCTION("IF(ISBLANK(A1422),IFERROR(1/0),IF(COUNT(FILTER(F:F,A:A=A1422))&gt;1,TRUNC(N1422*F1422/SUM(FILTER(N:N,A:A=A1422)),3),F1422))"),"")</f>
        <v/>
      </c>
      <c r="K1422" s="147" t="str">
        <f>IFERROR(__xludf.DUMMYFUNCTION("IF(ISBLANK(A1422),IFERROR(1/0),IF(COUNT(FILTER(G:G,((A:A=A1422)*(B:B=""V""))))&gt;1,TRUNC(N1422*G1422/SUM(FILTER(N:N,((A:A=A1422)*(B:B=""V"")))),3),G1422))"),"")</f>
        <v/>
      </c>
      <c r="L1422" s="148" t="str">
        <f>IFERROR(__xludf.DUMMYFUNCTION("if($C1422="""","""",iferror(if(row()&lt;&gt;2,INDEX(arrayformula(filter($M$2:$M1421,$C$2:$C1421&lt;&gt;"""",row($C$2:$C1421)=max(if($C$2:$C1421=C1422,row($C$2:$C1421),0)))) ,1),0),0))"),"")</f>
        <v/>
      </c>
      <c r="M1422" s="148" t="str">
        <f t="shared" si="1"/>
        <v/>
      </c>
      <c r="N1422" s="147" t="str">
        <f t="shared" si="2"/>
        <v/>
      </c>
      <c r="O1422" s="147" t="str">
        <f t="shared" si="21"/>
        <v/>
      </c>
      <c r="P1422" s="147" t="str">
        <f>IFERROR(__xludf.DUMMYFUNCTION("if(C1422="""","""",iferror(if(row()&lt;&gt;2,INDEX(arrayformula(filter($Q$2:$Q1421,$C$2:$C1421&lt;&gt;"""",row($C$2:$C1421)=max(if($C$2:$C1421=C1422,row($C$2:$C1421),0)))) ,1),0),0))"),"")</f>
        <v/>
      </c>
      <c r="Q1422" s="147" t="str">
        <f t="shared" si="22"/>
        <v/>
      </c>
      <c r="R1422" s="147" t="str">
        <f t="shared" si="23"/>
        <v/>
      </c>
      <c r="S1422" s="147" t="str">
        <f t="shared" si="24"/>
        <v/>
      </c>
      <c r="T1422" s="147" t="str">
        <f t="shared" si="7"/>
        <v/>
      </c>
      <c r="U1422" s="150" t="str">
        <f t="shared" si="8"/>
        <v/>
      </c>
      <c r="V1422" s="151" t="str">
        <f>IFERROR(VLOOKUP(C1422,Ativos!$A$1:$G2000,5,),)</f>
        <v/>
      </c>
    </row>
    <row r="1423" ht="21.0" customHeight="1">
      <c r="A1423" s="152"/>
      <c r="B1423" s="160"/>
      <c r="C1423" s="153"/>
      <c r="D1423" s="154"/>
      <c r="E1423" s="139"/>
      <c r="F1423" s="139"/>
      <c r="G1423" s="139"/>
      <c r="H1423" s="135"/>
      <c r="I1423" s="141"/>
      <c r="J1423" s="147" t="str">
        <f>IFERROR(__xludf.DUMMYFUNCTION("IF(ISBLANK(A1423),IFERROR(1/0),IF(COUNT(FILTER(F:F,A:A=A1423))&gt;1,TRUNC(N1423*F1423/SUM(FILTER(N:N,A:A=A1423)),3),F1423))"),"")</f>
        <v/>
      </c>
      <c r="K1423" s="147" t="str">
        <f>IFERROR(__xludf.DUMMYFUNCTION("IF(ISBLANK(A1423),IFERROR(1/0),IF(COUNT(FILTER(G:G,((A:A=A1423)*(B:B=""V""))))&gt;1,TRUNC(N1423*G1423/SUM(FILTER(N:N,((A:A=A1423)*(B:B=""V"")))),3),G1423))"),"")</f>
        <v/>
      </c>
      <c r="L1423" s="148" t="str">
        <f>IFERROR(__xludf.DUMMYFUNCTION("if($C1423="""","""",iferror(if(row()&lt;&gt;2,INDEX(arrayformula(filter($M$2:$M1422,$C$2:$C1422&lt;&gt;"""",row($C$2:$C1422)=max(if($C$2:$C1422=C1423,row($C$2:$C1422),0)))) ,1),0),0))"),"")</f>
        <v/>
      </c>
      <c r="M1423" s="148" t="str">
        <f t="shared" si="1"/>
        <v/>
      </c>
      <c r="N1423" s="147" t="str">
        <f t="shared" si="2"/>
        <v/>
      </c>
      <c r="O1423" s="147" t="str">
        <f t="shared" si="21"/>
        <v/>
      </c>
      <c r="P1423" s="147" t="str">
        <f>IFERROR(__xludf.DUMMYFUNCTION("if(C1423="""","""",iferror(if(row()&lt;&gt;2,INDEX(arrayformula(filter($Q$2:$Q1422,$C$2:$C1422&lt;&gt;"""",row($C$2:$C1422)=max(if($C$2:$C1422=C1423,row($C$2:$C1422),0)))) ,1),0),0))"),"")</f>
        <v/>
      </c>
      <c r="Q1423" s="147" t="str">
        <f t="shared" si="22"/>
        <v/>
      </c>
      <c r="R1423" s="147" t="str">
        <f t="shared" si="23"/>
        <v/>
      </c>
      <c r="S1423" s="147" t="str">
        <f t="shared" si="24"/>
        <v/>
      </c>
      <c r="T1423" s="147" t="str">
        <f t="shared" si="7"/>
        <v/>
      </c>
      <c r="U1423" s="150" t="str">
        <f t="shared" si="8"/>
        <v/>
      </c>
      <c r="V1423" s="151" t="str">
        <f>IFERROR(VLOOKUP(C1423,Ativos!$A$1:$G2000,5,),)</f>
        <v/>
      </c>
    </row>
    <row r="1424" ht="21.0" customHeight="1">
      <c r="A1424" s="152"/>
      <c r="B1424" s="160"/>
      <c r="C1424" s="153"/>
      <c r="D1424" s="154"/>
      <c r="E1424" s="139"/>
      <c r="F1424" s="139"/>
      <c r="G1424" s="139"/>
      <c r="H1424" s="135"/>
      <c r="I1424" s="141"/>
      <c r="J1424" s="147" t="str">
        <f>IFERROR(__xludf.DUMMYFUNCTION("IF(ISBLANK(A1424),IFERROR(1/0),IF(COUNT(FILTER(F:F,A:A=A1424))&gt;1,TRUNC(N1424*F1424/SUM(FILTER(N:N,A:A=A1424)),3),F1424))"),"")</f>
        <v/>
      </c>
      <c r="K1424" s="147" t="str">
        <f>IFERROR(__xludf.DUMMYFUNCTION("IF(ISBLANK(A1424),IFERROR(1/0),IF(COUNT(FILTER(G:G,((A:A=A1424)*(B:B=""V""))))&gt;1,TRUNC(N1424*G1424/SUM(FILTER(N:N,((A:A=A1424)*(B:B=""V"")))),3),G1424))"),"")</f>
        <v/>
      </c>
      <c r="L1424" s="148" t="str">
        <f>IFERROR(__xludf.DUMMYFUNCTION("if($C1424="""","""",iferror(if(row()&lt;&gt;2,INDEX(arrayformula(filter($M$2:$M1423,$C$2:$C1423&lt;&gt;"""",row($C$2:$C1423)=max(if($C$2:$C1423=C1424,row($C$2:$C1423),0)))) ,1),0),0))"),"")</f>
        <v/>
      </c>
      <c r="M1424" s="148" t="str">
        <f t="shared" si="1"/>
        <v/>
      </c>
      <c r="N1424" s="147" t="str">
        <f t="shared" si="2"/>
        <v/>
      </c>
      <c r="O1424" s="147" t="str">
        <f t="shared" si="21"/>
        <v/>
      </c>
      <c r="P1424" s="147" t="str">
        <f>IFERROR(__xludf.DUMMYFUNCTION("if(C1424="""","""",iferror(if(row()&lt;&gt;2,INDEX(arrayformula(filter($Q$2:$Q1423,$C$2:$C1423&lt;&gt;"""",row($C$2:$C1423)=max(if($C$2:$C1423=C1424,row($C$2:$C1423),0)))) ,1),0),0))"),"")</f>
        <v/>
      </c>
      <c r="Q1424" s="147" t="str">
        <f t="shared" si="22"/>
        <v/>
      </c>
      <c r="R1424" s="147" t="str">
        <f t="shared" si="23"/>
        <v/>
      </c>
      <c r="S1424" s="147" t="str">
        <f t="shared" si="24"/>
        <v/>
      </c>
      <c r="T1424" s="147" t="str">
        <f t="shared" si="7"/>
        <v/>
      </c>
      <c r="U1424" s="150" t="str">
        <f t="shared" si="8"/>
        <v/>
      </c>
      <c r="V1424" s="151" t="str">
        <f>IFERROR(VLOOKUP(C1424,Ativos!$A$1:$G2000,5,),)</f>
        <v/>
      </c>
    </row>
    <row r="1425" ht="21.0" customHeight="1">
      <c r="A1425" s="152"/>
      <c r="B1425" s="160"/>
      <c r="C1425" s="153"/>
      <c r="D1425" s="154"/>
      <c r="E1425" s="139"/>
      <c r="F1425" s="139"/>
      <c r="G1425" s="139"/>
      <c r="H1425" s="135"/>
      <c r="I1425" s="141"/>
      <c r="J1425" s="147" t="str">
        <f>IFERROR(__xludf.DUMMYFUNCTION("IF(ISBLANK(A1425),IFERROR(1/0),IF(COUNT(FILTER(F:F,A:A=A1425))&gt;1,TRUNC(N1425*F1425/SUM(FILTER(N:N,A:A=A1425)),3),F1425))"),"")</f>
        <v/>
      </c>
      <c r="K1425" s="147" t="str">
        <f>IFERROR(__xludf.DUMMYFUNCTION("IF(ISBLANK(A1425),IFERROR(1/0),IF(COUNT(FILTER(G:G,((A:A=A1425)*(B:B=""V""))))&gt;1,TRUNC(N1425*G1425/SUM(FILTER(N:N,((A:A=A1425)*(B:B=""V"")))),3),G1425))"),"")</f>
        <v/>
      </c>
      <c r="L1425" s="148" t="str">
        <f>IFERROR(__xludf.DUMMYFUNCTION("if($C1425="""","""",iferror(if(row()&lt;&gt;2,INDEX(arrayformula(filter($M$2:$M1424,$C$2:$C1424&lt;&gt;"""",row($C$2:$C1424)=max(if($C$2:$C1424=C1425,row($C$2:$C1424),0)))) ,1),0),0))"),"")</f>
        <v/>
      </c>
      <c r="M1425" s="148" t="str">
        <f t="shared" si="1"/>
        <v/>
      </c>
      <c r="N1425" s="147" t="str">
        <f t="shared" si="2"/>
        <v/>
      </c>
      <c r="O1425" s="147" t="str">
        <f t="shared" si="21"/>
        <v/>
      </c>
      <c r="P1425" s="147" t="str">
        <f>IFERROR(__xludf.DUMMYFUNCTION("if(C1425="""","""",iferror(if(row()&lt;&gt;2,INDEX(arrayformula(filter($Q$2:$Q1424,$C$2:$C1424&lt;&gt;"""",row($C$2:$C1424)=max(if($C$2:$C1424=C1425,row($C$2:$C1424),0)))) ,1),0),0))"),"")</f>
        <v/>
      </c>
      <c r="Q1425" s="147" t="str">
        <f t="shared" si="22"/>
        <v/>
      </c>
      <c r="R1425" s="147" t="str">
        <f t="shared" si="23"/>
        <v/>
      </c>
      <c r="S1425" s="147" t="str">
        <f t="shared" si="24"/>
        <v/>
      </c>
      <c r="T1425" s="147" t="str">
        <f t="shared" si="7"/>
        <v/>
      </c>
      <c r="U1425" s="150" t="str">
        <f t="shared" si="8"/>
        <v/>
      </c>
      <c r="V1425" s="151" t="str">
        <f>IFERROR(VLOOKUP(C1425,Ativos!$A$1:$G2000,5,),)</f>
        <v/>
      </c>
    </row>
    <row r="1426" ht="21.0" customHeight="1">
      <c r="A1426" s="152"/>
      <c r="B1426" s="160"/>
      <c r="C1426" s="153"/>
      <c r="D1426" s="154"/>
      <c r="E1426" s="139"/>
      <c r="F1426" s="139"/>
      <c r="G1426" s="139"/>
      <c r="H1426" s="135"/>
      <c r="I1426" s="141"/>
      <c r="J1426" s="147" t="str">
        <f>IFERROR(__xludf.DUMMYFUNCTION("IF(ISBLANK(A1426),IFERROR(1/0),IF(COUNT(FILTER(F:F,A:A=A1426))&gt;1,TRUNC(N1426*F1426/SUM(FILTER(N:N,A:A=A1426)),3),F1426))"),"")</f>
        <v/>
      </c>
      <c r="K1426" s="147" t="str">
        <f>IFERROR(__xludf.DUMMYFUNCTION("IF(ISBLANK(A1426),IFERROR(1/0),IF(COUNT(FILTER(G:G,((A:A=A1426)*(B:B=""V""))))&gt;1,TRUNC(N1426*G1426/SUM(FILTER(N:N,((A:A=A1426)*(B:B=""V"")))),3),G1426))"),"")</f>
        <v/>
      </c>
      <c r="L1426" s="148" t="str">
        <f>IFERROR(__xludf.DUMMYFUNCTION("if($C1426="""","""",iferror(if(row()&lt;&gt;2,INDEX(arrayformula(filter($M$2:$M1425,$C$2:$C1425&lt;&gt;"""",row($C$2:$C1425)=max(if($C$2:$C1425=C1426,row($C$2:$C1425),0)))) ,1),0),0))"),"")</f>
        <v/>
      </c>
      <c r="M1426" s="148" t="str">
        <f t="shared" si="1"/>
        <v/>
      </c>
      <c r="N1426" s="147" t="str">
        <f t="shared" si="2"/>
        <v/>
      </c>
      <c r="O1426" s="147" t="str">
        <f t="shared" si="21"/>
        <v/>
      </c>
      <c r="P1426" s="147" t="str">
        <f>IFERROR(__xludf.DUMMYFUNCTION("if(C1426="""","""",iferror(if(row()&lt;&gt;2,INDEX(arrayformula(filter($Q$2:$Q1425,$C$2:$C1425&lt;&gt;"""",row($C$2:$C1425)=max(if($C$2:$C1425=C1426,row($C$2:$C1425),0)))) ,1),0),0))"),"")</f>
        <v/>
      </c>
      <c r="Q1426" s="147" t="str">
        <f t="shared" si="22"/>
        <v/>
      </c>
      <c r="R1426" s="147" t="str">
        <f t="shared" si="23"/>
        <v/>
      </c>
      <c r="S1426" s="147" t="str">
        <f t="shared" si="24"/>
        <v/>
      </c>
      <c r="T1426" s="147" t="str">
        <f t="shared" si="7"/>
        <v/>
      </c>
      <c r="U1426" s="150" t="str">
        <f t="shared" si="8"/>
        <v/>
      </c>
      <c r="V1426" s="151" t="str">
        <f>IFERROR(VLOOKUP(C1426,Ativos!$A$1:$G2000,5,),)</f>
        <v/>
      </c>
    </row>
    <row r="1427" ht="21.0" customHeight="1">
      <c r="A1427" s="152"/>
      <c r="B1427" s="160"/>
      <c r="C1427" s="153"/>
      <c r="D1427" s="154"/>
      <c r="E1427" s="139"/>
      <c r="F1427" s="139"/>
      <c r="G1427" s="139"/>
      <c r="H1427" s="135"/>
      <c r="I1427" s="141"/>
      <c r="J1427" s="147" t="str">
        <f>IFERROR(__xludf.DUMMYFUNCTION("IF(ISBLANK(A1427),IFERROR(1/0),IF(COUNT(FILTER(F:F,A:A=A1427))&gt;1,TRUNC(N1427*F1427/SUM(FILTER(N:N,A:A=A1427)),3),F1427))"),"")</f>
        <v/>
      </c>
      <c r="K1427" s="147" t="str">
        <f>IFERROR(__xludf.DUMMYFUNCTION("IF(ISBLANK(A1427),IFERROR(1/0),IF(COUNT(FILTER(G:G,((A:A=A1427)*(B:B=""V""))))&gt;1,TRUNC(N1427*G1427/SUM(FILTER(N:N,((A:A=A1427)*(B:B=""V"")))),3),G1427))"),"")</f>
        <v/>
      </c>
      <c r="L1427" s="148" t="str">
        <f>IFERROR(__xludf.DUMMYFUNCTION("if($C1427="""","""",iferror(if(row()&lt;&gt;2,INDEX(arrayformula(filter($M$2:$M1426,$C$2:$C1426&lt;&gt;"""",row($C$2:$C1426)=max(if($C$2:$C1426=C1427,row($C$2:$C1426),0)))) ,1),0),0))"),"")</f>
        <v/>
      </c>
      <c r="M1427" s="148" t="str">
        <f t="shared" si="1"/>
        <v/>
      </c>
      <c r="N1427" s="147" t="str">
        <f t="shared" si="2"/>
        <v/>
      </c>
      <c r="O1427" s="147" t="str">
        <f t="shared" si="21"/>
        <v/>
      </c>
      <c r="P1427" s="147" t="str">
        <f>IFERROR(__xludf.DUMMYFUNCTION("if(C1427="""","""",iferror(if(row()&lt;&gt;2,INDEX(arrayformula(filter($Q$2:$Q1426,$C$2:$C1426&lt;&gt;"""",row($C$2:$C1426)=max(if($C$2:$C1426=C1427,row($C$2:$C1426),0)))) ,1),0),0))"),"")</f>
        <v/>
      </c>
      <c r="Q1427" s="147" t="str">
        <f t="shared" si="22"/>
        <v/>
      </c>
      <c r="R1427" s="147" t="str">
        <f t="shared" si="23"/>
        <v/>
      </c>
      <c r="S1427" s="147" t="str">
        <f t="shared" si="24"/>
        <v/>
      </c>
      <c r="T1427" s="147" t="str">
        <f t="shared" si="7"/>
        <v/>
      </c>
      <c r="U1427" s="150" t="str">
        <f t="shared" si="8"/>
        <v/>
      </c>
      <c r="V1427" s="151" t="str">
        <f>IFERROR(VLOOKUP(C1427,Ativos!$A$1:$G2000,5,),)</f>
        <v/>
      </c>
    </row>
    <row r="1428" ht="21.0" customHeight="1">
      <c r="A1428" s="152"/>
      <c r="B1428" s="160"/>
      <c r="C1428" s="153"/>
      <c r="D1428" s="154"/>
      <c r="E1428" s="139"/>
      <c r="F1428" s="139"/>
      <c r="G1428" s="139"/>
      <c r="H1428" s="135"/>
      <c r="I1428" s="141"/>
      <c r="J1428" s="147" t="str">
        <f>IFERROR(__xludf.DUMMYFUNCTION("IF(ISBLANK(A1428),IFERROR(1/0),IF(COUNT(FILTER(F:F,A:A=A1428))&gt;1,TRUNC(N1428*F1428/SUM(FILTER(N:N,A:A=A1428)),3),F1428))"),"")</f>
        <v/>
      </c>
      <c r="K1428" s="147" t="str">
        <f>IFERROR(__xludf.DUMMYFUNCTION("IF(ISBLANK(A1428),IFERROR(1/0),IF(COUNT(FILTER(G:G,((A:A=A1428)*(B:B=""V""))))&gt;1,TRUNC(N1428*G1428/SUM(FILTER(N:N,((A:A=A1428)*(B:B=""V"")))),3),G1428))"),"")</f>
        <v/>
      </c>
      <c r="L1428" s="148" t="str">
        <f>IFERROR(__xludf.DUMMYFUNCTION("if($C1428="""","""",iferror(if(row()&lt;&gt;2,INDEX(arrayformula(filter($M$2:$M1427,$C$2:$C1427&lt;&gt;"""",row($C$2:$C1427)=max(if($C$2:$C1427=C1428,row($C$2:$C1427),0)))) ,1),0),0))"),"")</f>
        <v/>
      </c>
      <c r="M1428" s="148" t="str">
        <f t="shared" si="1"/>
        <v/>
      </c>
      <c r="N1428" s="147" t="str">
        <f t="shared" si="2"/>
        <v/>
      </c>
      <c r="O1428" s="147" t="str">
        <f t="shared" si="21"/>
        <v/>
      </c>
      <c r="P1428" s="147" t="str">
        <f>IFERROR(__xludf.DUMMYFUNCTION("if(C1428="""","""",iferror(if(row()&lt;&gt;2,INDEX(arrayformula(filter($Q$2:$Q1427,$C$2:$C1427&lt;&gt;"""",row($C$2:$C1427)=max(if($C$2:$C1427=C1428,row($C$2:$C1427),0)))) ,1),0),0))"),"")</f>
        <v/>
      </c>
      <c r="Q1428" s="147" t="str">
        <f t="shared" si="22"/>
        <v/>
      </c>
      <c r="R1428" s="147" t="str">
        <f t="shared" si="23"/>
        <v/>
      </c>
      <c r="S1428" s="147" t="str">
        <f t="shared" si="24"/>
        <v/>
      </c>
      <c r="T1428" s="147" t="str">
        <f t="shared" si="7"/>
        <v/>
      </c>
      <c r="U1428" s="150" t="str">
        <f t="shared" si="8"/>
        <v/>
      </c>
      <c r="V1428" s="151" t="str">
        <f>IFERROR(VLOOKUP(C1428,Ativos!$A$1:$G2000,5,),)</f>
        <v/>
      </c>
    </row>
    <row r="1429" ht="21.0" customHeight="1">
      <c r="A1429" s="152"/>
      <c r="B1429" s="160"/>
      <c r="C1429" s="153"/>
      <c r="D1429" s="154"/>
      <c r="E1429" s="139"/>
      <c r="F1429" s="139"/>
      <c r="G1429" s="139"/>
      <c r="H1429" s="135"/>
      <c r="I1429" s="141"/>
      <c r="J1429" s="147" t="str">
        <f>IFERROR(__xludf.DUMMYFUNCTION("IF(ISBLANK(A1429),IFERROR(1/0),IF(COUNT(FILTER(F:F,A:A=A1429))&gt;1,TRUNC(N1429*F1429/SUM(FILTER(N:N,A:A=A1429)),3),F1429))"),"")</f>
        <v/>
      </c>
      <c r="K1429" s="147" t="str">
        <f>IFERROR(__xludf.DUMMYFUNCTION("IF(ISBLANK(A1429),IFERROR(1/0),IF(COUNT(FILTER(G:G,((A:A=A1429)*(B:B=""V""))))&gt;1,TRUNC(N1429*G1429/SUM(FILTER(N:N,((A:A=A1429)*(B:B=""V"")))),3),G1429))"),"")</f>
        <v/>
      </c>
      <c r="L1429" s="148" t="str">
        <f>IFERROR(__xludf.DUMMYFUNCTION("if($C1429="""","""",iferror(if(row()&lt;&gt;2,INDEX(arrayformula(filter($M$2:$M1428,$C$2:$C1428&lt;&gt;"""",row($C$2:$C1428)=max(if($C$2:$C1428=C1429,row($C$2:$C1428),0)))) ,1),0),0))"),"")</f>
        <v/>
      </c>
      <c r="M1429" s="148" t="str">
        <f t="shared" si="1"/>
        <v/>
      </c>
      <c r="N1429" s="147" t="str">
        <f t="shared" si="2"/>
        <v/>
      </c>
      <c r="O1429" s="147" t="str">
        <f t="shared" si="21"/>
        <v/>
      </c>
      <c r="P1429" s="147" t="str">
        <f>IFERROR(__xludf.DUMMYFUNCTION("if(C1429="""","""",iferror(if(row()&lt;&gt;2,INDEX(arrayformula(filter($Q$2:$Q1428,$C$2:$C1428&lt;&gt;"""",row($C$2:$C1428)=max(if($C$2:$C1428=C1429,row($C$2:$C1428),0)))) ,1),0),0))"),"")</f>
        <v/>
      </c>
      <c r="Q1429" s="147" t="str">
        <f t="shared" si="22"/>
        <v/>
      </c>
      <c r="R1429" s="147" t="str">
        <f t="shared" si="23"/>
        <v/>
      </c>
      <c r="S1429" s="147" t="str">
        <f t="shared" si="24"/>
        <v/>
      </c>
      <c r="T1429" s="147" t="str">
        <f t="shared" si="7"/>
        <v/>
      </c>
      <c r="U1429" s="150" t="str">
        <f t="shared" si="8"/>
        <v/>
      </c>
      <c r="V1429" s="151" t="str">
        <f>IFERROR(VLOOKUP(C1429,Ativos!$A$1:$G2000,5,),)</f>
        <v/>
      </c>
    </row>
    <row r="1430" ht="21.0" customHeight="1">
      <c r="A1430" s="152"/>
      <c r="B1430" s="160"/>
      <c r="C1430" s="153"/>
      <c r="D1430" s="154"/>
      <c r="E1430" s="139"/>
      <c r="F1430" s="139"/>
      <c r="G1430" s="139"/>
      <c r="H1430" s="135"/>
      <c r="I1430" s="141"/>
      <c r="J1430" s="147" t="str">
        <f>IFERROR(__xludf.DUMMYFUNCTION("IF(ISBLANK(A1430),IFERROR(1/0),IF(COUNT(FILTER(F:F,A:A=A1430))&gt;1,TRUNC(N1430*F1430/SUM(FILTER(N:N,A:A=A1430)),3),F1430))"),"")</f>
        <v/>
      </c>
      <c r="K1430" s="147" t="str">
        <f>IFERROR(__xludf.DUMMYFUNCTION("IF(ISBLANK(A1430),IFERROR(1/0),IF(COUNT(FILTER(G:G,((A:A=A1430)*(B:B=""V""))))&gt;1,TRUNC(N1430*G1430/SUM(FILTER(N:N,((A:A=A1430)*(B:B=""V"")))),3),G1430))"),"")</f>
        <v/>
      </c>
      <c r="L1430" s="148" t="str">
        <f>IFERROR(__xludf.DUMMYFUNCTION("if($C1430="""","""",iferror(if(row()&lt;&gt;2,INDEX(arrayformula(filter($M$2:$M1429,$C$2:$C1429&lt;&gt;"""",row($C$2:$C1429)=max(if($C$2:$C1429=C1430,row($C$2:$C1429),0)))) ,1),0),0))"),"")</f>
        <v/>
      </c>
      <c r="M1430" s="148" t="str">
        <f t="shared" si="1"/>
        <v/>
      </c>
      <c r="N1430" s="147" t="str">
        <f t="shared" si="2"/>
        <v/>
      </c>
      <c r="O1430" s="147" t="str">
        <f t="shared" si="21"/>
        <v/>
      </c>
      <c r="P1430" s="147" t="str">
        <f>IFERROR(__xludf.DUMMYFUNCTION("if(C1430="""","""",iferror(if(row()&lt;&gt;2,INDEX(arrayformula(filter($Q$2:$Q1429,$C$2:$C1429&lt;&gt;"""",row($C$2:$C1429)=max(if($C$2:$C1429=C1430,row($C$2:$C1429),0)))) ,1),0),0))"),"")</f>
        <v/>
      </c>
      <c r="Q1430" s="147" t="str">
        <f t="shared" si="22"/>
        <v/>
      </c>
      <c r="R1430" s="147" t="str">
        <f t="shared" si="23"/>
        <v/>
      </c>
      <c r="S1430" s="147" t="str">
        <f t="shared" si="24"/>
        <v/>
      </c>
      <c r="T1430" s="147" t="str">
        <f t="shared" si="7"/>
        <v/>
      </c>
      <c r="U1430" s="150" t="str">
        <f t="shared" si="8"/>
        <v/>
      </c>
      <c r="V1430" s="151" t="str">
        <f>IFERROR(VLOOKUP(C1430,Ativos!$A$1:$G2000,5,),)</f>
        <v/>
      </c>
    </row>
    <row r="1431" ht="21.0" customHeight="1">
      <c r="A1431" s="152"/>
      <c r="B1431" s="160"/>
      <c r="C1431" s="153"/>
      <c r="D1431" s="154"/>
      <c r="E1431" s="139"/>
      <c r="F1431" s="139"/>
      <c r="G1431" s="139"/>
      <c r="H1431" s="135"/>
      <c r="I1431" s="141"/>
      <c r="J1431" s="147" t="str">
        <f>IFERROR(__xludf.DUMMYFUNCTION("IF(ISBLANK(A1431),IFERROR(1/0),IF(COUNT(FILTER(F:F,A:A=A1431))&gt;1,TRUNC(N1431*F1431/SUM(FILTER(N:N,A:A=A1431)),3),F1431))"),"")</f>
        <v/>
      </c>
      <c r="K1431" s="147" t="str">
        <f>IFERROR(__xludf.DUMMYFUNCTION("IF(ISBLANK(A1431),IFERROR(1/0),IF(COUNT(FILTER(G:G,((A:A=A1431)*(B:B=""V""))))&gt;1,TRUNC(N1431*G1431/SUM(FILTER(N:N,((A:A=A1431)*(B:B=""V"")))),3),G1431))"),"")</f>
        <v/>
      </c>
      <c r="L1431" s="148" t="str">
        <f>IFERROR(__xludf.DUMMYFUNCTION("if($C1431="""","""",iferror(if(row()&lt;&gt;2,INDEX(arrayformula(filter($M$2:$M1430,$C$2:$C1430&lt;&gt;"""",row($C$2:$C1430)=max(if($C$2:$C1430=C1431,row($C$2:$C1430),0)))) ,1),0),0))"),"")</f>
        <v/>
      </c>
      <c r="M1431" s="148" t="str">
        <f t="shared" si="1"/>
        <v/>
      </c>
      <c r="N1431" s="147" t="str">
        <f t="shared" si="2"/>
        <v/>
      </c>
      <c r="O1431" s="147" t="str">
        <f t="shared" si="21"/>
        <v/>
      </c>
      <c r="P1431" s="147" t="str">
        <f>IFERROR(__xludf.DUMMYFUNCTION("if(C1431="""","""",iferror(if(row()&lt;&gt;2,INDEX(arrayformula(filter($Q$2:$Q1430,$C$2:$C1430&lt;&gt;"""",row($C$2:$C1430)=max(if($C$2:$C1430=C1431,row($C$2:$C1430),0)))) ,1),0),0))"),"")</f>
        <v/>
      </c>
      <c r="Q1431" s="147" t="str">
        <f t="shared" si="22"/>
        <v/>
      </c>
      <c r="R1431" s="147" t="str">
        <f t="shared" si="23"/>
        <v/>
      </c>
      <c r="S1431" s="147" t="str">
        <f t="shared" si="24"/>
        <v/>
      </c>
      <c r="T1431" s="147" t="str">
        <f t="shared" si="7"/>
        <v/>
      </c>
      <c r="U1431" s="150" t="str">
        <f t="shared" si="8"/>
        <v/>
      </c>
      <c r="V1431" s="151" t="str">
        <f>IFERROR(VLOOKUP(C1431,Ativos!$A$1:$G2000,5,),)</f>
        <v/>
      </c>
    </row>
    <row r="1432" ht="21.0" customHeight="1">
      <c r="A1432" s="152"/>
      <c r="B1432" s="160"/>
      <c r="C1432" s="153"/>
      <c r="D1432" s="154"/>
      <c r="E1432" s="139"/>
      <c r="F1432" s="139"/>
      <c r="G1432" s="139"/>
      <c r="H1432" s="135"/>
      <c r="I1432" s="141"/>
      <c r="J1432" s="147" t="str">
        <f>IFERROR(__xludf.DUMMYFUNCTION("IF(ISBLANK(A1432),IFERROR(1/0),IF(COUNT(FILTER(F:F,A:A=A1432))&gt;1,TRUNC(N1432*F1432/SUM(FILTER(N:N,A:A=A1432)),3),F1432))"),"")</f>
        <v/>
      </c>
      <c r="K1432" s="147" t="str">
        <f>IFERROR(__xludf.DUMMYFUNCTION("IF(ISBLANK(A1432),IFERROR(1/0),IF(COUNT(FILTER(G:G,((A:A=A1432)*(B:B=""V""))))&gt;1,TRUNC(N1432*G1432/SUM(FILTER(N:N,((A:A=A1432)*(B:B=""V"")))),3),G1432))"),"")</f>
        <v/>
      </c>
      <c r="L1432" s="148" t="str">
        <f>IFERROR(__xludf.DUMMYFUNCTION("if($C1432="""","""",iferror(if(row()&lt;&gt;2,INDEX(arrayformula(filter($M$2:$M1431,$C$2:$C1431&lt;&gt;"""",row($C$2:$C1431)=max(if($C$2:$C1431=C1432,row($C$2:$C1431),0)))) ,1),0),0))"),"")</f>
        <v/>
      </c>
      <c r="M1432" s="148" t="str">
        <f t="shared" si="1"/>
        <v/>
      </c>
      <c r="N1432" s="147" t="str">
        <f t="shared" si="2"/>
        <v/>
      </c>
      <c r="O1432" s="147" t="str">
        <f t="shared" si="21"/>
        <v/>
      </c>
      <c r="P1432" s="147" t="str">
        <f>IFERROR(__xludf.DUMMYFUNCTION("if(C1432="""","""",iferror(if(row()&lt;&gt;2,INDEX(arrayformula(filter($Q$2:$Q1431,$C$2:$C1431&lt;&gt;"""",row($C$2:$C1431)=max(if($C$2:$C1431=C1432,row($C$2:$C1431),0)))) ,1),0),0))"),"")</f>
        <v/>
      </c>
      <c r="Q1432" s="147" t="str">
        <f t="shared" si="22"/>
        <v/>
      </c>
      <c r="R1432" s="147" t="str">
        <f t="shared" si="23"/>
        <v/>
      </c>
      <c r="S1432" s="147" t="str">
        <f t="shared" si="24"/>
        <v/>
      </c>
      <c r="T1432" s="147" t="str">
        <f t="shared" si="7"/>
        <v/>
      </c>
      <c r="U1432" s="150" t="str">
        <f t="shared" si="8"/>
        <v/>
      </c>
      <c r="V1432" s="151" t="str">
        <f>IFERROR(VLOOKUP(C1432,Ativos!$A$1:$G2000,5,),)</f>
        <v/>
      </c>
    </row>
    <row r="1433" ht="21.0" customHeight="1">
      <c r="A1433" s="152"/>
      <c r="B1433" s="160"/>
      <c r="C1433" s="153"/>
      <c r="D1433" s="154"/>
      <c r="E1433" s="139"/>
      <c r="F1433" s="139"/>
      <c r="G1433" s="139"/>
      <c r="H1433" s="135"/>
      <c r="I1433" s="141"/>
      <c r="J1433" s="147" t="str">
        <f>IFERROR(__xludf.DUMMYFUNCTION("IF(ISBLANK(A1433),IFERROR(1/0),IF(COUNT(FILTER(F:F,A:A=A1433))&gt;1,TRUNC(N1433*F1433/SUM(FILTER(N:N,A:A=A1433)),3),F1433))"),"")</f>
        <v/>
      </c>
      <c r="K1433" s="147" t="str">
        <f>IFERROR(__xludf.DUMMYFUNCTION("IF(ISBLANK(A1433),IFERROR(1/0),IF(COUNT(FILTER(G:G,((A:A=A1433)*(B:B=""V""))))&gt;1,TRUNC(N1433*G1433/SUM(FILTER(N:N,((A:A=A1433)*(B:B=""V"")))),3),G1433))"),"")</f>
        <v/>
      </c>
      <c r="L1433" s="148" t="str">
        <f>IFERROR(__xludf.DUMMYFUNCTION("if($C1433="""","""",iferror(if(row()&lt;&gt;2,INDEX(arrayformula(filter($M$2:$M1432,$C$2:$C1432&lt;&gt;"""",row($C$2:$C1432)=max(if($C$2:$C1432=C1433,row($C$2:$C1432),0)))) ,1),0),0))"),"")</f>
        <v/>
      </c>
      <c r="M1433" s="148" t="str">
        <f t="shared" si="1"/>
        <v/>
      </c>
      <c r="N1433" s="147" t="str">
        <f t="shared" si="2"/>
        <v/>
      </c>
      <c r="O1433" s="147" t="str">
        <f t="shared" si="21"/>
        <v/>
      </c>
      <c r="P1433" s="147" t="str">
        <f>IFERROR(__xludf.DUMMYFUNCTION("if(C1433="""","""",iferror(if(row()&lt;&gt;2,INDEX(arrayformula(filter($Q$2:$Q1432,$C$2:$C1432&lt;&gt;"""",row($C$2:$C1432)=max(if($C$2:$C1432=C1433,row($C$2:$C1432),0)))) ,1),0),0))"),"")</f>
        <v/>
      </c>
      <c r="Q1433" s="147" t="str">
        <f t="shared" si="22"/>
        <v/>
      </c>
      <c r="R1433" s="147" t="str">
        <f t="shared" si="23"/>
        <v/>
      </c>
      <c r="S1433" s="147" t="str">
        <f t="shared" si="24"/>
        <v/>
      </c>
      <c r="T1433" s="147" t="str">
        <f t="shared" si="7"/>
        <v/>
      </c>
      <c r="U1433" s="150" t="str">
        <f t="shared" si="8"/>
        <v/>
      </c>
      <c r="V1433" s="151" t="str">
        <f>IFERROR(VLOOKUP(C1433,Ativos!$A$1:$G2000,5,),)</f>
        <v/>
      </c>
    </row>
    <row r="1434" ht="21.0" customHeight="1">
      <c r="A1434" s="152"/>
      <c r="B1434" s="160"/>
      <c r="C1434" s="153"/>
      <c r="D1434" s="154"/>
      <c r="E1434" s="139"/>
      <c r="F1434" s="139"/>
      <c r="G1434" s="139"/>
      <c r="H1434" s="135"/>
      <c r="I1434" s="141"/>
      <c r="J1434" s="147" t="str">
        <f>IFERROR(__xludf.DUMMYFUNCTION("IF(ISBLANK(A1434),IFERROR(1/0),IF(COUNT(FILTER(F:F,A:A=A1434))&gt;1,TRUNC(N1434*F1434/SUM(FILTER(N:N,A:A=A1434)),3),F1434))"),"")</f>
        <v/>
      </c>
      <c r="K1434" s="147" t="str">
        <f>IFERROR(__xludf.DUMMYFUNCTION("IF(ISBLANK(A1434),IFERROR(1/0),IF(COUNT(FILTER(G:G,((A:A=A1434)*(B:B=""V""))))&gt;1,TRUNC(N1434*G1434/SUM(FILTER(N:N,((A:A=A1434)*(B:B=""V"")))),3),G1434))"),"")</f>
        <v/>
      </c>
      <c r="L1434" s="148" t="str">
        <f>IFERROR(__xludf.DUMMYFUNCTION("if($C1434="""","""",iferror(if(row()&lt;&gt;2,INDEX(arrayformula(filter($M$2:$M1433,$C$2:$C1433&lt;&gt;"""",row($C$2:$C1433)=max(if($C$2:$C1433=C1434,row($C$2:$C1433),0)))) ,1),0),0))"),"")</f>
        <v/>
      </c>
      <c r="M1434" s="148" t="str">
        <f t="shared" si="1"/>
        <v/>
      </c>
      <c r="N1434" s="147" t="str">
        <f t="shared" si="2"/>
        <v/>
      </c>
      <c r="O1434" s="147" t="str">
        <f t="shared" si="21"/>
        <v/>
      </c>
      <c r="P1434" s="147" t="str">
        <f>IFERROR(__xludf.DUMMYFUNCTION("if(C1434="""","""",iferror(if(row()&lt;&gt;2,INDEX(arrayformula(filter($Q$2:$Q1433,$C$2:$C1433&lt;&gt;"""",row($C$2:$C1433)=max(if($C$2:$C1433=C1434,row($C$2:$C1433),0)))) ,1),0),0))"),"")</f>
        <v/>
      </c>
      <c r="Q1434" s="147" t="str">
        <f t="shared" si="22"/>
        <v/>
      </c>
      <c r="R1434" s="147" t="str">
        <f t="shared" si="23"/>
        <v/>
      </c>
      <c r="S1434" s="147" t="str">
        <f t="shared" si="24"/>
        <v/>
      </c>
      <c r="T1434" s="147" t="str">
        <f t="shared" si="7"/>
        <v/>
      </c>
      <c r="U1434" s="150" t="str">
        <f t="shared" si="8"/>
        <v/>
      </c>
      <c r="V1434" s="151" t="str">
        <f>IFERROR(VLOOKUP(C1434,Ativos!$A$1:$G2000,5,),)</f>
        <v/>
      </c>
    </row>
    <row r="1435" ht="21.0" customHeight="1">
      <c r="A1435" s="152"/>
      <c r="B1435" s="160"/>
      <c r="C1435" s="153"/>
      <c r="D1435" s="154"/>
      <c r="E1435" s="139"/>
      <c r="F1435" s="139"/>
      <c r="G1435" s="139"/>
      <c r="H1435" s="135"/>
      <c r="I1435" s="141"/>
      <c r="J1435" s="147" t="str">
        <f>IFERROR(__xludf.DUMMYFUNCTION("IF(ISBLANK(A1435),IFERROR(1/0),IF(COUNT(FILTER(F:F,A:A=A1435))&gt;1,TRUNC(N1435*F1435/SUM(FILTER(N:N,A:A=A1435)),3),F1435))"),"")</f>
        <v/>
      </c>
      <c r="K1435" s="147" t="str">
        <f>IFERROR(__xludf.DUMMYFUNCTION("IF(ISBLANK(A1435),IFERROR(1/0),IF(COUNT(FILTER(G:G,((A:A=A1435)*(B:B=""V""))))&gt;1,TRUNC(N1435*G1435/SUM(FILTER(N:N,((A:A=A1435)*(B:B=""V"")))),3),G1435))"),"")</f>
        <v/>
      </c>
      <c r="L1435" s="148" t="str">
        <f>IFERROR(__xludf.DUMMYFUNCTION("if($C1435="""","""",iferror(if(row()&lt;&gt;2,INDEX(arrayformula(filter($M$2:$M1434,$C$2:$C1434&lt;&gt;"""",row($C$2:$C1434)=max(if($C$2:$C1434=C1435,row($C$2:$C1434),0)))) ,1),0),0))"),"")</f>
        <v/>
      </c>
      <c r="M1435" s="148" t="str">
        <f t="shared" si="1"/>
        <v/>
      </c>
      <c r="N1435" s="147" t="str">
        <f t="shared" si="2"/>
        <v/>
      </c>
      <c r="O1435" s="147" t="str">
        <f t="shared" si="21"/>
        <v/>
      </c>
      <c r="P1435" s="147" t="str">
        <f>IFERROR(__xludf.DUMMYFUNCTION("if(C1435="""","""",iferror(if(row()&lt;&gt;2,INDEX(arrayformula(filter($Q$2:$Q1434,$C$2:$C1434&lt;&gt;"""",row($C$2:$C1434)=max(if($C$2:$C1434=C1435,row($C$2:$C1434),0)))) ,1),0),0))"),"")</f>
        <v/>
      </c>
      <c r="Q1435" s="147" t="str">
        <f t="shared" si="22"/>
        <v/>
      </c>
      <c r="R1435" s="147" t="str">
        <f t="shared" si="23"/>
        <v/>
      </c>
      <c r="S1435" s="147" t="str">
        <f t="shared" si="24"/>
        <v/>
      </c>
      <c r="T1435" s="147" t="str">
        <f t="shared" si="7"/>
        <v/>
      </c>
      <c r="U1435" s="150" t="str">
        <f t="shared" si="8"/>
        <v/>
      </c>
      <c r="V1435" s="151" t="str">
        <f>IFERROR(VLOOKUP(C1435,Ativos!$A$1:$G2000,5,),)</f>
        <v/>
      </c>
    </row>
    <row r="1436" ht="21.0" customHeight="1">
      <c r="A1436" s="152"/>
      <c r="B1436" s="160"/>
      <c r="C1436" s="153"/>
      <c r="D1436" s="154"/>
      <c r="E1436" s="139"/>
      <c r="F1436" s="139"/>
      <c r="G1436" s="139"/>
      <c r="H1436" s="135"/>
      <c r="I1436" s="141"/>
      <c r="J1436" s="147" t="str">
        <f>IFERROR(__xludf.DUMMYFUNCTION("IF(ISBLANK(A1436),IFERROR(1/0),IF(COUNT(FILTER(F:F,A:A=A1436))&gt;1,TRUNC(N1436*F1436/SUM(FILTER(N:N,A:A=A1436)),3),F1436))"),"")</f>
        <v/>
      </c>
      <c r="K1436" s="147" t="str">
        <f>IFERROR(__xludf.DUMMYFUNCTION("IF(ISBLANK(A1436),IFERROR(1/0),IF(COUNT(FILTER(G:G,((A:A=A1436)*(B:B=""V""))))&gt;1,TRUNC(N1436*G1436/SUM(FILTER(N:N,((A:A=A1436)*(B:B=""V"")))),3),G1436))"),"")</f>
        <v/>
      </c>
      <c r="L1436" s="148" t="str">
        <f>IFERROR(__xludf.DUMMYFUNCTION("if($C1436="""","""",iferror(if(row()&lt;&gt;2,INDEX(arrayformula(filter($M$2:$M1435,$C$2:$C1435&lt;&gt;"""",row($C$2:$C1435)=max(if($C$2:$C1435=C1436,row($C$2:$C1435),0)))) ,1),0),0))"),"")</f>
        <v/>
      </c>
      <c r="M1436" s="148" t="str">
        <f t="shared" si="1"/>
        <v/>
      </c>
      <c r="N1436" s="147" t="str">
        <f t="shared" si="2"/>
        <v/>
      </c>
      <c r="O1436" s="147" t="str">
        <f t="shared" si="21"/>
        <v/>
      </c>
      <c r="P1436" s="147" t="str">
        <f>IFERROR(__xludf.DUMMYFUNCTION("if(C1436="""","""",iferror(if(row()&lt;&gt;2,INDEX(arrayformula(filter($Q$2:$Q1435,$C$2:$C1435&lt;&gt;"""",row($C$2:$C1435)=max(if($C$2:$C1435=C1436,row($C$2:$C1435),0)))) ,1),0),0))"),"")</f>
        <v/>
      </c>
      <c r="Q1436" s="147" t="str">
        <f t="shared" si="22"/>
        <v/>
      </c>
      <c r="R1436" s="147" t="str">
        <f t="shared" si="23"/>
        <v/>
      </c>
      <c r="S1436" s="147" t="str">
        <f t="shared" si="24"/>
        <v/>
      </c>
      <c r="T1436" s="147" t="str">
        <f t="shared" si="7"/>
        <v/>
      </c>
      <c r="U1436" s="150" t="str">
        <f t="shared" si="8"/>
        <v/>
      </c>
      <c r="V1436" s="151" t="str">
        <f>IFERROR(VLOOKUP(C1436,Ativos!$A$1:$G2000,5,),)</f>
        <v/>
      </c>
    </row>
    <row r="1437" ht="21.0" customHeight="1">
      <c r="A1437" s="152"/>
      <c r="B1437" s="160"/>
      <c r="C1437" s="153"/>
      <c r="D1437" s="154"/>
      <c r="E1437" s="139"/>
      <c r="F1437" s="139"/>
      <c r="G1437" s="139"/>
      <c r="H1437" s="135"/>
      <c r="I1437" s="141"/>
      <c r="J1437" s="147" t="str">
        <f>IFERROR(__xludf.DUMMYFUNCTION("IF(ISBLANK(A1437),IFERROR(1/0),IF(COUNT(FILTER(F:F,A:A=A1437))&gt;1,TRUNC(N1437*F1437/SUM(FILTER(N:N,A:A=A1437)),3),F1437))"),"")</f>
        <v/>
      </c>
      <c r="K1437" s="147" t="str">
        <f>IFERROR(__xludf.DUMMYFUNCTION("IF(ISBLANK(A1437),IFERROR(1/0),IF(COUNT(FILTER(G:G,((A:A=A1437)*(B:B=""V""))))&gt;1,TRUNC(N1437*G1437/SUM(FILTER(N:N,((A:A=A1437)*(B:B=""V"")))),3),G1437))"),"")</f>
        <v/>
      </c>
      <c r="L1437" s="148" t="str">
        <f>IFERROR(__xludf.DUMMYFUNCTION("if($C1437="""","""",iferror(if(row()&lt;&gt;2,INDEX(arrayformula(filter($M$2:$M1436,$C$2:$C1436&lt;&gt;"""",row($C$2:$C1436)=max(if($C$2:$C1436=C1437,row($C$2:$C1436),0)))) ,1),0),0))"),"")</f>
        <v/>
      </c>
      <c r="M1437" s="148" t="str">
        <f t="shared" si="1"/>
        <v/>
      </c>
      <c r="N1437" s="147" t="str">
        <f t="shared" si="2"/>
        <v/>
      </c>
      <c r="O1437" s="147" t="str">
        <f t="shared" si="21"/>
        <v/>
      </c>
      <c r="P1437" s="147" t="str">
        <f>IFERROR(__xludf.DUMMYFUNCTION("if(C1437="""","""",iferror(if(row()&lt;&gt;2,INDEX(arrayformula(filter($Q$2:$Q1436,$C$2:$C1436&lt;&gt;"""",row($C$2:$C1436)=max(if($C$2:$C1436=C1437,row($C$2:$C1436),0)))) ,1),0),0))"),"")</f>
        <v/>
      </c>
      <c r="Q1437" s="147" t="str">
        <f t="shared" si="22"/>
        <v/>
      </c>
      <c r="R1437" s="147" t="str">
        <f t="shared" si="23"/>
        <v/>
      </c>
      <c r="S1437" s="147" t="str">
        <f t="shared" si="24"/>
        <v/>
      </c>
      <c r="T1437" s="147" t="str">
        <f t="shared" si="7"/>
        <v/>
      </c>
      <c r="U1437" s="150" t="str">
        <f t="shared" si="8"/>
        <v/>
      </c>
      <c r="V1437" s="151" t="str">
        <f>IFERROR(VLOOKUP(C1437,Ativos!$A$1:$G2000,5,),)</f>
        <v/>
      </c>
    </row>
    <row r="1438" ht="21.0" customHeight="1">
      <c r="A1438" s="152"/>
      <c r="B1438" s="160"/>
      <c r="C1438" s="153"/>
      <c r="D1438" s="154"/>
      <c r="E1438" s="139"/>
      <c r="F1438" s="139"/>
      <c r="G1438" s="139"/>
      <c r="H1438" s="135"/>
      <c r="I1438" s="141"/>
      <c r="J1438" s="147" t="str">
        <f>IFERROR(__xludf.DUMMYFUNCTION("IF(ISBLANK(A1438),IFERROR(1/0),IF(COUNT(FILTER(F:F,A:A=A1438))&gt;1,TRUNC(N1438*F1438/SUM(FILTER(N:N,A:A=A1438)),3),F1438))"),"")</f>
        <v/>
      </c>
      <c r="K1438" s="147" t="str">
        <f>IFERROR(__xludf.DUMMYFUNCTION("IF(ISBLANK(A1438),IFERROR(1/0),IF(COUNT(FILTER(G:G,((A:A=A1438)*(B:B=""V""))))&gt;1,TRUNC(N1438*G1438/SUM(FILTER(N:N,((A:A=A1438)*(B:B=""V"")))),3),G1438))"),"")</f>
        <v/>
      </c>
      <c r="L1438" s="148" t="str">
        <f>IFERROR(__xludf.DUMMYFUNCTION("if($C1438="""","""",iferror(if(row()&lt;&gt;2,INDEX(arrayformula(filter($M$2:$M1437,$C$2:$C1437&lt;&gt;"""",row($C$2:$C1437)=max(if($C$2:$C1437=C1438,row($C$2:$C1437),0)))) ,1),0),0))"),"")</f>
        <v/>
      </c>
      <c r="M1438" s="148" t="str">
        <f t="shared" si="1"/>
        <v/>
      </c>
      <c r="N1438" s="147" t="str">
        <f t="shared" si="2"/>
        <v/>
      </c>
      <c r="O1438" s="147" t="str">
        <f t="shared" si="21"/>
        <v/>
      </c>
      <c r="P1438" s="147" t="str">
        <f>IFERROR(__xludf.DUMMYFUNCTION("if(C1438="""","""",iferror(if(row()&lt;&gt;2,INDEX(arrayformula(filter($Q$2:$Q1437,$C$2:$C1437&lt;&gt;"""",row($C$2:$C1437)=max(if($C$2:$C1437=C1438,row($C$2:$C1437),0)))) ,1),0),0))"),"")</f>
        <v/>
      </c>
      <c r="Q1438" s="147" t="str">
        <f t="shared" si="22"/>
        <v/>
      </c>
      <c r="R1438" s="147" t="str">
        <f t="shared" si="23"/>
        <v/>
      </c>
      <c r="S1438" s="147" t="str">
        <f t="shared" si="24"/>
        <v/>
      </c>
      <c r="T1438" s="147" t="str">
        <f t="shared" si="7"/>
        <v/>
      </c>
      <c r="U1438" s="150" t="str">
        <f t="shared" si="8"/>
        <v/>
      </c>
      <c r="V1438" s="151" t="str">
        <f>IFERROR(VLOOKUP(C1438,Ativos!$A$1:$G2000,5,),)</f>
        <v/>
      </c>
    </row>
    <row r="1439" ht="21.0" customHeight="1">
      <c r="A1439" s="152"/>
      <c r="B1439" s="160"/>
      <c r="C1439" s="153"/>
      <c r="D1439" s="154"/>
      <c r="E1439" s="139"/>
      <c r="F1439" s="139"/>
      <c r="G1439" s="139"/>
      <c r="H1439" s="135"/>
      <c r="I1439" s="141"/>
      <c r="J1439" s="147" t="str">
        <f>IFERROR(__xludf.DUMMYFUNCTION("IF(ISBLANK(A1439),IFERROR(1/0),IF(COUNT(FILTER(F:F,A:A=A1439))&gt;1,TRUNC(N1439*F1439/SUM(FILTER(N:N,A:A=A1439)),3),F1439))"),"")</f>
        <v/>
      </c>
      <c r="K1439" s="147" t="str">
        <f>IFERROR(__xludf.DUMMYFUNCTION("IF(ISBLANK(A1439),IFERROR(1/0),IF(COUNT(FILTER(G:G,((A:A=A1439)*(B:B=""V""))))&gt;1,TRUNC(N1439*G1439/SUM(FILTER(N:N,((A:A=A1439)*(B:B=""V"")))),3),G1439))"),"")</f>
        <v/>
      </c>
      <c r="L1439" s="148" t="str">
        <f>IFERROR(__xludf.DUMMYFUNCTION("if($C1439="""","""",iferror(if(row()&lt;&gt;2,INDEX(arrayformula(filter($M$2:$M1438,$C$2:$C1438&lt;&gt;"""",row($C$2:$C1438)=max(if($C$2:$C1438=C1439,row($C$2:$C1438),0)))) ,1),0),0))"),"")</f>
        <v/>
      </c>
      <c r="M1439" s="148" t="str">
        <f t="shared" si="1"/>
        <v/>
      </c>
      <c r="N1439" s="147" t="str">
        <f t="shared" si="2"/>
        <v/>
      </c>
      <c r="O1439" s="147" t="str">
        <f t="shared" si="21"/>
        <v/>
      </c>
      <c r="P1439" s="147" t="str">
        <f>IFERROR(__xludf.DUMMYFUNCTION("if(C1439="""","""",iferror(if(row()&lt;&gt;2,INDEX(arrayformula(filter($Q$2:$Q1438,$C$2:$C1438&lt;&gt;"""",row($C$2:$C1438)=max(if($C$2:$C1438=C1439,row($C$2:$C1438),0)))) ,1),0),0))"),"")</f>
        <v/>
      </c>
      <c r="Q1439" s="147" t="str">
        <f t="shared" si="22"/>
        <v/>
      </c>
      <c r="R1439" s="147" t="str">
        <f t="shared" si="23"/>
        <v/>
      </c>
      <c r="S1439" s="147" t="str">
        <f t="shared" si="24"/>
        <v/>
      </c>
      <c r="T1439" s="147" t="str">
        <f t="shared" si="7"/>
        <v/>
      </c>
      <c r="U1439" s="150" t="str">
        <f t="shared" si="8"/>
        <v/>
      </c>
      <c r="V1439" s="151" t="str">
        <f>IFERROR(VLOOKUP(C1439,Ativos!$A$1:$G2000,5,),)</f>
        <v/>
      </c>
    </row>
    <row r="1440" ht="21.0" customHeight="1">
      <c r="A1440" s="152"/>
      <c r="B1440" s="160"/>
      <c r="C1440" s="153"/>
      <c r="D1440" s="154"/>
      <c r="E1440" s="139"/>
      <c r="F1440" s="139"/>
      <c r="G1440" s="139"/>
      <c r="H1440" s="135"/>
      <c r="I1440" s="141"/>
      <c r="J1440" s="147" t="str">
        <f>IFERROR(__xludf.DUMMYFUNCTION("IF(ISBLANK(A1440),IFERROR(1/0),IF(COUNT(FILTER(F:F,A:A=A1440))&gt;1,TRUNC(N1440*F1440/SUM(FILTER(N:N,A:A=A1440)),3),F1440))"),"")</f>
        <v/>
      </c>
      <c r="K1440" s="147" t="str">
        <f>IFERROR(__xludf.DUMMYFUNCTION("IF(ISBLANK(A1440),IFERROR(1/0),IF(COUNT(FILTER(G:G,((A:A=A1440)*(B:B=""V""))))&gt;1,TRUNC(N1440*G1440/SUM(FILTER(N:N,((A:A=A1440)*(B:B=""V"")))),3),G1440))"),"")</f>
        <v/>
      </c>
      <c r="L1440" s="148" t="str">
        <f>IFERROR(__xludf.DUMMYFUNCTION("if($C1440="""","""",iferror(if(row()&lt;&gt;2,INDEX(arrayformula(filter($M$2:$M1439,$C$2:$C1439&lt;&gt;"""",row($C$2:$C1439)=max(if($C$2:$C1439=C1440,row($C$2:$C1439),0)))) ,1),0),0))"),"")</f>
        <v/>
      </c>
      <c r="M1440" s="148" t="str">
        <f t="shared" si="1"/>
        <v/>
      </c>
      <c r="N1440" s="147" t="str">
        <f t="shared" si="2"/>
        <v/>
      </c>
      <c r="O1440" s="147" t="str">
        <f t="shared" si="21"/>
        <v/>
      </c>
      <c r="P1440" s="147" t="str">
        <f>IFERROR(__xludf.DUMMYFUNCTION("if(C1440="""","""",iferror(if(row()&lt;&gt;2,INDEX(arrayformula(filter($Q$2:$Q1439,$C$2:$C1439&lt;&gt;"""",row($C$2:$C1439)=max(if($C$2:$C1439=C1440,row($C$2:$C1439),0)))) ,1),0),0))"),"")</f>
        <v/>
      </c>
      <c r="Q1440" s="147" t="str">
        <f t="shared" si="22"/>
        <v/>
      </c>
      <c r="R1440" s="147" t="str">
        <f t="shared" si="23"/>
        <v/>
      </c>
      <c r="S1440" s="147" t="str">
        <f t="shared" si="24"/>
        <v/>
      </c>
      <c r="T1440" s="147" t="str">
        <f t="shared" si="7"/>
        <v/>
      </c>
      <c r="U1440" s="150" t="str">
        <f t="shared" si="8"/>
        <v/>
      </c>
      <c r="V1440" s="151" t="str">
        <f>IFERROR(VLOOKUP(C1440,Ativos!$A$1:$G2000,5,),)</f>
        <v/>
      </c>
    </row>
    <row r="1441" ht="21.0" customHeight="1">
      <c r="A1441" s="152"/>
      <c r="B1441" s="160"/>
      <c r="C1441" s="153"/>
      <c r="D1441" s="154"/>
      <c r="E1441" s="139"/>
      <c r="F1441" s="139"/>
      <c r="G1441" s="139"/>
      <c r="H1441" s="135"/>
      <c r="I1441" s="141"/>
      <c r="J1441" s="147" t="str">
        <f>IFERROR(__xludf.DUMMYFUNCTION("IF(ISBLANK(A1441),IFERROR(1/0),IF(COUNT(FILTER(F:F,A:A=A1441))&gt;1,TRUNC(N1441*F1441/SUM(FILTER(N:N,A:A=A1441)),3),F1441))"),"")</f>
        <v/>
      </c>
      <c r="K1441" s="147" t="str">
        <f>IFERROR(__xludf.DUMMYFUNCTION("IF(ISBLANK(A1441),IFERROR(1/0),IF(COUNT(FILTER(G:G,((A:A=A1441)*(B:B=""V""))))&gt;1,TRUNC(N1441*G1441/SUM(FILTER(N:N,((A:A=A1441)*(B:B=""V"")))),3),G1441))"),"")</f>
        <v/>
      </c>
      <c r="L1441" s="148" t="str">
        <f>IFERROR(__xludf.DUMMYFUNCTION("if($C1441="""","""",iferror(if(row()&lt;&gt;2,INDEX(arrayformula(filter($M$2:$M1440,$C$2:$C1440&lt;&gt;"""",row($C$2:$C1440)=max(if($C$2:$C1440=C1441,row($C$2:$C1440),0)))) ,1),0),0))"),"")</f>
        <v/>
      </c>
      <c r="M1441" s="148" t="str">
        <f t="shared" si="1"/>
        <v/>
      </c>
      <c r="N1441" s="147" t="str">
        <f t="shared" si="2"/>
        <v/>
      </c>
      <c r="O1441" s="147" t="str">
        <f t="shared" si="21"/>
        <v/>
      </c>
      <c r="P1441" s="147" t="str">
        <f>IFERROR(__xludf.DUMMYFUNCTION("if(C1441="""","""",iferror(if(row()&lt;&gt;2,INDEX(arrayformula(filter($Q$2:$Q1440,$C$2:$C1440&lt;&gt;"""",row($C$2:$C1440)=max(if($C$2:$C1440=C1441,row($C$2:$C1440),0)))) ,1),0),0))"),"")</f>
        <v/>
      </c>
      <c r="Q1441" s="147" t="str">
        <f t="shared" si="22"/>
        <v/>
      </c>
      <c r="R1441" s="147" t="str">
        <f t="shared" si="23"/>
        <v/>
      </c>
      <c r="S1441" s="147" t="str">
        <f t="shared" si="24"/>
        <v/>
      </c>
      <c r="T1441" s="147" t="str">
        <f t="shared" si="7"/>
        <v/>
      </c>
      <c r="U1441" s="150" t="str">
        <f t="shared" si="8"/>
        <v/>
      </c>
      <c r="V1441" s="151" t="str">
        <f>IFERROR(VLOOKUP(C1441,Ativos!$A$1:$G2000,5,),)</f>
        <v/>
      </c>
    </row>
    <row r="1442" ht="21.0" customHeight="1">
      <c r="A1442" s="152"/>
      <c r="B1442" s="160"/>
      <c r="C1442" s="153"/>
      <c r="D1442" s="154"/>
      <c r="E1442" s="139"/>
      <c r="F1442" s="139"/>
      <c r="G1442" s="139"/>
      <c r="H1442" s="135"/>
      <c r="I1442" s="141"/>
      <c r="J1442" s="147" t="str">
        <f>IFERROR(__xludf.DUMMYFUNCTION("IF(ISBLANK(A1442),IFERROR(1/0),IF(COUNT(FILTER(F:F,A:A=A1442))&gt;1,TRUNC(N1442*F1442/SUM(FILTER(N:N,A:A=A1442)),3),F1442))"),"")</f>
        <v/>
      </c>
      <c r="K1442" s="147" t="str">
        <f>IFERROR(__xludf.DUMMYFUNCTION("IF(ISBLANK(A1442),IFERROR(1/0),IF(COUNT(FILTER(G:G,((A:A=A1442)*(B:B=""V""))))&gt;1,TRUNC(N1442*G1442/SUM(FILTER(N:N,((A:A=A1442)*(B:B=""V"")))),3),G1442))"),"")</f>
        <v/>
      </c>
      <c r="L1442" s="148" t="str">
        <f>IFERROR(__xludf.DUMMYFUNCTION("if($C1442="""","""",iferror(if(row()&lt;&gt;2,INDEX(arrayformula(filter($M$2:$M1441,$C$2:$C1441&lt;&gt;"""",row($C$2:$C1441)=max(if($C$2:$C1441=C1442,row($C$2:$C1441),0)))) ,1),0),0))"),"")</f>
        <v/>
      </c>
      <c r="M1442" s="148" t="str">
        <f t="shared" si="1"/>
        <v/>
      </c>
      <c r="N1442" s="147" t="str">
        <f t="shared" si="2"/>
        <v/>
      </c>
      <c r="O1442" s="147" t="str">
        <f t="shared" si="21"/>
        <v/>
      </c>
      <c r="P1442" s="147" t="str">
        <f>IFERROR(__xludf.DUMMYFUNCTION("if(C1442="""","""",iferror(if(row()&lt;&gt;2,INDEX(arrayformula(filter($Q$2:$Q1441,$C$2:$C1441&lt;&gt;"""",row($C$2:$C1441)=max(if($C$2:$C1441=C1442,row($C$2:$C1441),0)))) ,1),0),0))"),"")</f>
        <v/>
      </c>
      <c r="Q1442" s="147" t="str">
        <f t="shared" si="22"/>
        <v/>
      </c>
      <c r="R1442" s="147" t="str">
        <f t="shared" si="23"/>
        <v/>
      </c>
      <c r="S1442" s="147" t="str">
        <f t="shared" si="24"/>
        <v/>
      </c>
      <c r="T1442" s="147" t="str">
        <f t="shared" si="7"/>
        <v/>
      </c>
      <c r="U1442" s="150" t="str">
        <f t="shared" si="8"/>
        <v/>
      </c>
      <c r="V1442" s="151" t="str">
        <f>IFERROR(VLOOKUP(C1442,Ativos!$A$1:$G2000,5,),)</f>
        <v/>
      </c>
    </row>
    <row r="1443" ht="21.0" customHeight="1">
      <c r="A1443" s="152"/>
      <c r="B1443" s="160"/>
      <c r="C1443" s="153"/>
      <c r="D1443" s="154"/>
      <c r="E1443" s="139"/>
      <c r="F1443" s="139"/>
      <c r="G1443" s="139"/>
      <c r="H1443" s="135"/>
      <c r="I1443" s="141"/>
      <c r="J1443" s="147" t="str">
        <f>IFERROR(__xludf.DUMMYFUNCTION("IF(ISBLANK(A1443),IFERROR(1/0),IF(COUNT(FILTER(F:F,A:A=A1443))&gt;1,TRUNC(N1443*F1443/SUM(FILTER(N:N,A:A=A1443)),3),F1443))"),"")</f>
        <v/>
      </c>
      <c r="K1443" s="147" t="str">
        <f>IFERROR(__xludf.DUMMYFUNCTION("IF(ISBLANK(A1443),IFERROR(1/0),IF(COUNT(FILTER(G:G,((A:A=A1443)*(B:B=""V""))))&gt;1,TRUNC(N1443*G1443/SUM(FILTER(N:N,((A:A=A1443)*(B:B=""V"")))),3),G1443))"),"")</f>
        <v/>
      </c>
      <c r="L1443" s="148" t="str">
        <f>IFERROR(__xludf.DUMMYFUNCTION("if($C1443="""","""",iferror(if(row()&lt;&gt;2,INDEX(arrayformula(filter($M$2:$M1442,$C$2:$C1442&lt;&gt;"""",row($C$2:$C1442)=max(if($C$2:$C1442=C1443,row($C$2:$C1442),0)))) ,1),0),0))"),"")</f>
        <v/>
      </c>
      <c r="M1443" s="148" t="str">
        <f t="shared" si="1"/>
        <v/>
      </c>
      <c r="N1443" s="147" t="str">
        <f t="shared" si="2"/>
        <v/>
      </c>
      <c r="O1443" s="147" t="str">
        <f t="shared" si="21"/>
        <v/>
      </c>
      <c r="P1443" s="147" t="str">
        <f>IFERROR(__xludf.DUMMYFUNCTION("if(C1443="""","""",iferror(if(row()&lt;&gt;2,INDEX(arrayformula(filter($Q$2:$Q1442,$C$2:$C1442&lt;&gt;"""",row($C$2:$C1442)=max(if($C$2:$C1442=C1443,row($C$2:$C1442),0)))) ,1),0),0))"),"")</f>
        <v/>
      </c>
      <c r="Q1443" s="147" t="str">
        <f t="shared" si="22"/>
        <v/>
      </c>
      <c r="R1443" s="147" t="str">
        <f t="shared" si="23"/>
        <v/>
      </c>
      <c r="S1443" s="147" t="str">
        <f t="shared" si="24"/>
        <v/>
      </c>
      <c r="T1443" s="147" t="str">
        <f t="shared" si="7"/>
        <v/>
      </c>
      <c r="U1443" s="150" t="str">
        <f t="shared" si="8"/>
        <v/>
      </c>
      <c r="V1443" s="151" t="str">
        <f>IFERROR(VLOOKUP(C1443,Ativos!$A$1:$G2000,5,),)</f>
        <v/>
      </c>
    </row>
    <row r="1444" ht="21.0" customHeight="1">
      <c r="A1444" s="152"/>
      <c r="B1444" s="160"/>
      <c r="C1444" s="153"/>
      <c r="D1444" s="154"/>
      <c r="E1444" s="139"/>
      <c r="F1444" s="139"/>
      <c r="G1444" s="139"/>
      <c r="H1444" s="135"/>
      <c r="I1444" s="141"/>
      <c r="J1444" s="147" t="str">
        <f>IFERROR(__xludf.DUMMYFUNCTION("IF(ISBLANK(A1444),IFERROR(1/0),IF(COUNT(FILTER(F:F,A:A=A1444))&gt;1,TRUNC(N1444*F1444/SUM(FILTER(N:N,A:A=A1444)),3),F1444))"),"")</f>
        <v/>
      </c>
      <c r="K1444" s="147" t="str">
        <f>IFERROR(__xludf.DUMMYFUNCTION("IF(ISBLANK(A1444),IFERROR(1/0),IF(COUNT(FILTER(G:G,((A:A=A1444)*(B:B=""V""))))&gt;1,TRUNC(N1444*G1444/SUM(FILTER(N:N,((A:A=A1444)*(B:B=""V"")))),3),G1444))"),"")</f>
        <v/>
      </c>
      <c r="L1444" s="148" t="str">
        <f>IFERROR(__xludf.DUMMYFUNCTION("if($C1444="""","""",iferror(if(row()&lt;&gt;2,INDEX(arrayformula(filter($M$2:$M1443,$C$2:$C1443&lt;&gt;"""",row($C$2:$C1443)=max(if($C$2:$C1443=C1444,row($C$2:$C1443),0)))) ,1),0),0))"),"")</f>
        <v/>
      </c>
      <c r="M1444" s="148" t="str">
        <f t="shared" si="1"/>
        <v/>
      </c>
      <c r="N1444" s="147" t="str">
        <f t="shared" si="2"/>
        <v/>
      </c>
      <c r="O1444" s="147" t="str">
        <f t="shared" si="21"/>
        <v/>
      </c>
      <c r="P1444" s="147" t="str">
        <f>IFERROR(__xludf.DUMMYFUNCTION("if(C1444="""","""",iferror(if(row()&lt;&gt;2,INDEX(arrayformula(filter($Q$2:$Q1443,$C$2:$C1443&lt;&gt;"""",row($C$2:$C1443)=max(if($C$2:$C1443=C1444,row($C$2:$C1443),0)))) ,1),0),0))"),"")</f>
        <v/>
      </c>
      <c r="Q1444" s="147" t="str">
        <f t="shared" si="22"/>
        <v/>
      </c>
      <c r="R1444" s="147" t="str">
        <f t="shared" si="23"/>
        <v/>
      </c>
      <c r="S1444" s="147" t="str">
        <f t="shared" si="24"/>
        <v/>
      </c>
      <c r="T1444" s="147" t="str">
        <f t="shared" si="7"/>
        <v/>
      </c>
      <c r="U1444" s="150" t="str">
        <f t="shared" si="8"/>
        <v/>
      </c>
      <c r="V1444" s="151" t="str">
        <f>IFERROR(VLOOKUP(C1444,Ativos!$A$1:$G2000,5,),)</f>
        <v/>
      </c>
    </row>
    <row r="1445" ht="21.0" customHeight="1">
      <c r="A1445" s="152"/>
      <c r="B1445" s="160"/>
      <c r="C1445" s="153"/>
      <c r="D1445" s="154"/>
      <c r="E1445" s="139"/>
      <c r="F1445" s="139"/>
      <c r="G1445" s="139"/>
      <c r="H1445" s="135"/>
      <c r="I1445" s="141"/>
      <c r="J1445" s="147" t="str">
        <f>IFERROR(__xludf.DUMMYFUNCTION("IF(ISBLANK(A1445),IFERROR(1/0),IF(COUNT(FILTER(F:F,A:A=A1445))&gt;1,TRUNC(N1445*F1445/SUM(FILTER(N:N,A:A=A1445)),3),F1445))"),"")</f>
        <v/>
      </c>
      <c r="K1445" s="147" t="str">
        <f>IFERROR(__xludf.DUMMYFUNCTION("IF(ISBLANK(A1445),IFERROR(1/0),IF(COUNT(FILTER(G:G,((A:A=A1445)*(B:B=""V""))))&gt;1,TRUNC(N1445*G1445/SUM(FILTER(N:N,((A:A=A1445)*(B:B=""V"")))),3),G1445))"),"")</f>
        <v/>
      </c>
      <c r="L1445" s="148" t="str">
        <f>IFERROR(__xludf.DUMMYFUNCTION("if($C1445="""","""",iferror(if(row()&lt;&gt;2,INDEX(arrayformula(filter($M$2:$M1444,$C$2:$C1444&lt;&gt;"""",row($C$2:$C1444)=max(if($C$2:$C1444=C1445,row($C$2:$C1444),0)))) ,1),0),0))"),"")</f>
        <v/>
      </c>
      <c r="M1445" s="148" t="str">
        <f t="shared" si="1"/>
        <v/>
      </c>
      <c r="N1445" s="147" t="str">
        <f t="shared" si="2"/>
        <v/>
      </c>
      <c r="O1445" s="147" t="str">
        <f t="shared" si="21"/>
        <v/>
      </c>
      <c r="P1445" s="147" t="str">
        <f>IFERROR(__xludf.DUMMYFUNCTION("if(C1445="""","""",iferror(if(row()&lt;&gt;2,INDEX(arrayformula(filter($Q$2:$Q1444,$C$2:$C1444&lt;&gt;"""",row($C$2:$C1444)=max(if($C$2:$C1444=C1445,row($C$2:$C1444),0)))) ,1),0),0))"),"")</f>
        <v/>
      </c>
      <c r="Q1445" s="147" t="str">
        <f t="shared" si="22"/>
        <v/>
      </c>
      <c r="R1445" s="147" t="str">
        <f t="shared" si="23"/>
        <v/>
      </c>
      <c r="S1445" s="147" t="str">
        <f t="shared" si="24"/>
        <v/>
      </c>
      <c r="T1445" s="147" t="str">
        <f t="shared" si="7"/>
        <v/>
      </c>
      <c r="U1445" s="150" t="str">
        <f t="shared" si="8"/>
        <v/>
      </c>
      <c r="V1445" s="151" t="str">
        <f>IFERROR(VLOOKUP(C1445,Ativos!$A$1:$G2000,5,),)</f>
        <v/>
      </c>
    </row>
    <row r="1446" ht="21.0" customHeight="1">
      <c r="A1446" s="152"/>
      <c r="B1446" s="160"/>
      <c r="C1446" s="153"/>
      <c r="D1446" s="154"/>
      <c r="E1446" s="139"/>
      <c r="F1446" s="139"/>
      <c r="G1446" s="139"/>
      <c r="H1446" s="135"/>
      <c r="I1446" s="141"/>
      <c r="J1446" s="147" t="str">
        <f>IFERROR(__xludf.DUMMYFUNCTION("IF(ISBLANK(A1446),IFERROR(1/0),IF(COUNT(FILTER(F:F,A:A=A1446))&gt;1,TRUNC(N1446*F1446/SUM(FILTER(N:N,A:A=A1446)),3),F1446))"),"")</f>
        <v/>
      </c>
      <c r="K1446" s="147" t="str">
        <f>IFERROR(__xludf.DUMMYFUNCTION("IF(ISBLANK(A1446),IFERROR(1/0),IF(COUNT(FILTER(G:G,((A:A=A1446)*(B:B=""V""))))&gt;1,TRUNC(N1446*G1446/SUM(FILTER(N:N,((A:A=A1446)*(B:B=""V"")))),3),G1446))"),"")</f>
        <v/>
      </c>
      <c r="L1446" s="148" t="str">
        <f>IFERROR(__xludf.DUMMYFUNCTION("if($C1446="""","""",iferror(if(row()&lt;&gt;2,INDEX(arrayformula(filter($M$2:$M1445,$C$2:$C1445&lt;&gt;"""",row($C$2:$C1445)=max(if($C$2:$C1445=C1446,row($C$2:$C1445),0)))) ,1),0),0))"),"")</f>
        <v/>
      </c>
      <c r="M1446" s="148" t="str">
        <f t="shared" si="1"/>
        <v/>
      </c>
      <c r="N1446" s="147" t="str">
        <f t="shared" si="2"/>
        <v/>
      </c>
      <c r="O1446" s="147" t="str">
        <f t="shared" si="21"/>
        <v/>
      </c>
      <c r="P1446" s="147" t="str">
        <f>IFERROR(__xludf.DUMMYFUNCTION("if(C1446="""","""",iferror(if(row()&lt;&gt;2,INDEX(arrayformula(filter($Q$2:$Q1445,$C$2:$C1445&lt;&gt;"""",row($C$2:$C1445)=max(if($C$2:$C1445=C1446,row($C$2:$C1445),0)))) ,1),0),0))"),"")</f>
        <v/>
      </c>
      <c r="Q1446" s="147" t="str">
        <f t="shared" si="22"/>
        <v/>
      </c>
      <c r="R1446" s="147" t="str">
        <f t="shared" si="23"/>
        <v/>
      </c>
      <c r="S1446" s="147" t="str">
        <f t="shared" si="24"/>
        <v/>
      </c>
      <c r="T1446" s="147" t="str">
        <f t="shared" si="7"/>
        <v/>
      </c>
      <c r="U1446" s="150" t="str">
        <f t="shared" si="8"/>
        <v/>
      </c>
      <c r="V1446" s="151" t="str">
        <f>IFERROR(VLOOKUP(C1446,Ativos!$A$1:$G2000,5,),)</f>
        <v/>
      </c>
    </row>
    <row r="1447" ht="21.0" customHeight="1">
      <c r="A1447" s="152"/>
      <c r="B1447" s="160"/>
      <c r="C1447" s="153"/>
      <c r="D1447" s="154"/>
      <c r="E1447" s="139"/>
      <c r="F1447" s="139"/>
      <c r="G1447" s="139"/>
      <c r="H1447" s="135"/>
      <c r="I1447" s="141"/>
      <c r="J1447" s="147" t="str">
        <f>IFERROR(__xludf.DUMMYFUNCTION("IF(ISBLANK(A1447),IFERROR(1/0),IF(COUNT(FILTER(F:F,A:A=A1447))&gt;1,TRUNC(N1447*F1447/SUM(FILTER(N:N,A:A=A1447)),3),F1447))"),"")</f>
        <v/>
      </c>
      <c r="K1447" s="147" t="str">
        <f>IFERROR(__xludf.DUMMYFUNCTION("IF(ISBLANK(A1447),IFERROR(1/0),IF(COUNT(FILTER(G:G,((A:A=A1447)*(B:B=""V""))))&gt;1,TRUNC(N1447*G1447/SUM(FILTER(N:N,((A:A=A1447)*(B:B=""V"")))),3),G1447))"),"")</f>
        <v/>
      </c>
      <c r="L1447" s="148" t="str">
        <f>IFERROR(__xludf.DUMMYFUNCTION("if($C1447="""","""",iferror(if(row()&lt;&gt;2,INDEX(arrayformula(filter($M$2:$M1446,$C$2:$C1446&lt;&gt;"""",row($C$2:$C1446)=max(if($C$2:$C1446=C1447,row($C$2:$C1446),0)))) ,1),0),0))"),"")</f>
        <v/>
      </c>
      <c r="M1447" s="148" t="str">
        <f t="shared" si="1"/>
        <v/>
      </c>
      <c r="N1447" s="147" t="str">
        <f t="shared" si="2"/>
        <v/>
      </c>
      <c r="O1447" s="147" t="str">
        <f t="shared" si="21"/>
        <v/>
      </c>
      <c r="P1447" s="147" t="str">
        <f>IFERROR(__xludf.DUMMYFUNCTION("if(C1447="""","""",iferror(if(row()&lt;&gt;2,INDEX(arrayformula(filter($Q$2:$Q1446,$C$2:$C1446&lt;&gt;"""",row($C$2:$C1446)=max(if($C$2:$C1446=C1447,row($C$2:$C1446),0)))) ,1),0),0))"),"")</f>
        <v/>
      </c>
      <c r="Q1447" s="147" t="str">
        <f t="shared" si="22"/>
        <v/>
      </c>
      <c r="R1447" s="147" t="str">
        <f t="shared" si="23"/>
        <v/>
      </c>
      <c r="S1447" s="147" t="str">
        <f t="shared" si="24"/>
        <v/>
      </c>
      <c r="T1447" s="147" t="str">
        <f t="shared" si="7"/>
        <v/>
      </c>
      <c r="U1447" s="150" t="str">
        <f t="shared" si="8"/>
        <v/>
      </c>
      <c r="V1447" s="151" t="str">
        <f>IFERROR(VLOOKUP(C1447,Ativos!$A$1:$G2000,5,),)</f>
        <v/>
      </c>
    </row>
    <row r="1448" ht="21.0" customHeight="1">
      <c r="A1448" s="152"/>
      <c r="B1448" s="160"/>
      <c r="C1448" s="153"/>
      <c r="D1448" s="154"/>
      <c r="E1448" s="139"/>
      <c r="F1448" s="139"/>
      <c r="G1448" s="139"/>
      <c r="H1448" s="135"/>
      <c r="I1448" s="141"/>
      <c r="J1448" s="147" t="str">
        <f>IFERROR(__xludf.DUMMYFUNCTION("IF(ISBLANK(A1448),IFERROR(1/0),IF(COUNT(FILTER(F:F,A:A=A1448))&gt;1,TRUNC(N1448*F1448/SUM(FILTER(N:N,A:A=A1448)),3),F1448))"),"")</f>
        <v/>
      </c>
      <c r="K1448" s="147" t="str">
        <f>IFERROR(__xludf.DUMMYFUNCTION("IF(ISBLANK(A1448),IFERROR(1/0),IF(COUNT(FILTER(G:G,((A:A=A1448)*(B:B=""V""))))&gt;1,TRUNC(N1448*G1448/SUM(FILTER(N:N,((A:A=A1448)*(B:B=""V"")))),3),G1448))"),"")</f>
        <v/>
      </c>
      <c r="L1448" s="148" t="str">
        <f>IFERROR(__xludf.DUMMYFUNCTION("if($C1448="""","""",iferror(if(row()&lt;&gt;2,INDEX(arrayformula(filter($M$2:$M1447,$C$2:$C1447&lt;&gt;"""",row($C$2:$C1447)=max(if($C$2:$C1447=C1448,row($C$2:$C1447),0)))) ,1),0),0))"),"")</f>
        <v/>
      </c>
      <c r="M1448" s="148" t="str">
        <f t="shared" si="1"/>
        <v/>
      </c>
      <c r="N1448" s="147" t="str">
        <f t="shared" si="2"/>
        <v/>
      </c>
      <c r="O1448" s="147" t="str">
        <f t="shared" si="21"/>
        <v/>
      </c>
      <c r="P1448" s="147" t="str">
        <f>IFERROR(__xludf.DUMMYFUNCTION("if(C1448="""","""",iferror(if(row()&lt;&gt;2,INDEX(arrayformula(filter($Q$2:$Q1447,$C$2:$C1447&lt;&gt;"""",row($C$2:$C1447)=max(if($C$2:$C1447=C1448,row($C$2:$C1447),0)))) ,1),0),0))"),"")</f>
        <v/>
      </c>
      <c r="Q1448" s="147" t="str">
        <f t="shared" si="22"/>
        <v/>
      </c>
      <c r="R1448" s="147" t="str">
        <f t="shared" si="23"/>
        <v/>
      </c>
      <c r="S1448" s="147" t="str">
        <f t="shared" si="24"/>
        <v/>
      </c>
      <c r="T1448" s="147" t="str">
        <f t="shared" si="7"/>
        <v/>
      </c>
      <c r="U1448" s="150" t="str">
        <f t="shared" si="8"/>
        <v/>
      </c>
      <c r="V1448" s="151" t="str">
        <f>IFERROR(VLOOKUP(C1448,Ativos!$A$1:$G2000,5,),)</f>
        <v/>
      </c>
    </row>
    <row r="1449" ht="21.0" customHeight="1">
      <c r="A1449" s="152"/>
      <c r="B1449" s="160"/>
      <c r="C1449" s="153"/>
      <c r="D1449" s="154"/>
      <c r="E1449" s="139"/>
      <c r="F1449" s="139"/>
      <c r="G1449" s="139"/>
      <c r="H1449" s="135"/>
      <c r="I1449" s="141"/>
      <c r="J1449" s="147" t="str">
        <f>IFERROR(__xludf.DUMMYFUNCTION("IF(ISBLANK(A1449),IFERROR(1/0),IF(COUNT(FILTER(F:F,A:A=A1449))&gt;1,TRUNC(N1449*F1449/SUM(FILTER(N:N,A:A=A1449)),3),F1449))"),"")</f>
        <v/>
      </c>
      <c r="K1449" s="147" t="str">
        <f>IFERROR(__xludf.DUMMYFUNCTION("IF(ISBLANK(A1449),IFERROR(1/0),IF(COUNT(FILTER(G:G,((A:A=A1449)*(B:B=""V""))))&gt;1,TRUNC(N1449*G1449/SUM(FILTER(N:N,((A:A=A1449)*(B:B=""V"")))),3),G1449))"),"")</f>
        <v/>
      </c>
      <c r="L1449" s="148" t="str">
        <f>IFERROR(__xludf.DUMMYFUNCTION("if($C1449="""","""",iferror(if(row()&lt;&gt;2,INDEX(arrayformula(filter($M$2:$M1448,$C$2:$C1448&lt;&gt;"""",row($C$2:$C1448)=max(if($C$2:$C1448=C1449,row($C$2:$C1448),0)))) ,1),0),0))"),"")</f>
        <v/>
      </c>
      <c r="M1449" s="148" t="str">
        <f t="shared" si="1"/>
        <v/>
      </c>
      <c r="N1449" s="147" t="str">
        <f t="shared" si="2"/>
        <v/>
      </c>
      <c r="O1449" s="147" t="str">
        <f t="shared" si="21"/>
        <v/>
      </c>
      <c r="P1449" s="147" t="str">
        <f>IFERROR(__xludf.DUMMYFUNCTION("if(C1449="""","""",iferror(if(row()&lt;&gt;2,INDEX(arrayformula(filter($Q$2:$Q1448,$C$2:$C1448&lt;&gt;"""",row($C$2:$C1448)=max(if($C$2:$C1448=C1449,row($C$2:$C1448),0)))) ,1),0),0))"),"")</f>
        <v/>
      </c>
      <c r="Q1449" s="147" t="str">
        <f t="shared" si="22"/>
        <v/>
      </c>
      <c r="R1449" s="147" t="str">
        <f t="shared" si="23"/>
        <v/>
      </c>
      <c r="S1449" s="147" t="str">
        <f t="shared" si="24"/>
        <v/>
      </c>
      <c r="T1449" s="147" t="str">
        <f t="shared" si="7"/>
        <v/>
      </c>
      <c r="U1449" s="150" t="str">
        <f t="shared" si="8"/>
        <v/>
      </c>
      <c r="V1449" s="151" t="str">
        <f>IFERROR(VLOOKUP(C1449,Ativos!$A$1:$G2000,5,),)</f>
        <v/>
      </c>
    </row>
    <row r="1450" ht="21.0" customHeight="1">
      <c r="A1450" s="152"/>
      <c r="B1450" s="160"/>
      <c r="C1450" s="153"/>
      <c r="D1450" s="154"/>
      <c r="E1450" s="139"/>
      <c r="F1450" s="139"/>
      <c r="G1450" s="139"/>
      <c r="H1450" s="135"/>
      <c r="I1450" s="141"/>
      <c r="J1450" s="147" t="str">
        <f>IFERROR(__xludf.DUMMYFUNCTION("IF(ISBLANK(A1450),IFERROR(1/0),IF(COUNT(FILTER(F:F,A:A=A1450))&gt;1,TRUNC(N1450*F1450/SUM(FILTER(N:N,A:A=A1450)),3),F1450))"),"")</f>
        <v/>
      </c>
      <c r="K1450" s="147" t="str">
        <f>IFERROR(__xludf.DUMMYFUNCTION("IF(ISBLANK(A1450),IFERROR(1/0),IF(COUNT(FILTER(G:G,((A:A=A1450)*(B:B=""V""))))&gt;1,TRUNC(N1450*G1450/SUM(FILTER(N:N,((A:A=A1450)*(B:B=""V"")))),3),G1450))"),"")</f>
        <v/>
      </c>
      <c r="L1450" s="148" t="str">
        <f>IFERROR(__xludf.DUMMYFUNCTION("if($C1450="""","""",iferror(if(row()&lt;&gt;2,INDEX(arrayformula(filter($M$2:$M1449,$C$2:$C1449&lt;&gt;"""",row($C$2:$C1449)=max(if($C$2:$C1449=C1450,row($C$2:$C1449),0)))) ,1),0),0))"),"")</f>
        <v/>
      </c>
      <c r="M1450" s="148" t="str">
        <f t="shared" si="1"/>
        <v/>
      </c>
      <c r="N1450" s="147" t="str">
        <f t="shared" si="2"/>
        <v/>
      </c>
      <c r="O1450" s="147" t="str">
        <f t="shared" si="21"/>
        <v/>
      </c>
      <c r="P1450" s="147" t="str">
        <f>IFERROR(__xludf.DUMMYFUNCTION("if(C1450="""","""",iferror(if(row()&lt;&gt;2,INDEX(arrayformula(filter($Q$2:$Q1449,$C$2:$C1449&lt;&gt;"""",row($C$2:$C1449)=max(if($C$2:$C1449=C1450,row($C$2:$C1449),0)))) ,1),0),0))"),"")</f>
        <v/>
      </c>
      <c r="Q1450" s="147" t="str">
        <f t="shared" si="22"/>
        <v/>
      </c>
      <c r="R1450" s="147" t="str">
        <f t="shared" si="23"/>
        <v/>
      </c>
      <c r="S1450" s="147" t="str">
        <f t="shared" si="24"/>
        <v/>
      </c>
      <c r="T1450" s="147" t="str">
        <f t="shared" si="7"/>
        <v/>
      </c>
      <c r="U1450" s="150" t="str">
        <f t="shared" si="8"/>
        <v/>
      </c>
      <c r="V1450" s="151" t="str">
        <f>IFERROR(VLOOKUP(C1450,Ativos!$A$1:$G2000,5,),)</f>
        <v/>
      </c>
    </row>
    <row r="1451" ht="21.0" customHeight="1">
      <c r="A1451" s="152"/>
      <c r="B1451" s="160"/>
      <c r="C1451" s="153"/>
      <c r="D1451" s="154"/>
      <c r="E1451" s="139"/>
      <c r="F1451" s="139"/>
      <c r="G1451" s="139"/>
      <c r="H1451" s="135"/>
      <c r="I1451" s="141"/>
      <c r="J1451" s="147" t="str">
        <f>IFERROR(__xludf.DUMMYFUNCTION("IF(ISBLANK(A1451),IFERROR(1/0),IF(COUNT(FILTER(F:F,A:A=A1451))&gt;1,TRUNC(N1451*F1451/SUM(FILTER(N:N,A:A=A1451)),3),F1451))"),"")</f>
        <v/>
      </c>
      <c r="K1451" s="147" t="str">
        <f>IFERROR(__xludf.DUMMYFUNCTION("IF(ISBLANK(A1451),IFERROR(1/0),IF(COUNT(FILTER(G:G,((A:A=A1451)*(B:B=""V""))))&gt;1,TRUNC(N1451*G1451/SUM(FILTER(N:N,((A:A=A1451)*(B:B=""V"")))),3),G1451))"),"")</f>
        <v/>
      </c>
      <c r="L1451" s="148" t="str">
        <f>IFERROR(__xludf.DUMMYFUNCTION("if($C1451="""","""",iferror(if(row()&lt;&gt;2,INDEX(arrayformula(filter($M$2:$M1450,$C$2:$C1450&lt;&gt;"""",row($C$2:$C1450)=max(if($C$2:$C1450=C1451,row($C$2:$C1450),0)))) ,1),0),0))"),"")</f>
        <v/>
      </c>
      <c r="M1451" s="148" t="str">
        <f t="shared" si="1"/>
        <v/>
      </c>
      <c r="N1451" s="147" t="str">
        <f t="shared" si="2"/>
        <v/>
      </c>
      <c r="O1451" s="147" t="str">
        <f t="shared" si="21"/>
        <v/>
      </c>
      <c r="P1451" s="147" t="str">
        <f>IFERROR(__xludf.DUMMYFUNCTION("if(C1451="""","""",iferror(if(row()&lt;&gt;2,INDEX(arrayformula(filter($Q$2:$Q1450,$C$2:$C1450&lt;&gt;"""",row($C$2:$C1450)=max(if($C$2:$C1450=C1451,row($C$2:$C1450),0)))) ,1),0),0))"),"")</f>
        <v/>
      </c>
      <c r="Q1451" s="147" t="str">
        <f t="shared" si="22"/>
        <v/>
      </c>
      <c r="R1451" s="147" t="str">
        <f t="shared" si="23"/>
        <v/>
      </c>
      <c r="S1451" s="147" t="str">
        <f t="shared" si="24"/>
        <v/>
      </c>
      <c r="T1451" s="147" t="str">
        <f t="shared" si="7"/>
        <v/>
      </c>
      <c r="U1451" s="150" t="str">
        <f t="shared" si="8"/>
        <v/>
      </c>
      <c r="V1451" s="151" t="str">
        <f>IFERROR(VLOOKUP(C1451,Ativos!$A$1:$G2000,5,),)</f>
        <v/>
      </c>
    </row>
    <row r="1452" ht="21.0" customHeight="1">
      <c r="A1452" s="152"/>
      <c r="B1452" s="160"/>
      <c r="C1452" s="153"/>
      <c r="D1452" s="154"/>
      <c r="E1452" s="139"/>
      <c r="F1452" s="139"/>
      <c r="G1452" s="139"/>
      <c r="H1452" s="135"/>
      <c r="I1452" s="141"/>
      <c r="J1452" s="147" t="str">
        <f>IFERROR(__xludf.DUMMYFUNCTION("IF(ISBLANK(A1452),IFERROR(1/0),IF(COUNT(FILTER(F:F,A:A=A1452))&gt;1,TRUNC(N1452*F1452/SUM(FILTER(N:N,A:A=A1452)),3),F1452))"),"")</f>
        <v/>
      </c>
      <c r="K1452" s="147" t="str">
        <f>IFERROR(__xludf.DUMMYFUNCTION("IF(ISBLANK(A1452),IFERROR(1/0),IF(COUNT(FILTER(G:G,((A:A=A1452)*(B:B=""V""))))&gt;1,TRUNC(N1452*G1452/SUM(FILTER(N:N,((A:A=A1452)*(B:B=""V"")))),3),G1452))"),"")</f>
        <v/>
      </c>
      <c r="L1452" s="148" t="str">
        <f>IFERROR(__xludf.DUMMYFUNCTION("if($C1452="""","""",iferror(if(row()&lt;&gt;2,INDEX(arrayformula(filter($M$2:$M1451,$C$2:$C1451&lt;&gt;"""",row($C$2:$C1451)=max(if($C$2:$C1451=C1452,row($C$2:$C1451),0)))) ,1),0),0))"),"")</f>
        <v/>
      </c>
      <c r="M1452" s="148" t="str">
        <f t="shared" si="1"/>
        <v/>
      </c>
      <c r="N1452" s="147" t="str">
        <f t="shared" si="2"/>
        <v/>
      </c>
      <c r="O1452" s="147" t="str">
        <f t="shared" si="21"/>
        <v/>
      </c>
      <c r="P1452" s="147" t="str">
        <f>IFERROR(__xludf.DUMMYFUNCTION("if(C1452="""","""",iferror(if(row()&lt;&gt;2,INDEX(arrayformula(filter($Q$2:$Q1451,$C$2:$C1451&lt;&gt;"""",row($C$2:$C1451)=max(if($C$2:$C1451=C1452,row($C$2:$C1451),0)))) ,1),0),0))"),"")</f>
        <v/>
      </c>
      <c r="Q1452" s="147" t="str">
        <f t="shared" si="22"/>
        <v/>
      </c>
      <c r="R1452" s="147" t="str">
        <f t="shared" si="23"/>
        <v/>
      </c>
      <c r="S1452" s="147" t="str">
        <f t="shared" si="24"/>
        <v/>
      </c>
      <c r="T1452" s="147" t="str">
        <f t="shared" si="7"/>
        <v/>
      </c>
      <c r="U1452" s="150" t="str">
        <f t="shared" si="8"/>
        <v/>
      </c>
      <c r="V1452" s="151" t="str">
        <f>IFERROR(VLOOKUP(C1452,Ativos!$A$1:$G2000,5,),)</f>
        <v/>
      </c>
    </row>
    <row r="1453" ht="21.0" customHeight="1">
      <c r="A1453" s="152"/>
      <c r="B1453" s="160"/>
      <c r="C1453" s="153"/>
      <c r="D1453" s="154"/>
      <c r="E1453" s="139"/>
      <c r="F1453" s="139"/>
      <c r="G1453" s="139"/>
      <c r="H1453" s="135"/>
      <c r="I1453" s="141"/>
      <c r="J1453" s="147" t="str">
        <f>IFERROR(__xludf.DUMMYFUNCTION("IF(ISBLANK(A1453),IFERROR(1/0),IF(COUNT(FILTER(F:F,A:A=A1453))&gt;1,TRUNC(N1453*F1453/SUM(FILTER(N:N,A:A=A1453)),3),F1453))"),"")</f>
        <v/>
      </c>
      <c r="K1453" s="147" t="str">
        <f>IFERROR(__xludf.DUMMYFUNCTION("IF(ISBLANK(A1453),IFERROR(1/0),IF(COUNT(FILTER(G:G,((A:A=A1453)*(B:B=""V""))))&gt;1,TRUNC(N1453*G1453/SUM(FILTER(N:N,((A:A=A1453)*(B:B=""V"")))),3),G1453))"),"")</f>
        <v/>
      </c>
      <c r="L1453" s="148" t="str">
        <f>IFERROR(__xludf.DUMMYFUNCTION("if($C1453="""","""",iferror(if(row()&lt;&gt;2,INDEX(arrayformula(filter($M$2:$M1452,$C$2:$C1452&lt;&gt;"""",row($C$2:$C1452)=max(if($C$2:$C1452=C1453,row($C$2:$C1452),0)))) ,1),0),0))"),"")</f>
        <v/>
      </c>
      <c r="M1453" s="148" t="str">
        <f t="shared" si="1"/>
        <v/>
      </c>
      <c r="N1453" s="147" t="str">
        <f t="shared" si="2"/>
        <v/>
      </c>
      <c r="O1453" s="147" t="str">
        <f t="shared" si="21"/>
        <v/>
      </c>
      <c r="P1453" s="147" t="str">
        <f>IFERROR(__xludf.DUMMYFUNCTION("if(C1453="""","""",iferror(if(row()&lt;&gt;2,INDEX(arrayformula(filter($Q$2:$Q1452,$C$2:$C1452&lt;&gt;"""",row($C$2:$C1452)=max(if($C$2:$C1452=C1453,row($C$2:$C1452),0)))) ,1),0),0))"),"")</f>
        <v/>
      </c>
      <c r="Q1453" s="147" t="str">
        <f t="shared" si="22"/>
        <v/>
      </c>
      <c r="R1453" s="147" t="str">
        <f t="shared" si="23"/>
        <v/>
      </c>
      <c r="S1453" s="147" t="str">
        <f t="shared" si="24"/>
        <v/>
      </c>
      <c r="T1453" s="147" t="str">
        <f t="shared" si="7"/>
        <v/>
      </c>
      <c r="U1453" s="150" t="str">
        <f t="shared" si="8"/>
        <v/>
      </c>
      <c r="V1453" s="151" t="str">
        <f>IFERROR(VLOOKUP(C1453,Ativos!$A$1:$G2000,5,),)</f>
        <v/>
      </c>
    </row>
    <row r="1454" ht="21.0" customHeight="1">
      <c r="A1454" s="152"/>
      <c r="B1454" s="160"/>
      <c r="C1454" s="153"/>
      <c r="D1454" s="154"/>
      <c r="E1454" s="139"/>
      <c r="F1454" s="139"/>
      <c r="G1454" s="139"/>
      <c r="H1454" s="135"/>
      <c r="I1454" s="141"/>
      <c r="J1454" s="147" t="str">
        <f>IFERROR(__xludf.DUMMYFUNCTION("IF(ISBLANK(A1454),IFERROR(1/0),IF(COUNT(FILTER(F:F,A:A=A1454))&gt;1,TRUNC(N1454*F1454/SUM(FILTER(N:N,A:A=A1454)),3),F1454))"),"")</f>
        <v/>
      </c>
      <c r="K1454" s="147" t="str">
        <f>IFERROR(__xludf.DUMMYFUNCTION("IF(ISBLANK(A1454),IFERROR(1/0),IF(COUNT(FILTER(G:G,((A:A=A1454)*(B:B=""V""))))&gt;1,TRUNC(N1454*G1454/SUM(FILTER(N:N,((A:A=A1454)*(B:B=""V"")))),3),G1454))"),"")</f>
        <v/>
      </c>
      <c r="L1454" s="148" t="str">
        <f>IFERROR(__xludf.DUMMYFUNCTION("if($C1454="""","""",iferror(if(row()&lt;&gt;2,INDEX(arrayformula(filter($M$2:$M1453,$C$2:$C1453&lt;&gt;"""",row($C$2:$C1453)=max(if($C$2:$C1453=C1454,row($C$2:$C1453),0)))) ,1),0),0))"),"")</f>
        <v/>
      </c>
      <c r="M1454" s="148" t="str">
        <f t="shared" si="1"/>
        <v/>
      </c>
      <c r="N1454" s="147" t="str">
        <f t="shared" si="2"/>
        <v/>
      </c>
      <c r="O1454" s="147" t="str">
        <f t="shared" si="21"/>
        <v/>
      </c>
      <c r="P1454" s="147" t="str">
        <f>IFERROR(__xludf.DUMMYFUNCTION("if(C1454="""","""",iferror(if(row()&lt;&gt;2,INDEX(arrayformula(filter($Q$2:$Q1453,$C$2:$C1453&lt;&gt;"""",row($C$2:$C1453)=max(if($C$2:$C1453=C1454,row($C$2:$C1453),0)))) ,1),0),0))"),"")</f>
        <v/>
      </c>
      <c r="Q1454" s="147" t="str">
        <f t="shared" si="22"/>
        <v/>
      </c>
      <c r="R1454" s="147" t="str">
        <f t="shared" si="23"/>
        <v/>
      </c>
      <c r="S1454" s="147" t="str">
        <f t="shared" si="24"/>
        <v/>
      </c>
      <c r="T1454" s="147" t="str">
        <f t="shared" si="7"/>
        <v/>
      </c>
      <c r="U1454" s="150" t="str">
        <f t="shared" si="8"/>
        <v/>
      </c>
      <c r="V1454" s="151" t="str">
        <f>IFERROR(VLOOKUP(C1454,Ativos!$A$1:$G2000,5,),)</f>
        <v/>
      </c>
    </row>
    <row r="1455" ht="21.0" customHeight="1">
      <c r="A1455" s="152"/>
      <c r="B1455" s="160"/>
      <c r="C1455" s="153"/>
      <c r="D1455" s="154"/>
      <c r="E1455" s="139"/>
      <c r="F1455" s="139"/>
      <c r="G1455" s="139"/>
      <c r="H1455" s="135"/>
      <c r="I1455" s="141"/>
      <c r="J1455" s="147" t="str">
        <f>IFERROR(__xludf.DUMMYFUNCTION("IF(ISBLANK(A1455),IFERROR(1/0),IF(COUNT(FILTER(F:F,A:A=A1455))&gt;1,TRUNC(N1455*F1455/SUM(FILTER(N:N,A:A=A1455)),3),F1455))"),"")</f>
        <v/>
      </c>
      <c r="K1455" s="147" t="str">
        <f>IFERROR(__xludf.DUMMYFUNCTION("IF(ISBLANK(A1455),IFERROR(1/0),IF(COUNT(FILTER(G:G,((A:A=A1455)*(B:B=""V""))))&gt;1,TRUNC(N1455*G1455/SUM(FILTER(N:N,((A:A=A1455)*(B:B=""V"")))),3),G1455))"),"")</f>
        <v/>
      </c>
      <c r="L1455" s="148" t="str">
        <f>IFERROR(__xludf.DUMMYFUNCTION("if($C1455="""","""",iferror(if(row()&lt;&gt;2,INDEX(arrayformula(filter($M$2:$M1454,$C$2:$C1454&lt;&gt;"""",row($C$2:$C1454)=max(if($C$2:$C1454=C1455,row($C$2:$C1454),0)))) ,1),0),0))"),"")</f>
        <v/>
      </c>
      <c r="M1455" s="148" t="str">
        <f t="shared" si="1"/>
        <v/>
      </c>
      <c r="N1455" s="147" t="str">
        <f t="shared" si="2"/>
        <v/>
      </c>
      <c r="O1455" s="147" t="str">
        <f t="shared" si="21"/>
        <v/>
      </c>
      <c r="P1455" s="147" t="str">
        <f>IFERROR(__xludf.DUMMYFUNCTION("if(C1455="""","""",iferror(if(row()&lt;&gt;2,INDEX(arrayformula(filter($Q$2:$Q1454,$C$2:$C1454&lt;&gt;"""",row($C$2:$C1454)=max(if($C$2:$C1454=C1455,row($C$2:$C1454),0)))) ,1),0),0))"),"")</f>
        <v/>
      </c>
      <c r="Q1455" s="147" t="str">
        <f t="shared" si="22"/>
        <v/>
      </c>
      <c r="R1455" s="147" t="str">
        <f t="shared" si="23"/>
        <v/>
      </c>
      <c r="S1455" s="147" t="str">
        <f t="shared" si="24"/>
        <v/>
      </c>
      <c r="T1455" s="147" t="str">
        <f t="shared" si="7"/>
        <v/>
      </c>
      <c r="U1455" s="150" t="str">
        <f t="shared" si="8"/>
        <v/>
      </c>
      <c r="V1455" s="151" t="str">
        <f>IFERROR(VLOOKUP(C1455,Ativos!$A$1:$G2000,5,),)</f>
        <v/>
      </c>
    </row>
    <row r="1456" ht="21.0" customHeight="1">
      <c r="A1456" s="152"/>
      <c r="B1456" s="160"/>
      <c r="C1456" s="153"/>
      <c r="D1456" s="154"/>
      <c r="E1456" s="139"/>
      <c r="F1456" s="139"/>
      <c r="G1456" s="139"/>
      <c r="H1456" s="135"/>
      <c r="I1456" s="141"/>
      <c r="J1456" s="147" t="str">
        <f>IFERROR(__xludf.DUMMYFUNCTION("IF(ISBLANK(A1456),IFERROR(1/0),IF(COUNT(FILTER(F:F,A:A=A1456))&gt;1,TRUNC(N1456*F1456/SUM(FILTER(N:N,A:A=A1456)),3),F1456))"),"")</f>
        <v/>
      </c>
      <c r="K1456" s="147" t="str">
        <f>IFERROR(__xludf.DUMMYFUNCTION("IF(ISBLANK(A1456),IFERROR(1/0),IF(COUNT(FILTER(G:G,((A:A=A1456)*(B:B=""V""))))&gt;1,TRUNC(N1456*G1456/SUM(FILTER(N:N,((A:A=A1456)*(B:B=""V"")))),3),G1456))"),"")</f>
        <v/>
      </c>
      <c r="L1456" s="148" t="str">
        <f>IFERROR(__xludf.DUMMYFUNCTION("if($C1456="""","""",iferror(if(row()&lt;&gt;2,INDEX(arrayformula(filter($M$2:$M1455,$C$2:$C1455&lt;&gt;"""",row($C$2:$C1455)=max(if($C$2:$C1455=C1456,row($C$2:$C1455),0)))) ,1),0),0))"),"")</f>
        <v/>
      </c>
      <c r="M1456" s="148" t="str">
        <f t="shared" si="1"/>
        <v/>
      </c>
      <c r="N1456" s="147" t="str">
        <f t="shared" si="2"/>
        <v/>
      </c>
      <c r="O1456" s="147" t="str">
        <f t="shared" si="21"/>
        <v/>
      </c>
      <c r="P1456" s="147" t="str">
        <f>IFERROR(__xludf.DUMMYFUNCTION("if(C1456="""","""",iferror(if(row()&lt;&gt;2,INDEX(arrayformula(filter($Q$2:$Q1455,$C$2:$C1455&lt;&gt;"""",row($C$2:$C1455)=max(if($C$2:$C1455=C1456,row($C$2:$C1455),0)))) ,1),0),0))"),"")</f>
        <v/>
      </c>
      <c r="Q1456" s="147" t="str">
        <f t="shared" si="22"/>
        <v/>
      </c>
      <c r="R1456" s="147" t="str">
        <f t="shared" si="23"/>
        <v/>
      </c>
      <c r="S1456" s="147" t="str">
        <f t="shared" si="24"/>
        <v/>
      </c>
      <c r="T1456" s="147" t="str">
        <f t="shared" si="7"/>
        <v/>
      </c>
      <c r="U1456" s="150" t="str">
        <f t="shared" si="8"/>
        <v/>
      </c>
      <c r="V1456" s="151" t="str">
        <f>IFERROR(VLOOKUP(C1456,Ativos!$A$1:$G2000,5,),)</f>
        <v/>
      </c>
    </row>
    <row r="1457" ht="21.0" customHeight="1">
      <c r="A1457" s="152"/>
      <c r="B1457" s="160"/>
      <c r="C1457" s="153"/>
      <c r="D1457" s="154"/>
      <c r="E1457" s="139"/>
      <c r="F1457" s="139"/>
      <c r="G1457" s="139"/>
      <c r="H1457" s="135"/>
      <c r="I1457" s="141"/>
      <c r="J1457" s="147" t="str">
        <f>IFERROR(__xludf.DUMMYFUNCTION("IF(ISBLANK(A1457),IFERROR(1/0),IF(COUNT(FILTER(F:F,A:A=A1457))&gt;1,TRUNC(N1457*F1457/SUM(FILTER(N:N,A:A=A1457)),3),F1457))"),"")</f>
        <v/>
      </c>
      <c r="K1457" s="147" t="str">
        <f>IFERROR(__xludf.DUMMYFUNCTION("IF(ISBLANK(A1457),IFERROR(1/0),IF(COUNT(FILTER(G:G,((A:A=A1457)*(B:B=""V""))))&gt;1,TRUNC(N1457*G1457/SUM(FILTER(N:N,((A:A=A1457)*(B:B=""V"")))),3),G1457))"),"")</f>
        <v/>
      </c>
      <c r="L1457" s="148" t="str">
        <f>IFERROR(__xludf.DUMMYFUNCTION("if($C1457="""","""",iferror(if(row()&lt;&gt;2,INDEX(arrayformula(filter($M$2:$M1456,$C$2:$C1456&lt;&gt;"""",row($C$2:$C1456)=max(if($C$2:$C1456=C1457,row($C$2:$C1456),0)))) ,1),0),0))"),"")</f>
        <v/>
      </c>
      <c r="M1457" s="148" t="str">
        <f t="shared" si="1"/>
        <v/>
      </c>
      <c r="N1457" s="147" t="str">
        <f t="shared" si="2"/>
        <v/>
      </c>
      <c r="O1457" s="147" t="str">
        <f t="shared" si="21"/>
        <v/>
      </c>
      <c r="P1457" s="147" t="str">
        <f>IFERROR(__xludf.DUMMYFUNCTION("if(C1457="""","""",iferror(if(row()&lt;&gt;2,INDEX(arrayformula(filter($Q$2:$Q1456,$C$2:$C1456&lt;&gt;"""",row($C$2:$C1456)=max(if($C$2:$C1456=C1457,row($C$2:$C1456),0)))) ,1),0),0))"),"")</f>
        <v/>
      </c>
      <c r="Q1457" s="147" t="str">
        <f t="shared" si="22"/>
        <v/>
      </c>
      <c r="R1457" s="147" t="str">
        <f t="shared" si="23"/>
        <v/>
      </c>
      <c r="S1457" s="147" t="str">
        <f t="shared" si="24"/>
        <v/>
      </c>
      <c r="T1457" s="147" t="str">
        <f t="shared" si="7"/>
        <v/>
      </c>
      <c r="U1457" s="150" t="str">
        <f t="shared" si="8"/>
        <v/>
      </c>
      <c r="V1457" s="151" t="str">
        <f>IFERROR(VLOOKUP(C1457,Ativos!$A$1:$G2000,5,),)</f>
        <v/>
      </c>
    </row>
    <row r="1458" ht="21.0" customHeight="1">
      <c r="A1458" s="152"/>
      <c r="B1458" s="160"/>
      <c r="C1458" s="153"/>
      <c r="D1458" s="154"/>
      <c r="E1458" s="139"/>
      <c r="F1458" s="139"/>
      <c r="G1458" s="139"/>
      <c r="H1458" s="135"/>
      <c r="I1458" s="141"/>
      <c r="J1458" s="147" t="str">
        <f>IFERROR(__xludf.DUMMYFUNCTION("IF(ISBLANK(A1458),IFERROR(1/0),IF(COUNT(FILTER(F:F,A:A=A1458))&gt;1,TRUNC(N1458*F1458/SUM(FILTER(N:N,A:A=A1458)),3),F1458))"),"")</f>
        <v/>
      </c>
      <c r="K1458" s="147" t="str">
        <f>IFERROR(__xludf.DUMMYFUNCTION("IF(ISBLANK(A1458),IFERROR(1/0),IF(COUNT(FILTER(G:G,((A:A=A1458)*(B:B=""V""))))&gt;1,TRUNC(N1458*G1458/SUM(FILTER(N:N,((A:A=A1458)*(B:B=""V"")))),3),G1458))"),"")</f>
        <v/>
      </c>
      <c r="L1458" s="148" t="str">
        <f>IFERROR(__xludf.DUMMYFUNCTION("if($C1458="""","""",iferror(if(row()&lt;&gt;2,INDEX(arrayformula(filter($M$2:$M1457,$C$2:$C1457&lt;&gt;"""",row($C$2:$C1457)=max(if($C$2:$C1457=C1458,row($C$2:$C1457),0)))) ,1),0),0))"),"")</f>
        <v/>
      </c>
      <c r="M1458" s="148" t="str">
        <f t="shared" si="1"/>
        <v/>
      </c>
      <c r="N1458" s="147" t="str">
        <f t="shared" si="2"/>
        <v/>
      </c>
      <c r="O1458" s="147" t="str">
        <f t="shared" si="21"/>
        <v/>
      </c>
      <c r="P1458" s="147" t="str">
        <f>IFERROR(__xludf.DUMMYFUNCTION("if(C1458="""","""",iferror(if(row()&lt;&gt;2,INDEX(arrayformula(filter($Q$2:$Q1457,$C$2:$C1457&lt;&gt;"""",row($C$2:$C1457)=max(if($C$2:$C1457=C1458,row($C$2:$C1457),0)))) ,1),0),0))"),"")</f>
        <v/>
      </c>
      <c r="Q1458" s="147" t="str">
        <f t="shared" si="22"/>
        <v/>
      </c>
      <c r="R1458" s="147" t="str">
        <f t="shared" si="23"/>
        <v/>
      </c>
      <c r="S1458" s="147" t="str">
        <f t="shared" si="24"/>
        <v/>
      </c>
      <c r="T1458" s="147" t="str">
        <f t="shared" si="7"/>
        <v/>
      </c>
      <c r="U1458" s="150" t="str">
        <f t="shared" si="8"/>
        <v/>
      </c>
      <c r="V1458" s="151" t="str">
        <f>IFERROR(VLOOKUP(C1458,Ativos!$A$1:$G2000,5,),)</f>
        <v/>
      </c>
    </row>
    <row r="1459" ht="21.0" customHeight="1">
      <c r="A1459" s="152"/>
      <c r="B1459" s="160"/>
      <c r="C1459" s="153"/>
      <c r="D1459" s="154"/>
      <c r="E1459" s="139"/>
      <c r="F1459" s="139"/>
      <c r="G1459" s="139"/>
      <c r="H1459" s="135"/>
      <c r="I1459" s="141"/>
      <c r="J1459" s="147" t="str">
        <f>IFERROR(__xludf.DUMMYFUNCTION("IF(ISBLANK(A1459),IFERROR(1/0),IF(COUNT(FILTER(F:F,A:A=A1459))&gt;1,TRUNC(N1459*F1459/SUM(FILTER(N:N,A:A=A1459)),3),F1459))"),"")</f>
        <v/>
      </c>
      <c r="K1459" s="147" t="str">
        <f>IFERROR(__xludf.DUMMYFUNCTION("IF(ISBLANK(A1459),IFERROR(1/0),IF(COUNT(FILTER(G:G,((A:A=A1459)*(B:B=""V""))))&gt;1,TRUNC(N1459*G1459/SUM(FILTER(N:N,((A:A=A1459)*(B:B=""V"")))),3),G1459))"),"")</f>
        <v/>
      </c>
      <c r="L1459" s="148" t="str">
        <f>IFERROR(__xludf.DUMMYFUNCTION("if($C1459="""","""",iferror(if(row()&lt;&gt;2,INDEX(arrayformula(filter($M$2:$M1458,$C$2:$C1458&lt;&gt;"""",row($C$2:$C1458)=max(if($C$2:$C1458=C1459,row($C$2:$C1458),0)))) ,1),0),0))"),"")</f>
        <v/>
      </c>
      <c r="M1459" s="148" t="str">
        <f t="shared" si="1"/>
        <v/>
      </c>
      <c r="N1459" s="147" t="str">
        <f t="shared" si="2"/>
        <v/>
      </c>
      <c r="O1459" s="147" t="str">
        <f t="shared" si="21"/>
        <v/>
      </c>
      <c r="P1459" s="147" t="str">
        <f>IFERROR(__xludf.DUMMYFUNCTION("if(C1459="""","""",iferror(if(row()&lt;&gt;2,INDEX(arrayformula(filter($Q$2:$Q1458,$C$2:$C1458&lt;&gt;"""",row($C$2:$C1458)=max(if($C$2:$C1458=C1459,row($C$2:$C1458),0)))) ,1),0),0))"),"")</f>
        <v/>
      </c>
      <c r="Q1459" s="147" t="str">
        <f t="shared" si="22"/>
        <v/>
      </c>
      <c r="R1459" s="147" t="str">
        <f t="shared" si="23"/>
        <v/>
      </c>
      <c r="S1459" s="147" t="str">
        <f t="shared" si="24"/>
        <v/>
      </c>
      <c r="T1459" s="147" t="str">
        <f t="shared" si="7"/>
        <v/>
      </c>
      <c r="U1459" s="150" t="str">
        <f t="shared" si="8"/>
        <v/>
      </c>
      <c r="V1459" s="151" t="str">
        <f>IFERROR(VLOOKUP(C1459,Ativos!$A$1:$G2000,5,),)</f>
        <v/>
      </c>
    </row>
    <row r="1460" ht="21.0" customHeight="1">
      <c r="A1460" s="152"/>
      <c r="B1460" s="160"/>
      <c r="C1460" s="153"/>
      <c r="D1460" s="154"/>
      <c r="E1460" s="139"/>
      <c r="F1460" s="139"/>
      <c r="G1460" s="139"/>
      <c r="H1460" s="135"/>
      <c r="I1460" s="141"/>
      <c r="J1460" s="147" t="str">
        <f>IFERROR(__xludf.DUMMYFUNCTION("IF(ISBLANK(A1460),IFERROR(1/0),IF(COUNT(FILTER(F:F,A:A=A1460))&gt;1,TRUNC(N1460*F1460/SUM(FILTER(N:N,A:A=A1460)),3),F1460))"),"")</f>
        <v/>
      </c>
      <c r="K1460" s="147" t="str">
        <f>IFERROR(__xludf.DUMMYFUNCTION("IF(ISBLANK(A1460),IFERROR(1/0),IF(COUNT(FILTER(G:G,((A:A=A1460)*(B:B=""V""))))&gt;1,TRUNC(N1460*G1460/SUM(FILTER(N:N,((A:A=A1460)*(B:B=""V"")))),3),G1460))"),"")</f>
        <v/>
      </c>
      <c r="L1460" s="148" t="str">
        <f>IFERROR(__xludf.DUMMYFUNCTION("if($C1460="""","""",iferror(if(row()&lt;&gt;2,INDEX(arrayformula(filter($M$2:$M1459,$C$2:$C1459&lt;&gt;"""",row($C$2:$C1459)=max(if($C$2:$C1459=C1460,row($C$2:$C1459),0)))) ,1),0),0))"),"")</f>
        <v/>
      </c>
      <c r="M1460" s="148" t="str">
        <f t="shared" si="1"/>
        <v/>
      </c>
      <c r="N1460" s="147" t="str">
        <f t="shared" si="2"/>
        <v/>
      </c>
      <c r="O1460" s="147" t="str">
        <f t="shared" si="21"/>
        <v/>
      </c>
      <c r="P1460" s="147" t="str">
        <f>IFERROR(__xludf.DUMMYFUNCTION("if(C1460="""","""",iferror(if(row()&lt;&gt;2,INDEX(arrayformula(filter($Q$2:$Q1459,$C$2:$C1459&lt;&gt;"""",row($C$2:$C1459)=max(if($C$2:$C1459=C1460,row($C$2:$C1459),0)))) ,1),0),0))"),"")</f>
        <v/>
      </c>
      <c r="Q1460" s="147" t="str">
        <f t="shared" si="22"/>
        <v/>
      </c>
      <c r="R1460" s="147" t="str">
        <f t="shared" si="23"/>
        <v/>
      </c>
      <c r="S1460" s="147" t="str">
        <f t="shared" si="24"/>
        <v/>
      </c>
      <c r="T1460" s="147" t="str">
        <f t="shared" si="7"/>
        <v/>
      </c>
      <c r="U1460" s="150" t="str">
        <f t="shared" si="8"/>
        <v/>
      </c>
      <c r="V1460" s="151" t="str">
        <f>IFERROR(VLOOKUP(C1460,Ativos!$A$1:$G2000,5,),)</f>
        <v/>
      </c>
    </row>
    <row r="1461" ht="21.0" customHeight="1">
      <c r="A1461" s="152"/>
      <c r="B1461" s="160"/>
      <c r="C1461" s="153"/>
      <c r="D1461" s="154"/>
      <c r="E1461" s="139"/>
      <c r="F1461" s="139"/>
      <c r="G1461" s="139"/>
      <c r="H1461" s="135"/>
      <c r="I1461" s="141"/>
      <c r="J1461" s="147" t="str">
        <f>IFERROR(__xludf.DUMMYFUNCTION("IF(ISBLANK(A1461),IFERROR(1/0),IF(COUNT(FILTER(F:F,A:A=A1461))&gt;1,TRUNC(N1461*F1461/SUM(FILTER(N:N,A:A=A1461)),3),F1461))"),"")</f>
        <v/>
      </c>
      <c r="K1461" s="147" t="str">
        <f>IFERROR(__xludf.DUMMYFUNCTION("IF(ISBLANK(A1461),IFERROR(1/0),IF(COUNT(FILTER(G:G,((A:A=A1461)*(B:B=""V""))))&gt;1,TRUNC(N1461*G1461/SUM(FILTER(N:N,((A:A=A1461)*(B:B=""V"")))),3),G1461))"),"")</f>
        <v/>
      </c>
      <c r="L1461" s="148" t="str">
        <f>IFERROR(__xludf.DUMMYFUNCTION("if($C1461="""","""",iferror(if(row()&lt;&gt;2,INDEX(arrayformula(filter($M$2:$M1460,$C$2:$C1460&lt;&gt;"""",row($C$2:$C1460)=max(if($C$2:$C1460=C1461,row($C$2:$C1460),0)))) ,1),0),0))"),"")</f>
        <v/>
      </c>
      <c r="M1461" s="148" t="str">
        <f t="shared" si="1"/>
        <v/>
      </c>
      <c r="N1461" s="147" t="str">
        <f t="shared" si="2"/>
        <v/>
      </c>
      <c r="O1461" s="147" t="str">
        <f t="shared" si="21"/>
        <v/>
      </c>
      <c r="P1461" s="147" t="str">
        <f>IFERROR(__xludf.DUMMYFUNCTION("if(C1461="""","""",iferror(if(row()&lt;&gt;2,INDEX(arrayformula(filter($Q$2:$Q1460,$C$2:$C1460&lt;&gt;"""",row($C$2:$C1460)=max(if($C$2:$C1460=C1461,row($C$2:$C1460),0)))) ,1),0),0))"),"")</f>
        <v/>
      </c>
      <c r="Q1461" s="147" t="str">
        <f t="shared" si="22"/>
        <v/>
      </c>
      <c r="R1461" s="147" t="str">
        <f t="shared" si="23"/>
        <v/>
      </c>
      <c r="S1461" s="147" t="str">
        <f t="shared" si="24"/>
        <v/>
      </c>
      <c r="T1461" s="147" t="str">
        <f t="shared" si="7"/>
        <v/>
      </c>
      <c r="U1461" s="150" t="str">
        <f t="shared" si="8"/>
        <v/>
      </c>
      <c r="V1461" s="151" t="str">
        <f>IFERROR(VLOOKUP(C1461,Ativos!$A$1:$G2000,5,),)</f>
        <v/>
      </c>
    </row>
    <row r="1462" ht="21.0" customHeight="1">
      <c r="A1462" s="152"/>
      <c r="B1462" s="160"/>
      <c r="C1462" s="153"/>
      <c r="D1462" s="154"/>
      <c r="E1462" s="139"/>
      <c r="F1462" s="139"/>
      <c r="G1462" s="139"/>
      <c r="H1462" s="135"/>
      <c r="I1462" s="141"/>
      <c r="J1462" s="147" t="str">
        <f>IFERROR(__xludf.DUMMYFUNCTION("IF(ISBLANK(A1462),IFERROR(1/0),IF(COUNT(FILTER(F:F,A:A=A1462))&gt;1,TRUNC(N1462*F1462/SUM(FILTER(N:N,A:A=A1462)),3),F1462))"),"")</f>
        <v/>
      </c>
      <c r="K1462" s="147" t="str">
        <f>IFERROR(__xludf.DUMMYFUNCTION("IF(ISBLANK(A1462),IFERROR(1/0),IF(COUNT(FILTER(G:G,((A:A=A1462)*(B:B=""V""))))&gt;1,TRUNC(N1462*G1462/SUM(FILTER(N:N,((A:A=A1462)*(B:B=""V"")))),3),G1462))"),"")</f>
        <v/>
      </c>
      <c r="L1462" s="148" t="str">
        <f>IFERROR(__xludf.DUMMYFUNCTION("if($C1462="""","""",iferror(if(row()&lt;&gt;2,INDEX(arrayformula(filter($M$2:$M1461,$C$2:$C1461&lt;&gt;"""",row($C$2:$C1461)=max(if($C$2:$C1461=C1462,row($C$2:$C1461),0)))) ,1),0),0))"),"")</f>
        <v/>
      </c>
      <c r="M1462" s="148" t="str">
        <f t="shared" si="1"/>
        <v/>
      </c>
      <c r="N1462" s="147" t="str">
        <f t="shared" si="2"/>
        <v/>
      </c>
      <c r="O1462" s="147" t="str">
        <f t="shared" si="21"/>
        <v/>
      </c>
      <c r="P1462" s="147" t="str">
        <f>IFERROR(__xludf.DUMMYFUNCTION("if(C1462="""","""",iferror(if(row()&lt;&gt;2,INDEX(arrayformula(filter($Q$2:$Q1461,$C$2:$C1461&lt;&gt;"""",row($C$2:$C1461)=max(if($C$2:$C1461=C1462,row($C$2:$C1461),0)))) ,1),0),0))"),"")</f>
        <v/>
      </c>
      <c r="Q1462" s="147" t="str">
        <f t="shared" si="22"/>
        <v/>
      </c>
      <c r="R1462" s="147" t="str">
        <f t="shared" si="23"/>
        <v/>
      </c>
      <c r="S1462" s="147" t="str">
        <f t="shared" si="24"/>
        <v/>
      </c>
      <c r="T1462" s="147" t="str">
        <f t="shared" si="7"/>
        <v/>
      </c>
      <c r="U1462" s="150" t="str">
        <f t="shared" si="8"/>
        <v/>
      </c>
      <c r="V1462" s="151" t="str">
        <f>IFERROR(VLOOKUP(C1462,Ativos!$A$1:$G2000,5,),)</f>
        <v/>
      </c>
    </row>
    <row r="1463" ht="21.0" customHeight="1">
      <c r="A1463" s="152"/>
      <c r="B1463" s="160"/>
      <c r="C1463" s="153"/>
      <c r="D1463" s="154"/>
      <c r="E1463" s="139"/>
      <c r="F1463" s="139"/>
      <c r="G1463" s="139"/>
      <c r="H1463" s="135"/>
      <c r="I1463" s="141"/>
      <c r="J1463" s="147" t="str">
        <f>IFERROR(__xludf.DUMMYFUNCTION("IF(ISBLANK(A1463),IFERROR(1/0),IF(COUNT(FILTER(F:F,A:A=A1463))&gt;1,TRUNC(N1463*F1463/SUM(FILTER(N:N,A:A=A1463)),3),F1463))"),"")</f>
        <v/>
      </c>
      <c r="K1463" s="147" t="str">
        <f>IFERROR(__xludf.DUMMYFUNCTION("IF(ISBLANK(A1463),IFERROR(1/0),IF(COUNT(FILTER(G:G,((A:A=A1463)*(B:B=""V""))))&gt;1,TRUNC(N1463*G1463/SUM(FILTER(N:N,((A:A=A1463)*(B:B=""V"")))),3),G1463))"),"")</f>
        <v/>
      </c>
      <c r="L1463" s="148" t="str">
        <f>IFERROR(__xludf.DUMMYFUNCTION("if($C1463="""","""",iferror(if(row()&lt;&gt;2,INDEX(arrayformula(filter($M$2:$M1462,$C$2:$C1462&lt;&gt;"""",row($C$2:$C1462)=max(if($C$2:$C1462=C1463,row($C$2:$C1462),0)))) ,1),0),0))"),"")</f>
        <v/>
      </c>
      <c r="M1463" s="148" t="str">
        <f t="shared" si="1"/>
        <v/>
      </c>
      <c r="N1463" s="147" t="str">
        <f t="shared" si="2"/>
        <v/>
      </c>
      <c r="O1463" s="147" t="str">
        <f t="shared" si="21"/>
        <v/>
      </c>
      <c r="P1463" s="147" t="str">
        <f>IFERROR(__xludf.DUMMYFUNCTION("if(C1463="""","""",iferror(if(row()&lt;&gt;2,INDEX(arrayformula(filter($Q$2:$Q1462,$C$2:$C1462&lt;&gt;"""",row($C$2:$C1462)=max(if($C$2:$C1462=C1463,row($C$2:$C1462),0)))) ,1),0),0))"),"")</f>
        <v/>
      </c>
      <c r="Q1463" s="147" t="str">
        <f t="shared" si="22"/>
        <v/>
      </c>
      <c r="R1463" s="147" t="str">
        <f t="shared" si="23"/>
        <v/>
      </c>
      <c r="S1463" s="147" t="str">
        <f t="shared" si="24"/>
        <v/>
      </c>
      <c r="T1463" s="147" t="str">
        <f t="shared" si="7"/>
        <v/>
      </c>
      <c r="U1463" s="150" t="str">
        <f t="shared" si="8"/>
        <v/>
      </c>
      <c r="V1463" s="151" t="str">
        <f>IFERROR(VLOOKUP(C1463,Ativos!$A$1:$G2000,5,),)</f>
        <v/>
      </c>
    </row>
    <row r="1464" ht="21.0" customHeight="1">
      <c r="A1464" s="152"/>
      <c r="B1464" s="160"/>
      <c r="C1464" s="153"/>
      <c r="D1464" s="154"/>
      <c r="E1464" s="139"/>
      <c r="F1464" s="139"/>
      <c r="G1464" s="139"/>
      <c r="H1464" s="135"/>
      <c r="I1464" s="141"/>
      <c r="J1464" s="147" t="str">
        <f>IFERROR(__xludf.DUMMYFUNCTION("IF(ISBLANK(A1464),IFERROR(1/0),IF(COUNT(FILTER(F:F,A:A=A1464))&gt;1,TRUNC(N1464*F1464/SUM(FILTER(N:N,A:A=A1464)),3),F1464))"),"")</f>
        <v/>
      </c>
      <c r="K1464" s="147" t="str">
        <f>IFERROR(__xludf.DUMMYFUNCTION("IF(ISBLANK(A1464),IFERROR(1/0),IF(COUNT(FILTER(G:G,((A:A=A1464)*(B:B=""V""))))&gt;1,TRUNC(N1464*G1464/SUM(FILTER(N:N,((A:A=A1464)*(B:B=""V"")))),3),G1464))"),"")</f>
        <v/>
      </c>
      <c r="L1464" s="148" t="str">
        <f>IFERROR(__xludf.DUMMYFUNCTION("if($C1464="""","""",iferror(if(row()&lt;&gt;2,INDEX(arrayformula(filter($M$2:$M1463,$C$2:$C1463&lt;&gt;"""",row($C$2:$C1463)=max(if($C$2:$C1463=C1464,row($C$2:$C1463),0)))) ,1),0),0))"),"")</f>
        <v/>
      </c>
      <c r="M1464" s="148" t="str">
        <f t="shared" si="1"/>
        <v/>
      </c>
      <c r="N1464" s="147" t="str">
        <f t="shared" si="2"/>
        <v/>
      </c>
      <c r="O1464" s="147" t="str">
        <f t="shared" si="21"/>
        <v/>
      </c>
      <c r="P1464" s="147" t="str">
        <f>IFERROR(__xludf.DUMMYFUNCTION("if(C1464="""","""",iferror(if(row()&lt;&gt;2,INDEX(arrayformula(filter($Q$2:$Q1463,$C$2:$C1463&lt;&gt;"""",row($C$2:$C1463)=max(if($C$2:$C1463=C1464,row($C$2:$C1463),0)))) ,1),0),0))"),"")</f>
        <v/>
      </c>
      <c r="Q1464" s="147" t="str">
        <f t="shared" si="22"/>
        <v/>
      </c>
      <c r="R1464" s="147" t="str">
        <f t="shared" si="23"/>
        <v/>
      </c>
      <c r="S1464" s="147" t="str">
        <f t="shared" si="24"/>
        <v/>
      </c>
      <c r="T1464" s="147" t="str">
        <f t="shared" si="7"/>
        <v/>
      </c>
      <c r="U1464" s="150" t="str">
        <f t="shared" si="8"/>
        <v/>
      </c>
      <c r="V1464" s="151" t="str">
        <f>IFERROR(VLOOKUP(C1464,Ativos!$A$1:$G2000,5,),)</f>
        <v/>
      </c>
    </row>
    <row r="1465" ht="21.0" customHeight="1">
      <c r="A1465" s="152"/>
      <c r="B1465" s="160"/>
      <c r="C1465" s="153"/>
      <c r="D1465" s="154"/>
      <c r="E1465" s="139"/>
      <c r="F1465" s="139"/>
      <c r="G1465" s="139"/>
      <c r="H1465" s="135"/>
      <c r="I1465" s="141"/>
      <c r="J1465" s="147" t="str">
        <f>IFERROR(__xludf.DUMMYFUNCTION("IF(ISBLANK(A1465),IFERROR(1/0),IF(COUNT(FILTER(F:F,A:A=A1465))&gt;1,TRUNC(N1465*F1465/SUM(FILTER(N:N,A:A=A1465)),3),F1465))"),"")</f>
        <v/>
      </c>
      <c r="K1465" s="147" t="str">
        <f>IFERROR(__xludf.DUMMYFUNCTION("IF(ISBLANK(A1465),IFERROR(1/0),IF(COUNT(FILTER(G:G,((A:A=A1465)*(B:B=""V""))))&gt;1,TRUNC(N1465*G1465/SUM(FILTER(N:N,((A:A=A1465)*(B:B=""V"")))),3),G1465))"),"")</f>
        <v/>
      </c>
      <c r="L1465" s="148" t="str">
        <f>IFERROR(__xludf.DUMMYFUNCTION("if($C1465="""","""",iferror(if(row()&lt;&gt;2,INDEX(arrayformula(filter($M$2:$M1464,$C$2:$C1464&lt;&gt;"""",row($C$2:$C1464)=max(if($C$2:$C1464=C1465,row($C$2:$C1464),0)))) ,1),0),0))"),"")</f>
        <v/>
      </c>
      <c r="M1465" s="148" t="str">
        <f t="shared" si="1"/>
        <v/>
      </c>
      <c r="N1465" s="147" t="str">
        <f t="shared" si="2"/>
        <v/>
      </c>
      <c r="O1465" s="147" t="str">
        <f t="shared" si="21"/>
        <v/>
      </c>
      <c r="P1465" s="147" t="str">
        <f>IFERROR(__xludf.DUMMYFUNCTION("if(C1465="""","""",iferror(if(row()&lt;&gt;2,INDEX(arrayformula(filter($Q$2:$Q1464,$C$2:$C1464&lt;&gt;"""",row($C$2:$C1464)=max(if($C$2:$C1464=C1465,row($C$2:$C1464),0)))) ,1),0),0))"),"")</f>
        <v/>
      </c>
      <c r="Q1465" s="147" t="str">
        <f t="shared" si="22"/>
        <v/>
      </c>
      <c r="R1465" s="147" t="str">
        <f t="shared" si="23"/>
        <v/>
      </c>
      <c r="S1465" s="147" t="str">
        <f t="shared" si="24"/>
        <v/>
      </c>
      <c r="T1465" s="147" t="str">
        <f t="shared" si="7"/>
        <v/>
      </c>
      <c r="U1465" s="150" t="str">
        <f t="shared" si="8"/>
        <v/>
      </c>
      <c r="V1465" s="151" t="str">
        <f>IFERROR(VLOOKUP(C1465,Ativos!$A$1:$G2000,5,),)</f>
        <v/>
      </c>
    </row>
    <row r="1466" ht="21.0" customHeight="1">
      <c r="A1466" s="152"/>
      <c r="B1466" s="160"/>
      <c r="C1466" s="153"/>
      <c r="D1466" s="154"/>
      <c r="E1466" s="139"/>
      <c r="F1466" s="139"/>
      <c r="G1466" s="139"/>
      <c r="H1466" s="135"/>
      <c r="I1466" s="141"/>
      <c r="J1466" s="147" t="str">
        <f>IFERROR(__xludf.DUMMYFUNCTION("IF(ISBLANK(A1466),IFERROR(1/0),IF(COUNT(FILTER(F:F,A:A=A1466))&gt;1,TRUNC(N1466*F1466/SUM(FILTER(N:N,A:A=A1466)),3),F1466))"),"")</f>
        <v/>
      </c>
      <c r="K1466" s="147" t="str">
        <f>IFERROR(__xludf.DUMMYFUNCTION("IF(ISBLANK(A1466),IFERROR(1/0),IF(COUNT(FILTER(G:G,((A:A=A1466)*(B:B=""V""))))&gt;1,TRUNC(N1466*G1466/SUM(FILTER(N:N,((A:A=A1466)*(B:B=""V"")))),3),G1466))"),"")</f>
        <v/>
      </c>
      <c r="L1466" s="148" t="str">
        <f>IFERROR(__xludf.DUMMYFUNCTION("if($C1466="""","""",iferror(if(row()&lt;&gt;2,INDEX(arrayformula(filter($M$2:$M1465,$C$2:$C1465&lt;&gt;"""",row($C$2:$C1465)=max(if($C$2:$C1465=C1466,row($C$2:$C1465),0)))) ,1),0),0))"),"")</f>
        <v/>
      </c>
      <c r="M1466" s="148" t="str">
        <f t="shared" si="1"/>
        <v/>
      </c>
      <c r="N1466" s="147" t="str">
        <f t="shared" si="2"/>
        <v/>
      </c>
      <c r="O1466" s="147" t="str">
        <f t="shared" si="21"/>
        <v/>
      </c>
      <c r="P1466" s="147" t="str">
        <f>IFERROR(__xludf.DUMMYFUNCTION("if(C1466="""","""",iferror(if(row()&lt;&gt;2,INDEX(arrayformula(filter($Q$2:$Q1465,$C$2:$C1465&lt;&gt;"""",row($C$2:$C1465)=max(if($C$2:$C1465=C1466,row($C$2:$C1465),0)))) ,1),0),0))"),"")</f>
        <v/>
      </c>
      <c r="Q1466" s="147" t="str">
        <f t="shared" si="22"/>
        <v/>
      </c>
      <c r="R1466" s="147" t="str">
        <f t="shared" si="23"/>
        <v/>
      </c>
      <c r="S1466" s="147" t="str">
        <f t="shared" si="24"/>
        <v/>
      </c>
      <c r="T1466" s="147" t="str">
        <f t="shared" si="7"/>
        <v/>
      </c>
      <c r="U1466" s="150" t="str">
        <f t="shared" si="8"/>
        <v/>
      </c>
      <c r="V1466" s="151" t="str">
        <f>IFERROR(VLOOKUP(C1466,Ativos!$A$1:$G2000,5,),)</f>
        <v/>
      </c>
    </row>
    <row r="1467" ht="21.0" customHeight="1">
      <c r="A1467" s="152"/>
      <c r="B1467" s="160"/>
      <c r="C1467" s="153"/>
      <c r="D1467" s="154"/>
      <c r="E1467" s="139"/>
      <c r="F1467" s="139"/>
      <c r="G1467" s="139"/>
      <c r="H1467" s="135"/>
      <c r="I1467" s="141"/>
      <c r="J1467" s="147" t="str">
        <f>IFERROR(__xludf.DUMMYFUNCTION("IF(ISBLANK(A1467),IFERROR(1/0),IF(COUNT(FILTER(F:F,A:A=A1467))&gt;1,TRUNC(N1467*F1467/SUM(FILTER(N:N,A:A=A1467)),3),F1467))"),"")</f>
        <v/>
      </c>
      <c r="K1467" s="147" t="str">
        <f>IFERROR(__xludf.DUMMYFUNCTION("IF(ISBLANK(A1467),IFERROR(1/0),IF(COUNT(FILTER(G:G,((A:A=A1467)*(B:B=""V""))))&gt;1,TRUNC(N1467*G1467/SUM(FILTER(N:N,((A:A=A1467)*(B:B=""V"")))),3),G1467))"),"")</f>
        <v/>
      </c>
      <c r="L1467" s="148" t="str">
        <f>IFERROR(__xludf.DUMMYFUNCTION("if($C1467="""","""",iferror(if(row()&lt;&gt;2,INDEX(arrayformula(filter($M$2:$M1466,$C$2:$C1466&lt;&gt;"""",row($C$2:$C1466)=max(if($C$2:$C1466=C1467,row($C$2:$C1466),0)))) ,1),0),0))"),"")</f>
        <v/>
      </c>
      <c r="M1467" s="148" t="str">
        <f t="shared" si="1"/>
        <v/>
      </c>
      <c r="N1467" s="147" t="str">
        <f t="shared" si="2"/>
        <v/>
      </c>
      <c r="O1467" s="147" t="str">
        <f t="shared" si="21"/>
        <v/>
      </c>
      <c r="P1467" s="147" t="str">
        <f>IFERROR(__xludf.DUMMYFUNCTION("if(C1467="""","""",iferror(if(row()&lt;&gt;2,INDEX(arrayformula(filter($Q$2:$Q1466,$C$2:$C1466&lt;&gt;"""",row($C$2:$C1466)=max(if($C$2:$C1466=C1467,row($C$2:$C1466),0)))) ,1),0),0))"),"")</f>
        <v/>
      </c>
      <c r="Q1467" s="147" t="str">
        <f t="shared" si="22"/>
        <v/>
      </c>
      <c r="R1467" s="147" t="str">
        <f t="shared" si="23"/>
        <v/>
      </c>
      <c r="S1467" s="147" t="str">
        <f t="shared" si="24"/>
        <v/>
      </c>
      <c r="T1467" s="147" t="str">
        <f t="shared" si="7"/>
        <v/>
      </c>
      <c r="U1467" s="150" t="str">
        <f t="shared" si="8"/>
        <v/>
      </c>
      <c r="V1467" s="151" t="str">
        <f>IFERROR(VLOOKUP(C1467,Ativos!$A$1:$G2000,5,),)</f>
        <v/>
      </c>
    </row>
    <row r="1468" ht="21.0" customHeight="1">
      <c r="A1468" s="152"/>
      <c r="B1468" s="160"/>
      <c r="C1468" s="153"/>
      <c r="D1468" s="154"/>
      <c r="E1468" s="139"/>
      <c r="F1468" s="139"/>
      <c r="G1468" s="139"/>
      <c r="H1468" s="135"/>
      <c r="I1468" s="141"/>
      <c r="J1468" s="147" t="str">
        <f>IFERROR(__xludf.DUMMYFUNCTION("IF(ISBLANK(A1468),IFERROR(1/0),IF(COUNT(FILTER(F:F,A:A=A1468))&gt;1,TRUNC(N1468*F1468/SUM(FILTER(N:N,A:A=A1468)),3),F1468))"),"")</f>
        <v/>
      </c>
      <c r="K1468" s="147" t="str">
        <f>IFERROR(__xludf.DUMMYFUNCTION("IF(ISBLANK(A1468),IFERROR(1/0),IF(COUNT(FILTER(G:G,((A:A=A1468)*(B:B=""V""))))&gt;1,TRUNC(N1468*G1468/SUM(FILTER(N:N,((A:A=A1468)*(B:B=""V"")))),3),G1468))"),"")</f>
        <v/>
      </c>
      <c r="L1468" s="148" t="str">
        <f>IFERROR(__xludf.DUMMYFUNCTION("if($C1468="""","""",iferror(if(row()&lt;&gt;2,INDEX(arrayformula(filter($M$2:$M1467,$C$2:$C1467&lt;&gt;"""",row($C$2:$C1467)=max(if($C$2:$C1467=C1468,row($C$2:$C1467),0)))) ,1),0),0))"),"")</f>
        <v/>
      </c>
      <c r="M1468" s="148" t="str">
        <f t="shared" si="1"/>
        <v/>
      </c>
      <c r="N1468" s="147" t="str">
        <f t="shared" si="2"/>
        <v/>
      </c>
      <c r="O1468" s="147" t="str">
        <f t="shared" si="21"/>
        <v/>
      </c>
      <c r="P1468" s="147" t="str">
        <f>IFERROR(__xludf.DUMMYFUNCTION("if(C1468="""","""",iferror(if(row()&lt;&gt;2,INDEX(arrayformula(filter($Q$2:$Q1467,$C$2:$C1467&lt;&gt;"""",row($C$2:$C1467)=max(if($C$2:$C1467=C1468,row($C$2:$C1467),0)))) ,1),0),0))"),"")</f>
        <v/>
      </c>
      <c r="Q1468" s="147" t="str">
        <f t="shared" si="22"/>
        <v/>
      </c>
      <c r="R1468" s="147" t="str">
        <f t="shared" si="23"/>
        <v/>
      </c>
      <c r="S1468" s="147" t="str">
        <f t="shared" si="24"/>
        <v/>
      </c>
      <c r="T1468" s="147" t="str">
        <f t="shared" si="7"/>
        <v/>
      </c>
      <c r="U1468" s="150" t="str">
        <f t="shared" si="8"/>
        <v/>
      </c>
      <c r="V1468" s="151" t="str">
        <f>IFERROR(VLOOKUP(C1468,Ativos!$A$1:$G2000,5,),)</f>
        <v/>
      </c>
    </row>
    <row r="1469" ht="21.0" customHeight="1">
      <c r="A1469" s="152"/>
      <c r="B1469" s="160"/>
      <c r="C1469" s="153"/>
      <c r="D1469" s="154"/>
      <c r="E1469" s="139"/>
      <c r="F1469" s="139"/>
      <c r="G1469" s="139"/>
      <c r="H1469" s="135"/>
      <c r="I1469" s="141"/>
      <c r="J1469" s="147" t="str">
        <f>IFERROR(__xludf.DUMMYFUNCTION("IF(ISBLANK(A1469),IFERROR(1/0),IF(COUNT(FILTER(F:F,A:A=A1469))&gt;1,TRUNC(N1469*F1469/SUM(FILTER(N:N,A:A=A1469)),3),F1469))"),"")</f>
        <v/>
      </c>
      <c r="K1469" s="147" t="str">
        <f>IFERROR(__xludf.DUMMYFUNCTION("IF(ISBLANK(A1469),IFERROR(1/0),IF(COUNT(FILTER(G:G,((A:A=A1469)*(B:B=""V""))))&gt;1,TRUNC(N1469*G1469/SUM(FILTER(N:N,((A:A=A1469)*(B:B=""V"")))),3),G1469))"),"")</f>
        <v/>
      </c>
      <c r="L1469" s="148" t="str">
        <f>IFERROR(__xludf.DUMMYFUNCTION("if($C1469="""","""",iferror(if(row()&lt;&gt;2,INDEX(arrayformula(filter($M$2:$M1468,$C$2:$C1468&lt;&gt;"""",row($C$2:$C1468)=max(if($C$2:$C1468=C1469,row($C$2:$C1468),0)))) ,1),0),0))"),"")</f>
        <v/>
      </c>
      <c r="M1469" s="148" t="str">
        <f t="shared" si="1"/>
        <v/>
      </c>
      <c r="N1469" s="147" t="str">
        <f t="shared" si="2"/>
        <v/>
      </c>
      <c r="O1469" s="147" t="str">
        <f t="shared" si="21"/>
        <v/>
      </c>
      <c r="P1469" s="147" t="str">
        <f>IFERROR(__xludf.DUMMYFUNCTION("if(C1469="""","""",iferror(if(row()&lt;&gt;2,INDEX(arrayformula(filter($Q$2:$Q1468,$C$2:$C1468&lt;&gt;"""",row($C$2:$C1468)=max(if($C$2:$C1468=C1469,row($C$2:$C1468),0)))) ,1),0),0))"),"")</f>
        <v/>
      </c>
      <c r="Q1469" s="147" t="str">
        <f t="shared" si="22"/>
        <v/>
      </c>
      <c r="R1469" s="147" t="str">
        <f t="shared" si="23"/>
        <v/>
      </c>
      <c r="S1469" s="147" t="str">
        <f t="shared" si="24"/>
        <v/>
      </c>
      <c r="T1469" s="147" t="str">
        <f t="shared" si="7"/>
        <v/>
      </c>
      <c r="U1469" s="150" t="str">
        <f t="shared" si="8"/>
        <v/>
      </c>
      <c r="V1469" s="151" t="str">
        <f>IFERROR(VLOOKUP(C1469,Ativos!$A$1:$G2000,5,),)</f>
        <v/>
      </c>
    </row>
    <row r="1470" ht="21.0" customHeight="1">
      <c r="A1470" s="152"/>
      <c r="B1470" s="160"/>
      <c r="C1470" s="153"/>
      <c r="D1470" s="154"/>
      <c r="E1470" s="139"/>
      <c r="F1470" s="139"/>
      <c r="G1470" s="139"/>
      <c r="H1470" s="135"/>
      <c r="I1470" s="141"/>
      <c r="J1470" s="147" t="str">
        <f>IFERROR(__xludf.DUMMYFUNCTION("IF(ISBLANK(A1470),IFERROR(1/0),IF(COUNT(FILTER(F:F,A:A=A1470))&gt;1,TRUNC(N1470*F1470/SUM(FILTER(N:N,A:A=A1470)),3),F1470))"),"")</f>
        <v/>
      </c>
      <c r="K1470" s="147" t="str">
        <f>IFERROR(__xludf.DUMMYFUNCTION("IF(ISBLANK(A1470),IFERROR(1/0),IF(COUNT(FILTER(G:G,((A:A=A1470)*(B:B=""V""))))&gt;1,TRUNC(N1470*G1470/SUM(FILTER(N:N,((A:A=A1470)*(B:B=""V"")))),3),G1470))"),"")</f>
        <v/>
      </c>
      <c r="L1470" s="148" t="str">
        <f>IFERROR(__xludf.DUMMYFUNCTION("if($C1470="""","""",iferror(if(row()&lt;&gt;2,INDEX(arrayformula(filter($M$2:$M1469,$C$2:$C1469&lt;&gt;"""",row($C$2:$C1469)=max(if($C$2:$C1469=C1470,row($C$2:$C1469),0)))) ,1),0),0))"),"")</f>
        <v/>
      </c>
      <c r="M1470" s="148" t="str">
        <f t="shared" si="1"/>
        <v/>
      </c>
      <c r="N1470" s="147" t="str">
        <f t="shared" si="2"/>
        <v/>
      </c>
      <c r="O1470" s="147" t="str">
        <f t="shared" si="21"/>
        <v/>
      </c>
      <c r="P1470" s="147" t="str">
        <f>IFERROR(__xludf.DUMMYFUNCTION("if(C1470="""","""",iferror(if(row()&lt;&gt;2,INDEX(arrayformula(filter($Q$2:$Q1469,$C$2:$C1469&lt;&gt;"""",row($C$2:$C1469)=max(if($C$2:$C1469=C1470,row($C$2:$C1469),0)))) ,1),0),0))"),"")</f>
        <v/>
      </c>
      <c r="Q1470" s="147" t="str">
        <f t="shared" si="22"/>
        <v/>
      </c>
      <c r="R1470" s="147" t="str">
        <f t="shared" si="23"/>
        <v/>
      </c>
      <c r="S1470" s="147" t="str">
        <f t="shared" si="24"/>
        <v/>
      </c>
      <c r="T1470" s="147" t="str">
        <f t="shared" si="7"/>
        <v/>
      </c>
      <c r="U1470" s="150" t="str">
        <f t="shared" si="8"/>
        <v/>
      </c>
      <c r="V1470" s="151" t="str">
        <f>IFERROR(VLOOKUP(C1470,Ativos!$A$1:$G2000,5,),)</f>
        <v/>
      </c>
    </row>
    <row r="1471" ht="21.0" customHeight="1">
      <c r="A1471" s="152"/>
      <c r="B1471" s="160"/>
      <c r="C1471" s="153"/>
      <c r="D1471" s="154"/>
      <c r="E1471" s="139"/>
      <c r="F1471" s="139"/>
      <c r="G1471" s="139"/>
      <c r="H1471" s="135"/>
      <c r="I1471" s="141"/>
      <c r="J1471" s="147" t="str">
        <f>IFERROR(__xludf.DUMMYFUNCTION("IF(ISBLANK(A1471),IFERROR(1/0),IF(COUNT(FILTER(F:F,A:A=A1471))&gt;1,TRUNC(N1471*F1471/SUM(FILTER(N:N,A:A=A1471)),3),F1471))"),"")</f>
        <v/>
      </c>
      <c r="K1471" s="147" t="str">
        <f>IFERROR(__xludf.DUMMYFUNCTION("IF(ISBLANK(A1471),IFERROR(1/0),IF(COUNT(FILTER(G:G,((A:A=A1471)*(B:B=""V""))))&gt;1,TRUNC(N1471*G1471/SUM(FILTER(N:N,((A:A=A1471)*(B:B=""V"")))),3),G1471))"),"")</f>
        <v/>
      </c>
      <c r="L1471" s="148" t="str">
        <f>IFERROR(__xludf.DUMMYFUNCTION("if($C1471="""","""",iferror(if(row()&lt;&gt;2,INDEX(arrayformula(filter($M$2:$M1470,$C$2:$C1470&lt;&gt;"""",row($C$2:$C1470)=max(if($C$2:$C1470=C1471,row($C$2:$C1470),0)))) ,1),0),0))"),"")</f>
        <v/>
      </c>
      <c r="M1471" s="148" t="str">
        <f t="shared" si="1"/>
        <v/>
      </c>
      <c r="N1471" s="147" t="str">
        <f t="shared" si="2"/>
        <v/>
      </c>
      <c r="O1471" s="147" t="str">
        <f t="shared" si="21"/>
        <v/>
      </c>
      <c r="P1471" s="147" t="str">
        <f>IFERROR(__xludf.DUMMYFUNCTION("if(C1471="""","""",iferror(if(row()&lt;&gt;2,INDEX(arrayformula(filter($Q$2:$Q1470,$C$2:$C1470&lt;&gt;"""",row($C$2:$C1470)=max(if($C$2:$C1470=C1471,row($C$2:$C1470),0)))) ,1),0),0))"),"")</f>
        <v/>
      </c>
      <c r="Q1471" s="147" t="str">
        <f t="shared" si="22"/>
        <v/>
      </c>
      <c r="R1471" s="147" t="str">
        <f t="shared" si="23"/>
        <v/>
      </c>
      <c r="S1471" s="147" t="str">
        <f t="shared" si="24"/>
        <v/>
      </c>
      <c r="T1471" s="147" t="str">
        <f t="shared" si="7"/>
        <v/>
      </c>
      <c r="U1471" s="150" t="str">
        <f t="shared" si="8"/>
        <v/>
      </c>
      <c r="V1471" s="151" t="str">
        <f>IFERROR(VLOOKUP(C1471,Ativos!$A$1:$G2000,5,),)</f>
        <v/>
      </c>
    </row>
    <row r="1472" ht="21.0" customHeight="1">
      <c r="A1472" s="152"/>
      <c r="B1472" s="160"/>
      <c r="C1472" s="153"/>
      <c r="D1472" s="154"/>
      <c r="E1472" s="139"/>
      <c r="F1472" s="139"/>
      <c r="G1472" s="139"/>
      <c r="H1472" s="135"/>
      <c r="I1472" s="141"/>
      <c r="J1472" s="147" t="str">
        <f>IFERROR(__xludf.DUMMYFUNCTION("IF(ISBLANK(A1472),IFERROR(1/0),IF(COUNT(FILTER(F:F,A:A=A1472))&gt;1,TRUNC(N1472*F1472/SUM(FILTER(N:N,A:A=A1472)),3),F1472))"),"")</f>
        <v/>
      </c>
      <c r="K1472" s="147" t="str">
        <f>IFERROR(__xludf.DUMMYFUNCTION("IF(ISBLANK(A1472),IFERROR(1/0),IF(COUNT(FILTER(G:G,((A:A=A1472)*(B:B=""V""))))&gt;1,TRUNC(N1472*G1472/SUM(FILTER(N:N,((A:A=A1472)*(B:B=""V"")))),3),G1472))"),"")</f>
        <v/>
      </c>
      <c r="L1472" s="148" t="str">
        <f>IFERROR(__xludf.DUMMYFUNCTION("if($C1472="""","""",iferror(if(row()&lt;&gt;2,INDEX(arrayformula(filter($M$2:$M1471,$C$2:$C1471&lt;&gt;"""",row($C$2:$C1471)=max(if($C$2:$C1471=C1472,row($C$2:$C1471),0)))) ,1),0),0))"),"")</f>
        <v/>
      </c>
      <c r="M1472" s="148" t="str">
        <f t="shared" si="1"/>
        <v/>
      </c>
      <c r="N1472" s="147" t="str">
        <f t="shared" si="2"/>
        <v/>
      </c>
      <c r="O1472" s="147" t="str">
        <f t="shared" si="21"/>
        <v/>
      </c>
      <c r="P1472" s="147" t="str">
        <f>IFERROR(__xludf.DUMMYFUNCTION("if(C1472="""","""",iferror(if(row()&lt;&gt;2,INDEX(arrayformula(filter($Q$2:$Q1471,$C$2:$C1471&lt;&gt;"""",row($C$2:$C1471)=max(if($C$2:$C1471=C1472,row($C$2:$C1471),0)))) ,1),0),0))"),"")</f>
        <v/>
      </c>
      <c r="Q1472" s="147" t="str">
        <f t="shared" si="22"/>
        <v/>
      </c>
      <c r="R1472" s="147" t="str">
        <f t="shared" si="23"/>
        <v/>
      </c>
      <c r="S1472" s="147" t="str">
        <f t="shared" si="24"/>
        <v/>
      </c>
      <c r="T1472" s="147" t="str">
        <f t="shared" si="7"/>
        <v/>
      </c>
      <c r="U1472" s="150" t="str">
        <f t="shared" si="8"/>
        <v/>
      </c>
      <c r="V1472" s="151" t="str">
        <f>IFERROR(VLOOKUP(C1472,Ativos!$A$1:$G2000,5,),)</f>
        <v/>
      </c>
    </row>
    <row r="1473" ht="21.0" customHeight="1">
      <c r="A1473" s="152"/>
      <c r="B1473" s="160"/>
      <c r="C1473" s="153"/>
      <c r="D1473" s="154"/>
      <c r="E1473" s="139"/>
      <c r="F1473" s="139"/>
      <c r="G1473" s="139"/>
      <c r="H1473" s="135"/>
      <c r="I1473" s="141"/>
      <c r="J1473" s="147" t="str">
        <f>IFERROR(__xludf.DUMMYFUNCTION("IF(ISBLANK(A1473),IFERROR(1/0),IF(COUNT(FILTER(F:F,A:A=A1473))&gt;1,TRUNC(N1473*F1473/SUM(FILTER(N:N,A:A=A1473)),3),F1473))"),"")</f>
        <v/>
      </c>
      <c r="K1473" s="147" t="str">
        <f>IFERROR(__xludf.DUMMYFUNCTION("IF(ISBLANK(A1473),IFERROR(1/0),IF(COUNT(FILTER(G:G,((A:A=A1473)*(B:B=""V""))))&gt;1,TRUNC(N1473*G1473/SUM(FILTER(N:N,((A:A=A1473)*(B:B=""V"")))),3),G1473))"),"")</f>
        <v/>
      </c>
      <c r="L1473" s="148" t="str">
        <f>IFERROR(__xludf.DUMMYFUNCTION("if($C1473="""","""",iferror(if(row()&lt;&gt;2,INDEX(arrayformula(filter($M$2:$M1472,$C$2:$C1472&lt;&gt;"""",row($C$2:$C1472)=max(if($C$2:$C1472=C1473,row($C$2:$C1472),0)))) ,1),0),0))"),"")</f>
        <v/>
      </c>
      <c r="M1473" s="148" t="str">
        <f t="shared" si="1"/>
        <v/>
      </c>
      <c r="N1473" s="147" t="str">
        <f t="shared" si="2"/>
        <v/>
      </c>
      <c r="O1473" s="147" t="str">
        <f t="shared" si="21"/>
        <v/>
      </c>
      <c r="P1473" s="147" t="str">
        <f>IFERROR(__xludf.DUMMYFUNCTION("if(C1473="""","""",iferror(if(row()&lt;&gt;2,INDEX(arrayformula(filter($Q$2:$Q1472,$C$2:$C1472&lt;&gt;"""",row($C$2:$C1472)=max(if($C$2:$C1472=C1473,row($C$2:$C1472),0)))) ,1),0),0))"),"")</f>
        <v/>
      </c>
      <c r="Q1473" s="147" t="str">
        <f t="shared" si="22"/>
        <v/>
      </c>
      <c r="R1473" s="147" t="str">
        <f t="shared" si="23"/>
        <v/>
      </c>
      <c r="S1473" s="147" t="str">
        <f t="shared" si="24"/>
        <v/>
      </c>
      <c r="T1473" s="147" t="str">
        <f t="shared" si="7"/>
        <v/>
      </c>
      <c r="U1473" s="150" t="str">
        <f t="shared" si="8"/>
        <v/>
      </c>
      <c r="V1473" s="151" t="str">
        <f>IFERROR(VLOOKUP(C1473,Ativos!$A$1:$G2000,5,),)</f>
        <v/>
      </c>
    </row>
    <row r="1474" ht="21.0" customHeight="1">
      <c r="A1474" s="152"/>
      <c r="B1474" s="160"/>
      <c r="C1474" s="153"/>
      <c r="D1474" s="154"/>
      <c r="E1474" s="139"/>
      <c r="F1474" s="139"/>
      <c r="G1474" s="139"/>
      <c r="H1474" s="135"/>
      <c r="I1474" s="141"/>
      <c r="J1474" s="147" t="str">
        <f>IFERROR(__xludf.DUMMYFUNCTION("IF(ISBLANK(A1474),IFERROR(1/0),IF(COUNT(FILTER(F:F,A:A=A1474))&gt;1,TRUNC(N1474*F1474/SUM(FILTER(N:N,A:A=A1474)),3),F1474))"),"")</f>
        <v/>
      </c>
      <c r="K1474" s="147" t="str">
        <f>IFERROR(__xludf.DUMMYFUNCTION("IF(ISBLANK(A1474),IFERROR(1/0),IF(COUNT(FILTER(G:G,((A:A=A1474)*(B:B=""V""))))&gt;1,TRUNC(N1474*G1474/SUM(FILTER(N:N,((A:A=A1474)*(B:B=""V"")))),3),G1474))"),"")</f>
        <v/>
      </c>
      <c r="L1474" s="148" t="str">
        <f>IFERROR(__xludf.DUMMYFUNCTION("if($C1474="""","""",iferror(if(row()&lt;&gt;2,INDEX(arrayformula(filter($M$2:$M1473,$C$2:$C1473&lt;&gt;"""",row($C$2:$C1473)=max(if($C$2:$C1473=C1474,row($C$2:$C1473),0)))) ,1),0),0))"),"")</f>
        <v/>
      </c>
      <c r="M1474" s="148" t="str">
        <f t="shared" si="1"/>
        <v/>
      </c>
      <c r="N1474" s="147" t="str">
        <f t="shared" si="2"/>
        <v/>
      </c>
      <c r="O1474" s="147" t="str">
        <f t="shared" si="21"/>
        <v/>
      </c>
      <c r="P1474" s="147" t="str">
        <f>IFERROR(__xludf.DUMMYFUNCTION("if(C1474="""","""",iferror(if(row()&lt;&gt;2,INDEX(arrayformula(filter($Q$2:$Q1473,$C$2:$C1473&lt;&gt;"""",row($C$2:$C1473)=max(if($C$2:$C1473=C1474,row($C$2:$C1473),0)))) ,1),0),0))"),"")</f>
        <v/>
      </c>
      <c r="Q1474" s="147" t="str">
        <f t="shared" si="22"/>
        <v/>
      </c>
      <c r="R1474" s="147" t="str">
        <f t="shared" si="23"/>
        <v/>
      </c>
      <c r="S1474" s="147" t="str">
        <f t="shared" si="24"/>
        <v/>
      </c>
      <c r="T1474" s="147" t="str">
        <f t="shared" si="7"/>
        <v/>
      </c>
      <c r="U1474" s="150" t="str">
        <f t="shared" si="8"/>
        <v/>
      </c>
      <c r="V1474" s="151" t="str">
        <f>IFERROR(VLOOKUP(C1474,Ativos!$A$1:$G2000,5,),)</f>
        <v/>
      </c>
    </row>
    <row r="1475" ht="21.0" customHeight="1">
      <c r="A1475" s="152"/>
      <c r="B1475" s="160"/>
      <c r="C1475" s="153"/>
      <c r="D1475" s="154"/>
      <c r="E1475" s="139"/>
      <c r="F1475" s="139"/>
      <c r="G1475" s="139"/>
      <c r="H1475" s="135"/>
      <c r="I1475" s="141"/>
      <c r="J1475" s="147" t="str">
        <f>IFERROR(__xludf.DUMMYFUNCTION("IF(ISBLANK(A1475),IFERROR(1/0),IF(COUNT(FILTER(F:F,A:A=A1475))&gt;1,TRUNC(N1475*F1475/SUM(FILTER(N:N,A:A=A1475)),3),F1475))"),"")</f>
        <v/>
      </c>
      <c r="K1475" s="147" t="str">
        <f>IFERROR(__xludf.DUMMYFUNCTION("IF(ISBLANK(A1475),IFERROR(1/0),IF(COUNT(FILTER(G:G,((A:A=A1475)*(B:B=""V""))))&gt;1,TRUNC(N1475*G1475/SUM(FILTER(N:N,((A:A=A1475)*(B:B=""V"")))),3),G1475))"),"")</f>
        <v/>
      </c>
      <c r="L1475" s="148" t="str">
        <f>IFERROR(__xludf.DUMMYFUNCTION("if($C1475="""","""",iferror(if(row()&lt;&gt;2,INDEX(arrayformula(filter($M$2:$M1474,$C$2:$C1474&lt;&gt;"""",row($C$2:$C1474)=max(if($C$2:$C1474=C1475,row($C$2:$C1474),0)))) ,1),0),0))"),"")</f>
        <v/>
      </c>
      <c r="M1475" s="148" t="str">
        <f t="shared" si="1"/>
        <v/>
      </c>
      <c r="N1475" s="147" t="str">
        <f t="shared" si="2"/>
        <v/>
      </c>
      <c r="O1475" s="147" t="str">
        <f t="shared" si="21"/>
        <v/>
      </c>
      <c r="P1475" s="147" t="str">
        <f>IFERROR(__xludf.DUMMYFUNCTION("if(C1475="""","""",iferror(if(row()&lt;&gt;2,INDEX(arrayformula(filter($Q$2:$Q1474,$C$2:$C1474&lt;&gt;"""",row($C$2:$C1474)=max(if($C$2:$C1474=C1475,row($C$2:$C1474),0)))) ,1),0),0))"),"")</f>
        <v/>
      </c>
      <c r="Q1475" s="147" t="str">
        <f t="shared" si="22"/>
        <v/>
      </c>
      <c r="R1475" s="147" t="str">
        <f t="shared" si="23"/>
        <v/>
      </c>
      <c r="S1475" s="147" t="str">
        <f t="shared" si="24"/>
        <v/>
      </c>
      <c r="T1475" s="147" t="str">
        <f t="shared" si="7"/>
        <v/>
      </c>
      <c r="U1475" s="150" t="str">
        <f t="shared" si="8"/>
        <v/>
      </c>
      <c r="V1475" s="151" t="str">
        <f>IFERROR(VLOOKUP(C1475,Ativos!$A$1:$G2000,5,),)</f>
        <v/>
      </c>
    </row>
    <row r="1476" ht="21.0" customHeight="1">
      <c r="A1476" s="152"/>
      <c r="B1476" s="160"/>
      <c r="C1476" s="153"/>
      <c r="D1476" s="154"/>
      <c r="E1476" s="139"/>
      <c r="F1476" s="139"/>
      <c r="G1476" s="139"/>
      <c r="H1476" s="135"/>
      <c r="I1476" s="141"/>
      <c r="J1476" s="147" t="str">
        <f>IFERROR(__xludf.DUMMYFUNCTION("IF(ISBLANK(A1476),IFERROR(1/0),IF(COUNT(FILTER(F:F,A:A=A1476))&gt;1,TRUNC(N1476*F1476/SUM(FILTER(N:N,A:A=A1476)),3),F1476))"),"")</f>
        <v/>
      </c>
      <c r="K1476" s="147" t="str">
        <f>IFERROR(__xludf.DUMMYFUNCTION("IF(ISBLANK(A1476),IFERROR(1/0),IF(COUNT(FILTER(G:G,((A:A=A1476)*(B:B=""V""))))&gt;1,TRUNC(N1476*G1476/SUM(FILTER(N:N,((A:A=A1476)*(B:B=""V"")))),3),G1476))"),"")</f>
        <v/>
      </c>
      <c r="L1476" s="148" t="str">
        <f>IFERROR(__xludf.DUMMYFUNCTION("if($C1476="""","""",iferror(if(row()&lt;&gt;2,INDEX(arrayformula(filter($M$2:$M1475,$C$2:$C1475&lt;&gt;"""",row($C$2:$C1475)=max(if($C$2:$C1475=C1476,row($C$2:$C1475),0)))) ,1),0),0))"),"")</f>
        <v/>
      </c>
      <c r="M1476" s="148" t="str">
        <f t="shared" si="1"/>
        <v/>
      </c>
      <c r="N1476" s="147" t="str">
        <f t="shared" si="2"/>
        <v/>
      </c>
      <c r="O1476" s="147" t="str">
        <f t="shared" si="21"/>
        <v/>
      </c>
      <c r="P1476" s="147" t="str">
        <f>IFERROR(__xludf.DUMMYFUNCTION("if(C1476="""","""",iferror(if(row()&lt;&gt;2,INDEX(arrayformula(filter($Q$2:$Q1475,$C$2:$C1475&lt;&gt;"""",row($C$2:$C1475)=max(if($C$2:$C1475=C1476,row($C$2:$C1475),0)))) ,1),0),0))"),"")</f>
        <v/>
      </c>
      <c r="Q1476" s="147" t="str">
        <f t="shared" si="22"/>
        <v/>
      </c>
      <c r="R1476" s="147" t="str">
        <f t="shared" si="23"/>
        <v/>
      </c>
      <c r="S1476" s="147" t="str">
        <f t="shared" si="24"/>
        <v/>
      </c>
      <c r="T1476" s="147" t="str">
        <f t="shared" si="7"/>
        <v/>
      </c>
      <c r="U1476" s="150" t="str">
        <f t="shared" si="8"/>
        <v/>
      </c>
      <c r="V1476" s="151" t="str">
        <f>IFERROR(VLOOKUP(C1476,Ativos!$A$1:$G2000,5,),)</f>
        <v/>
      </c>
    </row>
    <row r="1477" ht="21.0" customHeight="1">
      <c r="A1477" s="152"/>
      <c r="B1477" s="160"/>
      <c r="C1477" s="153"/>
      <c r="D1477" s="154"/>
      <c r="E1477" s="139"/>
      <c r="F1477" s="139"/>
      <c r="G1477" s="139"/>
      <c r="H1477" s="135"/>
      <c r="I1477" s="141"/>
      <c r="J1477" s="147" t="str">
        <f>IFERROR(__xludf.DUMMYFUNCTION("IF(ISBLANK(A1477),IFERROR(1/0),IF(COUNT(FILTER(F:F,A:A=A1477))&gt;1,TRUNC(N1477*F1477/SUM(FILTER(N:N,A:A=A1477)),3),F1477))"),"")</f>
        <v/>
      </c>
      <c r="K1477" s="147" t="str">
        <f>IFERROR(__xludf.DUMMYFUNCTION("IF(ISBLANK(A1477),IFERROR(1/0),IF(COUNT(FILTER(G:G,((A:A=A1477)*(B:B=""V""))))&gt;1,TRUNC(N1477*G1477/SUM(FILTER(N:N,((A:A=A1477)*(B:B=""V"")))),3),G1477))"),"")</f>
        <v/>
      </c>
      <c r="L1477" s="148" t="str">
        <f>IFERROR(__xludf.DUMMYFUNCTION("if($C1477="""","""",iferror(if(row()&lt;&gt;2,INDEX(arrayformula(filter($M$2:$M1476,$C$2:$C1476&lt;&gt;"""",row($C$2:$C1476)=max(if($C$2:$C1476=C1477,row($C$2:$C1476),0)))) ,1),0),0))"),"")</f>
        <v/>
      </c>
      <c r="M1477" s="148" t="str">
        <f t="shared" si="1"/>
        <v/>
      </c>
      <c r="N1477" s="147" t="str">
        <f t="shared" si="2"/>
        <v/>
      </c>
      <c r="O1477" s="147" t="str">
        <f t="shared" si="21"/>
        <v/>
      </c>
      <c r="P1477" s="147" t="str">
        <f>IFERROR(__xludf.DUMMYFUNCTION("if(C1477="""","""",iferror(if(row()&lt;&gt;2,INDEX(arrayformula(filter($Q$2:$Q1476,$C$2:$C1476&lt;&gt;"""",row($C$2:$C1476)=max(if($C$2:$C1476=C1477,row($C$2:$C1476),0)))) ,1),0),0))"),"")</f>
        <v/>
      </c>
      <c r="Q1477" s="147" t="str">
        <f t="shared" si="22"/>
        <v/>
      </c>
      <c r="R1477" s="147" t="str">
        <f t="shared" si="23"/>
        <v/>
      </c>
      <c r="S1477" s="147" t="str">
        <f t="shared" si="24"/>
        <v/>
      </c>
      <c r="T1477" s="147" t="str">
        <f t="shared" si="7"/>
        <v/>
      </c>
      <c r="U1477" s="150" t="str">
        <f t="shared" si="8"/>
        <v/>
      </c>
      <c r="V1477" s="151" t="str">
        <f>IFERROR(VLOOKUP(C1477,Ativos!$A$1:$G2000,5,),)</f>
        <v/>
      </c>
    </row>
    <row r="1478" ht="21.0" customHeight="1">
      <c r="A1478" s="152"/>
      <c r="B1478" s="160"/>
      <c r="C1478" s="153"/>
      <c r="D1478" s="154"/>
      <c r="E1478" s="139"/>
      <c r="F1478" s="139"/>
      <c r="G1478" s="139"/>
      <c r="H1478" s="135"/>
      <c r="I1478" s="141"/>
      <c r="J1478" s="147" t="str">
        <f>IFERROR(__xludf.DUMMYFUNCTION("IF(ISBLANK(A1478),IFERROR(1/0),IF(COUNT(FILTER(F:F,A:A=A1478))&gt;1,TRUNC(N1478*F1478/SUM(FILTER(N:N,A:A=A1478)),3),F1478))"),"")</f>
        <v/>
      </c>
      <c r="K1478" s="147" t="str">
        <f>IFERROR(__xludf.DUMMYFUNCTION("IF(ISBLANK(A1478),IFERROR(1/0),IF(COUNT(FILTER(G:G,((A:A=A1478)*(B:B=""V""))))&gt;1,TRUNC(N1478*G1478/SUM(FILTER(N:N,((A:A=A1478)*(B:B=""V"")))),3),G1478))"),"")</f>
        <v/>
      </c>
      <c r="L1478" s="148" t="str">
        <f>IFERROR(__xludf.DUMMYFUNCTION("if($C1478="""","""",iferror(if(row()&lt;&gt;2,INDEX(arrayformula(filter($M$2:$M1477,$C$2:$C1477&lt;&gt;"""",row($C$2:$C1477)=max(if($C$2:$C1477=C1478,row($C$2:$C1477),0)))) ,1),0),0))"),"")</f>
        <v/>
      </c>
      <c r="M1478" s="148" t="str">
        <f t="shared" si="1"/>
        <v/>
      </c>
      <c r="N1478" s="147" t="str">
        <f t="shared" si="2"/>
        <v/>
      </c>
      <c r="O1478" s="147" t="str">
        <f t="shared" si="21"/>
        <v/>
      </c>
      <c r="P1478" s="147" t="str">
        <f>IFERROR(__xludf.DUMMYFUNCTION("if(C1478="""","""",iferror(if(row()&lt;&gt;2,INDEX(arrayformula(filter($Q$2:$Q1477,$C$2:$C1477&lt;&gt;"""",row($C$2:$C1477)=max(if($C$2:$C1477=C1478,row($C$2:$C1477),0)))) ,1),0),0))"),"")</f>
        <v/>
      </c>
      <c r="Q1478" s="147" t="str">
        <f t="shared" si="22"/>
        <v/>
      </c>
      <c r="R1478" s="147" t="str">
        <f t="shared" si="23"/>
        <v/>
      </c>
      <c r="S1478" s="147" t="str">
        <f t="shared" si="24"/>
        <v/>
      </c>
      <c r="T1478" s="147" t="str">
        <f t="shared" si="7"/>
        <v/>
      </c>
      <c r="U1478" s="150" t="str">
        <f t="shared" si="8"/>
        <v/>
      </c>
      <c r="V1478" s="151" t="str">
        <f>IFERROR(VLOOKUP(C1478,Ativos!$A$1:$G2000,5,),)</f>
        <v/>
      </c>
    </row>
    <row r="1479" ht="21.0" customHeight="1">
      <c r="A1479" s="152"/>
      <c r="B1479" s="160"/>
      <c r="C1479" s="153"/>
      <c r="D1479" s="154"/>
      <c r="E1479" s="139"/>
      <c r="F1479" s="139"/>
      <c r="G1479" s="139"/>
      <c r="H1479" s="135"/>
      <c r="I1479" s="141"/>
      <c r="J1479" s="147" t="str">
        <f>IFERROR(__xludf.DUMMYFUNCTION("IF(ISBLANK(A1479),IFERROR(1/0),IF(COUNT(FILTER(F:F,A:A=A1479))&gt;1,TRUNC(N1479*F1479/SUM(FILTER(N:N,A:A=A1479)),3),F1479))"),"")</f>
        <v/>
      </c>
      <c r="K1479" s="147" t="str">
        <f>IFERROR(__xludf.DUMMYFUNCTION("IF(ISBLANK(A1479),IFERROR(1/0),IF(COUNT(FILTER(G:G,((A:A=A1479)*(B:B=""V""))))&gt;1,TRUNC(N1479*G1479/SUM(FILTER(N:N,((A:A=A1479)*(B:B=""V"")))),3),G1479))"),"")</f>
        <v/>
      </c>
      <c r="L1479" s="148" t="str">
        <f>IFERROR(__xludf.DUMMYFUNCTION("if($C1479="""","""",iferror(if(row()&lt;&gt;2,INDEX(arrayformula(filter($M$2:$M1478,$C$2:$C1478&lt;&gt;"""",row($C$2:$C1478)=max(if($C$2:$C1478=C1479,row($C$2:$C1478),0)))) ,1),0),0))"),"")</f>
        <v/>
      </c>
      <c r="M1479" s="148" t="str">
        <f t="shared" si="1"/>
        <v/>
      </c>
      <c r="N1479" s="147" t="str">
        <f t="shared" si="2"/>
        <v/>
      </c>
      <c r="O1479" s="147" t="str">
        <f t="shared" si="21"/>
        <v/>
      </c>
      <c r="P1479" s="147" t="str">
        <f>IFERROR(__xludf.DUMMYFUNCTION("if(C1479="""","""",iferror(if(row()&lt;&gt;2,INDEX(arrayformula(filter($Q$2:$Q1478,$C$2:$C1478&lt;&gt;"""",row($C$2:$C1478)=max(if($C$2:$C1478=C1479,row($C$2:$C1478),0)))) ,1),0),0))"),"")</f>
        <v/>
      </c>
      <c r="Q1479" s="147" t="str">
        <f t="shared" si="22"/>
        <v/>
      </c>
      <c r="R1479" s="147" t="str">
        <f t="shared" si="23"/>
        <v/>
      </c>
      <c r="S1479" s="147" t="str">
        <f t="shared" si="24"/>
        <v/>
      </c>
      <c r="T1479" s="147" t="str">
        <f t="shared" si="7"/>
        <v/>
      </c>
      <c r="U1479" s="150" t="str">
        <f t="shared" si="8"/>
        <v/>
      </c>
      <c r="V1479" s="151" t="str">
        <f>IFERROR(VLOOKUP(C1479,Ativos!$A$1:$G2000,5,),)</f>
        <v/>
      </c>
    </row>
    <row r="1480" ht="21.0" customHeight="1">
      <c r="A1480" s="152"/>
      <c r="B1480" s="160"/>
      <c r="C1480" s="153"/>
      <c r="D1480" s="154"/>
      <c r="E1480" s="139"/>
      <c r="F1480" s="139"/>
      <c r="G1480" s="139"/>
      <c r="H1480" s="135"/>
      <c r="I1480" s="141"/>
      <c r="J1480" s="147" t="str">
        <f>IFERROR(__xludf.DUMMYFUNCTION("IF(ISBLANK(A1480),IFERROR(1/0),IF(COUNT(FILTER(F:F,A:A=A1480))&gt;1,TRUNC(N1480*F1480/SUM(FILTER(N:N,A:A=A1480)),3),F1480))"),"")</f>
        <v/>
      </c>
      <c r="K1480" s="147" t="str">
        <f>IFERROR(__xludf.DUMMYFUNCTION("IF(ISBLANK(A1480),IFERROR(1/0),IF(COUNT(FILTER(G:G,((A:A=A1480)*(B:B=""V""))))&gt;1,TRUNC(N1480*G1480/SUM(FILTER(N:N,((A:A=A1480)*(B:B=""V"")))),3),G1480))"),"")</f>
        <v/>
      </c>
      <c r="L1480" s="148" t="str">
        <f>IFERROR(__xludf.DUMMYFUNCTION("if($C1480="""","""",iferror(if(row()&lt;&gt;2,INDEX(arrayformula(filter($M$2:$M1479,$C$2:$C1479&lt;&gt;"""",row($C$2:$C1479)=max(if($C$2:$C1479=C1480,row($C$2:$C1479),0)))) ,1),0),0))"),"")</f>
        <v/>
      </c>
      <c r="M1480" s="148" t="str">
        <f t="shared" si="1"/>
        <v/>
      </c>
      <c r="N1480" s="147" t="str">
        <f t="shared" si="2"/>
        <v/>
      </c>
      <c r="O1480" s="147" t="str">
        <f t="shared" si="21"/>
        <v/>
      </c>
      <c r="P1480" s="147" t="str">
        <f>IFERROR(__xludf.DUMMYFUNCTION("if(C1480="""","""",iferror(if(row()&lt;&gt;2,INDEX(arrayformula(filter($Q$2:$Q1479,$C$2:$C1479&lt;&gt;"""",row($C$2:$C1479)=max(if($C$2:$C1479=C1480,row($C$2:$C1479),0)))) ,1),0),0))"),"")</f>
        <v/>
      </c>
      <c r="Q1480" s="147" t="str">
        <f t="shared" si="22"/>
        <v/>
      </c>
      <c r="R1480" s="147" t="str">
        <f t="shared" si="23"/>
        <v/>
      </c>
      <c r="S1480" s="147" t="str">
        <f t="shared" si="24"/>
        <v/>
      </c>
      <c r="T1480" s="147" t="str">
        <f t="shared" si="7"/>
        <v/>
      </c>
      <c r="U1480" s="150" t="str">
        <f t="shared" si="8"/>
        <v/>
      </c>
      <c r="V1480" s="151" t="str">
        <f>IFERROR(VLOOKUP(C1480,Ativos!$A$1:$G2000,5,),)</f>
        <v/>
      </c>
    </row>
    <row r="1481" ht="21.0" customHeight="1">
      <c r="A1481" s="152"/>
      <c r="B1481" s="160"/>
      <c r="C1481" s="153"/>
      <c r="D1481" s="154"/>
      <c r="E1481" s="139"/>
      <c r="F1481" s="139"/>
      <c r="G1481" s="139"/>
      <c r="H1481" s="135"/>
      <c r="I1481" s="141"/>
      <c r="J1481" s="147" t="str">
        <f>IFERROR(__xludf.DUMMYFUNCTION("IF(ISBLANK(A1481),IFERROR(1/0),IF(COUNT(FILTER(F:F,A:A=A1481))&gt;1,TRUNC(N1481*F1481/SUM(FILTER(N:N,A:A=A1481)),3),F1481))"),"")</f>
        <v/>
      </c>
      <c r="K1481" s="147" t="str">
        <f>IFERROR(__xludf.DUMMYFUNCTION("IF(ISBLANK(A1481),IFERROR(1/0),IF(COUNT(FILTER(G:G,((A:A=A1481)*(B:B=""V""))))&gt;1,TRUNC(N1481*G1481/SUM(FILTER(N:N,((A:A=A1481)*(B:B=""V"")))),3),G1481))"),"")</f>
        <v/>
      </c>
      <c r="L1481" s="148" t="str">
        <f>IFERROR(__xludf.DUMMYFUNCTION("if($C1481="""","""",iferror(if(row()&lt;&gt;2,INDEX(arrayformula(filter($M$2:$M1480,$C$2:$C1480&lt;&gt;"""",row($C$2:$C1480)=max(if($C$2:$C1480=C1481,row($C$2:$C1480),0)))) ,1),0),0))"),"")</f>
        <v/>
      </c>
      <c r="M1481" s="148" t="str">
        <f t="shared" si="1"/>
        <v/>
      </c>
      <c r="N1481" s="147" t="str">
        <f t="shared" si="2"/>
        <v/>
      </c>
      <c r="O1481" s="147" t="str">
        <f t="shared" si="21"/>
        <v/>
      </c>
      <c r="P1481" s="147" t="str">
        <f>IFERROR(__xludf.DUMMYFUNCTION("if(C1481="""","""",iferror(if(row()&lt;&gt;2,INDEX(arrayformula(filter($Q$2:$Q1480,$C$2:$C1480&lt;&gt;"""",row($C$2:$C1480)=max(if($C$2:$C1480=C1481,row($C$2:$C1480),0)))) ,1),0),0))"),"")</f>
        <v/>
      </c>
      <c r="Q1481" s="147" t="str">
        <f t="shared" si="22"/>
        <v/>
      </c>
      <c r="R1481" s="147" t="str">
        <f t="shared" si="23"/>
        <v/>
      </c>
      <c r="S1481" s="147" t="str">
        <f t="shared" si="24"/>
        <v/>
      </c>
      <c r="T1481" s="147" t="str">
        <f t="shared" si="7"/>
        <v/>
      </c>
      <c r="U1481" s="150" t="str">
        <f t="shared" si="8"/>
        <v/>
      </c>
      <c r="V1481" s="151" t="str">
        <f>IFERROR(VLOOKUP(C1481,Ativos!$A$1:$G2000,5,),)</f>
        <v/>
      </c>
    </row>
    <row r="1482" ht="21.0" customHeight="1">
      <c r="A1482" s="152"/>
      <c r="B1482" s="160"/>
      <c r="C1482" s="153"/>
      <c r="D1482" s="154"/>
      <c r="E1482" s="139"/>
      <c r="F1482" s="139"/>
      <c r="G1482" s="139"/>
      <c r="H1482" s="135"/>
      <c r="I1482" s="141"/>
      <c r="J1482" s="147" t="str">
        <f>IFERROR(__xludf.DUMMYFUNCTION("IF(ISBLANK(A1482),IFERROR(1/0),IF(COUNT(FILTER(F:F,A:A=A1482))&gt;1,TRUNC(N1482*F1482/SUM(FILTER(N:N,A:A=A1482)),3),F1482))"),"")</f>
        <v/>
      </c>
      <c r="K1482" s="147" t="str">
        <f>IFERROR(__xludf.DUMMYFUNCTION("IF(ISBLANK(A1482),IFERROR(1/0),IF(COUNT(FILTER(G:G,((A:A=A1482)*(B:B=""V""))))&gt;1,TRUNC(N1482*G1482/SUM(FILTER(N:N,((A:A=A1482)*(B:B=""V"")))),3),G1482))"),"")</f>
        <v/>
      </c>
      <c r="L1482" s="148" t="str">
        <f>IFERROR(__xludf.DUMMYFUNCTION("if($C1482="""","""",iferror(if(row()&lt;&gt;2,INDEX(arrayformula(filter($M$2:$M1481,$C$2:$C1481&lt;&gt;"""",row($C$2:$C1481)=max(if($C$2:$C1481=C1482,row($C$2:$C1481),0)))) ,1),0),0))"),"")</f>
        <v/>
      </c>
      <c r="M1482" s="148" t="str">
        <f t="shared" si="1"/>
        <v/>
      </c>
      <c r="N1482" s="147" t="str">
        <f t="shared" si="2"/>
        <v/>
      </c>
      <c r="O1482" s="147" t="str">
        <f t="shared" si="21"/>
        <v/>
      </c>
      <c r="P1482" s="147" t="str">
        <f>IFERROR(__xludf.DUMMYFUNCTION("if(C1482="""","""",iferror(if(row()&lt;&gt;2,INDEX(arrayformula(filter($Q$2:$Q1481,$C$2:$C1481&lt;&gt;"""",row($C$2:$C1481)=max(if($C$2:$C1481=C1482,row($C$2:$C1481),0)))) ,1),0),0))"),"")</f>
        <v/>
      </c>
      <c r="Q1482" s="147" t="str">
        <f t="shared" si="22"/>
        <v/>
      </c>
      <c r="R1482" s="147" t="str">
        <f t="shared" si="23"/>
        <v/>
      </c>
      <c r="S1482" s="147" t="str">
        <f t="shared" si="24"/>
        <v/>
      </c>
      <c r="T1482" s="147" t="str">
        <f t="shared" si="7"/>
        <v/>
      </c>
      <c r="U1482" s="150" t="str">
        <f t="shared" si="8"/>
        <v/>
      </c>
      <c r="V1482" s="151" t="str">
        <f>IFERROR(VLOOKUP(C1482,Ativos!$A$1:$G2000,5,),)</f>
        <v/>
      </c>
    </row>
    <row r="1483" ht="21.0" customHeight="1">
      <c r="A1483" s="152"/>
      <c r="B1483" s="160"/>
      <c r="C1483" s="153"/>
      <c r="D1483" s="154"/>
      <c r="E1483" s="139"/>
      <c r="F1483" s="139"/>
      <c r="G1483" s="139"/>
      <c r="H1483" s="135"/>
      <c r="I1483" s="141"/>
      <c r="J1483" s="147" t="str">
        <f>IFERROR(__xludf.DUMMYFUNCTION("IF(ISBLANK(A1483),IFERROR(1/0),IF(COUNT(FILTER(F:F,A:A=A1483))&gt;1,TRUNC(N1483*F1483/SUM(FILTER(N:N,A:A=A1483)),3),F1483))"),"")</f>
        <v/>
      </c>
      <c r="K1483" s="147" t="str">
        <f>IFERROR(__xludf.DUMMYFUNCTION("IF(ISBLANK(A1483),IFERROR(1/0),IF(COUNT(FILTER(G:G,((A:A=A1483)*(B:B=""V""))))&gt;1,TRUNC(N1483*G1483/SUM(FILTER(N:N,((A:A=A1483)*(B:B=""V"")))),3),G1483))"),"")</f>
        <v/>
      </c>
      <c r="L1483" s="148" t="str">
        <f>IFERROR(__xludf.DUMMYFUNCTION("if($C1483="""","""",iferror(if(row()&lt;&gt;2,INDEX(arrayformula(filter($M$2:$M1482,$C$2:$C1482&lt;&gt;"""",row($C$2:$C1482)=max(if($C$2:$C1482=C1483,row($C$2:$C1482),0)))) ,1),0),0))"),"")</f>
        <v/>
      </c>
      <c r="M1483" s="148" t="str">
        <f t="shared" si="1"/>
        <v/>
      </c>
      <c r="N1483" s="147" t="str">
        <f t="shared" si="2"/>
        <v/>
      </c>
      <c r="O1483" s="147" t="str">
        <f t="shared" si="21"/>
        <v/>
      </c>
      <c r="P1483" s="147" t="str">
        <f>IFERROR(__xludf.DUMMYFUNCTION("if(C1483="""","""",iferror(if(row()&lt;&gt;2,INDEX(arrayformula(filter($Q$2:$Q1482,$C$2:$C1482&lt;&gt;"""",row($C$2:$C1482)=max(if($C$2:$C1482=C1483,row($C$2:$C1482),0)))) ,1),0),0))"),"")</f>
        <v/>
      </c>
      <c r="Q1483" s="147" t="str">
        <f t="shared" si="22"/>
        <v/>
      </c>
      <c r="R1483" s="147" t="str">
        <f t="shared" si="23"/>
        <v/>
      </c>
      <c r="S1483" s="147" t="str">
        <f t="shared" si="24"/>
        <v/>
      </c>
      <c r="T1483" s="147" t="str">
        <f t="shared" si="7"/>
        <v/>
      </c>
      <c r="U1483" s="150" t="str">
        <f t="shared" si="8"/>
        <v/>
      </c>
      <c r="V1483" s="151" t="str">
        <f>IFERROR(VLOOKUP(C1483,Ativos!$A$1:$G2000,5,),)</f>
        <v/>
      </c>
    </row>
    <row r="1484" ht="21.0" customHeight="1">
      <c r="A1484" s="152"/>
      <c r="B1484" s="160"/>
      <c r="C1484" s="153"/>
      <c r="D1484" s="154"/>
      <c r="E1484" s="139"/>
      <c r="F1484" s="139"/>
      <c r="G1484" s="139"/>
      <c r="H1484" s="135"/>
      <c r="I1484" s="141"/>
      <c r="J1484" s="147" t="str">
        <f>IFERROR(__xludf.DUMMYFUNCTION("IF(ISBLANK(A1484),IFERROR(1/0),IF(COUNT(FILTER(F:F,A:A=A1484))&gt;1,TRUNC(N1484*F1484/SUM(FILTER(N:N,A:A=A1484)),3),F1484))"),"")</f>
        <v/>
      </c>
      <c r="K1484" s="147" t="str">
        <f>IFERROR(__xludf.DUMMYFUNCTION("IF(ISBLANK(A1484),IFERROR(1/0),IF(COUNT(FILTER(G:G,((A:A=A1484)*(B:B=""V""))))&gt;1,TRUNC(N1484*G1484/SUM(FILTER(N:N,((A:A=A1484)*(B:B=""V"")))),3),G1484))"),"")</f>
        <v/>
      </c>
      <c r="L1484" s="148" t="str">
        <f>IFERROR(__xludf.DUMMYFUNCTION("if($C1484="""","""",iferror(if(row()&lt;&gt;2,INDEX(arrayformula(filter($M$2:$M1483,$C$2:$C1483&lt;&gt;"""",row($C$2:$C1483)=max(if($C$2:$C1483=C1484,row($C$2:$C1483),0)))) ,1),0),0))"),"")</f>
        <v/>
      </c>
      <c r="M1484" s="148" t="str">
        <f t="shared" si="1"/>
        <v/>
      </c>
      <c r="N1484" s="147" t="str">
        <f t="shared" si="2"/>
        <v/>
      </c>
      <c r="O1484" s="147" t="str">
        <f t="shared" si="21"/>
        <v/>
      </c>
      <c r="P1484" s="147" t="str">
        <f>IFERROR(__xludf.DUMMYFUNCTION("if(C1484="""","""",iferror(if(row()&lt;&gt;2,INDEX(arrayformula(filter($Q$2:$Q1483,$C$2:$C1483&lt;&gt;"""",row($C$2:$C1483)=max(if($C$2:$C1483=C1484,row($C$2:$C1483),0)))) ,1),0),0))"),"")</f>
        <v/>
      </c>
      <c r="Q1484" s="147" t="str">
        <f t="shared" si="22"/>
        <v/>
      </c>
      <c r="R1484" s="147" t="str">
        <f t="shared" si="23"/>
        <v/>
      </c>
      <c r="S1484" s="147" t="str">
        <f t="shared" si="24"/>
        <v/>
      </c>
      <c r="T1484" s="147" t="str">
        <f t="shared" si="7"/>
        <v/>
      </c>
      <c r="U1484" s="150" t="str">
        <f t="shared" si="8"/>
        <v/>
      </c>
      <c r="V1484" s="151" t="str">
        <f>IFERROR(VLOOKUP(C1484,Ativos!$A$1:$G2000,5,),)</f>
        <v/>
      </c>
    </row>
    <row r="1485" ht="21.0" customHeight="1">
      <c r="A1485" s="152"/>
      <c r="B1485" s="160"/>
      <c r="C1485" s="153"/>
      <c r="D1485" s="154"/>
      <c r="E1485" s="139"/>
      <c r="F1485" s="139"/>
      <c r="G1485" s="139"/>
      <c r="H1485" s="135"/>
      <c r="I1485" s="141"/>
      <c r="J1485" s="147" t="str">
        <f>IFERROR(__xludf.DUMMYFUNCTION("IF(ISBLANK(A1485),IFERROR(1/0),IF(COUNT(FILTER(F:F,A:A=A1485))&gt;1,TRUNC(N1485*F1485/SUM(FILTER(N:N,A:A=A1485)),3),F1485))"),"")</f>
        <v/>
      </c>
      <c r="K1485" s="147" t="str">
        <f>IFERROR(__xludf.DUMMYFUNCTION("IF(ISBLANK(A1485),IFERROR(1/0),IF(COUNT(FILTER(G:G,((A:A=A1485)*(B:B=""V""))))&gt;1,TRUNC(N1485*G1485/SUM(FILTER(N:N,((A:A=A1485)*(B:B=""V"")))),3),G1485))"),"")</f>
        <v/>
      </c>
      <c r="L1485" s="148" t="str">
        <f>IFERROR(__xludf.DUMMYFUNCTION("if($C1485="""","""",iferror(if(row()&lt;&gt;2,INDEX(arrayformula(filter($M$2:$M1484,$C$2:$C1484&lt;&gt;"""",row($C$2:$C1484)=max(if($C$2:$C1484=C1485,row($C$2:$C1484),0)))) ,1),0),0))"),"")</f>
        <v/>
      </c>
      <c r="M1485" s="148" t="str">
        <f t="shared" si="1"/>
        <v/>
      </c>
      <c r="N1485" s="147" t="str">
        <f t="shared" si="2"/>
        <v/>
      </c>
      <c r="O1485" s="147" t="str">
        <f t="shared" si="21"/>
        <v/>
      </c>
      <c r="P1485" s="147" t="str">
        <f>IFERROR(__xludf.DUMMYFUNCTION("if(C1485="""","""",iferror(if(row()&lt;&gt;2,INDEX(arrayformula(filter($Q$2:$Q1484,$C$2:$C1484&lt;&gt;"""",row($C$2:$C1484)=max(if($C$2:$C1484=C1485,row($C$2:$C1484),0)))) ,1),0),0))"),"")</f>
        <v/>
      </c>
      <c r="Q1485" s="147" t="str">
        <f t="shared" si="22"/>
        <v/>
      </c>
      <c r="R1485" s="147" t="str">
        <f t="shared" si="23"/>
        <v/>
      </c>
      <c r="S1485" s="147" t="str">
        <f t="shared" si="24"/>
        <v/>
      </c>
      <c r="T1485" s="147" t="str">
        <f t="shared" si="7"/>
        <v/>
      </c>
      <c r="U1485" s="150" t="str">
        <f t="shared" si="8"/>
        <v/>
      </c>
      <c r="V1485" s="151" t="str">
        <f>IFERROR(VLOOKUP(C1485,Ativos!$A$1:$G2000,5,),)</f>
        <v/>
      </c>
    </row>
    <row r="1486" ht="21.0" customHeight="1">
      <c r="A1486" s="152"/>
      <c r="B1486" s="160"/>
      <c r="C1486" s="153"/>
      <c r="D1486" s="154"/>
      <c r="E1486" s="139"/>
      <c r="F1486" s="139"/>
      <c r="G1486" s="139"/>
      <c r="H1486" s="135"/>
      <c r="I1486" s="141"/>
      <c r="J1486" s="147" t="str">
        <f>IFERROR(__xludf.DUMMYFUNCTION("IF(ISBLANK(A1486),IFERROR(1/0),IF(COUNT(FILTER(F:F,A:A=A1486))&gt;1,TRUNC(N1486*F1486/SUM(FILTER(N:N,A:A=A1486)),3),F1486))"),"")</f>
        <v/>
      </c>
      <c r="K1486" s="147" t="str">
        <f>IFERROR(__xludf.DUMMYFUNCTION("IF(ISBLANK(A1486),IFERROR(1/0),IF(COUNT(FILTER(G:G,((A:A=A1486)*(B:B=""V""))))&gt;1,TRUNC(N1486*G1486/SUM(FILTER(N:N,((A:A=A1486)*(B:B=""V"")))),3),G1486))"),"")</f>
        <v/>
      </c>
      <c r="L1486" s="148" t="str">
        <f>IFERROR(__xludf.DUMMYFUNCTION("if($C1486="""","""",iferror(if(row()&lt;&gt;2,INDEX(arrayformula(filter($M$2:$M1485,$C$2:$C1485&lt;&gt;"""",row($C$2:$C1485)=max(if($C$2:$C1485=C1486,row($C$2:$C1485),0)))) ,1),0),0))"),"")</f>
        <v/>
      </c>
      <c r="M1486" s="148" t="str">
        <f t="shared" si="1"/>
        <v/>
      </c>
      <c r="N1486" s="147" t="str">
        <f t="shared" si="2"/>
        <v/>
      </c>
      <c r="O1486" s="147" t="str">
        <f t="shared" si="21"/>
        <v/>
      </c>
      <c r="P1486" s="147" t="str">
        <f>IFERROR(__xludf.DUMMYFUNCTION("if(C1486="""","""",iferror(if(row()&lt;&gt;2,INDEX(arrayformula(filter($Q$2:$Q1485,$C$2:$C1485&lt;&gt;"""",row($C$2:$C1485)=max(if($C$2:$C1485=C1486,row($C$2:$C1485),0)))) ,1),0),0))"),"")</f>
        <v/>
      </c>
      <c r="Q1486" s="147" t="str">
        <f t="shared" si="22"/>
        <v/>
      </c>
      <c r="R1486" s="147" t="str">
        <f t="shared" si="23"/>
        <v/>
      </c>
      <c r="S1486" s="147" t="str">
        <f t="shared" si="24"/>
        <v/>
      </c>
      <c r="T1486" s="147" t="str">
        <f t="shared" si="7"/>
        <v/>
      </c>
      <c r="U1486" s="150" t="str">
        <f t="shared" si="8"/>
        <v/>
      </c>
      <c r="V1486" s="151" t="str">
        <f>IFERROR(VLOOKUP(C1486,Ativos!$A$1:$G2000,5,),)</f>
        <v/>
      </c>
    </row>
    <row r="1487" ht="21.0" customHeight="1">
      <c r="A1487" s="152"/>
      <c r="B1487" s="160"/>
      <c r="C1487" s="153"/>
      <c r="D1487" s="154"/>
      <c r="E1487" s="139"/>
      <c r="F1487" s="139"/>
      <c r="G1487" s="139"/>
      <c r="H1487" s="135"/>
      <c r="I1487" s="141"/>
      <c r="J1487" s="147" t="str">
        <f>IFERROR(__xludf.DUMMYFUNCTION("IF(ISBLANK(A1487),IFERROR(1/0),IF(COUNT(FILTER(F:F,A:A=A1487))&gt;1,TRUNC(N1487*F1487/SUM(FILTER(N:N,A:A=A1487)),3),F1487))"),"")</f>
        <v/>
      </c>
      <c r="K1487" s="147" t="str">
        <f>IFERROR(__xludf.DUMMYFUNCTION("IF(ISBLANK(A1487),IFERROR(1/0),IF(COUNT(FILTER(G:G,((A:A=A1487)*(B:B=""V""))))&gt;1,TRUNC(N1487*G1487/SUM(FILTER(N:N,((A:A=A1487)*(B:B=""V"")))),3),G1487))"),"")</f>
        <v/>
      </c>
      <c r="L1487" s="148" t="str">
        <f>IFERROR(__xludf.DUMMYFUNCTION("if($C1487="""","""",iferror(if(row()&lt;&gt;2,INDEX(arrayformula(filter($M$2:$M1486,$C$2:$C1486&lt;&gt;"""",row($C$2:$C1486)=max(if($C$2:$C1486=C1487,row($C$2:$C1486),0)))) ,1),0),0))"),"")</f>
        <v/>
      </c>
      <c r="M1487" s="148" t="str">
        <f t="shared" si="1"/>
        <v/>
      </c>
      <c r="N1487" s="147" t="str">
        <f t="shared" si="2"/>
        <v/>
      </c>
      <c r="O1487" s="147" t="str">
        <f t="shared" si="21"/>
        <v/>
      </c>
      <c r="P1487" s="147" t="str">
        <f>IFERROR(__xludf.DUMMYFUNCTION("if(C1487="""","""",iferror(if(row()&lt;&gt;2,INDEX(arrayformula(filter($Q$2:$Q1486,$C$2:$C1486&lt;&gt;"""",row($C$2:$C1486)=max(if($C$2:$C1486=C1487,row($C$2:$C1486),0)))) ,1),0),0))"),"")</f>
        <v/>
      </c>
      <c r="Q1487" s="147" t="str">
        <f t="shared" si="22"/>
        <v/>
      </c>
      <c r="R1487" s="147" t="str">
        <f t="shared" si="23"/>
        <v/>
      </c>
      <c r="S1487" s="147" t="str">
        <f t="shared" si="24"/>
        <v/>
      </c>
      <c r="T1487" s="147" t="str">
        <f t="shared" si="7"/>
        <v/>
      </c>
      <c r="U1487" s="150" t="str">
        <f t="shared" si="8"/>
        <v/>
      </c>
      <c r="V1487" s="151" t="str">
        <f>IFERROR(VLOOKUP(C1487,Ativos!$A$1:$G2000,5,),)</f>
        <v/>
      </c>
    </row>
    <row r="1488" ht="21.0" customHeight="1">
      <c r="A1488" s="152"/>
      <c r="B1488" s="160"/>
      <c r="C1488" s="153"/>
      <c r="D1488" s="154"/>
      <c r="E1488" s="139"/>
      <c r="F1488" s="139"/>
      <c r="G1488" s="139"/>
      <c r="H1488" s="135"/>
      <c r="I1488" s="141"/>
      <c r="J1488" s="147" t="str">
        <f>IFERROR(__xludf.DUMMYFUNCTION("IF(ISBLANK(A1488),IFERROR(1/0),IF(COUNT(FILTER(F:F,A:A=A1488))&gt;1,TRUNC(N1488*F1488/SUM(FILTER(N:N,A:A=A1488)),3),F1488))"),"")</f>
        <v/>
      </c>
      <c r="K1488" s="147" t="str">
        <f>IFERROR(__xludf.DUMMYFUNCTION("IF(ISBLANK(A1488),IFERROR(1/0),IF(COUNT(FILTER(G:G,((A:A=A1488)*(B:B=""V""))))&gt;1,TRUNC(N1488*G1488/SUM(FILTER(N:N,((A:A=A1488)*(B:B=""V"")))),3),G1488))"),"")</f>
        <v/>
      </c>
      <c r="L1488" s="148" t="str">
        <f>IFERROR(__xludf.DUMMYFUNCTION("if($C1488="""","""",iferror(if(row()&lt;&gt;2,INDEX(arrayformula(filter($M$2:$M1487,$C$2:$C1487&lt;&gt;"""",row($C$2:$C1487)=max(if($C$2:$C1487=C1488,row($C$2:$C1487),0)))) ,1),0),0))"),"")</f>
        <v/>
      </c>
      <c r="M1488" s="148" t="str">
        <f t="shared" si="1"/>
        <v/>
      </c>
      <c r="N1488" s="147" t="str">
        <f t="shared" si="2"/>
        <v/>
      </c>
      <c r="O1488" s="147" t="str">
        <f t="shared" si="21"/>
        <v/>
      </c>
      <c r="P1488" s="147" t="str">
        <f>IFERROR(__xludf.DUMMYFUNCTION("if(C1488="""","""",iferror(if(row()&lt;&gt;2,INDEX(arrayformula(filter($Q$2:$Q1487,$C$2:$C1487&lt;&gt;"""",row($C$2:$C1487)=max(if($C$2:$C1487=C1488,row($C$2:$C1487),0)))) ,1),0),0))"),"")</f>
        <v/>
      </c>
      <c r="Q1488" s="147" t="str">
        <f t="shared" si="22"/>
        <v/>
      </c>
      <c r="R1488" s="147" t="str">
        <f t="shared" si="23"/>
        <v/>
      </c>
      <c r="S1488" s="147" t="str">
        <f t="shared" si="24"/>
        <v/>
      </c>
      <c r="T1488" s="147" t="str">
        <f t="shared" si="7"/>
        <v/>
      </c>
      <c r="U1488" s="150" t="str">
        <f t="shared" si="8"/>
        <v/>
      </c>
      <c r="V1488" s="151" t="str">
        <f>IFERROR(VLOOKUP(C1488,Ativos!$A$1:$G2000,5,),)</f>
        <v/>
      </c>
    </row>
    <row r="1489" ht="21.0" customHeight="1">
      <c r="A1489" s="152"/>
      <c r="B1489" s="160"/>
      <c r="C1489" s="153"/>
      <c r="D1489" s="154"/>
      <c r="E1489" s="139"/>
      <c r="F1489" s="139"/>
      <c r="G1489" s="139"/>
      <c r="H1489" s="135"/>
      <c r="I1489" s="141"/>
      <c r="J1489" s="147" t="str">
        <f>IFERROR(__xludf.DUMMYFUNCTION("IF(ISBLANK(A1489),IFERROR(1/0),IF(COUNT(FILTER(F:F,A:A=A1489))&gt;1,TRUNC(N1489*F1489/SUM(FILTER(N:N,A:A=A1489)),3),F1489))"),"")</f>
        <v/>
      </c>
      <c r="K1489" s="147" t="str">
        <f>IFERROR(__xludf.DUMMYFUNCTION("IF(ISBLANK(A1489),IFERROR(1/0),IF(COUNT(FILTER(G:G,((A:A=A1489)*(B:B=""V""))))&gt;1,TRUNC(N1489*G1489/SUM(FILTER(N:N,((A:A=A1489)*(B:B=""V"")))),3),G1489))"),"")</f>
        <v/>
      </c>
      <c r="L1489" s="148" t="str">
        <f>IFERROR(__xludf.DUMMYFUNCTION("if($C1489="""","""",iferror(if(row()&lt;&gt;2,INDEX(arrayformula(filter($M$2:$M1488,$C$2:$C1488&lt;&gt;"""",row($C$2:$C1488)=max(if($C$2:$C1488=C1489,row($C$2:$C1488),0)))) ,1),0),0))"),"")</f>
        <v/>
      </c>
      <c r="M1489" s="148" t="str">
        <f t="shared" si="1"/>
        <v/>
      </c>
      <c r="N1489" s="147" t="str">
        <f t="shared" si="2"/>
        <v/>
      </c>
      <c r="O1489" s="147" t="str">
        <f t="shared" si="21"/>
        <v/>
      </c>
      <c r="P1489" s="147" t="str">
        <f>IFERROR(__xludf.DUMMYFUNCTION("if(C1489="""","""",iferror(if(row()&lt;&gt;2,INDEX(arrayformula(filter($Q$2:$Q1488,$C$2:$C1488&lt;&gt;"""",row($C$2:$C1488)=max(if($C$2:$C1488=C1489,row($C$2:$C1488),0)))) ,1),0),0))"),"")</f>
        <v/>
      </c>
      <c r="Q1489" s="147" t="str">
        <f t="shared" si="22"/>
        <v/>
      </c>
      <c r="R1489" s="147" t="str">
        <f t="shared" si="23"/>
        <v/>
      </c>
      <c r="S1489" s="147" t="str">
        <f t="shared" si="24"/>
        <v/>
      </c>
      <c r="T1489" s="147" t="str">
        <f t="shared" si="7"/>
        <v/>
      </c>
      <c r="U1489" s="150" t="str">
        <f t="shared" si="8"/>
        <v/>
      </c>
      <c r="V1489" s="151" t="str">
        <f>IFERROR(VLOOKUP(C1489,Ativos!$A$1:$G2000,5,),)</f>
        <v/>
      </c>
    </row>
    <row r="1490" ht="21.0" customHeight="1">
      <c r="A1490" s="152"/>
      <c r="B1490" s="160"/>
      <c r="C1490" s="153"/>
      <c r="D1490" s="154"/>
      <c r="E1490" s="139"/>
      <c r="F1490" s="139"/>
      <c r="G1490" s="139"/>
      <c r="H1490" s="135"/>
      <c r="I1490" s="141"/>
      <c r="J1490" s="147" t="str">
        <f>IFERROR(__xludf.DUMMYFUNCTION("IF(ISBLANK(A1490),IFERROR(1/0),IF(COUNT(FILTER(F:F,A:A=A1490))&gt;1,TRUNC(N1490*F1490/SUM(FILTER(N:N,A:A=A1490)),3),F1490))"),"")</f>
        <v/>
      </c>
      <c r="K1490" s="147" t="str">
        <f>IFERROR(__xludf.DUMMYFUNCTION("IF(ISBLANK(A1490),IFERROR(1/0),IF(COUNT(FILTER(G:G,((A:A=A1490)*(B:B=""V""))))&gt;1,TRUNC(N1490*G1490/SUM(FILTER(N:N,((A:A=A1490)*(B:B=""V"")))),3),G1490))"),"")</f>
        <v/>
      </c>
      <c r="L1490" s="148" t="str">
        <f>IFERROR(__xludf.DUMMYFUNCTION("if($C1490="""","""",iferror(if(row()&lt;&gt;2,INDEX(arrayformula(filter($M$2:$M1489,$C$2:$C1489&lt;&gt;"""",row($C$2:$C1489)=max(if($C$2:$C1489=C1490,row($C$2:$C1489),0)))) ,1),0),0))"),"")</f>
        <v/>
      </c>
      <c r="M1490" s="148" t="str">
        <f t="shared" si="1"/>
        <v/>
      </c>
      <c r="N1490" s="147" t="str">
        <f t="shared" si="2"/>
        <v/>
      </c>
      <c r="O1490" s="147" t="str">
        <f t="shared" si="21"/>
        <v/>
      </c>
      <c r="P1490" s="147" t="str">
        <f>IFERROR(__xludf.DUMMYFUNCTION("if(C1490="""","""",iferror(if(row()&lt;&gt;2,INDEX(arrayformula(filter($Q$2:$Q1489,$C$2:$C1489&lt;&gt;"""",row($C$2:$C1489)=max(if($C$2:$C1489=C1490,row($C$2:$C1489),0)))) ,1),0),0))"),"")</f>
        <v/>
      </c>
      <c r="Q1490" s="147" t="str">
        <f t="shared" si="22"/>
        <v/>
      </c>
      <c r="R1490" s="147" t="str">
        <f t="shared" si="23"/>
        <v/>
      </c>
      <c r="S1490" s="147" t="str">
        <f t="shared" si="24"/>
        <v/>
      </c>
      <c r="T1490" s="147" t="str">
        <f t="shared" si="7"/>
        <v/>
      </c>
      <c r="U1490" s="150" t="str">
        <f t="shared" si="8"/>
        <v/>
      </c>
      <c r="V1490" s="151" t="str">
        <f>IFERROR(VLOOKUP(C1490,Ativos!$A$1:$G2000,5,),)</f>
        <v/>
      </c>
    </row>
    <row r="1491" ht="21.0" customHeight="1">
      <c r="A1491" s="152"/>
      <c r="B1491" s="160"/>
      <c r="C1491" s="153"/>
      <c r="D1491" s="154"/>
      <c r="E1491" s="139"/>
      <c r="F1491" s="139"/>
      <c r="G1491" s="139"/>
      <c r="H1491" s="135"/>
      <c r="I1491" s="141"/>
      <c r="J1491" s="147" t="str">
        <f>IFERROR(__xludf.DUMMYFUNCTION("IF(ISBLANK(A1491),IFERROR(1/0),IF(COUNT(FILTER(F:F,A:A=A1491))&gt;1,TRUNC(N1491*F1491/SUM(FILTER(N:N,A:A=A1491)),3),F1491))"),"")</f>
        <v/>
      </c>
      <c r="K1491" s="147" t="str">
        <f>IFERROR(__xludf.DUMMYFUNCTION("IF(ISBLANK(A1491),IFERROR(1/0),IF(COUNT(FILTER(G:G,((A:A=A1491)*(B:B=""V""))))&gt;1,TRUNC(N1491*G1491/SUM(FILTER(N:N,((A:A=A1491)*(B:B=""V"")))),3),G1491))"),"")</f>
        <v/>
      </c>
      <c r="L1491" s="148" t="str">
        <f>IFERROR(__xludf.DUMMYFUNCTION("if($C1491="""","""",iferror(if(row()&lt;&gt;2,INDEX(arrayformula(filter($M$2:$M1490,$C$2:$C1490&lt;&gt;"""",row($C$2:$C1490)=max(if($C$2:$C1490=C1491,row($C$2:$C1490),0)))) ,1),0),0))"),"")</f>
        <v/>
      </c>
      <c r="M1491" s="148" t="str">
        <f t="shared" si="1"/>
        <v/>
      </c>
      <c r="N1491" s="147" t="str">
        <f t="shared" si="2"/>
        <v/>
      </c>
      <c r="O1491" s="147" t="str">
        <f t="shared" si="21"/>
        <v/>
      </c>
      <c r="P1491" s="147" t="str">
        <f>IFERROR(__xludf.DUMMYFUNCTION("if(C1491="""","""",iferror(if(row()&lt;&gt;2,INDEX(arrayformula(filter($Q$2:$Q1490,$C$2:$C1490&lt;&gt;"""",row($C$2:$C1490)=max(if($C$2:$C1490=C1491,row($C$2:$C1490),0)))) ,1),0),0))"),"")</f>
        <v/>
      </c>
      <c r="Q1491" s="147" t="str">
        <f t="shared" si="22"/>
        <v/>
      </c>
      <c r="R1491" s="147" t="str">
        <f t="shared" si="23"/>
        <v/>
      </c>
      <c r="S1491" s="147" t="str">
        <f t="shared" si="24"/>
        <v/>
      </c>
      <c r="T1491" s="147" t="str">
        <f t="shared" si="7"/>
        <v/>
      </c>
      <c r="U1491" s="150" t="str">
        <f t="shared" si="8"/>
        <v/>
      </c>
      <c r="V1491" s="151" t="str">
        <f>IFERROR(VLOOKUP(C1491,Ativos!$A$1:$G2000,5,),)</f>
        <v/>
      </c>
    </row>
    <row r="1492" ht="21.0" customHeight="1">
      <c r="A1492" s="152"/>
      <c r="B1492" s="160"/>
      <c r="C1492" s="153"/>
      <c r="D1492" s="154"/>
      <c r="E1492" s="139"/>
      <c r="F1492" s="139"/>
      <c r="G1492" s="139"/>
      <c r="H1492" s="135"/>
      <c r="I1492" s="141"/>
      <c r="J1492" s="147" t="str">
        <f>IFERROR(__xludf.DUMMYFUNCTION("IF(ISBLANK(A1492),IFERROR(1/0),IF(COUNT(FILTER(F:F,A:A=A1492))&gt;1,TRUNC(N1492*F1492/SUM(FILTER(N:N,A:A=A1492)),3),F1492))"),"")</f>
        <v/>
      </c>
      <c r="K1492" s="147" t="str">
        <f>IFERROR(__xludf.DUMMYFUNCTION("IF(ISBLANK(A1492),IFERROR(1/0),IF(COUNT(FILTER(G:G,((A:A=A1492)*(B:B=""V""))))&gt;1,TRUNC(N1492*G1492/SUM(FILTER(N:N,((A:A=A1492)*(B:B=""V"")))),3),G1492))"),"")</f>
        <v/>
      </c>
      <c r="L1492" s="148" t="str">
        <f>IFERROR(__xludf.DUMMYFUNCTION("if($C1492="""","""",iferror(if(row()&lt;&gt;2,INDEX(arrayformula(filter($M$2:$M1491,$C$2:$C1491&lt;&gt;"""",row($C$2:$C1491)=max(if($C$2:$C1491=C1492,row($C$2:$C1491),0)))) ,1),0),0))"),"")</f>
        <v/>
      </c>
      <c r="M1492" s="148" t="str">
        <f t="shared" si="1"/>
        <v/>
      </c>
      <c r="N1492" s="147" t="str">
        <f t="shared" si="2"/>
        <v/>
      </c>
      <c r="O1492" s="147" t="str">
        <f t="shared" si="21"/>
        <v/>
      </c>
      <c r="P1492" s="147" t="str">
        <f>IFERROR(__xludf.DUMMYFUNCTION("if(C1492="""","""",iferror(if(row()&lt;&gt;2,INDEX(arrayformula(filter($Q$2:$Q1491,$C$2:$C1491&lt;&gt;"""",row($C$2:$C1491)=max(if($C$2:$C1491=C1492,row($C$2:$C1491),0)))) ,1),0),0))"),"")</f>
        <v/>
      </c>
      <c r="Q1492" s="147" t="str">
        <f t="shared" si="22"/>
        <v/>
      </c>
      <c r="R1492" s="147" t="str">
        <f t="shared" si="23"/>
        <v/>
      </c>
      <c r="S1492" s="147" t="str">
        <f t="shared" si="24"/>
        <v/>
      </c>
      <c r="T1492" s="147" t="str">
        <f t="shared" si="7"/>
        <v/>
      </c>
      <c r="U1492" s="150" t="str">
        <f t="shared" si="8"/>
        <v/>
      </c>
      <c r="V1492" s="151" t="str">
        <f>IFERROR(VLOOKUP(C1492,Ativos!$A$1:$G2000,5,),)</f>
        <v/>
      </c>
    </row>
    <row r="1493" ht="21.0" customHeight="1">
      <c r="A1493" s="152"/>
      <c r="B1493" s="160"/>
      <c r="C1493" s="153"/>
      <c r="D1493" s="154"/>
      <c r="E1493" s="139"/>
      <c r="F1493" s="139"/>
      <c r="G1493" s="139"/>
      <c r="H1493" s="135"/>
      <c r="I1493" s="141"/>
      <c r="J1493" s="147" t="str">
        <f>IFERROR(__xludf.DUMMYFUNCTION("IF(ISBLANK(A1493),IFERROR(1/0),IF(COUNT(FILTER(F:F,A:A=A1493))&gt;1,TRUNC(N1493*F1493/SUM(FILTER(N:N,A:A=A1493)),3),F1493))"),"")</f>
        <v/>
      </c>
      <c r="K1493" s="147" t="str">
        <f>IFERROR(__xludf.DUMMYFUNCTION("IF(ISBLANK(A1493),IFERROR(1/0),IF(COUNT(FILTER(G:G,((A:A=A1493)*(B:B=""V""))))&gt;1,TRUNC(N1493*G1493/SUM(FILTER(N:N,((A:A=A1493)*(B:B=""V"")))),3),G1493))"),"")</f>
        <v/>
      </c>
      <c r="L1493" s="148" t="str">
        <f>IFERROR(__xludf.DUMMYFUNCTION("if($C1493="""","""",iferror(if(row()&lt;&gt;2,INDEX(arrayformula(filter($M$2:$M1492,$C$2:$C1492&lt;&gt;"""",row($C$2:$C1492)=max(if($C$2:$C1492=C1493,row($C$2:$C1492),0)))) ,1),0),0))"),"")</f>
        <v/>
      </c>
      <c r="M1493" s="148" t="str">
        <f t="shared" si="1"/>
        <v/>
      </c>
      <c r="N1493" s="147" t="str">
        <f t="shared" si="2"/>
        <v/>
      </c>
      <c r="O1493" s="147" t="str">
        <f t="shared" si="21"/>
        <v/>
      </c>
      <c r="P1493" s="147" t="str">
        <f>IFERROR(__xludf.DUMMYFUNCTION("if(C1493="""","""",iferror(if(row()&lt;&gt;2,INDEX(arrayformula(filter($Q$2:$Q1492,$C$2:$C1492&lt;&gt;"""",row($C$2:$C1492)=max(if($C$2:$C1492=C1493,row($C$2:$C1492),0)))) ,1),0),0))"),"")</f>
        <v/>
      </c>
      <c r="Q1493" s="147" t="str">
        <f t="shared" si="22"/>
        <v/>
      </c>
      <c r="R1493" s="147" t="str">
        <f t="shared" si="23"/>
        <v/>
      </c>
      <c r="S1493" s="147" t="str">
        <f t="shared" si="24"/>
        <v/>
      </c>
      <c r="T1493" s="147" t="str">
        <f t="shared" si="7"/>
        <v/>
      </c>
      <c r="U1493" s="150" t="str">
        <f t="shared" si="8"/>
        <v/>
      </c>
      <c r="V1493" s="151" t="str">
        <f>IFERROR(VLOOKUP(C1493,Ativos!$A$1:$G2000,5,),)</f>
        <v/>
      </c>
    </row>
    <row r="1494" ht="21.0" customHeight="1">
      <c r="A1494" s="152"/>
      <c r="B1494" s="160"/>
      <c r="C1494" s="153"/>
      <c r="D1494" s="154"/>
      <c r="E1494" s="139"/>
      <c r="F1494" s="139"/>
      <c r="G1494" s="139"/>
      <c r="H1494" s="135"/>
      <c r="I1494" s="141"/>
      <c r="J1494" s="147" t="str">
        <f>IFERROR(__xludf.DUMMYFUNCTION("IF(ISBLANK(A1494),IFERROR(1/0),IF(COUNT(FILTER(F:F,A:A=A1494))&gt;1,TRUNC(N1494*F1494/SUM(FILTER(N:N,A:A=A1494)),3),F1494))"),"")</f>
        <v/>
      </c>
      <c r="K1494" s="147" t="str">
        <f>IFERROR(__xludf.DUMMYFUNCTION("IF(ISBLANK(A1494),IFERROR(1/0),IF(COUNT(FILTER(G:G,((A:A=A1494)*(B:B=""V""))))&gt;1,TRUNC(N1494*G1494/SUM(FILTER(N:N,((A:A=A1494)*(B:B=""V"")))),3),G1494))"),"")</f>
        <v/>
      </c>
      <c r="L1494" s="148" t="str">
        <f>IFERROR(__xludf.DUMMYFUNCTION("if($C1494="""","""",iferror(if(row()&lt;&gt;2,INDEX(arrayformula(filter($M$2:$M1493,$C$2:$C1493&lt;&gt;"""",row($C$2:$C1493)=max(if($C$2:$C1493=C1494,row($C$2:$C1493),0)))) ,1),0),0))"),"")</f>
        <v/>
      </c>
      <c r="M1494" s="148" t="str">
        <f t="shared" si="1"/>
        <v/>
      </c>
      <c r="N1494" s="147" t="str">
        <f t="shared" si="2"/>
        <v/>
      </c>
      <c r="O1494" s="147" t="str">
        <f t="shared" si="21"/>
        <v/>
      </c>
      <c r="P1494" s="147" t="str">
        <f>IFERROR(__xludf.DUMMYFUNCTION("if(C1494="""","""",iferror(if(row()&lt;&gt;2,INDEX(arrayformula(filter($Q$2:$Q1493,$C$2:$C1493&lt;&gt;"""",row($C$2:$C1493)=max(if($C$2:$C1493=C1494,row($C$2:$C1493),0)))) ,1),0),0))"),"")</f>
        <v/>
      </c>
      <c r="Q1494" s="147" t="str">
        <f t="shared" si="22"/>
        <v/>
      </c>
      <c r="R1494" s="147" t="str">
        <f t="shared" si="23"/>
        <v/>
      </c>
      <c r="S1494" s="147" t="str">
        <f t="shared" si="24"/>
        <v/>
      </c>
      <c r="T1494" s="147" t="str">
        <f t="shared" si="7"/>
        <v/>
      </c>
      <c r="U1494" s="150" t="str">
        <f t="shared" si="8"/>
        <v/>
      </c>
      <c r="V1494" s="151" t="str">
        <f>IFERROR(VLOOKUP(C1494,Ativos!$A$1:$G2000,5,),)</f>
        <v/>
      </c>
    </row>
    <row r="1495" ht="21.0" customHeight="1">
      <c r="A1495" s="152"/>
      <c r="B1495" s="160"/>
      <c r="C1495" s="153"/>
      <c r="D1495" s="154"/>
      <c r="E1495" s="139"/>
      <c r="F1495" s="139"/>
      <c r="G1495" s="139"/>
      <c r="H1495" s="135"/>
      <c r="I1495" s="141"/>
      <c r="J1495" s="147" t="str">
        <f>IFERROR(__xludf.DUMMYFUNCTION("IF(ISBLANK(A1495),IFERROR(1/0),IF(COUNT(FILTER(F:F,A:A=A1495))&gt;1,TRUNC(N1495*F1495/SUM(FILTER(N:N,A:A=A1495)),3),F1495))"),"")</f>
        <v/>
      </c>
      <c r="K1495" s="147" t="str">
        <f>IFERROR(__xludf.DUMMYFUNCTION("IF(ISBLANK(A1495),IFERROR(1/0),IF(COUNT(FILTER(G:G,((A:A=A1495)*(B:B=""V""))))&gt;1,TRUNC(N1495*G1495/SUM(FILTER(N:N,((A:A=A1495)*(B:B=""V"")))),3),G1495))"),"")</f>
        <v/>
      </c>
      <c r="L1495" s="148" t="str">
        <f>IFERROR(__xludf.DUMMYFUNCTION("if($C1495="""","""",iferror(if(row()&lt;&gt;2,INDEX(arrayformula(filter($M$2:$M1494,$C$2:$C1494&lt;&gt;"""",row($C$2:$C1494)=max(if($C$2:$C1494=C1495,row($C$2:$C1494),0)))) ,1),0),0))"),"")</f>
        <v/>
      </c>
      <c r="M1495" s="148" t="str">
        <f t="shared" si="1"/>
        <v/>
      </c>
      <c r="N1495" s="147" t="str">
        <f t="shared" si="2"/>
        <v/>
      </c>
      <c r="O1495" s="147" t="str">
        <f t="shared" si="21"/>
        <v/>
      </c>
      <c r="P1495" s="147" t="str">
        <f>IFERROR(__xludf.DUMMYFUNCTION("if(C1495="""","""",iferror(if(row()&lt;&gt;2,INDEX(arrayformula(filter($Q$2:$Q1494,$C$2:$C1494&lt;&gt;"""",row($C$2:$C1494)=max(if($C$2:$C1494=C1495,row($C$2:$C1494),0)))) ,1),0),0))"),"")</f>
        <v/>
      </c>
      <c r="Q1495" s="147" t="str">
        <f t="shared" si="22"/>
        <v/>
      </c>
      <c r="R1495" s="147" t="str">
        <f t="shared" si="23"/>
        <v/>
      </c>
      <c r="S1495" s="147" t="str">
        <f t="shared" si="24"/>
        <v/>
      </c>
      <c r="T1495" s="147" t="str">
        <f t="shared" si="7"/>
        <v/>
      </c>
      <c r="U1495" s="150" t="str">
        <f t="shared" si="8"/>
        <v/>
      </c>
      <c r="V1495" s="151" t="str">
        <f>IFERROR(VLOOKUP(C1495,Ativos!$A$1:$G2000,5,),)</f>
        <v/>
      </c>
    </row>
    <row r="1496" ht="21.0" customHeight="1">
      <c r="A1496" s="152"/>
      <c r="B1496" s="160"/>
      <c r="C1496" s="153"/>
      <c r="D1496" s="154"/>
      <c r="E1496" s="139"/>
      <c r="F1496" s="139"/>
      <c r="G1496" s="139"/>
      <c r="H1496" s="135"/>
      <c r="I1496" s="141"/>
      <c r="J1496" s="147" t="str">
        <f>IFERROR(__xludf.DUMMYFUNCTION("IF(ISBLANK(A1496),IFERROR(1/0),IF(COUNT(FILTER(F:F,A:A=A1496))&gt;1,TRUNC(N1496*F1496/SUM(FILTER(N:N,A:A=A1496)),3),F1496))"),"")</f>
        <v/>
      </c>
      <c r="K1496" s="147" t="str">
        <f>IFERROR(__xludf.DUMMYFUNCTION("IF(ISBLANK(A1496),IFERROR(1/0),IF(COUNT(FILTER(G:G,((A:A=A1496)*(B:B=""V""))))&gt;1,TRUNC(N1496*G1496/SUM(FILTER(N:N,((A:A=A1496)*(B:B=""V"")))),3),G1496))"),"")</f>
        <v/>
      </c>
      <c r="L1496" s="148" t="str">
        <f>IFERROR(__xludf.DUMMYFUNCTION("if($C1496="""","""",iferror(if(row()&lt;&gt;2,INDEX(arrayformula(filter($M$2:$M1495,$C$2:$C1495&lt;&gt;"""",row($C$2:$C1495)=max(if($C$2:$C1495=C1496,row($C$2:$C1495),0)))) ,1),0),0))"),"")</f>
        <v/>
      </c>
      <c r="M1496" s="148" t="str">
        <f t="shared" si="1"/>
        <v/>
      </c>
      <c r="N1496" s="147" t="str">
        <f t="shared" si="2"/>
        <v/>
      </c>
      <c r="O1496" s="147" t="str">
        <f t="shared" si="21"/>
        <v/>
      </c>
      <c r="P1496" s="147" t="str">
        <f>IFERROR(__xludf.DUMMYFUNCTION("if(C1496="""","""",iferror(if(row()&lt;&gt;2,INDEX(arrayformula(filter($Q$2:$Q1495,$C$2:$C1495&lt;&gt;"""",row($C$2:$C1495)=max(if($C$2:$C1495=C1496,row($C$2:$C1495),0)))) ,1),0),0))"),"")</f>
        <v/>
      </c>
      <c r="Q1496" s="147" t="str">
        <f t="shared" si="22"/>
        <v/>
      </c>
      <c r="R1496" s="147" t="str">
        <f t="shared" si="23"/>
        <v/>
      </c>
      <c r="S1496" s="147" t="str">
        <f t="shared" si="24"/>
        <v/>
      </c>
      <c r="T1496" s="147" t="str">
        <f t="shared" si="7"/>
        <v/>
      </c>
      <c r="U1496" s="150" t="str">
        <f t="shared" si="8"/>
        <v/>
      </c>
      <c r="V1496" s="151" t="str">
        <f>IFERROR(VLOOKUP(C1496,Ativos!$A$1:$G2000,5,),)</f>
        <v/>
      </c>
    </row>
    <row r="1497" ht="21.0" customHeight="1">
      <c r="A1497" s="152"/>
      <c r="B1497" s="160"/>
      <c r="C1497" s="153"/>
      <c r="D1497" s="154"/>
      <c r="E1497" s="139"/>
      <c r="F1497" s="139"/>
      <c r="G1497" s="139"/>
      <c r="H1497" s="135"/>
      <c r="I1497" s="141"/>
      <c r="J1497" s="147" t="str">
        <f>IFERROR(__xludf.DUMMYFUNCTION("IF(ISBLANK(A1497),IFERROR(1/0),IF(COUNT(FILTER(F:F,A:A=A1497))&gt;1,TRUNC(N1497*F1497/SUM(FILTER(N:N,A:A=A1497)),3),F1497))"),"")</f>
        <v/>
      </c>
      <c r="K1497" s="147" t="str">
        <f>IFERROR(__xludf.DUMMYFUNCTION("IF(ISBLANK(A1497),IFERROR(1/0),IF(COUNT(FILTER(G:G,((A:A=A1497)*(B:B=""V""))))&gt;1,TRUNC(N1497*G1497/SUM(FILTER(N:N,((A:A=A1497)*(B:B=""V"")))),3),G1497))"),"")</f>
        <v/>
      </c>
      <c r="L1497" s="148" t="str">
        <f>IFERROR(__xludf.DUMMYFUNCTION("if($C1497="""","""",iferror(if(row()&lt;&gt;2,INDEX(arrayformula(filter($M$2:$M1496,$C$2:$C1496&lt;&gt;"""",row($C$2:$C1496)=max(if($C$2:$C1496=C1497,row($C$2:$C1496),0)))) ,1),0),0))"),"")</f>
        <v/>
      </c>
      <c r="M1497" s="148" t="str">
        <f t="shared" si="1"/>
        <v/>
      </c>
      <c r="N1497" s="147" t="str">
        <f t="shared" si="2"/>
        <v/>
      </c>
      <c r="O1497" s="147" t="str">
        <f t="shared" si="21"/>
        <v/>
      </c>
      <c r="P1497" s="147" t="str">
        <f>IFERROR(__xludf.DUMMYFUNCTION("if(C1497="""","""",iferror(if(row()&lt;&gt;2,INDEX(arrayformula(filter($Q$2:$Q1496,$C$2:$C1496&lt;&gt;"""",row($C$2:$C1496)=max(if($C$2:$C1496=C1497,row($C$2:$C1496),0)))) ,1),0),0))"),"")</f>
        <v/>
      </c>
      <c r="Q1497" s="147" t="str">
        <f t="shared" si="22"/>
        <v/>
      </c>
      <c r="R1497" s="147" t="str">
        <f t="shared" si="23"/>
        <v/>
      </c>
      <c r="S1497" s="147" t="str">
        <f t="shared" si="24"/>
        <v/>
      </c>
      <c r="T1497" s="147" t="str">
        <f t="shared" si="7"/>
        <v/>
      </c>
      <c r="U1497" s="150" t="str">
        <f t="shared" si="8"/>
        <v/>
      </c>
      <c r="V1497" s="151" t="str">
        <f>IFERROR(VLOOKUP(C1497,Ativos!$A$1:$G2000,5,),)</f>
        <v/>
      </c>
    </row>
    <row r="1498" ht="21.0" customHeight="1">
      <c r="A1498" s="152"/>
      <c r="B1498" s="160"/>
      <c r="C1498" s="153"/>
      <c r="D1498" s="154"/>
      <c r="E1498" s="139"/>
      <c r="F1498" s="139"/>
      <c r="G1498" s="139"/>
      <c r="H1498" s="135"/>
      <c r="I1498" s="141"/>
      <c r="J1498" s="147" t="str">
        <f>IFERROR(__xludf.DUMMYFUNCTION("IF(ISBLANK(A1498),IFERROR(1/0),IF(COUNT(FILTER(F:F,A:A=A1498))&gt;1,TRUNC(N1498*F1498/SUM(FILTER(N:N,A:A=A1498)),3),F1498))"),"")</f>
        <v/>
      </c>
      <c r="K1498" s="147" t="str">
        <f>IFERROR(__xludf.DUMMYFUNCTION("IF(ISBLANK(A1498),IFERROR(1/0),IF(COUNT(FILTER(G:G,((A:A=A1498)*(B:B=""V""))))&gt;1,TRUNC(N1498*G1498/SUM(FILTER(N:N,((A:A=A1498)*(B:B=""V"")))),3),G1498))"),"")</f>
        <v/>
      </c>
      <c r="L1498" s="148" t="str">
        <f>IFERROR(__xludf.DUMMYFUNCTION("if($C1498="""","""",iferror(if(row()&lt;&gt;2,INDEX(arrayformula(filter($M$2:$M1497,$C$2:$C1497&lt;&gt;"""",row($C$2:$C1497)=max(if($C$2:$C1497=C1498,row($C$2:$C1497),0)))) ,1),0),0))"),"")</f>
        <v/>
      </c>
      <c r="M1498" s="148" t="str">
        <f t="shared" si="1"/>
        <v/>
      </c>
      <c r="N1498" s="147" t="str">
        <f t="shared" si="2"/>
        <v/>
      </c>
      <c r="O1498" s="147" t="str">
        <f t="shared" si="21"/>
        <v/>
      </c>
      <c r="P1498" s="147" t="str">
        <f>IFERROR(__xludf.DUMMYFUNCTION("if(C1498="""","""",iferror(if(row()&lt;&gt;2,INDEX(arrayformula(filter($Q$2:$Q1497,$C$2:$C1497&lt;&gt;"""",row($C$2:$C1497)=max(if($C$2:$C1497=C1498,row($C$2:$C1497),0)))) ,1),0),0))"),"")</f>
        <v/>
      </c>
      <c r="Q1498" s="147" t="str">
        <f t="shared" si="22"/>
        <v/>
      </c>
      <c r="R1498" s="147" t="str">
        <f t="shared" si="23"/>
        <v/>
      </c>
      <c r="S1498" s="147" t="str">
        <f t="shared" si="24"/>
        <v/>
      </c>
      <c r="T1498" s="147" t="str">
        <f t="shared" si="7"/>
        <v/>
      </c>
      <c r="U1498" s="150" t="str">
        <f t="shared" si="8"/>
        <v/>
      </c>
      <c r="V1498" s="151" t="str">
        <f>IFERROR(VLOOKUP(C1498,Ativos!$A$1:$G2000,5,),)</f>
        <v/>
      </c>
    </row>
    <row r="1499" ht="21.0" customHeight="1">
      <c r="A1499" s="152"/>
      <c r="B1499" s="160"/>
      <c r="C1499" s="153"/>
      <c r="D1499" s="154"/>
      <c r="E1499" s="139"/>
      <c r="F1499" s="139"/>
      <c r="G1499" s="139"/>
      <c r="H1499" s="135"/>
      <c r="I1499" s="141"/>
      <c r="J1499" s="147" t="str">
        <f>IFERROR(__xludf.DUMMYFUNCTION("IF(ISBLANK(A1499),IFERROR(1/0),IF(COUNT(FILTER(F:F,A:A=A1499))&gt;1,TRUNC(N1499*F1499/SUM(FILTER(N:N,A:A=A1499)),3),F1499))"),"")</f>
        <v/>
      </c>
      <c r="K1499" s="147" t="str">
        <f>IFERROR(__xludf.DUMMYFUNCTION("IF(ISBLANK(A1499),IFERROR(1/0),IF(COUNT(FILTER(G:G,((A:A=A1499)*(B:B=""V""))))&gt;1,TRUNC(N1499*G1499/SUM(FILTER(N:N,((A:A=A1499)*(B:B=""V"")))),3),G1499))"),"")</f>
        <v/>
      </c>
      <c r="L1499" s="148" t="str">
        <f>IFERROR(__xludf.DUMMYFUNCTION("if($C1499="""","""",iferror(if(row()&lt;&gt;2,INDEX(arrayformula(filter($M$2:$M1498,$C$2:$C1498&lt;&gt;"""",row($C$2:$C1498)=max(if($C$2:$C1498=C1499,row($C$2:$C1498),0)))) ,1),0),0))"),"")</f>
        <v/>
      </c>
      <c r="M1499" s="148" t="str">
        <f t="shared" si="1"/>
        <v/>
      </c>
      <c r="N1499" s="147" t="str">
        <f t="shared" si="2"/>
        <v/>
      </c>
      <c r="O1499" s="147" t="str">
        <f t="shared" si="21"/>
        <v/>
      </c>
      <c r="P1499" s="147" t="str">
        <f>IFERROR(__xludf.DUMMYFUNCTION("if(C1499="""","""",iferror(if(row()&lt;&gt;2,INDEX(arrayformula(filter($Q$2:$Q1498,$C$2:$C1498&lt;&gt;"""",row($C$2:$C1498)=max(if($C$2:$C1498=C1499,row($C$2:$C1498),0)))) ,1),0),0))"),"")</f>
        <v/>
      </c>
      <c r="Q1499" s="147" t="str">
        <f t="shared" si="22"/>
        <v/>
      </c>
      <c r="R1499" s="147" t="str">
        <f t="shared" si="23"/>
        <v/>
      </c>
      <c r="S1499" s="147" t="str">
        <f t="shared" si="24"/>
        <v/>
      </c>
      <c r="T1499" s="147" t="str">
        <f t="shared" si="7"/>
        <v/>
      </c>
      <c r="U1499" s="150" t="str">
        <f t="shared" si="8"/>
        <v/>
      </c>
      <c r="V1499" s="151" t="str">
        <f>IFERROR(VLOOKUP(C1499,Ativos!$A$1:$G2000,5,),)</f>
        <v/>
      </c>
    </row>
    <row r="1500" ht="21.0" customHeight="1">
      <c r="A1500" s="152"/>
      <c r="B1500" s="160"/>
      <c r="C1500" s="153"/>
      <c r="D1500" s="154"/>
      <c r="E1500" s="139"/>
      <c r="F1500" s="139"/>
      <c r="G1500" s="139"/>
      <c r="H1500" s="135"/>
      <c r="I1500" s="141"/>
      <c r="J1500" s="147" t="str">
        <f>IFERROR(__xludf.DUMMYFUNCTION("IF(ISBLANK(A1500),IFERROR(1/0),IF(COUNT(FILTER(F:F,A:A=A1500))&gt;1,TRUNC(N1500*F1500/SUM(FILTER(N:N,A:A=A1500)),3),F1500))"),"")</f>
        <v/>
      </c>
      <c r="K1500" s="147" t="str">
        <f>IFERROR(__xludf.DUMMYFUNCTION("IF(ISBLANK(A1500),IFERROR(1/0),IF(COUNT(FILTER(G:G,((A:A=A1500)*(B:B=""V""))))&gt;1,TRUNC(N1500*G1500/SUM(FILTER(N:N,((A:A=A1500)*(B:B=""V"")))),3),G1500))"),"")</f>
        <v/>
      </c>
      <c r="L1500" s="148" t="str">
        <f>IFERROR(__xludf.DUMMYFUNCTION("if($C1500="""","""",iferror(if(row()&lt;&gt;2,INDEX(arrayformula(filter($M$2:$M1499,$C$2:$C1499&lt;&gt;"""",row($C$2:$C1499)=max(if($C$2:$C1499=C1500,row($C$2:$C1499),0)))) ,1),0),0))"),"")</f>
        <v/>
      </c>
      <c r="M1500" s="148" t="str">
        <f t="shared" si="1"/>
        <v/>
      </c>
      <c r="N1500" s="147" t="str">
        <f t="shared" si="2"/>
        <v/>
      </c>
      <c r="O1500" s="147" t="str">
        <f t="shared" si="21"/>
        <v/>
      </c>
      <c r="P1500" s="147" t="str">
        <f>IFERROR(__xludf.DUMMYFUNCTION("if(C1500="""","""",iferror(if(row()&lt;&gt;2,INDEX(arrayformula(filter($Q$2:$Q1499,$C$2:$C1499&lt;&gt;"""",row($C$2:$C1499)=max(if($C$2:$C1499=C1500,row($C$2:$C1499),0)))) ,1),0),0))"),"")</f>
        <v/>
      </c>
      <c r="Q1500" s="147" t="str">
        <f t="shared" si="22"/>
        <v/>
      </c>
      <c r="R1500" s="147" t="str">
        <f t="shared" si="23"/>
        <v/>
      </c>
      <c r="S1500" s="147" t="str">
        <f t="shared" si="24"/>
        <v/>
      </c>
      <c r="T1500" s="147" t="str">
        <f t="shared" si="7"/>
        <v/>
      </c>
      <c r="U1500" s="150" t="str">
        <f t="shared" si="8"/>
        <v/>
      </c>
      <c r="V1500" s="151" t="str">
        <f>IFERROR(VLOOKUP(C1500,Ativos!$A$1:$G2000,5,),)</f>
        <v/>
      </c>
    </row>
    <row r="1501" ht="21.0" customHeight="1">
      <c r="A1501" s="152"/>
      <c r="B1501" s="160"/>
      <c r="C1501" s="153"/>
      <c r="D1501" s="154"/>
      <c r="E1501" s="139"/>
      <c r="F1501" s="139"/>
      <c r="G1501" s="139"/>
      <c r="H1501" s="135"/>
      <c r="I1501" s="141"/>
      <c r="J1501" s="147" t="str">
        <f>IFERROR(__xludf.DUMMYFUNCTION("IF(ISBLANK(A1501),IFERROR(1/0),IF(COUNT(FILTER(F:F,A:A=A1501))&gt;1,TRUNC(N1501*F1501/SUM(FILTER(N:N,A:A=A1501)),3),F1501))"),"")</f>
        <v/>
      </c>
      <c r="K1501" s="147" t="str">
        <f>IFERROR(__xludf.DUMMYFUNCTION("IF(ISBLANK(A1501),IFERROR(1/0),IF(COUNT(FILTER(G:G,((A:A=A1501)*(B:B=""V""))))&gt;1,TRUNC(N1501*G1501/SUM(FILTER(N:N,((A:A=A1501)*(B:B=""V"")))),3),G1501))"),"")</f>
        <v/>
      </c>
      <c r="L1501" s="148" t="str">
        <f>IFERROR(__xludf.DUMMYFUNCTION("if($C1501="""","""",iferror(if(row()&lt;&gt;2,INDEX(arrayformula(filter($M$2:$M1500,$C$2:$C1500&lt;&gt;"""",row($C$2:$C1500)=max(if($C$2:$C1500=C1501,row($C$2:$C1500),0)))) ,1),0),0))"),"")</f>
        <v/>
      </c>
      <c r="M1501" s="148" t="str">
        <f t="shared" si="1"/>
        <v/>
      </c>
      <c r="N1501" s="147" t="str">
        <f t="shared" si="2"/>
        <v/>
      </c>
      <c r="O1501" s="147" t="str">
        <f t="shared" si="21"/>
        <v/>
      </c>
      <c r="P1501" s="147" t="str">
        <f>IFERROR(__xludf.DUMMYFUNCTION("if(C1501="""","""",iferror(if(row()&lt;&gt;2,INDEX(arrayformula(filter($Q$2:$Q1500,$C$2:$C1500&lt;&gt;"""",row($C$2:$C1500)=max(if($C$2:$C1500=C1501,row($C$2:$C1500),0)))) ,1),0),0))"),"")</f>
        <v/>
      </c>
      <c r="Q1501" s="147" t="str">
        <f t="shared" si="22"/>
        <v/>
      </c>
      <c r="R1501" s="147" t="str">
        <f t="shared" si="23"/>
        <v/>
      </c>
      <c r="S1501" s="147" t="str">
        <f t="shared" si="24"/>
        <v/>
      </c>
      <c r="T1501" s="147" t="str">
        <f t="shared" si="7"/>
        <v/>
      </c>
      <c r="U1501" s="150" t="str">
        <f t="shared" si="8"/>
        <v/>
      </c>
      <c r="V1501" s="151" t="str">
        <f>IFERROR(VLOOKUP(C1501,Ativos!$A$1:$G2000,5,),)</f>
        <v/>
      </c>
    </row>
    <row r="1502" ht="21.0" customHeight="1">
      <c r="A1502" s="152"/>
      <c r="B1502" s="160"/>
      <c r="C1502" s="153"/>
      <c r="D1502" s="154"/>
      <c r="E1502" s="139"/>
      <c r="F1502" s="139"/>
      <c r="G1502" s="139"/>
      <c r="H1502" s="135"/>
      <c r="I1502" s="141"/>
      <c r="J1502" s="147" t="str">
        <f>IFERROR(__xludf.DUMMYFUNCTION("IF(ISBLANK(A1502),IFERROR(1/0),IF(COUNT(FILTER(F:F,A:A=A1502))&gt;1,TRUNC(N1502*F1502/SUM(FILTER(N:N,A:A=A1502)),3),F1502))"),"")</f>
        <v/>
      </c>
      <c r="K1502" s="147" t="str">
        <f>IFERROR(__xludf.DUMMYFUNCTION("IF(ISBLANK(A1502),IFERROR(1/0),IF(COUNT(FILTER(G:G,((A:A=A1502)*(B:B=""V""))))&gt;1,TRUNC(N1502*G1502/SUM(FILTER(N:N,((A:A=A1502)*(B:B=""V"")))),3),G1502))"),"")</f>
        <v/>
      </c>
      <c r="L1502" s="148" t="str">
        <f>IFERROR(__xludf.DUMMYFUNCTION("if($C1502="""","""",iferror(if(row()&lt;&gt;2,INDEX(arrayformula(filter($M$2:$M1501,$C$2:$C1501&lt;&gt;"""",row($C$2:$C1501)=max(if($C$2:$C1501=C1502,row($C$2:$C1501),0)))) ,1),0),0))"),"")</f>
        <v/>
      </c>
      <c r="M1502" s="148" t="str">
        <f t="shared" si="1"/>
        <v/>
      </c>
      <c r="N1502" s="147" t="str">
        <f t="shared" si="2"/>
        <v/>
      </c>
      <c r="O1502" s="147" t="str">
        <f t="shared" si="21"/>
        <v/>
      </c>
      <c r="P1502" s="147" t="str">
        <f>IFERROR(__xludf.DUMMYFUNCTION("if(C1502="""","""",iferror(if(row()&lt;&gt;2,INDEX(arrayformula(filter($Q$2:$Q1501,$C$2:$C1501&lt;&gt;"""",row($C$2:$C1501)=max(if($C$2:$C1501=C1502,row($C$2:$C1501),0)))) ,1),0),0))"),"")</f>
        <v/>
      </c>
      <c r="Q1502" s="147" t="str">
        <f t="shared" si="22"/>
        <v/>
      </c>
      <c r="R1502" s="147" t="str">
        <f t="shared" si="23"/>
        <v/>
      </c>
      <c r="S1502" s="147" t="str">
        <f t="shared" si="24"/>
        <v/>
      </c>
      <c r="T1502" s="147" t="str">
        <f t="shared" si="7"/>
        <v/>
      </c>
      <c r="U1502" s="150" t="str">
        <f t="shared" si="8"/>
        <v/>
      </c>
      <c r="V1502" s="151" t="str">
        <f>IFERROR(VLOOKUP(C1502,Ativos!$A$1:$G2000,5,),)</f>
        <v/>
      </c>
    </row>
    <row r="1503" ht="21.0" customHeight="1">
      <c r="A1503" s="152"/>
      <c r="B1503" s="160"/>
      <c r="C1503" s="153"/>
      <c r="D1503" s="154"/>
      <c r="E1503" s="139"/>
      <c r="F1503" s="139"/>
      <c r="G1503" s="139"/>
      <c r="H1503" s="135"/>
      <c r="I1503" s="141"/>
      <c r="J1503" s="147" t="str">
        <f>IFERROR(__xludf.DUMMYFUNCTION("IF(ISBLANK(A1503),IFERROR(1/0),IF(COUNT(FILTER(F:F,A:A=A1503))&gt;1,TRUNC(N1503*F1503/SUM(FILTER(N:N,A:A=A1503)),3),F1503))"),"")</f>
        <v/>
      </c>
      <c r="K1503" s="147" t="str">
        <f>IFERROR(__xludf.DUMMYFUNCTION("IF(ISBLANK(A1503),IFERROR(1/0),IF(COUNT(FILTER(G:G,((A:A=A1503)*(B:B=""V""))))&gt;1,TRUNC(N1503*G1503/SUM(FILTER(N:N,((A:A=A1503)*(B:B=""V"")))),3),G1503))"),"")</f>
        <v/>
      </c>
      <c r="L1503" s="148" t="str">
        <f>IFERROR(__xludf.DUMMYFUNCTION("if($C1503="""","""",iferror(if(row()&lt;&gt;2,INDEX(arrayformula(filter($M$2:$M1502,$C$2:$C1502&lt;&gt;"""",row($C$2:$C1502)=max(if($C$2:$C1502=C1503,row($C$2:$C1502),0)))) ,1),0),0))"),"")</f>
        <v/>
      </c>
      <c r="M1503" s="148" t="str">
        <f t="shared" si="1"/>
        <v/>
      </c>
      <c r="N1503" s="147" t="str">
        <f t="shared" si="2"/>
        <v/>
      </c>
      <c r="O1503" s="147" t="str">
        <f t="shared" si="21"/>
        <v/>
      </c>
      <c r="P1503" s="147" t="str">
        <f>IFERROR(__xludf.DUMMYFUNCTION("if(C1503="""","""",iferror(if(row()&lt;&gt;2,INDEX(arrayformula(filter($Q$2:$Q1502,$C$2:$C1502&lt;&gt;"""",row($C$2:$C1502)=max(if($C$2:$C1502=C1503,row($C$2:$C1502),0)))) ,1),0),0))"),"")</f>
        <v/>
      </c>
      <c r="Q1503" s="147" t="str">
        <f t="shared" si="22"/>
        <v/>
      </c>
      <c r="R1503" s="147" t="str">
        <f t="shared" si="23"/>
        <v/>
      </c>
      <c r="S1503" s="147" t="str">
        <f t="shared" si="24"/>
        <v/>
      </c>
      <c r="T1503" s="147" t="str">
        <f t="shared" si="7"/>
        <v/>
      </c>
      <c r="U1503" s="150" t="str">
        <f t="shared" si="8"/>
        <v/>
      </c>
      <c r="V1503" s="151" t="str">
        <f>IFERROR(VLOOKUP(C1503,Ativos!$A$1:$G2000,5,),)</f>
        <v/>
      </c>
    </row>
    <row r="1504" ht="21.0" customHeight="1">
      <c r="A1504" s="152"/>
      <c r="B1504" s="160"/>
      <c r="C1504" s="153"/>
      <c r="D1504" s="154"/>
      <c r="E1504" s="139"/>
      <c r="F1504" s="139"/>
      <c r="G1504" s="139"/>
      <c r="H1504" s="135"/>
      <c r="I1504" s="141"/>
      <c r="J1504" s="147" t="str">
        <f>IFERROR(__xludf.DUMMYFUNCTION("IF(ISBLANK(A1504),IFERROR(1/0),IF(COUNT(FILTER(F:F,A:A=A1504))&gt;1,TRUNC(N1504*F1504/SUM(FILTER(N:N,A:A=A1504)),3),F1504))"),"")</f>
        <v/>
      </c>
      <c r="K1504" s="147" t="str">
        <f>IFERROR(__xludf.DUMMYFUNCTION("IF(ISBLANK(A1504),IFERROR(1/0),IF(COUNT(FILTER(G:G,((A:A=A1504)*(B:B=""V""))))&gt;1,TRUNC(N1504*G1504/SUM(FILTER(N:N,((A:A=A1504)*(B:B=""V"")))),3),G1504))"),"")</f>
        <v/>
      </c>
      <c r="L1504" s="148" t="str">
        <f>IFERROR(__xludf.DUMMYFUNCTION("if($C1504="""","""",iferror(if(row()&lt;&gt;2,INDEX(arrayformula(filter($M$2:$M1503,$C$2:$C1503&lt;&gt;"""",row($C$2:$C1503)=max(if($C$2:$C1503=C1504,row($C$2:$C1503),0)))) ,1),0),0))"),"")</f>
        <v/>
      </c>
      <c r="M1504" s="148" t="str">
        <f t="shared" si="1"/>
        <v/>
      </c>
      <c r="N1504" s="147" t="str">
        <f t="shared" si="2"/>
        <v/>
      </c>
      <c r="O1504" s="147" t="str">
        <f t="shared" si="21"/>
        <v/>
      </c>
      <c r="P1504" s="147" t="str">
        <f>IFERROR(__xludf.DUMMYFUNCTION("if(C1504="""","""",iferror(if(row()&lt;&gt;2,INDEX(arrayformula(filter($Q$2:$Q1503,$C$2:$C1503&lt;&gt;"""",row($C$2:$C1503)=max(if($C$2:$C1503=C1504,row($C$2:$C1503),0)))) ,1),0),0))"),"")</f>
        <v/>
      </c>
      <c r="Q1504" s="147" t="str">
        <f t="shared" si="22"/>
        <v/>
      </c>
      <c r="R1504" s="147" t="str">
        <f t="shared" si="23"/>
        <v/>
      </c>
      <c r="S1504" s="147" t="str">
        <f t="shared" si="24"/>
        <v/>
      </c>
      <c r="T1504" s="147" t="str">
        <f t="shared" si="7"/>
        <v/>
      </c>
      <c r="U1504" s="150" t="str">
        <f t="shared" si="8"/>
        <v/>
      </c>
      <c r="V1504" s="151" t="str">
        <f>IFERROR(VLOOKUP(C1504,Ativos!$A$1:$G2000,5,),)</f>
        <v/>
      </c>
    </row>
    <row r="1505" ht="21.0" customHeight="1">
      <c r="A1505" s="152"/>
      <c r="B1505" s="160"/>
      <c r="C1505" s="153"/>
      <c r="D1505" s="154"/>
      <c r="E1505" s="139"/>
      <c r="F1505" s="139"/>
      <c r="G1505" s="139"/>
      <c r="H1505" s="135"/>
      <c r="I1505" s="141"/>
      <c r="J1505" s="147" t="str">
        <f>IFERROR(__xludf.DUMMYFUNCTION("IF(ISBLANK(A1505),IFERROR(1/0),IF(COUNT(FILTER(F:F,A:A=A1505))&gt;1,TRUNC(N1505*F1505/SUM(FILTER(N:N,A:A=A1505)),3),F1505))"),"")</f>
        <v/>
      </c>
      <c r="K1505" s="147" t="str">
        <f>IFERROR(__xludf.DUMMYFUNCTION("IF(ISBLANK(A1505),IFERROR(1/0),IF(COUNT(FILTER(G:G,((A:A=A1505)*(B:B=""V""))))&gt;1,TRUNC(N1505*G1505/SUM(FILTER(N:N,((A:A=A1505)*(B:B=""V"")))),3),G1505))"),"")</f>
        <v/>
      </c>
      <c r="L1505" s="148" t="str">
        <f>IFERROR(__xludf.DUMMYFUNCTION("if($C1505="""","""",iferror(if(row()&lt;&gt;2,INDEX(arrayformula(filter($M$2:$M1504,$C$2:$C1504&lt;&gt;"""",row($C$2:$C1504)=max(if($C$2:$C1504=C1505,row($C$2:$C1504),0)))) ,1),0),0))"),"")</f>
        <v/>
      </c>
      <c r="M1505" s="148" t="str">
        <f t="shared" si="1"/>
        <v/>
      </c>
      <c r="N1505" s="147" t="str">
        <f t="shared" si="2"/>
        <v/>
      </c>
      <c r="O1505" s="147" t="str">
        <f t="shared" si="21"/>
        <v/>
      </c>
      <c r="P1505" s="147" t="str">
        <f>IFERROR(__xludf.DUMMYFUNCTION("if(C1505="""","""",iferror(if(row()&lt;&gt;2,INDEX(arrayformula(filter($Q$2:$Q1504,$C$2:$C1504&lt;&gt;"""",row($C$2:$C1504)=max(if($C$2:$C1504=C1505,row($C$2:$C1504),0)))) ,1),0),0))"),"")</f>
        <v/>
      </c>
      <c r="Q1505" s="147" t="str">
        <f t="shared" si="22"/>
        <v/>
      </c>
      <c r="R1505" s="147" t="str">
        <f t="shared" si="23"/>
        <v/>
      </c>
      <c r="S1505" s="147" t="str">
        <f t="shared" si="24"/>
        <v/>
      </c>
      <c r="T1505" s="147" t="str">
        <f t="shared" si="7"/>
        <v/>
      </c>
      <c r="U1505" s="150" t="str">
        <f t="shared" si="8"/>
        <v/>
      </c>
      <c r="V1505" s="151" t="str">
        <f>IFERROR(VLOOKUP(C1505,Ativos!$A$1:$G2000,5,),)</f>
        <v/>
      </c>
    </row>
    <row r="1506" ht="21.0" customHeight="1">
      <c r="A1506" s="152"/>
      <c r="B1506" s="160"/>
      <c r="C1506" s="153"/>
      <c r="D1506" s="154"/>
      <c r="E1506" s="139"/>
      <c r="F1506" s="139"/>
      <c r="G1506" s="139"/>
      <c r="H1506" s="135"/>
      <c r="I1506" s="141"/>
      <c r="J1506" s="147" t="str">
        <f>IFERROR(__xludf.DUMMYFUNCTION("IF(ISBLANK(A1506),IFERROR(1/0),IF(COUNT(FILTER(F:F,A:A=A1506))&gt;1,TRUNC(N1506*F1506/SUM(FILTER(N:N,A:A=A1506)),3),F1506))"),"")</f>
        <v/>
      </c>
      <c r="K1506" s="147" t="str">
        <f>IFERROR(__xludf.DUMMYFUNCTION("IF(ISBLANK(A1506),IFERROR(1/0),IF(COUNT(FILTER(G:G,((A:A=A1506)*(B:B=""V""))))&gt;1,TRUNC(N1506*G1506/SUM(FILTER(N:N,((A:A=A1506)*(B:B=""V"")))),3),G1506))"),"")</f>
        <v/>
      </c>
      <c r="L1506" s="148" t="str">
        <f>IFERROR(__xludf.DUMMYFUNCTION("if($C1506="""","""",iferror(if(row()&lt;&gt;2,INDEX(arrayformula(filter($M$2:$M1505,$C$2:$C1505&lt;&gt;"""",row($C$2:$C1505)=max(if($C$2:$C1505=C1506,row($C$2:$C1505),0)))) ,1),0),0))"),"")</f>
        <v/>
      </c>
      <c r="M1506" s="148" t="str">
        <f t="shared" si="1"/>
        <v/>
      </c>
      <c r="N1506" s="147" t="str">
        <f t="shared" si="2"/>
        <v/>
      </c>
      <c r="O1506" s="147" t="str">
        <f t="shared" si="21"/>
        <v/>
      </c>
      <c r="P1506" s="147" t="str">
        <f>IFERROR(__xludf.DUMMYFUNCTION("if(C1506="""","""",iferror(if(row()&lt;&gt;2,INDEX(arrayformula(filter($Q$2:$Q1505,$C$2:$C1505&lt;&gt;"""",row($C$2:$C1505)=max(if($C$2:$C1505=C1506,row($C$2:$C1505),0)))) ,1),0),0))"),"")</f>
        <v/>
      </c>
      <c r="Q1506" s="147" t="str">
        <f t="shared" si="22"/>
        <v/>
      </c>
      <c r="R1506" s="147" t="str">
        <f t="shared" si="23"/>
        <v/>
      </c>
      <c r="S1506" s="147" t="str">
        <f t="shared" si="24"/>
        <v/>
      </c>
      <c r="T1506" s="147" t="str">
        <f t="shared" si="7"/>
        <v/>
      </c>
      <c r="U1506" s="150" t="str">
        <f t="shared" si="8"/>
        <v/>
      </c>
      <c r="V1506" s="151" t="str">
        <f>IFERROR(VLOOKUP(C1506,Ativos!$A$1:$G2000,5,),)</f>
        <v/>
      </c>
    </row>
    <row r="1507" ht="21.0" customHeight="1">
      <c r="A1507" s="152"/>
      <c r="B1507" s="160"/>
      <c r="C1507" s="153"/>
      <c r="D1507" s="154"/>
      <c r="E1507" s="139"/>
      <c r="F1507" s="139"/>
      <c r="G1507" s="139"/>
      <c r="H1507" s="135"/>
      <c r="I1507" s="141"/>
      <c r="J1507" s="147" t="str">
        <f>IFERROR(__xludf.DUMMYFUNCTION("IF(ISBLANK(A1507),IFERROR(1/0),IF(COUNT(FILTER(F:F,A:A=A1507))&gt;1,TRUNC(N1507*F1507/SUM(FILTER(N:N,A:A=A1507)),3),F1507))"),"")</f>
        <v/>
      </c>
      <c r="K1507" s="147" t="str">
        <f>IFERROR(__xludf.DUMMYFUNCTION("IF(ISBLANK(A1507),IFERROR(1/0),IF(COUNT(FILTER(G:G,((A:A=A1507)*(B:B=""V""))))&gt;1,TRUNC(N1507*G1507/SUM(FILTER(N:N,((A:A=A1507)*(B:B=""V"")))),3),G1507))"),"")</f>
        <v/>
      </c>
      <c r="L1507" s="148" t="str">
        <f>IFERROR(__xludf.DUMMYFUNCTION("if($C1507="""","""",iferror(if(row()&lt;&gt;2,INDEX(arrayformula(filter($M$2:$M1506,$C$2:$C1506&lt;&gt;"""",row($C$2:$C1506)=max(if($C$2:$C1506=C1507,row($C$2:$C1506),0)))) ,1),0),0))"),"")</f>
        <v/>
      </c>
      <c r="M1507" s="148" t="str">
        <f t="shared" si="1"/>
        <v/>
      </c>
      <c r="N1507" s="147" t="str">
        <f t="shared" si="2"/>
        <v/>
      </c>
      <c r="O1507" s="147" t="str">
        <f t="shared" si="21"/>
        <v/>
      </c>
      <c r="P1507" s="147" t="str">
        <f>IFERROR(__xludf.DUMMYFUNCTION("if(C1507="""","""",iferror(if(row()&lt;&gt;2,INDEX(arrayformula(filter($Q$2:$Q1506,$C$2:$C1506&lt;&gt;"""",row($C$2:$C1506)=max(if($C$2:$C1506=C1507,row($C$2:$C1506),0)))) ,1),0),0))"),"")</f>
        <v/>
      </c>
      <c r="Q1507" s="147" t="str">
        <f t="shared" si="22"/>
        <v/>
      </c>
      <c r="R1507" s="147" t="str">
        <f t="shared" si="23"/>
        <v/>
      </c>
      <c r="S1507" s="147" t="str">
        <f t="shared" si="24"/>
        <v/>
      </c>
      <c r="T1507" s="147" t="str">
        <f t="shared" si="7"/>
        <v/>
      </c>
      <c r="U1507" s="150" t="str">
        <f t="shared" si="8"/>
        <v/>
      </c>
      <c r="V1507" s="151" t="str">
        <f>IFERROR(VLOOKUP(C1507,Ativos!$A$1:$G2000,5,),)</f>
        <v/>
      </c>
    </row>
    <row r="1508" ht="21.0" customHeight="1">
      <c r="A1508" s="152"/>
      <c r="B1508" s="160"/>
      <c r="C1508" s="153"/>
      <c r="D1508" s="154"/>
      <c r="E1508" s="139"/>
      <c r="F1508" s="139"/>
      <c r="G1508" s="139"/>
      <c r="H1508" s="135"/>
      <c r="I1508" s="141"/>
      <c r="J1508" s="147" t="str">
        <f>IFERROR(__xludf.DUMMYFUNCTION("IF(ISBLANK(A1508),IFERROR(1/0),IF(COUNT(FILTER(F:F,A:A=A1508))&gt;1,TRUNC(N1508*F1508/SUM(FILTER(N:N,A:A=A1508)),3),F1508))"),"")</f>
        <v/>
      </c>
      <c r="K1508" s="147" t="str">
        <f>IFERROR(__xludf.DUMMYFUNCTION("IF(ISBLANK(A1508),IFERROR(1/0),IF(COUNT(FILTER(G:G,((A:A=A1508)*(B:B=""V""))))&gt;1,TRUNC(N1508*G1508/SUM(FILTER(N:N,((A:A=A1508)*(B:B=""V"")))),3),G1508))"),"")</f>
        <v/>
      </c>
      <c r="L1508" s="148" t="str">
        <f>IFERROR(__xludf.DUMMYFUNCTION("if($C1508="""","""",iferror(if(row()&lt;&gt;2,INDEX(arrayformula(filter($M$2:$M1507,$C$2:$C1507&lt;&gt;"""",row($C$2:$C1507)=max(if($C$2:$C1507=C1508,row($C$2:$C1507),0)))) ,1),0),0))"),"")</f>
        <v/>
      </c>
      <c r="M1508" s="148" t="str">
        <f t="shared" si="1"/>
        <v/>
      </c>
      <c r="N1508" s="147" t="str">
        <f t="shared" si="2"/>
        <v/>
      </c>
      <c r="O1508" s="147" t="str">
        <f t="shared" si="21"/>
        <v/>
      </c>
      <c r="P1508" s="147" t="str">
        <f>IFERROR(__xludf.DUMMYFUNCTION("if(C1508="""","""",iferror(if(row()&lt;&gt;2,INDEX(arrayformula(filter($Q$2:$Q1507,$C$2:$C1507&lt;&gt;"""",row($C$2:$C1507)=max(if($C$2:$C1507=C1508,row($C$2:$C1507),0)))) ,1),0),0))"),"")</f>
        <v/>
      </c>
      <c r="Q1508" s="147" t="str">
        <f t="shared" si="22"/>
        <v/>
      </c>
      <c r="R1508" s="147" t="str">
        <f t="shared" si="23"/>
        <v/>
      </c>
      <c r="S1508" s="147" t="str">
        <f t="shared" si="24"/>
        <v/>
      </c>
      <c r="T1508" s="147" t="str">
        <f t="shared" si="7"/>
        <v/>
      </c>
      <c r="U1508" s="150" t="str">
        <f t="shared" si="8"/>
        <v/>
      </c>
      <c r="V1508" s="151" t="str">
        <f>IFERROR(VLOOKUP(C1508,Ativos!$A$1:$G2000,5,),)</f>
        <v/>
      </c>
    </row>
    <row r="1509" ht="21.0" customHeight="1">
      <c r="A1509" s="152"/>
      <c r="B1509" s="160"/>
      <c r="C1509" s="153"/>
      <c r="D1509" s="154"/>
      <c r="E1509" s="139"/>
      <c r="F1509" s="139"/>
      <c r="G1509" s="139"/>
      <c r="H1509" s="135"/>
      <c r="I1509" s="141"/>
      <c r="J1509" s="147" t="str">
        <f>IFERROR(__xludf.DUMMYFUNCTION("IF(ISBLANK(A1509),IFERROR(1/0),IF(COUNT(FILTER(F:F,A:A=A1509))&gt;1,TRUNC(N1509*F1509/SUM(FILTER(N:N,A:A=A1509)),3),F1509))"),"")</f>
        <v/>
      </c>
      <c r="K1509" s="147" t="str">
        <f>IFERROR(__xludf.DUMMYFUNCTION("IF(ISBLANK(A1509),IFERROR(1/0),IF(COUNT(FILTER(G:G,((A:A=A1509)*(B:B=""V""))))&gt;1,TRUNC(N1509*G1509/SUM(FILTER(N:N,((A:A=A1509)*(B:B=""V"")))),3),G1509))"),"")</f>
        <v/>
      </c>
      <c r="L1509" s="148" t="str">
        <f>IFERROR(__xludf.DUMMYFUNCTION("if($C1509="""","""",iferror(if(row()&lt;&gt;2,INDEX(arrayformula(filter($M$2:$M1508,$C$2:$C1508&lt;&gt;"""",row($C$2:$C1508)=max(if($C$2:$C1508=C1509,row($C$2:$C1508),0)))) ,1),0),0))"),"")</f>
        <v/>
      </c>
      <c r="M1509" s="148" t="str">
        <f t="shared" si="1"/>
        <v/>
      </c>
      <c r="N1509" s="147" t="str">
        <f t="shared" si="2"/>
        <v/>
      </c>
      <c r="O1509" s="147" t="str">
        <f t="shared" si="21"/>
        <v/>
      </c>
      <c r="P1509" s="147" t="str">
        <f>IFERROR(__xludf.DUMMYFUNCTION("if(C1509="""","""",iferror(if(row()&lt;&gt;2,INDEX(arrayformula(filter($Q$2:$Q1508,$C$2:$C1508&lt;&gt;"""",row($C$2:$C1508)=max(if($C$2:$C1508=C1509,row($C$2:$C1508),0)))) ,1),0),0))"),"")</f>
        <v/>
      </c>
      <c r="Q1509" s="147" t="str">
        <f t="shared" si="22"/>
        <v/>
      </c>
      <c r="R1509" s="147" t="str">
        <f t="shared" si="23"/>
        <v/>
      </c>
      <c r="S1509" s="147" t="str">
        <f t="shared" si="24"/>
        <v/>
      </c>
      <c r="T1509" s="147" t="str">
        <f t="shared" si="7"/>
        <v/>
      </c>
      <c r="U1509" s="150" t="str">
        <f t="shared" si="8"/>
        <v/>
      </c>
      <c r="V1509" s="151" t="str">
        <f>IFERROR(VLOOKUP(C1509,Ativos!$A$1:$G2000,5,),)</f>
        <v/>
      </c>
    </row>
    <row r="1510" ht="21.0" customHeight="1">
      <c r="A1510" s="152"/>
      <c r="B1510" s="160"/>
      <c r="C1510" s="153"/>
      <c r="D1510" s="154"/>
      <c r="E1510" s="139"/>
      <c r="F1510" s="139"/>
      <c r="G1510" s="139"/>
      <c r="H1510" s="135"/>
      <c r="I1510" s="141"/>
      <c r="J1510" s="147" t="str">
        <f>IFERROR(__xludf.DUMMYFUNCTION("IF(ISBLANK(A1510),IFERROR(1/0),IF(COUNT(FILTER(F:F,A:A=A1510))&gt;1,TRUNC(N1510*F1510/SUM(FILTER(N:N,A:A=A1510)),3),F1510))"),"")</f>
        <v/>
      </c>
      <c r="K1510" s="147" t="str">
        <f>IFERROR(__xludf.DUMMYFUNCTION("IF(ISBLANK(A1510),IFERROR(1/0),IF(COUNT(FILTER(G:G,((A:A=A1510)*(B:B=""V""))))&gt;1,TRUNC(N1510*G1510/SUM(FILTER(N:N,((A:A=A1510)*(B:B=""V"")))),3),G1510))"),"")</f>
        <v/>
      </c>
      <c r="L1510" s="148" t="str">
        <f>IFERROR(__xludf.DUMMYFUNCTION("if($C1510="""","""",iferror(if(row()&lt;&gt;2,INDEX(arrayformula(filter($M$2:$M1509,$C$2:$C1509&lt;&gt;"""",row($C$2:$C1509)=max(if($C$2:$C1509=C1510,row($C$2:$C1509),0)))) ,1),0),0))"),"")</f>
        <v/>
      </c>
      <c r="M1510" s="148" t="str">
        <f t="shared" si="1"/>
        <v/>
      </c>
      <c r="N1510" s="147" t="str">
        <f t="shared" si="2"/>
        <v/>
      </c>
      <c r="O1510" s="147" t="str">
        <f t="shared" si="21"/>
        <v/>
      </c>
      <c r="P1510" s="147" t="str">
        <f>IFERROR(__xludf.DUMMYFUNCTION("if(C1510="""","""",iferror(if(row()&lt;&gt;2,INDEX(arrayformula(filter($Q$2:$Q1509,$C$2:$C1509&lt;&gt;"""",row($C$2:$C1509)=max(if($C$2:$C1509=C1510,row($C$2:$C1509),0)))) ,1),0),0))"),"")</f>
        <v/>
      </c>
      <c r="Q1510" s="147" t="str">
        <f t="shared" si="22"/>
        <v/>
      </c>
      <c r="R1510" s="147" t="str">
        <f t="shared" si="23"/>
        <v/>
      </c>
      <c r="S1510" s="147" t="str">
        <f t="shared" si="24"/>
        <v/>
      </c>
      <c r="T1510" s="147" t="str">
        <f t="shared" si="7"/>
        <v/>
      </c>
      <c r="U1510" s="150" t="str">
        <f t="shared" si="8"/>
        <v/>
      </c>
      <c r="V1510" s="151" t="str">
        <f>IFERROR(VLOOKUP(C1510,Ativos!$A$1:$G2000,5,),)</f>
        <v/>
      </c>
    </row>
    <row r="1511" ht="21.0" customHeight="1">
      <c r="A1511" s="152"/>
      <c r="B1511" s="160"/>
      <c r="C1511" s="153"/>
      <c r="D1511" s="154"/>
      <c r="E1511" s="139"/>
      <c r="F1511" s="139"/>
      <c r="G1511" s="139"/>
      <c r="H1511" s="135"/>
      <c r="I1511" s="141"/>
      <c r="J1511" s="147" t="str">
        <f>IFERROR(__xludf.DUMMYFUNCTION("IF(ISBLANK(A1511),IFERROR(1/0),IF(COUNT(FILTER(F:F,A:A=A1511))&gt;1,TRUNC(N1511*F1511/SUM(FILTER(N:N,A:A=A1511)),3),F1511))"),"")</f>
        <v/>
      </c>
      <c r="K1511" s="147" t="str">
        <f>IFERROR(__xludf.DUMMYFUNCTION("IF(ISBLANK(A1511),IFERROR(1/0),IF(COUNT(FILTER(G:G,((A:A=A1511)*(B:B=""V""))))&gt;1,TRUNC(N1511*G1511/SUM(FILTER(N:N,((A:A=A1511)*(B:B=""V"")))),3),G1511))"),"")</f>
        <v/>
      </c>
      <c r="L1511" s="148" t="str">
        <f>IFERROR(__xludf.DUMMYFUNCTION("if($C1511="""","""",iferror(if(row()&lt;&gt;2,INDEX(arrayformula(filter($M$2:$M1510,$C$2:$C1510&lt;&gt;"""",row($C$2:$C1510)=max(if($C$2:$C1510=C1511,row($C$2:$C1510),0)))) ,1),0),0))"),"")</f>
        <v/>
      </c>
      <c r="M1511" s="148" t="str">
        <f t="shared" si="1"/>
        <v/>
      </c>
      <c r="N1511" s="147" t="str">
        <f t="shared" si="2"/>
        <v/>
      </c>
      <c r="O1511" s="147" t="str">
        <f t="shared" si="21"/>
        <v/>
      </c>
      <c r="P1511" s="147" t="str">
        <f>IFERROR(__xludf.DUMMYFUNCTION("if(C1511="""","""",iferror(if(row()&lt;&gt;2,INDEX(arrayformula(filter($Q$2:$Q1510,$C$2:$C1510&lt;&gt;"""",row($C$2:$C1510)=max(if($C$2:$C1510=C1511,row($C$2:$C1510),0)))) ,1),0),0))"),"")</f>
        <v/>
      </c>
      <c r="Q1511" s="147" t="str">
        <f t="shared" si="22"/>
        <v/>
      </c>
      <c r="R1511" s="147" t="str">
        <f t="shared" si="23"/>
        <v/>
      </c>
      <c r="S1511" s="147" t="str">
        <f t="shared" si="24"/>
        <v/>
      </c>
      <c r="T1511" s="147" t="str">
        <f t="shared" si="7"/>
        <v/>
      </c>
      <c r="U1511" s="150" t="str">
        <f t="shared" si="8"/>
        <v/>
      </c>
      <c r="V1511" s="151" t="str">
        <f>IFERROR(VLOOKUP(C1511,Ativos!$A$1:$G2000,5,),)</f>
        <v/>
      </c>
    </row>
    <row r="1512" ht="21.0" customHeight="1">
      <c r="A1512" s="152"/>
      <c r="B1512" s="160"/>
      <c r="C1512" s="153"/>
      <c r="D1512" s="154"/>
      <c r="E1512" s="139"/>
      <c r="F1512" s="139"/>
      <c r="G1512" s="139"/>
      <c r="H1512" s="135"/>
      <c r="I1512" s="141"/>
      <c r="J1512" s="147" t="str">
        <f>IFERROR(__xludf.DUMMYFUNCTION("IF(ISBLANK(A1512),IFERROR(1/0),IF(COUNT(FILTER(F:F,A:A=A1512))&gt;1,TRUNC(N1512*F1512/SUM(FILTER(N:N,A:A=A1512)),3),F1512))"),"")</f>
        <v/>
      </c>
      <c r="K1512" s="147" t="str">
        <f>IFERROR(__xludf.DUMMYFUNCTION("IF(ISBLANK(A1512),IFERROR(1/0),IF(COUNT(FILTER(G:G,((A:A=A1512)*(B:B=""V""))))&gt;1,TRUNC(N1512*G1512/SUM(FILTER(N:N,((A:A=A1512)*(B:B=""V"")))),3),G1512))"),"")</f>
        <v/>
      </c>
      <c r="L1512" s="148" t="str">
        <f>IFERROR(__xludf.DUMMYFUNCTION("if($C1512="""","""",iferror(if(row()&lt;&gt;2,INDEX(arrayformula(filter($M$2:$M1511,$C$2:$C1511&lt;&gt;"""",row($C$2:$C1511)=max(if($C$2:$C1511=C1512,row($C$2:$C1511),0)))) ,1),0),0))"),"")</f>
        <v/>
      </c>
      <c r="M1512" s="148" t="str">
        <f t="shared" si="1"/>
        <v/>
      </c>
      <c r="N1512" s="147" t="str">
        <f t="shared" si="2"/>
        <v/>
      </c>
      <c r="O1512" s="147" t="str">
        <f t="shared" si="21"/>
        <v/>
      </c>
      <c r="P1512" s="147" t="str">
        <f>IFERROR(__xludf.DUMMYFUNCTION("if(C1512="""","""",iferror(if(row()&lt;&gt;2,INDEX(arrayformula(filter($Q$2:$Q1511,$C$2:$C1511&lt;&gt;"""",row($C$2:$C1511)=max(if($C$2:$C1511=C1512,row($C$2:$C1511),0)))) ,1),0),0))"),"")</f>
        <v/>
      </c>
      <c r="Q1512" s="147" t="str">
        <f t="shared" si="22"/>
        <v/>
      </c>
      <c r="R1512" s="147" t="str">
        <f t="shared" si="23"/>
        <v/>
      </c>
      <c r="S1512" s="147" t="str">
        <f t="shared" si="24"/>
        <v/>
      </c>
      <c r="T1512" s="147" t="str">
        <f t="shared" si="7"/>
        <v/>
      </c>
      <c r="U1512" s="150" t="str">
        <f t="shared" si="8"/>
        <v/>
      </c>
      <c r="V1512" s="151" t="str">
        <f>IFERROR(VLOOKUP(C1512,Ativos!$A$1:$G2000,5,),)</f>
        <v/>
      </c>
    </row>
    <row r="1513" ht="21.0" customHeight="1">
      <c r="A1513" s="152"/>
      <c r="B1513" s="160"/>
      <c r="C1513" s="153"/>
      <c r="D1513" s="154"/>
      <c r="E1513" s="139"/>
      <c r="F1513" s="139"/>
      <c r="G1513" s="139"/>
      <c r="H1513" s="135"/>
      <c r="I1513" s="141"/>
      <c r="J1513" s="147" t="str">
        <f>IFERROR(__xludf.DUMMYFUNCTION("IF(ISBLANK(A1513),IFERROR(1/0),IF(COUNT(FILTER(F:F,A:A=A1513))&gt;1,TRUNC(N1513*F1513/SUM(FILTER(N:N,A:A=A1513)),3),F1513))"),"")</f>
        <v/>
      </c>
      <c r="K1513" s="147" t="str">
        <f>IFERROR(__xludf.DUMMYFUNCTION("IF(ISBLANK(A1513),IFERROR(1/0),IF(COUNT(FILTER(G:G,((A:A=A1513)*(B:B=""V""))))&gt;1,TRUNC(N1513*G1513/SUM(FILTER(N:N,((A:A=A1513)*(B:B=""V"")))),3),G1513))"),"")</f>
        <v/>
      </c>
      <c r="L1513" s="148" t="str">
        <f>IFERROR(__xludf.DUMMYFUNCTION("if($C1513="""","""",iferror(if(row()&lt;&gt;2,INDEX(arrayformula(filter($M$2:$M1512,$C$2:$C1512&lt;&gt;"""",row($C$2:$C1512)=max(if($C$2:$C1512=C1513,row($C$2:$C1512),0)))) ,1),0),0))"),"")</f>
        <v/>
      </c>
      <c r="M1513" s="148" t="str">
        <f t="shared" si="1"/>
        <v/>
      </c>
      <c r="N1513" s="147" t="str">
        <f t="shared" si="2"/>
        <v/>
      </c>
      <c r="O1513" s="147" t="str">
        <f t="shared" si="21"/>
        <v/>
      </c>
      <c r="P1513" s="147" t="str">
        <f>IFERROR(__xludf.DUMMYFUNCTION("if(C1513="""","""",iferror(if(row()&lt;&gt;2,INDEX(arrayformula(filter($Q$2:$Q1512,$C$2:$C1512&lt;&gt;"""",row($C$2:$C1512)=max(if($C$2:$C1512=C1513,row($C$2:$C1512),0)))) ,1),0),0))"),"")</f>
        <v/>
      </c>
      <c r="Q1513" s="147" t="str">
        <f t="shared" si="22"/>
        <v/>
      </c>
      <c r="R1513" s="147" t="str">
        <f t="shared" si="23"/>
        <v/>
      </c>
      <c r="S1513" s="147" t="str">
        <f t="shared" si="24"/>
        <v/>
      </c>
      <c r="T1513" s="147" t="str">
        <f t="shared" si="7"/>
        <v/>
      </c>
      <c r="U1513" s="150" t="str">
        <f t="shared" si="8"/>
        <v/>
      </c>
      <c r="V1513" s="151" t="str">
        <f>IFERROR(VLOOKUP(C1513,Ativos!$A$1:$G2000,5,),)</f>
        <v/>
      </c>
    </row>
    <row r="1514" ht="21.0" customHeight="1">
      <c r="A1514" s="152"/>
      <c r="B1514" s="160"/>
      <c r="C1514" s="153"/>
      <c r="D1514" s="154"/>
      <c r="E1514" s="139"/>
      <c r="F1514" s="139"/>
      <c r="G1514" s="139"/>
      <c r="H1514" s="135"/>
      <c r="I1514" s="141"/>
      <c r="J1514" s="147" t="str">
        <f>IFERROR(__xludf.DUMMYFUNCTION("IF(ISBLANK(A1514),IFERROR(1/0),IF(COUNT(FILTER(F:F,A:A=A1514))&gt;1,TRUNC(N1514*F1514/SUM(FILTER(N:N,A:A=A1514)),3),F1514))"),"")</f>
        <v/>
      </c>
      <c r="K1514" s="147" t="str">
        <f>IFERROR(__xludf.DUMMYFUNCTION("IF(ISBLANK(A1514),IFERROR(1/0),IF(COUNT(FILTER(G:G,((A:A=A1514)*(B:B=""V""))))&gt;1,TRUNC(N1514*G1514/SUM(FILTER(N:N,((A:A=A1514)*(B:B=""V"")))),3),G1514))"),"")</f>
        <v/>
      </c>
      <c r="L1514" s="148" t="str">
        <f>IFERROR(__xludf.DUMMYFUNCTION("if($C1514="""","""",iferror(if(row()&lt;&gt;2,INDEX(arrayformula(filter($M$2:$M1513,$C$2:$C1513&lt;&gt;"""",row($C$2:$C1513)=max(if($C$2:$C1513=C1514,row($C$2:$C1513),0)))) ,1),0),0))"),"")</f>
        <v/>
      </c>
      <c r="M1514" s="148" t="str">
        <f t="shared" si="1"/>
        <v/>
      </c>
      <c r="N1514" s="147" t="str">
        <f t="shared" si="2"/>
        <v/>
      </c>
      <c r="O1514" s="147" t="str">
        <f t="shared" si="21"/>
        <v/>
      </c>
      <c r="P1514" s="147" t="str">
        <f>IFERROR(__xludf.DUMMYFUNCTION("if(C1514="""","""",iferror(if(row()&lt;&gt;2,INDEX(arrayformula(filter($Q$2:$Q1513,$C$2:$C1513&lt;&gt;"""",row($C$2:$C1513)=max(if($C$2:$C1513=C1514,row($C$2:$C1513),0)))) ,1),0),0))"),"")</f>
        <v/>
      </c>
      <c r="Q1514" s="147" t="str">
        <f t="shared" si="22"/>
        <v/>
      </c>
      <c r="R1514" s="147" t="str">
        <f t="shared" si="23"/>
        <v/>
      </c>
      <c r="S1514" s="147" t="str">
        <f t="shared" si="24"/>
        <v/>
      </c>
      <c r="T1514" s="147" t="str">
        <f t="shared" si="7"/>
        <v/>
      </c>
      <c r="U1514" s="150" t="str">
        <f t="shared" si="8"/>
        <v/>
      </c>
      <c r="V1514" s="151" t="str">
        <f>IFERROR(VLOOKUP(C1514,Ativos!$A$1:$G2000,5,),)</f>
        <v/>
      </c>
    </row>
    <row r="1515" ht="21.0" customHeight="1">
      <c r="A1515" s="152"/>
      <c r="B1515" s="160"/>
      <c r="C1515" s="153"/>
      <c r="D1515" s="154"/>
      <c r="E1515" s="139"/>
      <c r="F1515" s="139"/>
      <c r="G1515" s="139"/>
      <c r="H1515" s="135"/>
      <c r="I1515" s="141"/>
      <c r="J1515" s="147" t="str">
        <f>IFERROR(__xludf.DUMMYFUNCTION("IF(ISBLANK(A1515),IFERROR(1/0),IF(COUNT(FILTER(F:F,A:A=A1515))&gt;1,TRUNC(N1515*F1515/SUM(FILTER(N:N,A:A=A1515)),3),F1515))"),"")</f>
        <v/>
      </c>
      <c r="K1515" s="147" t="str">
        <f>IFERROR(__xludf.DUMMYFUNCTION("IF(ISBLANK(A1515),IFERROR(1/0),IF(COUNT(FILTER(G:G,((A:A=A1515)*(B:B=""V""))))&gt;1,TRUNC(N1515*G1515/SUM(FILTER(N:N,((A:A=A1515)*(B:B=""V"")))),3),G1515))"),"")</f>
        <v/>
      </c>
      <c r="L1515" s="148" t="str">
        <f>IFERROR(__xludf.DUMMYFUNCTION("if($C1515="""","""",iferror(if(row()&lt;&gt;2,INDEX(arrayformula(filter($M$2:$M1514,$C$2:$C1514&lt;&gt;"""",row($C$2:$C1514)=max(if($C$2:$C1514=C1515,row($C$2:$C1514),0)))) ,1),0),0))"),"")</f>
        <v/>
      </c>
      <c r="M1515" s="148" t="str">
        <f t="shared" si="1"/>
        <v/>
      </c>
      <c r="N1515" s="147" t="str">
        <f t="shared" si="2"/>
        <v/>
      </c>
      <c r="O1515" s="147" t="str">
        <f t="shared" si="21"/>
        <v/>
      </c>
      <c r="P1515" s="147" t="str">
        <f>IFERROR(__xludf.DUMMYFUNCTION("if(C1515="""","""",iferror(if(row()&lt;&gt;2,INDEX(arrayformula(filter($Q$2:$Q1514,$C$2:$C1514&lt;&gt;"""",row($C$2:$C1514)=max(if($C$2:$C1514=C1515,row($C$2:$C1514),0)))) ,1),0),0))"),"")</f>
        <v/>
      </c>
      <c r="Q1515" s="147" t="str">
        <f t="shared" si="22"/>
        <v/>
      </c>
      <c r="R1515" s="147" t="str">
        <f t="shared" si="23"/>
        <v/>
      </c>
      <c r="S1515" s="147" t="str">
        <f t="shared" si="24"/>
        <v/>
      </c>
      <c r="T1515" s="147" t="str">
        <f t="shared" si="7"/>
        <v/>
      </c>
      <c r="U1515" s="150" t="str">
        <f t="shared" si="8"/>
        <v/>
      </c>
      <c r="V1515" s="151" t="str">
        <f>IFERROR(VLOOKUP(C1515,Ativos!$A$1:$G2000,5,),)</f>
        <v/>
      </c>
    </row>
    <row r="1516" ht="21.0" customHeight="1">
      <c r="A1516" s="152"/>
      <c r="B1516" s="160"/>
      <c r="C1516" s="153"/>
      <c r="D1516" s="154"/>
      <c r="E1516" s="139"/>
      <c r="F1516" s="139"/>
      <c r="G1516" s="139"/>
      <c r="H1516" s="135"/>
      <c r="I1516" s="141"/>
      <c r="J1516" s="147" t="str">
        <f>IFERROR(__xludf.DUMMYFUNCTION("IF(ISBLANK(A1516),IFERROR(1/0),IF(COUNT(FILTER(F:F,A:A=A1516))&gt;1,TRUNC(N1516*F1516/SUM(FILTER(N:N,A:A=A1516)),3),F1516))"),"")</f>
        <v/>
      </c>
      <c r="K1516" s="147" t="str">
        <f>IFERROR(__xludf.DUMMYFUNCTION("IF(ISBLANK(A1516),IFERROR(1/0),IF(COUNT(FILTER(G:G,((A:A=A1516)*(B:B=""V""))))&gt;1,TRUNC(N1516*G1516/SUM(FILTER(N:N,((A:A=A1516)*(B:B=""V"")))),3),G1516))"),"")</f>
        <v/>
      </c>
      <c r="L1516" s="148" t="str">
        <f>IFERROR(__xludf.DUMMYFUNCTION("if($C1516="""","""",iferror(if(row()&lt;&gt;2,INDEX(arrayformula(filter($M$2:$M1515,$C$2:$C1515&lt;&gt;"""",row($C$2:$C1515)=max(if($C$2:$C1515=C1516,row($C$2:$C1515),0)))) ,1),0),0))"),"")</f>
        <v/>
      </c>
      <c r="M1516" s="148" t="str">
        <f t="shared" si="1"/>
        <v/>
      </c>
      <c r="N1516" s="147" t="str">
        <f t="shared" si="2"/>
        <v/>
      </c>
      <c r="O1516" s="147" t="str">
        <f t="shared" si="21"/>
        <v/>
      </c>
      <c r="P1516" s="147" t="str">
        <f>IFERROR(__xludf.DUMMYFUNCTION("if(C1516="""","""",iferror(if(row()&lt;&gt;2,INDEX(arrayformula(filter($Q$2:$Q1515,$C$2:$C1515&lt;&gt;"""",row($C$2:$C1515)=max(if($C$2:$C1515=C1516,row($C$2:$C1515),0)))) ,1),0),0))"),"")</f>
        <v/>
      </c>
      <c r="Q1516" s="147" t="str">
        <f t="shared" si="22"/>
        <v/>
      </c>
      <c r="R1516" s="147" t="str">
        <f t="shared" si="23"/>
        <v/>
      </c>
      <c r="S1516" s="147" t="str">
        <f t="shared" si="24"/>
        <v/>
      </c>
      <c r="T1516" s="147" t="str">
        <f t="shared" si="7"/>
        <v/>
      </c>
      <c r="U1516" s="150" t="str">
        <f t="shared" si="8"/>
        <v/>
      </c>
      <c r="V1516" s="151" t="str">
        <f>IFERROR(VLOOKUP(C1516,Ativos!$A$1:$G2000,5,),)</f>
        <v/>
      </c>
    </row>
    <row r="1517" ht="21.0" customHeight="1">
      <c r="A1517" s="152"/>
      <c r="B1517" s="160"/>
      <c r="C1517" s="153"/>
      <c r="D1517" s="154"/>
      <c r="E1517" s="139"/>
      <c r="F1517" s="139"/>
      <c r="G1517" s="139"/>
      <c r="H1517" s="135"/>
      <c r="I1517" s="141"/>
      <c r="J1517" s="147" t="str">
        <f>IFERROR(__xludf.DUMMYFUNCTION("IF(ISBLANK(A1517),IFERROR(1/0),IF(COUNT(FILTER(F:F,A:A=A1517))&gt;1,TRUNC(N1517*F1517/SUM(FILTER(N:N,A:A=A1517)),3),F1517))"),"")</f>
        <v/>
      </c>
      <c r="K1517" s="147" t="str">
        <f>IFERROR(__xludf.DUMMYFUNCTION("IF(ISBLANK(A1517),IFERROR(1/0),IF(COUNT(FILTER(G:G,((A:A=A1517)*(B:B=""V""))))&gt;1,TRUNC(N1517*G1517/SUM(FILTER(N:N,((A:A=A1517)*(B:B=""V"")))),3),G1517))"),"")</f>
        <v/>
      </c>
      <c r="L1517" s="148" t="str">
        <f>IFERROR(__xludf.DUMMYFUNCTION("if($C1517="""","""",iferror(if(row()&lt;&gt;2,INDEX(arrayformula(filter($M$2:$M1516,$C$2:$C1516&lt;&gt;"""",row($C$2:$C1516)=max(if($C$2:$C1516=C1517,row($C$2:$C1516),0)))) ,1),0),0))"),"")</f>
        <v/>
      </c>
      <c r="M1517" s="148" t="str">
        <f t="shared" si="1"/>
        <v/>
      </c>
      <c r="N1517" s="147" t="str">
        <f t="shared" si="2"/>
        <v/>
      </c>
      <c r="O1517" s="147" t="str">
        <f t="shared" si="21"/>
        <v/>
      </c>
      <c r="P1517" s="147" t="str">
        <f>IFERROR(__xludf.DUMMYFUNCTION("if(C1517="""","""",iferror(if(row()&lt;&gt;2,INDEX(arrayformula(filter($Q$2:$Q1516,$C$2:$C1516&lt;&gt;"""",row($C$2:$C1516)=max(if($C$2:$C1516=C1517,row($C$2:$C1516),0)))) ,1),0),0))"),"")</f>
        <v/>
      </c>
      <c r="Q1517" s="147" t="str">
        <f t="shared" si="22"/>
        <v/>
      </c>
      <c r="R1517" s="147" t="str">
        <f t="shared" si="23"/>
        <v/>
      </c>
      <c r="S1517" s="147" t="str">
        <f t="shared" si="24"/>
        <v/>
      </c>
      <c r="T1517" s="147" t="str">
        <f t="shared" si="7"/>
        <v/>
      </c>
      <c r="U1517" s="150" t="str">
        <f t="shared" si="8"/>
        <v/>
      </c>
      <c r="V1517" s="151" t="str">
        <f>IFERROR(VLOOKUP(C1517,Ativos!$A$1:$G2000,5,),)</f>
        <v/>
      </c>
    </row>
    <row r="1518" ht="21.0" customHeight="1">
      <c r="A1518" s="152"/>
      <c r="B1518" s="160"/>
      <c r="C1518" s="153"/>
      <c r="D1518" s="154"/>
      <c r="E1518" s="139"/>
      <c r="F1518" s="139"/>
      <c r="G1518" s="139"/>
      <c r="H1518" s="135"/>
      <c r="I1518" s="141"/>
      <c r="J1518" s="147" t="str">
        <f>IFERROR(__xludf.DUMMYFUNCTION("IF(ISBLANK(A1518),IFERROR(1/0),IF(COUNT(FILTER(F:F,A:A=A1518))&gt;1,TRUNC(N1518*F1518/SUM(FILTER(N:N,A:A=A1518)),3),F1518))"),"")</f>
        <v/>
      </c>
      <c r="K1518" s="147" t="str">
        <f>IFERROR(__xludf.DUMMYFUNCTION("IF(ISBLANK(A1518),IFERROR(1/0),IF(COUNT(FILTER(G:G,((A:A=A1518)*(B:B=""V""))))&gt;1,TRUNC(N1518*G1518/SUM(FILTER(N:N,((A:A=A1518)*(B:B=""V"")))),3),G1518))"),"")</f>
        <v/>
      </c>
      <c r="L1518" s="148" t="str">
        <f>IFERROR(__xludf.DUMMYFUNCTION("if($C1518="""","""",iferror(if(row()&lt;&gt;2,INDEX(arrayformula(filter($M$2:$M1517,$C$2:$C1517&lt;&gt;"""",row($C$2:$C1517)=max(if($C$2:$C1517=C1518,row($C$2:$C1517),0)))) ,1),0),0))"),"")</f>
        <v/>
      </c>
      <c r="M1518" s="148" t="str">
        <f t="shared" si="1"/>
        <v/>
      </c>
      <c r="N1518" s="147" t="str">
        <f t="shared" si="2"/>
        <v/>
      </c>
      <c r="O1518" s="147" t="str">
        <f t="shared" si="21"/>
        <v/>
      </c>
      <c r="P1518" s="147" t="str">
        <f>IFERROR(__xludf.DUMMYFUNCTION("if(C1518="""","""",iferror(if(row()&lt;&gt;2,INDEX(arrayformula(filter($Q$2:$Q1517,$C$2:$C1517&lt;&gt;"""",row($C$2:$C1517)=max(if($C$2:$C1517=C1518,row($C$2:$C1517),0)))) ,1),0),0))"),"")</f>
        <v/>
      </c>
      <c r="Q1518" s="147" t="str">
        <f t="shared" si="22"/>
        <v/>
      </c>
      <c r="R1518" s="147" t="str">
        <f t="shared" si="23"/>
        <v/>
      </c>
      <c r="S1518" s="147" t="str">
        <f t="shared" si="24"/>
        <v/>
      </c>
      <c r="T1518" s="147" t="str">
        <f t="shared" si="7"/>
        <v/>
      </c>
      <c r="U1518" s="150" t="str">
        <f t="shared" si="8"/>
        <v/>
      </c>
      <c r="V1518" s="151" t="str">
        <f>IFERROR(VLOOKUP(C1518,Ativos!$A$1:$G2000,5,),)</f>
        <v/>
      </c>
    </row>
    <row r="1519" ht="21.0" customHeight="1">
      <c r="A1519" s="152"/>
      <c r="B1519" s="160"/>
      <c r="C1519" s="153"/>
      <c r="D1519" s="154"/>
      <c r="E1519" s="139"/>
      <c r="F1519" s="139"/>
      <c r="G1519" s="139"/>
      <c r="H1519" s="135"/>
      <c r="I1519" s="141"/>
      <c r="J1519" s="147" t="str">
        <f>IFERROR(__xludf.DUMMYFUNCTION("IF(ISBLANK(A1519),IFERROR(1/0),IF(COUNT(FILTER(F:F,A:A=A1519))&gt;1,TRUNC(N1519*F1519/SUM(FILTER(N:N,A:A=A1519)),3),F1519))"),"")</f>
        <v/>
      </c>
      <c r="K1519" s="147" t="str">
        <f>IFERROR(__xludf.DUMMYFUNCTION("IF(ISBLANK(A1519),IFERROR(1/0),IF(COUNT(FILTER(G:G,((A:A=A1519)*(B:B=""V""))))&gt;1,TRUNC(N1519*G1519/SUM(FILTER(N:N,((A:A=A1519)*(B:B=""V"")))),3),G1519))"),"")</f>
        <v/>
      </c>
      <c r="L1519" s="148" t="str">
        <f>IFERROR(__xludf.DUMMYFUNCTION("if($C1519="""","""",iferror(if(row()&lt;&gt;2,INDEX(arrayformula(filter($M$2:$M1518,$C$2:$C1518&lt;&gt;"""",row($C$2:$C1518)=max(if($C$2:$C1518=C1519,row($C$2:$C1518),0)))) ,1),0),0))"),"")</f>
        <v/>
      </c>
      <c r="M1519" s="148" t="str">
        <f t="shared" si="1"/>
        <v/>
      </c>
      <c r="N1519" s="147" t="str">
        <f t="shared" si="2"/>
        <v/>
      </c>
      <c r="O1519" s="147" t="str">
        <f t="shared" si="21"/>
        <v/>
      </c>
      <c r="P1519" s="147" t="str">
        <f>IFERROR(__xludf.DUMMYFUNCTION("if(C1519="""","""",iferror(if(row()&lt;&gt;2,INDEX(arrayformula(filter($Q$2:$Q1518,$C$2:$C1518&lt;&gt;"""",row($C$2:$C1518)=max(if($C$2:$C1518=C1519,row($C$2:$C1518),0)))) ,1),0),0))"),"")</f>
        <v/>
      </c>
      <c r="Q1519" s="147" t="str">
        <f t="shared" si="22"/>
        <v/>
      </c>
      <c r="R1519" s="147" t="str">
        <f t="shared" si="23"/>
        <v/>
      </c>
      <c r="S1519" s="147" t="str">
        <f t="shared" si="24"/>
        <v/>
      </c>
      <c r="T1519" s="147" t="str">
        <f t="shared" si="7"/>
        <v/>
      </c>
      <c r="U1519" s="150" t="str">
        <f t="shared" si="8"/>
        <v/>
      </c>
      <c r="V1519" s="151" t="str">
        <f>IFERROR(VLOOKUP(C1519,Ativos!$A$1:$G2000,5,),)</f>
        <v/>
      </c>
    </row>
    <row r="1520" ht="21.0" customHeight="1">
      <c r="A1520" s="152"/>
      <c r="B1520" s="160"/>
      <c r="C1520" s="153"/>
      <c r="D1520" s="154"/>
      <c r="E1520" s="139"/>
      <c r="F1520" s="139"/>
      <c r="G1520" s="139"/>
      <c r="H1520" s="135"/>
      <c r="I1520" s="141"/>
      <c r="J1520" s="147" t="str">
        <f>IFERROR(__xludf.DUMMYFUNCTION("IF(ISBLANK(A1520),IFERROR(1/0),IF(COUNT(FILTER(F:F,A:A=A1520))&gt;1,TRUNC(N1520*F1520/SUM(FILTER(N:N,A:A=A1520)),3),F1520))"),"")</f>
        <v/>
      </c>
      <c r="K1520" s="147" t="str">
        <f>IFERROR(__xludf.DUMMYFUNCTION("IF(ISBLANK(A1520),IFERROR(1/0),IF(COUNT(FILTER(G:G,((A:A=A1520)*(B:B=""V""))))&gt;1,TRUNC(N1520*G1520/SUM(FILTER(N:N,((A:A=A1520)*(B:B=""V"")))),3),G1520))"),"")</f>
        <v/>
      </c>
      <c r="L1520" s="148" t="str">
        <f>IFERROR(__xludf.DUMMYFUNCTION("if($C1520="""","""",iferror(if(row()&lt;&gt;2,INDEX(arrayformula(filter($M$2:$M1519,$C$2:$C1519&lt;&gt;"""",row($C$2:$C1519)=max(if($C$2:$C1519=C1520,row($C$2:$C1519),0)))) ,1),0),0))"),"")</f>
        <v/>
      </c>
      <c r="M1520" s="148" t="str">
        <f t="shared" si="1"/>
        <v/>
      </c>
      <c r="N1520" s="147" t="str">
        <f t="shared" si="2"/>
        <v/>
      </c>
      <c r="O1520" s="147" t="str">
        <f t="shared" si="21"/>
        <v/>
      </c>
      <c r="P1520" s="147" t="str">
        <f>IFERROR(__xludf.DUMMYFUNCTION("if(C1520="""","""",iferror(if(row()&lt;&gt;2,INDEX(arrayformula(filter($Q$2:$Q1519,$C$2:$C1519&lt;&gt;"""",row($C$2:$C1519)=max(if($C$2:$C1519=C1520,row($C$2:$C1519),0)))) ,1),0),0))"),"")</f>
        <v/>
      </c>
      <c r="Q1520" s="147" t="str">
        <f t="shared" si="22"/>
        <v/>
      </c>
      <c r="R1520" s="147" t="str">
        <f t="shared" si="23"/>
        <v/>
      </c>
      <c r="S1520" s="147" t="str">
        <f t="shared" si="24"/>
        <v/>
      </c>
      <c r="T1520" s="147" t="str">
        <f t="shared" si="7"/>
        <v/>
      </c>
      <c r="U1520" s="150" t="str">
        <f t="shared" si="8"/>
        <v/>
      </c>
      <c r="V1520" s="151" t="str">
        <f>IFERROR(VLOOKUP(C1520,Ativos!$A$1:$G2000,5,),)</f>
        <v/>
      </c>
    </row>
    <row r="1521" ht="21.0" customHeight="1">
      <c r="A1521" s="152"/>
      <c r="B1521" s="160"/>
      <c r="C1521" s="153"/>
      <c r="D1521" s="154"/>
      <c r="E1521" s="139"/>
      <c r="F1521" s="139"/>
      <c r="G1521" s="139"/>
      <c r="H1521" s="135"/>
      <c r="I1521" s="141"/>
      <c r="J1521" s="147" t="str">
        <f>IFERROR(__xludf.DUMMYFUNCTION("IF(ISBLANK(A1521),IFERROR(1/0),IF(COUNT(FILTER(F:F,A:A=A1521))&gt;1,TRUNC(N1521*F1521/SUM(FILTER(N:N,A:A=A1521)),3),F1521))"),"")</f>
        <v/>
      </c>
      <c r="K1521" s="147" t="str">
        <f>IFERROR(__xludf.DUMMYFUNCTION("IF(ISBLANK(A1521),IFERROR(1/0),IF(COUNT(FILTER(G:G,((A:A=A1521)*(B:B=""V""))))&gt;1,TRUNC(N1521*G1521/SUM(FILTER(N:N,((A:A=A1521)*(B:B=""V"")))),3),G1521))"),"")</f>
        <v/>
      </c>
      <c r="L1521" s="148" t="str">
        <f>IFERROR(__xludf.DUMMYFUNCTION("if($C1521="""","""",iferror(if(row()&lt;&gt;2,INDEX(arrayformula(filter($M$2:$M1520,$C$2:$C1520&lt;&gt;"""",row($C$2:$C1520)=max(if($C$2:$C1520=C1521,row($C$2:$C1520),0)))) ,1),0),0))"),"")</f>
        <v/>
      </c>
      <c r="M1521" s="148" t="str">
        <f t="shared" si="1"/>
        <v/>
      </c>
      <c r="N1521" s="147" t="str">
        <f t="shared" si="2"/>
        <v/>
      </c>
      <c r="O1521" s="147" t="str">
        <f t="shared" si="21"/>
        <v/>
      </c>
      <c r="P1521" s="147" t="str">
        <f>IFERROR(__xludf.DUMMYFUNCTION("if(C1521="""","""",iferror(if(row()&lt;&gt;2,INDEX(arrayformula(filter($Q$2:$Q1520,$C$2:$C1520&lt;&gt;"""",row($C$2:$C1520)=max(if($C$2:$C1520=C1521,row($C$2:$C1520),0)))) ,1),0),0))"),"")</f>
        <v/>
      </c>
      <c r="Q1521" s="147" t="str">
        <f t="shared" si="22"/>
        <v/>
      </c>
      <c r="R1521" s="147" t="str">
        <f t="shared" si="23"/>
        <v/>
      </c>
      <c r="S1521" s="147" t="str">
        <f t="shared" si="24"/>
        <v/>
      </c>
      <c r="T1521" s="147" t="str">
        <f t="shared" si="7"/>
        <v/>
      </c>
      <c r="U1521" s="150" t="str">
        <f t="shared" si="8"/>
        <v/>
      </c>
      <c r="V1521" s="151" t="str">
        <f>IFERROR(VLOOKUP(C1521,Ativos!$A$1:$G2000,5,),)</f>
        <v/>
      </c>
    </row>
    <row r="1522" ht="21.0" customHeight="1">
      <c r="A1522" s="152"/>
      <c r="B1522" s="160"/>
      <c r="C1522" s="153"/>
      <c r="D1522" s="154"/>
      <c r="E1522" s="139"/>
      <c r="F1522" s="139"/>
      <c r="G1522" s="139"/>
      <c r="H1522" s="135"/>
      <c r="I1522" s="141"/>
      <c r="J1522" s="147" t="str">
        <f>IFERROR(__xludf.DUMMYFUNCTION("IF(ISBLANK(A1522),IFERROR(1/0),IF(COUNT(FILTER(F:F,A:A=A1522))&gt;1,TRUNC(N1522*F1522/SUM(FILTER(N:N,A:A=A1522)),3),F1522))"),"")</f>
        <v/>
      </c>
      <c r="K1522" s="147" t="str">
        <f>IFERROR(__xludf.DUMMYFUNCTION("IF(ISBLANK(A1522),IFERROR(1/0),IF(COUNT(FILTER(G:G,((A:A=A1522)*(B:B=""V""))))&gt;1,TRUNC(N1522*G1522/SUM(FILTER(N:N,((A:A=A1522)*(B:B=""V"")))),3),G1522))"),"")</f>
        <v/>
      </c>
      <c r="L1522" s="148" t="str">
        <f>IFERROR(__xludf.DUMMYFUNCTION("if($C1522="""","""",iferror(if(row()&lt;&gt;2,INDEX(arrayformula(filter($M$2:$M1521,$C$2:$C1521&lt;&gt;"""",row($C$2:$C1521)=max(if($C$2:$C1521=C1522,row($C$2:$C1521),0)))) ,1),0),0))"),"")</f>
        <v/>
      </c>
      <c r="M1522" s="148" t="str">
        <f t="shared" si="1"/>
        <v/>
      </c>
      <c r="N1522" s="147" t="str">
        <f t="shared" si="2"/>
        <v/>
      </c>
      <c r="O1522" s="147" t="str">
        <f t="shared" si="21"/>
        <v/>
      </c>
      <c r="P1522" s="147" t="str">
        <f>IFERROR(__xludf.DUMMYFUNCTION("if(C1522="""","""",iferror(if(row()&lt;&gt;2,INDEX(arrayformula(filter($Q$2:$Q1521,$C$2:$C1521&lt;&gt;"""",row($C$2:$C1521)=max(if($C$2:$C1521=C1522,row($C$2:$C1521),0)))) ,1),0),0))"),"")</f>
        <v/>
      </c>
      <c r="Q1522" s="147" t="str">
        <f t="shared" si="22"/>
        <v/>
      </c>
      <c r="R1522" s="147" t="str">
        <f t="shared" si="23"/>
        <v/>
      </c>
      <c r="S1522" s="147" t="str">
        <f t="shared" si="24"/>
        <v/>
      </c>
      <c r="T1522" s="147" t="str">
        <f t="shared" si="7"/>
        <v/>
      </c>
      <c r="U1522" s="150" t="str">
        <f t="shared" si="8"/>
        <v/>
      </c>
      <c r="V1522" s="151" t="str">
        <f>IFERROR(VLOOKUP(C1522,Ativos!$A$1:$G2000,5,),)</f>
        <v/>
      </c>
    </row>
    <row r="1523" ht="21.0" customHeight="1">
      <c r="A1523" s="152"/>
      <c r="B1523" s="160"/>
      <c r="C1523" s="153"/>
      <c r="D1523" s="154"/>
      <c r="E1523" s="139"/>
      <c r="F1523" s="139"/>
      <c r="G1523" s="139"/>
      <c r="H1523" s="135"/>
      <c r="I1523" s="141"/>
      <c r="J1523" s="147" t="str">
        <f>IFERROR(__xludf.DUMMYFUNCTION("IF(ISBLANK(A1523),IFERROR(1/0),IF(COUNT(FILTER(F:F,A:A=A1523))&gt;1,TRUNC(N1523*F1523/SUM(FILTER(N:N,A:A=A1523)),3),F1523))"),"")</f>
        <v/>
      </c>
      <c r="K1523" s="147" t="str">
        <f>IFERROR(__xludf.DUMMYFUNCTION("IF(ISBLANK(A1523),IFERROR(1/0),IF(COUNT(FILTER(G:G,((A:A=A1523)*(B:B=""V""))))&gt;1,TRUNC(N1523*G1523/SUM(FILTER(N:N,((A:A=A1523)*(B:B=""V"")))),3),G1523))"),"")</f>
        <v/>
      </c>
      <c r="L1523" s="148" t="str">
        <f>IFERROR(__xludf.DUMMYFUNCTION("if($C1523="""","""",iferror(if(row()&lt;&gt;2,INDEX(arrayformula(filter($M$2:$M1522,$C$2:$C1522&lt;&gt;"""",row($C$2:$C1522)=max(if($C$2:$C1522=C1523,row($C$2:$C1522),0)))) ,1),0),0))"),"")</f>
        <v/>
      </c>
      <c r="M1523" s="148" t="str">
        <f t="shared" si="1"/>
        <v/>
      </c>
      <c r="N1523" s="147" t="str">
        <f t="shared" si="2"/>
        <v/>
      </c>
      <c r="O1523" s="147" t="str">
        <f t="shared" si="21"/>
        <v/>
      </c>
      <c r="P1523" s="147" t="str">
        <f>IFERROR(__xludf.DUMMYFUNCTION("if(C1523="""","""",iferror(if(row()&lt;&gt;2,INDEX(arrayformula(filter($Q$2:$Q1522,$C$2:$C1522&lt;&gt;"""",row($C$2:$C1522)=max(if($C$2:$C1522=C1523,row($C$2:$C1522),0)))) ,1),0),0))"),"")</f>
        <v/>
      </c>
      <c r="Q1523" s="147" t="str">
        <f t="shared" si="22"/>
        <v/>
      </c>
      <c r="R1523" s="147" t="str">
        <f t="shared" si="23"/>
        <v/>
      </c>
      <c r="S1523" s="147" t="str">
        <f t="shared" si="24"/>
        <v/>
      </c>
      <c r="T1523" s="147" t="str">
        <f t="shared" si="7"/>
        <v/>
      </c>
      <c r="U1523" s="150" t="str">
        <f t="shared" si="8"/>
        <v/>
      </c>
      <c r="V1523" s="151" t="str">
        <f>IFERROR(VLOOKUP(C1523,Ativos!$A$1:$G2000,5,),)</f>
        <v/>
      </c>
    </row>
    <row r="1524" ht="21.0" customHeight="1">
      <c r="A1524" s="152"/>
      <c r="B1524" s="160"/>
      <c r="C1524" s="153"/>
      <c r="D1524" s="154"/>
      <c r="E1524" s="139"/>
      <c r="F1524" s="139"/>
      <c r="G1524" s="139"/>
      <c r="H1524" s="135"/>
      <c r="I1524" s="141"/>
      <c r="J1524" s="147" t="str">
        <f>IFERROR(__xludf.DUMMYFUNCTION("IF(ISBLANK(A1524),IFERROR(1/0),IF(COUNT(FILTER(F:F,A:A=A1524))&gt;1,TRUNC(N1524*F1524/SUM(FILTER(N:N,A:A=A1524)),3),F1524))"),"")</f>
        <v/>
      </c>
      <c r="K1524" s="147" t="str">
        <f>IFERROR(__xludf.DUMMYFUNCTION("IF(ISBLANK(A1524),IFERROR(1/0),IF(COUNT(FILTER(G:G,((A:A=A1524)*(B:B=""V""))))&gt;1,TRUNC(N1524*G1524/SUM(FILTER(N:N,((A:A=A1524)*(B:B=""V"")))),3),G1524))"),"")</f>
        <v/>
      </c>
      <c r="L1524" s="148" t="str">
        <f>IFERROR(__xludf.DUMMYFUNCTION("if($C1524="""","""",iferror(if(row()&lt;&gt;2,INDEX(arrayformula(filter($M$2:$M1523,$C$2:$C1523&lt;&gt;"""",row($C$2:$C1523)=max(if($C$2:$C1523=C1524,row($C$2:$C1523),0)))) ,1),0),0))"),"")</f>
        <v/>
      </c>
      <c r="M1524" s="148" t="str">
        <f t="shared" si="1"/>
        <v/>
      </c>
      <c r="N1524" s="147" t="str">
        <f t="shared" si="2"/>
        <v/>
      </c>
      <c r="O1524" s="147" t="str">
        <f t="shared" si="21"/>
        <v/>
      </c>
      <c r="P1524" s="147" t="str">
        <f>IFERROR(__xludf.DUMMYFUNCTION("if(C1524="""","""",iferror(if(row()&lt;&gt;2,INDEX(arrayformula(filter($Q$2:$Q1523,$C$2:$C1523&lt;&gt;"""",row($C$2:$C1523)=max(if($C$2:$C1523=C1524,row($C$2:$C1523),0)))) ,1),0),0))"),"")</f>
        <v/>
      </c>
      <c r="Q1524" s="147" t="str">
        <f t="shared" si="22"/>
        <v/>
      </c>
      <c r="R1524" s="147" t="str">
        <f t="shared" si="23"/>
        <v/>
      </c>
      <c r="S1524" s="147" t="str">
        <f t="shared" si="24"/>
        <v/>
      </c>
      <c r="T1524" s="147" t="str">
        <f t="shared" si="7"/>
        <v/>
      </c>
      <c r="U1524" s="150" t="str">
        <f t="shared" si="8"/>
        <v/>
      </c>
      <c r="V1524" s="151" t="str">
        <f>IFERROR(VLOOKUP(C1524,Ativos!$A$1:$G2000,5,),)</f>
        <v/>
      </c>
    </row>
    <row r="1525" ht="21.0" customHeight="1">
      <c r="A1525" s="152"/>
      <c r="B1525" s="160"/>
      <c r="C1525" s="153"/>
      <c r="D1525" s="154"/>
      <c r="E1525" s="139"/>
      <c r="F1525" s="139"/>
      <c r="G1525" s="139"/>
      <c r="H1525" s="135"/>
      <c r="I1525" s="141"/>
      <c r="J1525" s="147" t="str">
        <f>IFERROR(__xludf.DUMMYFUNCTION("IF(ISBLANK(A1525),IFERROR(1/0),IF(COUNT(FILTER(F:F,A:A=A1525))&gt;1,TRUNC(N1525*F1525/SUM(FILTER(N:N,A:A=A1525)),3),F1525))"),"")</f>
        <v/>
      </c>
      <c r="K1525" s="147" t="str">
        <f>IFERROR(__xludf.DUMMYFUNCTION("IF(ISBLANK(A1525),IFERROR(1/0),IF(COUNT(FILTER(G:G,((A:A=A1525)*(B:B=""V""))))&gt;1,TRUNC(N1525*G1525/SUM(FILTER(N:N,((A:A=A1525)*(B:B=""V"")))),3),G1525))"),"")</f>
        <v/>
      </c>
      <c r="L1525" s="148" t="str">
        <f>IFERROR(__xludf.DUMMYFUNCTION("if($C1525="""","""",iferror(if(row()&lt;&gt;2,INDEX(arrayformula(filter($M$2:$M1524,$C$2:$C1524&lt;&gt;"""",row($C$2:$C1524)=max(if($C$2:$C1524=C1525,row($C$2:$C1524),0)))) ,1),0),0))"),"")</f>
        <v/>
      </c>
      <c r="M1525" s="148" t="str">
        <f t="shared" si="1"/>
        <v/>
      </c>
      <c r="N1525" s="147" t="str">
        <f t="shared" si="2"/>
        <v/>
      </c>
      <c r="O1525" s="147" t="str">
        <f t="shared" si="21"/>
        <v/>
      </c>
      <c r="P1525" s="147" t="str">
        <f>IFERROR(__xludf.DUMMYFUNCTION("if(C1525="""","""",iferror(if(row()&lt;&gt;2,INDEX(arrayformula(filter($Q$2:$Q1524,$C$2:$C1524&lt;&gt;"""",row($C$2:$C1524)=max(if($C$2:$C1524=C1525,row($C$2:$C1524),0)))) ,1),0),0))"),"")</f>
        <v/>
      </c>
      <c r="Q1525" s="147" t="str">
        <f t="shared" si="22"/>
        <v/>
      </c>
      <c r="R1525" s="147" t="str">
        <f t="shared" si="23"/>
        <v/>
      </c>
      <c r="S1525" s="147" t="str">
        <f t="shared" si="24"/>
        <v/>
      </c>
      <c r="T1525" s="147" t="str">
        <f t="shared" si="7"/>
        <v/>
      </c>
      <c r="U1525" s="150" t="str">
        <f t="shared" si="8"/>
        <v/>
      </c>
      <c r="V1525" s="151" t="str">
        <f>IFERROR(VLOOKUP(C1525,Ativos!$A$1:$G2000,5,),)</f>
        <v/>
      </c>
    </row>
    <row r="1526" ht="21.0" customHeight="1">
      <c r="A1526" s="152"/>
      <c r="B1526" s="160"/>
      <c r="C1526" s="153"/>
      <c r="D1526" s="154"/>
      <c r="E1526" s="139"/>
      <c r="F1526" s="139"/>
      <c r="G1526" s="139"/>
      <c r="H1526" s="135"/>
      <c r="I1526" s="141"/>
      <c r="J1526" s="147" t="str">
        <f>IFERROR(__xludf.DUMMYFUNCTION("IF(ISBLANK(A1526),IFERROR(1/0),IF(COUNT(FILTER(F:F,A:A=A1526))&gt;1,TRUNC(N1526*F1526/SUM(FILTER(N:N,A:A=A1526)),3),F1526))"),"")</f>
        <v/>
      </c>
      <c r="K1526" s="147" t="str">
        <f>IFERROR(__xludf.DUMMYFUNCTION("IF(ISBLANK(A1526),IFERROR(1/0),IF(COUNT(FILTER(G:G,((A:A=A1526)*(B:B=""V""))))&gt;1,TRUNC(N1526*G1526/SUM(FILTER(N:N,((A:A=A1526)*(B:B=""V"")))),3),G1526))"),"")</f>
        <v/>
      </c>
      <c r="L1526" s="148" t="str">
        <f>IFERROR(__xludf.DUMMYFUNCTION("if($C1526="""","""",iferror(if(row()&lt;&gt;2,INDEX(arrayformula(filter($M$2:$M1525,$C$2:$C1525&lt;&gt;"""",row($C$2:$C1525)=max(if($C$2:$C1525=C1526,row($C$2:$C1525),0)))) ,1),0),0))"),"")</f>
        <v/>
      </c>
      <c r="M1526" s="148" t="str">
        <f t="shared" si="1"/>
        <v/>
      </c>
      <c r="N1526" s="147" t="str">
        <f t="shared" si="2"/>
        <v/>
      </c>
      <c r="O1526" s="147" t="str">
        <f t="shared" si="21"/>
        <v/>
      </c>
      <c r="P1526" s="147" t="str">
        <f>IFERROR(__xludf.DUMMYFUNCTION("if(C1526="""","""",iferror(if(row()&lt;&gt;2,INDEX(arrayformula(filter($Q$2:$Q1525,$C$2:$C1525&lt;&gt;"""",row($C$2:$C1525)=max(if($C$2:$C1525=C1526,row($C$2:$C1525),0)))) ,1),0),0))"),"")</f>
        <v/>
      </c>
      <c r="Q1526" s="147" t="str">
        <f t="shared" si="22"/>
        <v/>
      </c>
      <c r="R1526" s="147" t="str">
        <f t="shared" si="23"/>
        <v/>
      </c>
      <c r="S1526" s="147" t="str">
        <f t="shared" si="24"/>
        <v/>
      </c>
      <c r="T1526" s="147" t="str">
        <f t="shared" si="7"/>
        <v/>
      </c>
      <c r="U1526" s="150" t="str">
        <f t="shared" si="8"/>
        <v/>
      </c>
      <c r="V1526" s="151" t="str">
        <f>IFERROR(VLOOKUP(C1526,Ativos!$A$1:$G2000,5,),)</f>
        <v/>
      </c>
    </row>
    <row r="1527" ht="21.0" customHeight="1">
      <c r="A1527" s="152"/>
      <c r="B1527" s="160"/>
      <c r="C1527" s="153"/>
      <c r="D1527" s="154"/>
      <c r="E1527" s="139"/>
      <c r="F1527" s="139"/>
      <c r="G1527" s="139"/>
      <c r="H1527" s="135"/>
      <c r="I1527" s="141"/>
      <c r="J1527" s="147" t="str">
        <f>IFERROR(__xludf.DUMMYFUNCTION("IF(ISBLANK(A1527),IFERROR(1/0),IF(COUNT(FILTER(F:F,A:A=A1527))&gt;1,TRUNC(N1527*F1527/SUM(FILTER(N:N,A:A=A1527)),3),F1527))"),"")</f>
        <v/>
      </c>
      <c r="K1527" s="147" t="str">
        <f>IFERROR(__xludf.DUMMYFUNCTION("IF(ISBLANK(A1527),IFERROR(1/0),IF(COUNT(FILTER(G:G,((A:A=A1527)*(B:B=""V""))))&gt;1,TRUNC(N1527*G1527/SUM(FILTER(N:N,((A:A=A1527)*(B:B=""V"")))),3),G1527))"),"")</f>
        <v/>
      </c>
      <c r="L1527" s="148" t="str">
        <f>IFERROR(__xludf.DUMMYFUNCTION("if($C1527="""","""",iferror(if(row()&lt;&gt;2,INDEX(arrayformula(filter($M$2:$M1526,$C$2:$C1526&lt;&gt;"""",row($C$2:$C1526)=max(if($C$2:$C1526=C1527,row($C$2:$C1526),0)))) ,1),0),0))"),"")</f>
        <v/>
      </c>
      <c r="M1527" s="148" t="str">
        <f t="shared" si="1"/>
        <v/>
      </c>
      <c r="N1527" s="147" t="str">
        <f t="shared" si="2"/>
        <v/>
      </c>
      <c r="O1527" s="147" t="str">
        <f t="shared" si="21"/>
        <v/>
      </c>
      <c r="P1527" s="147" t="str">
        <f>IFERROR(__xludf.DUMMYFUNCTION("if(C1527="""","""",iferror(if(row()&lt;&gt;2,INDEX(arrayformula(filter($Q$2:$Q1526,$C$2:$C1526&lt;&gt;"""",row($C$2:$C1526)=max(if($C$2:$C1526=C1527,row($C$2:$C1526),0)))) ,1),0),0))"),"")</f>
        <v/>
      </c>
      <c r="Q1527" s="147" t="str">
        <f t="shared" si="22"/>
        <v/>
      </c>
      <c r="R1527" s="147" t="str">
        <f t="shared" si="23"/>
        <v/>
      </c>
      <c r="S1527" s="147" t="str">
        <f t="shared" si="24"/>
        <v/>
      </c>
      <c r="T1527" s="147" t="str">
        <f t="shared" si="7"/>
        <v/>
      </c>
      <c r="U1527" s="150" t="str">
        <f t="shared" si="8"/>
        <v/>
      </c>
      <c r="V1527" s="151" t="str">
        <f>IFERROR(VLOOKUP(C1527,Ativos!$A$1:$G2000,5,),)</f>
        <v/>
      </c>
    </row>
    <row r="1528" ht="21.0" customHeight="1">
      <c r="A1528" s="152"/>
      <c r="B1528" s="160"/>
      <c r="C1528" s="153"/>
      <c r="D1528" s="154"/>
      <c r="E1528" s="139"/>
      <c r="F1528" s="139"/>
      <c r="G1528" s="139"/>
      <c r="H1528" s="135"/>
      <c r="I1528" s="141"/>
      <c r="J1528" s="147" t="str">
        <f>IFERROR(__xludf.DUMMYFUNCTION("IF(ISBLANK(A1528),IFERROR(1/0),IF(COUNT(FILTER(F:F,A:A=A1528))&gt;1,TRUNC(N1528*F1528/SUM(FILTER(N:N,A:A=A1528)),3),F1528))"),"")</f>
        <v/>
      </c>
      <c r="K1528" s="147" t="str">
        <f>IFERROR(__xludf.DUMMYFUNCTION("IF(ISBLANK(A1528),IFERROR(1/0),IF(COUNT(FILTER(G:G,((A:A=A1528)*(B:B=""V""))))&gt;1,TRUNC(N1528*G1528/SUM(FILTER(N:N,((A:A=A1528)*(B:B=""V"")))),3),G1528))"),"")</f>
        <v/>
      </c>
      <c r="L1528" s="148" t="str">
        <f>IFERROR(__xludf.DUMMYFUNCTION("if($C1528="""","""",iferror(if(row()&lt;&gt;2,INDEX(arrayformula(filter($M$2:$M1527,$C$2:$C1527&lt;&gt;"""",row($C$2:$C1527)=max(if($C$2:$C1527=C1528,row($C$2:$C1527),0)))) ,1),0),0))"),"")</f>
        <v/>
      </c>
      <c r="M1528" s="148" t="str">
        <f t="shared" si="1"/>
        <v/>
      </c>
      <c r="N1528" s="147" t="str">
        <f t="shared" si="2"/>
        <v/>
      </c>
      <c r="O1528" s="147" t="str">
        <f t="shared" si="21"/>
        <v/>
      </c>
      <c r="P1528" s="147" t="str">
        <f>IFERROR(__xludf.DUMMYFUNCTION("if(C1528="""","""",iferror(if(row()&lt;&gt;2,INDEX(arrayformula(filter($Q$2:$Q1527,$C$2:$C1527&lt;&gt;"""",row($C$2:$C1527)=max(if($C$2:$C1527=C1528,row($C$2:$C1527),0)))) ,1),0),0))"),"")</f>
        <v/>
      </c>
      <c r="Q1528" s="147" t="str">
        <f t="shared" si="22"/>
        <v/>
      </c>
      <c r="R1528" s="147" t="str">
        <f t="shared" si="23"/>
        <v/>
      </c>
      <c r="S1528" s="147" t="str">
        <f t="shared" si="24"/>
        <v/>
      </c>
      <c r="T1528" s="147" t="str">
        <f t="shared" si="7"/>
        <v/>
      </c>
      <c r="U1528" s="150" t="str">
        <f t="shared" si="8"/>
        <v/>
      </c>
      <c r="V1528" s="151" t="str">
        <f>IFERROR(VLOOKUP(C1528,Ativos!$A$1:$G2000,5,),)</f>
        <v/>
      </c>
    </row>
    <row r="1529" ht="21.0" customHeight="1">
      <c r="A1529" s="152"/>
      <c r="B1529" s="160"/>
      <c r="C1529" s="153"/>
      <c r="D1529" s="154"/>
      <c r="E1529" s="139"/>
      <c r="F1529" s="139"/>
      <c r="G1529" s="139"/>
      <c r="H1529" s="135"/>
      <c r="I1529" s="141"/>
      <c r="J1529" s="147" t="str">
        <f>IFERROR(__xludf.DUMMYFUNCTION("IF(ISBLANK(A1529),IFERROR(1/0),IF(COUNT(FILTER(F:F,A:A=A1529))&gt;1,TRUNC(N1529*F1529/SUM(FILTER(N:N,A:A=A1529)),3),F1529))"),"")</f>
        <v/>
      </c>
      <c r="K1529" s="147" t="str">
        <f>IFERROR(__xludf.DUMMYFUNCTION("IF(ISBLANK(A1529),IFERROR(1/0),IF(COUNT(FILTER(G:G,((A:A=A1529)*(B:B=""V""))))&gt;1,TRUNC(N1529*G1529/SUM(FILTER(N:N,((A:A=A1529)*(B:B=""V"")))),3),G1529))"),"")</f>
        <v/>
      </c>
      <c r="L1529" s="148" t="str">
        <f>IFERROR(__xludf.DUMMYFUNCTION("if($C1529="""","""",iferror(if(row()&lt;&gt;2,INDEX(arrayformula(filter($M$2:$M1528,$C$2:$C1528&lt;&gt;"""",row($C$2:$C1528)=max(if($C$2:$C1528=C1529,row($C$2:$C1528),0)))) ,1),0),0))"),"")</f>
        <v/>
      </c>
      <c r="M1529" s="148" t="str">
        <f t="shared" si="1"/>
        <v/>
      </c>
      <c r="N1529" s="147" t="str">
        <f t="shared" si="2"/>
        <v/>
      </c>
      <c r="O1529" s="147" t="str">
        <f t="shared" si="21"/>
        <v/>
      </c>
      <c r="P1529" s="147" t="str">
        <f>IFERROR(__xludf.DUMMYFUNCTION("if(C1529="""","""",iferror(if(row()&lt;&gt;2,INDEX(arrayformula(filter($Q$2:$Q1528,$C$2:$C1528&lt;&gt;"""",row($C$2:$C1528)=max(if($C$2:$C1528=C1529,row($C$2:$C1528),0)))) ,1),0),0))"),"")</f>
        <v/>
      </c>
      <c r="Q1529" s="147" t="str">
        <f t="shared" si="22"/>
        <v/>
      </c>
      <c r="R1529" s="147" t="str">
        <f t="shared" si="23"/>
        <v/>
      </c>
      <c r="S1529" s="147" t="str">
        <f t="shared" si="24"/>
        <v/>
      </c>
      <c r="T1529" s="147" t="str">
        <f t="shared" si="7"/>
        <v/>
      </c>
      <c r="U1529" s="150" t="str">
        <f t="shared" si="8"/>
        <v/>
      </c>
      <c r="V1529" s="151" t="str">
        <f>IFERROR(VLOOKUP(C1529,Ativos!$A$1:$G2000,5,),)</f>
        <v/>
      </c>
    </row>
    <row r="1530" ht="21.0" customHeight="1">
      <c r="A1530" s="152"/>
      <c r="B1530" s="160"/>
      <c r="C1530" s="153"/>
      <c r="D1530" s="154"/>
      <c r="E1530" s="139"/>
      <c r="F1530" s="139"/>
      <c r="G1530" s="139"/>
      <c r="H1530" s="135"/>
      <c r="I1530" s="141"/>
      <c r="J1530" s="147" t="str">
        <f>IFERROR(__xludf.DUMMYFUNCTION("IF(ISBLANK(A1530),IFERROR(1/0),IF(COUNT(FILTER(F:F,A:A=A1530))&gt;1,TRUNC(N1530*F1530/SUM(FILTER(N:N,A:A=A1530)),3),F1530))"),"")</f>
        <v/>
      </c>
      <c r="K1530" s="147" t="str">
        <f>IFERROR(__xludf.DUMMYFUNCTION("IF(ISBLANK(A1530),IFERROR(1/0),IF(COUNT(FILTER(G:G,((A:A=A1530)*(B:B=""V""))))&gt;1,TRUNC(N1530*G1530/SUM(FILTER(N:N,((A:A=A1530)*(B:B=""V"")))),3),G1530))"),"")</f>
        <v/>
      </c>
      <c r="L1530" s="148" t="str">
        <f>IFERROR(__xludf.DUMMYFUNCTION("if($C1530="""","""",iferror(if(row()&lt;&gt;2,INDEX(arrayformula(filter($M$2:$M1529,$C$2:$C1529&lt;&gt;"""",row($C$2:$C1529)=max(if($C$2:$C1529=C1530,row($C$2:$C1529),0)))) ,1),0),0))"),"")</f>
        <v/>
      </c>
      <c r="M1530" s="148" t="str">
        <f t="shared" si="1"/>
        <v/>
      </c>
      <c r="N1530" s="147" t="str">
        <f t="shared" si="2"/>
        <v/>
      </c>
      <c r="O1530" s="147" t="str">
        <f t="shared" si="21"/>
        <v/>
      </c>
      <c r="P1530" s="147" t="str">
        <f>IFERROR(__xludf.DUMMYFUNCTION("if(C1530="""","""",iferror(if(row()&lt;&gt;2,INDEX(arrayformula(filter($Q$2:$Q1529,$C$2:$C1529&lt;&gt;"""",row($C$2:$C1529)=max(if($C$2:$C1529=C1530,row($C$2:$C1529),0)))) ,1),0),0))"),"")</f>
        <v/>
      </c>
      <c r="Q1530" s="147" t="str">
        <f t="shared" si="22"/>
        <v/>
      </c>
      <c r="R1530" s="147" t="str">
        <f t="shared" si="23"/>
        <v/>
      </c>
      <c r="S1530" s="147" t="str">
        <f t="shared" si="24"/>
        <v/>
      </c>
      <c r="T1530" s="147" t="str">
        <f t="shared" si="7"/>
        <v/>
      </c>
      <c r="U1530" s="150" t="str">
        <f t="shared" si="8"/>
        <v/>
      </c>
      <c r="V1530" s="151" t="str">
        <f>IFERROR(VLOOKUP(C1530,Ativos!$A$1:$G2000,5,),)</f>
        <v/>
      </c>
    </row>
    <row r="1531" ht="21.0" customHeight="1">
      <c r="A1531" s="152"/>
      <c r="B1531" s="160"/>
      <c r="C1531" s="153"/>
      <c r="D1531" s="154"/>
      <c r="E1531" s="139"/>
      <c r="F1531" s="139"/>
      <c r="G1531" s="139"/>
      <c r="H1531" s="135"/>
      <c r="I1531" s="141"/>
      <c r="J1531" s="147" t="str">
        <f>IFERROR(__xludf.DUMMYFUNCTION("IF(ISBLANK(A1531),IFERROR(1/0),IF(COUNT(FILTER(F:F,A:A=A1531))&gt;1,TRUNC(N1531*F1531/SUM(FILTER(N:N,A:A=A1531)),3),F1531))"),"")</f>
        <v/>
      </c>
      <c r="K1531" s="147" t="str">
        <f>IFERROR(__xludf.DUMMYFUNCTION("IF(ISBLANK(A1531),IFERROR(1/0),IF(COUNT(FILTER(G:G,((A:A=A1531)*(B:B=""V""))))&gt;1,TRUNC(N1531*G1531/SUM(FILTER(N:N,((A:A=A1531)*(B:B=""V"")))),3),G1531))"),"")</f>
        <v/>
      </c>
      <c r="L1531" s="148" t="str">
        <f>IFERROR(__xludf.DUMMYFUNCTION("if($C1531="""","""",iferror(if(row()&lt;&gt;2,INDEX(arrayformula(filter($M$2:$M1530,$C$2:$C1530&lt;&gt;"""",row($C$2:$C1530)=max(if($C$2:$C1530=C1531,row($C$2:$C1530),0)))) ,1),0),0))"),"")</f>
        <v/>
      </c>
      <c r="M1531" s="148" t="str">
        <f t="shared" si="1"/>
        <v/>
      </c>
      <c r="N1531" s="147" t="str">
        <f t="shared" si="2"/>
        <v/>
      </c>
      <c r="O1531" s="147" t="str">
        <f t="shared" si="21"/>
        <v/>
      </c>
      <c r="P1531" s="147" t="str">
        <f>IFERROR(__xludf.DUMMYFUNCTION("if(C1531="""","""",iferror(if(row()&lt;&gt;2,INDEX(arrayformula(filter($Q$2:$Q1530,$C$2:$C1530&lt;&gt;"""",row($C$2:$C1530)=max(if($C$2:$C1530=C1531,row($C$2:$C1530),0)))) ,1),0),0))"),"")</f>
        <v/>
      </c>
      <c r="Q1531" s="147" t="str">
        <f t="shared" si="22"/>
        <v/>
      </c>
      <c r="R1531" s="147" t="str">
        <f t="shared" si="23"/>
        <v/>
      </c>
      <c r="S1531" s="147" t="str">
        <f t="shared" si="24"/>
        <v/>
      </c>
      <c r="T1531" s="147" t="str">
        <f t="shared" si="7"/>
        <v/>
      </c>
      <c r="U1531" s="150" t="str">
        <f t="shared" si="8"/>
        <v/>
      </c>
      <c r="V1531" s="151" t="str">
        <f>IFERROR(VLOOKUP(C1531,Ativos!$A$1:$G2000,5,),)</f>
        <v/>
      </c>
    </row>
    <row r="1532" ht="21.0" customHeight="1">
      <c r="A1532" s="152"/>
      <c r="B1532" s="160"/>
      <c r="C1532" s="153"/>
      <c r="D1532" s="154"/>
      <c r="E1532" s="139"/>
      <c r="F1532" s="139"/>
      <c r="G1532" s="139"/>
      <c r="H1532" s="135"/>
      <c r="I1532" s="141"/>
      <c r="J1532" s="147" t="str">
        <f>IFERROR(__xludf.DUMMYFUNCTION("IF(ISBLANK(A1532),IFERROR(1/0),IF(COUNT(FILTER(F:F,A:A=A1532))&gt;1,TRUNC(N1532*F1532/SUM(FILTER(N:N,A:A=A1532)),3),F1532))"),"")</f>
        <v/>
      </c>
      <c r="K1532" s="147" t="str">
        <f>IFERROR(__xludf.DUMMYFUNCTION("IF(ISBLANK(A1532),IFERROR(1/0),IF(COUNT(FILTER(G:G,((A:A=A1532)*(B:B=""V""))))&gt;1,TRUNC(N1532*G1532/SUM(FILTER(N:N,((A:A=A1532)*(B:B=""V"")))),3),G1532))"),"")</f>
        <v/>
      </c>
      <c r="L1532" s="148" t="str">
        <f>IFERROR(__xludf.DUMMYFUNCTION("if($C1532="""","""",iferror(if(row()&lt;&gt;2,INDEX(arrayformula(filter($M$2:$M1531,$C$2:$C1531&lt;&gt;"""",row($C$2:$C1531)=max(if($C$2:$C1531=C1532,row($C$2:$C1531),0)))) ,1),0),0))"),"")</f>
        <v/>
      </c>
      <c r="M1532" s="148" t="str">
        <f t="shared" si="1"/>
        <v/>
      </c>
      <c r="N1532" s="147" t="str">
        <f t="shared" si="2"/>
        <v/>
      </c>
      <c r="O1532" s="147" t="str">
        <f t="shared" si="21"/>
        <v/>
      </c>
      <c r="P1532" s="147" t="str">
        <f>IFERROR(__xludf.DUMMYFUNCTION("if(C1532="""","""",iferror(if(row()&lt;&gt;2,INDEX(arrayformula(filter($Q$2:$Q1531,$C$2:$C1531&lt;&gt;"""",row($C$2:$C1531)=max(if($C$2:$C1531=C1532,row($C$2:$C1531),0)))) ,1),0),0))"),"")</f>
        <v/>
      </c>
      <c r="Q1532" s="147" t="str">
        <f t="shared" si="22"/>
        <v/>
      </c>
      <c r="R1532" s="147" t="str">
        <f t="shared" si="23"/>
        <v/>
      </c>
      <c r="S1532" s="147" t="str">
        <f t="shared" si="24"/>
        <v/>
      </c>
      <c r="T1532" s="147" t="str">
        <f t="shared" si="7"/>
        <v/>
      </c>
      <c r="U1532" s="150" t="str">
        <f t="shared" si="8"/>
        <v/>
      </c>
      <c r="V1532" s="151" t="str">
        <f>IFERROR(VLOOKUP(C1532,Ativos!$A$1:$G2000,5,),)</f>
        <v/>
      </c>
    </row>
    <row r="1533" ht="21.0" customHeight="1">
      <c r="A1533" s="152"/>
      <c r="B1533" s="160"/>
      <c r="C1533" s="153"/>
      <c r="D1533" s="154"/>
      <c r="E1533" s="139"/>
      <c r="F1533" s="139"/>
      <c r="G1533" s="139"/>
      <c r="H1533" s="135"/>
      <c r="I1533" s="141"/>
      <c r="J1533" s="147" t="str">
        <f>IFERROR(__xludf.DUMMYFUNCTION("IF(ISBLANK(A1533),IFERROR(1/0),IF(COUNT(FILTER(F:F,A:A=A1533))&gt;1,TRUNC(N1533*F1533/SUM(FILTER(N:N,A:A=A1533)),3),F1533))"),"")</f>
        <v/>
      </c>
      <c r="K1533" s="147" t="str">
        <f>IFERROR(__xludf.DUMMYFUNCTION("IF(ISBLANK(A1533),IFERROR(1/0),IF(COUNT(FILTER(G:G,((A:A=A1533)*(B:B=""V""))))&gt;1,TRUNC(N1533*G1533/SUM(FILTER(N:N,((A:A=A1533)*(B:B=""V"")))),3),G1533))"),"")</f>
        <v/>
      </c>
      <c r="L1533" s="148" t="str">
        <f>IFERROR(__xludf.DUMMYFUNCTION("if($C1533="""","""",iferror(if(row()&lt;&gt;2,INDEX(arrayformula(filter($M$2:$M1532,$C$2:$C1532&lt;&gt;"""",row($C$2:$C1532)=max(if($C$2:$C1532=C1533,row($C$2:$C1532),0)))) ,1),0),0))"),"")</f>
        <v/>
      </c>
      <c r="M1533" s="148" t="str">
        <f t="shared" si="1"/>
        <v/>
      </c>
      <c r="N1533" s="147" t="str">
        <f t="shared" si="2"/>
        <v/>
      </c>
      <c r="O1533" s="147" t="str">
        <f t="shared" si="21"/>
        <v/>
      </c>
      <c r="P1533" s="147" t="str">
        <f>IFERROR(__xludf.DUMMYFUNCTION("if(C1533="""","""",iferror(if(row()&lt;&gt;2,INDEX(arrayformula(filter($Q$2:$Q1532,$C$2:$C1532&lt;&gt;"""",row($C$2:$C1532)=max(if($C$2:$C1532=C1533,row($C$2:$C1532),0)))) ,1),0),0))"),"")</f>
        <v/>
      </c>
      <c r="Q1533" s="147" t="str">
        <f t="shared" si="22"/>
        <v/>
      </c>
      <c r="R1533" s="147" t="str">
        <f t="shared" si="23"/>
        <v/>
      </c>
      <c r="S1533" s="147" t="str">
        <f t="shared" si="24"/>
        <v/>
      </c>
      <c r="T1533" s="147" t="str">
        <f t="shared" si="7"/>
        <v/>
      </c>
      <c r="U1533" s="150" t="str">
        <f t="shared" si="8"/>
        <v/>
      </c>
      <c r="V1533" s="151" t="str">
        <f>IFERROR(VLOOKUP(C1533,Ativos!$A$1:$G2000,5,),)</f>
        <v/>
      </c>
    </row>
    <row r="1534" ht="21.0" customHeight="1">
      <c r="A1534" s="152"/>
      <c r="B1534" s="160"/>
      <c r="C1534" s="153"/>
      <c r="D1534" s="154"/>
      <c r="E1534" s="139"/>
      <c r="F1534" s="139"/>
      <c r="G1534" s="139"/>
      <c r="H1534" s="135"/>
      <c r="I1534" s="141"/>
      <c r="J1534" s="147" t="str">
        <f>IFERROR(__xludf.DUMMYFUNCTION("IF(ISBLANK(A1534),IFERROR(1/0),IF(COUNT(FILTER(F:F,A:A=A1534))&gt;1,TRUNC(N1534*F1534/SUM(FILTER(N:N,A:A=A1534)),3),F1534))"),"")</f>
        <v/>
      </c>
      <c r="K1534" s="147" t="str">
        <f>IFERROR(__xludf.DUMMYFUNCTION("IF(ISBLANK(A1534),IFERROR(1/0),IF(COUNT(FILTER(G:G,((A:A=A1534)*(B:B=""V""))))&gt;1,TRUNC(N1534*G1534/SUM(FILTER(N:N,((A:A=A1534)*(B:B=""V"")))),3),G1534))"),"")</f>
        <v/>
      </c>
      <c r="L1534" s="148" t="str">
        <f>IFERROR(__xludf.DUMMYFUNCTION("if($C1534="""","""",iferror(if(row()&lt;&gt;2,INDEX(arrayformula(filter($M$2:$M1533,$C$2:$C1533&lt;&gt;"""",row($C$2:$C1533)=max(if($C$2:$C1533=C1534,row($C$2:$C1533),0)))) ,1),0),0))"),"")</f>
        <v/>
      </c>
      <c r="M1534" s="148" t="str">
        <f t="shared" si="1"/>
        <v/>
      </c>
      <c r="N1534" s="147" t="str">
        <f t="shared" si="2"/>
        <v/>
      </c>
      <c r="O1534" s="147" t="str">
        <f t="shared" si="21"/>
        <v/>
      </c>
      <c r="P1534" s="147" t="str">
        <f>IFERROR(__xludf.DUMMYFUNCTION("if(C1534="""","""",iferror(if(row()&lt;&gt;2,INDEX(arrayformula(filter($Q$2:$Q1533,$C$2:$C1533&lt;&gt;"""",row($C$2:$C1533)=max(if($C$2:$C1533=C1534,row($C$2:$C1533),0)))) ,1),0),0))"),"")</f>
        <v/>
      </c>
      <c r="Q1534" s="147" t="str">
        <f t="shared" si="22"/>
        <v/>
      </c>
      <c r="R1534" s="147" t="str">
        <f t="shared" si="23"/>
        <v/>
      </c>
      <c r="S1534" s="147" t="str">
        <f t="shared" si="24"/>
        <v/>
      </c>
      <c r="T1534" s="147" t="str">
        <f t="shared" si="7"/>
        <v/>
      </c>
      <c r="U1534" s="150" t="str">
        <f t="shared" si="8"/>
        <v/>
      </c>
      <c r="V1534" s="151" t="str">
        <f>IFERROR(VLOOKUP(C1534,Ativos!$A$1:$G2000,5,),)</f>
        <v/>
      </c>
    </row>
    <row r="1535" ht="21.0" customHeight="1">
      <c r="A1535" s="152"/>
      <c r="B1535" s="160"/>
      <c r="C1535" s="153"/>
      <c r="D1535" s="154"/>
      <c r="E1535" s="139"/>
      <c r="F1535" s="139"/>
      <c r="G1535" s="139"/>
      <c r="H1535" s="135"/>
      <c r="I1535" s="141"/>
      <c r="J1535" s="147" t="str">
        <f>IFERROR(__xludf.DUMMYFUNCTION("IF(ISBLANK(A1535),IFERROR(1/0),IF(COUNT(FILTER(F:F,A:A=A1535))&gt;1,TRUNC(N1535*F1535/SUM(FILTER(N:N,A:A=A1535)),3),F1535))"),"")</f>
        <v/>
      </c>
      <c r="K1535" s="147" t="str">
        <f>IFERROR(__xludf.DUMMYFUNCTION("IF(ISBLANK(A1535),IFERROR(1/0),IF(COUNT(FILTER(G:G,((A:A=A1535)*(B:B=""V""))))&gt;1,TRUNC(N1535*G1535/SUM(FILTER(N:N,((A:A=A1535)*(B:B=""V"")))),3),G1535))"),"")</f>
        <v/>
      </c>
      <c r="L1535" s="148" t="str">
        <f>IFERROR(__xludf.DUMMYFUNCTION("if($C1535="""","""",iferror(if(row()&lt;&gt;2,INDEX(arrayformula(filter($M$2:$M1534,$C$2:$C1534&lt;&gt;"""",row($C$2:$C1534)=max(if($C$2:$C1534=C1535,row($C$2:$C1534),0)))) ,1),0),0))"),"")</f>
        <v/>
      </c>
      <c r="M1535" s="148" t="str">
        <f t="shared" si="1"/>
        <v/>
      </c>
      <c r="N1535" s="147" t="str">
        <f t="shared" si="2"/>
        <v/>
      </c>
      <c r="O1535" s="147" t="str">
        <f t="shared" si="21"/>
        <v/>
      </c>
      <c r="P1535" s="147" t="str">
        <f>IFERROR(__xludf.DUMMYFUNCTION("if(C1535="""","""",iferror(if(row()&lt;&gt;2,INDEX(arrayformula(filter($Q$2:$Q1534,$C$2:$C1534&lt;&gt;"""",row($C$2:$C1534)=max(if($C$2:$C1534=C1535,row($C$2:$C1534),0)))) ,1),0),0))"),"")</f>
        <v/>
      </c>
      <c r="Q1535" s="147" t="str">
        <f t="shared" si="22"/>
        <v/>
      </c>
      <c r="R1535" s="147" t="str">
        <f t="shared" si="23"/>
        <v/>
      </c>
      <c r="S1535" s="147" t="str">
        <f t="shared" si="24"/>
        <v/>
      </c>
      <c r="T1535" s="147" t="str">
        <f t="shared" si="7"/>
        <v/>
      </c>
      <c r="U1535" s="150" t="str">
        <f t="shared" si="8"/>
        <v/>
      </c>
      <c r="V1535" s="151" t="str">
        <f>IFERROR(VLOOKUP(C1535,Ativos!$A$1:$G2000,5,),)</f>
        <v/>
      </c>
    </row>
    <row r="1536" ht="21.0" customHeight="1">
      <c r="A1536" s="152"/>
      <c r="B1536" s="160"/>
      <c r="C1536" s="153"/>
      <c r="D1536" s="154"/>
      <c r="E1536" s="139"/>
      <c r="F1536" s="139"/>
      <c r="G1536" s="139"/>
      <c r="H1536" s="135"/>
      <c r="I1536" s="141"/>
      <c r="J1536" s="147" t="str">
        <f>IFERROR(__xludf.DUMMYFUNCTION("IF(ISBLANK(A1536),IFERROR(1/0),IF(COUNT(FILTER(F:F,A:A=A1536))&gt;1,TRUNC(N1536*F1536/SUM(FILTER(N:N,A:A=A1536)),3),F1536))"),"")</f>
        <v/>
      </c>
      <c r="K1536" s="147" t="str">
        <f>IFERROR(__xludf.DUMMYFUNCTION("IF(ISBLANK(A1536),IFERROR(1/0),IF(COUNT(FILTER(G:G,((A:A=A1536)*(B:B=""V""))))&gt;1,TRUNC(N1536*G1536/SUM(FILTER(N:N,((A:A=A1536)*(B:B=""V"")))),3),G1536))"),"")</f>
        <v/>
      </c>
      <c r="L1536" s="148" t="str">
        <f>IFERROR(__xludf.DUMMYFUNCTION("if($C1536="""","""",iferror(if(row()&lt;&gt;2,INDEX(arrayformula(filter($M$2:$M1535,$C$2:$C1535&lt;&gt;"""",row($C$2:$C1535)=max(if($C$2:$C1535=C1536,row($C$2:$C1535),0)))) ,1),0),0))"),"")</f>
        <v/>
      </c>
      <c r="M1536" s="148" t="str">
        <f t="shared" si="1"/>
        <v/>
      </c>
      <c r="N1536" s="147" t="str">
        <f t="shared" si="2"/>
        <v/>
      </c>
      <c r="O1536" s="147" t="str">
        <f t="shared" si="21"/>
        <v/>
      </c>
      <c r="P1536" s="147" t="str">
        <f>IFERROR(__xludf.DUMMYFUNCTION("if(C1536="""","""",iferror(if(row()&lt;&gt;2,INDEX(arrayformula(filter($Q$2:$Q1535,$C$2:$C1535&lt;&gt;"""",row($C$2:$C1535)=max(if($C$2:$C1535=C1536,row($C$2:$C1535),0)))) ,1),0),0))"),"")</f>
        <v/>
      </c>
      <c r="Q1536" s="147" t="str">
        <f t="shared" si="22"/>
        <v/>
      </c>
      <c r="R1536" s="147" t="str">
        <f t="shared" si="23"/>
        <v/>
      </c>
      <c r="S1536" s="147" t="str">
        <f t="shared" si="24"/>
        <v/>
      </c>
      <c r="T1536" s="147" t="str">
        <f t="shared" si="7"/>
        <v/>
      </c>
      <c r="U1536" s="150" t="str">
        <f t="shared" si="8"/>
        <v/>
      </c>
      <c r="V1536" s="151" t="str">
        <f>IFERROR(VLOOKUP(C1536,Ativos!$A$1:$G2000,5,),)</f>
        <v/>
      </c>
    </row>
    <row r="1537" ht="21.0" customHeight="1">
      <c r="A1537" s="152"/>
      <c r="B1537" s="160"/>
      <c r="C1537" s="153"/>
      <c r="D1537" s="154"/>
      <c r="E1537" s="139"/>
      <c r="F1537" s="139"/>
      <c r="G1537" s="139"/>
      <c r="H1537" s="135"/>
      <c r="I1537" s="141"/>
      <c r="J1537" s="147" t="str">
        <f>IFERROR(__xludf.DUMMYFUNCTION("IF(ISBLANK(A1537),IFERROR(1/0),IF(COUNT(FILTER(F:F,A:A=A1537))&gt;1,TRUNC(N1537*F1537/SUM(FILTER(N:N,A:A=A1537)),3),F1537))"),"")</f>
        <v/>
      </c>
      <c r="K1537" s="147" t="str">
        <f>IFERROR(__xludf.DUMMYFUNCTION("IF(ISBLANK(A1537),IFERROR(1/0),IF(COUNT(FILTER(G:G,((A:A=A1537)*(B:B=""V""))))&gt;1,TRUNC(N1537*G1537/SUM(FILTER(N:N,((A:A=A1537)*(B:B=""V"")))),3),G1537))"),"")</f>
        <v/>
      </c>
      <c r="L1537" s="148" t="str">
        <f>IFERROR(__xludf.DUMMYFUNCTION("if($C1537="""","""",iferror(if(row()&lt;&gt;2,INDEX(arrayformula(filter($M$2:$M1536,$C$2:$C1536&lt;&gt;"""",row($C$2:$C1536)=max(if($C$2:$C1536=C1537,row($C$2:$C1536),0)))) ,1),0),0))"),"")</f>
        <v/>
      </c>
      <c r="M1537" s="148" t="str">
        <f t="shared" si="1"/>
        <v/>
      </c>
      <c r="N1537" s="147" t="str">
        <f t="shared" si="2"/>
        <v/>
      </c>
      <c r="O1537" s="147" t="str">
        <f t="shared" si="21"/>
        <v/>
      </c>
      <c r="P1537" s="147" t="str">
        <f>IFERROR(__xludf.DUMMYFUNCTION("if(C1537="""","""",iferror(if(row()&lt;&gt;2,INDEX(arrayformula(filter($Q$2:$Q1536,$C$2:$C1536&lt;&gt;"""",row($C$2:$C1536)=max(if($C$2:$C1536=C1537,row($C$2:$C1536),0)))) ,1),0),0))"),"")</f>
        <v/>
      </c>
      <c r="Q1537" s="147" t="str">
        <f t="shared" si="22"/>
        <v/>
      </c>
      <c r="R1537" s="147" t="str">
        <f t="shared" si="23"/>
        <v/>
      </c>
      <c r="S1537" s="147" t="str">
        <f t="shared" si="24"/>
        <v/>
      </c>
      <c r="T1537" s="147" t="str">
        <f t="shared" si="7"/>
        <v/>
      </c>
      <c r="U1537" s="150" t="str">
        <f t="shared" si="8"/>
        <v/>
      </c>
      <c r="V1537" s="151" t="str">
        <f>IFERROR(VLOOKUP(C1537,Ativos!$A$1:$G2000,5,),)</f>
        <v/>
      </c>
    </row>
    <row r="1538" ht="21.0" customHeight="1">
      <c r="A1538" s="152"/>
      <c r="B1538" s="160"/>
      <c r="C1538" s="153"/>
      <c r="D1538" s="154"/>
      <c r="E1538" s="139"/>
      <c r="F1538" s="139"/>
      <c r="G1538" s="139"/>
      <c r="H1538" s="135"/>
      <c r="I1538" s="141"/>
      <c r="J1538" s="147" t="str">
        <f>IFERROR(__xludf.DUMMYFUNCTION("IF(ISBLANK(A1538),IFERROR(1/0),IF(COUNT(FILTER(F:F,A:A=A1538))&gt;1,TRUNC(N1538*F1538/SUM(FILTER(N:N,A:A=A1538)),3),F1538))"),"")</f>
        <v/>
      </c>
      <c r="K1538" s="147" t="str">
        <f>IFERROR(__xludf.DUMMYFUNCTION("IF(ISBLANK(A1538),IFERROR(1/0),IF(COUNT(FILTER(G:G,((A:A=A1538)*(B:B=""V""))))&gt;1,TRUNC(N1538*G1538/SUM(FILTER(N:N,((A:A=A1538)*(B:B=""V"")))),3),G1538))"),"")</f>
        <v/>
      </c>
      <c r="L1538" s="148" t="str">
        <f>IFERROR(__xludf.DUMMYFUNCTION("if($C1538="""","""",iferror(if(row()&lt;&gt;2,INDEX(arrayformula(filter($M$2:$M1537,$C$2:$C1537&lt;&gt;"""",row($C$2:$C1537)=max(if($C$2:$C1537=C1538,row($C$2:$C1537),0)))) ,1),0),0))"),"")</f>
        <v/>
      </c>
      <c r="M1538" s="148" t="str">
        <f t="shared" si="1"/>
        <v/>
      </c>
      <c r="N1538" s="147" t="str">
        <f t="shared" si="2"/>
        <v/>
      </c>
      <c r="O1538" s="147" t="str">
        <f t="shared" si="21"/>
        <v/>
      </c>
      <c r="P1538" s="147" t="str">
        <f>IFERROR(__xludf.DUMMYFUNCTION("if(C1538="""","""",iferror(if(row()&lt;&gt;2,INDEX(arrayformula(filter($Q$2:$Q1537,$C$2:$C1537&lt;&gt;"""",row($C$2:$C1537)=max(if($C$2:$C1537=C1538,row($C$2:$C1537),0)))) ,1),0),0))"),"")</f>
        <v/>
      </c>
      <c r="Q1538" s="147" t="str">
        <f t="shared" si="22"/>
        <v/>
      </c>
      <c r="R1538" s="147" t="str">
        <f t="shared" si="23"/>
        <v/>
      </c>
      <c r="S1538" s="147" t="str">
        <f t="shared" si="24"/>
        <v/>
      </c>
      <c r="T1538" s="147" t="str">
        <f t="shared" si="7"/>
        <v/>
      </c>
      <c r="U1538" s="150" t="str">
        <f t="shared" si="8"/>
        <v/>
      </c>
      <c r="V1538" s="151" t="str">
        <f>IFERROR(VLOOKUP(C1538,Ativos!$A$1:$G2000,5,),)</f>
        <v/>
      </c>
    </row>
    <row r="1539" ht="21.0" customHeight="1">
      <c r="A1539" s="152"/>
      <c r="B1539" s="160"/>
      <c r="C1539" s="153"/>
      <c r="D1539" s="154"/>
      <c r="E1539" s="139"/>
      <c r="F1539" s="139"/>
      <c r="G1539" s="139"/>
      <c r="H1539" s="135"/>
      <c r="I1539" s="141"/>
      <c r="J1539" s="147" t="str">
        <f>IFERROR(__xludf.DUMMYFUNCTION("IF(ISBLANK(A1539),IFERROR(1/0),IF(COUNT(FILTER(F:F,A:A=A1539))&gt;1,TRUNC(N1539*F1539/SUM(FILTER(N:N,A:A=A1539)),3),F1539))"),"")</f>
        <v/>
      </c>
      <c r="K1539" s="147" t="str">
        <f>IFERROR(__xludf.DUMMYFUNCTION("IF(ISBLANK(A1539),IFERROR(1/0),IF(COUNT(FILTER(G:G,((A:A=A1539)*(B:B=""V""))))&gt;1,TRUNC(N1539*G1539/SUM(FILTER(N:N,((A:A=A1539)*(B:B=""V"")))),3),G1539))"),"")</f>
        <v/>
      </c>
      <c r="L1539" s="148" t="str">
        <f>IFERROR(__xludf.DUMMYFUNCTION("if($C1539="""","""",iferror(if(row()&lt;&gt;2,INDEX(arrayformula(filter($M$2:$M1538,$C$2:$C1538&lt;&gt;"""",row($C$2:$C1538)=max(if($C$2:$C1538=C1539,row($C$2:$C1538),0)))) ,1),0),0))"),"")</f>
        <v/>
      </c>
      <c r="M1539" s="148" t="str">
        <f t="shared" si="1"/>
        <v/>
      </c>
      <c r="N1539" s="147" t="str">
        <f t="shared" si="2"/>
        <v/>
      </c>
      <c r="O1539" s="147" t="str">
        <f t="shared" si="21"/>
        <v/>
      </c>
      <c r="P1539" s="147" t="str">
        <f>IFERROR(__xludf.DUMMYFUNCTION("if(C1539="""","""",iferror(if(row()&lt;&gt;2,INDEX(arrayformula(filter($Q$2:$Q1538,$C$2:$C1538&lt;&gt;"""",row($C$2:$C1538)=max(if($C$2:$C1538=C1539,row($C$2:$C1538),0)))) ,1),0),0))"),"")</f>
        <v/>
      </c>
      <c r="Q1539" s="147" t="str">
        <f t="shared" si="22"/>
        <v/>
      </c>
      <c r="R1539" s="147" t="str">
        <f t="shared" si="23"/>
        <v/>
      </c>
      <c r="S1539" s="147" t="str">
        <f t="shared" si="24"/>
        <v/>
      </c>
      <c r="T1539" s="147" t="str">
        <f t="shared" si="7"/>
        <v/>
      </c>
      <c r="U1539" s="150" t="str">
        <f t="shared" si="8"/>
        <v/>
      </c>
      <c r="V1539" s="151" t="str">
        <f>IFERROR(VLOOKUP(C1539,Ativos!$A$1:$G2000,5,),)</f>
        <v/>
      </c>
    </row>
    <row r="1540" ht="21.0" customHeight="1">
      <c r="A1540" s="152"/>
      <c r="B1540" s="160"/>
      <c r="C1540" s="153"/>
      <c r="D1540" s="154"/>
      <c r="E1540" s="139"/>
      <c r="F1540" s="139"/>
      <c r="G1540" s="139"/>
      <c r="H1540" s="135"/>
      <c r="I1540" s="141"/>
      <c r="J1540" s="147" t="str">
        <f>IFERROR(__xludf.DUMMYFUNCTION("IF(ISBLANK(A1540),IFERROR(1/0),IF(COUNT(FILTER(F:F,A:A=A1540))&gt;1,TRUNC(N1540*F1540/SUM(FILTER(N:N,A:A=A1540)),3),F1540))"),"")</f>
        <v/>
      </c>
      <c r="K1540" s="147" t="str">
        <f>IFERROR(__xludf.DUMMYFUNCTION("IF(ISBLANK(A1540),IFERROR(1/0),IF(COUNT(FILTER(G:G,((A:A=A1540)*(B:B=""V""))))&gt;1,TRUNC(N1540*G1540/SUM(FILTER(N:N,((A:A=A1540)*(B:B=""V"")))),3),G1540))"),"")</f>
        <v/>
      </c>
      <c r="L1540" s="148" t="str">
        <f>IFERROR(__xludf.DUMMYFUNCTION("if($C1540="""","""",iferror(if(row()&lt;&gt;2,INDEX(arrayformula(filter($M$2:$M1539,$C$2:$C1539&lt;&gt;"""",row($C$2:$C1539)=max(if($C$2:$C1539=C1540,row($C$2:$C1539),0)))) ,1),0),0))"),"")</f>
        <v/>
      </c>
      <c r="M1540" s="148" t="str">
        <f t="shared" si="1"/>
        <v/>
      </c>
      <c r="N1540" s="147" t="str">
        <f t="shared" si="2"/>
        <v/>
      </c>
      <c r="O1540" s="147" t="str">
        <f t="shared" si="21"/>
        <v/>
      </c>
      <c r="P1540" s="147" t="str">
        <f>IFERROR(__xludf.DUMMYFUNCTION("if(C1540="""","""",iferror(if(row()&lt;&gt;2,INDEX(arrayformula(filter($Q$2:$Q1539,$C$2:$C1539&lt;&gt;"""",row($C$2:$C1539)=max(if($C$2:$C1539=C1540,row($C$2:$C1539),0)))) ,1),0),0))"),"")</f>
        <v/>
      </c>
      <c r="Q1540" s="147" t="str">
        <f t="shared" si="22"/>
        <v/>
      </c>
      <c r="R1540" s="147" t="str">
        <f t="shared" si="23"/>
        <v/>
      </c>
      <c r="S1540" s="147" t="str">
        <f t="shared" si="24"/>
        <v/>
      </c>
      <c r="T1540" s="147" t="str">
        <f t="shared" si="7"/>
        <v/>
      </c>
      <c r="U1540" s="150" t="str">
        <f t="shared" si="8"/>
        <v/>
      </c>
      <c r="V1540" s="151" t="str">
        <f>IFERROR(VLOOKUP(C1540,Ativos!$A$1:$G2000,5,),)</f>
        <v/>
      </c>
    </row>
    <row r="1541" ht="21.0" customHeight="1">
      <c r="A1541" s="152"/>
      <c r="B1541" s="160"/>
      <c r="C1541" s="153"/>
      <c r="D1541" s="154"/>
      <c r="E1541" s="139"/>
      <c r="F1541" s="139"/>
      <c r="G1541" s="139"/>
      <c r="H1541" s="135"/>
      <c r="I1541" s="141"/>
      <c r="J1541" s="147" t="str">
        <f>IFERROR(__xludf.DUMMYFUNCTION("IF(ISBLANK(A1541),IFERROR(1/0),IF(COUNT(FILTER(F:F,A:A=A1541))&gt;1,TRUNC(N1541*F1541/SUM(FILTER(N:N,A:A=A1541)),3),F1541))"),"")</f>
        <v/>
      </c>
      <c r="K1541" s="147" t="str">
        <f>IFERROR(__xludf.DUMMYFUNCTION("IF(ISBLANK(A1541),IFERROR(1/0),IF(COUNT(FILTER(G:G,((A:A=A1541)*(B:B=""V""))))&gt;1,TRUNC(N1541*G1541/SUM(FILTER(N:N,((A:A=A1541)*(B:B=""V"")))),3),G1541))"),"")</f>
        <v/>
      </c>
      <c r="L1541" s="148" t="str">
        <f>IFERROR(__xludf.DUMMYFUNCTION("if($C1541="""","""",iferror(if(row()&lt;&gt;2,INDEX(arrayformula(filter($M$2:$M1540,$C$2:$C1540&lt;&gt;"""",row($C$2:$C1540)=max(if($C$2:$C1540=C1541,row($C$2:$C1540),0)))) ,1),0),0))"),"")</f>
        <v/>
      </c>
      <c r="M1541" s="148" t="str">
        <f t="shared" si="1"/>
        <v/>
      </c>
      <c r="N1541" s="147" t="str">
        <f t="shared" si="2"/>
        <v/>
      </c>
      <c r="O1541" s="147" t="str">
        <f t="shared" si="21"/>
        <v/>
      </c>
      <c r="P1541" s="147" t="str">
        <f>IFERROR(__xludf.DUMMYFUNCTION("if(C1541="""","""",iferror(if(row()&lt;&gt;2,INDEX(arrayformula(filter($Q$2:$Q1540,$C$2:$C1540&lt;&gt;"""",row($C$2:$C1540)=max(if($C$2:$C1540=C1541,row($C$2:$C1540),0)))) ,1),0),0))"),"")</f>
        <v/>
      </c>
      <c r="Q1541" s="147" t="str">
        <f t="shared" si="22"/>
        <v/>
      </c>
      <c r="R1541" s="147" t="str">
        <f t="shared" si="23"/>
        <v/>
      </c>
      <c r="S1541" s="147" t="str">
        <f t="shared" si="24"/>
        <v/>
      </c>
      <c r="T1541" s="147" t="str">
        <f t="shared" si="7"/>
        <v/>
      </c>
      <c r="U1541" s="150" t="str">
        <f t="shared" si="8"/>
        <v/>
      </c>
      <c r="V1541" s="151" t="str">
        <f>IFERROR(VLOOKUP(C1541,Ativos!$A$1:$G2000,5,),)</f>
        <v/>
      </c>
    </row>
    <row r="1542" ht="21.0" customHeight="1">
      <c r="A1542" s="152"/>
      <c r="B1542" s="160"/>
      <c r="C1542" s="153"/>
      <c r="D1542" s="154"/>
      <c r="E1542" s="139"/>
      <c r="F1542" s="139"/>
      <c r="G1542" s="139"/>
      <c r="H1542" s="135"/>
      <c r="I1542" s="141"/>
      <c r="J1542" s="147" t="str">
        <f>IFERROR(__xludf.DUMMYFUNCTION("IF(ISBLANK(A1542),IFERROR(1/0),IF(COUNT(FILTER(F:F,A:A=A1542))&gt;1,TRUNC(N1542*F1542/SUM(FILTER(N:N,A:A=A1542)),3),F1542))"),"")</f>
        <v/>
      </c>
      <c r="K1542" s="147" t="str">
        <f>IFERROR(__xludf.DUMMYFUNCTION("IF(ISBLANK(A1542),IFERROR(1/0),IF(COUNT(FILTER(G:G,((A:A=A1542)*(B:B=""V""))))&gt;1,TRUNC(N1542*G1542/SUM(FILTER(N:N,((A:A=A1542)*(B:B=""V"")))),3),G1542))"),"")</f>
        <v/>
      </c>
      <c r="L1542" s="148" t="str">
        <f>IFERROR(__xludf.DUMMYFUNCTION("if($C1542="""","""",iferror(if(row()&lt;&gt;2,INDEX(arrayformula(filter($M$2:$M1541,$C$2:$C1541&lt;&gt;"""",row($C$2:$C1541)=max(if($C$2:$C1541=C1542,row($C$2:$C1541),0)))) ,1),0),0))"),"")</f>
        <v/>
      </c>
      <c r="M1542" s="148" t="str">
        <f t="shared" si="1"/>
        <v/>
      </c>
      <c r="N1542" s="147" t="str">
        <f t="shared" si="2"/>
        <v/>
      </c>
      <c r="O1542" s="147" t="str">
        <f t="shared" si="21"/>
        <v/>
      </c>
      <c r="P1542" s="147" t="str">
        <f>IFERROR(__xludf.DUMMYFUNCTION("if(C1542="""","""",iferror(if(row()&lt;&gt;2,INDEX(arrayformula(filter($Q$2:$Q1541,$C$2:$C1541&lt;&gt;"""",row($C$2:$C1541)=max(if($C$2:$C1541=C1542,row($C$2:$C1541),0)))) ,1),0),0))"),"")</f>
        <v/>
      </c>
      <c r="Q1542" s="147" t="str">
        <f t="shared" si="22"/>
        <v/>
      </c>
      <c r="R1542" s="147" t="str">
        <f t="shared" si="23"/>
        <v/>
      </c>
      <c r="S1542" s="147" t="str">
        <f t="shared" si="24"/>
        <v/>
      </c>
      <c r="T1542" s="147" t="str">
        <f t="shared" si="7"/>
        <v/>
      </c>
      <c r="U1542" s="150" t="str">
        <f t="shared" si="8"/>
        <v/>
      </c>
      <c r="V1542" s="151" t="str">
        <f>IFERROR(VLOOKUP(C1542,Ativos!$A$1:$G2000,5,),)</f>
        <v/>
      </c>
    </row>
    <row r="1543" ht="21.0" customHeight="1">
      <c r="A1543" s="152"/>
      <c r="B1543" s="160"/>
      <c r="C1543" s="153"/>
      <c r="D1543" s="154"/>
      <c r="E1543" s="139"/>
      <c r="F1543" s="139"/>
      <c r="G1543" s="139"/>
      <c r="H1543" s="135"/>
      <c r="I1543" s="141"/>
      <c r="J1543" s="147" t="str">
        <f>IFERROR(__xludf.DUMMYFUNCTION("IF(ISBLANK(A1543),IFERROR(1/0),IF(COUNT(FILTER(F:F,A:A=A1543))&gt;1,TRUNC(N1543*F1543/SUM(FILTER(N:N,A:A=A1543)),3),F1543))"),"")</f>
        <v/>
      </c>
      <c r="K1543" s="147" t="str">
        <f>IFERROR(__xludf.DUMMYFUNCTION("IF(ISBLANK(A1543),IFERROR(1/0),IF(COUNT(FILTER(G:G,((A:A=A1543)*(B:B=""V""))))&gt;1,TRUNC(N1543*G1543/SUM(FILTER(N:N,((A:A=A1543)*(B:B=""V"")))),3),G1543))"),"")</f>
        <v/>
      </c>
      <c r="L1543" s="148" t="str">
        <f>IFERROR(__xludf.DUMMYFUNCTION("if($C1543="""","""",iferror(if(row()&lt;&gt;2,INDEX(arrayformula(filter($M$2:$M1542,$C$2:$C1542&lt;&gt;"""",row($C$2:$C1542)=max(if($C$2:$C1542=C1543,row($C$2:$C1542),0)))) ,1),0),0))"),"")</f>
        <v/>
      </c>
      <c r="M1543" s="148" t="str">
        <f t="shared" si="1"/>
        <v/>
      </c>
      <c r="N1543" s="147" t="str">
        <f t="shared" si="2"/>
        <v/>
      </c>
      <c r="O1543" s="147" t="str">
        <f t="shared" si="21"/>
        <v/>
      </c>
      <c r="P1543" s="147" t="str">
        <f>IFERROR(__xludf.DUMMYFUNCTION("if(C1543="""","""",iferror(if(row()&lt;&gt;2,INDEX(arrayformula(filter($Q$2:$Q1542,$C$2:$C1542&lt;&gt;"""",row($C$2:$C1542)=max(if($C$2:$C1542=C1543,row($C$2:$C1542),0)))) ,1),0),0))"),"")</f>
        <v/>
      </c>
      <c r="Q1543" s="147" t="str">
        <f t="shared" si="22"/>
        <v/>
      </c>
      <c r="R1543" s="147" t="str">
        <f t="shared" si="23"/>
        <v/>
      </c>
      <c r="S1543" s="147" t="str">
        <f t="shared" si="24"/>
        <v/>
      </c>
      <c r="T1543" s="147" t="str">
        <f t="shared" si="7"/>
        <v/>
      </c>
      <c r="U1543" s="150" t="str">
        <f t="shared" si="8"/>
        <v/>
      </c>
      <c r="V1543" s="151" t="str">
        <f>IFERROR(VLOOKUP(C1543,Ativos!$A$1:$G2000,5,),)</f>
        <v/>
      </c>
    </row>
    <row r="1544" ht="21.0" customHeight="1">
      <c r="A1544" s="152"/>
      <c r="B1544" s="160"/>
      <c r="C1544" s="153"/>
      <c r="D1544" s="154"/>
      <c r="E1544" s="139"/>
      <c r="F1544" s="139"/>
      <c r="G1544" s="139"/>
      <c r="H1544" s="135"/>
      <c r="I1544" s="141"/>
      <c r="J1544" s="147" t="str">
        <f>IFERROR(__xludf.DUMMYFUNCTION("IF(ISBLANK(A1544),IFERROR(1/0),IF(COUNT(FILTER(F:F,A:A=A1544))&gt;1,TRUNC(N1544*F1544/SUM(FILTER(N:N,A:A=A1544)),3),F1544))"),"")</f>
        <v/>
      </c>
      <c r="K1544" s="147" t="str">
        <f>IFERROR(__xludf.DUMMYFUNCTION("IF(ISBLANK(A1544),IFERROR(1/0),IF(COUNT(FILTER(G:G,((A:A=A1544)*(B:B=""V""))))&gt;1,TRUNC(N1544*G1544/SUM(FILTER(N:N,((A:A=A1544)*(B:B=""V"")))),3),G1544))"),"")</f>
        <v/>
      </c>
      <c r="L1544" s="148" t="str">
        <f>IFERROR(__xludf.DUMMYFUNCTION("if($C1544="""","""",iferror(if(row()&lt;&gt;2,INDEX(arrayformula(filter($M$2:$M1543,$C$2:$C1543&lt;&gt;"""",row($C$2:$C1543)=max(if($C$2:$C1543=C1544,row($C$2:$C1543),0)))) ,1),0),0))"),"")</f>
        <v/>
      </c>
      <c r="M1544" s="148" t="str">
        <f t="shared" si="1"/>
        <v/>
      </c>
      <c r="N1544" s="147" t="str">
        <f t="shared" si="2"/>
        <v/>
      </c>
      <c r="O1544" s="147" t="str">
        <f t="shared" si="21"/>
        <v/>
      </c>
      <c r="P1544" s="147" t="str">
        <f>IFERROR(__xludf.DUMMYFUNCTION("if(C1544="""","""",iferror(if(row()&lt;&gt;2,INDEX(arrayformula(filter($Q$2:$Q1543,$C$2:$C1543&lt;&gt;"""",row($C$2:$C1543)=max(if($C$2:$C1543=C1544,row($C$2:$C1543),0)))) ,1),0),0))"),"")</f>
        <v/>
      </c>
      <c r="Q1544" s="147" t="str">
        <f t="shared" si="22"/>
        <v/>
      </c>
      <c r="R1544" s="147" t="str">
        <f t="shared" si="23"/>
        <v/>
      </c>
      <c r="S1544" s="147" t="str">
        <f t="shared" si="24"/>
        <v/>
      </c>
      <c r="T1544" s="147" t="str">
        <f t="shared" si="7"/>
        <v/>
      </c>
      <c r="U1544" s="150" t="str">
        <f t="shared" si="8"/>
        <v/>
      </c>
      <c r="V1544" s="151" t="str">
        <f>IFERROR(VLOOKUP(C1544,Ativos!$A$1:$G2000,5,),)</f>
        <v/>
      </c>
    </row>
    <row r="1545" ht="21.0" customHeight="1">
      <c r="A1545" s="152"/>
      <c r="B1545" s="160"/>
      <c r="C1545" s="153"/>
      <c r="D1545" s="154"/>
      <c r="E1545" s="139"/>
      <c r="F1545" s="139"/>
      <c r="G1545" s="139"/>
      <c r="H1545" s="135"/>
      <c r="I1545" s="141"/>
      <c r="J1545" s="147" t="str">
        <f>IFERROR(__xludf.DUMMYFUNCTION("IF(ISBLANK(A1545),IFERROR(1/0),IF(COUNT(FILTER(F:F,A:A=A1545))&gt;1,TRUNC(N1545*F1545/SUM(FILTER(N:N,A:A=A1545)),3),F1545))"),"")</f>
        <v/>
      </c>
      <c r="K1545" s="147" t="str">
        <f>IFERROR(__xludf.DUMMYFUNCTION("IF(ISBLANK(A1545),IFERROR(1/0),IF(COUNT(FILTER(G:G,((A:A=A1545)*(B:B=""V""))))&gt;1,TRUNC(N1545*G1545/SUM(FILTER(N:N,((A:A=A1545)*(B:B=""V"")))),3),G1545))"),"")</f>
        <v/>
      </c>
      <c r="L1545" s="148" t="str">
        <f>IFERROR(__xludf.DUMMYFUNCTION("if($C1545="""","""",iferror(if(row()&lt;&gt;2,INDEX(arrayformula(filter($M$2:$M1544,$C$2:$C1544&lt;&gt;"""",row($C$2:$C1544)=max(if($C$2:$C1544=C1545,row($C$2:$C1544),0)))) ,1),0),0))"),"")</f>
        <v/>
      </c>
      <c r="M1545" s="148" t="str">
        <f t="shared" si="1"/>
        <v/>
      </c>
      <c r="N1545" s="147" t="str">
        <f t="shared" si="2"/>
        <v/>
      </c>
      <c r="O1545" s="147" t="str">
        <f t="shared" si="21"/>
        <v/>
      </c>
      <c r="P1545" s="147" t="str">
        <f>IFERROR(__xludf.DUMMYFUNCTION("if(C1545="""","""",iferror(if(row()&lt;&gt;2,INDEX(arrayformula(filter($Q$2:$Q1544,$C$2:$C1544&lt;&gt;"""",row($C$2:$C1544)=max(if($C$2:$C1544=C1545,row($C$2:$C1544),0)))) ,1),0),0))"),"")</f>
        <v/>
      </c>
      <c r="Q1545" s="147" t="str">
        <f t="shared" si="22"/>
        <v/>
      </c>
      <c r="R1545" s="147" t="str">
        <f t="shared" si="23"/>
        <v/>
      </c>
      <c r="S1545" s="147" t="str">
        <f t="shared" si="24"/>
        <v/>
      </c>
      <c r="T1545" s="147" t="str">
        <f t="shared" si="7"/>
        <v/>
      </c>
      <c r="U1545" s="150" t="str">
        <f t="shared" si="8"/>
        <v/>
      </c>
      <c r="V1545" s="151" t="str">
        <f>IFERROR(VLOOKUP(C1545,Ativos!$A$1:$G2000,5,),)</f>
        <v/>
      </c>
    </row>
    <row r="1546" ht="21.0" customHeight="1">
      <c r="A1546" s="152"/>
      <c r="B1546" s="160"/>
      <c r="C1546" s="153"/>
      <c r="D1546" s="154"/>
      <c r="E1546" s="139"/>
      <c r="F1546" s="139"/>
      <c r="G1546" s="139"/>
      <c r="H1546" s="135"/>
      <c r="I1546" s="141"/>
      <c r="J1546" s="147" t="str">
        <f>IFERROR(__xludf.DUMMYFUNCTION("IF(ISBLANK(A1546),IFERROR(1/0),IF(COUNT(FILTER(F:F,A:A=A1546))&gt;1,TRUNC(N1546*F1546/SUM(FILTER(N:N,A:A=A1546)),3),F1546))"),"")</f>
        <v/>
      </c>
      <c r="K1546" s="147" t="str">
        <f>IFERROR(__xludf.DUMMYFUNCTION("IF(ISBLANK(A1546),IFERROR(1/0),IF(COUNT(FILTER(G:G,((A:A=A1546)*(B:B=""V""))))&gt;1,TRUNC(N1546*G1546/SUM(FILTER(N:N,((A:A=A1546)*(B:B=""V"")))),3),G1546))"),"")</f>
        <v/>
      </c>
      <c r="L1546" s="148" t="str">
        <f>IFERROR(__xludf.DUMMYFUNCTION("if($C1546="""","""",iferror(if(row()&lt;&gt;2,INDEX(arrayformula(filter($M$2:$M1545,$C$2:$C1545&lt;&gt;"""",row($C$2:$C1545)=max(if($C$2:$C1545=C1546,row($C$2:$C1545),0)))) ,1),0),0))"),"")</f>
        <v/>
      </c>
      <c r="M1546" s="148" t="str">
        <f t="shared" si="1"/>
        <v/>
      </c>
      <c r="N1546" s="147" t="str">
        <f t="shared" si="2"/>
        <v/>
      </c>
      <c r="O1546" s="147" t="str">
        <f t="shared" si="21"/>
        <v/>
      </c>
      <c r="P1546" s="147" t="str">
        <f>IFERROR(__xludf.DUMMYFUNCTION("if(C1546="""","""",iferror(if(row()&lt;&gt;2,INDEX(arrayformula(filter($Q$2:$Q1545,$C$2:$C1545&lt;&gt;"""",row($C$2:$C1545)=max(if($C$2:$C1545=C1546,row($C$2:$C1545),0)))) ,1),0),0))"),"")</f>
        <v/>
      </c>
      <c r="Q1546" s="147" t="str">
        <f t="shared" si="22"/>
        <v/>
      </c>
      <c r="R1546" s="147" t="str">
        <f t="shared" si="23"/>
        <v/>
      </c>
      <c r="S1546" s="147" t="str">
        <f t="shared" si="24"/>
        <v/>
      </c>
      <c r="T1546" s="147" t="str">
        <f t="shared" si="7"/>
        <v/>
      </c>
      <c r="U1546" s="150" t="str">
        <f t="shared" si="8"/>
        <v/>
      </c>
      <c r="V1546" s="151" t="str">
        <f>IFERROR(VLOOKUP(C1546,Ativos!$A$1:$G2000,5,),)</f>
        <v/>
      </c>
    </row>
    <row r="1547" ht="21.0" customHeight="1">
      <c r="A1547" s="152"/>
      <c r="B1547" s="160"/>
      <c r="C1547" s="153"/>
      <c r="D1547" s="154"/>
      <c r="E1547" s="139"/>
      <c r="F1547" s="139"/>
      <c r="G1547" s="139"/>
      <c r="H1547" s="135"/>
      <c r="I1547" s="141"/>
      <c r="J1547" s="147" t="str">
        <f>IFERROR(__xludf.DUMMYFUNCTION("IF(ISBLANK(A1547),IFERROR(1/0),IF(COUNT(FILTER(F:F,A:A=A1547))&gt;1,TRUNC(N1547*F1547/SUM(FILTER(N:N,A:A=A1547)),3),F1547))"),"")</f>
        <v/>
      </c>
      <c r="K1547" s="147" t="str">
        <f>IFERROR(__xludf.DUMMYFUNCTION("IF(ISBLANK(A1547),IFERROR(1/0),IF(COUNT(FILTER(G:G,((A:A=A1547)*(B:B=""V""))))&gt;1,TRUNC(N1547*G1547/SUM(FILTER(N:N,((A:A=A1547)*(B:B=""V"")))),3),G1547))"),"")</f>
        <v/>
      </c>
      <c r="L1547" s="148" t="str">
        <f>IFERROR(__xludf.DUMMYFUNCTION("if($C1547="""","""",iferror(if(row()&lt;&gt;2,INDEX(arrayformula(filter($M$2:$M1546,$C$2:$C1546&lt;&gt;"""",row($C$2:$C1546)=max(if($C$2:$C1546=C1547,row($C$2:$C1546),0)))) ,1),0),0))"),"")</f>
        <v/>
      </c>
      <c r="M1547" s="148" t="str">
        <f t="shared" si="1"/>
        <v/>
      </c>
      <c r="N1547" s="147" t="str">
        <f t="shared" si="2"/>
        <v/>
      </c>
      <c r="O1547" s="147" t="str">
        <f t="shared" si="21"/>
        <v/>
      </c>
      <c r="P1547" s="147" t="str">
        <f>IFERROR(__xludf.DUMMYFUNCTION("if(C1547="""","""",iferror(if(row()&lt;&gt;2,INDEX(arrayformula(filter($Q$2:$Q1546,$C$2:$C1546&lt;&gt;"""",row($C$2:$C1546)=max(if($C$2:$C1546=C1547,row($C$2:$C1546),0)))) ,1),0),0))"),"")</f>
        <v/>
      </c>
      <c r="Q1547" s="147" t="str">
        <f t="shared" si="22"/>
        <v/>
      </c>
      <c r="R1547" s="147" t="str">
        <f t="shared" si="23"/>
        <v/>
      </c>
      <c r="S1547" s="147" t="str">
        <f t="shared" si="24"/>
        <v/>
      </c>
      <c r="T1547" s="147" t="str">
        <f t="shared" si="7"/>
        <v/>
      </c>
      <c r="U1547" s="150" t="str">
        <f t="shared" si="8"/>
        <v/>
      </c>
      <c r="V1547" s="151" t="str">
        <f>IFERROR(VLOOKUP(C1547,Ativos!$A$1:$G2000,5,),)</f>
        <v/>
      </c>
    </row>
    <row r="1548" ht="21.0" customHeight="1">
      <c r="A1548" s="152"/>
      <c r="B1548" s="160"/>
      <c r="C1548" s="153"/>
      <c r="D1548" s="154"/>
      <c r="E1548" s="139"/>
      <c r="F1548" s="139"/>
      <c r="G1548" s="139"/>
      <c r="H1548" s="135"/>
      <c r="I1548" s="141"/>
      <c r="J1548" s="147" t="str">
        <f>IFERROR(__xludf.DUMMYFUNCTION("IF(ISBLANK(A1548),IFERROR(1/0),IF(COUNT(FILTER(F:F,A:A=A1548))&gt;1,TRUNC(N1548*F1548/SUM(FILTER(N:N,A:A=A1548)),3),F1548))"),"")</f>
        <v/>
      </c>
      <c r="K1548" s="147" t="str">
        <f>IFERROR(__xludf.DUMMYFUNCTION("IF(ISBLANK(A1548),IFERROR(1/0),IF(COUNT(FILTER(G:G,((A:A=A1548)*(B:B=""V""))))&gt;1,TRUNC(N1548*G1548/SUM(FILTER(N:N,((A:A=A1548)*(B:B=""V"")))),3),G1548))"),"")</f>
        <v/>
      </c>
      <c r="L1548" s="148" t="str">
        <f>IFERROR(__xludf.DUMMYFUNCTION("if($C1548="""","""",iferror(if(row()&lt;&gt;2,INDEX(arrayformula(filter($M$2:$M1547,$C$2:$C1547&lt;&gt;"""",row($C$2:$C1547)=max(if($C$2:$C1547=C1548,row($C$2:$C1547),0)))) ,1),0),0))"),"")</f>
        <v/>
      </c>
      <c r="M1548" s="148" t="str">
        <f t="shared" si="1"/>
        <v/>
      </c>
      <c r="N1548" s="147" t="str">
        <f t="shared" si="2"/>
        <v/>
      </c>
      <c r="O1548" s="147" t="str">
        <f t="shared" si="21"/>
        <v/>
      </c>
      <c r="P1548" s="147" t="str">
        <f>IFERROR(__xludf.DUMMYFUNCTION("if(C1548="""","""",iferror(if(row()&lt;&gt;2,INDEX(arrayformula(filter($Q$2:$Q1547,$C$2:$C1547&lt;&gt;"""",row($C$2:$C1547)=max(if($C$2:$C1547=C1548,row($C$2:$C1547),0)))) ,1),0),0))"),"")</f>
        <v/>
      </c>
      <c r="Q1548" s="147" t="str">
        <f t="shared" si="22"/>
        <v/>
      </c>
      <c r="R1548" s="147" t="str">
        <f t="shared" si="23"/>
        <v/>
      </c>
      <c r="S1548" s="147" t="str">
        <f t="shared" si="24"/>
        <v/>
      </c>
      <c r="T1548" s="147" t="str">
        <f t="shared" si="7"/>
        <v/>
      </c>
      <c r="U1548" s="150" t="str">
        <f t="shared" si="8"/>
        <v/>
      </c>
      <c r="V1548" s="151" t="str">
        <f>IFERROR(VLOOKUP(C1548,Ativos!$A$1:$G2000,5,),)</f>
        <v/>
      </c>
    </row>
    <row r="1549" ht="21.0" customHeight="1">
      <c r="A1549" s="152"/>
      <c r="B1549" s="160"/>
      <c r="C1549" s="153"/>
      <c r="D1549" s="154"/>
      <c r="E1549" s="139"/>
      <c r="F1549" s="139"/>
      <c r="G1549" s="139"/>
      <c r="H1549" s="135"/>
      <c r="I1549" s="141"/>
      <c r="J1549" s="147" t="str">
        <f>IFERROR(__xludf.DUMMYFUNCTION("IF(ISBLANK(A1549),IFERROR(1/0),IF(COUNT(FILTER(F:F,A:A=A1549))&gt;1,TRUNC(N1549*F1549/SUM(FILTER(N:N,A:A=A1549)),3),F1549))"),"")</f>
        <v/>
      </c>
      <c r="K1549" s="147" t="str">
        <f>IFERROR(__xludf.DUMMYFUNCTION("IF(ISBLANK(A1549),IFERROR(1/0),IF(COUNT(FILTER(G:G,((A:A=A1549)*(B:B=""V""))))&gt;1,TRUNC(N1549*G1549/SUM(FILTER(N:N,((A:A=A1549)*(B:B=""V"")))),3),G1549))"),"")</f>
        <v/>
      </c>
      <c r="L1549" s="148" t="str">
        <f>IFERROR(__xludf.DUMMYFUNCTION("if($C1549="""","""",iferror(if(row()&lt;&gt;2,INDEX(arrayformula(filter($M$2:$M1548,$C$2:$C1548&lt;&gt;"""",row($C$2:$C1548)=max(if($C$2:$C1548=C1549,row($C$2:$C1548),0)))) ,1),0),0))"),"")</f>
        <v/>
      </c>
      <c r="M1549" s="148" t="str">
        <f t="shared" si="1"/>
        <v/>
      </c>
      <c r="N1549" s="147" t="str">
        <f t="shared" si="2"/>
        <v/>
      </c>
      <c r="O1549" s="147" t="str">
        <f t="shared" si="21"/>
        <v/>
      </c>
      <c r="P1549" s="147" t="str">
        <f>IFERROR(__xludf.DUMMYFUNCTION("if(C1549="""","""",iferror(if(row()&lt;&gt;2,INDEX(arrayformula(filter($Q$2:$Q1548,$C$2:$C1548&lt;&gt;"""",row($C$2:$C1548)=max(if($C$2:$C1548=C1549,row($C$2:$C1548),0)))) ,1),0),0))"),"")</f>
        <v/>
      </c>
      <c r="Q1549" s="147" t="str">
        <f t="shared" si="22"/>
        <v/>
      </c>
      <c r="R1549" s="147" t="str">
        <f t="shared" si="23"/>
        <v/>
      </c>
      <c r="S1549" s="147" t="str">
        <f t="shared" si="24"/>
        <v/>
      </c>
      <c r="T1549" s="147" t="str">
        <f t="shared" si="7"/>
        <v/>
      </c>
      <c r="U1549" s="150" t="str">
        <f t="shared" si="8"/>
        <v/>
      </c>
      <c r="V1549" s="151" t="str">
        <f>IFERROR(VLOOKUP(C1549,Ativos!$A$1:$G2000,5,),)</f>
        <v/>
      </c>
    </row>
    <row r="1550" ht="21.0" customHeight="1">
      <c r="A1550" s="152"/>
      <c r="B1550" s="160"/>
      <c r="C1550" s="153"/>
      <c r="D1550" s="154"/>
      <c r="E1550" s="139"/>
      <c r="F1550" s="139"/>
      <c r="G1550" s="139"/>
      <c r="H1550" s="135"/>
      <c r="I1550" s="141"/>
      <c r="J1550" s="147" t="str">
        <f>IFERROR(__xludf.DUMMYFUNCTION("IF(ISBLANK(A1550),IFERROR(1/0),IF(COUNT(FILTER(F:F,A:A=A1550))&gt;1,TRUNC(N1550*F1550/SUM(FILTER(N:N,A:A=A1550)),3),F1550))"),"")</f>
        <v/>
      </c>
      <c r="K1550" s="147" t="str">
        <f>IFERROR(__xludf.DUMMYFUNCTION("IF(ISBLANK(A1550),IFERROR(1/0),IF(COUNT(FILTER(G:G,((A:A=A1550)*(B:B=""V""))))&gt;1,TRUNC(N1550*G1550/SUM(FILTER(N:N,((A:A=A1550)*(B:B=""V"")))),3),G1550))"),"")</f>
        <v/>
      </c>
      <c r="L1550" s="148" t="str">
        <f>IFERROR(__xludf.DUMMYFUNCTION("if($C1550="""","""",iferror(if(row()&lt;&gt;2,INDEX(arrayformula(filter($M$2:$M1549,$C$2:$C1549&lt;&gt;"""",row($C$2:$C1549)=max(if($C$2:$C1549=C1550,row($C$2:$C1549),0)))) ,1),0),0))"),"")</f>
        <v/>
      </c>
      <c r="M1550" s="148" t="str">
        <f t="shared" si="1"/>
        <v/>
      </c>
      <c r="N1550" s="147" t="str">
        <f t="shared" si="2"/>
        <v/>
      </c>
      <c r="O1550" s="147" t="str">
        <f t="shared" si="21"/>
        <v/>
      </c>
      <c r="P1550" s="147" t="str">
        <f>IFERROR(__xludf.DUMMYFUNCTION("if(C1550="""","""",iferror(if(row()&lt;&gt;2,INDEX(arrayformula(filter($Q$2:$Q1549,$C$2:$C1549&lt;&gt;"""",row($C$2:$C1549)=max(if($C$2:$C1549=C1550,row($C$2:$C1549),0)))) ,1),0),0))"),"")</f>
        <v/>
      </c>
      <c r="Q1550" s="147" t="str">
        <f t="shared" si="22"/>
        <v/>
      </c>
      <c r="R1550" s="147" t="str">
        <f t="shared" si="23"/>
        <v/>
      </c>
      <c r="S1550" s="147" t="str">
        <f t="shared" si="24"/>
        <v/>
      </c>
      <c r="T1550" s="147" t="str">
        <f t="shared" si="7"/>
        <v/>
      </c>
      <c r="U1550" s="150" t="str">
        <f t="shared" si="8"/>
        <v/>
      </c>
      <c r="V1550" s="151" t="str">
        <f>IFERROR(VLOOKUP(C1550,Ativos!$A$1:$G2000,5,),)</f>
        <v/>
      </c>
    </row>
    <row r="1551" ht="21.0" customHeight="1">
      <c r="A1551" s="152"/>
      <c r="B1551" s="160"/>
      <c r="C1551" s="153"/>
      <c r="D1551" s="154"/>
      <c r="E1551" s="139"/>
      <c r="F1551" s="139"/>
      <c r="G1551" s="139"/>
      <c r="H1551" s="135"/>
      <c r="I1551" s="141"/>
      <c r="J1551" s="147" t="str">
        <f>IFERROR(__xludf.DUMMYFUNCTION("IF(ISBLANK(A1551),IFERROR(1/0),IF(COUNT(FILTER(F:F,A:A=A1551))&gt;1,TRUNC(N1551*F1551/SUM(FILTER(N:N,A:A=A1551)),3),F1551))"),"")</f>
        <v/>
      </c>
      <c r="K1551" s="147" t="str">
        <f>IFERROR(__xludf.DUMMYFUNCTION("IF(ISBLANK(A1551),IFERROR(1/0),IF(COUNT(FILTER(G:G,((A:A=A1551)*(B:B=""V""))))&gt;1,TRUNC(N1551*G1551/SUM(FILTER(N:N,((A:A=A1551)*(B:B=""V"")))),3),G1551))"),"")</f>
        <v/>
      </c>
      <c r="L1551" s="148" t="str">
        <f>IFERROR(__xludf.DUMMYFUNCTION("if($C1551="""","""",iferror(if(row()&lt;&gt;2,INDEX(arrayformula(filter($M$2:$M1550,$C$2:$C1550&lt;&gt;"""",row($C$2:$C1550)=max(if($C$2:$C1550=C1551,row($C$2:$C1550),0)))) ,1),0),0))"),"")</f>
        <v/>
      </c>
      <c r="M1551" s="148" t="str">
        <f t="shared" si="1"/>
        <v/>
      </c>
      <c r="N1551" s="147" t="str">
        <f t="shared" si="2"/>
        <v/>
      </c>
      <c r="O1551" s="147" t="str">
        <f t="shared" si="21"/>
        <v/>
      </c>
      <c r="P1551" s="147" t="str">
        <f>IFERROR(__xludf.DUMMYFUNCTION("if(C1551="""","""",iferror(if(row()&lt;&gt;2,INDEX(arrayformula(filter($Q$2:$Q1550,$C$2:$C1550&lt;&gt;"""",row($C$2:$C1550)=max(if($C$2:$C1550=C1551,row($C$2:$C1550),0)))) ,1),0),0))"),"")</f>
        <v/>
      </c>
      <c r="Q1551" s="147" t="str">
        <f t="shared" si="22"/>
        <v/>
      </c>
      <c r="R1551" s="147" t="str">
        <f t="shared" si="23"/>
        <v/>
      </c>
      <c r="S1551" s="147" t="str">
        <f t="shared" si="24"/>
        <v/>
      </c>
      <c r="T1551" s="147" t="str">
        <f t="shared" si="7"/>
        <v/>
      </c>
      <c r="U1551" s="150" t="str">
        <f t="shared" si="8"/>
        <v/>
      </c>
      <c r="V1551" s="151" t="str">
        <f>IFERROR(VLOOKUP(C1551,Ativos!$A$1:$G2000,5,),)</f>
        <v/>
      </c>
    </row>
    <row r="1552" ht="21.0" customHeight="1">
      <c r="A1552" s="152"/>
      <c r="B1552" s="160"/>
      <c r="C1552" s="153"/>
      <c r="D1552" s="154"/>
      <c r="E1552" s="139"/>
      <c r="F1552" s="139"/>
      <c r="G1552" s="139"/>
      <c r="H1552" s="135"/>
      <c r="I1552" s="141"/>
      <c r="J1552" s="147" t="str">
        <f>IFERROR(__xludf.DUMMYFUNCTION("IF(ISBLANK(A1552),IFERROR(1/0),IF(COUNT(FILTER(F:F,A:A=A1552))&gt;1,TRUNC(N1552*F1552/SUM(FILTER(N:N,A:A=A1552)),3),F1552))"),"")</f>
        <v/>
      </c>
      <c r="K1552" s="147" t="str">
        <f>IFERROR(__xludf.DUMMYFUNCTION("IF(ISBLANK(A1552),IFERROR(1/0),IF(COUNT(FILTER(G:G,((A:A=A1552)*(B:B=""V""))))&gt;1,TRUNC(N1552*G1552/SUM(FILTER(N:N,((A:A=A1552)*(B:B=""V"")))),3),G1552))"),"")</f>
        <v/>
      </c>
      <c r="L1552" s="148" t="str">
        <f>IFERROR(__xludf.DUMMYFUNCTION("if($C1552="""","""",iferror(if(row()&lt;&gt;2,INDEX(arrayformula(filter($M$2:$M1551,$C$2:$C1551&lt;&gt;"""",row($C$2:$C1551)=max(if($C$2:$C1551=C1552,row($C$2:$C1551),0)))) ,1),0),0))"),"")</f>
        <v/>
      </c>
      <c r="M1552" s="148" t="str">
        <f t="shared" si="1"/>
        <v/>
      </c>
      <c r="N1552" s="147" t="str">
        <f t="shared" si="2"/>
        <v/>
      </c>
      <c r="O1552" s="147" t="str">
        <f t="shared" si="21"/>
        <v/>
      </c>
      <c r="P1552" s="147" t="str">
        <f>IFERROR(__xludf.DUMMYFUNCTION("if(C1552="""","""",iferror(if(row()&lt;&gt;2,INDEX(arrayformula(filter($Q$2:$Q1551,$C$2:$C1551&lt;&gt;"""",row($C$2:$C1551)=max(if($C$2:$C1551=C1552,row($C$2:$C1551),0)))) ,1),0),0))"),"")</f>
        <v/>
      </c>
      <c r="Q1552" s="147" t="str">
        <f t="shared" si="22"/>
        <v/>
      </c>
      <c r="R1552" s="147" t="str">
        <f t="shared" si="23"/>
        <v/>
      </c>
      <c r="S1552" s="147" t="str">
        <f t="shared" si="24"/>
        <v/>
      </c>
      <c r="T1552" s="147" t="str">
        <f t="shared" si="7"/>
        <v/>
      </c>
      <c r="U1552" s="150" t="str">
        <f t="shared" si="8"/>
        <v/>
      </c>
      <c r="V1552" s="151" t="str">
        <f>IFERROR(VLOOKUP(C1552,Ativos!$A$1:$G2000,5,),)</f>
        <v/>
      </c>
    </row>
    <row r="1553" ht="21.0" customHeight="1">
      <c r="A1553" s="152"/>
      <c r="B1553" s="160"/>
      <c r="C1553" s="153"/>
      <c r="D1553" s="154"/>
      <c r="E1553" s="139"/>
      <c r="F1553" s="139"/>
      <c r="G1553" s="139"/>
      <c r="H1553" s="135"/>
      <c r="I1553" s="141"/>
      <c r="J1553" s="147" t="str">
        <f>IFERROR(__xludf.DUMMYFUNCTION("IF(ISBLANK(A1553),IFERROR(1/0),IF(COUNT(FILTER(F:F,A:A=A1553))&gt;1,TRUNC(N1553*F1553/SUM(FILTER(N:N,A:A=A1553)),3),F1553))"),"")</f>
        <v/>
      </c>
      <c r="K1553" s="147" t="str">
        <f>IFERROR(__xludf.DUMMYFUNCTION("IF(ISBLANK(A1553),IFERROR(1/0),IF(COUNT(FILTER(G:G,((A:A=A1553)*(B:B=""V""))))&gt;1,TRUNC(N1553*G1553/SUM(FILTER(N:N,((A:A=A1553)*(B:B=""V"")))),3),G1553))"),"")</f>
        <v/>
      </c>
      <c r="L1553" s="148" t="str">
        <f>IFERROR(__xludf.DUMMYFUNCTION("if($C1553="""","""",iferror(if(row()&lt;&gt;2,INDEX(arrayformula(filter($M$2:$M1552,$C$2:$C1552&lt;&gt;"""",row($C$2:$C1552)=max(if($C$2:$C1552=C1553,row($C$2:$C1552),0)))) ,1),0),0))"),"")</f>
        <v/>
      </c>
      <c r="M1553" s="148" t="str">
        <f t="shared" si="1"/>
        <v/>
      </c>
      <c r="N1553" s="147" t="str">
        <f t="shared" si="2"/>
        <v/>
      </c>
      <c r="O1553" s="147" t="str">
        <f t="shared" si="21"/>
        <v/>
      </c>
      <c r="P1553" s="147" t="str">
        <f>IFERROR(__xludf.DUMMYFUNCTION("if(C1553="""","""",iferror(if(row()&lt;&gt;2,INDEX(arrayformula(filter($Q$2:$Q1552,$C$2:$C1552&lt;&gt;"""",row($C$2:$C1552)=max(if($C$2:$C1552=C1553,row($C$2:$C1552),0)))) ,1),0),0))"),"")</f>
        <v/>
      </c>
      <c r="Q1553" s="147" t="str">
        <f t="shared" si="22"/>
        <v/>
      </c>
      <c r="R1553" s="147" t="str">
        <f t="shared" si="23"/>
        <v/>
      </c>
      <c r="S1553" s="147" t="str">
        <f t="shared" si="24"/>
        <v/>
      </c>
      <c r="T1553" s="147" t="str">
        <f t="shared" si="7"/>
        <v/>
      </c>
      <c r="U1553" s="150" t="str">
        <f t="shared" si="8"/>
        <v/>
      </c>
      <c r="V1553" s="151" t="str">
        <f>IFERROR(VLOOKUP(C1553,Ativos!$A$1:$G2000,5,),)</f>
        <v/>
      </c>
    </row>
    <row r="1554" ht="21.0" customHeight="1">
      <c r="A1554" s="152"/>
      <c r="B1554" s="160"/>
      <c r="C1554" s="153"/>
      <c r="D1554" s="154"/>
      <c r="E1554" s="139"/>
      <c r="F1554" s="139"/>
      <c r="G1554" s="139"/>
      <c r="H1554" s="135"/>
      <c r="I1554" s="141"/>
      <c r="J1554" s="147" t="str">
        <f>IFERROR(__xludf.DUMMYFUNCTION("IF(ISBLANK(A1554),IFERROR(1/0),IF(COUNT(FILTER(F:F,A:A=A1554))&gt;1,TRUNC(N1554*F1554/SUM(FILTER(N:N,A:A=A1554)),3),F1554))"),"")</f>
        <v/>
      </c>
      <c r="K1554" s="147" t="str">
        <f>IFERROR(__xludf.DUMMYFUNCTION("IF(ISBLANK(A1554),IFERROR(1/0),IF(COUNT(FILTER(G:G,((A:A=A1554)*(B:B=""V""))))&gt;1,TRUNC(N1554*G1554/SUM(FILTER(N:N,((A:A=A1554)*(B:B=""V"")))),3),G1554))"),"")</f>
        <v/>
      </c>
      <c r="L1554" s="148" t="str">
        <f>IFERROR(__xludf.DUMMYFUNCTION("if($C1554="""","""",iferror(if(row()&lt;&gt;2,INDEX(arrayformula(filter($M$2:$M1553,$C$2:$C1553&lt;&gt;"""",row($C$2:$C1553)=max(if($C$2:$C1553=C1554,row($C$2:$C1553),0)))) ,1),0),0))"),"")</f>
        <v/>
      </c>
      <c r="M1554" s="148" t="str">
        <f t="shared" si="1"/>
        <v/>
      </c>
      <c r="N1554" s="147" t="str">
        <f t="shared" si="2"/>
        <v/>
      </c>
      <c r="O1554" s="147" t="str">
        <f t="shared" si="21"/>
        <v/>
      </c>
      <c r="P1554" s="147" t="str">
        <f>IFERROR(__xludf.DUMMYFUNCTION("if(C1554="""","""",iferror(if(row()&lt;&gt;2,INDEX(arrayformula(filter($Q$2:$Q1553,$C$2:$C1553&lt;&gt;"""",row($C$2:$C1553)=max(if($C$2:$C1553=C1554,row($C$2:$C1553),0)))) ,1),0),0))"),"")</f>
        <v/>
      </c>
      <c r="Q1554" s="147" t="str">
        <f t="shared" si="22"/>
        <v/>
      </c>
      <c r="R1554" s="147" t="str">
        <f t="shared" si="23"/>
        <v/>
      </c>
      <c r="S1554" s="147" t="str">
        <f t="shared" si="24"/>
        <v/>
      </c>
      <c r="T1554" s="147" t="str">
        <f t="shared" si="7"/>
        <v/>
      </c>
      <c r="U1554" s="150" t="str">
        <f t="shared" si="8"/>
        <v/>
      </c>
      <c r="V1554" s="151" t="str">
        <f>IFERROR(VLOOKUP(C1554,Ativos!$A$1:$G2000,5,),)</f>
        <v/>
      </c>
    </row>
    <row r="1555" ht="21.0" customHeight="1">
      <c r="A1555" s="152"/>
      <c r="B1555" s="160"/>
      <c r="C1555" s="153"/>
      <c r="D1555" s="154"/>
      <c r="E1555" s="139"/>
      <c r="F1555" s="139"/>
      <c r="G1555" s="139"/>
      <c r="H1555" s="135"/>
      <c r="I1555" s="141"/>
      <c r="J1555" s="147" t="str">
        <f>IFERROR(__xludf.DUMMYFUNCTION("IF(ISBLANK(A1555),IFERROR(1/0),IF(COUNT(FILTER(F:F,A:A=A1555))&gt;1,TRUNC(N1555*F1555/SUM(FILTER(N:N,A:A=A1555)),3),F1555))"),"")</f>
        <v/>
      </c>
      <c r="K1555" s="147" t="str">
        <f>IFERROR(__xludf.DUMMYFUNCTION("IF(ISBLANK(A1555),IFERROR(1/0),IF(COUNT(FILTER(G:G,((A:A=A1555)*(B:B=""V""))))&gt;1,TRUNC(N1555*G1555/SUM(FILTER(N:N,((A:A=A1555)*(B:B=""V"")))),3),G1555))"),"")</f>
        <v/>
      </c>
      <c r="L1555" s="148" t="str">
        <f>IFERROR(__xludf.DUMMYFUNCTION("if($C1555="""","""",iferror(if(row()&lt;&gt;2,INDEX(arrayformula(filter($M$2:$M1554,$C$2:$C1554&lt;&gt;"""",row($C$2:$C1554)=max(if($C$2:$C1554=C1555,row($C$2:$C1554),0)))) ,1),0),0))"),"")</f>
        <v/>
      </c>
      <c r="M1555" s="148" t="str">
        <f t="shared" si="1"/>
        <v/>
      </c>
      <c r="N1555" s="147" t="str">
        <f t="shared" si="2"/>
        <v/>
      </c>
      <c r="O1555" s="147" t="str">
        <f t="shared" si="21"/>
        <v/>
      </c>
      <c r="P1555" s="147" t="str">
        <f>IFERROR(__xludf.DUMMYFUNCTION("if(C1555="""","""",iferror(if(row()&lt;&gt;2,INDEX(arrayformula(filter($Q$2:$Q1554,$C$2:$C1554&lt;&gt;"""",row($C$2:$C1554)=max(if($C$2:$C1554=C1555,row($C$2:$C1554),0)))) ,1),0),0))"),"")</f>
        <v/>
      </c>
      <c r="Q1555" s="147" t="str">
        <f t="shared" si="22"/>
        <v/>
      </c>
      <c r="R1555" s="147" t="str">
        <f t="shared" si="23"/>
        <v/>
      </c>
      <c r="S1555" s="147" t="str">
        <f t="shared" si="24"/>
        <v/>
      </c>
      <c r="T1555" s="147" t="str">
        <f t="shared" si="7"/>
        <v/>
      </c>
      <c r="U1555" s="150" t="str">
        <f t="shared" si="8"/>
        <v/>
      </c>
      <c r="V1555" s="151" t="str">
        <f>IFERROR(VLOOKUP(C1555,Ativos!$A$1:$G2000,5,),)</f>
        <v/>
      </c>
    </row>
    <row r="1556" ht="21.0" customHeight="1">
      <c r="A1556" s="152"/>
      <c r="B1556" s="160"/>
      <c r="C1556" s="153"/>
      <c r="D1556" s="154"/>
      <c r="E1556" s="139"/>
      <c r="F1556" s="139"/>
      <c r="G1556" s="139"/>
      <c r="H1556" s="135"/>
      <c r="I1556" s="141"/>
      <c r="J1556" s="147" t="str">
        <f>IFERROR(__xludf.DUMMYFUNCTION("IF(ISBLANK(A1556),IFERROR(1/0),IF(COUNT(FILTER(F:F,A:A=A1556))&gt;1,TRUNC(N1556*F1556/SUM(FILTER(N:N,A:A=A1556)),3),F1556))"),"")</f>
        <v/>
      </c>
      <c r="K1556" s="147" t="str">
        <f>IFERROR(__xludf.DUMMYFUNCTION("IF(ISBLANK(A1556),IFERROR(1/0),IF(COUNT(FILTER(G:G,((A:A=A1556)*(B:B=""V""))))&gt;1,TRUNC(N1556*G1556/SUM(FILTER(N:N,((A:A=A1556)*(B:B=""V"")))),3),G1556))"),"")</f>
        <v/>
      </c>
      <c r="L1556" s="148" t="str">
        <f>IFERROR(__xludf.DUMMYFUNCTION("if($C1556="""","""",iferror(if(row()&lt;&gt;2,INDEX(arrayformula(filter($M$2:$M1555,$C$2:$C1555&lt;&gt;"""",row($C$2:$C1555)=max(if($C$2:$C1555=C1556,row($C$2:$C1555),0)))) ,1),0),0))"),"")</f>
        <v/>
      </c>
      <c r="M1556" s="148" t="str">
        <f t="shared" si="1"/>
        <v/>
      </c>
      <c r="N1556" s="147" t="str">
        <f t="shared" si="2"/>
        <v/>
      </c>
      <c r="O1556" s="147" t="str">
        <f t="shared" si="21"/>
        <v/>
      </c>
      <c r="P1556" s="147" t="str">
        <f>IFERROR(__xludf.DUMMYFUNCTION("if(C1556="""","""",iferror(if(row()&lt;&gt;2,INDEX(arrayformula(filter($Q$2:$Q1555,$C$2:$C1555&lt;&gt;"""",row($C$2:$C1555)=max(if($C$2:$C1555=C1556,row($C$2:$C1555),0)))) ,1),0),0))"),"")</f>
        <v/>
      </c>
      <c r="Q1556" s="147" t="str">
        <f t="shared" si="22"/>
        <v/>
      </c>
      <c r="R1556" s="147" t="str">
        <f t="shared" si="23"/>
        <v/>
      </c>
      <c r="S1556" s="147" t="str">
        <f t="shared" si="24"/>
        <v/>
      </c>
      <c r="T1556" s="147" t="str">
        <f t="shared" si="7"/>
        <v/>
      </c>
      <c r="U1556" s="150" t="str">
        <f t="shared" si="8"/>
        <v/>
      </c>
      <c r="V1556" s="151" t="str">
        <f>IFERROR(VLOOKUP(C1556,Ativos!$A$1:$G2000,5,),)</f>
        <v/>
      </c>
    </row>
    <row r="1557" ht="21.0" customHeight="1">
      <c r="A1557" s="152"/>
      <c r="B1557" s="160"/>
      <c r="C1557" s="153"/>
      <c r="D1557" s="154"/>
      <c r="E1557" s="139"/>
      <c r="F1557" s="139"/>
      <c r="G1557" s="139"/>
      <c r="H1557" s="135"/>
      <c r="I1557" s="141"/>
      <c r="J1557" s="147" t="str">
        <f>IFERROR(__xludf.DUMMYFUNCTION("IF(ISBLANK(A1557),IFERROR(1/0),IF(COUNT(FILTER(F:F,A:A=A1557))&gt;1,TRUNC(N1557*F1557/SUM(FILTER(N:N,A:A=A1557)),3),F1557))"),"")</f>
        <v/>
      </c>
      <c r="K1557" s="147" t="str">
        <f>IFERROR(__xludf.DUMMYFUNCTION("IF(ISBLANK(A1557),IFERROR(1/0),IF(COUNT(FILTER(G:G,((A:A=A1557)*(B:B=""V""))))&gt;1,TRUNC(N1557*G1557/SUM(FILTER(N:N,((A:A=A1557)*(B:B=""V"")))),3),G1557))"),"")</f>
        <v/>
      </c>
      <c r="L1557" s="148" t="str">
        <f>IFERROR(__xludf.DUMMYFUNCTION("if($C1557="""","""",iferror(if(row()&lt;&gt;2,INDEX(arrayformula(filter($M$2:$M1556,$C$2:$C1556&lt;&gt;"""",row($C$2:$C1556)=max(if($C$2:$C1556=C1557,row($C$2:$C1556),0)))) ,1),0),0))"),"")</f>
        <v/>
      </c>
      <c r="M1557" s="148" t="str">
        <f t="shared" si="1"/>
        <v/>
      </c>
      <c r="N1557" s="147" t="str">
        <f t="shared" si="2"/>
        <v/>
      </c>
      <c r="O1557" s="147" t="str">
        <f t="shared" si="21"/>
        <v/>
      </c>
      <c r="P1557" s="147" t="str">
        <f>IFERROR(__xludf.DUMMYFUNCTION("if(C1557="""","""",iferror(if(row()&lt;&gt;2,INDEX(arrayformula(filter($Q$2:$Q1556,$C$2:$C1556&lt;&gt;"""",row($C$2:$C1556)=max(if($C$2:$C1556=C1557,row($C$2:$C1556),0)))) ,1),0),0))"),"")</f>
        <v/>
      </c>
      <c r="Q1557" s="147" t="str">
        <f t="shared" si="22"/>
        <v/>
      </c>
      <c r="R1557" s="147" t="str">
        <f t="shared" si="23"/>
        <v/>
      </c>
      <c r="S1557" s="147" t="str">
        <f t="shared" si="24"/>
        <v/>
      </c>
      <c r="T1557" s="147" t="str">
        <f t="shared" si="7"/>
        <v/>
      </c>
      <c r="U1557" s="150" t="str">
        <f t="shared" si="8"/>
        <v/>
      </c>
      <c r="V1557" s="151" t="str">
        <f>IFERROR(VLOOKUP(C1557,Ativos!$A$1:$G2000,5,),)</f>
        <v/>
      </c>
    </row>
    <row r="1558" ht="21.0" customHeight="1">
      <c r="A1558" s="152"/>
      <c r="B1558" s="160"/>
      <c r="C1558" s="153"/>
      <c r="D1558" s="154"/>
      <c r="E1558" s="139"/>
      <c r="F1558" s="139"/>
      <c r="G1558" s="139"/>
      <c r="H1558" s="135"/>
      <c r="I1558" s="141"/>
      <c r="J1558" s="147" t="str">
        <f>IFERROR(__xludf.DUMMYFUNCTION("IF(ISBLANK(A1558),IFERROR(1/0),IF(COUNT(FILTER(F:F,A:A=A1558))&gt;1,TRUNC(N1558*F1558/SUM(FILTER(N:N,A:A=A1558)),3),F1558))"),"")</f>
        <v/>
      </c>
      <c r="K1558" s="147" t="str">
        <f>IFERROR(__xludf.DUMMYFUNCTION("IF(ISBLANK(A1558),IFERROR(1/0),IF(COUNT(FILTER(G:G,((A:A=A1558)*(B:B=""V""))))&gt;1,TRUNC(N1558*G1558/SUM(FILTER(N:N,((A:A=A1558)*(B:B=""V"")))),3),G1558))"),"")</f>
        <v/>
      </c>
      <c r="L1558" s="148" t="str">
        <f>IFERROR(__xludf.DUMMYFUNCTION("if($C1558="""","""",iferror(if(row()&lt;&gt;2,INDEX(arrayformula(filter($M$2:$M1557,$C$2:$C1557&lt;&gt;"""",row($C$2:$C1557)=max(if($C$2:$C1557=C1558,row($C$2:$C1557),0)))) ,1),0),0))"),"")</f>
        <v/>
      </c>
      <c r="M1558" s="148" t="str">
        <f t="shared" si="1"/>
        <v/>
      </c>
      <c r="N1558" s="147" t="str">
        <f t="shared" si="2"/>
        <v/>
      </c>
      <c r="O1558" s="147" t="str">
        <f t="shared" si="21"/>
        <v/>
      </c>
      <c r="P1558" s="147" t="str">
        <f>IFERROR(__xludf.DUMMYFUNCTION("if(C1558="""","""",iferror(if(row()&lt;&gt;2,INDEX(arrayformula(filter($Q$2:$Q1557,$C$2:$C1557&lt;&gt;"""",row($C$2:$C1557)=max(if($C$2:$C1557=C1558,row($C$2:$C1557),0)))) ,1),0),0))"),"")</f>
        <v/>
      </c>
      <c r="Q1558" s="147" t="str">
        <f t="shared" si="22"/>
        <v/>
      </c>
      <c r="R1558" s="147" t="str">
        <f t="shared" si="23"/>
        <v/>
      </c>
      <c r="S1558" s="147" t="str">
        <f t="shared" si="24"/>
        <v/>
      </c>
      <c r="T1558" s="147" t="str">
        <f t="shared" si="7"/>
        <v/>
      </c>
      <c r="U1558" s="150" t="str">
        <f t="shared" si="8"/>
        <v/>
      </c>
      <c r="V1558" s="151" t="str">
        <f>IFERROR(VLOOKUP(C1558,Ativos!$A$1:$G2000,5,),)</f>
        <v/>
      </c>
    </row>
    <row r="1559" ht="21.0" customHeight="1">
      <c r="A1559" s="152"/>
      <c r="B1559" s="160"/>
      <c r="C1559" s="153"/>
      <c r="D1559" s="154"/>
      <c r="E1559" s="139"/>
      <c r="F1559" s="139"/>
      <c r="G1559" s="139"/>
      <c r="H1559" s="135"/>
      <c r="I1559" s="141"/>
      <c r="J1559" s="147" t="str">
        <f>IFERROR(__xludf.DUMMYFUNCTION("IF(ISBLANK(A1559),IFERROR(1/0),IF(COUNT(FILTER(F:F,A:A=A1559))&gt;1,TRUNC(N1559*F1559/SUM(FILTER(N:N,A:A=A1559)),3),F1559))"),"")</f>
        <v/>
      </c>
      <c r="K1559" s="147" t="str">
        <f>IFERROR(__xludf.DUMMYFUNCTION("IF(ISBLANK(A1559),IFERROR(1/0),IF(COUNT(FILTER(G:G,((A:A=A1559)*(B:B=""V""))))&gt;1,TRUNC(N1559*G1559/SUM(FILTER(N:N,((A:A=A1559)*(B:B=""V"")))),3),G1559))"),"")</f>
        <v/>
      </c>
      <c r="L1559" s="148" t="str">
        <f>IFERROR(__xludf.DUMMYFUNCTION("if($C1559="""","""",iferror(if(row()&lt;&gt;2,INDEX(arrayformula(filter($M$2:$M1558,$C$2:$C1558&lt;&gt;"""",row($C$2:$C1558)=max(if($C$2:$C1558=C1559,row($C$2:$C1558),0)))) ,1),0),0))"),"")</f>
        <v/>
      </c>
      <c r="M1559" s="148" t="str">
        <f t="shared" si="1"/>
        <v/>
      </c>
      <c r="N1559" s="147" t="str">
        <f t="shared" si="2"/>
        <v/>
      </c>
      <c r="O1559" s="147" t="str">
        <f t="shared" si="21"/>
        <v/>
      </c>
      <c r="P1559" s="147" t="str">
        <f>IFERROR(__xludf.DUMMYFUNCTION("if(C1559="""","""",iferror(if(row()&lt;&gt;2,INDEX(arrayformula(filter($Q$2:$Q1558,$C$2:$C1558&lt;&gt;"""",row($C$2:$C1558)=max(if($C$2:$C1558=C1559,row($C$2:$C1558),0)))) ,1),0),0))"),"")</f>
        <v/>
      </c>
      <c r="Q1559" s="147" t="str">
        <f t="shared" si="22"/>
        <v/>
      </c>
      <c r="R1559" s="147" t="str">
        <f t="shared" si="23"/>
        <v/>
      </c>
      <c r="S1559" s="147" t="str">
        <f t="shared" si="24"/>
        <v/>
      </c>
      <c r="T1559" s="147" t="str">
        <f t="shared" si="7"/>
        <v/>
      </c>
      <c r="U1559" s="150" t="str">
        <f t="shared" si="8"/>
        <v/>
      </c>
      <c r="V1559" s="151" t="str">
        <f>IFERROR(VLOOKUP(C1559,Ativos!$A$1:$G2000,5,),)</f>
        <v/>
      </c>
    </row>
    <row r="1560" ht="21.0" customHeight="1">
      <c r="A1560" s="152"/>
      <c r="B1560" s="160"/>
      <c r="C1560" s="153"/>
      <c r="D1560" s="154"/>
      <c r="E1560" s="139"/>
      <c r="F1560" s="139"/>
      <c r="G1560" s="139"/>
      <c r="H1560" s="135"/>
      <c r="I1560" s="141"/>
      <c r="J1560" s="147" t="str">
        <f>IFERROR(__xludf.DUMMYFUNCTION("IF(ISBLANK(A1560),IFERROR(1/0),IF(COUNT(FILTER(F:F,A:A=A1560))&gt;1,TRUNC(N1560*F1560/SUM(FILTER(N:N,A:A=A1560)),3),F1560))"),"")</f>
        <v/>
      </c>
      <c r="K1560" s="147" t="str">
        <f>IFERROR(__xludf.DUMMYFUNCTION("IF(ISBLANK(A1560),IFERROR(1/0),IF(COUNT(FILTER(G:G,((A:A=A1560)*(B:B=""V""))))&gt;1,TRUNC(N1560*G1560/SUM(FILTER(N:N,((A:A=A1560)*(B:B=""V"")))),3),G1560))"),"")</f>
        <v/>
      </c>
      <c r="L1560" s="148" t="str">
        <f>IFERROR(__xludf.DUMMYFUNCTION("if($C1560="""","""",iferror(if(row()&lt;&gt;2,INDEX(arrayformula(filter($M$2:$M1559,$C$2:$C1559&lt;&gt;"""",row($C$2:$C1559)=max(if($C$2:$C1559=C1560,row($C$2:$C1559),0)))) ,1),0),0))"),"")</f>
        <v/>
      </c>
      <c r="M1560" s="148" t="str">
        <f t="shared" si="1"/>
        <v/>
      </c>
      <c r="N1560" s="147" t="str">
        <f t="shared" si="2"/>
        <v/>
      </c>
      <c r="O1560" s="147" t="str">
        <f t="shared" si="21"/>
        <v/>
      </c>
      <c r="P1560" s="147" t="str">
        <f>IFERROR(__xludf.DUMMYFUNCTION("if(C1560="""","""",iferror(if(row()&lt;&gt;2,INDEX(arrayformula(filter($Q$2:$Q1559,$C$2:$C1559&lt;&gt;"""",row($C$2:$C1559)=max(if($C$2:$C1559=C1560,row($C$2:$C1559),0)))) ,1),0),0))"),"")</f>
        <v/>
      </c>
      <c r="Q1560" s="147" t="str">
        <f t="shared" si="22"/>
        <v/>
      </c>
      <c r="R1560" s="147" t="str">
        <f t="shared" si="23"/>
        <v/>
      </c>
      <c r="S1560" s="147" t="str">
        <f t="shared" si="24"/>
        <v/>
      </c>
      <c r="T1560" s="147" t="str">
        <f t="shared" si="7"/>
        <v/>
      </c>
      <c r="U1560" s="150" t="str">
        <f t="shared" si="8"/>
        <v/>
      </c>
      <c r="V1560" s="151" t="str">
        <f>IFERROR(VLOOKUP(C1560,Ativos!$A$1:$G2000,5,),)</f>
        <v/>
      </c>
    </row>
    <row r="1561" ht="21.0" customHeight="1">
      <c r="A1561" s="152"/>
      <c r="B1561" s="160"/>
      <c r="C1561" s="153"/>
      <c r="D1561" s="154"/>
      <c r="E1561" s="139"/>
      <c r="F1561" s="139"/>
      <c r="G1561" s="139"/>
      <c r="H1561" s="135"/>
      <c r="I1561" s="141"/>
      <c r="J1561" s="147" t="str">
        <f>IFERROR(__xludf.DUMMYFUNCTION("IF(ISBLANK(A1561),IFERROR(1/0),IF(COUNT(FILTER(F:F,A:A=A1561))&gt;1,TRUNC(N1561*F1561/SUM(FILTER(N:N,A:A=A1561)),3),F1561))"),"")</f>
        <v/>
      </c>
      <c r="K1561" s="147" t="str">
        <f>IFERROR(__xludf.DUMMYFUNCTION("IF(ISBLANK(A1561),IFERROR(1/0),IF(COUNT(FILTER(G:G,((A:A=A1561)*(B:B=""V""))))&gt;1,TRUNC(N1561*G1561/SUM(FILTER(N:N,((A:A=A1561)*(B:B=""V"")))),3),G1561))"),"")</f>
        <v/>
      </c>
      <c r="L1561" s="148" t="str">
        <f>IFERROR(__xludf.DUMMYFUNCTION("if($C1561="""","""",iferror(if(row()&lt;&gt;2,INDEX(arrayformula(filter($M$2:$M1560,$C$2:$C1560&lt;&gt;"""",row($C$2:$C1560)=max(if($C$2:$C1560=C1561,row($C$2:$C1560),0)))) ,1),0),0))"),"")</f>
        <v/>
      </c>
      <c r="M1561" s="148" t="str">
        <f t="shared" si="1"/>
        <v/>
      </c>
      <c r="N1561" s="147" t="str">
        <f t="shared" si="2"/>
        <v/>
      </c>
      <c r="O1561" s="147" t="str">
        <f t="shared" si="21"/>
        <v/>
      </c>
      <c r="P1561" s="147" t="str">
        <f>IFERROR(__xludf.DUMMYFUNCTION("if(C1561="""","""",iferror(if(row()&lt;&gt;2,INDEX(arrayformula(filter($Q$2:$Q1560,$C$2:$C1560&lt;&gt;"""",row($C$2:$C1560)=max(if($C$2:$C1560=C1561,row($C$2:$C1560),0)))) ,1),0),0))"),"")</f>
        <v/>
      </c>
      <c r="Q1561" s="147" t="str">
        <f t="shared" si="22"/>
        <v/>
      </c>
      <c r="R1561" s="147" t="str">
        <f t="shared" si="23"/>
        <v/>
      </c>
      <c r="S1561" s="147" t="str">
        <f t="shared" si="24"/>
        <v/>
      </c>
      <c r="T1561" s="147" t="str">
        <f t="shared" si="7"/>
        <v/>
      </c>
      <c r="U1561" s="150" t="str">
        <f t="shared" si="8"/>
        <v/>
      </c>
      <c r="V1561" s="151" t="str">
        <f>IFERROR(VLOOKUP(C1561,Ativos!$A$1:$G2000,5,),)</f>
        <v/>
      </c>
    </row>
    <row r="1562" ht="21.0" customHeight="1">
      <c r="A1562" s="152"/>
      <c r="B1562" s="160"/>
      <c r="C1562" s="153"/>
      <c r="D1562" s="154"/>
      <c r="E1562" s="139"/>
      <c r="F1562" s="139"/>
      <c r="G1562" s="139"/>
      <c r="H1562" s="135"/>
      <c r="I1562" s="141"/>
      <c r="J1562" s="147" t="str">
        <f>IFERROR(__xludf.DUMMYFUNCTION("IF(ISBLANK(A1562),IFERROR(1/0),IF(COUNT(FILTER(F:F,A:A=A1562))&gt;1,TRUNC(N1562*F1562/SUM(FILTER(N:N,A:A=A1562)),3),F1562))"),"")</f>
        <v/>
      </c>
      <c r="K1562" s="147" t="str">
        <f>IFERROR(__xludf.DUMMYFUNCTION("IF(ISBLANK(A1562),IFERROR(1/0),IF(COUNT(FILTER(G:G,((A:A=A1562)*(B:B=""V""))))&gt;1,TRUNC(N1562*G1562/SUM(FILTER(N:N,((A:A=A1562)*(B:B=""V"")))),3),G1562))"),"")</f>
        <v/>
      </c>
      <c r="L1562" s="148" t="str">
        <f>IFERROR(__xludf.DUMMYFUNCTION("if($C1562="""","""",iferror(if(row()&lt;&gt;2,INDEX(arrayformula(filter($M$2:$M1561,$C$2:$C1561&lt;&gt;"""",row($C$2:$C1561)=max(if($C$2:$C1561=C1562,row($C$2:$C1561),0)))) ,1),0),0))"),"")</f>
        <v/>
      </c>
      <c r="M1562" s="148" t="str">
        <f t="shared" si="1"/>
        <v/>
      </c>
      <c r="N1562" s="147" t="str">
        <f t="shared" si="2"/>
        <v/>
      </c>
      <c r="O1562" s="147" t="str">
        <f t="shared" si="21"/>
        <v/>
      </c>
      <c r="P1562" s="147" t="str">
        <f>IFERROR(__xludf.DUMMYFUNCTION("if(C1562="""","""",iferror(if(row()&lt;&gt;2,INDEX(arrayformula(filter($Q$2:$Q1561,$C$2:$C1561&lt;&gt;"""",row($C$2:$C1561)=max(if($C$2:$C1561=C1562,row($C$2:$C1561),0)))) ,1),0),0))"),"")</f>
        <v/>
      </c>
      <c r="Q1562" s="147" t="str">
        <f t="shared" si="22"/>
        <v/>
      </c>
      <c r="R1562" s="147" t="str">
        <f t="shared" si="23"/>
        <v/>
      </c>
      <c r="S1562" s="147" t="str">
        <f t="shared" si="24"/>
        <v/>
      </c>
      <c r="T1562" s="147" t="str">
        <f t="shared" si="7"/>
        <v/>
      </c>
      <c r="U1562" s="150" t="str">
        <f t="shared" si="8"/>
        <v/>
      </c>
      <c r="V1562" s="151" t="str">
        <f>IFERROR(VLOOKUP(C1562,Ativos!$A$1:$G2000,5,),)</f>
        <v/>
      </c>
    </row>
    <row r="1563" ht="21.0" customHeight="1">
      <c r="A1563" s="152"/>
      <c r="B1563" s="160"/>
      <c r="C1563" s="153"/>
      <c r="D1563" s="154"/>
      <c r="E1563" s="139"/>
      <c r="F1563" s="139"/>
      <c r="G1563" s="139"/>
      <c r="H1563" s="135"/>
      <c r="I1563" s="141"/>
      <c r="J1563" s="147" t="str">
        <f>IFERROR(__xludf.DUMMYFUNCTION("IF(ISBLANK(A1563),IFERROR(1/0),IF(COUNT(FILTER(F:F,A:A=A1563))&gt;1,TRUNC(N1563*F1563/SUM(FILTER(N:N,A:A=A1563)),3),F1563))"),"")</f>
        <v/>
      </c>
      <c r="K1563" s="147" t="str">
        <f>IFERROR(__xludf.DUMMYFUNCTION("IF(ISBLANK(A1563),IFERROR(1/0),IF(COUNT(FILTER(G:G,((A:A=A1563)*(B:B=""V""))))&gt;1,TRUNC(N1563*G1563/SUM(FILTER(N:N,((A:A=A1563)*(B:B=""V"")))),3),G1563))"),"")</f>
        <v/>
      </c>
      <c r="L1563" s="148" t="str">
        <f>IFERROR(__xludf.DUMMYFUNCTION("if($C1563="""","""",iferror(if(row()&lt;&gt;2,INDEX(arrayformula(filter($M$2:$M1562,$C$2:$C1562&lt;&gt;"""",row($C$2:$C1562)=max(if($C$2:$C1562=C1563,row($C$2:$C1562),0)))) ,1),0),0))"),"")</f>
        <v/>
      </c>
      <c r="M1563" s="148" t="str">
        <f t="shared" si="1"/>
        <v/>
      </c>
      <c r="N1563" s="147" t="str">
        <f t="shared" si="2"/>
        <v/>
      </c>
      <c r="O1563" s="147" t="str">
        <f t="shared" si="21"/>
        <v/>
      </c>
      <c r="P1563" s="147" t="str">
        <f>IFERROR(__xludf.DUMMYFUNCTION("if(C1563="""","""",iferror(if(row()&lt;&gt;2,INDEX(arrayformula(filter($Q$2:$Q1562,$C$2:$C1562&lt;&gt;"""",row($C$2:$C1562)=max(if($C$2:$C1562=C1563,row($C$2:$C1562),0)))) ,1),0),0))"),"")</f>
        <v/>
      </c>
      <c r="Q1563" s="147" t="str">
        <f t="shared" si="22"/>
        <v/>
      </c>
      <c r="R1563" s="147" t="str">
        <f t="shared" si="23"/>
        <v/>
      </c>
      <c r="S1563" s="147" t="str">
        <f t="shared" si="24"/>
        <v/>
      </c>
      <c r="T1563" s="147" t="str">
        <f t="shared" si="7"/>
        <v/>
      </c>
      <c r="U1563" s="150" t="str">
        <f t="shared" si="8"/>
        <v/>
      </c>
      <c r="V1563" s="151" t="str">
        <f>IFERROR(VLOOKUP(C1563,Ativos!$A$1:$G2000,5,),)</f>
        <v/>
      </c>
    </row>
    <row r="1564" ht="21.0" customHeight="1">
      <c r="A1564" s="152"/>
      <c r="B1564" s="160"/>
      <c r="C1564" s="153"/>
      <c r="D1564" s="154"/>
      <c r="E1564" s="139"/>
      <c r="F1564" s="139"/>
      <c r="G1564" s="139"/>
      <c r="H1564" s="135"/>
      <c r="I1564" s="141"/>
      <c r="J1564" s="147" t="str">
        <f>IFERROR(__xludf.DUMMYFUNCTION("IF(ISBLANK(A1564),IFERROR(1/0),IF(COUNT(FILTER(F:F,A:A=A1564))&gt;1,TRUNC(N1564*F1564/SUM(FILTER(N:N,A:A=A1564)),3),F1564))"),"")</f>
        <v/>
      </c>
      <c r="K1564" s="147" t="str">
        <f>IFERROR(__xludf.DUMMYFUNCTION("IF(ISBLANK(A1564),IFERROR(1/0),IF(COUNT(FILTER(G:G,((A:A=A1564)*(B:B=""V""))))&gt;1,TRUNC(N1564*G1564/SUM(FILTER(N:N,((A:A=A1564)*(B:B=""V"")))),3),G1564))"),"")</f>
        <v/>
      </c>
      <c r="L1564" s="148" t="str">
        <f>IFERROR(__xludf.DUMMYFUNCTION("if($C1564="""","""",iferror(if(row()&lt;&gt;2,INDEX(arrayformula(filter($M$2:$M1563,$C$2:$C1563&lt;&gt;"""",row($C$2:$C1563)=max(if($C$2:$C1563=C1564,row($C$2:$C1563),0)))) ,1),0),0))"),"")</f>
        <v/>
      </c>
      <c r="M1564" s="148" t="str">
        <f t="shared" si="1"/>
        <v/>
      </c>
      <c r="N1564" s="147" t="str">
        <f t="shared" si="2"/>
        <v/>
      </c>
      <c r="O1564" s="147" t="str">
        <f t="shared" si="21"/>
        <v/>
      </c>
      <c r="P1564" s="147" t="str">
        <f>IFERROR(__xludf.DUMMYFUNCTION("if(C1564="""","""",iferror(if(row()&lt;&gt;2,INDEX(arrayformula(filter($Q$2:$Q1563,$C$2:$C1563&lt;&gt;"""",row($C$2:$C1563)=max(if($C$2:$C1563=C1564,row($C$2:$C1563),0)))) ,1),0),0))"),"")</f>
        <v/>
      </c>
      <c r="Q1564" s="147" t="str">
        <f t="shared" si="22"/>
        <v/>
      </c>
      <c r="R1564" s="147" t="str">
        <f t="shared" si="23"/>
        <v/>
      </c>
      <c r="S1564" s="147" t="str">
        <f t="shared" si="24"/>
        <v/>
      </c>
      <c r="T1564" s="147" t="str">
        <f t="shared" si="7"/>
        <v/>
      </c>
      <c r="U1564" s="150" t="str">
        <f t="shared" si="8"/>
        <v/>
      </c>
      <c r="V1564" s="151" t="str">
        <f>IFERROR(VLOOKUP(C1564,Ativos!$A$1:$G2000,5,),)</f>
        <v/>
      </c>
    </row>
    <row r="1565" ht="21.0" customHeight="1">
      <c r="A1565" s="152"/>
      <c r="B1565" s="160"/>
      <c r="C1565" s="153"/>
      <c r="D1565" s="154"/>
      <c r="E1565" s="139"/>
      <c r="F1565" s="139"/>
      <c r="G1565" s="139"/>
      <c r="H1565" s="135"/>
      <c r="I1565" s="141"/>
      <c r="J1565" s="147" t="str">
        <f>IFERROR(__xludf.DUMMYFUNCTION("IF(ISBLANK(A1565),IFERROR(1/0),IF(COUNT(FILTER(F:F,A:A=A1565))&gt;1,TRUNC(N1565*F1565/SUM(FILTER(N:N,A:A=A1565)),3),F1565))"),"")</f>
        <v/>
      </c>
      <c r="K1565" s="147" t="str">
        <f>IFERROR(__xludf.DUMMYFUNCTION("IF(ISBLANK(A1565),IFERROR(1/0),IF(COUNT(FILTER(G:G,((A:A=A1565)*(B:B=""V""))))&gt;1,TRUNC(N1565*G1565/SUM(FILTER(N:N,((A:A=A1565)*(B:B=""V"")))),3),G1565))"),"")</f>
        <v/>
      </c>
      <c r="L1565" s="148" t="str">
        <f>IFERROR(__xludf.DUMMYFUNCTION("if($C1565="""","""",iferror(if(row()&lt;&gt;2,INDEX(arrayformula(filter($M$2:$M1564,$C$2:$C1564&lt;&gt;"""",row($C$2:$C1564)=max(if($C$2:$C1564=C1565,row($C$2:$C1564),0)))) ,1),0),0))"),"")</f>
        <v/>
      </c>
      <c r="M1565" s="148" t="str">
        <f t="shared" si="1"/>
        <v/>
      </c>
      <c r="N1565" s="147" t="str">
        <f t="shared" si="2"/>
        <v/>
      </c>
      <c r="O1565" s="147" t="str">
        <f t="shared" si="21"/>
        <v/>
      </c>
      <c r="P1565" s="147" t="str">
        <f>IFERROR(__xludf.DUMMYFUNCTION("if(C1565="""","""",iferror(if(row()&lt;&gt;2,INDEX(arrayformula(filter($Q$2:$Q1564,$C$2:$C1564&lt;&gt;"""",row($C$2:$C1564)=max(if($C$2:$C1564=C1565,row($C$2:$C1564),0)))) ,1),0),0))"),"")</f>
        <v/>
      </c>
      <c r="Q1565" s="147" t="str">
        <f t="shared" si="22"/>
        <v/>
      </c>
      <c r="R1565" s="147" t="str">
        <f t="shared" si="23"/>
        <v/>
      </c>
      <c r="S1565" s="147" t="str">
        <f t="shared" si="24"/>
        <v/>
      </c>
      <c r="T1565" s="147" t="str">
        <f t="shared" si="7"/>
        <v/>
      </c>
      <c r="U1565" s="150" t="str">
        <f t="shared" si="8"/>
        <v/>
      </c>
      <c r="V1565" s="151" t="str">
        <f>IFERROR(VLOOKUP(C1565,Ativos!$A$1:$G2000,5,),)</f>
        <v/>
      </c>
    </row>
    <row r="1566" ht="21.0" customHeight="1">
      <c r="A1566" s="152"/>
      <c r="B1566" s="160"/>
      <c r="C1566" s="153"/>
      <c r="D1566" s="154"/>
      <c r="E1566" s="139"/>
      <c r="F1566" s="139"/>
      <c r="G1566" s="139"/>
      <c r="H1566" s="135"/>
      <c r="I1566" s="141"/>
      <c r="J1566" s="147" t="str">
        <f>IFERROR(__xludf.DUMMYFUNCTION("IF(ISBLANK(A1566),IFERROR(1/0),IF(COUNT(FILTER(F:F,A:A=A1566))&gt;1,TRUNC(N1566*F1566/SUM(FILTER(N:N,A:A=A1566)),3),F1566))"),"")</f>
        <v/>
      </c>
      <c r="K1566" s="147" t="str">
        <f>IFERROR(__xludf.DUMMYFUNCTION("IF(ISBLANK(A1566),IFERROR(1/0),IF(COUNT(FILTER(G:G,((A:A=A1566)*(B:B=""V""))))&gt;1,TRUNC(N1566*G1566/SUM(FILTER(N:N,((A:A=A1566)*(B:B=""V"")))),3),G1566))"),"")</f>
        <v/>
      </c>
      <c r="L1566" s="148" t="str">
        <f>IFERROR(__xludf.DUMMYFUNCTION("if($C1566="""","""",iferror(if(row()&lt;&gt;2,INDEX(arrayformula(filter($M$2:$M1565,$C$2:$C1565&lt;&gt;"""",row($C$2:$C1565)=max(if($C$2:$C1565=C1566,row($C$2:$C1565),0)))) ,1),0),0))"),"")</f>
        <v/>
      </c>
      <c r="M1566" s="148" t="str">
        <f t="shared" si="1"/>
        <v/>
      </c>
      <c r="N1566" s="147" t="str">
        <f t="shared" si="2"/>
        <v/>
      </c>
      <c r="O1566" s="147" t="str">
        <f t="shared" si="21"/>
        <v/>
      </c>
      <c r="P1566" s="147" t="str">
        <f>IFERROR(__xludf.DUMMYFUNCTION("if(C1566="""","""",iferror(if(row()&lt;&gt;2,INDEX(arrayformula(filter($Q$2:$Q1565,$C$2:$C1565&lt;&gt;"""",row($C$2:$C1565)=max(if($C$2:$C1565=C1566,row($C$2:$C1565),0)))) ,1),0),0))"),"")</f>
        <v/>
      </c>
      <c r="Q1566" s="147" t="str">
        <f t="shared" si="22"/>
        <v/>
      </c>
      <c r="R1566" s="147" t="str">
        <f t="shared" si="23"/>
        <v/>
      </c>
      <c r="S1566" s="147" t="str">
        <f t="shared" si="24"/>
        <v/>
      </c>
      <c r="T1566" s="147" t="str">
        <f t="shared" si="7"/>
        <v/>
      </c>
      <c r="U1566" s="150" t="str">
        <f t="shared" si="8"/>
        <v/>
      </c>
      <c r="V1566" s="151" t="str">
        <f>IFERROR(VLOOKUP(C1566,Ativos!$A$1:$G2000,5,),)</f>
        <v/>
      </c>
    </row>
    <row r="1567" ht="21.0" customHeight="1">
      <c r="A1567" s="152"/>
      <c r="B1567" s="160"/>
      <c r="C1567" s="153"/>
      <c r="D1567" s="154"/>
      <c r="E1567" s="139"/>
      <c r="F1567" s="139"/>
      <c r="G1567" s="139"/>
      <c r="H1567" s="135"/>
      <c r="I1567" s="141"/>
      <c r="J1567" s="147" t="str">
        <f>IFERROR(__xludf.DUMMYFUNCTION("IF(ISBLANK(A1567),IFERROR(1/0),IF(COUNT(FILTER(F:F,A:A=A1567))&gt;1,TRUNC(N1567*F1567/SUM(FILTER(N:N,A:A=A1567)),3),F1567))"),"")</f>
        <v/>
      </c>
      <c r="K1567" s="147" t="str">
        <f>IFERROR(__xludf.DUMMYFUNCTION("IF(ISBLANK(A1567),IFERROR(1/0),IF(COUNT(FILTER(G:G,((A:A=A1567)*(B:B=""V""))))&gt;1,TRUNC(N1567*G1567/SUM(FILTER(N:N,((A:A=A1567)*(B:B=""V"")))),3),G1567))"),"")</f>
        <v/>
      </c>
      <c r="L1567" s="148" t="str">
        <f>IFERROR(__xludf.DUMMYFUNCTION("if($C1567="""","""",iferror(if(row()&lt;&gt;2,INDEX(arrayformula(filter($M$2:$M1566,$C$2:$C1566&lt;&gt;"""",row($C$2:$C1566)=max(if($C$2:$C1566=C1567,row($C$2:$C1566),0)))) ,1),0),0))"),"")</f>
        <v/>
      </c>
      <c r="M1567" s="148" t="str">
        <f t="shared" si="1"/>
        <v/>
      </c>
      <c r="N1567" s="147" t="str">
        <f t="shared" si="2"/>
        <v/>
      </c>
      <c r="O1567" s="147" t="str">
        <f t="shared" si="21"/>
        <v/>
      </c>
      <c r="P1567" s="147" t="str">
        <f>IFERROR(__xludf.DUMMYFUNCTION("if(C1567="""","""",iferror(if(row()&lt;&gt;2,INDEX(arrayformula(filter($Q$2:$Q1566,$C$2:$C1566&lt;&gt;"""",row($C$2:$C1566)=max(if($C$2:$C1566=C1567,row($C$2:$C1566),0)))) ,1),0),0))"),"")</f>
        <v/>
      </c>
      <c r="Q1567" s="147" t="str">
        <f t="shared" si="22"/>
        <v/>
      </c>
      <c r="R1567" s="147" t="str">
        <f t="shared" si="23"/>
        <v/>
      </c>
      <c r="S1567" s="147" t="str">
        <f t="shared" si="24"/>
        <v/>
      </c>
      <c r="T1567" s="147" t="str">
        <f t="shared" si="7"/>
        <v/>
      </c>
      <c r="U1567" s="150" t="str">
        <f t="shared" si="8"/>
        <v/>
      </c>
      <c r="V1567" s="151" t="str">
        <f>IFERROR(VLOOKUP(C1567,Ativos!$A$1:$G2000,5,),)</f>
        <v/>
      </c>
    </row>
    <row r="1568" ht="21.0" customHeight="1">
      <c r="A1568" s="152"/>
      <c r="B1568" s="160"/>
      <c r="C1568" s="153"/>
      <c r="D1568" s="154"/>
      <c r="E1568" s="139"/>
      <c r="F1568" s="139"/>
      <c r="G1568" s="139"/>
      <c r="H1568" s="135"/>
      <c r="I1568" s="141"/>
      <c r="J1568" s="147" t="str">
        <f>IFERROR(__xludf.DUMMYFUNCTION("IF(ISBLANK(A1568),IFERROR(1/0),IF(COUNT(FILTER(F:F,A:A=A1568))&gt;1,TRUNC(N1568*F1568/SUM(FILTER(N:N,A:A=A1568)),3),F1568))"),"")</f>
        <v/>
      </c>
      <c r="K1568" s="147" t="str">
        <f>IFERROR(__xludf.DUMMYFUNCTION("IF(ISBLANK(A1568),IFERROR(1/0),IF(COUNT(FILTER(G:G,((A:A=A1568)*(B:B=""V""))))&gt;1,TRUNC(N1568*G1568/SUM(FILTER(N:N,((A:A=A1568)*(B:B=""V"")))),3),G1568))"),"")</f>
        <v/>
      </c>
      <c r="L1568" s="148" t="str">
        <f>IFERROR(__xludf.DUMMYFUNCTION("if($C1568="""","""",iferror(if(row()&lt;&gt;2,INDEX(arrayformula(filter($M$2:$M1567,$C$2:$C1567&lt;&gt;"""",row($C$2:$C1567)=max(if($C$2:$C1567=C1568,row($C$2:$C1567),0)))) ,1),0),0))"),"")</f>
        <v/>
      </c>
      <c r="M1568" s="148" t="str">
        <f t="shared" si="1"/>
        <v/>
      </c>
      <c r="N1568" s="147" t="str">
        <f t="shared" si="2"/>
        <v/>
      </c>
      <c r="O1568" s="147" t="str">
        <f t="shared" si="21"/>
        <v/>
      </c>
      <c r="P1568" s="147" t="str">
        <f>IFERROR(__xludf.DUMMYFUNCTION("if(C1568="""","""",iferror(if(row()&lt;&gt;2,INDEX(arrayformula(filter($Q$2:$Q1567,$C$2:$C1567&lt;&gt;"""",row($C$2:$C1567)=max(if($C$2:$C1567=C1568,row($C$2:$C1567),0)))) ,1),0),0))"),"")</f>
        <v/>
      </c>
      <c r="Q1568" s="147" t="str">
        <f t="shared" si="22"/>
        <v/>
      </c>
      <c r="R1568" s="147" t="str">
        <f t="shared" si="23"/>
        <v/>
      </c>
      <c r="S1568" s="147" t="str">
        <f t="shared" si="24"/>
        <v/>
      </c>
      <c r="T1568" s="147" t="str">
        <f t="shared" si="7"/>
        <v/>
      </c>
      <c r="U1568" s="150" t="str">
        <f t="shared" si="8"/>
        <v/>
      </c>
      <c r="V1568" s="151" t="str">
        <f>IFERROR(VLOOKUP(C1568,Ativos!$A$1:$G2000,5,),)</f>
        <v/>
      </c>
    </row>
    <row r="1569" ht="21.0" customHeight="1">
      <c r="A1569" s="152"/>
      <c r="B1569" s="160"/>
      <c r="C1569" s="153"/>
      <c r="D1569" s="154"/>
      <c r="E1569" s="139"/>
      <c r="F1569" s="139"/>
      <c r="G1569" s="139"/>
      <c r="H1569" s="135"/>
      <c r="I1569" s="141"/>
      <c r="J1569" s="147" t="str">
        <f>IFERROR(__xludf.DUMMYFUNCTION("IF(ISBLANK(A1569),IFERROR(1/0),IF(COUNT(FILTER(F:F,A:A=A1569))&gt;1,TRUNC(N1569*F1569/SUM(FILTER(N:N,A:A=A1569)),3),F1569))"),"")</f>
        <v/>
      </c>
      <c r="K1569" s="147" t="str">
        <f>IFERROR(__xludf.DUMMYFUNCTION("IF(ISBLANK(A1569),IFERROR(1/0),IF(COUNT(FILTER(G:G,((A:A=A1569)*(B:B=""V""))))&gt;1,TRUNC(N1569*G1569/SUM(FILTER(N:N,((A:A=A1569)*(B:B=""V"")))),3),G1569))"),"")</f>
        <v/>
      </c>
      <c r="L1569" s="148" t="str">
        <f>IFERROR(__xludf.DUMMYFUNCTION("if($C1569="""","""",iferror(if(row()&lt;&gt;2,INDEX(arrayformula(filter($M$2:$M1568,$C$2:$C1568&lt;&gt;"""",row($C$2:$C1568)=max(if($C$2:$C1568=C1569,row($C$2:$C1568),0)))) ,1),0),0))"),"")</f>
        <v/>
      </c>
      <c r="M1569" s="148" t="str">
        <f t="shared" si="1"/>
        <v/>
      </c>
      <c r="N1569" s="147" t="str">
        <f t="shared" si="2"/>
        <v/>
      </c>
      <c r="O1569" s="147" t="str">
        <f t="shared" si="21"/>
        <v/>
      </c>
      <c r="P1569" s="147" t="str">
        <f>IFERROR(__xludf.DUMMYFUNCTION("if(C1569="""","""",iferror(if(row()&lt;&gt;2,INDEX(arrayformula(filter($Q$2:$Q1568,$C$2:$C1568&lt;&gt;"""",row($C$2:$C1568)=max(if($C$2:$C1568=C1569,row($C$2:$C1568),0)))) ,1),0),0))"),"")</f>
        <v/>
      </c>
      <c r="Q1569" s="147" t="str">
        <f t="shared" si="22"/>
        <v/>
      </c>
      <c r="R1569" s="147" t="str">
        <f t="shared" si="23"/>
        <v/>
      </c>
      <c r="S1569" s="147" t="str">
        <f t="shared" si="24"/>
        <v/>
      </c>
      <c r="T1569" s="147" t="str">
        <f t="shared" si="7"/>
        <v/>
      </c>
      <c r="U1569" s="150" t="str">
        <f t="shared" si="8"/>
        <v/>
      </c>
      <c r="V1569" s="151" t="str">
        <f>IFERROR(VLOOKUP(C1569,Ativos!$A$1:$G2000,5,),)</f>
        <v/>
      </c>
    </row>
    <row r="1570" ht="21.0" customHeight="1">
      <c r="A1570" s="152"/>
      <c r="B1570" s="160"/>
      <c r="C1570" s="153"/>
      <c r="D1570" s="154"/>
      <c r="E1570" s="139"/>
      <c r="F1570" s="139"/>
      <c r="G1570" s="139"/>
      <c r="H1570" s="135"/>
      <c r="I1570" s="141"/>
      <c r="J1570" s="147" t="str">
        <f>IFERROR(__xludf.DUMMYFUNCTION("IF(ISBLANK(A1570),IFERROR(1/0),IF(COUNT(FILTER(F:F,A:A=A1570))&gt;1,TRUNC(N1570*F1570/SUM(FILTER(N:N,A:A=A1570)),3),F1570))"),"")</f>
        <v/>
      </c>
      <c r="K1570" s="147" t="str">
        <f>IFERROR(__xludf.DUMMYFUNCTION("IF(ISBLANK(A1570),IFERROR(1/0),IF(COUNT(FILTER(G:G,((A:A=A1570)*(B:B=""V""))))&gt;1,TRUNC(N1570*G1570/SUM(FILTER(N:N,((A:A=A1570)*(B:B=""V"")))),3),G1570))"),"")</f>
        <v/>
      </c>
      <c r="L1570" s="148" t="str">
        <f>IFERROR(__xludf.DUMMYFUNCTION("if($C1570="""","""",iferror(if(row()&lt;&gt;2,INDEX(arrayformula(filter($M$2:$M1569,$C$2:$C1569&lt;&gt;"""",row($C$2:$C1569)=max(if($C$2:$C1569=C1570,row($C$2:$C1569),0)))) ,1),0),0))"),"")</f>
        <v/>
      </c>
      <c r="M1570" s="148" t="str">
        <f t="shared" si="1"/>
        <v/>
      </c>
      <c r="N1570" s="147" t="str">
        <f t="shared" si="2"/>
        <v/>
      </c>
      <c r="O1570" s="147" t="str">
        <f t="shared" si="21"/>
        <v/>
      </c>
      <c r="P1570" s="147" t="str">
        <f>IFERROR(__xludf.DUMMYFUNCTION("if(C1570="""","""",iferror(if(row()&lt;&gt;2,INDEX(arrayformula(filter($Q$2:$Q1569,$C$2:$C1569&lt;&gt;"""",row($C$2:$C1569)=max(if($C$2:$C1569=C1570,row($C$2:$C1569),0)))) ,1),0),0))"),"")</f>
        <v/>
      </c>
      <c r="Q1570" s="147" t="str">
        <f t="shared" si="22"/>
        <v/>
      </c>
      <c r="R1570" s="147" t="str">
        <f t="shared" si="23"/>
        <v/>
      </c>
      <c r="S1570" s="147" t="str">
        <f t="shared" si="24"/>
        <v/>
      </c>
      <c r="T1570" s="147" t="str">
        <f t="shared" si="7"/>
        <v/>
      </c>
      <c r="U1570" s="150" t="str">
        <f t="shared" si="8"/>
        <v/>
      </c>
      <c r="V1570" s="151" t="str">
        <f>IFERROR(VLOOKUP(C1570,Ativos!$A$1:$G2000,5,),)</f>
        <v/>
      </c>
    </row>
    <row r="1571" ht="21.0" customHeight="1">
      <c r="A1571" s="152"/>
      <c r="B1571" s="160"/>
      <c r="C1571" s="153"/>
      <c r="D1571" s="154"/>
      <c r="E1571" s="139"/>
      <c r="F1571" s="139"/>
      <c r="G1571" s="139"/>
      <c r="H1571" s="135"/>
      <c r="I1571" s="141"/>
      <c r="J1571" s="147" t="str">
        <f>IFERROR(__xludf.DUMMYFUNCTION("IF(ISBLANK(A1571),IFERROR(1/0),IF(COUNT(FILTER(F:F,A:A=A1571))&gt;1,TRUNC(N1571*F1571/SUM(FILTER(N:N,A:A=A1571)),3),F1571))"),"")</f>
        <v/>
      </c>
      <c r="K1571" s="147" t="str">
        <f>IFERROR(__xludf.DUMMYFUNCTION("IF(ISBLANK(A1571),IFERROR(1/0),IF(COUNT(FILTER(G:G,((A:A=A1571)*(B:B=""V""))))&gt;1,TRUNC(N1571*G1571/SUM(FILTER(N:N,((A:A=A1571)*(B:B=""V"")))),3),G1571))"),"")</f>
        <v/>
      </c>
      <c r="L1571" s="148" t="str">
        <f>IFERROR(__xludf.DUMMYFUNCTION("if($C1571="""","""",iferror(if(row()&lt;&gt;2,INDEX(arrayformula(filter($M$2:$M1570,$C$2:$C1570&lt;&gt;"""",row($C$2:$C1570)=max(if($C$2:$C1570=C1571,row($C$2:$C1570),0)))) ,1),0),0))"),"")</f>
        <v/>
      </c>
      <c r="M1571" s="148" t="str">
        <f t="shared" si="1"/>
        <v/>
      </c>
      <c r="N1571" s="147" t="str">
        <f t="shared" si="2"/>
        <v/>
      </c>
      <c r="O1571" s="147" t="str">
        <f t="shared" si="21"/>
        <v/>
      </c>
      <c r="P1571" s="147" t="str">
        <f>IFERROR(__xludf.DUMMYFUNCTION("if(C1571="""","""",iferror(if(row()&lt;&gt;2,INDEX(arrayformula(filter($Q$2:$Q1570,$C$2:$C1570&lt;&gt;"""",row($C$2:$C1570)=max(if($C$2:$C1570=C1571,row($C$2:$C1570),0)))) ,1),0),0))"),"")</f>
        <v/>
      </c>
      <c r="Q1571" s="147" t="str">
        <f t="shared" si="22"/>
        <v/>
      </c>
      <c r="R1571" s="147" t="str">
        <f t="shared" si="23"/>
        <v/>
      </c>
      <c r="S1571" s="147" t="str">
        <f t="shared" si="24"/>
        <v/>
      </c>
      <c r="T1571" s="147" t="str">
        <f t="shared" si="7"/>
        <v/>
      </c>
      <c r="U1571" s="150" t="str">
        <f t="shared" si="8"/>
        <v/>
      </c>
      <c r="V1571" s="151" t="str">
        <f>IFERROR(VLOOKUP(C1571,Ativos!$A$1:$G2000,5,),)</f>
        <v/>
      </c>
    </row>
    <row r="1572" ht="21.0" customHeight="1">
      <c r="A1572" s="152"/>
      <c r="B1572" s="160"/>
      <c r="C1572" s="153"/>
      <c r="D1572" s="154"/>
      <c r="E1572" s="139"/>
      <c r="F1572" s="139"/>
      <c r="G1572" s="139"/>
      <c r="H1572" s="135"/>
      <c r="I1572" s="141"/>
      <c r="J1572" s="147" t="str">
        <f>IFERROR(__xludf.DUMMYFUNCTION("IF(ISBLANK(A1572),IFERROR(1/0),IF(COUNT(FILTER(F:F,A:A=A1572))&gt;1,TRUNC(N1572*F1572/SUM(FILTER(N:N,A:A=A1572)),3),F1572))"),"")</f>
        <v/>
      </c>
      <c r="K1572" s="147" t="str">
        <f>IFERROR(__xludf.DUMMYFUNCTION("IF(ISBLANK(A1572),IFERROR(1/0),IF(COUNT(FILTER(G:G,((A:A=A1572)*(B:B=""V""))))&gt;1,TRUNC(N1572*G1572/SUM(FILTER(N:N,((A:A=A1572)*(B:B=""V"")))),3),G1572))"),"")</f>
        <v/>
      </c>
      <c r="L1572" s="148" t="str">
        <f>IFERROR(__xludf.DUMMYFUNCTION("if($C1572="""","""",iferror(if(row()&lt;&gt;2,INDEX(arrayformula(filter($M$2:$M1571,$C$2:$C1571&lt;&gt;"""",row($C$2:$C1571)=max(if($C$2:$C1571=C1572,row($C$2:$C1571),0)))) ,1),0),0))"),"")</f>
        <v/>
      </c>
      <c r="M1572" s="148" t="str">
        <f t="shared" si="1"/>
        <v/>
      </c>
      <c r="N1572" s="147" t="str">
        <f t="shared" si="2"/>
        <v/>
      </c>
      <c r="O1572" s="147" t="str">
        <f t="shared" si="21"/>
        <v/>
      </c>
      <c r="P1572" s="147" t="str">
        <f>IFERROR(__xludf.DUMMYFUNCTION("if(C1572="""","""",iferror(if(row()&lt;&gt;2,INDEX(arrayformula(filter($Q$2:$Q1571,$C$2:$C1571&lt;&gt;"""",row($C$2:$C1571)=max(if($C$2:$C1571=C1572,row($C$2:$C1571),0)))) ,1),0),0))"),"")</f>
        <v/>
      </c>
      <c r="Q1572" s="147" t="str">
        <f t="shared" si="22"/>
        <v/>
      </c>
      <c r="R1572" s="147" t="str">
        <f t="shared" si="23"/>
        <v/>
      </c>
      <c r="S1572" s="147" t="str">
        <f t="shared" si="24"/>
        <v/>
      </c>
      <c r="T1572" s="147" t="str">
        <f t="shared" si="7"/>
        <v/>
      </c>
      <c r="U1572" s="150" t="str">
        <f t="shared" si="8"/>
        <v/>
      </c>
      <c r="V1572" s="151" t="str">
        <f>IFERROR(VLOOKUP(C1572,Ativos!$A$1:$G2000,5,),)</f>
        <v/>
      </c>
    </row>
    <row r="1573" ht="21.0" customHeight="1">
      <c r="A1573" s="152"/>
      <c r="B1573" s="160"/>
      <c r="C1573" s="153"/>
      <c r="D1573" s="154"/>
      <c r="E1573" s="139"/>
      <c r="F1573" s="139"/>
      <c r="G1573" s="139"/>
      <c r="H1573" s="135"/>
      <c r="I1573" s="141"/>
      <c r="J1573" s="147" t="str">
        <f>IFERROR(__xludf.DUMMYFUNCTION("IF(ISBLANK(A1573),IFERROR(1/0),IF(COUNT(FILTER(F:F,A:A=A1573))&gt;1,TRUNC(N1573*F1573/SUM(FILTER(N:N,A:A=A1573)),3),F1573))"),"")</f>
        <v/>
      </c>
      <c r="K1573" s="147" t="str">
        <f>IFERROR(__xludf.DUMMYFUNCTION("IF(ISBLANK(A1573),IFERROR(1/0),IF(COUNT(FILTER(G:G,((A:A=A1573)*(B:B=""V""))))&gt;1,TRUNC(N1573*G1573/SUM(FILTER(N:N,((A:A=A1573)*(B:B=""V"")))),3),G1573))"),"")</f>
        <v/>
      </c>
      <c r="L1573" s="148" t="str">
        <f>IFERROR(__xludf.DUMMYFUNCTION("if($C1573="""","""",iferror(if(row()&lt;&gt;2,INDEX(arrayformula(filter($M$2:$M1572,$C$2:$C1572&lt;&gt;"""",row($C$2:$C1572)=max(if($C$2:$C1572=C1573,row($C$2:$C1572),0)))) ,1),0),0))"),"")</f>
        <v/>
      </c>
      <c r="M1573" s="148" t="str">
        <f t="shared" si="1"/>
        <v/>
      </c>
      <c r="N1573" s="147" t="str">
        <f t="shared" si="2"/>
        <v/>
      </c>
      <c r="O1573" s="147" t="str">
        <f t="shared" si="21"/>
        <v/>
      </c>
      <c r="P1573" s="147" t="str">
        <f>IFERROR(__xludf.DUMMYFUNCTION("if(C1573="""","""",iferror(if(row()&lt;&gt;2,INDEX(arrayformula(filter($Q$2:$Q1572,$C$2:$C1572&lt;&gt;"""",row($C$2:$C1572)=max(if($C$2:$C1572=C1573,row($C$2:$C1572),0)))) ,1),0),0))"),"")</f>
        <v/>
      </c>
      <c r="Q1573" s="147" t="str">
        <f t="shared" si="22"/>
        <v/>
      </c>
      <c r="R1573" s="147" t="str">
        <f t="shared" si="23"/>
        <v/>
      </c>
      <c r="S1573" s="147" t="str">
        <f t="shared" si="24"/>
        <v/>
      </c>
      <c r="T1573" s="147" t="str">
        <f t="shared" si="7"/>
        <v/>
      </c>
      <c r="U1573" s="150" t="str">
        <f t="shared" si="8"/>
        <v/>
      </c>
      <c r="V1573" s="151" t="str">
        <f>IFERROR(VLOOKUP(C1573,Ativos!$A$1:$G2000,5,),)</f>
        <v/>
      </c>
    </row>
    <row r="1574" ht="21.0" customHeight="1">
      <c r="A1574" s="152"/>
      <c r="B1574" s="160"/>
      <c r="C1574" s="153"/>
      <c r="D1574" s="154"/>
      <c r="E1574" s="139"/>
      <c r="F1574" s="139"/>
      <c r="G1574" s="139"/>
      <c r="H1574" s="135"/>
      <c r="I1574" s="141"/>
      <c r="J1574" s="147" t="str">
        <f>IFERROR(__xludf.DUMMYFUNCTION("IF(ISBLANK(A1574),IFERROR(1/0),IF(COUNT(FILTER(F:F,A:A=A1574))&gt;1,TRUNC(N1574*F1574/SUM(FILTER(N:N,A:A=A1574)),3),F1574))"),"")</f>
        <v/>
      </c>
      <c r="K1574" s="147" t="str">
        <f>IFERROR(__xludf.DUMMYFUNCTION("IF(ISBLANK(A1574),IFERROR(1/0),IF(COUNT(FILTER(G:G,((A:A=A1574)*(B:B=""V""))))&gt;1,TRUNC(N1574*G1574/SUM(FILTER(N:N,((A:A=A1574)*(B:B=""V"")))),3),G1574))"),"")</f>
        <v/>
      </c>
      <c r="L1574" s="148" t="str">
        <f>IFERROR(__xludf.DUMMYFUNCTION("if($C1574="""","""",iferror(if(row()&lt;&gt;2,INDEX(arrayformula(filter($M$2:$M1573,$C$2:$C1573&lt;&gt;"""",row($C$2:$C1573)=max(if($C$2:$C1573=C1574,row($C$2:$C1573),0)))) ,1),0),0))"),"")</f>
        <v/>
      </c>
      <c r="M1574" s="148" t="str">
        <f t="shared" si="1"/>
        <v/>
      </c>
      <c r="N1574" s="147" t="str">
        <f t="shared" si="2"/>
        <v/>
      </c>
      <c r="O1574" s="147" t="str">
        <f t="shared" si="21"/>
        <v/>
      </c>
      <c r="P1574" s="147" t="str">
        <f>IFERROR(__xludf.DUMMYFUNCTION("if(C1574="""","""",iferror(if(row()&lt;&gt;2,INDEX(arrayformula(filter($Q$2:$Q1573,$C$2:$C1573&lt;&gt;"""",row($C$2:$C1573)=max(if($C$2:$C1573=C1574,row($C$2:$C1573),0)))) ,1),0),0))"),"")</f>
        <v/>
      </c>
      <c r="Q1574" s="147" t="str">
        <f t="shared" si="22"/>
        <v/>
      </c>
      <c r="R1574" s="147" t="str">
        <f t="shared" si="23"/>
        <v/>
      </c>
      <c r="S1574" s="147" t="str">
        <f t="shared" si="24"/>
        <v/>
      </c>
      <c r="T1574" s="147" t="str">
        <f t="shared" si="7"/>
        <v/>
      </c>
      <c r="U1574" s="150" t="str">
        <f t="shared" si="8"/>
        <v/>
      </c>
      <c r="V1574" s="151" t="str">
        <f>IFERROR(VLOOKUP(C1574,Ativos!$A$1:$G2000,5,),)</f>
        <v/>
      </c>
    </row>
    <row r="1575" ht="21.0" customHeight="1">
      <c r="A1575" s="152"/>
      <c r="B1575" s="160"/>
      <c r="C1575" s="153"/>
      <c r="D1575" s="154"/>
      <c r="E1575" s="139"/>
      <c r="F1575" s="139"/>
      <c r="G1575" s="139"/>
      <c r="H1575" s="135"/>
      <c r="I1575" s="141"/>
      <c r="J1575" s="147" t="str">
        <f>IFERROR(__xludf.DUMMYFUNCTION("IF(ISBLANK(A1575),IFERROR(1/0),IF(COUNT(FILTER(F:F,A:A=A1575))&gt;1,TRUNC(N1575*F1575/SUM(FILTER(N:N,A:A=A1575)),3),F1575))"),"")</f>
        <v/>
      </c>
      <c r="K1575" s="147" t="str">
        <f>IFERROR(__xludf.DUMMYFUNCTION("IF(ISBLANK(A1575),IFERROR(1/0),IF(COUNT(FILTER(G:G,((A:A=A1575)*(B:B=""V""))))&gt;1,TRUNC(N1575*G1575/SUM(FILTER(N:N,((A:A=A1575)*(B:B=""V"")))),3),G1575))"),"")</f>
        <v/>
      </c>
      <c r="L1575" s="148" t="str">
        <f>IFERROR(__xludf.DUMMYFUNCTION("if($C1575="""","""",iferror(if(row()&lt;&gt;2,INDEX(arrayformula(filter($M$2:$M1574,$C$2:$C1574&lt;&gt;"""",row($C$2:$C1574)=max(if($C$2:$C1574=C1575,row($C$2:$C1574),0)))) ,1),0),0))"),"")</f>
        <v/>
      </c>
      <c r="M1575" s="148" t="str">
        <f t="shared" si="1"/>
        <v/>
      </c>
      <c r="N1575" s="147" t="str">
        <f t="shared" si="2"/>
        <v/>
      </c>
      <c r="O1575" s="147" t="str">
        <f t="shared" si="21"/>
        <v/>
      </c>
      <c r="P1575" s="147" t="str">
        <f>IFERROR(__xludf.DUMMYFUNCTION("if(C1575="""","""",iferror(if(row()&lt;&gt;2,INDEX(arrayformula(filter($Q$2:$Q1574,$C$2:$C1574&lt;&gt;"""",row($C$2:$C1574)=max(if($C$2:$C1574=C1575,row($C$2:$C1574),0)))) ,1),0),0))"),"")</f>
        <v/>
      </c>
      <c r="Q1575" s="147" t="str">
        <f t="shared" si="22"/>
        <v/>
      </c>
      <c r="R1575" s="147" t="str">
        <f t="shared" si="23"/>
        <v/>
      </c>
      <c r="S1575" s="147" t="str">
        <f t="shared" si="24"/>
        <v/>
      </c>
      <c r="T1575" s="147" t="str">
        <f t="shared" si="7"/>
        <v/>
      </c>
      <c r="U1575" s="150" t="str">
        <f t="shared" si="8"/>
        <v/>
      </c>
      <c r="V1575" s="151" t="str">
        <f>IFERROR(VLOOKUP(C1575,Ativos!$A$1:$G2000,5,),)</f>
        <v/>
      </c>
    </row>
    <row r="1576" ht="21.0" customHeight="1">
      <c r="A1576" s="152"/>
      <c r="B1576" s="160"/>
      <c r="C1576" s="153"/>
      <c r="D1576" s="154"/>
      <c r="E1576" s="139"/>
      <c r="F1576" s="139"/>
      <c r="G1576" s="139"/>
      <c r="H1576" s="135"/>
      <c r="I1576" s="141"/>
      <c r="J1576" s="147" t="str">
        <f>IFERROR(__xludf.DUMMYFUNCTION("IF(ISBLANK(A1576),IFERROR(1/0),IF(COUNT(FILTER(F:F,A:A=A1576))&gt;1,TRUNC(N1576*F1576/SUM(FILTER(N:N,A:A=A1576)),3),F1576))"),"")</f>
        <v/>
      </c>
      <c r="K1576" s="147" t="str">
        <f>IFERROR(__xludf.DUMMYFUNCTION("IF(ISBLANK(A1576),IFERROR(1/0),IF(COUNT(FILTER(G:G,((A:A=A1576)*(B:B=""V""))))&gt;1,TRUNC(N1576*G1576/SUM(FILTER(N:N,((A:A=A1576)*(B:B=""V"")))),3),G1576))"),"")</f>
        <v/>
      </c>
      <c r="L1576" s="148" t="str">
        <f>IFERROR(__xludf.DUMMYFUNCTION("if($C1576="""","""",iferror(if(row()&lt;&gt;2,INDEX(arrayformula(filter($M$2:$M1575,$C$2:$C1575&lt;&gt;"""",row($C$2:$C1575)=max(if($C$2:$C1575=C1576,row($C$2:$C1575),0)))) ,1),0),0))"),"")</f>
        <v/>
      </c>
      <c r="M1576" s="148" t="str">
        <f t="shared" si="1"/>
        <v/>
      </c>
      <c r="N1576" s="147" t="str">
        <f t="shared" si="2"/>
        <v/>
      </c>
      <c r="O1576" s="147" t="str">
        <f t="shared" si="21"/>
        <v/>
      </c>
      <c r="P1576" s="147" t="str">
        <f>IFERROR(__xludf.DUMMYFUNCTION("if(C1576="""","""",iferror(if(row()&lt;&gt;2,INDEX(arrayformula(filter($Q$2:$Q1575,$C$2:$C1575&lt;&gt;"""",row($C$2:$C1575)=max(if($C$2:$C1575=C1576,row($C$2:$C1575),0)))) ,1),0),0))"),"")</f>
        <v/>
      </c>
      <c r="Q1576" s="147" t="str">
        <f t="shared" si="22"/>
        <v/>
      </c>
      <c r="R1576" s="147" t="str">
        <f t="shared" si="23"/>
        <v/>
      </c>
      <c r="S1576" s="147" t="str">
        <f t="shared" si="24"/>
        <v/>
      </c>
      <c r="T1576" s="147" t="str">
        <f t="shared" si="7"/>
        <v/>
      </c>
      <c r="U1576" s="150" t="str">
        <f t="shared" si="8"/>
        <v/>
      </c>
      <c r="V1576" s="151" t="str">
        <f>IFERROR(VLOOKUP(C1576,Ativos!$A$1:$G2000,5,),)</f>
        <v/>
      </c>
    </row>
    <row r="1577" ht="21.0" customHeight="1">
      <c r="A1577" s="152"/>
      <c r="B1577" s="160"/>
      <c r="C1577" s="153"/>
      <c r="D1577" s="154"/>
      <c r="E1577" s="139"/>
      <c r="F1577" s="139"/>
      <c r="G1577" s="139"/>
      <c r="H1577" s="135"/>
      <c r="I1577" s="141"/>
      <c r="J1577" s="147" t="str">
        <f>IFERROR(__xludf.DUMMYFUNCTION("IF(ISBLANK(A1577),IFERROR(1/0),IF(COUNT(FILTER(F:F,A:A=A1577))&gt;1,TRUNC(N1577*F1577/SUM(FILTER(N:N,A:A=A1577)),3),F1577))"),"")</f>
        <v/>
      </c>
      <c r="K1577" s="147" t="str">
        <f>IFERROR(__xludf.DUMMYFUNCTION("IF(ISBLANK(A1577),IFERROR(1/0),IF(COUNT(FILTER(G:G,((A:A=A1577)*(B:B=""V""))))&gt;1,TRUNC(N1577*G1577/SUM(FILTER(N:N,((A:A=A1577)*(B:B=""V"")))),3),G1577))"),"")</f>
        <v/>
      </c>
      <c r="L1577" s="148" t="str">
        <f>IFERROR(__xludf.DUMMYFUNCTION("if($C1577="""","""",iferror(if(row()&lt;&gt;2,INDEX(arrayformula(filter($M$2:$M1576,$C$2:$C1576&lt;&gt;"""",row($C$2:$C1576)=max(if($C$2:$C1576=C1577,row($C$2:$C1576),0)))) ,1),0),0))"),"")</f>
        <v/>
      </c>
      <c r="M1577" s="148" t="str">
        <f t="shared" si="1"/>
        <v/>
      </c>
      <c r="N1577" s="147" t="str">
        <f t="shared" si="2"/>
        <v/>
      </c>
      <c r="O1577" s="147" t="str">
        <f t="shared" si="21"/>
        <v/>
      </c>
      <c r="P1577" s="147" t="str">
        <f>IFERROR(__xludf.DUMMYFUNCTION("if(C1577="""","""",iferror(if(row()&lt;&gt;2,INDEX(arrayformula(filter($Q$2:$Q1576,$C$2:$C1576&lt;&gt;"""",row($C$2:$C1576)=max(if($C$2:$C1576=C1577,row($C$2:$C1576),0)))) ,1),0),0))"),"")</f>
        <v/>
      </c>
      <c r="Q1577" s="147" t="str">
        <f t="shared" si="22"/>
        <v/>
      </c>
      <c r="R1577" s="147" t="str">
        <f t="shared" si="23"/>
        <v/>
      </c>
      <c r="S1577" s="147" t="str">
        <f t="shared" si="24"/>
        <v/>
      </c>
      <c r="T1577" s="147" t="str">
        <f t="shared" si="7"/>
        <v/>
      </c>
      <c r="U1577" s="150" t="str">
        <f t="shared" si="8"/>
        <v/>
      </c>
      <c r="V1577" s="151" t="str">
        <f>IFERROR(VLOOKUP(C1577,Ativos!$A$1:$G2000,5,),)</f>
        <v/>
      </c>
    </row>
    <row r="1578" ht="21.0" customHeight="1">
      <c r="A1578" s="152"/>
      <c r="B1578" s="160"/>
      <c r="C1578" s="153"/>
      <c r="D1578" s="154"/>
      <c r="E1578" s="139"/>
      <c r="F1578" s="139"/>
      <c r="G1578" s="139"/>
      <c r="H1578" s="135"/>
      <c r="I1578" s="141"/>
      <c r="J1578" s="147" t="str">
        <f>IFERROR(__xludf.DUMMYFUNCTION("IF(ISBLANK(A1578),IFERROR(1/0),IF(COUNT(FILTER(F:F,A:A=A1578))&gt;1,TRUNC(N1578*F1578/SUM(FILTER(N:N,A:A=A1578)),3),F1578))"),"")</f>
        <v/>
      </c>
      <c r="K1578" s="147" t="str">
        <f>IFERROR(__xludf.DUMMYFUNCTION("IF(ISBLANK(A1578),IFERROR(1/0),IF(COUNT(FILTER(G:G,((A:A=A1578)*(B:B=""V""))))&gt;1,TRUNC(N1578*G1578/SUM(FILTER(N:N,((A:A=A1578)*(B:B=""V"")))),3),G1578))"),"")</f>
        <v/>
      </c>
      <c r="L1578" s="148" t="str">
        <f>IFERROR(__xludf.DUMMYFUNCTION("if($C1578="""","""",iferror(if(row()&lt;&gt;2,INDEX(arrayformula(filter($M$2:$M1577,$C$2:$C1577&lt;&gt;"""",row($C$2:$C1577)=max(if($C$2:$C1577=C1578,row($C$2:$C1577),0)))) ,1),0),0))"),"")</f>
        <v/>
      </c>
      <c r="M1578" s="148" t="str">
        <f t="shared" si="1"/>
        <v/>
      </c>
      <c r="N1578" s="147" t="str">
        <f t="shared" si="2"/>
        <v/>
      </c>
      <c r="O1578" s="147" t="str">
        <f t="shared" si="21"/>
        <v/>
      </c>
      <c r="P1578" s="147" t="str">
        <f>IFERROR(__xludf.DUMMYFUNCTION("if(C1578="""","""",iferror(if(row()&lt;&gt;2,INDEX(arrayformula(filter($Q$2:$Q1577,$C$2:$C1577&lt;&gt;"""",row($C$2:$C1577)=max(if($C$2:$C1577=C1578,row($C$2:$C1577),0)))) ,1),0),0))"),"")</f>
        <v/>
      </c>
      <c r="Q1578" s="147" t="str">
        <f t="shared" si="22"/>
        <v/>
      </c>
      <c r="R1578" s="147" t="str">
        <f t="shared" si="23"/>
        <v/>
      </c>
      <c r="S1578" s="147" t="str">
        <f t="shared" si="24"/>
        <v/>
      </c>
      <c r="T1578" s="147" t="str">
        <f t="shared" si="7"/>
        <v/>
      </c>
      <c r="U1578" s="150" t="str">
        <f t="shared" si="8"/>
        <v/>
      </c>
      <c r="V1578" s="151" t="str">
        <f>IFERROR(VLOOKUP(C1578,Ativos!$A$1:$G2000,5,),)</f>
        <v/>
      </c>
    </row>
    <row r="1579" ht="21.0" customHeight="1">
      <c r="A1579" s="152"/>
      <c r="B1579" s="160"/>
      <c r="C1579" s="153"/>
      <c r="D1579" s="154"/>
      <c r="E1579" s="139"/>
      <c r="F1579" s="139"/>
      <c r="G1579" s="139"/>
      <c r="H1579" s="135"/>
      <c r="I1579" s="141"/>
      <c r="J1579" s="147" t="str">
        <f>IFERROR(__xludf.DUMMYFUNCTION("IF(ISBLANK(A1579),IFERROR(1/0),IF(COUNT(FILTER(F:F,A:A=A1579))&gt;1,TRUNC(N1579*F1579/SUM(FILTER(N:N,A:A=A1579)),3),F1579))"),"")</f>
        <v/>
      </c>
      <c r="K1579" s="147" t="str">
        <f>IFERROR(__xludf.DUMMYFUNCTION("IF(ISBLANK(A1579),IFERROR(1/0),IF(COUNT(FILTER(G:G,((A:A=A1579)*(B:B=""V""))))&gt;1,TRUNC(N1579*G1579/SUM(FILTER(N:N,((A:A=A1579)*(B:B=""V"")))),3),G1579))"),"")</f>
        <v/>
      </c>
      <c r="L1579" s="148" t="str">
        <f>IFERROR(__xludf.DUMMYFUNCTION("if($C1579="""","""",iferror(if(row()&lt;&gt;2,INDEX(arrayformula(filter($M$2:$M1578,$C$2:$C1578&lt;&gt;"""",row($C$2:$C1578)=max(if($C$2:$C1578=C1579,row($C$2:$C1578),0)))) ,1),0),0))"),"")</f>
        <v/>
      </c>
      <c r="M1579" s="148" t="str">
        <f t="shared" si="1"/>
        <v/>
      </c>
      <c r="N1579" s="147" t="str">
        <f t="shared" si="2"/>
        <v/>
      </c>
      <c r="O1579" s="147" t="str">
        <f t="shared" si="21"/>
        <v/>
      </c>
      <c r="P1579" s="147" t="str">
        <f>IFERROR(__xludf.DUMMYFUNCTION("if(C1579="""","""",iferror(if(row()&lt;&gt;2,INDEX(arrayformula(filter($Q$2:$Q1578,$C$2:$C1578&lt;&gt;"""",row($C$2:$C1578)=max(if($C$2:$C1578=C1579,row($C$2:$C1578),0)))) ,1),0),0))"),"")</f>
        <v/>
      </c>
      <c r="Q1579" s="147" t="str">
        <f t="shared" si="22"/>
        <v/>
      </c>
      <c r="R1579" s="147" t="str">
        <f t="shared" si="23"/>
        <v/>
      </c>
      <c r="S1579" s="147" t="str">
        <f t="shared" si="24"/>
        <v/>
      </c>
      <c r="T1579" s="147" t="str">
        <f t="shared" si="7"/>
        <v/>
      </c>
      <c r="U1579" s="150" t="str">
        <f t="shared" si="8"/>
        <v/>
      </c>
      <c r="V1579" s="151" t="str">
        <f>IFERROR(VLOOKUP(C1579,Ativos!$A$1:$G2000,5,),)</f>
        <v/>
      </c>
    </row>
    <row r="1580" ht="21.0" customHeight="1">
      <c r="A1580" s="152"/>
      <c r="B1580" s="160"/>
      <c r="C1580" s="153"/>
      <c r="D1580" s="154"/>
      <c r="E1580" s="139"/>
      <c r="F1580" s="139"/>
      <c r="G1580" s="139"/>
      <c r="H1580" s="135"/>
      <c r="I1580" s="141"/>
      <c r="J1580" s="147" t="str">
        <f>IFERROR(__xludf.DUMMYFUNCTION("IF(ISBLANK(A1580),IFERROR(1/0),IF(COUNT(FILTER(F:F,A:A=A1580))&gt;1,TRUNC(N1580*F1580/SUM(FILTER(N:N,A:A=A1580)),3),F1580))"),"")</f>
        <v/>
      </c>
      <c r="K1580" s="147" t="str">
        <f>IFERROR(__xludf.DUMMYFUNCTION("IF(ISBLANK(A1580),IFERROR(1/0),IF(COUNT(FILTER(G:G,((A:A=A1580)*(B:B=""V""))))&gt;1,TRUNC(N1580*G1580/SUM(FILTER(N:N,((A:A=A1580)*(B:B=""V"")))),3),G1580))"),"")</f>
        <v/>
      </c>
      <c r="L1580" s="148" t="str">
        <f>IFERROR(__xludf.DUMMYFUNCTION("if($C1580="""","""",iferror(if(row()&lt;&gt;2,INDEX(arrayformula(filter($M$2:$M1579,$C$2:$C1579&lt;&gt;"""",row($C$2:$C1579)=max(if($C$2:$C1579=C1580,row($C$2:$C1579),0)))) ,1),0),0))"),"")</f>
        <v/>
      </c>
      <c r="M1580" s="148" t="str">
        <f t="shared" si="1"/>
        <v/>
      </c>
      <c r="N1580" s="147" t="str">
        <f t="shared" si="2"/>
        <v/>
      </c>
      <c r="O1580" s="147" t="str">
        <f t="shared" si="21"/>
        <v/>
      </c>
      <c r="P1580" s="147" t="str">
        <f>IFERROR(__xludf.DUMMYFUNCTION("if(C1580="""","""",iferror(if(row()&lt;&gt;2,INDEX(arrayformula(filter($Q$2:$Q1579,$C$2:$C1579&lt;&gt;"""",row($C$2:$C1579)=max(if($C$2:$C1579=C1580,row($C$2:$C1579),0)))) ,1),0),0))"),"")</f>
        <v/>
      </c>
      <c r="Q1580" s="147" t="str">
        <f t="shared" si="22"/>
        <v/>
      </c>
      <c r="R1580" s="147" t="str">
        <f t="shared" si="23"/>
        <v/>
      </c>
      <c r="S1580" s="147" t="str">
        <f t="shared" si="24"/>
        <v/>
      </c>
      <c r="T1580" s="147" t="str">
        <f t="shared" si="7"/>
        <v/>
      </c>
      <c r="U1580" s="150" t="str">
        <f t="shared" si="8"/>
        <v/>
      </c>
      <c r="V1580" s="151" t="str">
        <f>IFERROR(VLOOKUP(C1580,Ativos!$A$1:$G2000,5,),)</f>
        <v/>
      </c>
    </row>
    <row r="1581" ht="21.0" customHeight="1">
      <c r="A1581" s="152"/>
      <c r="B1581" s="160"/>
      <c r="C1581" s="153"/>
      <c r="D1581" s="154"/>
      <c r="E1581" s="139"/>
      <c r="F1581" s="139"/>
      <c r="G1581" s="139"/>
      <c r="H1581" s="135"/>
      <c r="I1581" s="141"/>
      <c r="J1581" s="147" t="str">
        <f>IFERROR(__xludf.DUMMYFUNCTION("IF(ISBLANK(A1581),IFERROR(1/0),IF(COUNT(FILTER(F:F,A:A=A1581))&gt;1,TRUNC(N1581*F1581/SUM(FILTER(N:N,A:A=A1581)),3),F1581))"),"")</f>
        <v/>
      </c>
      <c r="K1581" s="147" t="str">
        <f>IFERROR(__xludf.DUMMYFUNCTION("IF(ISBLANK(A1581),IFERROR(1/0),IF(COUNT(FILTER(G:G,((A:A=A1581)*(B:B=""V""))))&gt;1,TRUNC(N1581*G1581/SUM(FILTER(N:N,((A:A=A1581)*(B:B=""V"")))),3),G1581))"),"")</f>
        <v/>
      </c>
      <c r="L1581" s="148" t="str">
        <f>IFERROR(__xludf.DUMMYFUNCTION("if($C1581="""","""",iferror(if(row()&lt;&gt;2,INDEX(arrayformula(filter($M$2:$M1580,$C$2:$C1580&lt;&gt;"""",row($C$2:$C1580)=max(if($C$2:$C1580=C1581,row($C$2:$C1580),0)))) ,1),0),0))"),"")</f>
        <v/>
      </c>
      <c r="M1581" s="148" t="str">
        <f t="shared" si="1"/>
        <v/>
      </c>
      <c r="N1581" s="147" t="str">
        <f t="shared" si="2"/>
        <v/>
      </c>
      <c r="O1581" s="147" t="str">
        <f t="shared" si="21"/>
        <v/>
      </c>
      <c r="P1581" s="147" t="str">
        <f>IFERROR(__xludf.DUMMYFUNCTION("if(C1581="""","""",iferror(if(row()&lt;&gt;2,INDEX(arrayformula(filter($Q$2:$Q1580,$C$2:$C1580&lt;&gt;"""",row($C$2:$C1580)=max(if($C$2:$C1580=C1581,row($C$2:$C1580),0)))) ,1),0),0))"),"")</f>
        <v/>
      </c>
      <c r="Q1581" s="147" t="str">
        <f t="shared" si="22"/>
        <v/>
      </c>
      <c r="R1581" s="147" t="str">
        <f t="shared" si="23"/>
        <v/>
      </c>
      <c r="S1581" s="147" t="str">
        <f t="shared" si="24"/>
        <v/>
      </c>
      <c r="T1581" s="147" t="str">
        <f t="shared" si="7"/>
        <v/>
      </c>
      <c r="U1581" s="150" t="str">
        <f t="shared" si="8"/>
        <v/>
      </c>
      <c r="V1581" s="151" t="str">
        <f>IFERROR(VLOOKUP(C1581,Ativos!$A$1:$G2000,5,),)</f>
        <v/>
      </c>
    </row>
    <row r="1582" ht="21.0" customHeight="1">
      <c r="A1582" s="152"/>
      <c r="B1582" s="160"/>
      <c r="C1582" s="153"/>
      <c r="D1582" s="154"/>
      <c r="E1582" s="139"/>
      <c r="F1582" s="139"/>
      <c r="G1582" s="139"/>
      <c r="H1582" s="135"/>
      <c r="I1582" s="141"/>
      <c r="J1582" s="147" t="str">
        <f>IFERROR(__xludf.DUMMYFUNCTION("IF(ISBLANK(A1582),IFERROR(1/0),IF(COUNT(FILTER(F:F,A:A=A1582))&gt;1,TRUNC(N1582*F1582/SUM(FILTER(N:N,A:A=A1582)),3),F1582))"),"")</f>
        <v/>
      </c>
      <c r="K1582" s="147" t="str">
        <f>IFERROR(__xludf.DUMMYFUNCTION("IF(ISBLANK(A1582),IFERROR(1/0),IF(COUNT(FILTER(G:G,((A:A=A1582)*(B:B=""V""))))&gt;1,TRUNC(N1582*G1582/SUM(FILTER(N:N,((A:A=A1582)*(B:B=""V"")))),3),G1582))"),"")</f>
        <v/>
      </c>
      <c r="L1582" s="148" t="str">
        <f>IFERROR(__xludf.DUMMYFUNCTION("if($C1582="""","""",iferror(if(row()&lt;&gt;2,INDEX(arrayformula(filter($M$2:$M1581,$C$2:$C1581&lt;&gt;"""",row($C$2:$C1581)=max(if($C$2:$C1581=C1582,row($C$2:$C1581),0)))) ,1),0),0))"),"")</f>
        <v/>
      </c>
      <c r="M1582" s="148" t="str">
        <f t="shared" si="1"/>
        <v/>
      </c>
      <c r="N1582" s="147" t="str">
        <f t="shared" si="2"/>
        <v/>
      </c>
      <c r="O1582" s="147" t="str">
        <f t="shared" si="21"/>
        <v/>
      </c>
      <c r="P1582" s="147" t="str">
        <f>IFERROR(__xludf.DUMMYFUNCTION("if(C1582="""","""",iferror(if(row()&lt;&gt;2,INDEX(arrayformula(filter($Q$2:$Q1581,$C$2:$C1581&lt;&gt;"""",row($C$2:$C1581)=max(if($C$2:$C1581=C1582,row($C$2:$C1581),0)))) ,1),0),0))"),"")</f>
        <v/>
      </c>
      <c r="Q1582" s="147" t="str">
        <f t="shared" si="22"/>
        <v/>
      </c>
      <c r="R1582" s="147" t="str">
        <f t="shared" si="23"/>
        <v/>
      </c>
      <c r="S1582" s="147" t="str">
        <f t="shared" si="24"/>
        <v/>
      </c>
      <c r="T1582" s="147" t="str">
        <f t="shared" si="7"/>
        <v/>
      </c>
      <c r="U1582" s="150" t="str">
        <f t="shared" si="8"/>
        <v/>
      </c>
      <c r="V1582" s="151" t="str">
        <f>IFERROR(VLOOKUP(C1582,Ativos!$A$1:$G2000,5,),)</f>
        <v/>
      </c>
    </row>
    <row r="1583" ht="21.0" customHeight="1">
      <c r="A1583" s="152"/>
      <c r="B1583" s="160"/>
      <c r="C1583" s="153"/>
      <c r="D1583" s="154"/>
      <c r="E1583" s="139"/>
      <c r="F1583" s="139"/>
      <c r="G1583" s="139"/>
      <c r="H1583" s="135"/>
      <c r="I1583" s="141"/>
      <c r="J1583" s="147" t="str">
        <f>IFERROR(__xludf.DUMMYFUNCTION("IF(ISBLANK(A1583),IFERROR(1/0),IF(COUNT(FILTER(F:F,A:A=A1583))&gt;1,TRUNC(N1583*F1583/SUM(FILTER(N:N,A:A=A1583)),3),F1583))"),"")</f>
        <v/>
      </c>
      <c r="K1583" s="147" t="str">
        <f>IFERROR(__xludf.DUMMYFUNCTION("IF(ISBLANK(A1583),IFERROR(1/0),IF(COUNT(FILTER(G:G,((A:A=A1583)*(B:B=""V""))))&gt;1,TRUNC(N1583*G1583/SUM(FILTER(N:N,((A:A=A1583)*(B:B=""V"")))),3),G1583))"),"")</f>
        <v/>
      </c>
      <c r="L1583" s="148" t="str">
        <f>IFERROR(__xludf.DUMMYFUNCTION("if($C1583="""","""",iferror(if(row()&lt;&gt;2,INDEX(arrayformula(filter($M$2:$M1582,$C$2:$C1582&lt;&gt;"""",row($C$2:$C1582)=max(if($C$2:$C1582=C1583,row($C$2:$C1582),0)))) ,1),0),0))"),"")</f>
        <v/>
      </c>
      <c r="M1583" s="148" t="str">
        <f t="shared" si="1"/>
        <v/>
      </c>
      <c r="N1583" s="147" t="str">
        <f t="shared" si="2"/>
        <v/>
      </c>
      <c r="O1583" s="147" t="str">
        <f t="shared" si="21"/>
        <v/>
      </c>
      <c r="P1583" s="147" t="str">
        <f>IFERROR(__xludf.DUMMYFUNCTION("if(C1583="""","""",iferror(if(row()&lt;&gt;2,INDEX(arrayformula(filter($Q$2:$Q1582,$C$2:$C1582&lt;&gt;"""",row($C$2:$C1582)=max(if($C$2:$C1582=C1583,row($C$2:$C1582),0)))) ,1),0),0))"),"")</f>
        <v/>
      </c>
      <c r="Q1583" s="147" t="str">
        <f t="shared" si="22"/>
        <v/>
      </c>
      <c r="R1583" s="147" t="str">
        <f t="shared" si="23"/>
        <v/>
      </c>
      <c r="S1583" s="147" t="str">
        <f t="shared" si="24"/>
        <v/>
      </c>
      <c r="T1583" s="147" t="str">
        <f t="shared" si="7"/>
        <v/>
      </c>
      <c r="U1583" s="150" t="str">
        <f t="shared" si="8"/>
        <v/>
      </c>
      <c r="V1583" s="151" t="str">
        <f>IFERROR(VLOOKUP(C1583,Ativos!$A$1:$G2000,5,),)</f>
        <v/>
      </c>
    </row>
    <row r="1584" ht="21.0" customHeight="1">
      <c r="A1584" s="152"/>
      <c r="B1584" s="160"/>
      <c r="C1584" s="153"/>
      <c r="D1584" s="154"/>
      <c r="E1584" s="139"/>
      <c r="F1584" s="139"/>
      <c r="G1584" s="139"/>
      <c r="H1584" s="135"/>
      <c r="I1584" s="141"/>
      <c r="J1584" s="147" t="str">
        <f>IFERROR(__xludf.DUMMYFUNCTION("IF(ISBLANK(A1584),IFERROR(1/0),IF(COUNT(FILTER(F:F,A:A=A1584))&gt;1,TRUNC(N1584*F1584/SUM(FILTER(N:N,A:A=A1584)),3),F1584))"),"")</f>
        <v/>
      </c>
      <c r="K1584" s="147" t="str">
        <f>IFERROR(__xludf.DUMMYFUNCTION("IF(ISBLANK(A1584),IFERROR(1/0),IF(COUNT(FILTER(G:G,((A:A=A1584)*(B:B=""V""))))&gt;1,TRUNC(N1584*G1584/SUM(FILTER(N:N,((A:A=A1584)*(B:B=""V"")))),3),G1584))"),"")</f>
        <v/>
      </c>
      <c r="L1584" s="148" t="str">
        <f>IFERROR(__xludf.DUMMYFUNCTION("if($C1584="""","""",iferror(if(row()&lt;&gt;2,INDEX(arrayformula(filter($M$2:$M1583,$C$2:$C1583&lt;&gt;"""",row($C$2:$C1583)=max(if($C$2:$C1583=C1584,row($C$2:$C1583),0)))) ,1),0),0))"),"")</f>
        <v/>
      </c>
      <c r="M1584" s="148" t="str">
        <f t="shared" si="1"/>
        <v/>
      </c>
      <c r="N1584" s="147" t="str">
        <f t="shared" si="2"/>
        <v/>
      </c>
      <c r="O1584" s="147" t="str">
        <f t="shared" si="21"/>
        <v/>
      </c>
      <c r="P1584" s="147" t="str">
        <f>IFERROR(__xludf.DUMMYFUNCTION("if(C1584="""","""",iferror(if(row()&lt;&gt;2,INDEX(arrayformula(filter($Q$2:$Q1583,$C$2:$C1583&lt;&gt;"""",row($C$2:$C1583)=max(if($C$2:$C1583=C1584,row($C$2:$C1583),0)))) ,1),0),0))"),"")</f>
        <v/>
      </c>
      <c r="Q1584" s="147" t="str">
        <f t="shared" si="22"/>
        <v/>
      </c>
      <c r="R1584" s="147" t="str">
        <f t="shared" si="23"/>
        <v/>
      </c>
      <c r="S1584" s="147" t="str">
        <f t="shared" si="24"/>
        <v/>
      </c>
      <c r="T1584" s="147" t="str">
        <f t="shared" si="7"/>
        <v/>
      </c>
      <c r="U1584" s="150" t="str">
        <f t="shared" si="8"/>
        <v/>
      </c>
      <c r="V1584" s="151" t="str">
        <f>IFERROR(VLOOKUP(C1584,Ativos!$A$1:$G2000,5,),)</f>
        <v/>
      </c>
    </row>
    <row r="1585" ht="21.0" customHeight="1">
      <c r="A1585" s="152"/>
      <c r="B1585" s="160"/>
      <c r="C1585" s="153"/>
      <c r="D1585" s="154"/>
      <c r="E1585" s="139"/>
      <c r="F1585" s="139"/>
      <c r="G1585" s="139"/>
      <c r="H1585" s="135"/>
      <c r="I1585" s="141"/>
      <c r="J1585" s="147" t="str">
        <f>IFERROR(__xludf.DUMMYFUNCTION("IF(ISBLANK(A1585),IFERROR(1/0),IF(COUNT(FILTER(F:F,A:A=A1585))&gt;1,TRUNC(N1585*F1585/SUM(FILTER(N:N,A:A=A1585)),3),F1585))"),"")</f>
        <v/>
      </c>
      <c r="K1585" s="147" t="str">
        <f>IFERROR(__xludf.DUMMYFUNCTION("IF(ISBLANK(A1585),IFERROR(1/0),IF(COUNT(FILTER(G:G,((A:A=A1585)*(B:B=""V""))))&gt;1,TRUNC(N1585*G1585/SUM(FILTER(N:N,((A:A=A1585)*(B:B=""V"")))),3),G1585))"),"")</f>
        <v/>
      </c>
      <c r="L1585" s="148" t="str">
        <f>IFERROR(__xludf.DUMMYFUNCTION("if($C1585="""","""",iferror(if(row()&lt;&gt;2,INDEX(arrayformula(filter($M$2:$M1584,$C$2:$C1584&lt;&gt;"""",row($C$2:$C1584)=max(if($C$2:$C1584=C1585,row($C$2:$C1584),0)))) ,1),0),0))"),"")</f>
        <v/>
      </c>
      <c r="M1585" s="148" t="str">
        <f t="shared" si="1"/>
        <v/>
      </c>
      <c r="N1585" s="147" t="str">
        <f t="shared" si="2"/>
        <v/>
      </c>
      <c r="O1585" s="147" t="str">
        <f t="shared" si="21"/>
        <v/>
      </c>
      <c r="P1585" s="147" t="str">
        <f>IFERROR(__xludf.DUMMYFUNCTION("if(C1585="""","""",iferror(if(row()&lt;&gt;2,INDEX(arrayformula(filter($Q$2:$Q1584,$C$2:$C1584&lt;&gt;"""",row($C$2:$C1584)=max(if($C$2:$C1584=C1585,row($C$2:$C1584),0)))) ,1),0),0))"),"")</f>
        <v/>
      </c>
      <c r="Q1585" s="147" t="str">
        <f t="shared" si="22"/>
        <v/>
      </c>
      <c r="R1585" s="147" t="str">
        <f t="shared" si="23"/>
        <v/>
      </c>
      <c r="S1585" s="147" t="str">
        <f t="shared" si="24"/>
        <v/>
      </c>
      <c r="T1585" s="147" t="str">
        <f t="shared" si="7"/>
        <v/>
      </c>
      <c r="U1585" s="150" t="str">
        <f t="shared" si="8"/>
        <v/>
      </c>
      <c r="V1585" s="151" t="str">
        <f>IFERROR(VLOOKUP(C1585,Ativos!$A$1:$G2000,5,),)</f>
        <v/>
      </c>
    </row>
    <row r="1586" ht="21.0" customHeight="1">
      <c r="A1586" s="152"/>
      <c r="B1586" s="160"/>
      <c r="C1586" s="153"/>
      <c r="D1586" s="154"/>
      <c r="E1586" s="139"/>
      <c r="F1586" s="139"/>
      <c r="G1586" s="139"/>
      <c r="H1586" s="135"/>
      <c r="I1586" s="141"/>
      <c r="J1586" s="147" t="str">
        <f>IFERROR(__xludf.DUMMYFUNCTION("IF(ISBLANK(A1586),IFERROR(1/0),IF(COUNT(FILTER(F:F,A:A=A1586))&gt;1,TRUNC(N1586*F1586/SUM(FILTER(N:N,A:A=A1586)),3),F1586))"),"")</f>
        <v/>
      </c>
      <c r="K1586" s="147" t="str">
        <f>IFERROR(__xludf.DUMMYFUNCTION("IF(ISBLANK(A1586),IFERROR(1/0),IF(COUNT(FILTER(G:G,((A:A=A1586)*(B:B=""V""))))&gt;1,TRUNC(N1586*G1586/SUM(FILTER(N:N,((A:A=A1586)*(B:B=""V"")))),3),G1586))"),"")</f>
        <v/>
      </c>
      <c r="L1586" s="148" t="str">
        <f>IFERROR(__xludf.DUMMYFUNCTION("if($C1586="""","""",iferror(if(row()&lt;&gt;2,INDEX(arrayformula(filter($M$2:$M1585,$C$2:$C1585&lt;&gt;"""",row($C$2:$C1585)=max(if($C$2:$C1585=C1586,row($C$2:$C1585),0)))) ,1),0),0))"),"")</f>
        <v/>
      </c>
      <c r="M1586" s="148" t="str">
        <f t="shared" si="1"/>
        <v/>
      </c>
      <c r="N1586" s="147" t="str">
        <f t="shared" si="2"/>
        <v/>
      </c>
      <c r="O1586" s="147" t="str">
        <f t="shared" si="21"/>
        <v/>
      </c>
      <c r="P1586" s="147" t="str">
        <f>IFERROR(__xludf.DUMMYFUNCTION("if(C1586="""","""",iferror(if(row()&lt;&gt;2,INDEX(arrayformula(filter($Q$2:$Q1585,$C$2:$C1585&lt;&gt;"""",row($C$2:$C1585)=max(if($C$2:$C1585=C1586,row($C$2:$C1585),0)))) ,1),0),0))"),"")</f>
        <v/>
      </c>
      <c r="Q1586" s="147" t="str">
        <f t="shared" si="22"/>
        <v/>
      </c>
      <c r="R1586" s="147" t="str">
        <f t="shared" si="23"/>
        <v/>
      </c>
      <c r="S1586" s="147" t="str">
        <f t="shared" si="24"/>
        <v/>
      </c>
      <c r="T1586" s="147" t="str">
        <f t="shared" si="7"/>
        <v/>
      </c>
      <c r="U1586" s="150" t="str">
        <f t="shared" si="8"/>
        <v/>
      </c>
      <c r="V1586" s="151" t="str">
        <f>IFERROR(VLOOKUP(C1586,Ativos!$A$1:$G2000,5,),)</f>
        <v/>
      </c>
    </row>
    <row r="1587" ht="21.0" customHeight="1">
      <c r="A1587" s="152"/>
      <c r="B1587" s="160"/>
      <c r="C1587" s="153"/>
      <c r="D1587" s="154"/>
      <c r="E1587" s="139"/>
      <c r="F1587" s="139"/>
      <c r="G1587" s="139"/>
      <c r="H1587" s="135"/>
      <c r="I1587" s="141"/>
      <c r="J1587" s="147" t="str">
        <f>IFERROR(__xludf.DUMMYFUNCTION("IF(ISBLANK(A1587),IFERROR(1/0),IF(COUNT(FILTER(F:F,A:A=A1587))&gt;1,TRUNC(N1587*F1587/SUM(FILTER(N:N,A:A=A1587)),3),F1587))"),"")</f>
        <v/>
      </c>
      <c r="K1587" s="147" t="str">
        <f>IFERROR(__xludf.DUMMYFUNCTION("IF(ISBLANK(A1587),IFERROR(1/0),IF(COUNT(FILTER(G:G,((A:A=A1587)*(B:B=""V""))))&gt;1,TRUNC(N1587*G1587/SUM(FILTER(N:N,((A:A=A1587)*(B:B=""V"")))),3),G1587))"),"")</f>
        <v/>
      </c>
      <c r="L1587" s="148" t="str">
        <f>IFERROR(__xludf.DUMMYFUNCTION("if($C1587="""","""",iferror(if(row()&lt;&gt;2,INDEX(arrayformula(filter($M$2:$M1586,$C$2:$C1586&lt;&gt;"""",row($C$2:$C1586)=max(if($C$2:$C1586=C1587,row($C$2:$C1586),0)))) ,1),0),0))"),"")</f>
        <v/>
      </c>
      <c r="M1587" s="148" t="str">
        <f t="shared" si="1"/>
        <v/>
      </c>
      <c r="N1587" s="147" t="str">
        <f t="shared" si="2"/>
        <v/>
      </c>
      <c r="O1587" s="147" t="str">
        <f t="shared" si="21"/>
        <v/>
      </c>
      <c r="P1587" s="147" t="str">
        <f>IFERROR(__xludf.DUMMYFUNCTION("if(C1587="""","""",iferror(if(row()&lt;&gt;2,INDEX(arrayformula(filter($Q$2:$Q1586,$C$2:$C1586&lt;&gt;"""",row($C$2:$C1586)=max(if($C$2:$C1586=C1587,row($C$2:$C1586),0)))) ,1),0),0))"),"")</f>
        <v/>
      </c>
      <c r="Q1587" s="147" t="str">
        <f t="shared" si="22"/>
        <v/>
      </c>
      <c r="R1587" s="147" t="str">
        <f t="shared" si="23"/>
        <v/>
      </c>
      <c r="S1587" s="147" t="str">
        <f t="shared" si="24"/>
        <v/>
      </c>
      <c r="T1587" s="147" t="str">
        <f t="shared" si="7"/>
        <v/>
      </c>
      <c r="U1587" s="150" t="str">
        <f t="shared" si="8"/>
        <v/>
      </c>
      <c r="V1587" s="151" t="str">
        <f>IFERROR(VLOOKUP(C1587,Ativos!$A$1:$G2000,5,),)</f>
        <v/>
      </c>
    </row>
    <row r="1588" ht="21.0" customHeight="1">
      <c r="A1588" s="152"/>
      <c r="B1588" s="160"/>
      <c r="C1588" s="153"/>
      <c r="D1588" s="154"/>
      <c r="E1588" s="139"/>
      <c r="F1588" s="139"/>
      <c r="G1588" s="139"/>
      <c r="H1588" s="135"/>
      <c r="I1588" s="141"/>
      <c r="J1588" s="147" t="str">
        <f>IFERROR(__xludf.DUMMYFUNCTION("IF(ISBLANK(A1588),IFERROR(1/0),IF(COUNT(FILTER(F:F,A:A=A1588))&gt;1,TRUNC(N1588*F1588/SUM(FILTER(N:N,A:A=A1588)),3),F1588))"),"")</f>
        <v/>
      </c>
      <c r="K1588" s="147" t="str">
        <f>IFERROR(__xludf.DUMMYFUNCTION("IF(ISBLANK(A1588),IFERROR(1/0),IF(COUNT(FILTER(G:G,((A:A=A1588)*(B:B=""V""))))&gt;1,TRUNC(N1588*G1588/SUM(FILTER(N:N,((A:A=A1588)*(B:B=""V"")))),3),G1588))"),"")</f>
        <v/>
      </c>
      <c r="L1588" s="148" t="str">
        <f>IFERROR(__xludf.DUMMYFUNCTION("if($C1588="""","""",iferror(if(row()&lt;&gt;2,INDEX(arrayformula(filter($M$2:$M1587,$C$2:$C1587&lt;&gt;"""",row($C$2:$C1587)=max(if($C$2:$C1587=C1588,row($C$2:$C1587),0)))) ,1),0),0))"),"")</f>
        <v/>
      </c>
      <c r="M1588" s="148" t="str">
        <f t="shared" si="1"/>
        <v/>
      </c>
      <c r="N1588" s="147" t="str">
        <f t="shared" si="2"/>
        <v/>
      </c>
      <c r="O1588" s="147" t="str">
        <f t="shared" si="21"/>
        <v/>
      </c>
      <c r="P1588" s="147" t="str">
        <f>IFERROR(__xludf.DUMMYFUNCTION("if(C1588="""","""",iferror(if(row()&lt;&gt;2,INDEX(arrayformula(filter($Q$2:$Q1587,$C$2:$C1587&lt;&gt;"""",row($C$2:$C1587)=max(if($C$2:$C1587=C1588,row($C$2:$C1587),0)))) ,1),0),0))"),"")</f>
        <v/>
      </c>
      <c r="Q1588" s="147" t="str">
        <f t="shared" si="22"/>
        <v/>
      </c>
      <c r="R1588" s="147" t="str">
        <f t="shared" si="23"/>
        <v/>
      </c>
      <c r="S1588" s="147" t="str">
        <f t="shared" si="24"/>
        <v/>
      </c>
      <c r="T1588" s="147" t="str">
        <f t="shared" si="7"/>
        <v/>
      </c>
      <c r="U1588" s="150" t="str">
        <f t="shared" si="8"/>
        <v/>
      </c>
      <c r="V1588" s="151" t="str">
        <f>IFERROR(VLOOKUP(C1588,Ativos!$A$1:$G2000,5,),)</f>
        <v/>
      </c>
    </row>
    <row r="1589" ht="21.0" customHeight="1">
      <c r="A1589" s="152"/>
      <c r="B1589" s="160"/>
      <c r="C1589" s="153"/>
      <c r="D1589" s="154"/>
      <c r="E1589" s="139"/>
      <c r="F1589" s="139"/>
      <c r="G1589" s="139"/>
      <c r="H1589" s="135"/>
      <c r="I1589" s="141"/>
      <c r="J1589" s="147" t="str">
        <f>IFERROR(__xludf.DUMMYFUNCTION("IF(ISBLANK(A1589),IFERROR(1/0),IF(COUNT(FILTER(F:F,A:A=A1589))&gt;1,TRUNC(N1589*F1589/SUM(FILTER(N:N,A:A=A1589)),3),F1589))"),"")</f>
        <v/>
      </c>
      <c r="K1589" s="147" t="str">
        <f>IFERROR(__xludf.DUMMYFUNCTION("IF(ISBLANK(A1589),IFERROR(1/0),IF(COUNT(FILTER(G:G,((A:A=A1589)*(B:B=""V""))))&gt;1,TRUNC(N1589*G1589/SUM(FILTER(N:N,((A:A=A1589)*(B:B=""V"")))),3),G1589))"),"")</f>
        <v/>
      </c>
      <c r="L1589" s="148" t="str">
        <f>IFERROR(__xludf.DUMMYFUNCTION("if($C1589="""","""",iferror(if(row()&lt;&gt;2,INDEX(arrayformula(filter($M$2:$M1588,$C$2:$C1588&lt;&gt;"""",row($C$2:$C1588)=max(if($C$2:$C1588=C1589,row($C$2:$C1588),0)))) ,1),0),0))"),"")</f>
        <v/>
      </c>
      <c r="M1589" s="148" t="str">
        <f t="shared" si="1"/>
        <v/>
      </c>
      <c r="N1589" s="147" t="str">
        <f t="shared" si="2"/>
        <v/>
      </c>
      <c r="O1589" s="147" t="str">
        <f t="shared" si="21"/>
        <v/>
      </c>
      <c r="P1589" s="147" t="str">
        <f>IFERROR(__xludf.DUMMYFUNCTION("if(C1589="""","""",iferror(if(row()&lt;&gt;2,INDEX(arrayformula(filter($Q$2:$Q1588,$C$2:$C1588&lt;&gt;"""",row($C$2:$C1588)=max(if($C$2:$C1588=C1589,row($C$2:$C1588),0)))) ,1),0),0))"),"")</f>
        <v/>
      </c>
      <c r="Q1589" s="147" t="str">
        <f t="shared" si="22"/>
        <v/>
      </c>
      <c r="R1589" s="147" t="str">
        <f t="shared" si="23"/>
        <v/>
      </c>
      <c r="S1589" s="147" t="str">
        <f t="shared" si="24"/>
        <v/>
      </c>
      <c r="T1589" s="147" t="str">
        <f t="shared" si="7"/>
        <v/>
      </c>
      <c r="U1589" s="150" t="str">
        <f t="shared" si="8"/>
        <v/>
      </c>
      <c r="V1589" s="151" t="str">
        <f>IFERROR(VLOOKUP(C1589,Ativos!$A$1:$G2000,5,),)</f>
        <v/>
      </c>
    </row>
    <row r="1590" ht="21.0" customHeight="1">
      <c r="A1590" s="152"/>
      <c r="B1590" s="160"/>
      <c r="C1590" s="153"/>
      <c r="D1590" s="154"/>
      <c r="E1590" s="139"/>
      <c r="F1590" s="139"/>
      <c r="G1590" s="139"/>
      <c r="H1590" s="135"/>
      <c r="I1590" s="141"/>
      <c r="J1590" s="147" t="str">
        <f>IFERROR(__xludf.DUMMYFUNCTION("IF(ISBLANK(A1590),IFERROR(1/0),IF(COUNT(FILTER(F:F,A:A=A1590))&gt;1,TRUNC(N1590*F1590/SUM(FILTER(N:N,A:A=A1590)),3),F1590))"),"")</f>
        <v/>
      </c>
      <c r="K1590" s="147" t="str">
        <f>IFERROR(__xludf.DUMMYFUNCTION("IF(ISBLANK(A1590),IFERROR(1/0),IF(COUNT(FILTER(G:G,((A:A=A1590)*(B:B=""V""))))&gt;1,TRUNC(N1590*G1590/SUM(FILTER(N:N,((A:A=A1590)*(B:B=""V"")))),3),G1590))"),"")</f>
        <v/>
      </c>
      <c r="L1590" s="148" t="str">
        <f>IFERROR(__xludf.DUMMYFUNCTION("if($C1590="""","""",iferror(if(row()&lt;&gt;2,INDEX(arrayformula(filter($M$2:$M1589,$C$2:$C1589&lt;&gt;"""",row($C$2:$C1589)=max(if($C$2:$C1589=C1590,row($C$2:$C1589),0)))) ,1),0),0))"),"")</f>
        <v/>
      </c>
      <c r="M1590" s="148" t="str">
        <f t="shared" si="1"/>
        <v/>
      </c>
      <c r="N1590" s="147" t="str">
        <f t="shared" si="2"/>
        <v/>
      </c>
      <c r="O1590" s="147" t="str">
        <f t="shared" si="21"/>
        <v/>
      </c>
      <c r="P1590" s="147" t="str">
        <f>IFERROR(__xludf.DUMMYFUNCTION("if(C1590="""","""",iferror(if(row()&lt;&gt;2,INDEX(arrayformula(filter($Q$2:$Q1589,$C$2:$C1589&lt;&gt;"""",row($C$2:$C1589)=max(if($C$2:$C1589=C1590,row($C$2:$C1589),0)))) ,1),0),0))"),"")</f>
        <v/>
      </c>
      <c r="Q1590" s="147" t="str">
        <f t="shared" si="22"/>
        <v/>
      </c>
      <c r="R1590" s="147" t="str">
        <f t="shared" si="23"/>
        <v/>
      </c>
      <c r="S1590" s="147" t="str">
        <f t="shared" si="24"/>
        <v/>
      </c>
      <c r="T1590" s="147" t="str">
        <f t="shared" si="7"/>
        <v/>
      </c>
      <c r="U1590" s="150" t="str">
        <f t="shared" si="8"/>
        <v/>
      </c>
      <c r="V1590" s="151" t="str">
        <f>IFERROR(VLOOKUP(C1590,Ativos!$A$1:$G2000,5,),)</f>
        <v/>
      </c>
    </row>
    <row r="1591" ht="21.0" customHeight="1">
      <c r="A1591" s="152"/>
      <c r="B1591" s="160"/>
      <c r="C1591" s="153"/>
      <c r="D1591" s="154"/>
      <c r="E1591" s="139"/>
      <c r="F1591" s="139"/>
      <c r="G1591" s="139"/>
      <c r="H1591" s="135"/>
      <c r="I1591" s="141"/>
      <c r="J1591" s="147" t="str">
        <f>IFERROR(__xludf.DUMMYFUNCTION("IF(ISBLANK(A1591),IFERROR(1/0),IF(COUNT(FILTER(F:F,A:A=A1591))&gt;1,TRUNC(N1591*F1591/SUM(FILTER(N:N,A:A=A1591)),3),F1591))"),"")</f>
        <v/>
      </c>
      <c r="K1591" s="147" t="str">
        <f>IFERROR(__xludf.DUMMYFUNCTION("IF(ISBLANK(A1591),IFERROR(1/0),IF(COUNT(FILTER(G:G,((A:A=A1591)*(B:B=""V""))))&gt;1,TRUNC(N1591*G1591/SUM(FILTER(N:N,((A:A=A1591)*(B:B=""V"")))),3),G1591))"),"")</f>
        <v/>
      </c>
      <c r="L1591" s="148" t="str">
        <f>IFERROR(__xludf.DUMMYFUNCTION("if($C1591="""","""",iferror(if(row()&lt;&gt;2,INDEX(arrayformula(filter($M$2:$M1590,$C$2:$C1590&lt;&gt;"""",row($C$2:$C1590)=max(if($C$2:$C1590=C1591,row($C$2:$C1590),0)))) ,1),0),0))"),"")</f>
        <v/>
      </c>
      <c r="M1591" s="148" t="str">
        <f t="shared" si="1"/>
        <v/>
      </c>
      <c r="N1591" s="147" t="str">
        <f t="shared" si="2"/>
        <v/>
      </c>
      <c r="O1591" s="147" t="str">
        <f t="shared" si="21"/>
        <v/>
      </c>
      <c r="P1591" s="147" t="str">
        <f>IFERROR(__xludf.DUMMYFUNCTION("if(C1591="""","""",iferror(if(row()&lt;&gt;2,INDEX(arrayformula(filter($Q$2:$Q1590,$C$2:$C1590&lt;&gt;"""",row($C$2:$C1590)=max(if($C$2:$C1590=C1591,row($C$2:$C1590),0)))) ,1),0),0))"),"")</f>
        <v/>
      </c>
      <c r="Q1591" s="147" t="str">
        <f t="shared" si="22"/>
        <v/>
      </c>
      <c r="R1591" s="147" t="str">
        <f t="shared" si="23"/>
        <v/>
      </c>
      <c r="S1591" s="147" t="str">
        <f t="shared" si="24"/>
        <v/>
      </c>
      <c r="T1591" s="147" t="str">
        <f t="shared" si="7"/>
        <v/>
      </c>
      <c r="U1591" s="150" t="str">
        <f t="shared" si="8"/>
        <v/>
      </c>
      <c r="V1591" s="151" t="str">
        <f>IFERROR(VLOOKUP(C1591,Ativos!$A$1:$G2000,5,),)</f>
        <v/>
      </c>
    </row>
    <row r="1592" ht="21.0" customHeight="1">
      <c r="A1592" s="152"/>
      <c r="B1592" s="160"/>
      <c r="C1592" s="153"/>
      <c r="D1592" s="154"/>
      <c r="E1592" s="139"/>
      <c r="F1592" s="139"/>
      <c r="G1592" s="139"/>
      <c r="H1592" s="135"/>
      <c r="I1592" s="141"/>
      <c r="J1592" s="147" t="str">
        <f>IFERROR(__xludf.DUMMYFUNCTION("IF(ISBLANK(A1592),IFERROR(1/0),IF(COUNT(FILTER(F:F,A:A=A1592))&gt;1,TRUNC(N1592*F1592/SUM(FILTER(N:N,A:A=A1592)),3),F1592))"),"")</f>
        <v/>
      </c>
      <c r="K1592" s="147" t="str">
        <f>IFERROR(__xludf.DUMMYFUNCTION("IF(ISBLANK(A1592),IFERROR(1/0),IF(COUNT(FILTER(G:G,((A:A=A1592)*(B:B=""V""))))&gt;1,TRUNC(N1592*G1592/SUM(FILTER(N:N,((A:A=A1592)*(B:B=""V"")))),3),G1592))"),"")</f>
        <v/>
      </c>
      <c r="L1592" s="148" t="str">
        <f>IFERROR(__xludf.DUMMYFUNCTION("if($C1592="""","""",iferror(if(row()&lt;&gt;2,INDEX(arrayformula(filter($M$2:$M1591,$C$2:$C1591&lt;&gt;"""",row($C$2:$C1591)=max(if($C$2:$C1591=C1592,row($C$2:$C1591),0)))) ,1),0),0))"),"")</f>
        <v/>
      </c>
      <c r="M1592" s="148" t="str">
        <f t="shared" si="1"/>
        <v/>
      </c>
      <c r="N1592" s="147" t="str">
        <f t="shared" si="2"/>
        <v/>
      </c>
      <c r="O1592" s="147" t="str">
        <f t="shared" si="21"/>
        <v/>
      </c>
      <c r="P1592" s="147" t="str">
        <f>IFERROR(__xludf.DUMMYFUNCTION("if(C1592="""","""",iferror(if(row()&lt;&gt;2,INDEX(arrayformula(filter($Q$2:$Q1591,$C$2:$C1591&lt;&gt;"""",row($C$2:$C1591)=max(if($C$2:$C1591=C1592,row($C$2:$C1591),0)))) ,1),0),0))"),"")</f>
        <v/>
      </c>
      <c r="Q1592" s="147" t="str">
        <f t="shared" si="22"/>
        <v/>
      </c>
      <c r="R1592" s="147" t="str">
        <f t="shared" si="23"/>
        <v/>
      </c>
      <c r="S1592" s="147" t="str">
        <f t="shared" si="24"/>
        <v/>
      </c>
      <c r="T1592" s="147" t="str">
        <f t="shared" si="7"/>
        <v/>
      </c>
      <c r="U1592" s="150" t="str">
        <f t="shared" si="8"/>
        <v/>
      </c>
      <c r="V1592" s="151" t="str">
        <f>IFERROR(VLOOKUP(C1592,Ativos!$A$1:$G2000,5,),)</f>
        <v/>
      </c>
    </row>
    <row r="1593" ht="21.0" customHeight="1">
      <c r="A1593" s="152"/>
      <c r="B1593" s="160"/>
      <c r="C1593" s="153"/>
      <c r="D1593" s="154"/>
      <c r="E1593" s="139"/>
      <c r="F1593" s="139"/>
      <c r="G1593" s="139"/>
      <c r="H1593" s="135"/>
      <c r="I1593" s="141"/>
      <c r="J1593" s="147" t="str">
        <f>IFERROR(__xludf.DUMMYFUNCTION("IF(ISBLANK(A1593),IFERROR(1/0),IF(COUNT(FILTER(F:F,A:A=A1593))&gt;1,TRUNC(N1593*F1593/SUM(FILTER(N:N,A:A=A1593)),3),F1593))"),"")</f>
        <v/>
      </c>
      <c r="K1593" s="147" t="str">
        <f>IFERROR(__xludf.DUMMYFUNCTION("IF(ISBLANK(A1593),IFERROR(1/0),IF(COUNT(FILTER(G:G,((A:A=A1593)*(B:B=""V""))))&gt;1,TRUNC(N1593*G1593/SUM(FILTER(N:N,((A:A=A1593)*(B:B=""V"")))),3),G1593))"),"")</f>
        <v/>
      </c>
      <c r="L1593" s="148" t="str">
        <f>IFERROR(__xludf.DUMMYFUNCTION("if($C1593="""","""",iferror(if(row()&lt;&gt;2,INDEX(arrayformula(filter($M$2:$M1592,$C$2:$C1592&lt;&gt;"""",row($C$2:$C1592)=max(if($C$2:$C1592=C1593,row($C$2:$C1592),0)))) ,1),0),0))"),"")</f>
        <v/>
      </c>
      <c r="M1593" s="148" t="str">
        <f t="shared" si="1"/>
        <v/>
      </c>
      <c r="N1593" s="147" t="str">
        <f t="shared" si="2"/>
        <v/>
      </c>
      <c r="O1593" s="147" t="str">
        <f t="shared" si="21"/>
        <v/>
      </c>
      <c r="P1593" s="147" t="str">
        <f>IFERROR(__xludf.DUMMYFUNCTION("if(C1593="""","""",iferror(if(row()&lt;&gt;2,INDEX(arrayformula(filter($Q$2:$Q1592,$C$2:$C1592&lt;&gt;"""",row($C$2:$C1592)=max(if($C$2:$C1592=C1593,row($C$2:$C1592),0)))) ,1),0),0))"),"")</f>
        <v/>
      </c>
      <c r="Q1593" s="147" t="str">
        <f t="shared" si="22"/>
        <v/>
      </c>
      <c r="R1593" s="147" t="str">
        <f t="shared" si="23"/>
        <v/>
      </c>
      <c r="S1593" s="147" t="str">
        <f t="shared" si="24"/>
        <v/>
      </c>
      <c r="T1593" s="147" t="str">
        <f t="shared" si="7"/>
        <v/>
      </c>
      <c r="U1593" s="150" t="str">
        <f t="shared" si="8"/>
        <v/>
      </c>
      <c r="V1593" s="151" t="str">
        <f>IFERROR(VLOOKUP(C1593,Ativos!$A$1:$G2000,5,),)</f>
        <v/>
      </c>
    </row>
    <row r="1594" ht="21.0" customHeight="1">
      <c r="A1594" s="152"/>
      <c r="B1594" s="160"/>
      <c r="C1594" s="153"/>
      <c r="D1594" s="154"/>
      <c r="E1594" s="139"/>
      <c r="F1594" s="139"/>
      <c r="G1594" s="139"/>
      <c r="H1594" s="135"/>
      <c r="I1594" s="141"/>
      <c r="J1594" s="147" t="str">
        <f>IFERROR(__xludf.DUMMYFUNCTION("IF(ISBLANK(A1594),IFERROR(1/0),IF(COUNT(FILTER(F:F,A:A=A1594))&gt;1,TRUNC(N1594*F1594/SUM(FILTER(N:N,A:A=A1594)),3),F1594))"),"")</f>
        <v/>
      </c>
      <c r="K1594" s="147" t="str">
        <f>IFERROR(__xludf.DUMMYFUNCTION("IF(ISBLANK(A1594),IFERROR(1/0),IF(COUNT(FILTER(G:G,((A:A=A1594)*(B:B=""V""))))&gt;1,TRUNC(N1594*G1594/SUM(FILTER(N:N,((A:A=A1594)*(B:B=""V"")))),3),G1594))"),"")</f>
        <v/>
      </c>
      <c r="L1594" s="148" t="str">
        <f>IFERROR(__xludf.DUMMYFUNCTION("if($C1594="""","""",iferror(if(row()&lt;&gt;2,INDEX(arrayformula(filter($M$2:$M1593,$C$2:$C1593&lt;&gt;"""",row($C$2:$C1593)=max(if($C$2:$C1593=C1594,row($C$2:$C1593),0)))) ,1),0),0))"),"")</f>
        <v/>
      </c>
      <c r="M1594" s="148" t="str">
        <f t="shared" si="1"/>
        <v/>
      </c>
      <c r="N1594" s="147" t="str">
        <f t="shared" si="2"/>
        <v/>
      </c>
      <c r="O1594" s="147" t="str">
        <f t="shared" si="21"/>
        <v/>
      </c>
      <c r="P1594" s="147" t="str">
        <f>IFERROR(__xludf.DUMMYFUNCTION("if(C1594="""","""",iferror(if(row()&lt;&gt;2,INDEX(arrayformula(filter($Q$2:$Q1593,$C$2:$C1593&lt;&gt;"""",row($C$2:$C1593)=max(if($C$2:$C1593=C1594,row($C$2:$C1593),0)))) ,1),0),0))"),"")</f>
        <v/>
      </c>
      <c r="Q1594" s="147" t="str">
        <f t="shared" si="22"/>
        <v/>
      </c>
      <c r="R1594" s="147" t="str">
        <f t="shared" si="23"/>
        <v/>
      </c>
      <c r="S1594" s="147" t="str">
        <f t="shared" si="24"/>
        <v/>
      </c>
      <c r="T1594" s="147" t="str">
        <f t="shared" si="7"/>
        <v/>
      </c>
      <c r="U1594" s="150" t="str">
        <f t="shared" si="8"/>
        <v/>
      </c>
      <c r="V1594" s="151" t="str">
        <f>IFERROR(VLOOKUP(C1594,Ativos!$A$1:$G2000,5,),)</f>
        <v/>
      </c>
    </row>
    <row r="1595" ht="21.0" customHeight="1">
      <c r="A1595" s="152"/>
      <c r="B1595" s="160"/>
      <c r="C1595" s="153"/>
      <c r="D1595" s="154"/>
      <c r="E1595" s="139"/>
      <c r="F1595" s="139"/>
      <c r="G1595" s="139"/>
      <c r="H1595" s="135"/>
      <c r="I1595" s="141"/>
      <c r="J1595" s="147" t="str">
        <f>IFERROR(__xludf.DUMMYFUNCTION("IF(ISBLANK(A1595),IFERROR(1/0),IF(COUNT(FILTER(F:F,A:A=A1595))&gt;1,TRUNC(N1595*F1595/SUM(FILTER(N:N,A:A=A1595)),3),F1595))"),"")</f>
        <v/>
      </c>
      <c r="K1595" s="147" t="str">
        <f>IFERROR(__xludf.DUMMYFUNCTION("IF(ISBLANK(A1595),IFERROR(1/0),IF(COUNT(FILTER(G:G,((A:A=A1595)*(B:B=""V""))))&gt;1,TRUNC(N1595*G1595/SUM(FILTER(N:N,((A:A=A1595)*(B:B=""V"")))),3),G1595))"),"")</f>
        <v/>
      </c>
      <c r="L1595" s="148" t="str">
        <f>IFERROR(__xludf.DUMMYFUNCTION("if($C1595="""","""",iferror(if(row()&lt;&gt;2,INDEX(arrayformula(filter($M$2:$M1594,$C$2:$C1594&lt;&gt;"""",row($C$2:$C1594)=max(if($C$2:$C1594=C1595,row($C$2:$C1594),0)))) ,1),0),0))"),"")</f>
        <v/>
      </c>
      <c r="M1595" s="148" t="str">
        <f t="shared" si="1"/>
        <v/>
      </c>
      <c r="N1595" s="147" t="str">
        <f t="shared" si="2"/>
        <v/>
      </c>
      <c r="O1595" s="147" t="str">
        <f t="shared" si="21"/>
        <v/>
      </c>
      <c r="P1595" s="147" t="str">
        <f>IFERROR(__xludf.DUMMYFUNCTION("if(C1595="""","""",iferror(if(row()&lt;&gt;2,INDEX(arrayformula(filter($Q$2:$Q1594,$C$2:$C1594&lt;&gt;"""",row($C$2:$C1594)=max(if($C$2:$C1594=C1595,row($C$2:$C1594),0)))) ,1),0),0))"),"")</f>
        <v/>
      </c>
      <c r="Q1595" s="147" t="str">
        <f t="shared" si="22"/>
        <v/>
      </c>
      <c r="R1595" s="147" t="str">
        <f t="shared" si="23"/>
        <v/>
      </c>
      <c r="S1595" s="147" t="str">
        <f t="shared" si="24"/>
        <v/>
      </c>
      <c r="T1595" s="147" t="str">
        <f t="shared" si="7"/>
        <v/>
      </c>
      <c r="U1595" s="150" t="str">
        <f t="shared" si="8"/>
        <v/>
      </c>
      <c r="V1595" s="151" t="str">
        <f>IFERROR(VLOOKUP(C1595,Ativos!$A$1:$G2000,5,),)</f>
        <v/>
      </c>
    </row>
    <row r="1596" ht="21.0" customHeight="1">
      <c r="A1596" s="152"/>
      <c r="B1596" s="160"/>
      <c r="C1596" s="153"/>
      <c r="D1596" s="154"/>
      <c r="E1596" s="139"/>
      <c r="F1596" s="139"/>
      <c r="G1596" s="139"/>
      <c r="H1596" s="135"/>
      <c r="I1596" s="141"/>
      <c r="J1596" s="147" t="str">
        <f>IFERROR(__xludf.DUMMYFUNCTION("IF(ISBLANK(A1596),IFERROR(1/0),IF(COUNT(FILTER(F:F,A:A=A1596))&gt;1,TRUNC(N1596*F1596/SUM(FILTER(N:N,A:A=A1596)),3),F1596))"),"")</f>
        <v/>
      </c>
      <c r="K1596" s="147" t="str">
        <f>IFERROR(__xludf.DUMMYFUNCTION("IF(ISBLANK(A1596),IFERROR(1/0),IF(COUNT(FILTER(G:G,((A:A=A1596)*(B:B=""V""))))&gt;1,TRUNC(N1596*G1596/SUM(FILTER(N:N,((A:A=A1596)*(B:B=""V"")))),3),G1596))"),"")</f>
        <v/>
      </c>
      <c r="L1596" s="148" t="str">
        <f>IFERROR(__xludf.DUMMYFUNCTION("if($C1596="""","""",iferror(if(row()&lt;&gt;2,INDEX(arrayformula(filter($M$2:$M1595,$C$2:$C1595&lt;&gt;"""",row($C$2:$C1595)=max(if($C$2:$C1595=C1596,row($C$2:$C1595),0)))) ,1),0),0))"),"")</f>
        <v/>
      </c>
      <c r="M1596" s="148" t="str">
        <f t="shared" si="1"/>
        <v/>
      </c>
      <c r="N1596" s="147" t="str">
        <f t="shared" si="2"/>
        <v/>
      </c>
      <c r="O1596" s="147" t="str">
        <f t="shared" si="21"/>
        <v/>
      </c>
      <c r="P1596" s="147" t="str">
        <f>IFERROR(__xludf.DUMMYFUNCTION("if(C1596="""","""",iferror(if(row()&lt;&gt;2,INDEX(arrayformula(filter($Q$2:$Q1595,$C$2:$C1595&lt;&gt;"""",row($C$2:$C1595)=max(if($C$2:$C1595=C1596,row($C$2:$C1595),0)))) ,1),0),0))"),"")</f>
        <v/>
      </c>
      <c r="Q1596" s="147" t="str">
        <f t="shared" si="22"/>
        <v/>
      </c>
      <c r="R1596" s="147" t="str">
        <f t="shared" si="23"/>
        <v/>
      </c>
      <c r="S1596" s="147" t="str">
        <f t="shared" si="24"/>
        <v/>
      </c>
      <c r="T1596" s="147" t="str">
        <f t="shared" si="7"/>
        <v/>
      </c>
      <c r="U1596" s="150" t="str">
        <f t="shared" si="8"/>
        <v/>
      </c>
      <c r="V1596" s="151" t="str">
        <f>IFERROR(VLOOKUP(C1596,Ativos!$A$1:$G2000,5,),)</f>
        <v/>
      </c>
    </row>
    <row r="1597" ht="21.0" customHeight="1">
      <c r="A1597" s="152"/>
      <c r="B1597" s="160"/>
      <c r="C1597" s="153"/>
      <c r="D1597" s="154"/>
      <c r="E1597" s="139"/>
      <c r="F1597" s="139"/>
      <c r="G1597" s="139"/>
      <c r="H1597" s="135"/>
      <c r="I1597" s="141"/>
      <c r="J1597" s="147" t="str">
        <f>IFERROR(__xludf.DUMMYFUNCTION("IF(ISBLANK(A1597),IFERROR(1/0),IF(COUNT(FILTER(F:F,A:A=A1597))&gt;1,TRUNC(N1597*F1597/SUM(FILTER(N:N,A:A=A1597)),3),F1597))"),"")</f>
        <v/>
      </c>
      <c r="K1597" s="147" t="str">
        <f>IFERROR(__xludf.DUMMYFUNCTION("IF(ISBLANK(A1597),IFERROR(1/0),IF(COUNT(FILTER(G:G,((A:A=A1597)*(B:B=""V""))))&gt;1,TRUNC(N1597*G1597/SUM(FILTER(N:N,((A:A=A1597)*(B:B=""V"")))),3),G1597))"),"")</f>
        <v/>
      </c>
      <c r="L1597" s="148" t="str">
        <f>IFERROR(__xludf.DUMMYFUNCTION("if($C1597="""","""",iferror(if(row()&lt;&gt;2,INDEX(arrayformula(filter($M$2:$M1596,$C$2:$C1596&lt;&gt;"""",row($C$2:$C1596)=max(if($C$2:$C1596=C1597,row($C$2:$C1596),0)))) ,1),0),0))"),"")</f>
        <v/>
      </c>
      <c r="M1597" s="148" t="str">
        <f t="shared" si="1"/>
        <v/>
      </c>
      <c r="N1597" s="147" t="str">
        <f t="shared" si="2"/>
        <v/>
      </c>
      <c r="O1597" s="147" t="str">
        <f t="shared" si="21"/>
        <v/>
      </c>
      <c r="P1597" s="147" t="str">
        <f>IFERROR(__xludf.DUMMYFUNCTION("if(C1597="""","""",iferror(if(row()&lt;&gt;2,INDEX(arrayformula(filter($Q$2:$Q1596,$C$2:$C1596&lt;&gt;"""",row($C$2:$C1596)=max(if($C$2:$C1596=C1597,row($C$2:$C1596),0)))) ,1),0),0))"),"")</f>
        <v/>
      </c>
      <c r="Q1597" s="147" t="str">
        <f t="shared" si="22"/>
        <v/>
      </c>
      <c r="R1597" s="147" t="str">
        <f t="shared" si="23"/>
        <v/>
      </c>
      <c r="S1597" s="147" t="str">
        <f t="shared" si="24"/>
        <v/>
      </c>
      <c r="T1597" s="147" t="str">
        <f t="shared" si="7"/>
        <v/>
      </c>
      <c r="U1597" s="150" t="str">
        <f t="shared" si="8"/>
        <v/>
      </c>
      <c r="V1597" s="151" t="str">
        <f>IFERROR(VLOOKUP(C1597,Ativos!$A$1:$G2000,5,),)</f>
        <v/>
      </c>
    </row>
    <row r="1598" ht="21.0" customHeight="1">
      <c r="A1598" s="152"/>
      <c r="B1598" s="160"/>
      <c r="C1598" s="153"/>
      <c r="D1598" s="154"/>
      <c r="E1598" s="139"/>
      <c r="F1598" s="139"/>
      <c r="G1598" s="139"/>
      <c r="H1598" s="135"/>
      <c r="I1598" s="141"/>
      <c r="J1598" s="147" t="str">
        <f>IFERROR(__xludf.DUMMYFUNCTION("IF(ISBLANK(A1598),IFERROR(1/0),IF(COUNT(FILTER(F:F,A:A=A1598))&gt;1,TRUNC(N1598*F1598/SUM(FILTER(N:N,A:A=A1598)),3),F1598))"),"")</f>
        <v/>
      </c>
      <c r="K1598" s="147" t="str">
        <f>IFERROR(__xludf.DUMMYFUNCTION("IF(ISBLANK(A1598),IFERROR(1/0),IF(COUNT(FILTER(G:G,((A:A=A1598)*(B:B=""V""))))&gt;1,TRUNC(N1598*G1598/SUM(FILTER(N:N,((A:A=A1598)*(B:B=""V"")))),3),G1598))"),"")</f>
        <v/>
      </c>
      <c r="L1598" s="148" t="str">
        <f>IFERROR(__xludf.DUMMYFUNCTION("if($C1598="""","""",iferror(if(row()&lt;&gt;2,INDEX(arrayformula(filter($M$2:$M1597,$C$2:$C1597&lt;&gt;"""",row($C$2:$C1597)=max(if($C$2:$C1597=C1598,row($C$2:$C1597),0)))) ,1),0),0))"),"")</f>
        <v/>
      </c>
      <c r="M1598" s="148" t="str">
        <f t="shared" si="1"/>
        <v/>
      </c>
      <c r="N1598" s="147" t="str">
        <f t="shared" si="2"/>
        <v/>
      </c>
      <c r="O1598" s="147" t="str">
        <f t="shared" si="21"/>
        <v/>
      </c>
      <c r="P1598" s="147" t="str">
        <f>IFERROR(__xludf.DUMMYFUNCTION("if(C1598="""","""",iferror(if(row()&lt;&gt;2,INDEX(arrayformula(filter($Q$2:$Q1597,$C$2:$C1597&lt;&gt;"""",row($C$2:$C1597)=max(if($C$2:$C1597=C1598,row($C$2:$C1597),0)))) ,1),0),0))"),"")</f>
        <v/>
      </c>
      <c r="Q1598" s="147" t="str">
        <f t="shared" si="22"/>
        <v/>
      </c>
      <c r="R1598" s="147" t="str">
        <f t="shared" si="23"/>
        <v/>
      </c>
      <c r="S1598" s="147" t="str">
        <f t="shared" si="24"/>
        <v/>
      </c>
      <c r="T1598" s="147" t="str">
        <f t="shared" si="7"/>
        <v/>
      </c>
      <c r="U1598" s="150" t="str">
        <f t="shared" si="8"/>
        <v/>
      </c>
      <c r="V1598" s="151" t="str">
        <f>IFERROR(VLOOKUP(C1598,Ativos!$A$1:$G2000,5,),)</f>
        <v/>
      </c>
    </row>
    <row r="1599" ht="21.0" customHeight="1">
      <c r="A1599" s="152"/>
      <c r="B1599" s="160"/>
      <c r="C1599" s="153"/>
      <c r="D1599" s="154"/>
      <c r="E1599" s="139"/>
      <c r="F1599" s="139"/>
      <c r="G1599" s="139"/>
      <c r="H1599" s="135"/>
      <c r="I1599" s="141"/>
      <c r="J1599" s="147" t="str">
        <f>IFERROR(__xludf.DUMMYFUNCTION("IF(ISBLANK(A1599),IFERROR(1/0),IF(COUNT(FILTER(F:F,A:A=A1599))&gt;1,TRUNC(N1599*F1599/SUM(FILTER(N:N,A:A=A1599)),3),F1599))"),"")</f>
        <v/>
      </c>
      <c r="K1599" s="147" t="str">
        <f>IFERROR(__xludf.DUMMYFUNCTION("IF(ISBLANK(A1599),IFERROR(1/0),IF(COUNT(FILTER(G:G,((A:A=A1599)*(B:B=""V""))))&gt;1,TRUNC(N1599*G1599/SUM(FILTER(N:N,((A:A=A1599)*(B:B=""V"")))),3),G1599))"),"")</f>
        <v/>
      </c>
      <c r="L1599" s="148" t="str">
        <f>IFERROR(__xludf.DUMMYFUNCTION("if($C1599="""","""",iferror(if(row()&lt;&gt;2,INDEX(arrayformula(filter($M$2:$M1598,$C$2:$C1598&lt;&gt;"""",row($C$2:$C1598)=max(if($C$2:$C1598=C1599,row($C$2:$C1598),0)))) ,1),0),0))"),"")</f>
        <v/>
      </c>
      <c r="M1599" s="148" t="str">
        <f t="shared" si="1"/>
        <v/>
      </c>
      <c r="N1599" s="147" t="str">
        <f t="shared" si="2"/>
        <v/>
      </c>
      <c r="O1599" s="147" t="str">
        <f t="shared" si="21"/>
        <v/>
      </c>
      <c r="P1599" s="147" t="str">
        <f>IFERROR(__xludf.DUMMYFUNCTION("if(C1599="""","""",iferror(if(row()&lt;&gt;2,INDEX(arrayformula(filter($Q$2:$Q1598,$C$2:$C1598&lt;&gt;"""",row($C$2:$C1598)=max(if($C$2:$C1598=C1599,row($C$2:$C1598),0)))) ,1),0),0))"),"")</f>
        <v/>
      </c>
      <c r="Q1599" s="147" t="str">
        <f t="shared" si="22"/>
        <v/>
      </c>
      <c r="R1599" s="147" t="str">
        <f t="shared" si="23"/>
        <v/>
      </c>
      <c r="S1599" s="147" t="str">
        <f t="shared" si="24"/>
        <v/>
      </c>
      <c r="T1599" s="147" t="str">
        <f t="shared" si="7"/>
        <v/>
      </c>
      <c r="U1599" s="150" t="str">
        <f t="shared" si="8"/>
        <v/>
      </c>
      <c r="V1599" s="151" t="str">
        <f>IFERROR(VLOOKUP(C1599,Ativos!$A$1:$G2000,5,),)</f>
        <v/>
      </c>
    </row>
    <row r="1600" ht="21.0" customHeight="1">
      <c r="A1600" s="152"/>
      <c r="B1600" s="160"/>
      <c r="C1600" s="153"/>
      <c r="D1600" s="154"/>
      <c r="E1600" s="139"/>
      <c r="F1600" s="139"/>
      <c r="G1600" s="139"/>
      <c r="H1600" s="135"/>
      <c r="I1600" s="141"/>
      <c r="J1600" s="147" t="str">
        <f>IFERROR(__xludf.DUMMYFUNCTION("IF(ISBLANK(A1600),IFERROR(1/0),IF(COUNT(FILTER(F:F,A:A=A1600))&gt;1,TRUNC(N1600*F1600/SUM(FILTER(N:N,A:A=A1600)),3),F1600))"),"")</f>
        <v/>
      </c>
      <c r="K1600" s="147" t="str">
        <f>IFERROR(__xludf.DUMMYFUNCTION("IF(ISBLANK(A1600),IFERROR(1/0),IF(COUNT(FILTER(G:G,((A:A=A1600)*(B:B=""V""))))&gt;1,TRUNC(N1600*G1600/SUM(FILTER(N:N,((A:A=A1600)*(B:B=""V"")))),3),G1600))"),"")</f>
        <v/>
      </c>
      <c r="L1600" s="148" t="str">
        <f>IFERROR(__xludf.DUMMYFUNCTION("if($C1600="""","""",iferror(if(row()&lt;&gt;2,INDEX(arrayformula(filter($M$2:$M1599,$C$2:$C1599&lt;&gt;"""",row($C$2:$C1599)=max(if($C$2:$C1599=C1600,row($C$2:$C1599),0)))) ,1),0),0))"),"")</f>
        <v/>
      </c>
      <c r="M1600" s="148" t="str">
        <f t="shared" si="1"/>
        <v/>
      </c>
      <c r="N1600" s="147" t="str">
        <f t="shared" si="2"/>
        <v/>
      </c>
      <c r="O1600" s="147" t="str">
        <f t="shared" si="21"/>
        <v/>
      </c>
      <c r="P1600" s="147" t="str">
        <f>IFERROR(__xludf.DUMMYFUNCTION("if(C1600="""","""",iferror(if(row()&lt;&gt;2,INDEX(arrayformula(filter($Q$2:$Q1599,$C$2:$C1599&lt;&gt;"""",row($C$2:$C1599)=max(if($C$2:$C1599=C1600,row($C$2:$C1599),0)))) ,1),0),0))"),"")</f>
        <v/>
      </c>
      <c r="Q1600" s="147" t="str">
        <f t="shared" si="22"/>
        <v/>
      </c>
      <c r="R1600" s="147" t="str">
        <f t="shared" si="23"/>
        <v/>
      </c>
      <c r="S1600" s="147" t="str">
        <f t="shared" si="24"/>
        <v/>
      </c>
      <c r="T1600" s="147" t="str">
        <f t="shared" si="7"/>
        <v/>
      </c>
      <c r="U1600" s="150" t="str">
        <f t="shared" si="8"/>
        <v/>
      </c>
      <c r="V1600" s="151" t="str">
        <f>IFERROR(VLOOKUP(C1600,Ativos!$A$1:$G2000,5,),)</f>
        <v/>
      </c>
    </row>
    <row r="1601" ht="21.0" customHeight="1">
      <c r="A1601" s="152"/>
      <c r="B1601" s="160"/>
      <c r="C1601" s="153"/>
      <c r="D1601" s="154"/>
      <c r="E1601" s="139"/>
      <c r="F1601" s="139"/>
      <c r="G1601" s="139"/>
      <c r="H1601" s="135"/>
      <c r="I1601" s="141"/>
      <c r="J1601" s="147" t="str">
        <f>IFERROR(__xludf.DUMMYFUNCTION("IF(ISBLANK(A1601),IFERROR(1/0),IF(COUNT(FILTER(F:F,A:A=A1601))&gt;1,TRUNC(N1601*F1601/SUM(FILTER(N:N,A:A=A1601)),3),F1601))"),"")</f>
        <v/>
      </c>
      <c r="K1601" s="147" t="str">
        <f>IFERROR(__xludf.DUMMYFUNCTION("IF(ISBLANK(A1601),IFERROR(1/0),IF(COUNT(FILTER(G:G,((A:A=A1601)*(B:B=""V""))))&gt;1,TRUNC(N1601*G1601/SUM(FILTER(N:N,((A:A=A1601)*(B:B=""V"")))),3),G1601))"),"")</f>
        <v/>
      </c>
      <c r="L1601" s="148" t="str">
        <f>IFERROR(__xludf.DUMMYFUNCTION("if($C1601="""","""",iferror(if(row()&lt;&gt;2,INDEX(arrayformula(filter($M$2:$M1600,$C$2:$C1600&lt;&gt;"""",row($C$2:$C1600)=max(if($C$2:$C1600=C1601,row($C$2:$C1600),0)))) ,1),0),0))"),"")</f>
        <v/>
      </c>
      <c r="M1601" s="148" t="str">
        <f t="shared" si="1"/>
        <v/>
      </c>
      <c r="N1601" s="147" t="str">
        <f t="shared" si="2"/>
        <v/>
      </c>
      <c r="O1601" s="147" t="str">
        <f t="shared" si="21"/>
        <v/>
      </c>
      <c r="P1601" s="147" t="str">
        <f>IFERROR(__xludf.DUMMYFUNCTION("if(C1601="""","""",iferror(if(row()&lt;&gt;2,INDEX(arrayformula(filter($Q$2:$Q1600,$C$2:$C1600&lt;&gt;"""",row($C$2:$C1600)=max(if($C$2:$C1600=C1601,row($C$2:$C1600),0)))) ,1),0),0))"),"")</f>
        <v/>
      </c>
      <c r="Q1601" s="147" t="str">
        <f t="shared" si="22"/>
        <v/>
      </c>
      <c r="R1601" s="147" t="str">
        <f t="shared" si="23"/>
        <v/>
      </c>
      <c r="S1601" s="147" t="str">
        <f t="shared" si="24"/>
        <v/>
      </c>
      <c r="T1601" s="147" t="str">
        <f t="shared" si="7"/>
        <v/>
      </c>
      <c r="U1601" s="150" t="str">
        <f t="shared" si="8"/>
        <v/>
      </c>
      <c r="V1601" s="151" t="str">
        <f>IFERROR(VLOOKUP(C1601,Ativos!$A$1:$G2000,5,),)</f>
        <v/>
      </c>
    </row>
    <row r="1602" ht="21.0" customHeight="1">
      <c r="A1602" s="152"/>
      <c r="B1602" s="160"/>
      <c r="C1602" s="153"/>
      <c r="D1602" s="154"/>
      <c r="E1602" s="139"/>
      <c r="F1602" s="139"/>
      <c r="G1602" s="139"/>
      <c r="H1602" s="135"/>
      <c r="I1602" s="141"/>
      <c r="J1602" s="147" t="str">
        <f>IFERROR(__xludf.DUMMYFUNCTION("IF(ISBLANK(A1602),IFERROR(1/0),IF(COUNT(FILTER(F:F,A:A=A1602))&gt;1,TRUNC(N1602*F1602/SUM(FILTER(N:N,A:A=A1602)),3),F1602))"),"")</f>
        <v/>
      </c>
      <c r="K1602" s="147" t="str">
        <f>IFERROR(__xludf.DUMMYFUNCTION("IF(ISBLANK(A1602),IFERROR(1/0),IF(COUNT(FILTER(G:G,((A:A=A1602)*(B:B=""V""))))&gt;1,TRUNC(N1602*G1602/SUM(FILTER(N:N,((A:A=A1602)*(B:B=""V"")))),3),G1602))"),"")</f>
        <v/>
      </c>
      <c r="L1602" s="148" t="str">
        <f>IFERROR(__xludf.DUMMYFUNCTION("if($C1602="""","""",iferror(if(row()&lt;&gt;2,INDEX(arrayformula(filter($M$2:$M1601,$C$2:$C1601&lt;&gt;"""",row($C$2:$C1601)=max(if($C$2:$C1601=C1602,row($C$2:$C1601),0)))) ,1),0),0))"),"")</f>
        <v/>
      </c>
      <c r="M1602" s="148" t="str">
        <f t="shared" si="1"/>
        <v/>
      </c>
      <c r="N1602" s="147" t="str">
        <f t="shared" si="2"/>
        <v/>
      </c>
      <c r="O1602" s="147" t="str">
        <f t="shared" si="21"/>
        <v/>
      </c>
      <c r="P1602" s="147" t="str">
        <f>IFERROR(__xludf.DUMMYFUNCTION("if(C1602="""","""",iferror(if(row()&lt;&gt;2,INDEX(arrayformula(filter($Q$2:$Q1601,$C$2:$C1601&lt;&gt;"""",row($C$2:$C1601)=max(if($C$2:$C1601=C1602,row($C$2:$C1601),0)))) ,1),0),0))"),"")</f>
        <v/>
      </c>
      <c r="Q1602" s="147" t="str">
        <f t="shared" si="22"/>
        <v/>
      </c>
      <c r="R1602" s="147" t="str">
        <f t="shared" si="23"/>
        <v/>
      </c>
      <c r="S1602" s="147" t="str">
        <f t="shared" si="24"/>
        <v/>
      </c>
      <c r="T1602" s="147" t="str">
        <f t="shared" si="7"/>
        <v/>
      </c>
      <c r="U1602" s="150" t="str">
        <f t="shared" si="8"/>
        <v/>
      </c>
      <c r="V1602" s="151" t="str">
        <f>IFERROR(VLOOKUP(C1602,Ativos!$A$1:$G2000,5,),)</f>
        <v/>
      </c>
    </row>
    <row r="1603" ht="21.0" customHeight="1">
      <c r="A1603" s="152"/>
      <c r="B1603" s="160"/>
      <c r="C1603" s="153"/>
      <c r="D1603" s="154"/>
      <c r="E1603" s="139"/>
      <c r="F1603" s="139"/>
      <c r="G1603" s="139"/>
      <c r="H1603" s="135"/>
      <c r="I1603" s="141"/>
      <c r="J1603" s="147" t="str">
        <f>IFERROR(__xludf.DUMMYFUNCTION("IF(ISBLANK(A1603),IFERROR(1/0),IF(COUNT(FILTER(F:F,A:A=A1603))&gt;1,TRUNC(N1603*F1603/SUM(FILTER(N:N,A:A=A1603)),3),F1603))"),"")</f>
        <v/>
      </c>
      <c r="K1603" s="147" t="str">
        <f>IFERROR(__xludf.DUMMYFUNCTION("IF(ISBLANK(A1603),IFERROR(1/0),IF(COUNT(FILTER(G:G,((A:A=A1603)*(B:B=""V""))))&gt;1,TRUNC(N1603*G1603/SUM(FILTER(N:N,((A:A=A1603)*(B:B=""V"")))),3),G1603))"),"")</f>
        <v/>
      </c>
      <c r="L1603" s="148" t="str">
        <f>IFERROR(__xludf.DUMMYFUNCTION("if($C1603="""","""",iferror(if(row()&lt;&gt;2,INDEX(arrayformula(filter($M$2:$M1602,$C$2:$C1602&lt;&gt;"""",row($C$2:$C1602)=max(if($C$2:$C1602=C1603,row($C$2:$C1602),0)))) ,1),0),0))"),"")</f>
        <v/>
      </c>
      <c r="M1603" s="148" t="str">
        <f t="shared" si="1"/>
        <v/>
      </c>
      <c r="N1603" s="147" t="str">
        <f t="shared" si="2"/>
        <v/>
      </c>
      <c r="O1603" s="147" t="str">
        <f t="shared" si="21"/>
        <v/>
      </c>
      <c r="P1603" s="147" t="str">
        <f>IFERROR(__xludf.DUMMYFUNCTION("if(C1603="""","""",iferror(if(row()&lt;&gt;2,INDEX(arrayformula(filter($Q$2:$Q1602,$C$2:$C1602&lt;&gt;"""",row($C$2:$C1602)=max(if($C$2:$C1602=C1603,row($C$2:$C1602),0)))) ,1),0),0))"),"")</f>
        <v/>
      </c>
      <c r="Q1603" s="147" t="str">
        <f t="shared" si="22"/>
        <v/>
      </c>
      <c r="R1603" s="147" t="str">
        <f t="shared" si="23"/>
        <v/>
      </c>
      <c r="S1603" s="147" t="str">
        <f t="shared" si="24"/>
        <v/>
      </c>
      <c r="T1603" s="147" t="str">
        <f t="shared" si="7"/>
        <v/>
      </c>
      <c r="U1603" s="150" t="str">
        <f t="shared" si="8"/>
        <v/>
      </c>
      <c r="V1603" s="151" t="str">
        <f>IFERROR(VLOOKUP(C1603,Ativos!$A$1:$G2000,5,),)</f>
        <v/>
      </c>
    </row>
    <row r="1604" ht="21.0" customHeight="1">
      <c r="A1604" s="152"/>
      <c r="B1604" s="160"/>
      <c r="C1604" s="153"/>
      <c r="D1604" s="154"/>
      <c r="E1604" s="139"/>
      <c r="F1604" s="139"/>
      <c r="G1604" s="139"/>
      <c r="H1604" s="135"/>
      <c r="I1604" s="141"/>
      <c r="J1604" s="147" t="str">
        <f>IFERROR(__xludf.DUMMYFUNCTION("IF(ISBLANK(A1604),IFERROR(1/0),IF(COUNT(FILTER(F:F,A:A=A1604))&gt;1,TRUNC(N1604*F1604/SUM(FILTER(N:N,A:A=A1604)),3),F1604))"),"")</f>
        <v/>
      </c>
      <c r="K1604" s="147" t="str">
        <f>IFERROR(__xludf.DUMMYFUNCTION("IF(ISBLANK(A1604),IFERROR(1/0),IF(COUNT(FILTER(G:G,((A:A=A1604)*(B:B=""V""))))&gt;1,TRUNC(N1604*G1604/SUM(FILTER(N:N,((A:A=A1604)*(B:B=""V"")))),3),G1604))"),"")</f>
        <v/>
      </c>
      <c r="L1604" s="148" t="str">
        <f>IFERROR(__xludf.DUMMYFUNCTION("if($C1604="""","""",iferror(if(row()&lt;&gt;2,INDEX(arrayformula(filter($M$2:$M1603,$C$2:$C1603&lt;&gt;"""",row($C$2:$C1603)=max(if($C$2:$C1603=C1604,row($C$2:$C1603),0)))) ,1),0),0))"),"")</f>
        <v/>
      </c>
      <c r="M1604" s="148" t="str">
        <f t="shared" si="1"/>
        <v/>
      </c>
      <c r="N1604" s="147" t="str">
        <f t="shared" si="2"/>
        <v/>
      </c>
      <c r="O1604" s="147" t="str">
        <f t="shared" si="21"/>
        <v/>
      </c>
      <c r="P1604" s="147" t="str">
        <f>IFERROR(__xludf.DUMMYFUNCTION("if(C1604="""","""",iferror(if(row()&lt;&gt;2,INDEX(arrayformula(filter($Q$2:$Q1603,$C$2:$C1603&lt;&gt;"""",row($C$2:$C1603)=max(if($C$2:$C1603=C1604,row($C$2:$C1603),0)))) ,1),0),0))"),"")</f>
        <v/>
      </c>
      <c r="Q1604" s="147" t="str">
        <f t="shared" si="22"/>
        <v/>
      </c>
      <c r="R1604" s="147" t="str">
        <f t="shared" si="23"/>
        <v/>
      </c>
      <c r="S1604" s="147" t="str">
        <f t="shared" si="24"/>
        <v/>
      </c>
      <c r="T1604" s="147" t="str">
        <f t="shared" si="7"/>
        <v/>
      </c>
      <c r="U1604" s="150" t="str">
        <f t="shared" si="8"/>
        <v/>
      </c>
      <c r="V1604" s="151" t="str">
        <f>IFERROR(VLOOKUP(C1604,Ativos!$A$1:$G2000,5,),)</f>
        <v/>
      </c>
    </row>
    <row r="1605" ht="21.0" customHeight="1">
      <c r="A1605" s="152"/>
      <c r="B1605" s="160"/>
      <c r="C1605" s="153"/>
      <c r="D1605" s="154"/>
      <c r="E1605" s="139"/>
      <c r="F1605" s="139"/>
      <c r="G1605" s="139"/>
      <c r="H1605" s="135"/>
      <c r="I1605" s="141"/>
      <c r="J1605" s="147" t="str">
        <f>IFERROR(__xludf.DUMMYFUNCTION("IF(ISBLANK(A1605),IFERROR(1/0),IF(COUNT(FILTER(F:F,A:A=A1605))&gt;1,TRUNC(N1605*F1605/SUM(FILTER(N:N,A:A=A1605)),3),F1605))"),"")</f>
        <v/>
      </c>
      <c r="K1605" s="147" t="str">
        <f>IFERROR(__xludf.DUMMYFUNCTION("IF(ISBLANK(A1605),IFERROR(1/0),IF(COUNT(FILTER(G:G,((A:A=A1605)*(B:B=""V""))))&gt;1,TRUNC(N1605*G1605/SUM(FILTER(N:N,((A:A=A1605)*(B:B=""V"")))),3),G1605))"),"")</f>
        <v/>
      </c>
      <c r="L1605" s="148" t="str">
        <f>IFERROR(__xludf.DUMMYFUNCTION("if($C1605="""","""",iferror(if(row()&lt;&gt;2,INDEX(arrayformula(filter($M$2:$M1604,$C$2:$C1604&lt;&gt;"""",row($C$2:$C1604)=max(if($C$2:$C1604=C1605,row($C$2:$C1604),0)))) ,1),0),0))"),"")</f>
        <v/>
      </c>
      <c r="M1605" s="148" t="str">
        <f t="shared" si="1"/>
        <v/>
      </c>
      <c r="N1605" s="147" t="str">
        <f t="shared" si="2"/>
        <v/>
      </c>
      <c r="O1605" s="147" t="str">
        <f t="shared" si="21"/>
        <v/>
      </c>
      <c r="P1605" s="147" t="str">
        <f>IFERROR(__xludf.DUMMYFUNCTION("if(C1605="""","""",iferror(if(row()&lt;&gt;2,INDEX(arrayformula(filter($Q$2:$Q1604,$C$2:$C1604&lt;&gt;"""",row($C$2:$C1604)=max(if($C$2:$C1604=C1605,row($C$2:$C1604),0)))) ,1),0),0))"),"")</f>
        <v/>
      </c>
      <c r="Q1605" s="147" t="str">
        <f t="shared" si="22"/>
        <v/>
      </c>
      <c r="R1605" s="147" t="str">
        <f t="shared" si="23"/>
        <v/>
      </c>
      <c r="S1605" s="147" t="str">
        <f t="shared" si="24"/>
        <v/>
      </c>
      <c r="T1605" s="147" t="str">
        <f t="shared" si="7"/>
        <v/>
      </c>
      <c r="U1605" s="150" t="str">
        <f t="shared" si="8"/>
        <v/>
      </c>
      <c r="V1605" s="151" t="str">
        <f>IFERROR(VLOOKUP(C1605,Ativos!$A$1:$G2000,5,),)</f>
        <v/>
      </c>
    </row>
    <row r="1606" ht="21.0" customHeight="1">
      <c r="A1606" s="152"/>
      <c r="B1606" s="160"/>
      <c r="C1606" s="153"/>
      <c r="D1606" s="154"/>
      <c r="E1606" s="139"/>
      <c r="F1606" s="139"/>
      <c r="G1606" s="139"/>
      <c r="H1606" s="135"/>
      <c r="I1606" s="141"/>
      <c r="J1606" s="147" t="str">
        <f>IFERROR(__xludf.DUMMYFUNCTION("IF(ISBLANK(A1606),IFERROR(1/0),IF(COUNT(FILTER(F:F,A:A=A1606))&gt;1,TRUNC(N1606*F1606/SUM(FILTER(N:N,A:A=A1606)),3),F1606))"),"")</f>
        <v/>
      </c>
      <c r="K1606" s="147" t="str">
        <f>IFERROR(__xludf.DUMMYFUNCTION("IF(ISBLANK(A1606),IFERROR(1/0),IF(COUNT(FILTER(G:G,((A:A=A1606)*(B:B=""V""))))&gt;1,TRUNC(N1606*G1606/SUM(FILTER(N:N,((A:A=A1606)*(B:B=""V"")))),3),G1606))"),"")</f>
        <v/>
      </c>
      <c r="L1606" s="148" t="str">
        <f>IFERROR(__xludf.DUMMYFUNCTION("if($C1606="""","""",iferror(if(row()&lt;&gt;2,INDEX(arrayformula(filter($M$2:$M1605,$C$2:$C1605&lt;&gt;"""",row($C$2:$C1605)=max(if($C$2:$C1605=C1606,row($C$2:$C1605),0)))) ,1),0),0))"),"")</f>
        <v/>
      </c>
      <c r="M1606" s="148" t="str">
        <f t="shared" si="1"/>
        <v/>
      </c>
      <c r="N1606" s="147" t="str">
        <f t="shared" si="2"/>
        <v/>
      </c>
      <c r="O1606" s="147" t="str">
        <f t="shared" si="21"/>
        <v/>
      </c>
      <c r="P1606" s="147" t="str">
        <f>IFERROR(__xludf.DUMMYFUNCTION("if(C1606="""","""",iferror(if(row()&lt;&gt;2,INDEX(arrayformula(filter($Q$2:$Q1605,$C$2:$C1605&lt;&gt;"""",row($C$2:$C1605)=max(if($C$2:$C1605=C1606,row($C$2:$C1605),0)))) ,1),0),0))"),"")</f>
        <v/>
      </c>
      <c r="Q1606" s="147" t="str">
        <f t="shared" si="22"/>
        <v/>
      </c>
      <c r="R1606" s="147" t="str">
        <f t="shared" si="23"/>
        <v/>
      </c>
      <c r="S1606" s="147" t="str">
        <f t="shared" si="24"/>
        <v/>
      </c>
      <c r="T1606" s="147" t="str">
        <f t="shared" si="7"/>
        <v/>
      </c>
      <c r="U1606" s="150" t="str">
        <f t="shared" si="8"/>
        <v/>
      </c>
      <c r="V1606" s="151" t="str">
        <f>IFERROR(VLOOKUP(C1606,Ativos!$A$1:$G2000,5,),)</f>
        <v/>
      </c>
    </row>
    <row r="1607" ht="21.0" customHeight="1">
      <c r="A1607" s="152"/>
      <c r="B1607" s="160"/>
      <c r="C1607" s="153"/>
      <c r="D1607" s="154"/>
      <c r="E1607" s="139"/>
      <c r="F1607" s="139"/>
      <c r="G1607" s="139"/>
      <c r="H1607" s="135"/>
      <c r="I1607" s="141"/>
      <c r="J1607" s="147" t="str">
        <f>IFERROR(__xludf.DUMMYFUNCTION("IF(ISBLANK(A1607),IFERROR(1/0),IF(COUNT(FILTER(F:F,A:A=A1607))&gt;1,TRUNC(N1607*F1607/SUM(FILTER(N:N,A:A=A1607)),3),F1607))"),"")</f>
        <v/>
      </c>
      <c r="K1607" s="147" t="str">
        <f>IFERROR(__xludf.DUMMYFUNCTION("IF(ISBLANK(A1607),IFERROR(1/0),IF(COUNT(FILTER(G:G,((A:A=A1607)*(B:B=""V""))))&gt;1,TRUNC(N1607*G1607/SUM(FILTER(N:N,((A:A=A1607)*(B:B=""V"")))),3),G1607))"),"")</f>
        <v/>
      </c>
      <c r="L1607" s="148" t="str">
        <f>IFERROR(__xludf.DUMMYFUNCTION("if($C1607="""","""",iferror(if(row()&lt;&gt;2,INDEX(arrayformula(filter($M$2:$M1606,$C$2:$C1606&lt;&gt;"""",row($C$2:$C1606)=max(if($C$2:$C1606=C1607,row($C$2:$C1606),0)))) ,1),0),0))"),"")</f>
        <v/>
      </c>
      <c r="M1607" s="148" t="str">
        <f t="shared" si="1"/>
        <v/>
      </c>
      <c r="N1607" s="147" t="str">
        <f t="shared" si="2"/>
        <v/>
      </c>
      <c r="O1607" s="147" t="str">
        <f t="shared" si="21"/>
        <v/>
      </c>
      <c r="P1607" s="147" t="str">
        <f>IFERROR(__xludf.DUMMYFUNCTION("if(C1607="""","""",iferror(if(row()&lt;&gt;2,INDEX(arrayformula(filter($Q$2:$Q1606,$C$2:$C1606&lt;&gt;"""",row($C$2:$C1606)=max(if($C$2:$C1606=C1607,row($C$2:$C1606),0)))) ,1),0),0))"),"")</f>
        <v/>
      </c>
      <c r="Q1607" s="147" t="str">
        <f t="shared" si="22"/>
        <v/>
      </c>
      <c r="R1607" s="147" t="str">
        <f t="shared" si="23"/>
        <v/>
      </c>
      <c r="S1607" s="147" t="str">
        <f t="shared" si="24"/>
        <v/>
      </c>
      <c r="T1607" s="147" t="str">
        <f t="shared" si="7"/>
        <v/>
      </c>
      <c r="U1607" s="150" t="str">
        <f t="shared" si="8"/>
        <v/>
      </c>
      <c r="V1607" s="151" t="str">
        <f>IFERROR(VLOOKUP(C1607,Ativos!$A$1:$G2000,5,),)</f>
        <v/>
      </c>
    </row>
    <row r="1608" ht="21.0" customHeight="1">
      <c r="A1608" s="152"/>
      <c r="B1608" s="160"/>
      <c r="C1608" s="153"/>
      <c r="D1608" s="154"/>
      <c r="E1608" s="139"/>
      <c r="F1608" s="139"/>
      <c r="G1608" s="139"/>
      <c r="H1608" s="135"/>
      <c r="I1608" s="141"/>
      <c r="J1608" s="147" t="str">
        <f>IFERROR(__xludf.DUMMYFUNCTION("IF(ISBLANK(A1608),IFERROR(1/0),IF(COUNT(FILTER(F:F,A:A=A1608))&gt;1,TRUNC(N1608*F1608/SUM(FILTER(N:N,A:A=A1608)),3),F1608))"),"")</f>
        <v/>
      </c>
      <c r="K1608" s="147" t="str">
        <f>IFERROR(__xludf.DUMMYFUNCTION("IF(ISBLANK(A1608),IFERROR(1/0),IF(COUNT(FILTER(G:G,((A:A=A1608)*(B:B=""V""))))&gt;1,TRUNC(N1608*G1608/SUM(FILTER(N:N,((A:A=A1608)*(B:B=""V"")))),3),G1608))"),"")</f>
        <v/>
      </c>
      <c r="L1608" s="148" t="str">
        <f>IFERROR(__xludf.DUMMYFUNCTION("if($C1608="""","""",iferror(if(row()&lt;&gt;2,INDEX(arrayformula(filter($M$2:$M1607,$C$2:$C1607&lt;&gt;"""",row($C$2:$C1607)=max(if($C$2:$C1607=C1608,row($C$2:$C1607),0)))) ,1),0),0))"),"")</f>
        <v/>
      </c>
      <c r="M1608" s="148" t="str">
        <f t="shared" si="1"/>
        <v/>
      </c>
      <c r="N1608" s="147" t="str">
        <f t="shared" si="2"/>
        <v/>
      </c>
      <c r="O1608" s="147" t="str">
        <f t="shared" si="21"/>
        <v/>
      </c>
      <c r="P1608" s="147" t="str">
        <f>IFERROR(__xludf.DUMMYFUNCTION("if(C1608="""","""",iferror(if(row()&lt;&gt;2,INDEX(arrayformula(filter($Q$2:$Q1607,$C$2:$C1607&lt;&gt;"""",row($C$2:$C1607)=max(if($C$2:$C1607=C1608,row($C$2:$C1607),0)))) ,1),0),0))"),"")</f>
        <v/>
      </c>
      <c r="Q1608" s="147" t="str">
        <f t="shared" si="22"/>
        <v/>
      </c>
      <c r="R1608" s="147" t="str">
        <f t="shared" si="23"/>
        <v/>
      </c>
      <c r="S1608" s="147" t="str">
        <f t="shared" si="24"/>
        <v/>
      </c>
      <c r="T1608" s="147" t="str">
        <f t="shared" si="7"/>
        <v/>
      </c>
      <c r="U1608" s="150" t="str">
        <f t="shared" si="8"/>
        <v/>
      </c>
      <c r="V1608" s="151" t="str">
        <f>IFERROR(VLOOKUP(C1608,Ativos!$A$1:$G2000,5,),)</f>
        <v/>
      </c>
    </row>
    <row r="1609" ht="21.0" customHeight="1">
      <c r="A1609" s="152"/>
      <c r="B1609" s="160"/>
      <c r="C1609" s="153"/>
      <c r="D1609" s="154"/>
      <c r="E1609" s="139"/>
      <c r="F1609" s="139"/>
      <c r="G1609" s="139"/>
      <c r="H1609" s="135"/>
      <c r="I1609" s="141"/>
      <c r="J1609" s="147" t="str">
        <f>IFERROR(__xludf.DUMMYFUNCTION("IF(ISBLANK(A1609),IFERROR(1/0),IF(COUNT(FILTER(F:F,A:A=A1609))&gt;1,TRUNC(N1609*F1609/SUM(FILTER(N:N,A:A=A1609)),3),F1609))"),"")</f>
        <v/>
      </c>
      <c r="K1609" s="147" t="str">
        <f>IFERROR(__xludf.DUMMYFUNCTION("IF(ISBLANK(A1609),IFERROR(1/0),IF(COUNT(FILTER(G:G,((A:A=A1609)*(B:B=""V""))))&gt;1,TRUNC(N1609*G1609/SUM(FILTER(N:N,((A:A=A1609)*(B:B=""V"")))),3),G1609))"),"")</f>
        <v/>
      </c>
      <c r="L1609" s="148" t="str">
        <f>IFERROR(__xludf.DUMMYFUNCTION("if($C1609="""","""",iferror(if(row()&lt;&gt;2,INDEX(arrayformula(filter($M$2:$M1608,$C$2:$C1608&lt;&gt;"""",row($C$2:$C1608)=max(if($C$2:$C1608=C1609,row($C$2:$C1608),0)))) ,1),0),0))"),"")</f>
        <v/>
      </c>
      <c r="M1609" s="148" t="str">
        <f t="shared" si="1"/>
        <v/>
      </c>
      <c r="N1609" s="147" t="str">
        <f t="shared" si="2"/>
        <v/>
      </c>
      <c r="O1609" s="147" t="str">
        <f t="shared" si="21"/>
        <v/>
      </c>
      <c r="P1609" s="147" t="str">
        <f>IFERROR(__xludf.DUMMYFUNCTION("if(C1609="""","""",iferror(if(row()&lt;&gt;2,INDEX(arrayformula(filter($Q$2:$Q1608,$C$2:$C1608&lt;&gt;"""",row($C$2:$C1608)=max(if($C$2:$C1608=C1609,row($C$2:$C1608),0)))) ,1),0),0))"),"")</f>
        <v/>
      </c>
      <c r="Q1609" s="147" t="str">
        <f t="shared" si="22"/>
        <v/>
      </c>
      <c r="R1609" s="147" t="str">
        <f t="shared" si="23"/>
        <v/>
      </c>
      <c r="S1609" s="147" t="str">
        <f t="shared" si="24"/>
        <v/>
      </c>
      <c r="T1609" s="147" t="str">
        <f t="shared" si="7"/>
        <v/>
      </c>
      <c r="U1609" s="150" t="str">
        <f t="shared" si="8"/>
        <v/>
      </c>
      <c r="V1609" s="151" t="str">
        <f>IFERROR(VLOOKUP(C1609,Ativos!$A$1:$G2000,5,),)</f>
        <v/>
      </c>
    </row>
    <row r="1610" ht="21.0" customHeight="1">
      <c r="A1610" s="152"/>
      <c r="B1610" s="160"/>
      <c r="C1610" s="153"/>
      <c r="D1610" s="154"/>
      <c r="E1610" s="139"/>
      <c r="F1610" s="139"/>
      <c r="G1610" s="139"/>
      <c r="H1610" s="135"/>
      <c r="I1610" s="141"/>
      <c r="J1610" s="147" t="str">
        <f>IFERROR(__xludf.DUMMYFUNCTION("IF(ISBLANK(A1610),IFERROR(1/0),IF(COUNT(FILTER(F:F,A:A=A1610))&gt;1,TRUNC(N1610*F1610/SUM(FILTER(N:N,A:A=A1610)),3),F1610))"),"")</f>
        <v/>
      </c>
      <c r="K1610" s="147" t="str">
        <f>IFERROR(__xludf.DUMMYFUNCTION("IF(ISBLANK(A1610),IFERROR(1/0),IF(COUNT(FILTER(G:G,((A:A=A1610)*(B:B=""V""))))&gt;1,TRUNC(N1610*G1610/SUM(FILTER(N:N,((A:A=A1610)*(B:B=""V"")))),3),G1610))"),"")</f>
        <v/>
      </c>
      <c r="L1610" s="148" t="str">
        <f>IFERROR(__xludf.DUMMYFUNCTION("if($C1610="""","""",iferror(if(row()&lt;&gt;2,INDEX(arrayformula(filter($M$2:$M1609,$C$2:$C1609&lt;&gt;"""",row($C$2:$C1609)=max(if($C$2:$C1609=C1610,row($C$2:$C1609),0)))) ,1),0),0))"),"")</f>
        <v/>
      </c>
      <c r="M1610" s="148" t="str">
        <f t="shared" si="1"/>
        <v/>
      </c>
      <c r="N1610" s="147" t="str">
        <f t="shared" si="2"/>
        <v/>
      </c>
      <c r="O1610" s="147" t="str">
        <f t="shared" si="21"/>
        <v/>
      </c>
      <c r="P1610" s="147" t="str">
        <f>IFERROR(__xludf.DUMMYFUNCTION("if(C1610="""","""",iferror(if(row()&lt;&gt;2,INDEX(arrayformula(filter($Q$2:$Q1609,$C$2:$C1609&lt;&gt;"""",row($C$2:$C1609)=max(if($C$2:$C1609=C1610,row($C$2:$C1609),0)))) ,1),0),0))"),"")</f>
        <v/>
      </c>
      <c r="Q1610" s="147" t="str">
        <f t="shared" si="22"/>
        <v/>
      </c>
      <c r="R1610" s="147" t="str">
        <f t="shared" si="23"/>
        <v/>
      </c>
      <c r="S1610" s="147" t="str">
        <f t="shared" si="24"/>
        <v/>
      </c>
      <c r="T1610" s="147" t="str">
        <f t="shared" si="7"/>
        <v/>
      </c>
      <c r="U1610" s="150" t="str">
        <f t="shared" si="8"/>
        <v/>
      </c>
      <c r="V1610" s="151" t="str">
        <f>IFERROR(VLOOKUP(C1610,Ativos!$A$1:$G2000,5,),)</f>
        <v/>
      </c>
    </row>
    <row r="1611" ht="21.0" customHeight="1">
      <c r="A1611" s="152"/>
      <c r="B1611" s="160"/>
      <c r="C1611" s="153"/>
      <c r="D1611" s="154"/>
      <c r="E1611" s="139"/>
      <c r="F1611" s="139"/>
      <c r="G1611" s="139"/>
      <c r="H1611" s="135"/>
      <c r="I1611" s="141"/>
      <c r="J1611" s="147" t="str">
        <f>IFERROR(__xludf.DUMMYFUNCTION("IF(ISBLANK(A1611),IFERROR(1/0),IF(COUNT(FILTER(F:F,A:A=A1611))&gt;1,TRUNC(N1611*F1611/SUM(FILTER(N:N,A:A=A1611)),3),F1611))"),"")</f>
        <v/>
      </c>
      <c r="K1611" s="147" t="str">
        <f>IFERROR(__xludf.DUMMYFUNCTION("IF(ISBLANK(A1611),IFERROR(1/0),IF(COUNT(FILTER(G:G,((A:A=A1611)*(B:B=""V""))))&gt;1,TRUNC(N1611*G1611/SUM(FILTER(N:N,((A:A=A1611)*(B:B=""V"")))),3),G1611))"),"")</f>
        <v/>
      </c>
      <c r="L1611" s="148" t="str">
        <f>IFERROR(__xludf.DUMMYFUNCTION("if($C1611="""","""",iferror(if(row()&lt;&gt;2,INDEX(arrayformula(filter($M$2:$M1610,$C$2:$C1610&lt;&gt;"""",row($C$2:$C1610)=max(if($C$2:$C1610=C1611,row($C$2:$C1610),0)))) ,1),0),0))"),"")</f>
        <v/>
      </c>
      <c r="M1611" s="148" t="str">
        <f t="shared" si="1"/>
        <v/>
      </c>
      <c r="N1611" s="147" t="str">
        <f t="shared" si="2"/>
        <v/>
      </c>
      <c r="O1611" s="147" t="str">
        <f t="shared" si="21"/>
        <v/>
      </c>
      <c r="P1611" s="147" t="str">
        <f>IFERROR(__xludf.DUMMYFUNCTION("if(C1611="""","""",iferror(if(row()&lt;&gt;2,INDEX(arrayformula(filter($Q$2:$Q1610,$C$2:$C1610&lt;&gt;"""",row($C$2:$C1610)=max(if($C$2:$C1610=C1611,row($C$2:$C1610),0)))) ,1),0),0))"),"")</f>
        <v/>
      </c>
      <c r="Q1611" s="147" t="str">
        <f t="shared" si="22"/>
        <v/>
      </c>
      <c r="R1611" s="147" t="str">
        <f t="shared" si="23"/>
        <v/>
      </c>
      <c r="S1611" s="147" t="str">
        <f t="shared" si="24"/>
        <v/>
      </c>
      <c r="T1611" s="147" t="str">
        <f t="shared" si="7"/>
        <v/>
      </c>
      <c r="U1611" s="150" t="str">
        <f t="shared" si="8"/>
        <v/>
      </c>
      <c r="V1611" s="151" t="str">
        <f>IFERROR(VLOOKUP(C1611,Ativos!$A$1:$G2000,5,),)</f>
        <v/>
      </c>
    </row>
    <row r="1612" ht="21.0" customHeight="1">
      <c r="A1612" s="152"/>
      <c r="B1612" s="160"/>
      <c r="C1612" s="153"/>
      <c r="D1612" s="154"/>
      <c r="E1612" s="139"/>
      <c r="F1612" s="139"/>
      <c r="G1612" s="139"/>
      <c r="H1612" s="135"/>
      <c r="I1612" s="141"/>
      <c r="J1612" s="147" t="str">
        <f>IFERROR(__xludf.DUMMYFUNCTION("IF(ISBLANK(A1612),IFERROR(1/0),IF(COUNT(FILTER(F:F,A:A=A1612))&gt;1,TRUNC(N1612*F1612/SUM(FILTER(N:N,A:A=A1612)),3),F1612))"),"")</f>
        <v/>
      </c>
      <c r="K1612" s="147" t="str">
        <f>IFERROR(__xludf.DUMMYFUNCTION("IF(ISBLANK(A1612),IFERROR(1/0),IF(COUNT(FILTER(G:G,((A:A=A1612)*(B:B=""V""))))&gt;1,TRUNC(N1612*G1612/SUM(FILTER(N:N,((A:A=A1612)*(B:B=""V"")))),3),G1612))"),"")</f>
        <v/>
      </c>
      <c r="L1612" s="148" t="str">
        <f>IFERROR(__xludf.DUMMYFUNCTION("if($C1612="""","""",iferror(if(row()&lt;&gt;2,INDEX(arrayformula(filter($M$2:$M1611,$C$2:$C1611&lt;&gt;"""",row($C$2:$C1611)=max(if($C$2:$C1611=C1612,row($C$2:$C1611),0)))) ,1),0),0))"),"")</f>
        <v/>
      </c>
      <c r="M1612" s="148" t="str">
        <f t="shared" si="1"/>
        <v/>
      </c>
      <c r="N1612" s="147" t="str">
        <f t="shared" si="2"/>
        <v/>
      </c>
      <c r="O1612" s="147" t="str">
        <f t="shared" si="21"/>
        <v/>
      </c>
      <c r="P1612" s="147" t="str">
        <f>IFERROR(__xludf.DUMMYFUNCTION("if(C1612="""","""",iferror(if(row()&lt;&gt;2,INDEX(arrayformula(filter($Q$2:$Q1611,$C$2:$C1611&lt;&gt;"""",row($C$2:$C1611)=max(if($C$2:$C1611=C1612,row($C$2:$C1611),0)))) ,1),0),0))"),"")</f>
        <v/>
      </c>
      <c r="Q1612" s="147" t="str">
        <f t="shared" si="22"/>
        <v/>
      </c>
      <c r="R1612" s="147" t="str">
        <f t="shared" si="23"/>
        <v/>
      </c>
      <c r="S1612" s="147" t="str">
        <f t="shared" si="24"/>
        <v/>
      </c>
      <c r="T1612" s="147" t="str">
        <f t="shared" si="7"/>
        <v/>
      </c>
      <c r="U1612" s="150" t="str">
        <f t="shared" si="8"/>
        <v/>
      </c>
      <c r="V1612" s="151" t="str">
        <f>IFERROR(VLOOKUP(C1612,Ativos!$A$1:$G2000,5,),)</f>
        <v/>
      </c>
    </row>
    <row r="1613" ht="21.0" customHeight="1">
      <c r="A1613" s="152"/>
      <c r="B1613" s="160"/>
      <c r="C1613" s="153"/>
      <c r="D1613" s="154"/>
      <c r="E1613" s="139"/>
      <c r="F1613" s="139"/>
      <c r="G1613" s="139"/>
      <c r="H1613" s="135"/>
      <c r="I1613" s="141"/>
      <c r="J1613" s="147" t="str">
        <f>IFERROR(__xludf.DUMMYFUNCTION("IF(ISBLANK(A1613),IFERROR(1/0),IF(COUNT(FILTER(F:F,A:A=A1613))&gt;1,TRUNC(N1613*F1613/SUM(FILTER(N:N,A:A=A1613)),3),F1613))"),"")</f>
        <v/>
      </c>
      <c r="K1613" s="147" t="str">
        <f>IFERROR(__xludf.DUMMYFUNCTION("IF(ISBLANK(A1613),IFERROR(1/0),IF(COUNT(FILTER(G:G,((A:A=A1613)*(B:B=""V""))))&gt;1,TRUNC(N1613*G1613/SUM(FILTER(N:N,((A:A=A1613)*(B:B=""V"")))),3),G1613))"),"")</f>
        <v/>
      </c>
      <c r="L1613" s="148" t="str">
        <f>IFERROR(__xludf.DUMMYFUNCTION("if($C1613="""","""",iferror(if(row()&lt;&gt;2,INDEX(arrayformula(filter($M$2:$M1612,$C$2:$C1612&lt;&gt;"""",row($C$2:$C1612)=max(if($C$2:$C1612=C1613,row($C$2:$C1612),0)))) ,1),0),0))"),"")</f>
        <v/>
      </c>
      <c r="M1613" s="148" t="str">
        <f t="shared" si="1"/>
        <v/>
      </c>
      <c r="N1613" s="147" t="str">
        <f t="shared" si="2"/>
        <v/>
      </c>
      <c r="O1613" s="147" t="str">
        <f t="shared" si="21"/>
        <v/>
      </c>
      <c r="P1613" s="147" t="str">
        <f>IFERROR(__xludf.DUMMYFUNCTION("if(C1613="""","""",iferror(if(row()&lt;&gt;2,INDEX(arrayformula(filter($Q$2:$Q1612,$C$2:$C1612&lt;&gt;"""",row($C$2:$C1612)=max(if($C$2:$C1612=C1613,row($C$2:$C1612),0)))) ,1),0),0))"),"")</f>
        <v/>
      </c>
      <c r="Q1613" s="147" t="str">
        <f t="shared" si="22"/>
        <v/>
      </c>
      <c r="R1613" s="147" t="str">
        <f t="shared" si="23"/>
        <v/>
      </c>
      <c r="S1613" s="147" t="str">
        <f t="shared" si="24"/>
        <v/>
      </c>
      <c r="T1613" s="147" t="str">
        <f t="shared" si="7"/>
        <v/>
      </c>
      <c r="U1613" s="150" t="str">
        <f t="shared" si="8"/>
        <v/>
      </c>
      <c r="V1613" s="151" t="str">
        <f>IFERROR(VLOOKUP(C1613,Ativos!$A$1:$G2000,5,),)</f>
        <v/>
      </c>
    </row>
    <row r="1614" ht="21.0" customHeight="1">
      <c r="A1614" s="152"/>
      <c r="B1614" s="160"/>
      <c r="C1614" s="153"/>
      <c r="D1614" s="154"/>
      <c r="E1614" s="139"/>
      <c r="F1614" s="139"/>
      <c r="G1614" s="139"/>
      <c r="H1614" s="135"/>
      <c r="I1614" s="141"/>
      <c r="J1614" s="147" t="str">
        <f>IFERROR(__xludf.DUMMYFUNCTION("IF(ISBLANK(A1614),IFERROR(1/0),IF(COUNT(FILTER(F:F,A:A=A1614))&gt;1,TRUNC(N1614*F1614/SUM(FILTER(N:N,A:A=A1614)),3),F1614))"),"")</f>
        <v/>
      </c>
      <c r="K1614" s="147" t="str">
        <f>IFERROR(__xludf.DUMMYFUNCTION("IF(ISBLANK(A1614),IFERROR(1/0),IF(COUNT(FILTER(G:G,((A:A=A1614)*(B:B=""V""))))&gt;1,TRUNC(N1614*G1614/SUM(FILTER(N:N,((A:A=A1614)*(B:B=""V"")))),3),G1614))"),"")</f>
        <v/>
      </c>
      <c r="L1614" s="148" t="str">
        <f>IFERROR(__xludf.DUMMYFUNCTION("if($C1614="""","""",iferror(if(row()&lt;&gt;2,INDEX(arrayformula(filter($M$2:$M1613,$C$2:$C1613&lt;&gt;"""",row($C$2:$C1613)=max(if($C$2:$C1613=C1614,row($C$2:$C1613),0)))) ,1),0),0))"),"")</f>
        <v/>
      </c>
      <c r="M1614" s="148" t="str">
        <f t="shared" si="1"/>
        <v/>
      </c>
      <c r="N1614" s="147" t="str">
        <f t="shared" si="2"/>
        <v/>
      </c>
      <c r="O1614" s="147" t="str">
        <f t="shared" si="21"/>
        <v/>
      </c>
      <c r="P1614" s="147" t="str">
        <f>IFERROR(__xludf.DUMMYFUNCTION("if(C1614="""","""",iferror(if(row()&lt;&gt;2,INDEX(arrayformula(filter($Q$2:$Q1613,$C$2:$C1613&lt;&gt;"""",row($C$2:$C1613)=max(if($C$2:$C1613=C1614,row($C$2:$C1613),0)))) ,1),0),0))"),"")</f>
        <v/>
      </c>
      <c r="Q1614" s="147" t="str">
        <f t="shared" si="22"/>
        <v/>
      </c>
      <c r="R1614" s="147" t="str">
        <f t="shared" si="23"/>
        <v/>
      </c>
      <c r="S1614" s="147" t="str">
        <f t="shared" si="24"/>
        <v/>
      </c>
      <c r="T1614" s="147" t="str">
        <f t="shared" si="7"/>
        <v/>
      </c>
      <c r="U1614" s="150" t="str">
        <f t="shared" si="8"/>
        <v/>
      </c>
      <c r="V1614" s="151" t="str">
        <f>IFERROR(VLOOKUP(C1614,Ativos!$A$1:$G2000,5,),)</f>
        <v/>
      </c>
    </row>
    <row r="1615" ht="21.0" customHeight="1">
      <c r="A1615" s="152"/>
      <c r="B1615" s="160"/>
      <c r="C1615" s="153"/>
      <c r="D1615" s="154"/>
      <c r="E1615" s="139"/>
      <c r="F1615" s="139"/>
      <c r="G1615" s="139"/>
      <c r="H1615" s="135"/>
      <c r="I1615" s="141"/>
      <c r="J1615" s="147" t="str">
        <f>IFERROR(__xludf.DUMMYFUNCTION("IF(ISBLANK(A1615),IFERROR(1/0),IF(COUNT(FILTER(F:F,A:A=A1615))&gt;1,TRUNC(N1615*F1615/SUM(FILTER(N:N,A:A=A1615)),3),F1615))"),"")</f>
        <v/>
      </c>
      <c r="K1615" s="147" t="str">
        <f>IFERROR(__xludf.DUMMYFUNCTION("IF(ISBLANK(A1615),IFERROR(1/0),IF(COUNT(FILTER(G:G,((A:A=A1615)*(B:B=""V""))))&gt;1,TRUNC(N1615*G1615/SUM(FILTER(N:N,((A:A=A1615)*(B:B=""V"")))),3),G1615))"),"")</f>
        <v/>
      </c>
      <c r="L1615" s="148" t="str">
        <f>IFERROR(__xludf.DUMMYFUNCTION("if($C1615="""","""",iferror(if(row()&lt;&gt;2,INDEX(arrayformula(filter($M$2:$M1614,$C$2:$C1614&lt;&gt;"""",row($C$2:$C1614)=max(if($C$2:$C1614=C1615,row($C$2:$C1614),0)))) ,1),0),0))"),"")</f>
        <v/>
      </c>
      <c r="M1615" s="148" t="str">
        <f t="shared" si="1"/>
        <v/>
      </c>
      <c r="N1615" s="147" t="str">
        <f t="shared" si="2"/>
        <v/>
      </c>
      <c r="O1615" s="147" t="str">
        <f t="shared" si="21"/>
        <v/>
      </c>
      <c r="P1615" s="147" t="str">
        <f>IFERROR(__xludf.DUMMYFUNCTION("if(C1615="""","""",iferror(if(row()&lt;&gt;2,INDEX(arrayformula(filter($Q$2:$Q1614,$C$2:$C1614&lt;&gt;"""",row($C$2:$C1614)=max(if($C$2:$C1614=C1615,row($C$2:$C1614),0)))) ,1),0),0))"),"")</f>
        <v/>
      </c>
      <c r="Q1615" s="147" t="str">
        <f t="shared" si="22"/>
        <v/>
      </c>
      <c r="R1615" s="147" t="str">
        <f t="shared" si="23"/>
        <v/>
      </c>
      <c r="S1615" s="147" t="str">
        <f t="shared" si="24"/>
        <v/>
      </c>
      <c r="T1615" s="147" t="str">
        <f t="shared" si="7"/>
        <v/>
      </c>
      <c r="U1615" s="150" t="str">
        <f t="shared" si="8"/>
        <v/>
      </c>
      <c r="V1615" s="151" t="str">
        <f>IFERROR(VLOOKUP(C1615,Ativos!$A$1:$G2000,5,),)</f>
        <v/>
      </c>
    </row>
    <row r="1616" ht="21.0" customHeight="1">
      <c r="A1616" s="152"/>
      <c r="B1616" s="160"/>
      <c r="C1616" s="153"/>
      <c r="D1616" s="154"/>
      <c r="E1616" s="139"/>
      <c r="F1616" s="139"/>
      <c r="G1616" s="139"/>
      <c r="H1616" s="135"/>
      <c r="I1616" s="141"/>
      <c r="J1616" s="147" t="str">
        <f>IFERROR(__xludf.DUMMYFUNCTION("IF(ISBLANK(A1616),IFERROR(1/0),IF(COUNT(FILTER(F:F,A:A=A1616))&gt;1,TRUNC(N1616*F1616/SUM(FILTER(N:N,A:A=A1616)),3),F1616))"),"")</f>
        <v/>
      </c>
      <c r="K1616" s="147" t="str">
        <f>IFERROR(__xludf.DUMMYFUNCTION("IF(ISBLANK(A1616),IFERROR(1/0),IF(COUNT(FILTER(G:G,((A:A=A1616)*(B:B=""V""))))&gt;1,TRUNC(N1616*G1616/SUM(FILTER(N:N,((A:A=A1616)*(B:B=""V"")))),3),G1616))"),"")</f>
        <v/>
      </c>
      <c r="L1616" s="148" t="str">
        <f>IFERROR(__xludf.DUMMYFUNCTION("if($C1616="""","""",iferror(if(row()&lt;&gt;2,INDEX(arrayformula(filter($M$2:$M1615,$C$2:$C1615&lt;&gt;"""",row($C$2:$C1615)=max(if($C$2:$C1615=C1616,row($C$2:$C1615),0)))) ,1),0),0))"),"")</f>
        <v/>
      </c>
      <c r="M1616" s="148" t="str">
        <f t="shared" si="1"/>
        <v/>
      </c>
      <c r="N1616" s="147" t="str">
        <f t="shared" si="2"/>
        <v/>
      </c>
      <c r="O1616" s="147" t="str">
        <f t="shared" si="21"/>
        <v/>
      </c>
      <c r="P1616" s="147" t="str">
        <f>IFERROR(__xludf.DUMMYFUNCTION("if(C1616="""","""",iferror(if(row()&lt;&gt;2,INDEX(arrayformula(filter($Q$2:$Q1615,$C$2:$C1615&lt;&gt;"""",row($C$2:$C1615)=max(if($C$2:$C1615=C1616,row($C$2:$C1615),0)))) ,1),0),0))"),"")</f>
        <v/>
      </c>
      <c r="Q1616" s="147" t="str">
        <f t="shared" si="22"/>
        <v/>
      </c>
      <c r="R1616" s="147" t="str">
        <f t="shared" si="23"/>
        <v/>
      </c>
      <c r="S1616" s="147" t="str">
        <f t="shared" si="24"/>
        <v/>
      </c>
      <c r="T1616" s="147" t="str">
        <f t="shared" si="7"/>
        <v/>
      </c>
      <c r="U1616" s="150" t="str">
        <f t="shared" si="8"/>
        <v/>
      </c>
      <c r="V1616" s="151" t="str">
        <f>IFERROR(VLOOKUP(C1616,Ativos!$A$1:$G2000,5,),)</f>
        <v/>
      </c>
    </row>
    <row r="1617" ht="21.0" customHeight="1">
      <c r="A1617" s="152"/>
      <c r="B1617" s="160"/>
      <c r="C1617" s="153"/>
      <c r="D1617" s="154"/>
      <c r="E1617" s="139"/>
      <c r="F1617" s="139"/>
      <c r="G1617" s="139"/>
      <c r="H1617" s="135"/>
      <c r="I1617" s="141"/>
      <c r="J1617" s="147" t="str">
        <f>IFERROR(__xludf.DUMMYFUNCTION("IF(ISBLANK(A1617),IFERROR(1/0),IF(COUNT(FILTER(F:F,A:A=A1617))&gt;1,TRUNC(N1617*F1617/SUM(FILTER(N:N,A:A=A1617)),3),F1617))"),"")</f>
        <v/>
      </c>
      <c r="K1617" s="147" t="str">
        <f>IFERROR(__xludf.DUMMYFUNCTION("IF(ISBLANK(A1617),IFERROR(1/0),IF(COUNT(FILTER(G:G,((A:A=A1617)*(B:B=""V""))))&gt;1,TRUNC(N1617*G1617/SUM(FILTER(N:N,((A:A=A1617)*(B:B=""V"")))),3),G1617))"),"")</f>
        <v/>
      </c>
      <c r="L1617" s="148" t="str">
        <f>IFERROR(__xludf.DUMMYFUNCTION("if($C1617="""","""",iferror(if(row()&lt;&gt;2,INDEX(arrayformula(filter($M$2:$M1616,$C$2:$C1616&lt;&gt;"""",row($C$2:$C1616)=max(if($C$2:$C1616=C1617,row($C$2:$C1616),0)))) ,1),0),0))"),"")</f>
        <v/>
      </c>
      <c r="M1617" s="148" t="str">
        <f t="shared" si="1"/>
        <v/>
      </c>
      <c r="N1617" s="147" t="str">
        <f t="shared" si="2"/>
        <v/>
      </c>
      <c r="O1617" s="147" t="str">
        <f t="shared" si="21"/>
        <v/>
      </c>
      <c r="P1617" s="147" t="str">
        <f>IFERROR(__xludf.DUMMYFUNCTION("if(C1617="""","""",iferror(if(row()&lt;&gt;2,INDEX(arrayformula(filter($Q$2:$Q1616,$C$2:$C1616&lt;&gt;"""",row($C$2:$C1616)=max(if($C$2:$C1616=C1617,row($C$2:$C1616),0)))) ,1),0),0))"),"")</f>
        <v/>
      </c>
      <c r="Q1617" s="147" t="str">
        <f t="shared" si="22"/>
        <v/>
      </c>
      <c r="R1617" s="147" t="str">
        <f t="shared" si="23"/>
        <v/>
      </c>
      <c r="S1617" s="147" t="str">
        <f t="shared" si="24"/>
        <v/>
      </c>
      <c r="T1617" s="147" t="str">
        <f t="shared" si="7"/>
        <v/>
      </c>
      <c r="U1617" s="150" t="str">
        <f t="shared" si="8"/>
        <v/>
      </c>
      <c r="V1617" s="151" t="str">
        <f>IFERROR(VLOOKUP(C1617,Ativos!$A$1:$G2000,5,),)</f>
        <v/>
      </c>
    </row>
    <row r="1618" ht="21.0" customHeight="1">
      <c r="A1618" s="152"/>
      <c r="B1618" s="160"/>
      <c r="C1618" s="153"/>
      <c r="D1618" s="154"/>
      <c r="E1618" s="139"/>
      <c r="F1618" s="139"/>
      <c r="G1618" s="139"/>
      <c r="H1618" s="135"/>
      <c r="I1618" s="141"/>
      <c r="J1618" s="147" t="str">
        <f>IFERROR(__xludf.DUMMYFUNCTION("IF(ISBLANK(A1618),IFERROR(1/0),IF(COUNT(FILTER(F:F,A:A=A1618))&gt;1,TRUNC(N1618*F1618/SUM(FILTER(N:N,A:A=A1618)),3),F1618))"),"")</f>
        <v/>
      </c>
      <c r="K1618" s="147" t="str">
        <f>IFERROR(__xludf.DUMMYFUNCTION("IF(ISBLANK(A1618),IFERROR(1/0),IF(COUNT(FILTER(G:G,((A:A=A1618)*(B:B=""V""))))&gt;1,TRUNC(N1618*G1618/SUM(FILTER(N:N,((A:A=A1618)*(B:B=""V"")))),3),G1618))"),"")</f>
        <v/>
      </c>
      <c r="L1618" s="148" t="str">
        <f>IFERROR(__xludf.DUMMYFUNCTION("if($C1618="""","""",iferror(if(row()&lt;&gt;2,INDEX(arrayformula(filter($M$2:$M1617,$C$2:$C1617&lt;&gt;"""",row($C$2:$C1617)=max(if($C$2:$C1617=C1618,row($C$2:$C1617),0)))) ,1),0),0))"),"")</f>
        <v/>
      </c>
      <c r="M1618" s="148" t="str">
        <f t="shared" si="1"/>
        <v/>
      </c>
      <c r="N1618" s="147" t="str">
        <f t="shared" si="2"/>
        <v/>
      </c>
      <c r="O1618" s="147" t="str">
        <f t="shared" si="21"/>
        <v/>
      </c>
      <c r="P1618" s="147" t="str">
        <f>IFERROR(__xludf.DUMMYFUNCTION("if(C1618="""","""",iferror(if(row()&lt;&gt;2,INDEX(arrayformula(filter($Q$2:$Q1617,$C$2:$C1617&lt;&gt;"""",row($C$2:$C1617)=max(if($C$2:$C1617=C1618,row($C$2:$C1617),0)))) ,1),0),0))"),"")</f>
        <v/>
      </c>
      <c r="Q1618" s="147" t="str">
        <f t="shared" si="22"/>
        <v/>
      </c>
      <c r="R1618" s="147" t="str">
        <f t="shared" si="23"/>
        <v/>
      </c>
      <c r="S1618" s="147" t="str">
        <f t="shared" si="24"/>
        <v/>
      </c>
      <c r="T1618" s="147" t="str">
        <f t="shared" si="7"/>
        <v/>
      </c>
      <c r="U1618" s="150" t="str">
        <f t="shared" si="8"/>
        <v/>
      </c>
      <c r="V1618" s="151" t="str">
        <f>IFERROR(VLOOKUP(C1618,Ativos!$A$1:$G2000,5,),)</f>
        <v/>
      </c>
    </row>
    <row r="1619" ht="21.0" customHeight="1">
      <c r="A1619" s="152"/>
      <c r="B1619" s="160"/>
      <c r="C1619" s="153"/>
      <c r="D1619" s="154"/>
      <c r="E1619" s="139"/>
      <c r="F1619" s="139"/>
      <c r="G1619" s="139"/>
      <c r="H1619" s="135"/>
      <c r="I1619" s="141"/>
      <c r="J1619" s="147" t="str">
        <f>IFERROR(__xludf.DUMMYFUNCTION("IF(ISBLANK(A1619),IFERROR(1/0),IF(COUNT(FILTER(F:F,A:A=A1619))&gt;1,TRUNC(N1619*F1619/SUM(FILTER(N:N,A:A=A1619)),3),F1619))"),"")</f>
        <v/>
      </c>
      <c r="K1619" s="147" t="str">
        <f>IFERROR(__xludf.DUMMYFUNCTION("IF(ISBLANK(A1619),IFERROR(1/0),IF(COUNT(FILTER(G:G,((A:A=A1619)*(B:B=""V""))))&gt;1,TRUNC(N1619*G1619/SUM(FILTER(N:N,((A:A=A1619)*(B:B=""V"")))),3),G1619))"),"")</f>
        <v/>
      </c>
      <c r="L1619" s="148" t="str">
        <f>IFERROR(__xludf.DUMMYFUNCTION("if($C1619="""","""",iferror(if(row()&lt;&gt;2,INDEX(arrayformula(filter($M$2:$M1618,$C$2:$C1618&lt;&gt;"""",row($C$2:$C1618)=max(if($C$2:$C1618=C1619,row($C$2:$C1618),0)))) ,1),0),0))"),"")</f>
        <v/>
      </c>
      <c r="M1619" s="148" t="str">
        <f t="shared" si="1"/>
        <v/>
      </c>
      <c r="N1619" s="147" t="str">
        <f t="shared" si="2"/>
        <v/>
      </c>
      <c r="O1619" s="147" t="str">
        <f t="shared" si="21"/>
        <v/>
      </c>
      <c r="P1619" s="147" t="str">
        <f>IFERROR(__xludf.DUMMYFUNCTION("if(C1619="""","""",iferror(if(row()&lt;&gt;2,INDEX(arrayformula(filter($Q$2:$Q1618,$C$2:$C1618&lt;&gt;"""",row($C$2:$C1618)=max(if($C$2:$C1618=C1619,row($C$2:$C1618),0)))) ,1),0),0))"),"")</f>
        <v/>
      </c>
      <c r="Q1619" s="147" t="str">
        <f t="shared" si="22"/>
        <v/>
      </c>
      <c r="R1619" s="147" t="str">
        <f t="shared" si="23"/>
        <v/>
      </c>
      <c r="S1619" s="147" t="str">
        <f t="shared" si="24"/>
        <v/>
      </c>
      <c r="T1619" s="147" t="str">
        <f t="shared" si="7"/>
        <v/>
      </c>
      <c r="U1619" s="150" t="str">
        <f t="shared" si="8"/>
        <v/>
      </c>
      <c r="V1619" s="151" t="str">
        <f>IFERROR(VLOOKUP(C1619,Ativos!$A$1:$G2000,5,),)</f>
        <v/>
      </c>
    </row>
    <row r="1620" ht="21.0" customHeight="1">
      <c r="A1620" s="152"/>
      <c r="B1620" s="160"/>
      <c r="C1620" s="153"/>
      <c r="D1620" s="154"/>
      <c r="E1620" s="139"/>
      <c r="F1620" s="139"/>
      <c r="G1620" s="139"/>
      <c r="H1620" s="135"/>
      <c r="I1620" s="141"/>
      <c r="J1620" s="147" t="str">
        <f>IFERROR(__xludf.DUMMYFUNCTION("IF(ISBLANK(A1620),IFERROR(1/0),IF(COUNT(FILTER(F:F,A:A=A1620))&gt;1,TRUNC(N1620*F1620/SUM(FILTER(N:N,A:A=A1620)),3),F1620))"),"")</f>
        <v/>
      </c>
      <c r="K1620" s="147" t="str">
        <f>IFERROR(__xludf.DUMMYFUNCTION("IF(ISBLANK(A1620),IFERROR(1/0),IF(COUNT(FILTER(G:G,((A:A=A1620)*(B:B=""V""))))&gt;1,TRUNC(N1620*G1620/SUM(FILTER(N:N,((A:A=A1620)*(B:B=""V"")))),3),G1620))"),"")</f>
        <v/>
      </c>
      <c r="L1620" s="148" t="str">
        <f>IFERROR(__xludf.DUMMYFUNCTION("if($C1620="""","""",iferror(if(row()&lt;&gt;2,INDEX(arrayformula(filter($M$2:$M1619,$C$2:$C1619&lt;&gt;"""",row($C$2:$C1619)=max(if($C$2:$C1619=C1620,row($C$2:$C1619),0)))) ,1),0),0))"),"")</f>
        <v/>
      </c>
      <c r="M1620" s="148" t="str">
        <f t="shared" si="1"/>
        <v/>
      </c>
      <c r="N1620" s="147" t="str">
        <f t="shared" si="2"/>
        <v/>
      </c>
      <c r="O1620" s="147" t="str">
        <f t="shared" si="21"/>
        <v/>
      </c>
      <c r="P1620" s="147" t="str">
        <f>IFERROR(__xludf.DUMMYFUNCTION("if(C1620="""","""",iferror(if(row()&lt;&gt;2,INDEX(arrayformula(filter($Q$2:$Q1619,$C$2:$C1619&lt;&gt;"""",row($C$2:$C1619)=max(if($C$2:$C1619=C1620,row($C$2:$C1619),0)))) ,1),0),0))"),"")</f>
        <v/>
      </c>
      <c r="Q1620" s="147" t="str">
        <f t="shared" si="22"/>
        <v/>
      </c>
      <c r="R1620" s="147" t="str">
        <f t="shared" si="23"/>
        <v/>
      </c>
      <c r="S1620" s="147" t="str">
        <f t="shared" si="24"/>
        <v/>
      </c>
      <c r="T1620" s="147" t="str">
        <f t="shared" si="7"/>
        <v/>
      </c>
      <c r="U1620" s="150" t="str">
        <f t="shared" si="8"/>
        <v/>
      </c>
      <c r="V1620" s="151" t="str">
        <f>IFERROR(VLOOKUP(C1620,Ativos!$A$1:$G2000,5,),)</f>
        <v/>
      </c>
    </row>
    <row r="1621" ht="21.0" customHeight="1">
      <c r="A1621" s="152"/>
      <c r="B1621" s="160"/>
      <c r="C1621" s="153"/>
      <c r="D1621" s="154"/>
      <c r="E1621" s="139"/>
      <c r="F1621" s="139"/>
      <c r="G1621" s="139"/>
      <c r="H1621" s="135"/>
      <c r="I1621" s="141"/>
      <c r="J1621" s="147" t="str">
        <f>IFERROR(__xludf.DUMMYFUNCTION("IF(ISBLANK(A1621),IFERROR(1/0),IF(COUNT(FILTER(F:F,A:A=A1621))&gt;1,TRUNC(N1621*F1621/SUM(FILTER(N:N,A:A=A1621)),3),F1621))"),"")</f>
        <v/>
      </c>
      <c r="K1621" s="147" t="str">
        <f>IFERROR(__xludf.DUMMYFUNCTION("IF(ISBLANK(A1621),IFERROR(1/0),IF(COUNT(FILTER(G:G,((A:A=A1621)*(B:B=""V""))))&gt;1,TRUNC(N1621*G1621/SUM(FILTER(N:N,((A:A=A1621)*(B:B=""V"")))),3),G1621))"),"")</f>
        <v/>
      </c>
      <c r="L1621" s="148" t="str">
        <f>IFERROR(__xludf.DUMMYFUNCTION("if($C1621="""","""",iferror(if(row()&lt;&gt;2,INDEX(arrayformula(filter($M$2:$M1620,$C$2:$C1620&lt;&gt;"""",row($C$2:$C1620)=max(if($C$2:$C1620=C1621,row($C$2:$C1620),0)))) ,1),0),0))"),"")</f>
        <v/>
      </c>
      <c r="M1621" s="148" t="str">
        <f t="shared" si="1"/>
        <v/>
      </c>
      <c r="N1621" s="147" t="str">
        <f t="shared" si="2"/>
        <v/>
      </c>
      <c r="O1621" s="147" t="str">
        <f t="shared" si="21"/>
        <v/>
      </c>
      <c r="P1621" s="147" t="str">
        <f>IFERROR(__xludf.DUMMYFUNCTION("if(C1621="""","""",iferror(if(row()&lt;&gt;2,INDEX(arrayformula(filter($Q$2:$Q1620,$C$2:$C1620&lt;&gt;"""",row($C$2:$C1620)=max(if($C$2:$C1620=C1621,row($C$2:$C1620),0)))) ,1),0),0))"),"")</f>
        <v/>
      </c>
      <c r="Q1621" s="147" t="str">
        <f t="shared" si="22"/>
        <v/>
      </c>
      <c r="R1621" s="147" t="str">
        <f t="shared" si="23"/>
        <v/>
      </c>
      <c r="S1621" s="147" t="str">
        <f t="shared" si="24"/>
        <v/>
      </c>
      <c r="T1621" s="147" t="str">
        <f t="shared" si="7"/>
        <v/>
      </c>
      <c r="U1621" s="150" t="str">
        <f t="shared" si="8"/>
        <v/>
      </c>
      <c r="V1621" s="151" t="str">
        <f>IFERROR(VLOOKUP(C1621,Ativos!$A$1:$G2000,5,),)</f>
        <v/>
      </c>
    </row>
    <row r="1622" ht="21.0" customHeight="1">
      <c r="A1622" s="152"/>
      <c r="B1622" s="160"/>
      <c r="C1622" s="153"/>
      <c r="D1622" s="154"/>
      <c r="E1622" s="139"/>
      <c r="F1622" s="139"/>
      <c r="G1622" s="139"/>
      <c r="H1622" s="135"/>
      <c r="I1622" s="141"/>
      <c r="J1622" s="147" t="str">
        <f>IFERROR(__xludf.DUMMYFUNCTION("IF(ISBLANK(A1622),IFERROR(1/0),IF(COUNT(FILTER(F:F,A:A=A1622))&gt;1,TRUNC(N1622*F1622/SUM(FILTER(N:N,A:A=A1622)),3),F1622))"),"")</f>
        <v/>
      </c>
      <c r="K1622" s="147" t="str">
        <f>IFERROR(__xludf.DUMMYFUNCTION("IF(ISBLANK(A1622),IFERROR(1/0),IF(COUNT(FILTER(G:G,((A:A=A1622)*(B:B=""V""))))&gt;1,TRUNC(N1622*G1622/SUM(FILTER(N:N,((A:A=A1622)*(B:B=""V"")))),3),G1622))"),"")</f>
        <v/>
      </c>
      <c r="L1622" s="148" t="str">
        <f>IFERROR(__xludf.DUMMYFUNCTION("if($C1622="""","""",iferror(if(row()&lt;&gt;2,INDEX(arrayformula(filter($M$2:$M1621,$C$2:$C1621&lt;&gt;"""",row($C$2:$C1621)=max(if($C$2:$C1621=C1622,row($C$2:$C1621),0)))) ,1),0),0))"),"")</f>
        <v/>
      </c>
      <c r="M1622" s="148" t="str">
        <f t="shared" si="1"/>
        <v/>
      </c>
      <c r="N1622" s="147" t="str">
        <f t="shared" si="2"/>
        <v/>
      </c>
      <c r="O1622" s="147" t="str">
        <f t="shared" si="21"/>
        <v/>
      </c>
      <c r="P1622" s="147" t="str">
        <f>IFERROR(__xludf.DUMMYFUNCTION("if(C1622="""","""",iferror(if(row()&lt;&gt;2,INDEX(arrayformula(filter($Q$2:$Q1621,$C$2:$C1621&lt;&gt;"""",row($C$2:$C1621)=max(if($C$2:$C1621=C1622,row($C$2:$C1621),0)))) ,1),0),0))"),"")</f>
        <v/>
      </c>
      <c r="Q1622" s="147" t="str">
        <f t="shared" si="22"/>
        <v/>
      </c>
      <c r="R1622" s="147" t="str">
        <f t="shared" si="23"/>
        <v/>
      </c>
      <c r="S1622" s="147" t="str">
        <f t="shared" si="24"/>
        <v/>
      </c>
      <c r="T1622" s="147" t="str">
        <f t="shared" si="7"/>
        <v/>
      </c>
      <c r="U1622" s="150" t="str">
        <f t="shared" si="8"/>
        <v/>
      </c>
      <c r="V1622" s="151" t="str">
        <f>IFERROR(VLOOKUP(C1622,Ativos!$A$1:$G2000,5,),)</f>
        <v/>
      </c>
    </row>
    <row r="1623" ht="21.0" customHeight="1">
      <c r="A1623" s="152"/>
      <c r="B1623" s="160"/>
      <c r="C1623" s="153"/>
      <c r="D1623" s="154"/>
      <c r="E1623" s="139"/>
      <c r="F1623" s="139"/>
      <c r="G1623" s="139"/>
      <c r="H1623" s="135"/>
      <c r="I1623" s="141"/>
      <c r="J1623" s="147" t="str">
        <f>IFERROR(__xludf.DUMMYFUNCTION("IF(ISBLANK(A1623),IFERROR(1/0),IF(COUNT(FILTER(F:F,A:A=A1623))&gt;1,TRUNC(N1623*F1623/SUM(FILTER(N:N,A:A=A1623)),3),F1623))"),"")</f>
        <v/>
      </c>
      <c r="K1623" s="147" t="str">
        <f>IFERROR(__xludf.DUMMYFUNCTION("IF(ISBLANK(A1623),IFERROR(1/0),IF(COUNT(FILTER(G:G,((A:A=A1623)*(B:B=""V""))))&gt;1,TRUNC(N1623*G1623/SUM(FILTER(N:N,((A:A=A1623)*(B:B=""V"")))),3),G1623))"),"")</f>
        <v/>
      </c>
      <c r="L1623" s="148" t="str">
        <f>IFERROR(__xludf.DUMMYFUNCTION("if($C1623="""","""",iferror(if(row()&lt;&gt;2,INDEX(arrayformula(filter($M$2:$M1622,$C$2:$C1622&lt;&gt;"""",row($C$2:$C1622)=max(if($C$2:$C1622=C1623,row($C$2:$C1622),0)))) ,1),0),0))"),"")</f>
        <v/>
      </c>
      <c r="M1623" s="148" t="str">
        <f t="shared" si="1"/>
        <v/>
      </c>
      <c r="N1623" s="147" t="str">
        <f t="shared" si="2"/>
        <v/>
      </c>
      <c r="O1623" s="147" t="str">
        <f t="shared" si="21"/>
        <v/>
      </c>
      <c r="P1623" s="147" t="str">
        <f>IFERROR(__xludf.DUMMYFUNCTION("if(C1623="""","""",iferror(if(row()&lt;&gt;2,INDEX(arrayformula(filter($Q$2:$Q1622,$C$2:$C1622&lt;&gt;"""",row($C$2:$C1622)=max(if($C$2:$C1622=C1623,row($C$2:$C1622),0)))) ,1),0),0))"),"")</f>
        <v/>
      </c>
      <c r="Q1623" s="147" t="str">
        <f t="shared" si="22"/>
        <v/>
      </c>
      <c r="R1623" s="147" t="str">
        <f t="shared" si="23"/>
        <v/>
      </c>
      <c r="S1623" s="147" t="str">
        <f t="shared" si="24"/>
        <v/>
      </c>
      <c r="T1623" s="147" t="str">
        <f t="shared" si="7"/>
        <v/>
      </c>
      <c r="U1623" s="150" t="str">
        <f t="shared" si="8"/>
        <v/>
      </c>
      <c r="V1623" s="151" t="str">
        <f>IFERROR(VLOOKUP(C1623,Ativos!$A$1:$G2000,5,),)</f>
        <v/>
      </c>
    </row>
    <row r="1624" ht="21.0" customHeight="1">
      <c r="A1624" s="152"/>
      <c r="B1624" s="160"/>
      <c r="C1624" s="153"/>
      <c r="D1624" s="154"/>
      <c r="E1624" s="139"/>
      <c r="F1624" s="139"/>
      <c r="G1624" s="139"/>
      <c r="H1624" s="135"/>
      <c r="I1624" s="141"/>
      <c r="J1624" s="147" t="str">
        <f>IFERROR(__xludf.DUMMYFUNCTION("IF(ISBLANK(A1624),IFERROR(1/0),IF(COUNT(FILTER(F:F,A:A=A1624))&gt;1,TRUNC(N1624*F1624/SUM(FILTER(N:N,A:A=A1624)),3),F1624))"),"")</f>
        <v/>
      </c>
      <c r="K1624" s="147" t="str">
        <f>IFERROR(__xludf.DUMMYFUNCTION("IF(ISBLANK(A1624),IFERROR(1/0),IF(COUNT(FILTER(G:G,((A:A=A1624)*(B:B=""V""))))&gt;1,TRUNC(N1624*G1624/SUM(FILTER(N:N,((A:A=A1624)*(B:B=""V"")))),3),G1624))"),"")</f>
        <v/>
      </c>
      <c r="L1624" s="148" t="str">
        <f>IFERROR(__xludf.DUMMYFUNCTION("if($C1624="""","""",iferror(if(row()&lt;&gt;2,INDEX(arrayformula(filter($M$2:$M1623,$C$2:$C1623&lt;&gt;"""",row($C$2:$C1623)=max(if($C$2:$C1623=C1624,row($C$2:$C1623),0)))) ,1),0),0))"),"")</f>
        <v/>
      </c>
      <c r="M1624" s="148" t="str">
        <f t="shared" si="1"/>
        <v/>
      </c>
      <c r="N1624" s="147" t="str">
        <f t="shared" si="2"/>
        <v/>
      </c>
      <c r="O1624" s="147" t="str">
        <f t="shared" si="21"/>
        <v/>
      </c>
      <c r="P1624" s="147" t="str">
        <f>IFERROR(__xludf.DUMMYFUNCTION("if(C1624="""","""",iferror(if(row()&lt;&gt;2,INDEX(arrayformula(filter($Q$2:$Q1623,$C$2:$C1623&lt;&gt;"""",row($C$2:$C1623)=max(if($C$2:$C1623=C1624,row($C$2:$C1623),0)))) ,1),0),0))"),"")</f>
        <v/>
      </c>
      <c r="Q1624" s="147" t="str">
        <f t="shared" si="22"/>
        <v/>
      </c>
      <c r="R1624" s="147" t="str">
        <f t="shared" si="23"/>
        <v/>
      </c>
      <c r="S1624" s="147" t="str">
        <f t="shared" si="24"/>
        <v/>
      </c>
      <c r="T1624" s="147" t="str">
        <f t="shared" si="7"/>
        <v/>
      </c>
      <c r="U1624" s="150" t="str">
        <f t="shared" si="8"/>
        <v/>
      </c>
      <c r="V1624" s="151" t="str">
        <f>IFERROR(VLOOKUP(C1624,Ativos!$A$1:$G2000,5,),)</f>
        <v/>
      </c>
    </row>
    <row r="1625" ht="21.0" customHeight="1">
      <c r="A1625" s="152"/>
      <c r="B1625" s="160"/>
      <c r="C1625" s="153"/>
      <c r="D1625" s="154"/>
      <c r="E1625" s="139"/>
      <c r="F1625" s="139"/>
      <c r="G1625" s="139"/>
      <c r="H1625" s="135"/>
      <c r="I1625" s="141"/>
      <c r="J1625" s="147" t="str">
        <f>IFERROR(__xludf.DUMMYFUNCTION("IF(ISBLANK(A1625),IFERROR(1/0),IF(COUNT(FILTER(F:F,A:A=A1625))&gt;1,TRUNC(N1625*F1625/SUM(FILTER(N:N,A:A=A1625)),3),F1625))"),"")</f>
        <v/>
      </c>
      <c r="K1625" s="147" t="str">
        <f>IFERROR(__xludf.DUMMYFUNCTION("IF(ISBLANK(A1625),IFERROR(1/0),IF(COUNT(FILTER(G:G,((A:A=A1625)*(B:B=""V""))))&gt;1,TRUNC(N1625*G1625/SUM(FILTER(N:N,((A:A=A1625)*(B:B=""V"")))),3),G1625))"),"")</f>
        <v/>
      </c>
      <c r="L1625" s="148" t="str">
        <f>IFERROR(__xludf.DUMMYFUNCTION("if($C1625="""","""",iferror(if(row()&lt;&gt;2,INDEX(arrayformula(filter($M$2:$M1624,$C$2:$C1624&lt;&gt;"""",row($C$2:$C1624)=max(if($C$2:$C1624=C1625,row($C$2:$C1624),0)))) ,1),0),0))"),"")</f>
        <v/>
      </c>
      <c r="M1625" s="148" t="str">
        <f t="shared" si="1"/>
        <v/>
      </c>
      <c r="N1625" s="147" t="str">
        <f t="shared" si="2"/>
        <v/>
      </c>
      <c r="O1625" s="147" t="str">
        <f t="shared" si="21"/>
        <v/>
      </c>
      <c r="P1625" s="147" t="str">
        <f>IFERROR(__xludf.DUMMYFUNCTION("if(C1625="""","""",iferror(if(row()&lt;&gt;2,INDEX(arrayformula(filter($Q$2:$Q1624,$C$2:$C1624&lt;&gt;"""",row($C$2:$C1624)=max(if($C$2:$C1624=C1625,row($C$2:$C1624),0)))) ,1),0),0))"),"")</f>
        <v/>
      </c>
      <c r="Q1625" s="147" t="str">
        <f t="shared" si="22"/>
        <v/>
      </c>
      <c r="R1625" s="147" t="str">
        <f t="shared" si="23"/>
        <v/>
      </c>
      <c r="S1625" s="147" t="str">
        <f t="shared" si="24"/>
        <v/>
      </c>
      <c r="T1625" s="147" t="str">
        <f t="shared" si="7"/>
        <v/>
      </c>
      <c r="U1625" s="150" t="str">
        <f t="shared" si="8"/>
        <v/>
      </c>
      <c r="V1625" s="151" t="str">
        <f>IFERROR(VLOOKUP(C1625,Ativos!$A$1:$G2000,5,),)</f>
        <v/>
      </c>
    </row>
    <row r="1626" ht="21.0" customHeight="1">
      <c r="A1626" s="152"/>
      <c r="B1626" s="160"/>
      <c r="C1626" s="153"/>
      <c r="D1626" s="154"/>
      <c r="E1626" s="139"/>
      <c r="F1626" s="139"/>
      <c r="G1626" s="139"/>
      <c r="H1626" s="135"/>
      <c r="I1626" s="141"/>
      <c r="J1626" s="147" t="str">
        <f>IFERROR(__xludf.DUMMYFUNCTION("IF(ISBLANK(A1626),IFERROR(1/0),IF(COUNT(FILTER(F:F,A:A=A1626))&gt;1,TRUNC(N1626*F1626/SUM(FILTER(N:N,A:A=A1626)),3),F1626))"),"")</f>
        <v/>
      </c>
      <c r="K1626" s="147" t="str">
        <f>IFERROR(__xludf.DUMMYFUNCTION("IF(ISBLANK(A1626),IFERROR(1/0),IF(COUNT(FILTER(G:G,((A:A=A1626)*(B:B=""V""))))&gt;1,TRUNC(N1626*G1626/SUM(FILTER(N:N,((A:A=A1626)*(B:B=""V"")))),3),G1626))"),"")</f>
        <v/>
      </c>
      <c r="L1626" s="148" t="str">
        <f>IFERROR(__xludf.DUMMYFUNCTION("if($C1626="""","""",iferror(if(row()&lt;&gt;2,INDEX(arrayformula(filter($M$2:$M1625,$C$2:$C1625&lt;&gt;"""",row($C$2:$C1625)=max(if($C$2:$C1625=C1626,row($C$2:$C1625),0)))) ,1),0),0))"),"")</f>
        <v/>
      </c>
      <c r="M1626" s="148" t="str">
        <f t="shared" si="1"/>
        <v/>
      </c>
      <c r="N1626" s="147" t="str">
        <f t="shared" si="2"/>
        <v/>
      </c>
      <c r="O1626" s="147" t="str">
        <f t="shared" si="21"/>
        <v/>
      </c>
      <c r="P1626" s="147" t="str">
        <f>IFERROR(__xludf.DUMMYFUNCTION("if(C1626="""","""",iferror(if(row()&lt;&gt;2,INDEX(arrayformula(filter($Q$2:$Q1625,$C$2:$C1625&lt;&gt;"""",row($C$2:$C1625)=max(if($C$2:$C1625=C1626,row($C$2:$C1625),0)))) ,1),0),0))"),"")</f>
        <v/>
      </c>
      <c r="Q1626" s="147" t="str">
        <f t="shared" si="22"/>
        <v/>
      </c>
      <c r="R1626" s="147" t="str">
        <f t="shared" si="23"/>
        <v/>
      </c>
      <c r="S1626" s="147" t="str">
        <f t="shared" si="24"/>
        <v/>
      </c>
      <c r="T1626" s="147" t="str">
        <f t="shared" si="7"/>
        <v/>
      </c>
      <c r="U1626" s="150" t="str">
        <f t="shared" si="8"/>
        <v/>
      </c>
      <c r="V1626" s="151" t="str">
        <f>IFERROR(VLOOKUP(C1626,Ativos!$A$1:$G2000,5,),)</f>
        <v/>
      </c>
    </row>
    <row r="1627" ht="21.0" customHeight="1">
      <c r="A1627" s="152"/>
      <c r="B1627" s="160"/>
      <c r="C1627" s="153"/>
      <c r="D1627" s="154"/>
      <c r="E1627" s="139"/>
      <c r="F1627" s="139"/>
      <c r="G1627" s="139"/>
      <c r="H1627" s="135"/>
      <c r="I1627" s="141"/>
      <c r="J1627" s="147" t="str">
        <f>IFERROR(__xludf.DUMMYFUNCTION("IF(ISBLANK(A1627),IFERROR(1/0),IF(COUNT(FILTER(F:F,A:A=A1627))&gt;1,TRUNC(N1627*F1627/SUM(FILTER(N:N,A:A=A1627)),3),F1627))"),"")</f>
        <v/>
      </c>
      <c r="K1627" s="147" t="str">
        <f>IFERROR(__xludf.DUMMYFUNCTION("IF(ISBLANK(A1627),IFERROR(1/0),IF(COUNT(FILTER(G:G,((A:A=A1627)*(B:B=""V""))))&gt;1,TRUNC(N1627*G1627/SUM(FILTER(N:N,((A:A=A1627)*(B:B=""V"")))),3),G1627))"),"")</f>
        <v/>
      </c>
      <c r="L1627" s="148" t="str">
        <f>IFERROR(__xludf.DUMMYFUNCTION("if($C1627="""","""",iferror(if(row()&lt;&gt;2,INDEX(arrayformula(filter($M$2:$M1626,$C$2:$C1626&lt;&gt;"""",row($C$2:$C1626)=max(if($C$2:$C1626=C1627,row($C$2:$C1626),0)))) ,1),0),0))"),"")</f>
        <v/>
      </c>
      <c r="M1627" s="148" t="str">
        <f t="shared" si="1"/>
        <v/>
      </c>
      <c r="N1627" s="147" t="str">
        <f t="shared" si="2"/>
        <v/>
      </c>
      <c r="O1627" s="147" t="str">
        <f t="shared" si="21"/>
        <v/>
      </c>
      <c r="P1627" s="147" t="str">
        <f>IFERROR(__xludf.DUMMYFUNCTION("if(C1627="""","""",iferror(if(row()&lt;&gt;2,INDEX(arrayformula(filter($Q$2:$Q1626,$C$2:$C1626&lt;&gt;"""",row($C$2:$C1626)=max(if($C$2:$C1626=C1627,row($C$2:$C1626),0)))) ,1),0),0))"),"")</f>
        <v/>
      </c>
      <c r="Q1627" s="147" t="str">
        <f t="shared" si="22"/>
        <v/>
      </c>
      <c r="R1627" s="147" t="str">
        <f t="shared" si="23"/>
        <v/>
      </c>
      <c r="S1627" s="147" t="str">
        <f t="shared" si="24"/>
        <v/>
      </c>
      <c r="T1627" s="147" t="str">
        <f t="shared" si="7"/>
        <v/>
      </c>
      <c r="U1627" s="150" t="str">
        <f t="shared" si="8"/>
        <v/>
      </c>
      <c r="V1627" s="151" t="str">
        <f>IFERROR(VLOOKUP(C1627,Ativos!$A$1:$G2000,5,),)</f>
        <v/>
      </c>
    </row>
    <row r="1628" ht="21.0" customHeight="1">
      <c r="A1628" s="152"/>
      <c r="B1628" s="160"/>
      <c r="C1628" s="153"/>
      <c r="D1628" s="154"/>
      <c r="E1628" s="139"/>
      <c r="F1628" s="139"/>
      <c r="G1628" s="139"/>
      <c r="H1628" s="135"/>
      <c r="I1628" s="141"/>
      <c r="J1628" s="147" t="str">
        <f>IFERROR(__xludf.DUMMYFUNCTION("IF(ISBLANK(A1628),IFERROR(1/0),IF(COUNT(FILTER(F:F,A:A=A1628))&gt;1,TRUNC(N1628*F1628/SUM(FILTER(N:N,A:A=A1628)),3),F1628))"),"")</f>
        <v/>
      </c>
      <c r="K1628" s="147" t="str">
        <f>IFERROR(__xludf.DUMMYFUNCTION("IF(ISBLANK(A1628),IFERROR(1/0),IF(COUNT(FILTER(G:G,((A:A=A1628)*(B:B=""V""))))&gt;1,TRUNC(N1628*G1628/SUM(FILTER(N:N,((A:A=A1628)*(B:B=""V"")))),3),G1628))"),"")</f>
        <v/>
      </c>
      <c r="L1628" s="148" t="str">
        <f>IFERROR(__xludf.DUMMYFUNCTION("if($C1628="""","""",iferror(if(row()&lt;&gt;2,INDEX(arrayformula(filter($M$2:$M1627,$C$2:$C1627&lt;&gt;"""",row($C$2:$C1627)=max(if($C$2:$C1627=C1628,row($C$2:$C1627),0)))) ,1),0),0))"),"")</f>
        <v/>
      </c>
      <c r="M1628" s="148" t="str">
        <f t="shared" si="1"/>
        <v/>
      </c>
      <c r="N1628" s="147" t="str">
        <f t="shared" si="2"/>
        <v/>
      </c>
      <c r="O1628" s="147" t="str">
        <f t="shared" si="21"/>
        <v/>
      </c>
      <c r="P1628" s="147" t="str">
        <f>IFERROR(__xludf.DUMMYFUNCTION("if(C1628="""","""",iferror(if(row()&lt;&gt;2,INDEX(arrayformula(filter($Q$2:$Q1627,$C$2:$C1627&lt;&gt;"""",row($C$2:$C1627)=max(if($C$2:$C1627=C1628,row($C$2:$C1627),0)))) ,1),0),0))"),"")</f>
        <v/>
      </c>
      <c r="Q1628" s="147" t="str">
        <f t="shared" si="22"/>
        <v/>
      </c>
      <c r="R1628" s="147" t="str">
        <f t="shared" si="23"/>
        <v/>
      </c>
      <c r="S1628" s="147" t="str">
        <f t="shared" si="24"/>
        <v/>
      </c>
      <c r="T1628" s="147" t="str">
        <f t="shared" si="7"/>
        <v/>
      </c>
      <c r="U1628" s="150" t="str">
        <f t="shared" si="8"/>
        <v/>
      </c>
      <c r="V1628" s="151" t="str">
        <f>IFERROR(VLOOKUP(C1628,Ativos!$A$1:$G2000,5,),)</f>
        <v/>
      </c>
    </row>
    <row r="1629" ht="21.0" customHeight="1">
      <c r="A1629" s="152"/>
      <c r="B1629" s="160"/>
      <c r="C1629" s="153"/>
      <c r="D1629" s="154"/>
      <c r="E1629" s="139"/>
      <c r="F1629" s="139"/>
      <c r="G1629" s="139"/>
      <c r="H1629" s="135"/>
      <c r="I1629" s="141"/>
      <c r="J1629" s="147" t="str">
        <f>IFERROR(__xludf.DUMMYFUNCTION("IF(ISBLANK(A1629),IFERROR(1/0),IF(COUNT(FILTER(F:F,A:A=A1629))&gt;1,TRUNC(N1629*F1629/SUM(FILTER(N:N,A:A=A1629)),3),F1629))"),"")</f>
        <v/>
      </c>
      <c r="K1629" s="147" t="str">
        <f>IFERROR(__xludf.DUMMYFUNCTION("IF(ISBLANK(A1629),IFERROR(1/0),IF(COUNT(FILTER(G:G,((A:A=A1629)*(B:B=""V""))))&gt;1,TRUNC(N1629*G1629/SUM(FILTER(N:N,((A:A=A1629)*(B:B=""V"")))),3),G1629))"),"")</f>
        <v/>
      </c>
      <c r="L1629" s="148" t="str">
        <f>IFERROR(__xludf.DUMMYFUNCTION("if($C1629="""","""",iferror(if(row()&lt;&gt;2,INDEX(arrayformula(filter($M$2:$M1628,$C$2:$C1628&lt;&gt;"""",row($C$2:$C1628)=max(if($C$2:$C1628=C1629,row($C$2:$C1628),0)))) ,1),0),0))"),"")</f>
        <v/>
      </c>
      <c r="M1629" s="148" t="str">
        <f t="shared" si="1"/>
        <v/>
      </c>
      <c r="N1629" s="147" t="str">
        <f t="shared" si="2"/>
        <v/>
      </c>
      <c r="O1629" s="147" t="str">
        <f t="shared" si="21"/>
        <v/>
      </c>
      <c r="P1629" s="147" t="str">
        <f>IFERROR(__xludf.DUMMYFUNCTION("if(C1629="""","""",iferror(if(row()&lt;&gt;2,INDEX(arrayformula(filter($Q$2:$Q1628,$C$2:$C1628&lt;&gt;"""",row($C$2:$C1628)=max(if($C$2:$C1628=C1629,row($C$2:$C1628),0)))) ,1),0),0))"),"")</f>
        <v/>
      </c>
      <c r="Q1629" s="147" t="str">
        <f t="shared" si="22"/>
        <v/>
      </c>
      <c r="R1629" s="147" t="str">
        <f t="shared" si="23"/>
        <v/>
      </c>
      <c r="S1629" s="147" t="str">
        <f t="shared" si="24"/>
        <v/>
      </c>
      <c r="T1629" s="147" t="str">
        <f t="shared" si="7"/>
        <v/>
      </c>
      <c r="U1629" s="150" t="str">
        <f t="shared" si="8"/>
        <v/>
      </c>
      <c r="V1629" s="151" t="str">
        <f>IFERROR(VLOOKUP(C1629,Ativos!$A$1:$G2000,5,),)</f>
        <v/>
      </c>
    </row>
    <row r="1630" ht="21.0" customHeight="1">
      <c r="A1630" s="152"/>
      <c r="B1630" s="160"/>
      <c r="C1630" s="153"/>
      <c r="D1630" s="154"/>
      <c r="E1630" s="139"/>
      <c r="F1630" s="139"/>
      <c r="G1630" s="139"/>
      <c r="H1630" s="135"/>
      <c r="I1630" s="141"/>
      <c r="J1630" s="147" t="str">
        <f>IFERROR(__xludf.DUMMYFUNCTION("IF(ISBLANK(A1630),IFERROR(1/0),IF(COUNT(FILTER(F:F,A:A=A1630))&gt;1,TRUNC(N1630*F1630/SUM(FILTER(N:N,A:A=A1630)),3),F1630))"),"")</f>
        <v/>
      </c>
      <c r="K1630" s="147" t="str">
        <f>IFERROR(__xludf.DUMMYFUNCTION("IF(ISBLANK(A1630),IFERROR(1/0),IF(COUNT(FILTER(G:G,((A:A=A1630)*(B:B=""V""))))&gt;1,TRUNC(N1630*G1630/SUM(FILTER(N:N,((A:A=A1630)*(B:B=""V"")))),3),G1630))"),"")</f>
        <v/>
      </c>
      <c r="L1630" s="148" t="str">
        <f>IFERROR(__xludf.DUMMYFUNCTION("if($C1630="""","""",iferror(if(row()&lt;&gt;2,INDEX(arrayformula(filter($M$2:$M1629,$C$2:$C1629&lt;&gt;"""",row($C$2:$C1629)=max(if($C$2:$C1629=C1630,row($C$2:$C1629),0)))) ,1),0),0))"),"")</f>
        <v/>
      </c>
      <c r="M1630" s="148" t="str">
        <f t="shared" si="1"/>
        <v/>
      </c>
      <c r="N1630" s="147" t="str">
        <f t="shared" si="2"/>
        <v/>
      </c>
      <c r="O1630" s="147" t="str">
        <f t="shared" si="21"/>
        <v/>
      </c>
      <c r="P1630" s="147" t="str">
        <f>IFERROR(__xludf.DUMMYFUNCTION("if(C1630="""","""",iferror(if(row()&lt;&gt;2,INDEX(arrayformula(filter($Q$2:$Q1629,$C$2:$C1629&lt;&gt;"""",row($C$2:$C1629)=max(if($C$2:$C1629=C1630,row($C$2:$C1629),0)))) ,1),0),0))"),"")</f>
        <v/>
      </c>
      <c r="Q1630" s="147" t="str">
        <f t="shared" si="22"/>
        <v/>
      </c>
      <c r="R1630" s="147" t="str">
        <f t="shared" si="23"/>
        <v/>
      </c>
      <c r="S1630" s="147" t="str">
        <f t="shared" si="24"/>
        <v/>
      </c>
      <c r="T1630" s="147" t="str">
        <f t="shared" si="7"/>
        <v/>
      </c>
      <c r="U1630" s="150" t="str">
        <f t="shared" si="8"/>
        <v/>
      </c>
      <c r="V1630" s="151" t="str">
        <f>IFERROR(VLOOKUP(C1630,Ativos!$A$1:$G2000,5,),)</f>
        <v/>
      </c>
    </row>
    <row r="1631" ht="21.0" customHeight="1">
      <c r="A1631" s="152"/>
      <c r="B1631" s="160"/>
      <c r="C1631" s="153"/>
      <c r="D1631" s="154"/>
      <c r="E1631" s="139"/>
      <c r="F1631" s="139"/>
      <c r="G1631" s="139"/>
      <c r="H1631" s="135"/>
      <c r="I1631" s="141"/>
      <c r="J1631" s="147" t="str">
        <f>IFERROR(__xludf.DUMMYFUNCTION("IF(ISBLANK(A1631),IFERROR(1/0),IF(COUNT(FILTER(F:F,A:A=A1631))&gt;1,TRUNC(N1631*F1631/SUM(FILTER(N:N,A:A=A1631)),3),F1631))"),"")</f>
        <v/>
      </c>
      <c r="K1631" s="147" t="str">
        <f>IFERROR(__xludf.DUMMYFUNCTION("IF(ISBLANK(A1631),IFERROR(1/0),IF(COUNT(FILTER(G:G,((A:A=A1631)*(B:B=""V""))))&gt;1,TRUNC(N1631*G1631/SUM(FILTER(N:N,((A:A=A1631)*(B:B=""V"")))),3),G1631))"),"")</f>
        <v/>
      </c>
      <c r="L1631" s="148" t="str">
        <f>IFERROR(__xludf.DUMMYFUNCTION("if($C1631="""","""",iferror(if(row()&lt;&gt;2,INDEX(arrayformula(filter($M$2:$M1630,$C$2:$C1630&lt;&gt;"""",row($C$2:$C1630)=max(if($C$2:$C1630=C1631,row($C$2:$C1630),0)))) ,1),0),0))"),"")</f>
        <v/>
      </c>
      <c r="M1631" s="148" t="str">
        <f t="shared" si="1"/>
        <v/>
      </c>
      <c r="N1631" s="147" t="str">
        <f t="shared" si="2"/>
        <v/>
      </c>
      <c r="O1631" s="147" t="str">
        <f t="shared" si="21"/>
        <v/>
      </c>
      <c r="P1631" s="147" t="str">
        <f>IFERROR(__xludf.DUMMYFUNCTION("if(C1631="""","""",iferror(if(row()&lt;&gt;2,INDEX(arrayformula(filter($Q$2:$Q1630,$C$2:$C1630&lt;&gt;"""",row($C$2:$C1630)=max(if($C$2:$C1630=C1631,row($C$2:$C1630),0)))) ,1),0),0))"),"")</f>
        <v/>
      </c>
      <c r="Q1631" s="147" t="str">
        <f t="shared" si="22"/>
        <v/>
      </c>
      <c r="R1631" s="147" t="str">
        <f t="shared" si="23"/>
        <v/>
      </c>
      <c r="S1631" s="147" t="str">
        <f t="shared" si="24"/>
        <v/>
      </c>
      <c r="T1631" s="147" t="str">
        <f t="shared" si="7"/>
        <v/>
      </c>
      <c r="U1631" s="150" t="str">
        <f t="shared" si="8"/>
        <v/>
      </c>
      <c r="V1631" s="151" t="str">
        <f>IFERROR(VLOOKUP(C1631,Ativos!$A$1:$G2000,5,),)</f>
        <v/>
      </c>
    </row>
    <row r="1632" ht="21.0" customHeight="1">
      <c r="A1632" s="152"/>
      <c r="B1632" s="160"/>
      <c r="C1632" s="153"/>
      <c r="D1632" s="154"/>
      <c r="E1632" s="139"/>
      <c r="F1632" s="139"/>
      <c r="G1632" s="139"/>
      <c r="H1632" s="135"/>
      <c r="I1632" s="141"/>
      <c r="J1632" s="147" t="str">
        <f>IFERROR(__xludf.DUMMYFUNCTION("IF(ISBLANK(A1632),IFERROR(1/0),IF(COUNT(FILTER(F:F,A:A=A1632))&gt;1,TRUNC(N1632*F1632/SUM(FILTER(N:N,A:A=A1632)),3),F1632))"),"")</f>
        <v/>
      </c>
      <c r="K1632" s="147" t="str">
        <f>IFERROR(__xludf.DUMMYFUNCTION("IF(ISBLANK(A1632),IFERROR(1/0),IF(COUNT(FILTER(G:G,((A:A=A1632)*(B:B=""V""))))&gt;1,TRUNC(N1632*G1632/SUM(FILTER(N:N,((A:A=A1632)*(B:B=""V"")))),3),G1632))"),"")</f>
        <v/>
      </c>
      <c r="L1632" s="148" t="str">
        <f>IFERROR(__xludf.DUMMYFUNCTION("if($C1632="""","""",iferror(if(row()&lt;&gt;2,INDEX(arrayformula(filter($M$2:$M1631,$C$2:$C1631&lt;&gt;"""",row($C$2:$C1631)=max(if($C$2:$C1631=C1632,row($C$2:$C1631),0)))) ,1),0),0))"),"")</f>
        <v/>
      </c>
      <c r="M1632" s="148" t="str">
        <f t="shared" si="1"/>
        <v/>
      </c>
      <c r="N1632" s="147" t="str">
        <f t="shared" si="2"/>
        <v/>
      </c>
      <c r="O1632" s="147" t="str">
        <f t="shared" si="21"/>
        <v/>
      </c>
      <c r="P1632" s="147" t="str">
        <f>IFERROR(__xludf.DUMMYFUNCTION("if(C1632="""","""",iferror(if(row()&lt;&gt;2,INDEX(arrayformula(filter($Q$2:$Q1631,$C$2:$C1631&lt;&gt;"""",row($C$2:$C1631)=max(if($C$2:$C1631=C1632,row($C$2:$C1631),0)))) ,1),0),0))"),"")</f>
        <v/>
      </c>
      <c r="Q1632" s="147" t="str">
        <f t="shared" si="22"/>
        <v/>
      </c>
      <c r="R1632" s="147" t="str">
        <f t="shared" si="23"/>
        <v/>
      </c>
      <c r="S1632" s="147" t="str">
        <f t="shared" si="24"/>
        <v/>
      </c>
      <c r="T1632" s="147" t="str">
        <f t="shared" si="7"/>
        <v/>
      </c>
      <c r="U1632" s="150" t="str">
        <f t="shared" si="8"/>
        <v/>
      </c>
      <c r="V1632" s="151" t="str">
        <f>IFERROR(VLOOKUP(C1632,Ativos!$A$1:$G2000,5,),)</f>
        <v/>
      </c>
    </row>
    <row r="1633" ht="21.0" customHeight="1">
      <c r="A1633" s="152"/>
      <c r="B1633" s="160"/>
      <c r="C1633" s="153"/>
      <c r="D1633" s="154"/>
      <c r="E1633" s="139"/>
      <c r="F1633" s="139"/>
      <c r="G1633" s="139"/>
      <c r="H1633" s="135"/>
      <c r="I1633" s="141"/>
      <c r="J1633" s="147" t="str">
        <f>IFERROR(__xludf.DUMMYFUNCTION("IF(ISBLANK(A1633),IFERROR(1/0),IF(COUNT(FILTER(F:F,A:A=A1633))&gt;1,TRUNC(N1633*F1633/SUM(FILTER(N:N,A:A=A1633)),3),F1633))"),"")</f>
        <v/>
      </c>
      <c r="K1633" s="147" t="str">
        <f>IFERROR(__xludf.DUMMYFUNCTION("IF(ISBLANK(A1633),IFERROR(1/0),IF(COUNT(FILTER(G:G,((A:A=A1633)*(B:B=""V""))))&gt;1,TRUNC(N1633*G1633/SUM(FILTER(N:N,((A:A=A1633)*(B:B=""V"")))),3),G1633))"),"")</f>
        <v/>
      </c>
      <c r="L1633" s="148" t="str">
        <f>IFERROR(__xludf.DUMMYFUNCTION("if($C1633="""","""",iferror(if(row()&lt;&gt;2,INDEX(arrayformula(filter($M$2:$M1632,$C$2:$C1632&lt;&gt;"""",row($C$2:$C1632)=max(if($C$2:$C1632=C1633,row($C$2:$C1632),0)))) ,1),0),0))"),"")</f>
        <v/>
      </c>
      <c r="M1633" s="148" t="str">
        <f t="shared" si="1"/>
        <v/>
      </c>
      <c r="N1633" s="147" t="str">
        <f t="shared" si="2"/>
        <v/>
      </c>
      <c r="O1633" s="147" t="str">
        <f t="shared" si="21"/>
        <v/>
      </c>
      <c r="P1633" s="147" t="str">
        <f>IFERROR(__xludf.DUMMYFUNCTION("if(C1633="""","""",iferror(if(row()&lt;&gt;2,INDEX(arrayformula(filter($Q$2:$Q1632,$C$2:$C1632&lt;&gt;"""",row($C$2:$C1632)=max(if($C$2:$C1632=C1633,row($C$2:$C1632),0)))) ,1),0),0))"),"")</f>
        <v/>
      </c>
      <c r="Q1633" s="147" t="str">
        <f t="shared" si="22"/>
        <v/>
      </c>
      <c r="R1633" s="147" t="str">
        <f t="shared" si="23"/>
        <v/>
      </c>
      <c r="S1633" s="147" t="str">
        <f t="shared" si="24"/>
        <v/>
      </c>
      <c r="T1633" s="147" t="str">
        <f t="shared" si="7"/>
        <v/>
      </c>
      <c r="U1633" s="150" t="str">
        <f t="shared" si="8"/>
        <v/>
      </c>
      <c r="V1633" s="151" t="str">
        <f>IFERROR(VLOOKUP(C1633,Ativos!$A$1:$G2000,5,),)</f>
        <v/>
      </c>
    </row>
    <row r="1634" ht="21.0" customHeight="1">
      <c r="A1634" s="152"/>
      <c r="B1634" s="160"/>
      <c r="C1634" s="153"/>
      <c r="D1634" s="154"/>
      <c r="E1634" s="139"/>
      <c r="F1634" s="139"/>
      <c r="G1634" s="139"/>
      <c r="H1634" s="135"/>
      <c r="I1634" s="141"/>
      <c r="J1634" s="147" t="str">
        <f>IFERROR(__xludf.DUMMYFUNCTION("IF(ISBLANK(A1634),IFERROR(1/0),IF(COUNT(FILTER(F:F,A:A=A1634))&gt;1,TRUNC(N1634*F1634/SUM(FILTER(N:N,A:A=A1634)),3),F1634))"),"")</f>
        <v/>
      </c>
      <c r="K1634" s="147" t="str">
        <f>IFERROR(__xludf.DUMMYFUNCTION("IF(ISBLANK(A1634),IFERROR(1/0),IF(COUNT(FILTER(G:G,((A:A=A1634)*(B:B=""V""))))&gt;1,TRUNC(N1634*G1634/SUM(FILTER(N:N,((A:A=A1634)*(B:B=""V"")))),3),G1634))"),"")</f>
        <v/>
      </c>
      <c r="L1634" s="148" t="str">
        <f>IFERROR(__xludf.DUMMYFUNCTION("if($C1634="""","""",iferror(if(row()&lt;&gt;2,INDEX(arrayformula(filter($M$2:$M1633,$C$2:$C1633&lt;&gt;"""",row($C$2:$C1633)=max(if($C$2:$C1633=C1634,row($C$2:$C1633),0)))) ,1),0),0))"),"")</f>
        <v/>
      </c>
      <c r="M1634" s="148" t="str">
        <f t="shared" si="1"/>
        <v/>
      </c>
      <c r="N1634" s="147" t="str">
        <f t="shared" si="2"/>
        <v/>
      </c>
      <c r="O1634" s="147" t="str">
        <f t="shared" si="21"/>
        <v/>
      </c>
      <c r="P1634" s="147" t="str">
        <f>IFERROR(__xludf.DUMMYFUNCTION("if(C1634="""","""",iferror(if(row()&lt;&gt;2,INDEX(arrayformula(filter($Q$2:$Q1633,$C$2:$C1633&lt;&gt;"""",row($C$2:$C1633)=max(if($C$2:$C1633=C1634,row($C$2:$C1633),0)))) ,1),0),0))"),"")</f>
        <v/>
      </c>
      <c r="Q1634" s="147" t="str">
        <f t="shared" si="22"/>
        <v/>
      </c>
      <c r="R1634" s="147" t="str">
        <f t="shared" si="23"/>
        <v/>
      </c>
      <c r="S1634" s="147" t="str">
        <f t="shared" si="24"/>
        <v/>
      </c>
      <c r="T1634" s="147" t="str">
        <f t="shared" si="7"/>
        <v/>
      </c>
      <c r="U1634" s="150" t="str">
        <f t="shared" si="8"/>
        <v/>
      </c>
      <c r="V1634" s="151" t="str">
        <f>IFERROR(VLOOKUP(C1634,Ativos!$A$1:$G2000,5,),)</f>
        <v/>
      </c>
    </row>
    <row r="1635" ht="21.0" customHeight="1">
      <c r="A1635" s="152"/>
      <c r="B1635" s="160"/>
      <c r="C1635" s="153"/>
      <c r="D1635" s="154"/>
      <c r="E1635" s="139"/>
      <c r="F1635" s="139"/>
      <c r="G1635" s="139"/>
      <c r="H1635" s="135"/>
      <c r="I1635" s="141"/>
      <c r="J1635" s="147" t="str">
        <f>IFERROR(__xludf.DUMMYFUNCTION("IF(ISBLANK(A1635),IFERROR(1/0),IF(COUNT(FILTER(F:F,A:A=A1635))&gt;1,TRUNC(N1635*F1635/SUM(FILTER(N:N,A:A=A1635)),3),F1635))"),"")</f>
        <v/>
      </c>
      <c r="K1635" s="147" t="str">
        <f>IFERROR(__xludf.DUMMYFUNCTION("IF(ISBLANK(A1635),IFERROR(1/0),IF(COUNT(FILTER(G:G,((A:A=A1635)*(B:B=""V""))))&gt;1,TRUNC(N1635*G1635/SUM(FILTER(N:N,((A:A=A1635)*(B:B=""V"")))),3),G1635))"),"")</f>
        <v/>
      </c>
      <c r="L1635" s="148" t="str">
        <f>IFERROR(__xludf.DUMMYFUNCTION("if($C1635="""","""",iferror(if(row()&lt;&gt;2,INDEX(arrayformula(filter($M$2:$M1634,$C$2:$C1634&lt;&gt;"""",row($C$2:$C1634)=max(if($C$2:$C1634=C1635,row($C$2:$C1634),0)))) ,1),0),0))"),"")</f>
        <v/>
      </c>
      <c r="M1635" s="148" t="str">
        <f t="shared" si="1"/>
        <v/>
      </c>
      <c r="N1635" s="147" t="str">
        <f t="shared" si="2"/>
        <v/>
      </c>
      <c r="O1635" s="147" t="str">
        <f t="shared" si="21"/>
        <v/>
      </c>
      <c r="P1635" s="147" t="str">
        <f>IFERROR(__xludf.DUMMYFUNCTION("if(C1635="""","""",iferror(if(row()&lt;&gt;2,INDEX(arrayformula(filter($Q$2:$Q1634,$C$2:$C1634&lt;&gt;"""",row($C$2:$C1634)=max(if($C$2:$C1634=C1635,row($C$2:$C1634),0)))) ,1),0),0))"),"")</f>
        <v/>
      </c>
      <c r="Q1635" s="147" t="str">
        <f t="shared" si="22"/>
        <v/>
      </c>
      <c r="R1635" s="147" t="str">
        <f t="shared" si="23"/>
        <v/>
      </c>
      <c r="S1635" s="147" t="str">
        <f t="shared" si="24"/>
        <v/>
      </c>
      <c r="T1635" s="147" t="str">
        <f t="shared" si="7"/>
        <v/>
      </c>
      <c r="U1635" s="150" t="str">
        <f t="shared" si="8"/>
        <v/>
      </c>
      <c r="V1635" s="151" t="str">
        <f>IFERROR(VLOOKUP(C1635,Ativos!$A$1:$G2000,5,),)</f>
        <v/>
      </c>
    </row>
    <row r="1636" ht="21.0" customHeight="1">
      <c r="A1636" s="152"/>
      <c r="B1636" s="160"/>
      <c r="C1636" s="153"/>
      <c r="D1636" s="154"/>
      <c r="E1636" s="139"/>
      <c r="F1636" s="139"/>
      <c r="G1636" s="139"/>
      <c r="H1636" s="135"/>
      <c r="I1636" s="141"/>
      <c r="J1636" s="147" t="str">
        <f>IFERROR(__xludf.DUMMYFUNCTION("IF(ISBLANK(A1636),IFERROR(1/0),IF(COUNT(FILTER(F:F,A:A=A1636))&gt;1,TRUNC(N1636*F1636/SUM(FILTER(N:N,A:A=A1636)),3),F1636))"),"")</f>
        <v/>
      </c>
      <c r="K1636" s="147" t="str">
        <f>IFERROR(__xludf.DUMMYFUNCTION("IF(ISBLANK(A1636),IFERROR(1/0),IF(COUNT(FILTER(G:G,((A:A=A1636)*(B:B=""V""))))&gt;1,TRUNC(N1636*G1636/SUM(FILTER(N:N,((A:A=A1636)*(B:B=""V"")))),3),G1636))"),"")</f>
        <v/>
      </c>
      <c r="L1636" s="148" t="str">
        <f>IFERROR(__xludf.DUMMYFUNCTION("if($C1636="""","""",iferror(if(row()&lt;&gt;2,INDEX(arrayformula(filter($M$2:$M1635,$C$2:$C1635&lt;&gt;"""",row($C$2:$C1635)=max(if($C$2:$C1635=C1636,row($C$2:$C1635),0)))) ,1),0),0))"),"")</f>
        <v/>
      </c>
      <c r="M1636" s="148" t="str">
        <f t="shared" si="1"/>
        <v/>
      </c>
      <c r="N1636" s="147" t="str">
        <f t="shared" si="2"/>
        <v/>
      </c>
      <c r="O1636" s="147" t="str">
        <f t="shared" si="21"/>
        <v/>
      </c>
      <c r="P1636" s="147" t="str">
        <f>IFERROR(__xludf.DUMMYFUNCTION("if(C1636="""","""",iferror(if(row()&lt;&gt;2,INDEX(arrayformula(filter($Q$2:$Q1635,$C$2:$C1635&lt;&gt;"""",row($C$2:$C1635)=max(if($C$2:$C1635=C1636,row($C$2:$C1635),0)))) ,1),0),0))"),"")</f>
        <v/>
      </c>
      <c r="Q1636" s="147" t="str">
        <f t="shared" si="22"/>
        <v/>
      </c>
      <c r="R1636" s="147" t="str">
        <f t="shared" si="23"/>
        <v/>
      </c>
      <c r="S1636" s="147" t="str">
        <f t="shared" si="24"/>
        <v/>
      </c>
      <c r="T1636" s="147" t="str">
        <f t="shared" si="7"/>
        <v/>
      </c>
      <c r="U1636" s="150" t="str">
        <f t="shared" si="8"/>
        <v/>
      </c>
      <c r="V1636" s="151" t="str">
        <f>IFERROR(VLOOKUP(C1636,Ativos!$A$1:$G2000,5,),)</f>
        <v/>
      </c>
    </row>
    <row r="1637" ht="21.0" customHeight="1">
      <c r="A1637" s="152"/>
      <c r="B1637" s="160"/>
      <c r="C1637" s="153"/>
      <c r="D1637" s="154"/>
      <c r="E1637" s="139"/>
      <c r="F1637" s="139"/>
      <c r="G1637" s="139"/>
      <c r="H1637" s="135"/>
      <c r="I1637" s="141"/>
      <c r="J1637" s="147" t="str">
        <f>IFERROR(__xludf.DUMMYFUNCTION("IF(ISBLANK(A1637),IFERROR(1/0),IF(COUNT(FILTER(F:F,A:A=A1637))&gt;1,TRUNC(N1637*F1637/SUM(FILTER(N:N,A:A=A1637)),3),F1637))"),"")</f>
        <v/>
      </c>
      <c r="K1637" s="147" t="str">
        <f>IFERROR(__xludf.DUMMYFUNCTION("IF(ISBLANK(A1637),IFERROR(1/0),IF(COUNT(FILTER(G:G,((A:A=A1637)*(B:B=""V""))))&gt;1,TRUNC(N1637*G1637/SUM(FILTER(N:N,((A:A=A1637)*(B:B=""V"")))),3),G1637))"),"")</f>
        <v/>
      </c>
      <c r="L1637" s="148" t="str">
        <f>IFERROR(__xludf.DUMMYFUNCTION("if($C1637="""","""",iferror(if(row()&lt;&gt;2,INDEX(arrayformula(filter($M$2:$M1636,$C$2:$C1636&lt;&gt;"""",row($C$2:$C1636)=max(if($C$2:$C1636=C1637,row($C$2:$C1636),0)))) ,1),0),0))"),"")</f>
        <v/>
      </c>
      <c r="M1637" s="148" t="str">
        <f t="shared" si="1"/>
        <v/>
      </c>
      <c r="N1637" s="147" t="str">
        <f t="shared" si="2"/>
        <v/>
      </c>
      <c r="O1637" s="147" t="str">
        <f t="shared" si="21"/>
        <v/>
      </c>
      <c r="P1637" s="147" t="str">
        <f>IFERROR(__xludf.DUMMYFUNCTION("if(C1637="""","""",iferror(if(row()&lt;&gt;2,INDEX(arrayformula(filter($Q$2:$Q1636,$C$2:$C1636&lt;&gt;"""",row($C$2:$C1636)=max(if($C$2:$C1636=C1637,row($C$2:$C1636),0)))) ,1),0),0))"),"")</f>
        <v/>
      </c>
      <c r="Q1637" s="147" t="str">
        <f t="shared" si="22"/>
        <v/>
      </c>
      <c r="R1637" s="147" t="str">
        <f t="shared" si="23"/>
        <v/>
      </c>
      <c r="S1637" s="147" t="str">
        <f t="shared" si="24"/>
        <v/>
      </c>
      <c r="T1637" s="147" t="str">
        <f t="shared" si="7"/>
        <v/>
      </c>
      <c r="U1637" s="150" t="str">
        <f t="shared" si="8"/>
        <v/>
      </c>
      <c r="V1637" s="151" t="str">
        <f>IFERROR(VLOOKUP(C1637,Ativos!$A$1:$G2000,5,),)</f>
        <v/>
      </c>
    </row>
    <row r="1638" ht="21.0" customHeight="1">
      <c r="A1638" s="152"/>
      <c r="B1638" s="160"/>
      <c r="C1638" s="153"/>
      <c r="D1638" s="154"/>
      <c r="E1638" s="139"/>
      <c r="F1638" s="139"/>
      <c r="G1638" s="139"/>
      <c r="H1638" s="135"/>
      <c r="I1638" s="141"/>
      <c r="J1638" s="147" t="str">
        <f>IFERROR(__xludf.DUMMYFUNCTION("IF(ISBLANK(A1638),IFERROR(1/0),IF(COUNT(FILTER(F:F,A:A=A1638))&gt;1,TRUNC(N1638*F1638/SUM(FILTER(N:N,A:A=A1638)),3),F1638))"),"")</f>
        <v/>
      </c>
      <c r="K1638" s="147" t="str">
        <f>IFERROR(__xludf.DUMMYFUNCTION("IF(ISBLANK(A1638),IFERROR(1/0),IF(COUNT(FILTER(G:G,((A:A=A1638)*(B:B=""V""))))&gt;1,TRUNC(N1638*G1638/SUM(FILTER(N:N,((A:A=A1638)*(B:B=""V"")))),3),G1638))"),"")</f>
        <v/>
      </c>
      <c r="L1638" s="148" t="str">
        <f>IFERROR(__xludf.DUMMYFUNCTION("if($C1638="""","""",iferror(if(row()&lt;&gt;2,INDEX(arrayformula(filter($M$2:$M1637,$C$2:$C1637&lt;&gt;"""",row($C$2:$C1637)=max(if($C$2:$C1637=C1638,row($C$2:$C1637),0)))) ,1),0),0))"),"")</f>
        <v/>
      </c>
      <c r="M1638" s="148" t="str">
        <f t="shared" si="1"/>
        <v/>
      </c>
      <c r="N1638" s="147" t="str">
        <f t="shared" si="2"/>
        <v/>
      </c>
      <c r="O1638" s="147" t="str">
        <f t="shared" si="21"/>
        <v/>
      </c>
      <c r="P1638" s="147" t="str">
        <f>IFERROR(__xludf.DUMMYFUNCTION("if(C1638="""","""",iferror(if(row()&lt;&gt;2,INDEX(arrayformula(filter($Q$2:$Q1637,$C$2:$C1637&lt;&gt;"""",row($C$2:$C1637)=max(if($C$2:$C1637=C1638,row($C$2:$C1637),0)))) ,1),0),0))"),"")</f>
        <v/>
      </c>
      <c r="Q1638" s="147" t="str">
        <f t="shared" si="22"/>
        <v/>
      </c>
      <c r="R1638" s="147" t="str">
        <f t="shared" si="23"/>
        <v/>
      </c>
      <c r="S1638" s="147" t="str">
        <f t="shared" si="24"/>
        <v/>
      </c>
      <c r="T1638" s="147" t="str">
        <f t="shared" si="7"/>
        <v/>
      </c>
      <c r="U1638" s="150" t="str">
        <f t="shared" si="8"/>
        <v/>
      </c>
      <c r="V1638" s="151" t="str">
        <f>IFERROR(VLOOKUP(C1638,Ativos!$A$1:$G2000,5,),)</f>
        <v/>
      </c>
    </row>
    <row r="1639" ht="21.0" customHeight="1">
      <c r="A1639" s="152"/>
      <c r="B1639" s="160"/>
      <c r="C1639" s="153"/>
      <c r="D1639" s="154"/>
      <c r="E1639" s="139"/>
      <c r="F1639" s="139"/>
      <c r="G1639" s="139"/>
      <c r="H1639" s="135"/>
      <c r="I1639" s="141"/>
      <c r="J1639" s="147" t="str">
        <f>IFERROR(__xludf.DUMMYFUNCTION("IF(ISBLANK(A1639),IFERROR(1/0),IF(COUNT(FILTER(F:F,A:A=A1639))&gt;1,TRUNC(N1639*F1639/SUM(FILTER(N:N,A:A=A1639)),3),F1639))"),"")</f>
        <v/>
      </c>
      <c r="K1639" s="147" t="str">
        <f>IFERROR(__xludf.DUMMYFUNCTION("IF(ISBLANK(A1639),IFERROR(1/0),IF(COUNT(FILTER(G:G,((A:A=A1639)*(B:B=""V""))))&gt;1,TRUNC(N1639*G1639/SUM(FILTER(N:N,((A:A=A1639)*(B:B=""V"")))),3),G1639))"),"")</f>
        <v/>
      </c>
      <c r="L1639" s="148" t="str">
        <f>IFERROR(__xludf.DUMMYFUNCTION("if($C1639="""","""",iferror(if(row()&lt;&gt;2,INDEX(arrayformula(filter($M$2:$M1638,$C$2:$C1638&lt;&gt;"""",row($C$2:$C1638)=max(if($C$2:$C1638=C1639,row($C$2:$C1638),0)))) ,1),0),0))"),"")</f>
        <v/>
      </c>
      <c r="M1639" s="148" t="str">
        <f t="shared" si="1"/>
        <v/>
      </c>
      <c r="N1639" s="147" t="str">
        <f t="shared" si="2"/>
        <v/>
      </c>
      <c r="O1639" s="147" t="str">
        <f t="shared" si="21"/>
        <v/>
      </c>
      <c r="P1639" s="147" t="str">
        <f>IFERROR(__xludf.DUMMYFUNCTION("if(C1639="""","""",iferror(if(row()&lt;&gt;2,INDEX(arrayformula(filter($Q$2:$Q1638,$C$2:$C1638&lt;&gt;"""",row($C$2:$C1638)=max(if($C$2:$C1638=C1639,row($C$2:$C1638),0)))) ,1),0),0))"),"")</f>
        <v/>
      </c>
      <c r="Q1639" s="147" t="str">
        <f t="shared" si="22"/>
        <v/>
      </c>
      <c r="R1639" s="147" t="str">
        <f t="shared" si="23"/>
        <v/>
      </c>
      <c r="S1639" s="147" t="str">
        <f t="shared" si="24"/>
        <v/>
      </c>
      <c r="T1639" s="147" t="str">
        <f t="shared" si="7"/>
        <v/>
      </c>
      <c r="U1639" s="150" t="str">
        <f t="shared" si="8"/>
        <v/>
      </c>
      <c r="V1639" s="151" t="str">
        <f>IFERROR(VLOOKUP(C1639,Ativos!$A$1:$G2000,5,),)</f>
        <v/>
      </c>
    </row>
    <row r="1640" ht="21.0" customHeight="1">
      <c r="A1640" s="152"/>
      <c r="B1640" s="160"/>
      <c r="C1640" s="153"/>
      <c r="D1640" s="154"/>
      <c r="E1640" s="139"/>
      <c r="F1640" s="139"/>
      <c r="G1640" s="139"/>
      <c r="H1640" s="135"/>
      <c r="I1640" s="141"/>
      <c r="J1640" s="147" t="str">
        <f>IFERROR(__xludf.DUMMYFUNCTION("IF(ISBLANK(A1640),IFERROR(1/0),IF(COUNT(FILTER(F:F,A:A=A1640))&gt;1,TRUNC(N1640*F1640/SUM(FILTER(N:N,A:A=A1640)),3),F1640))"),"")</f>
        <v/>
      </c>
      <c r="K1640" s="147" t="str">
        <f>IFERROR(__xludf.DUMMYFUNCTION("IF(ISBLANK(A1640),IFERROR(1/0),IF(COUNT(FILTER(G:G,((A:A=A1640)*(B:B=""V""))))&gt;1,TRUNC(N1640*G1640/SUM(FILTER(N:N,((A:A=A1640)*(B:B=""V"")))),3),G1640))"),"")</f>
        <v/>
      </c>
      <c r="L1640" s="148" t="str">
        <f>IFERROR(__xludf.DUMMYFUNCTION("if($C1640="""","""",iferror(if(row()&lt;&gt;2,INDEX(arrayformula(filter($M$2:$M1639,$C$2:$C1639&lt;&gt;"""",row($C$2:$C1639)=max(if($C$2:$C1639=C1640,row($C$2:$C1639),0)))) ,1),0),0))"),"")</f>
        <v/>
      </c>
      <c r="M1640" s="148" t="str">
        <f t="shared" si="1"/>
        <v/>
      </c>
      <c r="N1640" s="147" t="str">
        <f t="shared" si="2"/>
        <v/>
      </c>
      <c r="O1640" s="147" t="str">
        <f t="shared" si="21"/>
        <v/>
      </c>
      <c r="P1640" s="147" t="str">
        <f>IFERROR(__xludf.DUMMYFUNCTION("if(C1640="""","""",iferror(if(row()&lt;&gt;2,INDEX(arrayformula(filter($Q$2:$Q1639,$C$2:$C1639&lt;&gt;"""",row($C$2:$C1639)=max(if($C$2:$C1639=C1640,row($C$2:$C1639),0)))) ,1),0),0))"),"")</f>
        <v/>
      </c>
      <c r="Q1640" s="147" t="str">
        <f t="shared" si="22"/>
        <v/>
      </c>
      <c r="R1640" s="147" t="str">
        <f t="shared" si="23"/>
        <v/>
      </c>
      <c r="S1640" s="147" t="str">
        <f t="shared" si="24"/>
        <v/>
      </c>
      <c r="T1640" s="147" t="str">
        <f t="shared" si="7"/>
        <v/>
      </c>
      <c r="U1640" s="150" t="str">
        <f t="shared" si="8"/>
        <v/>
      </c>
      <c r="V1640" s="151" t="str">
        <f>IFERROR(VLOOKUP(C1640,Ativos!$A$1:$G2000,5,),)</f>
        <v/>
      </c>
    </row>
    <row r="1641" ht="21.0" customHeight="1">
      <c r="A1641" s="152"/>
      <c r="B1641" s="160"/>
      <c r="C1641" s="153"/>
      <c r="D1641" s="154"/>
      <c r="E1641" s="139"/>
      <c r="F1641" s="139"/>
      <c r="G1641" s="139"/>
      <c r="H1641" s="135"/>
      <c r="I1641" s="141"/>
      <c r="J1641" s="147" t="str">
        <f>IFERROR(__xludf.DUMMYFUNCTION("IF(ISBLANK(A1641),IFERROR(1/0),IF(COUNT(FILTER(F:F,A:A=A1641))&gt;1,TRUNC(N1641*F1641/SUM(FILTER(N:N,A:A=A1641)),3),F1641))"),"")</f>
        <v/>
      </c>
      <c r="K1641" s="147" t="str">
        <f>IFERROR(__xludf.DUMMYFUNCTION("IF(ISBLANK(A1641),IFERROR(1/0),IF(COUNT(FILTER(G:G,((A:A=A1641)*(B:B=""V""))))&gt;1,TRUNC(N1641*G1641/SUM(FILTER(N:N,((A:A=A1641)*(B:B=""V"")))),3),G1641))"),"")</f>
        <v/>
      </c>
      <c r="L1641" s="148" t="str">
        <f>IFERROR(__xludf.DUMMYFUNCTION("if($C1641="""","""",iferror(if(row()&lt;&gt;2,INDEX(arrayformula(filter($M$2:$M1640,$C$2:$C1640&lt;&gt;"""",row($C$2:$C1640)=max(if($C$2:$C1640=C1641,row($C$2:$C1640),0)))) ,1),0),0))"),"")</f>
        <v/>
      </c>
      <c r="M1641" s="148" t="str">
        <f t="shared" si="1"/>
        <v/>
      </c>
      <c r="N1641" s="147" t="str">
        <f t="shared" si="2"/>
        <v/>
      </c>
      <c r="O1641" s="147" t="str">
        <f t="shared" si="21"/>
        <v/>
      </c>
      <c r="P1641" s="147" t="str">
        <f>IFERROR(__xludf.DUMMYFUNCTION("if(C1641="""","""",iferror(if(row()&lt;&gt;2,INDEX(arrayformula(filter($Q$2:$Q1640,$C$2:$C1640&lt;&gt;"""",row($C$2:$C1640)=max(if($C$2:$C1640=C1641,row($C$2:$C1640),0)))) ,1),0),0))"),"")</f>
        <v/>
      </c>
      <c r="Q1641" s="147" t="str">
        <f t="shared" si="22"/>
        <v/>
      </c>
      <c r="R1641" s="147" t="str">
        <f t="shared" si="23"/>
        <v/>
      </c>
      <c r="S1641" s="147" t="str">
        <f t="shared" si="24"/>
        <v/>
      </c>
      <c r="T1641" s="147" t="str">
        <f t="shared" si="7"/>
        <v/>
      </c>
      <c r="U1641" s="150" t="str">
        <f t="shared" si="8"/>
        <v/>
      </c>
      <c r="V1641" s="151" t="str">
        <f>IFERROR(VLOOKUP(C1641,Ativos!$A$1:$G2000,5,),)</f>
        <v/>
      </c>
    </row>
    <row r="1642" ht="21.0" customHeight="1">
      <c r="A1642" s="152"/>
      <c r="B1642" s="160"/>
      <c r="C1642" s="153"/>
      <c r="D1642" s="154"/>
      <c r="E1642" s="139"/>
      <c r="F1642" s="139"/>
      <c r="G1642" s="139"/>
      <c r="H1642" s="135"/>
      <c r="I1642" s="141"/>
      <c r="J1642" s="147" t="str">
        <f>IFERROR(__xludf.DUMMYFUNCTION("IF(ISBLANK(A1642),IFERROR(1/0),IF(COUNT(FILTER(F:F,A:A=A1642))&gt;1,TRUNC(N1642*F1642/SUM(FILTER(N:N,A:A=A1642)),3),F1642))"),"")</f>
        <v/>
      </c>
      <c r="K1642" s="147" t="str">
        <f>IFERROR(__xludf.DUMMYFUNCTION("IF(ISBLANK(A1642),IFERROR(1/0),IF(COUNT(FILTER(G:G,((A:A=A1642)*(B:B=""V""))))&gt;1,TRUNC(N1642*G1642/SUM(FILTER(N:N,((A:A=A1642)*(B:B=""V"")))),3),G1642))"),"")</f>
        <v/>
      </c>
      <c r="L1642" s="148" t="str">
        <f>IFERROR(__xludf.DUMMYFUNCTION("if($C1642="""","""",iferror(if(row()&lt;&gt;2,INDEX(arrayformula(filter($M$2:$M1641,$C$2:$C1641&lt;&gt;"""",row($C$2:$C1641)=max(if($C$2:$C1641=C1642,row($C$2:$C1641),0)))) ,1),0),0))"),"")</f>
        <v/>
      </c>
      <c r="M1642" s="148" t="str">
        <f t="shared" si="1"/>
        <v/>
      </c>
      <c r="N1642" s="147" t="str">
        <f t="shared" si="2"/>
        <v/>
      </c>
      <c r="O1642" s="147" t="str">
        <f t="shared" si="21"/>
        <v/>
      </c>
      <c r="P1642" s="147" t="str">
        <f>IFERROR(__xludf.DUMMYFUNCTION("if(C1642="""","""",iferror(if(row()&lt;&gt;2,INDEX(arrayformula(filter($Q$2:$Q1641,$C$2:$C1641&lt;&gt;"""",row($C$2:$C1641)=max(if($C$2:$C1641=C1642,row($C$2:$C1641),0)))) ,1),0),0))"),"")</f>
        <v/>
      </c>
      <c r="Q1642" s="147" t="str">
        <f t="shared" si="22"/>
        <v/>
      </c>
      <c r="R1642" s="147" t="str">
        <f t="shared" si="23"/>
        <v/>
      </c>
      <c r="S1642" s="147" t="str">
        <f t="shared" si="24"/>
        <v/>
      </c>
      <c r="T1642" s="147" t="str">
        <f t="shared" si="7"/>
        <v/>
      </c>
      <c r="U1642" s="150" t="str">
        <f t="shared" si="8"/>
        <v/>
      </c>
      <c r="V1642" s="151" t="str">
        <f>IFERROR(VLOOKUP(C1642,Ativos!$A$1:$G2000,5,),)</f>
        <v/>
      </c>
    </row>
    <row r="1643" ht="21.0" customHeight="1">
      <c r="A1643" s="152"/>
      <c r="B1643" s="160"/>
      <c r="C1643" s="153"/>
      <c r="D1643" s="154"/>
      <c r="E1643" s="139"/>
      <c r="F1643" s="139"/>
      <c r="G1643" s="139"/>
      <c r="H1643" s="135"/>
      <c r="I1643" s="141"/>
      <c r="J1643" s="147" t="str">
        <f>IFERROR(__xludf.DUMMYFUNCTION("IF(ISBLANK(A1643),IFERROR(1/0),IF(COUNT(FILTER(F:F,A:A=A1643))&gt;1,TRUNC(N1643*F1643/SUM(FILTER(N:N,A:A=A1643)),3),F1643))"),"")</f>
        <v/>
      </c>
      <c r="K1643" s="147" t="str">
        <f>IFERROR(__xludf.DUMMYFUNCTION("IF(ISBLANK(A1643),IFERROR(1/0),IF(COUNT(FILTER(G:G,((A:A=A1643)*(B:B=""V""))))&gt;1,TRUNC(N1643*G1643/SUM(FILTER(N:N,((A:A=A1643)*(B:B=""V"")))),3),G1643))"),"")</f>
        <v/>
      </c>
      <c r="L1643" s="148" t="str">
        <f>IFERROR(__xludf.DUMMYFUNCTION("if($C1643="""","""",iferror(if(row()&lt;&gt;2,INDEX(arrayformula(filter($M$2:$M1642,$C$2:$C1642&lt;&gt;"""",row($C$2:$C1642)=max(if($C$2:$C1642=C1643,row($C$2:$C1642),0)))) ,1),0),0))"),"")</f>
        <v/>
      </c>
      <c r="M1643" s="148" t="str">
        <f t="shared" si="1"/>
        <v/>
      </c>
      <c r="N1643" s="147" t="str">
        <f t="shared" si="2"/>
        <v/>
      </c>
      <c r="O1643" s="147" t="str">
        <f t="shared" si="21"/>
        <v/>
      </c>
      <c r="P1643" s="147" t="str">
        <f>IFERROR(__xludf.DUMMYFUNCTION("if(C1643="""","""",iferror(if(row()&lt;&gt;2,INDEX(arrayformula(filter($Q$2:$Q1642,$C$2:$C1642&lt;&gt;"""",row($C$2:$C1642)=max(if($C$2:$C1642=C1643,row($C$2:$C1642),0)))) ,1),0),0))"),"")</f>
        <v/>
      </c>
      <c r="Q1643" s="147" t="str">
        <f t="shared" si="22"/>
        <v/>
      </c>
      <c r="R1643" s="147" t="str">
        <f t="shared" si="23"/>
        <v/>
      </c>
      <c r="S1643" s="147" t="str">
        <f t="shared" si="24"/>
        <v/>
      </c>
      <c r="T1643" s="147" t="str">
        <f t="shared" si="7"/>
        <v/>
      </c>
      <c r="U1643" s="150" t="str">
        <f t="shared" si="8"/>
        <v/>
      </c>
      <c r="V1643" s="151" t="str">
        <f>IFERROR(VLOOKUP(C1643,Ativos!$A$1:$G2000,5,),)</f>
        <v/>
      </c>
    </row>
    <row r="1644" ht="21.0" customHeight="1">
      <c r="A1644" s="152"/>
      <c r="B1644" s="160"/>
      <c r="C1644" s="153"/>
      <c r="D1644" s="154"/>
      <c r="E1644" s="139"/>
      <c r="F1644" s="139"/>
      <c r="G1644" s="139"/>
      <c r="H1644" s="135"/>
      <c r="I1644" s="141"/>
      <c r="J1644" s="147" t="str">
        <f>IFERROR(__xludf.DUMMYFUNCTION("IF(ISBLANK(A1644),IFERROR(1/0),IF(COUNT(FILTER(F:F,A:A=A1644))&gt;1,TRUNC(N1644*F1644/SUM(FILTER(N:N,A:A=A1644)),3),F1644))"),"")</f>
        <v/>
      </c>
      <c r="K1644" s="147" t="str">
        <f>IFERROR(__xludf.DUMMYFUNCTION("IF(ISBLANK(A1644),IFERROR(1/0),IF(COUNT(FILTER(G:G,((A:A=A1644)*(B:B=""V""))))&gt;1,TRUNC(N1644*G1644/SUM(FILTER(N:N,((A:A=A1644)*(B:B=""V"")))),3),G1644))"),"")</f>
        <v/>
      </c>
      <c r="L1644" s="148" t="str">
        <f>IFERROR(__xludf.DUMMYFUNCTION("if($C1644="""","""",iferror(if(row()&lt;&gt;2,INDEX(arrayformula(filter($M$2:$M1643,$C$2:$C1643&lt;&gt;"""",row($C$2:$C1643)=max(if($C$2:$C1643=C1644,row($C$2:$C1643),0)))) ,1),0),0))"),"")</f>
        <v/>
      </c>
      <c r="M1644" s="148" t="str">
        <f t="shared" si="1"/>
        <v/>
      </c>
      <c r="N1644" s="147" t="str">
        <f t="shared" si="2"/>
        <v/>
      </c>
      <c r="O1644" s="147" t="str">
        <f t="shared" si="21"/>
        <v/>
      </c>
      <c r="P1644" s="147" t="str">
        <f>IFERROR(__xludf.DUMMYFUNCTION("if(C1644="""","""",iferror(if(row()&lt;&gt;2,INDEX(arrayformula(filter($Q$2:$Q1643,$C$2:$C1643&lt;&gt;"""",row($C$2:$C1643)=max(if($C$2:$C1643=C1644,row($C$2:$C1643),0)))) ,1),0),0))"),"")</f>
        <v/>
      </c>
      <c r="Q1644" s="147" t="str">
        <f t="shared" si="22"/>
        <v/>
      </c>
      <c r="R1644" s="147" t="str">
        <f t="shared" si="23"/>
        <v/>
      </c>
      <c r="S1644" s="147" t="str">
        <f t="shared" si="24"/>
        <v/>
      </c>
      <c r="T1644" s="147" t="str">
        <f t="shared" si="7"/>
        <v/>
      </c>
      <c r="U1644" s="150" t="str">
        <f t="shared" si="8"/>
        <v/>
      </c>
      <c r="V1644" s="151" t="str">
        <f>IFERROR(VLOOKUP(C1644,Ativos!$A$1:$G2000,5,),)</f>
        <v/>
      </c>
    </row>
    <row r="1645" ht="21.0" customHeight="1">
      <c r="A1645" s="152"/>
      <c r="B1645" s="160"/>
      <c r="C1645" s="153"/>
      <c r="D1645" s="154"/>
      <c r="E1645" s="139"/>
      <c r="F1645" s="139"/>
      <c r="G1645" s="139"/>
      <c r="H1645" s="135"/>
      <c r="I1645" s="141"/>
      <c r="J1645" s="147" t="str">
        <f>IFERROR(__xludf.DUMMYFUNCTION("IF(ISBLANK(A1645),IFERROR(1/0),IF(COUNT(FILTER(F:F,A:A=A1645))&gt;1,TRUNC(N1645*F1645/SUM(FILTER(N:N,A:A=A1645)),3),F1645))"),"")</f>
        <v/>
      </c>
      <c r="K1645" s="147" t="str">
        <f>IFERROR(__xludf.DUMMYFUNCTION("IF(ISBLANK(A1645),IFERROR(1/0),IF(COUNT(FILTER(G:G,((A:A=A1645)*(B:B=""V""))))&gt;1,TRUNC(N1645*G1645/SUM(FILTER(N:N,((A:A=A1645)*(B:B=""V"")))),3),G1645))"),"")</f>
        <v/>
      </c>
      <c r="L1645" s="148" t="str">
        <f>IFERROR(__xludf.DUMMYFUNCTION("if($C1645="""","""",iferror(if(row()&lt;&gt;2,INDEX(arrayformula(filter($M$2:$M1644,$C$2:$C1644&lt;&gt;"""",row($C$2:$C1644)=max(if($C$2:$C1644=C1645,row($C$2:$C1644),0)))) ,1),0),0))"),"")</f>
        <v/>
      </c>
      <c r="M1645" s="148" t="str">
        <f t="shared" si="1"/>
        <v/>
      </c>
      <c r="N1645" s="147" t="str">
        <f t="shared" si="2"/>
        <v/>
      </c>
      <c r="O1645" s="147" t="str">
        <f t="shared" si="21"/>
        <v/>
      </c>
      <c r="P1645" s="147" t="str">
        <f>IFERROR(__xludf.DUMMYFUNCTION("if(C1645="""","""",iferror(if(row()&lt;&gt;2,INDEX(arrayformula(filter($Q$2:$Q1644,$C$2:$C1644&lt;&gt;"""",row($C$2:$C1644)=max(if($C$2:$C1644=C1645,row($C$2:$C1644),0)))) ,1),0),0))"),"")</f>
        <v/>
      </c>
      <c r="Q1645" s="147" t="str">
        <f t="shared" si="22"/>
        <v/>
      </c>
      <c r="R1645" s="147" t="str">
        <f t="shared" si="23"/>
        <v/>
      </c>
      <c r="S1645" s="147" t="str">
        <f t="shared" si="24"/>
        <v/>
      </c>
      <c r="T1645" s="147" t="str">
        <f t="shared" si="7"/>
        <v/>
      </c>
      <c r="U1645" s="150" t="str">
        <f t="shared" si="8"/>
        <v/>
      </c>
      <c r="V1645" s="151" t="str">
        <f>IFERROR(VLOOKUP(C1645,Ativos!$A$1:$G2000,5,),)</f>
        <v/>
      </c>
    </row>
    <row r="1646" ht="21.0" customHeight="1">
      <c r="A1646" s="152"/>
      <c r="B1646" s="160"/>
      <c r="C1646" s="153"/>
      <c r="D1646" s="154"/>
      <c r="E1646" s="139"/>
      <c r="F1646" s="139"/>
      <c r="G1646" s="139"/>
      <c r="H1646" s="135"/>
      <c r="I1646" s="141"/>
      <c r="J1646" s="147" t="str">
        <f>IFERROR(__xludf.DUMMYFUNCTION("IF(ISBLANK(A1646),IFERROR(1/0),IF(COUNT(FILTER(F:F,A:A=A1646))&gt;1,TRUNC(N1646*F1646/SUM(FILTER(N:N,A:A=A1646)),3),F1646))"),"")</f>
        <v/>
      </c>
      <c r="K1646" s="147" t="str">
        <f>IFERROR(__xludf.DUMMYFUNCTION("IF(ISBLANK(A1646),IFERROR(1/0),IF(COUNT(FILTER(G:G,((A:A=A1646)*(B:B=""V""))))&gt;1,TRUNC(N1646*G1646/SUM(FILTER(N:N,((A:A=A1646)*(B:B=""V"")))),3),G1646))"),"")</f>
        <v/>
      </c>
      <c r="L1646" s="148" t="str">
        <f>IFERROR(__xludf.DUMMYFUNCTION("if($C1646="""","""",iferror(if(row()&lt;&gt;2,INDEX(arrayformula(filter($M$2:$M1645,$C$2:$C1645&lt;&gt;"""",row($C$2:$C1645)=max(if($C$2:$C1645=C1646,row($C$2:$C1645),0)))) ,1),0),0))"),"")</f>
        <v/>
      </c>
      <c r="M1646" s="148" t="str">
        <f t="shared" si="1"/>
        <v/>
      </c>
      <c r="N1646" s="147" t="str">
        <f t="shared" si="2"/>
        <v/>
      </c>
      <c r="O1646" s="147" t="str">
        <f t="shared" si="21"/>
        <v/>
      </c>
      <c r="P1646" s="147" t="str">
        <f>IFERROR(__xludf.DUMMYFUNCTION("if(C1646="""","""",iferror(if(row()&lt;&gt;2,INDEX(arrayformula(filter($Q$2:$Q1645,$C$2:$C1645&lt;&gt;"""",row($C$2:$C1645)=max(if($C$2:$C1645=C1646,row($C$2:$C1645),0)))) ,1),0),0))"),"")</f>
        <v/>
      </c>
      <c r="Q1646" s="147" t="str">
        <f t="shared" si="22"/>
        <v/>
      </c>
      <c r="R1646" s="147" t="str">
        <f t="shared" si="23"/>
        <v/>
      </c>
      <c r="S1646" s="147" t="str">
        <f t="shared" si="24"/>
        <v/>
      </c>
      <c r="T1646" s="147" t="str">
        <f t="shared" si="7"/>
        <v/>
      </c>
      <c r="U1646" s="150" t="str">
        <f t="shared" si="8"/>
        <v/>
      </c>
      <c r="V1646" s="151" t="str">
        <f>IFERROR(VLOOKUP(C1646,Ativos!$A$1:$G2000,5,),)</f>
        <v/>
      </c>
    </row>
    <row r="1647" ht="21.0" customHeight="1">
      <c r="A1647" s="152"/>
      <c r="B1647" s="160"/>
      <c r="C1647" s="153"/>
      <c r="D1647" s="154"/>
      <c r="E1647" s="139"/>
      <c r="F1647" s="139"/>
      <c r="G1647" s="139"/>
      <c r="H1647" s="135"/>
      <c r="I1647" s="141"/>
      <c r="J1647" s="147" t="str">
        <f>IFERROR(__xludf.DUMMYFUNCTION("IF(ISBLANK(A1647),IFERROR(1/0),IF(COUNT(FILTER(F:F,A:A=A1647))&gt;1,TRUNC(N1647*F1647/SUM(FILTER(N:N,A:A=A1647)),3),F1647))"),"")</f>
        <v/>
      </c>
      <c r="K1647" s="147" t="str">
        <f>IFERROR(__xludf.DUMMYFUNCTION("IF(ISBLANK(A1647),IFERROR(1/0),IF(COUNT(FILTER(G:G,((A:A=A1647)*(B:B=""V""))))&gt;1,TRUNC(N1647*G1647/SUM(FILTER(N:N,((A:A=A1647)*(B:B=""V"")))),3),G1647))"),"")</f>
        <v/>
      </c>
      <c r="L1647" s="148" t="str">
        <f>IFERROR(__xludf.DUMMYFUNCTION("if($C1647="""","""",iferror(if(row()&lt;&gt;2,INDEX(arrayformula(filter($M$2:$M1646,$C$2:$C1646&lt;&gt;"""",row($C$2:$C1646)=max(if($C$2:$C1646=C1647,row($C$2:$C1646),0)))) ,1),0),0))"),"")</f>
        <v/>
      </c>
      <c r="M1647" s="148" t="str">
        <f t="shared" si="1"/>
        <v/>
      </c>
      <c r="N1647" s="147" t="str">
        <f t="shared" si="2"/>
        <v/>
      </c>
      <c r="O1647" s="147" t="str">
        <f t="shared" si="21"/>
        <v/>
      </c>
      <c r="P1647" s="147" t="str">
        <f>IFERROR(__xludf.DUMMYFUNCTION("if(C1647="""","""",iferror(if(row()&lt;&gt;2,INDEX(arrayformula(filter($Q$2:$Q1646,$C$2:$C1646&lt;&gt;"""",row($C$2:$C1646)=max(if($C$2:$C1646=C1647,row($C$2:$C1646),0)))) ,1),0),0))"),"")</f>
        <v/>
      </c>
      <c r="Q1647" s="147" t="str">
        <f t="shared" si="22"/>
        <v/>
      </c>
      <c r="R1647" s="147" t="str">
        <f t="shared" si="23"/>
        <v/>
      </c>
      <c r="S1647" s="147" t="str">
        <f t="shared" si="24"/>
        <v/>
      </c>
      <c r="T1647" s="147" t="str">
        <f t="shared" si="7"/>
        <v/>
      </c>
      <c r="U1647" s="150" t="str">
        <f t="shared" si="8"/>
        <v/>
      </c>
      <c r="V1647" s="151" t="str">
        <f>IFERROR(VLOOKUP(C1647,Ativos!$A$1:$G2000,5,),)</f>
        <v/>
      </c>
    </row>
    <row r="1648" ht="21.0" customHeight="1">
      <c r="A1648" s="152"/>
      <c r="B1648" s="160"/>
      <c r="C1648" s="153"/>
      <c r="D1648" s="154"/>
      <c r="E1648" s="139"/>
      <c r="F1648" s="139"/>
      <c r="G1648" s="139"/>
      <c r="H1648" s="135"/>
      <c r="I1648" s="141"/>
      <c r="J1648" s="147" t="str">
        <f>IFERROR(__xludf.DUMMYFUNCTION("IF(ISBLANK(A1648),IFERROR(1/0),IF(COUNT(FILTER(F:F,A:A=A1648))&gt;1,TRUNC(N1648*F1648/SUM(FILTER(N:N,A:A=A1648)),3),F1648))"),"")</f>
        <v/>
      </c>
      <c r="K1648" s="147" t="str">
        <f>IFERROR(__xludf.DUMMYFUNCTION("IF(ISBLANK(A1648),IFERROR(1/0),IF(COUNT(FILTER(G:G,((A:A=A1648)*(B:B=""V""))))&gt;1,TRUNC(N1648*G1648/SUM(FILTER(N:N,((A:A=A1648)*(B:B=""V"")))),3),G1648))"),"")</f>
        <v/>
      </c>
      <c r="L1648" s="148" t="str">
        <f>IFERROR(__xludf.DUMMYFUNCTION("if($C1648="""","""",iferror(if(row()&lt;&gt;2,INDEX(arrayformula(filter($M$2:$M1647,$C$2:$C1647&lt;&gt;"""",row($C$2:$C1647)=max(if($C$2:$C1647=C1648,row($C$2:$C1647),0)))) ,1),0),0))"),"")</f>
        <v/>
      </c>
      <c r="M1648" s="148" t="str">
        <f t="shared" si="1"/>
        <v/>
      </c>
      <c r="N1648" s="147" t="str">
        <f t="shared" si="2"/>
        <v/>
      </c>
      <c r="O1648" s="147" t="str">
        <f t="shared" si="21"/>
        <v/>
      </c>
      <c r="P1648" s="147" t="str">
        <f>IFERROR(__xludf.DUMMYFUNCTION("if(C1648="""","""",iferror(if(row()&lt;&gt;2,INDEX(arrayformula(filter($Q$2:$Q1647,$C$2:$C1647&lt;&gt;"""",row($C$2:$C1647)=max(if($C$2:$C1647=C1648,row($C$2:$C1647),0)))) ,1),0),0))"),"")</f>
        <v/>
      </c>
      <c r="Q1648" s="147" t="str">
        <f t="shared" si="22"/>
        <v/>
      </c>
      <c r="R1648" s="147" t="str">
        <f t="shared" si="23"/>
        <v/>
      </c>
      <c r="S1648" s="147" t="str">
        <f t="shared" si="24"/>
        <v/>
      </c>
      <c r="T1648" s="147" t="str">
        <f t="shared" si="7"/>
        <v/>
      </c>
      <c r="U1648" s="150" t="str">
        <f t="shared" si="8"/>
        <v/>
      </c>
      <c r="V1648" s="151" t="str">
        <f>IFERROR(VLOOKUP(C1648,Ativos!$A$1:$G2000,5,),)</f>
        <v/>
      </c>
    </row>
    <row r="1649" ht="21.0" customHeight="1">
      <c r="A1649" s="152"/>
      <c r="B1649" s="160"/>
      <c r="C1649" s="153"/>
      <c r="D1649" s="154"/>
      <c r="E1649" s="139"/>
      <c r="F1649" s="139"/>
      <c r="G1649" s="139"/>
      <c r="H1649" s="135"/>
      <c r="I1649" s="141"/>
      <c r="J1649" s="147" t="str">
        <f>IFERROR(__xludf.DUMMYFUNCTION("IF(ISBLANK(A1649),IFERROR(1/0),IF(COUNT(FILTER(F:F,A:A=A1649))&gt;1,TRUNC(N1649*F1649/SUM(FILTER(N:N,A:A=A1649)),3),F1649))"),"")</f>
        <v/>
      </c>
      <c r="K1649" s="147" t="str">
        <f>IFERROR(__xludf.DUMMYFUNCTION("IF(ISBLANK(A1649),IFERROR(1/0),IF(COUNT(FILTER(G:G,((A:A=A1649)*(B:B=""V""))))&gt;1,TRUNC(N1649*G1649/SUM(FILTER(N:N,((A:A=A1649)*(B:B=""V"")))),3),G1649))"),"")</f>
        <v/>
      </c>
      <c r="L1649" s="148" t="str">
        <f>IFERROR(__xludf.DUMMYFUNCTION("if($C1649="""","""",iferror(if(row()&lt;&gt;2,INDEX(arrayformula(filter($M$2:$M1648,$C$2:$C1648&lt;&gt;"""",row($C$2:$C1648)=max(if($C$2:$C1648=C1649,row($C$2:$C1648),0)))) ,1),0),0))"),"")</f>
        <v/>
      </c>
      <c r="M1649" s="148" t="str">
        <f t="shared" si="1"/>
        <v/>
      </c>
      <c r="N1649" s="147" t="str">
        <f t="shared" si="2"/>
        <v/>
      </c>
      <c r="O1649" s="147" t="str">
        <f t="shared" si="21"/>
        <v/>
      </c>
      <c r="P1649" s="147" t="str">
        <f>IFERROR(__xludf.DUMMYFUNCTION("if(C1649="""","""",iferror(if(row()&lt;&gt;2,INDEX(arrayformula(filter($Q$2:$Q1648,$C$2:$C1648&lt;&gt;"""",row($C$2:$C1648)=max(if($C$2:$C1648=C1649,row($C$2:$C1648),0)))) ,1),0),0))"),"")</f>
        <v/>
      </c>
      <c r="Q1649" s="147" t="str">
        <f t="shared" si="22"/>
        <v/>
      </c>
      <c r="R1649" s="147" t="str">
        <f t="shared" si="23"/>
        <v/>
      </c>
      <c r="S1649" s="147" t="str">
        <f t="shared" si="24"/>
        <v/>
      </c>
      <c r="T1649" s="147" t="str">
        <f t="shared" si="7"/>
        <v/>
      </c>
      <c r="U1649" s="150" t="str">
        <f t="shared" si="8"/>
        <v/>
      </c>
      <c r="V1649" s="151" t="str">
        <f>IFERROR(VLOOKUP(C1649,Ativos!$A$1:$G2000,5,),)</f>
        <v/>
      </c>
    </row>
    <row r="1650" ht="21.0" customHeight="1">
      <c r="A1650" s="152"/>
      <c r="B1650" s="160"/>
      <c r="C1650" s="153"/>
      <c r="D1650" s="154"/>
      <c r="E1650" s="139"/>
      <c r="F1650" s="139"/>
      <c r="G1650" s="139"/>
      <c r="H1650" s="135"/>
      <c r="I1650" s="141"/>
      <c r="J1650" s="147" t="str">
        <f>IFERROR(__xludf.DUMMYFUNCTION("IF(ISBLANK(A1650),IFERROR(1/0),IF(COUNT(FILTER(F:F,A:A=A1650))&gt;1,TRUNC(N1650*F1650/SUM(FILTER(N:N,A:A=A1650)),3),F1650))"),"")</f>
        <v/>
      </c>
      <c r="K1650" s="147" t="str">
        <f>IFERROR(__xludf.DUMMYFUNCTION("IF(ISBLANK(A1650),IFERROR(1/0),IF(COUNT(FILTER(G:G,((A:A=A1650)*(B:B=""V""))))&gt;1,TRUNC(N1650*G1650/SUM(FILTER(N:N,((A:A=A1650)*(B:B=""V"")))),3),G1650))"),"")</f>
        <v/>
      </c>
      <c r="L1650" s="148" t="str">
        <f>IFERROR(__xludf.DUMMYFUNCTION("if($C1650="""","""",iferror(if(row()&lt;&gt;2,INDEX(arrayformula(filter($M$2:$M1649,$C$2:$C1649&lt;&gt;"""",row($C$2:$C1649)=max(if($C$2:$C1649=C1650,row($C$2:$C1649),0)))) ,1),0),0))"),"")</f>
        <v/>
      </c>
      <c r="M1650" s="148" t="str">
        <f t="shared" si="1"/>
        <v/>
      </c>
      <c r="N1650" s="147" t="str">
        <f t="shared" si="2"/>
        <v/>
      </c>
      <c r="O1650" s="147" t="str">
        <f t="shared" si="21"/>
        <v/>
      </c>
      <c r="P1650" s="147" t="str">
        <f>IFERROR(__xludf.DUMMYFUNCTION("if(C1650="""","""",iferror(if(row()&lt;&gt;2,INDEX(arrayformula(filter($Q$2:$Q1649,$C$2:$C1649&lt;&gt;"""",row($C$2:$C1649)=max(if($C$2:$C1649=C1650,row($C$2:$C1649),0)))) ,1),0),0))"),"")</f>
        <v/>
      </c>
      <c r="Q1650" s="147" t="str">
        <f t="shared" si="22"/>
        <v/>
      </c>
      <c r="R1650" s="147" t="str">
        <f t="shared" si="23"/>
        <v/>
      </c>
      <c r="S1650" s="147" t="str">
        <f t="shared" si="24"/>
        <v/>
      </c>
      <c r="T1650" s="147" t="str">
        <f t="shared" si="7"/>
        <v/>
      </c>
      <c r="U1650" s="150" t="str">
        <f t="shared" si="8"/>
        <v/>
      </c>
      <c r="V1650" s="151" t="str">
        <f>IFERROR(VLOOKUP(C1650,Ativos!$A$1:$G2000,5,),)</f>
        <v/>
      </c>
    </row>
    <row r="1651" ht="21.0" customHeight="1">
      <c r="A1651" s="152"/>
      <c r="B1651" s="160"/>
      <c r="C1651" s="153"/>
      <c r="D1651" s="154"/>
      <c r="E1651" s="139"/>
      <c r="F1651" s="139"/>
      <c r="G1651" s="139"/>
      <c r="H1651" s="135"/>
      <c r="I1651" s="141"/>
      <c r="J1651" s="147" t="str">
        <f>IFERROR(__xludf.DUMMYFUNCTION("IF(ISBLANK(A1651),IFERROR(1/0),IF(COUNT(FILTER(F:F,A:A=A1651))&gt;1,TRUNC(N1651*F1651/SUM(FILTER(N:N,A:A=A1651)),3),F1651))"),"")</f>
        <v/>
      </c>
      <c r="K1651" s="147" t="str">
        <f>IFERROR(__xludf.DUMMYFUNCTION("IF(ISBLANK(A1651),IFERROR(1/0),IF(COUNT(FILTER(G:G,((A:A=A1651)*(B:B=""V""))))&gt;1,TRUNC(N1651*G1651/SUM(FILTER(N:N,((A:A=A1651)*(B:B=""V"")))),3),G1651))"),"")</f>
        <v/>
      </c>
      <c r="L1651" s="148" t="str">
        <f>IFERROR(__xludf.DUMMYFUNCTION("if($C1651="""","""",iferror(if(row()&lt;&gt;2,INDEX(arrayformula(filter($M$2:$M1650,$C$2:$C1650&lt;&gt;"""",row($C$2:$C1650)=max(if($C$2:$C1650=C1651,row($C$2:$C1650),0)))) ,1),0),0))"),"")</f>
        <v/>
      </c>
      <c r="M1651" s="148" t="str">
        <f t="shared" si="1"/>
        <v/>
      </c>
      <c r="N1651" s="147" t="str">
        <f t="shared" si="2"/>
        <v/>
      </c>
      <c r="O1651" s="147" t="str">
        <f t="shared" si="21"/>
        <v/>
      </c>
      <c r="P1651" s="147" t="str">
        <f>IFERROR(__xludf.DUMMYFUNCTION("if(C1651="""","""",iferror(if(row()&lt;&gt;2,INDEX(arrayformula(filter($Q$2:$Q1650,$C$2:$C1650&lt;&gt;"""",row($C$2:$C1650)=max(if($C$2:$C1650=C1651,row($C$2:$C1650),0)))) ,1),0),0))"),"")</f>
        <v/>
      </c>
      <c r="Q1651" s="147" t="str">
        <f t="shared" si="22"/>
        <v/>
      </c>
      <c r="R1651" s="147" t="str">
        <f t="shared" si="23"/>
        <v/>
      </c>
      <c r="S1651" s="147" t="str">
        <f t="shared" si="24"/>
        <v/>
      </c>
      <c r="T1651" s="147" t="str">
        <f t="shared" si="7"/>
        <v/>
      </c>
      <c r="U1651" s="150" t="str">
        <f t="shared" si="8"/>
        <v/>
      </c>
      <c r="V1651" s="151" t="str">
        <f>IFERROR(VLOOKUP(C1651,Ativos!$A$1:$G2000,5,),)</f>
        <v/>
      </c>
    </row>
    <row r="1652" ht="21.0" customHeight="1">
      <c r="A1652" s="152"/>
      <c r="B1652" s="160"/>
      <c r="C1652" s="153"/>
      <c r="D1652" s="154"/>
      <c r="E1652" s="139"/>
      <c r="F1652" s="139"/>
      <c r="G1652" s="139"/>
      <c r="H1652" s="135"/>
      <c r="I1652" s="141"/>
      <c r="J1652" s="147" t="str">
        <f>IFERROR(__xludf.DUMMYFUNCTION("IF(ISBLANK(A1652),IFERROR(1/0),IF(COUNT(FILTER(F:F,A:A=A1652))&gt;1,TRUNC(N1652*F1652/SUM(FILTER(N:N,A:A=A1652)),3),F1652))"),"")</f>
        <v/>
      </c>
      <c r="K1652" s="147" t="str">
        <f>IFERROR(__xludf.DUMMYFUNCTION("IF(ISBLANK(A1652),IFERROR(1/0),IF(COUNT(FILTER(G:G,((A:A=A1652)*(B:B=""V""))))&gt;1,TRUNC(N1652*G1652/SUM(FILTER(N:N,((A:A=A1652)*(B:B=""V"")))),3),G1652))"),"")</f>
        <v/>
      </c>
      <c r="L1652" s="148" t="str">
        <f>IFERROR(__xludf.DUMMYFUNCTION("if($C1652="""","""",iferror(if(row()&lt;&gt;2,INDEX(arrayformula(filter($M$2:$M1651,$C$2:$C1651&lt;&gt;"""",row($C$2:$C1651)=max(if($C$2:$C1651=C1652,row($C$2:$C1651),0)))) ,1),0),0))"),"")</f>
        <v/>
      </c>
      <c r="M1652" s="148" t="str">
        <f t="shared" si="1"/>
        <v/>
      </c>
      <c r="N1652" s="147" t="str">
        <f t="shared" si="2"/>
        <v/>
      </c>
      <c r="O1652" s="147" t="str">
        <f t="shared" si="21"/>
        <v/>
      </c>
      <c r="P1652" s="147" t="str">
        <f>IFERROR(__xludf.DUMMYFUNCTION("if(C1652="""","""",iferror(if(row()&lt;&gt;2,INDEX(arrayformula(filter($Q$2:$Q1651,$C$2:$C1651&lt;&gt;"""",row($C$2:$C1651)=max(if($C$2:$C1651=C1652,row($C$2:$C1651),0)))) ,1),0),0))"),"")</f>
        <v/>
      </c>
      <c r="Q1652" s="147" t="str">
        <f t="shared" si="22"/>
        <v/>
      </c>
      <c r="R1652" s="147" t="str">
        <f t="shared" si="23"/>
        <v/>
      </c>
      <c r="S1652" s="147" t="str">
        <f t="shared" si="24"/>
        <v/>
      </c>
      <c r="T1652" s="147" t="str">
        <f t="shared" si="7"/>
        <v/>
      </c>
      <c r="U1652" s="150" t="str">
        <f t="shared" si="8"/>
        <v/>
      </c>
      <c r="V1652" s="151" t="str">
        <f>IFERROR(VLOOKUP(C1652,Ativos!$A$1:$G2000,5,),)</f>
        <v/>
      </c>
    </row>
    <row r="1653" ht="21.0" customHeight="1">
      <c r="A1653" s="152"/>
      <c r="B1653" s="160"/>
      <c r="C1653" s="153"/>
      <c r="D1653" s="154"/>
      <c r="E1653" s="139"/>
      <c r="F1653" s="139"/>
      <c r="G1653" s="139"/>
      <c r="H1653" s="135"/>
      <c r="I1653" s="141"/>
      <c r="J1653" s="147" t="str">
        <f>IFERROR(__xludf.DUMMYFUNCTION("IF(ISBLANK(A1653),IFERROR(1/0),IF(COUNT(FILTER(F:F,A:A=A1653))&gt;1,TRUNC(N1653*F1653/SUM(FILTER(N:N,A:A=A1653)),3),F1653))"),"")</f>
        <v/>
      </c>
      <c r="K1653" s="147" t="str">
        <f>IFERROR(__xludf.DUMMYFUNCTION("IF(ISBLANK(A1653),IFERROR(1/0),IF(COUNT(FILTER(G:G,((A:A=A1653)*(B:B=""V""))))&gt;1,TRUNC(N1653*G1653/SUM(FILTER(N:N,((A:A=A1653)*(B:B=""V"")))),3),G1653))"),"")</f>
        <v/>
      </c>
      <c r="L1653" s="148" t="str">
        <f>IFERROR(__xludf.DUMMYFUNCTION("if($C1653="""","""",iferror(if(row()&lt;&gt;2,INDEX(arrayformula(filter($M$2:$M1652,$C$2:$C1652&lt;&gt;"""",row($C$2:$C1652)=max(if($C$2:$C1652=C1653,row($C$2:$C1652),0)))) ,1),0),0))"),"")</f>
        <v/>
      </c>
      <c r="M1653" s="148" t="str">
        <f t="shared" si="1"/>
        <v/>
      </c>
      <c r="N1653" s="147" t="str">
        <f t="shared" si="2"/>
        <v/>
      </c>
      <c r="O1653" s="147" t="str">
        <f t="shared" si="21"/>
        <v/>
      </c>
      <c r="P1653" s="147" t="str">
        <f>IFERROR(__xludf.DUMMYFUNCTION("if(C1653="""","""",iferror(if(row()&lt;&gt;2,INDEX(arrayformula(filter($Q$2:$Q1652,$C$2:$C1652&lt;&gt;"""",row($C$2:$C1652)=max(if($C$2:$C1652=C1653,row($C$2:$C1652),0)))) ,1),0),0))"),"")</f>
        <v/>
      </c>
      <c r="Q1653" s="147" t="str">
        <f t="shared" si="22"/>
        <v/>
      </c>
      <c r="R1653" s="147" t="str">
        <f t="shared" si="23"/>
        <v/>
      </c>
      <c r="S1653" s="147" t="str">
        <f t="shared" si="24"/>
        <v/>
      </c>
      <c r="T1653" s="147" t="str">
        <f t="shared" si="7"/>
        <v/>
      </c>
      <c r="U1653" s="150" t="str">
        <f t="shared" si="8"/>
        <v/>
      </c>
      <c r="V1653" s="151" t="str">
        <f>IFERROR(VLOOKUP(C1653,Ativos!$A$1:$G2000,5,),)</f>
        <v/>
      </c>
    </row>
    <row r="1654" ht="21.0" customHeight="1">
      <c r="A1654" s="152"/>
      <c r="B1654" s="160"/>
      <c r="C1654" s="153"/>
      <c r="D1654" s="154"/>
      <c r="E1654" s="139"/>
      <c r="F1654" s="139"/>
      <c r="G1654" s="139"/>
      <c r="H1654" s="135"/>
      <c r="I1654" s="141"/>
      <c r="J1654" s="147" t="str">
        <f>IFERROR(__xludf.DUMMYFUNCTION("IF(ISBLANK(A1654),IFERROR(1/0),IF(COUNT(FILTER(F:F,A:A=A1654))&gt;1,TRUNC(N1654*F1654/SUM(FILTER(N:N,A:A=A1654)),3),F1654))"),"")</f>
        <v/>
      </c>
      <c r="K1654" s="147" t="str">
        <f>IFERROR(__xludf.DUMMYFUNCTION("IF(ISBLANK(A1654),IFERROR(1/0),IF(COUNT(FILTER(G:G,((A:A=A1654)*(B:B=""V""))))&gt;1,TRUNC(N1654*G1654/SUM(FILTER(N:N,((A:A=A1654)*(B:B=""V"")))),3),G1654))"),"")</f>
        <v/>
      </c>
      <c r="L1654" s="148" t="str">
        <f>IFERROR(__xludf.DUMMYFUNCTION("if($C1654="""","""",iferror(if(row()&lt;&gt;2,INDEX(arrayformula(filter($M$2:$M1653,$C$2:$C1653&lt;&gt;"""",row($C$2:$C1653)=max(if($C$2:$C1653=C1654,row($C$2:$C1653),0)))) ,1),0),0))"),"")</f>
        <v/>
      </c>
      <c r="M1654" s="148" t="str">
        <f t="shared" si="1"/>
        <v/>
      </c>
      <c r="N1654" s="147" t="str">
        <f t="shared" si="2"/>
        <v/>
      </c>
      <c r="O1654" s="147" t="str">
        <f t="shared" si="21"/>
        <v/>
      </c>
      <c r="P1654" s="147" t="str">
        <f>IFERROR(__xludf.DUMMYFUNCTION("if(C1654="""","""",iferror(if(row()&lt;&gt;2,INDEX(arrayformula(filter($Q$2:$Q1653,$C$2:$C1653&lt;&gt;"""",row($C$2:$C1653)=max(if($C$2:$C1653=C1654,row($C$2:$C1653),0)))) ,1),0),0))"),"")</f>
        <v/>
      </c>
      <c r="Q1654" s="147" t="str">
        <f t="shared" si="22"/>
        <v/>
      </c>
      <c r="R1654" s="147" t="str">
        <f t="shared" si="23"/>
        <v/>
      </c>
      <c r="S1654" s="147" t="str">
        <f t="shared" si="24"/>
        <v/>
      </c>
      <c r="T1654" s="147" t="str">
        <f t="shared" si="7"/>
        <v/>
      </c>
      <c r="U1654" s="150" t="str">
        <f t="shared" si="8"/>
        <v/>
      </c>
      <c r="V1654" s="151" t="str">
        <f>IFERROR(VLOOKUP(C1654,Ativos!$A$1:$G2000,5,),)</f>
        <v/>
      </c>
    </row>
    <row r="1655" ht="21.0" customHeight="1">
      <c r="A1655" s="152"/>
      <c r="B1655" s="160"/>
      <c r="C1655" s="153"/>
      <c r="D1655" s="154"/>
      <c r="E1655" s="139"/>
      <c r="F1655" s="139"/>
      <c r="G1655" s="139"/>
      <c r="H1655" s="135"/>
      <c r="I1655" s="141"/>
      <c r="J1655" s="147" t="str">
        <f>IFERROR(__xludf.DUMMYFUNCTION("IF(ISBLANK(A1655),IFERROR(1/0),IF(COUNT(FILTER(F:F,A:A=A1655))&gt;1,TRUNC(N1655*F1655/SUM(FILTER(N:N,A:A=A1655)),3),F1655))"),"")</f>
        <v/>
      </c>
      <c r="K1655" s="147" t="str">
        <f>IFERROR(__xludf.DUMMYFUNCTION("IF(ISBLANK(A1655),IFERROR(1/0),IF(COUNT(FILTER(G:G,((A:A=A1655)*(B:B=""V""))))&gt;1,TRUNC(N1655*G1655/SUM(FILTER(N:N,((A:A=A1655)*(B:B=""V"")))),3),G1655))"),"")</f>
        <v/>
      </c>
      <c r="L1655" s="148" t="str">
        <f>IFERROR(__xludf.DUMMYFUNCTION("if($C1655="""","""",iferror(if(row()&lt;&gt;2,INDEX(arrayformula(filter($M$2:$M1654,$C$2:$C1654&lt;&gt;"""",row($C$2:$C1654)=max(if($C$2:$C1654=C1655,row($C$2:$C1654),0)))) ,1),0),0))"),"")</f>
        <v/>
      </c>
      <c r="M1655" s="148" t="str">
        <f t="shared" si="1"/>
        <v/>
      </c>
      <c r="N1655" s="147" t="str">
        <f t="shared" si="2"/>
        <v/>
      </c>
      <c r="O1655" s="147" t="str">
        <f t="shared" si="21"/>
        <v/>
      </c>
      <c r="P1655" s="147" t="str">
        <f>IFERROR(__xludf.DUMMYFUNCTION("if(C1655="""","""",iferror(if(row()&lt;&gt;2,INDEX(arrayformula(filter($Q$2:$Q1654,$C$2:$C1654&lt;&gt;"""",row($C$2:$C1654)=max(if($C$2:$C1654=C1655,row($C$2:$C1654),0)))) ,1),0),0))"),"")</f>
        <v/>
      </c>
      <c r="Q1655" s="147" t="str">
        <f t="shared" si="22"/>
        <v/>
      </c>
      <c r="R1655" s="147" t="str">
        <f t="shared" si="23"/>
        <v/>
      </c>
      <c r="S1655" s="147" t="str">
        <f t="shared" si="24"/>
        <v/>
      </c>
      <c r="T1655" s="147" t="str">
        <f t="shared" si="7"/>
        <v/>
      </c>
      <c r="U1655" s="150" t="str">
        <f t="shared" si="8"/>
        <v/>
      </c>
      <c r="V1655" s="151" t="str">
        <f>IFERROR(VLOOKUP(C1655,Ativos!$A$1:$G2000,5,),)</f>
        <v/>
      </c>
    </row>
    <row r="1656" ht="21.0" customHeight="1">
      <c r="A1656" s="152"/>
      <c r="B1656" s="160"/>
      <c r="C1656" s="153"/>
      <c r="D1656" s="154"/>
      <c r="E1656" s="139"/>
      <c r="F1656" s="139"/>
      <c r="G1656" s="139"/>
      <c r="H1656" s="135"/>
      <c r="I1656" s="141"/>
      <c r="J1656" s="147" t="str">
        <f>IFERROR(__xludf.DUMMYFUNCTION("IF(ISBLANK(A1656),IFERROR(1/0),IF(COUNT(FILTER(F:F,A:A=A1656))&gt;1,TRUNC(N1656*F1656/SUM(FILTER(N:N,A:A=A1656)),3),F1656))"),"")</f>
        <v/>
      </c>
      <c r="K1656" s="147" t="str">
        <f>IFERROR(__xludf.DUMMYFUNCTION("IF(ISBLANK(A1656),IFERROR(1/0),IF(COUNT(FILTER(G:G,((A:A=A1656)*(B:B=""V""))))&gt;1,TRUNC(N1656*G1656/SUM(FILTER(N:N,((A:A=A1656)*(B:B=""V"")))),3),G1656))"),"")</f>
        <v/>
      </c>
      <c r="L1656" s="148" t="str">
        <f>IFERROR(__xludf.DUMMYFUNCTION("if($C1656="""","""",iferror(if(row()&lt;&gt;2,INDEX(arrayformula(filter($M$2:$M1655,$C$2:$C1655&lt;&gt;"""",row($C$2:$C1655)=max(if($C$2:$C1655=C1656,row($C$2:$C1655),0)))) ,1),0),0))"),"")</f>
        <v/>
      </c>
      <c r="M1656" s="148" t="str">
        <f t="shared" si="1"/>
        <v/>
      </c>
      <c r="N1656" s="147" t="str">
        <f t="shared" si="2"/>
        <v/>
      </c>
      <c r="O1656" s="147" t="str">
        <f t="shared" si="21"/>
        <v/>
      </c>
      <c r="P1656" s="147" t="str">
        <f>IFERROR(__xludf.DUMMYFUNCTION("if(C1656="""","""",iferror(if(row()&lt;&gt;2,INDEX(arrayformula(filter($Q$2:$Q1655,$C$2:$C1655&lt;&gt;"""",row($C$2:$C1655)=max(if($C$2:$C1655=C1656,row($C$2:$C1655),0)))) ,1),0),0))"),"")</f>
        <v/>
      </c>
      <c r="Q1656" s="147" t="str">
        <f t="shared" si="22"/>
        <v/>
      </c>
      <c r="R1656" s="147" t="str">
        <f t="shared" si="23"/>
        <v/>
      </c>
      <c r="S1656" s="147" t="str">
        <f t="shared" si="24"/>
        <v/>
      </c>
      <c r="T1656" s="147" t="str">
        <f t="shared" si="7"/>
        <v/>
      </c>
      <c r="U1656" s="150" t="str">
        <f t="shared" si="8"/>
        <v/>
      </c>
      <c r="V1656" s="151" t="str">
        <f>IFERROR(VLOOKUP(C1656,Ativos!$A$1:$G2000,5,),)</f>
        <v/>
      </c>
    </row>
    <row r="1657" ht="21.0" customHeight="1">
      <c r="A1657" s="152"/>
      <c r="B1657" s="160"/>
      <c r="C1657" s="153"/>
      <c r="D1657" s="154"/>
      <c r="E1657" s="139"/>
      <c r="F1657" s="139"/>
      <c r="G1657" s="139"/>
      <c r="H1657" s="135"/>
      <c r="I1657" s="141"/>
      <c r="J1657" s="147" t="str">
        <f>IFERROR(__xludf.DUMMYFUNCTION("IF(ISBLANK(A1657),IFERROR(1/0),IF(COUNT(FILTER(F:F,A:A=A1657))&gt;1,TRUNC(N1657*F1657/SUM(FILTER(N:N,A:A=A1657)),3),F1657))"),"")</f>
        <v/>
      </c>
      <c r="K1657" s="147" t="str">
        <f>IFERROR(__xludf.DUMMYFUNCTION("IF(ISBLANK(A1657),IFERROR(1/0),IF(COUNT(FILTER(G:G,((A:A=A1657)*(B:B=""V""))))&gt;1,TRUNC(N1657*G1657/SUM(FILTER(N:N,((A:A=A1657)*(B:B=""V"")))),3),G1657))"),"")</f>
        <v/>
      </c>
      <c r="L1657" s="148" t="str">
        <f>IFERROR(__xludf.DUMMYFUNCTION("if($C1657="""","""",iferror(if(row()&lt;&gt;2,INDEX(arrayformula(filter($M$2:$M1656,$C$2:$C1656&lt;&gt;"""",row($C$2:$C1656)=max(if($C$2:$C1656=C1657,row($C$2:$C1656),0)))) ,1),0),0))"),"")</f>
        <v/>
      </c>
      <c r="M1657" s="148" t="str">
        <f t="shared" si="1"/>
        <v/>
      </c>
      <c r="N1657" s="147" t="str">
        <f t="shared" si="2"/>
        <v/>
      </c>
      <c r="O1657" s="147" t="str">
        <f t="shared" si="21"/>
        <v/>
      </c>
      <c r="P1657" s="147" t="str">
        <f>IFERROR(__xludf.DUMMYFUNCTION("if(C1657="""","""",iferror(if(row()&lt;&gt;2,INDEX(arrayformula(filter($Q$2:$Q1656,$C$2:$C1656&lt;&gt;"""",row($C$2:$C1656)=max(if($C$2:$C1656=C1657,row($C$2:$C1656),0)))) ,1),0),0))"),"")</f>
        <v/>
      </c>
      <c r="Q1657" s="147" t="str">
        <f t="shared" si="22"/>
        <v/>
      </c>
      <c r="R1657" s="147" t="str">
        <f t="shared" si="23"/>
        <v/>
      </c>
      <c r="S1657" s="147" t="str">
        <f t="shared" si="24"/>
        <v/>
      </c>
      <c r="T1657" s="147" t="str">
        <f t="shared" si="7"/>
        <v/>
      </c>
      <c r="U1657" s="150" t="str">
        <f t="shared" si="8"/>
        <v/>
      </c>
      <c r="V1657" s="151" t="str">
        <f>IFERROR(VLOOKUP(C1657,Ativos!$A$1:$G2000,5,),)</f>
        <v/>
      </c>
    </row>
    <row r="1658" ht="21.0" customHeight="1">
      <c r="A1658" s="152"/>
      <c r="B1658" s="160"/>
      <c r="C1658" s="153"/>
      <c r="D1658" s="154"/>
      <c r="E1658" s="139"/>
      <c r="F1658" s="139"/>
      <c r="G1658" s="139"/>
      <c r="H1658" s="135"/>
      <c r="I1658" s="141"/>
      <c r="J1658" s="147" t="str">
        <f>IFERROR(__xludf.DUMMYFUNCTION("IF(ISBLANK(A1658),IFERROR(1/0),IF(COUNT(FILTER(F:F,A:A=A1658))&gt;1,TRUNC(N1658*F1658/SUM(FILTER(N:N,A:A=A1658)),3),F1658))"),"")</f>
        <v/>
      </c>
      <c r="K1658" s="147" t="str">
        <f>IFERROR(__xludf.DUMMYFUNCTION("IF(ISBLANK(A1658),IFERROR(1/0),IF(COUNT(FILTER(G:G,((A:A=A1658)*(B:B=""V""))))&gt;1,TRUNC(N1658*G1658/SUM(FILTER(N:N,((A:A=A1658)*(B:B=""V"")))),3),G1658))"),"")</f>
        <v/>
      </c>
      <c r="L1658" s="148" t="str">
        <f>IFERROR(__xludf.DUMMYFUNCTION("if($C1658="""","""",iferror(if(row()&lt;&gt;2,INDEX(arrayformula(filter($M$2:$M1657,$C$2:$C1657&lt;&gt;"""",row($C$2:$C1657)=max(if($C$2:$C1657=C1658,row($C$2:$C1657),0)))) ,1),0),0))"),"")</f>
        <v/>
      </c>
      <c r="M1658" s="148" t="str">
        <f t="shared" si="1"/>
        <v/>
      </c>
      <c r="N1658" s="147" t="str">
        <f t="shared" si="2"/>
        <v/>
      </c>
      <c r="O1658" s="147" t="str">
        <f t="shared" si="21"/>
        <v/>
      </c>
      <c r="P1658" s="147" t="str">
        <f>IFERROR(__xludf.DUMMYFUNCTION("if(C1658="""","""",iferror(if(row()&lt;&gt;2,INDEX(arrayformula(filter($Q$2:$Q1657,$C$2:$C1657&lt;&gt;"""",row($C$2:$C1657)=max(if($C$2:$C1657=C1658,row($C$2:$C1657),0)))) ,1),0),0))"),"")</f>
        <v/>
      </c>
      <c r="Q1658" s="147" t="str">
        <f t="shared" si="22"/>
        <v/>
      </c>
      <c r="R1658" s="147" t="str">
        <f t="shared" si="23"/>
        <v/>
      </c>
      <c r="S1658" s="147" t="str">
        <f t="shared" si="24"/>
        <v/>
      </c>
      <c r="T1658" s="147" t="str">
        <f t="shared" si="7"/>
        <v/>
      </c>
      <c r="U1658" s="150" t="str">
        <f t="shared" si="8"/>
        <v/>
      </c>
      <c r="V1658" s="151" t="str">
        <f>IFERROR(VLOOKUP(C1658,Ativos!$A$1:$G2000,5,),)</f>
        <v/>
      </c>
    </row>
    <row r="1659" ht="21.0" customHeight="1">
      <c r="A1659" s="152"/>
      <c r="B1659" s="160"/>
      <c r="C1659" s="153"/>
      <c r="D1659" s="154"/>
      <c r="E1659" s="139"/>
      <c r="F1659" s="139"/>
      <c r="G1659" s="139"/>
      <c r="H1659" s="135"/>
      <c r="I1659" s="141"/>
      <c r="J1659" s="147" t="str">
        <f>IFERROR(__xludf.DUMMYFUNCTION("IF(ISBLANK(A1659),IFERROR(1/0),IF(COUNT(FILTER(F:F,A:A=A1659))&gt;1,TRUNC(N1659*F1659/SUM(FILTER(N:N,A:A=A1659)),3),F1659))"),"")</f>
        <v/>
      </c>
      <c r="K1659" s="147" t="str">
        <f>IFERROR(__xludf.DUMMYFUNCTION("IF(ISBLANK(A1659),IFERROR(1/0),IF(COUNT(FILTER(G:G,((A:A=A1659)*(B:B=""V""))))&gt;1,TRUNC(N1659*G1659/SUM(FILTER(N:N,((A:A=A1659)*(B:B=""V"")))),3),G1659))"),"")</f>
        <v/>
      </c>
      <c r="L1659" s="148" t="str">
        <f>IFERROR(__xludf.DUMMYFUNCTION("if($C1659="""","""",iferror(if(row()&lt;&gt;2,INDEX(arrayformula(filter($M$2:$M1658,$C$2:$C1658&lt;&gt;"""",row($C$2:$C1658)=max(if($C$2:$C1658=C1659,row($C$2:$C1658),0)))) ,1),0),0))"),"")</f>
        <v/>
      </c>
      <c r="M1659" s="148" t="str">
        <f t="shared" si="1"/>
        <v/>
      </c>
      <c r="N1659" s="147" t="str">
        <f t="shared" si="2"/>
        <v/>
      </c>
      <c r="O1659" s="147" t="str">
        <f t="shared" si="21"/>
        <v/>
      </c>
      <c r="P1659" s="147" t="str">
        <f>IFERROR(__xludf.DUMMYFUNCTION("if(C1659="""","""",iferror(if(row()&lt;&gt;2,INDEX(arrayformula(filter($Q$2:$Q1658,$C$2:$C1658&lt;&gt;"""",row($C$2:$C1658)=max(if($C$2:$C1658=C1659,row($C$2:$C1658),0)))) ,1),0),0))"),"")</f>
        <v/>
      </c>
      <c r="Q1659" s="147" t="str">
        <f t="shared" si="22"/>
        <v/>
      </c>
      <c r="R1659" s="147" t="str">
        <f t="shared" si="23"/>
        <v/>
      </c>
      <c r="S1659" s="147" t="str">
        <f t="shared" si="24"/>
        <v/>
      </c>
      <c r="T1659" s="147" t="str">
        <f t="shared" si="7"/>
        <v/>
      </c>
      <c r="U1659" s="150" t="str">
        <f t="shared" si="8"/>
        <v/>
      </c>
      <c r="V1659" s="151" t="str">
        <f>IFERROR(VLOOKUP(C1659,Ativos!$A$1:$G2000,5,),)</f>
        <v/>
      </c>
    </row>
    <row r="1660" ht="21.0" customHeight="1">
      <c r="A1660" s="152"/>
      <c r="B1660" s="160"/>
      <c r="C1660" s="153"/>
      <c r="D1660" s="154"/>
      <c r="E1660" s="139"/>
      <c r="F1660" s="139"/>
      <c r="G1660" s="139"/>
      <c r="H1660" s="135"/>
      <c r="I1660" s="141"/>
      <c r="J1660" s="147" t="str">
        <f>IFERROR(__xludf.DUMMYFUNCTION("IF(ISBLANK(A1660),IFERROR(1/0),IF(COUNT(FILTER(F:F,A:A=A1660))&gt;1,TRUNC(N1660*F1660/SUM(FILTER(N:N,A:A=A1660)),3),F1660))"),"")</f>
        <v/>
      </c>
      <c r="K1660" s="147" t="str">
        <f>IFERROR(__xludf.DUMMYFUNCTION("IF(ISBLANK(A1660),IFERROR(1/0),IF(COUNT(FILTER(G:G,((A:A=A1660)*(B:B=""V""))))&gt;1,TRUNC(N1660*G1660/SUM(FILTER(N:N,((A:A=A1660)*(B:B=""V"")))),3),G1660))"),"")</f>
        <v/>
      </c>
      <c r="L1660" s="148" t="str">
        <f>IFERROR(__xludf.DUMMYFUNCTION("if($C1660="""","""",iferror(if(row()&lt;&gt;2,INDEX(arrayformula(filter($M$2:$M1659,$C$2:$C1659&lt;&gt;"""",row($C$2:$C1659)=max(if($C$2:$C1659=C1660,row($C$2:$C1659),0)))) ,1),0),0))"),"")</f>
        <v/>
      </c>
      <c r="M1660" s="148" t="str">
        <f t="shared" si="1"/>
        <v/>
      </c>
      <c r="N1660" s="147" t="str">
        <f t="shared" si="2"/>
        <v/>
      </c>
      <c r="O1660" s="147" t="str">
        <f t="shared" si="21"/>
        <v/>
      </c>
      <c r="P1660" s="147" t="str">
        <f>IFERROR(__xludf.DUMMYFUNCTION("if(C1660="""","""",iferror(if(row()&lt;&gt;2,INDEX(arrayformula(filter($Q$2:$Q1659,$C$2:$C1659&lt;&gt;"""",row($C$2:$C1659)=max(if($C$2:$C1659=C1660,row($C$2:$C1659),0)))) ,1),0),0))"),"")</f>
        <v/>
      </c>
      <c r="Q1660" s="147" t="str">
        <f t="shared" si="22"/>
        <v/>
      </c>
      <c r="R1660" s="147" t="str">
        <f t="shared" si="23"/>
        <v/>
      </c>
      <c r="S1660" s="147" t="str">
        <f t="shared" si="24"/>
        <v/>
      </c>
      <c r="T1660" s="147" t="str">
        <f t="shared" si="7"/>
        <v/>
      </c>
      <c r="U1660" s="150" t="str">
        <f t="shared" si="8"/>
        <v/>
      </c>
      <c r="V1660" s="151" t="str">
        <f>IFERROR(VLOOKUP(C1660,Ativos!$A$1:$G2000,5,),)</f>
        <v/>
      </c>
    </row>
    <row r="1661" ht="21.0" customHeight="1">
      <c r="A1661" s="152"/>
      <c r="B1661" s="160"/>
      <c r="C1661" s="153"/>
      <c r="D1661" s="154"/>
      <c r="E1661" s="139"/>
      <c r="F1661" s="139"/>
      <c r="G1661" s="139"/>
      <c r="H1661" s="135"/>
      <c r="I1661" s="141"/>
      <c r="J1661" s="147" t="str">
        <f>IFERROR(__xludf.DUMMYFUNCTION("IF(ISBLANK(A1661),IFERROR(1/0),IF(COUNT(FILTER(F:F,A:A=A1661))&gt;1,TRUNC(N1661*F1661/SUM(FILTER(N:N,A:A=A1661)),3),F1661))"),"")</f>
        <v/>
      </c>
      <c r="K1661" s="147" t="str">
        <f>IFERROR(__xludf.DUMMYFUNCTION("IF(ISBLANK(A1661),IFERROR(1/0),IF(COUNT(FILTER(G:G,((A:A=A1661)*(B:B=""V""))))&gt;1,TRUNC(N1661*G1661/SUM(FILTER(N:N,((A:A=A1661)*(B:B=""V"")))),3),G1661))"),"")</f>
        <v/>
      </c>
      <c r="L1661" s="148" t="str">
        <f>IFERROR(__xludf.DUMMYFUNCTION("if($C1661="""","""",iferror(if(row()&lt;&gt;2,INDEX(arrayformula(filter($M$2:$M1660,$C$2:$C1660&lt;&gt;"""",row($C$2:$C1660)=max(if($C$2:$C1660=C1661,row($C$2:$C1660),0)))) ,1),0),0))"),"")</f>
        <v/>
      </c>
      <c r="M1661" s="148" t="str">
        <f t="shared" si="1"/>
        <v/>
      </c>
      <c r="N1661" s="147" t="str">
        <f t="shared" si="2"/>
        <v/>
      </c>
      <c r="O1661" s="147" t="str">
        <f t="shared" si="21"/>
        <v/>
      </c>
      <c r="P1661" s="147" t="str">
        <f>IFERROR(__xludf.DUMMYFUNCTION("if(C1661="""","""",iferror(if(row()&lt;&gt;2,INDEX(arrayformula(filter($Q$2:$Q1660,$C$2:$C1660&lt;&gt;"""",row($C$2:$C1660)=max(if($C$2:$C1660=C1661,row($C$2:$C1660),0)))) ,1),0),0))"),"")</f>
        <v/>
      </c>
      <c r="Q1661" s="147" t="str">
        <f t="shared" si="22"/>
        <v/>
      </c>
      <c r="R1661" s="147" t="str">
        <f t="shared" si="23"/>
        <v/>
      </c>
      <c r="S1661" s="147" t="str">
        <f t="shared" si="24"/>
        <v/>
      </c>
      <c r="T1661" s="147" t="str">
        <f t="shared" si="7"/>
        <v/>
      </c>
      <c r="U1661" s="150" t="str">
        <f t="shared" si="8"/>
        <v/>
      </c>
      <c r="V1661" s="151" t="str">
        <f>IFERROR(VLOOKUP(C1661,Ativos!$A$1:$G2000,5,),)</f>
        <v/>
      </c>
    </row>
    <row r="1662" ht="21.0" customHeight="1">
      <c r="A1662" s="152"/>
      <c r="B1662" s="160"/>
      <c r="C1662" s="153"/>
      <c r="D1662" s="154"/>
      <c r="E1662" s="139"/>
      <c r="F1662" s="139"/>
      <c r="G1662" s="139"/>
      <c r="H1662" s="135"/>
      <c r="I1662" s="141"/>
      <c r="J1662" s="147" t="str">
        <f>IFERROR(__xludf.DUMMYFUNCTION("IF(ISBLANK(A1662),IFERROR(1/0),IF(COUNT(FILTER(F:F,A:A=A1662))&gt;1,TRUNC(N1662*F1662/SUM(FILTER(N:N,A:A=A1662)),3),F1662))"),"")</f>
        <v/>
      </c>
      <c r="K1662" s="147" t="str">
        <f>IFERROR(__xludf.DUMMYFUNCTION("IF(ISBLANK(A1662),IFERROR(1/0),IF(COUNT(FILTER(G:G,((A:A=A1662)*(B:B=""V""))))&gt;1,TRUNC(N1662*G1662/SUM(FILTER(N:N,((A:A=A1662)*(B:B=""V"")))),3),G1662))"),"")</f>
        <v/>
      </c>
      <c r="L1662" s="148" t="str">
        <f>IFERROR(__xludf.DUMMYFUNCTION("if($C1662="""","""",iferror(if(row()&lt;&gt;2,INDEX(arrayformula(filter($M$2:$M1661,$C$2:$C1661&lt;&gt;"""",row($C$2:$C1661)=max(if($C$2:$C1661=C1662,row($C$2:$C1661),0)))) ,1),0),0))"),"")</f>
        <v/>
      </c>
      <c r="M1662" s="148" t="str">
        <f t="shared" si="1"/>
        <v/>
      </c>
      <c r="N1662" s="147" t="str">
        <f t="shared" si="2"/>
        <v/>
      </c>
      <c r="O1662" s="147" t="str">
        <f t="shared" si="21"/>
        <v/>
      </c>
      <c r="P1662" s="147" t="str">
        <f>IFERROR(__xludf.DUMMYFUNCTION("if(C1662="""","""",iferror(if(row()&lt;&gt;2,INDEX(arrayformula(filter($Q$2:$Q1661,$C$2:$C1661&lt;&gt;"""",row($C$2:$C1661)=max(if($C$2:$C1661=C1662,row($C$2:$C1661),0)))) ,1),0),0))"),"")</f>
        <v/>
      </c>
      <c r="Q1662" s="147" t="str">
        <f t="shared" si="22"/>
        <v/>
      </c>
      <c r="R1662" s="147" t="str">
        <f t="shared" si="23"/>
        <v/>
      </c>
      <c r="S1662" s="147" t="str">
        <f t="shared" si="24"/>
        <v/>
      </c>
      <c r="T1662" s="147" t="str">
        <f t="shared" si="7"/>
        <v/>
      </c>
      <c r="U1662" s="150" t="str">
        <f t="shared" si="8"/>
        <v/>
      </c>
      <c r="V1662" s="151" t="str">
        <f>IFERROR(VLOOKUP(C1662,Ativos!$A$1:$G2000,5,),)</f>
        <v/>
      </c>
    </row>
    <row r="1663" ht="21.0" customHeight="1">
      <c r="A1663" s="152"/>
      <c r="B1663" s="160"/>
      <c r="C1663" s="153"/>
      <c r="D1663" s="154"/>
      <c r="E1663" s="139"/>
      <c r="F1663" s="139"/>
      <c r="G1663" s="139"/>
      <c r="H1663" s="135"/>
      <c r="I1663" s="141"/>
      <c r="J1663" s="147" t="str">
        <f>IFERROR(__xludf.DUMMYFUNCTION("IF(ISBLANK(A1663),IFERROR(1/0),IF(COUNT(FILTER(F:F,A:A=A1663))&gt;1,TRUNC(N1663*F1663/SUM(FILTER(N:N,A:A=A1663)),3),F1663))"),"")</f>
        <v/>
      </c>
      <c r="K1663" s="147" t="str">
        <f>IFERROR(__xludf.DUMMYFUNCTION("IF(ISBLANK(A1663),IFERROR(1/0),IF(COUNT(FILTER(G:G,((A:A=A1663)*(B:B=""V""))))&gt;1,TRUNC(N1663*G1663/SUM(FILTER(N:N,((A:A=A1663)*(B:B=""V"")))),3),G1663))"),"")</f>
        <v/>
      </c>
      <c r="L1663" s="148" t="str">
        <f>IFERROR(__xludf.DUMMYFUNCTION("if($C1663="""","""",iferror(if(row()&lt;&gt;2,INDEX(arrayformula(filter($M$2:$M1662,$C$2:$C1662&lt;&gt;"""",row($C$2:$C1662)=max(if($C$2:$C1662=C1663,row($C$2:$C1662),0)))) ,1),0),0))"),"")</f>
        <v/>
      </c>
      <c r="M1663" s="148" t="str">
        <f t="shared" si="1"/>
        <v/>
      </c>
      <c r="N1663" s="147" t="str">
        <f t="shared" si="2"/>
        <v/>
      </c>
      <c r="O1663" s="147" t="str">
        <f t="shared" si="21"/>
        <v/>
      </c>
      <c r="P1663" s="147" t="str">
        <f>IFERROR(__xludf.DUMMYFUNCTION("if(C1663="""","""",iferror(if(row()&lt;&gt;2,INDEX(arrayformula(filter($Q$2:$Q1662,$C$2:$C1662&lt;&gt;"""",row($C$2:$C1662)=max(if($C$2:$C1662=C1663,row($C$2:$C1662),0)))) ,1),0),0))"),"")</f>
        <v/>
      </c>
      <c r="Q1663" s="147" t="str">
        <f t="shared" si="22"/>
        <v/>
      </c>
      <c r="R1663" s="147" t="str">
        <f t="shared" si="23"/>
        <v/>
      </c>
      <c r="S1663" s="147" t="str">
        <f t="shared" si="24"/>
        <v/>
      </c>
      <c r="T1663" s="147" t="str">
        <f t="shared" si="7"/>
        <v/>
      </c>
      <c r="U1663" s="150" t="str">
        <f t="shared" si="8"/>
        <v/>
      </c>
      <c r="V1663" s="151" t="str">
        <f>IFERROR(VLOOKUP(C1663,Ativos!$A$1:$G2000,5,),)</f>
        <v/>
      </c>
    </row>
    <row r="1664" ht="21.0" customHeight="1">
      <c r="A1664" s="152"/>
      <c r="B1664" s="160"/>
      <c r="C1664" s="153"/>
      <c r="D1664" s="154"/>
      <c r="E1664" s="139"/>
      <c r="F1664" s="139"/>
      <c r="G1664" s="139"/>
      <c r="H1664" s="135"/>
      <c r="I1664" s="141"/>
      <c r="J1664" s="147" t="str">
        <f>IFERROR(__xludf.DUMMYFUNCTION("IF(ISBLANK(A1664),IFERROR(1/0),IF(COUNT(FILTER(F:F,A:A=A1664))&gt;1,TRUNC(N1664*F1664/SUM(FILTER(N:N,A:A=A1664)),3),F1664))"),"")</f>
        <v/>
      </c>
      <c r="K1664" s="147" t="str">
        <f>IFERROR(__xludf.DUMMYFUNCTION("IF(ISBLANK(A1664),IFERROR(1/0),IF(COUNT(FILTER(G:G,((A:A=A1664)*(B:B=""V""))))&gt;1,TRUNC(N1664*G1664/SUM(FILTER(N:N,((A:A=A1664)*(B:B=""V"")))),3),G1664))"),"")</f>
        <v/>
      </c>
      <c r="L1664" s="148" t="str">
        <f>IFERROR(__xludf.DUMMYFUNCTION("if($C1664="""","""",iferror(if(row()&lt;&gt;2,INDEX(arrayformula(filter($M$2:$M1663,$C$2:$C1663&lt;&gt;"""",row($C$2:$C1663)=max(if($C$2:$C1663=C1664,row($C$2:$C1663),0)))) ,1),0),0))"),"")</f>
        <v/>
      </c>
      <c r="M1664" s="148" t="str">
        <f t="shared" si="1"/>
        <v/>
      </c>
      <c r="N1664" s="147" t="str">
        <f t="shared" si="2"/>
        <v/>
      </c>
      <c r="O1664" s="147" t="str">
        <f t="shared" si="21"/>
        <v/>
      </c>
      <c r="P1664" s="147" t="str">
        <f>IFERROR(__xludf.DUMMYFUNCTION("if(C1664="""","""",iferror(if(row()&lt;&gt;2,INDEX(arrayformula(filter($Q$2:$Q1663,$C$2:$C1663&lt;&gt;"""",row($C$2:$C1663)=max(if($C$2:$C1663=C1664,row($C$2:$C1663),0)))) ,1),0),0))"),"")</f>
        <v/>
      </c>
      <c r="Q1664" s="147" t="str">
        <f t="shared" si="22"/>
        <v/>
      </c>
      <c r="R1664" s="147" t="str">
        <f t="shared" si="23"/>
        <v/>
      </c>
      <c r="S1664" s="147" t="str">
        <f t="shared" si="24"/>
        <v/>
      </c>
      <c r="T1664" s="147" t="str">
        <f t="shared" si="7"/>
        <v/>
      </c>
      <c r="U1664" s="150" t="str">
        <f t="shared" si="8"/>
        <v/>
      </c>
      <c r="V1664" s="151" t="str">
        <f>IFERROR(VLOOKUP(C1664,Ativos!$A$1:$G2000,5,),)</f>
        <v/>
      </c>
    </row>
    <row r="1665" ht="21.0" customHeight="1">
      <c r="A1665" s="152"/>
      <c r="B1665" s="160"/>
      <c r="C1665" s="153"/>
      <c r="D1665" s="154"/>
      <c r="E1665" s="139"/>
      <c r="F1665" s="139"/>
      <c r="G1665" s="139"/>
      <c r="H1665" s="135"/>
      <c r="I1665" s="141"/>
      <c r="J1665" s="147" t="str">
        <f>IFERROR(__xludf.DUMMYFUNCTION("IF(ISBLANK(A1665),IFERROR(1/0),IF(COUNT(FILTER(F:F,A:A=A1665))&gt;1,TRUNC(N1665*F1665/SUM(FILTER(N:N,A:A=A1665)),3),F1665))"),"")</f>
        <v/>
      </c>
      <c r="K1665" s="147" t="str">
        <f>IFERROR(__xludf.DUMMYFUNCTION("IF(ISBLANK(A1665),IFERROR(1/0),IF(COUNT(FILTER(G:G,((A:A=A1665)*(B:B=""V""))))&gt;1,TRUNC(N1665*G1665/SUM(FILTER(N:N,((A:A=A1665)*(B:B=""V"")))),3),G1665))"),"")</f>
        <v/>
      </c>
      <c r="L1665" s="148" t="str">
        <f>IFERROR(__xludf.DUMMYFUNCTION("if($C1665="""","""",iferror(if(row()&lt;&gt;2,INDEX(arrayformula(filter($M$2:$M1664,$C$2:$C1664&lt;&gt;"""",row($C$2:$C1664)=max(if($C$2:$C1664=C1665,row($C$2:$C1664),0)))) ,1),0),0))"),"")</f>
        <v/>
      </c>
      <c r="M1665" s="148" t="str">
        <f t="shared" si="1"/>
        <v/>
      </c>
      <c r="N1665" s="147" t="str">
        <f t="shared" si="2"/>
        <v/>
      </c>
      <c r="O1665" s="147" t="str">
        <f t="shared" si="21"/>
        <v/>
      </c>
      <c r="P1665" s="147" t="str">
        <f>IFERROR(__xludf.DUMMYFUNCTION("if(C1665="""","""",iferror(if(row()&lt;&gt;2,INDEX(arrayformula(filter($Q$2:$Q1664,$C$2:$C1664&lt;&gt;"""",row($C$2:$C1664)=max(if($C$2:$C1664=C1665,row($C$2:$C1664),0)))) ,1),0),0))"),"")</f>
        <v/>
      </c>
      <c r="Q1665" s="147" t="str">
        <f t="shared" si="22"/>
        <v/>
      </c>
      <c r="R1665" s="147" t="str">
        <f t="shared" si="23"/>
        <v/>
      </c>
      <c r="S1665" s="147" t="str">
        <f t="shared" si="24"/>
        <v/>
      </c>
      <c r="T1665" s="147" t="str">
        <f t="shared" si="7"/>
        <v/>
      </c>
      <c r="U1665" s="150" t="str">
        <f t="shared" si="8"/>
        <v/>
      </c>
      <c r="V1665" s="151" t="str">
        <f>IFERROR(VLOOKUP(C1665,Ativos!$A$1:$G2000,5,),)</f>
        <v/>
      </c>
    </row>
    <row r="1666" ht="21.0" customHeight="1">
      <c r="A1666" s="152"/>
      <c r="B1666" s="160"/>
      <c r="C1666" s="153"/>
      <c r="D1666" s="154"/>
      <c r="E1666" s="139"/>
      <c r="F1666" s="139"/>
      <c r="G1666" s="139"/>
      <c r="H1666" s="135"/>
      <c r="I1666" s="141"/>
      <c r="J1666" s="147" t="str">
        <f>IFERROR(__xludf.DUMMYFUNCTION("IF(ISBLANK(A1666),IFERROR(1/0),IF(COUNT(FILTER(F:F,A:A=A1666))&gt;1,TRUNC(N1666*F1666/SUM(FILTER(N:N,A:A=A1666)),3),F1666))"),"")</f>
        <v/>
      </c>
      <c r="K1666" s="147" t="str">
        <f>IFERROR(__xludf.DUMMYFUNCTION("IF(ISBLANK(A1666),IFERROR(1/0),IF(COUNT(FILTER(G:G,((A:A=A1666)*(B:B=""V""))))&gt;1,TRUNC(N1666*G1666/SUM(FILTER(N:N,((A:A=A1666)*(B:B=""V"")))),3),G1666))"),"")</f>
        <v/>
      </c>
      <c r="L1666" s="148" t="str">
        <f>IFERROR(__xludf.DUMMYFUNCTION("if($C1666="""","""",iferror(if(row()&lt;&gt;2,INDEX(arrayformula(filter($M$2:$M1665,$C$2:$C1665&lt;&gt;"""",row($C$2:$C1665)=max(if($C$2:$C1665=C1666,row($C$2:$C1665),0)))) ,1),0),0))"),"")</f>
        <v/>
      </c>
      <c r="M1666" s="148" t="str">
        <f t="shared" si="1"/>
        <v/>
      </c>
      <c r="N1666" s="147" t="str">
        <f t="shared" si="2"/>
        <v/>
      </c>
      <c r="O1666" s="147" t="str">
        <f t="shared" si="21"/>
        <v/>
      </c>
      <c r="P1666" s="147" t="str">
        <f>IFERROR(__xludf.DUMMYFUNCTION("if(C1666="""","""",iferror(if(row()&lt;&gt;2,INDEX(arrayformula(filter($Q$2:$Q1665,$C$2:$C1665&lt;&gt;"""",row($C$2:$C1665)=max(if($C$2:$C1665=C1666,row($C$2:$C1665),0)))) ,1),0),0))"),"")</f>
        <v/>
      </c>
      <c r="Q1666" s="147" t="str">
        <f t="shared" si="22"/>
        <v/>
      </c>
      <c r="R1666" s="147" t="str">
        <f t="shared" si="23"/>
        <v/>
      </c>
      <c r="S1666" s="147" t="str">
        <f t="shared" si="24"/>
        <v/>
      </c>
      <c r="T1666" s="147" t="str">
        <f t="shared" si="7"/>
        <v/>
      </c>
      <c r="U1666" s="150" t="str">
        <f t="shared" si="8"/>
        <v/>
      </c>
      <c r="V1666" s="151" t="str">
        <f>IFERROR(VLOOKUP(C1666,Ativos!$A$1:$G2000,5,),)</f>
        <v/>
      </c>
    </row>
    <row r="1667" ht="21.0" customHeight="1">
      <c r="A1667" s="152"/>
      <c r="B1667" s="160"/>
      <c r="C1667" s="153"/>
      <c r="D1667" s="154"/>
      <c r="E1667" s="139"/>
      <c r="F1667" s="139"/>
      <c r="G1667" s="139"/>
      <c r="H1667" s="135"/>
      <c r="I1667" s="141"/>
      <c r="J1667" s="147" t="str">
        <f>IFERROR(__xludf.DUMMYFUNCTION("IF(ISBLANK(A1667),IFERROR(1/0),IF(COUNT(FILTER(F:F,A:A=A1667))&gt;1,TRUNC(N1667*F1667/SUM(FILTER(N:N,A:A=A1667)),3),F1667))"),"")</f>
        <v/>
      </c>
      <c r="K1667" s="147" t="str">
        <f>IFERROR(__xludf.DUMMYFUNCTION("IF(ISBLANK(A1667),IFERROR(1/0),IF(COUNT(FILTER(G:G,((A:A=A1667)*(B:B=""V""))))&gt;1,TRUNC(N1667*G1667/SUM(FILTER(N:N,((A:A=A1667)*(B:B=""V"")))),3),G1667))"),"")</f>
        <v/>
      </c>
      <c r="L1667" s="148" t="str">
        <f>IFERROR(__xludf.DUMMYFUNCTION("if($C1667="""","""",iferror(if(row()&lt;&gt;2,INDEX(arrayformula(filter($M$2:$M1666,$C$2:$C1666&lt;&gt;"""",row($C$2:$C1666)=max(if($C$2:$C1666=C1667,row($C$2:$C1666),0)))) ,1),0),0))"),"")</f>
        <v/>
      </c>
      <c r="M1667" s="148" t="str">
        <f t="shared" si="1"/>
        <v/>
      </c>
      <c r="N1667" s="147" t="str">
        <f t="shared" si="2"/>
        <v/>
      </c>
      <c r="O1667" s="147" t="str">
        <f t="shared" si="21"/>
        <v/>
      </c>
      <c r="P1667" s="147" t="str">
        <f>IFERROR(__xludf.DUMMYFUNCTION("if(C1667="""","""",iferror(if(row()&lt;&gt;2,INDEX(arrayformula(filter($Q$2:$Q1666,$C$2:$C1666&lt;&gt;"""",row($C$2:$C1666)=max(if($C$2:$C1666=C1667,row($C$2:$C1666),0)))) ,1),0),0))"),"")</f>
        <v/>
      </c>
      <c r="Q1667" s="147" t="str">
        <f t="shared" si="22"/>
        <v/>
      </c>
      <c r="R1667" s="147" t="str">
        <f t="shared" si="23"/>
        <v/>
      </c>
      <c r="S1667" s="147" t="str">
        <f t="shared" si="24"/>
        <v/>
      </c>
      <c r="T1667" s="147" t="str">
        <f t="shared" si="7"/>
        <v/>
      </c>
      <c r="U1667" s="150" t="str">
        <f t="shared" si="8"/>
        <v/>
      </c>
      <c r="V1667" s="151" t="str">
        <f>IFERROR(VLOOKUP(C1667,Ativos!$A$1:$G2000,5,),)</f>
        <v/>
      </c>
    </row>
    <row r="1668" ht="21.0" customHeight="1">
      <c r="A1668" s="152"/>
      <c r="B1668" s="160"/>
      <c r="C1668" s="153"/>
      <c r="D1668" s="154"/>
      <c r="E1668" s="139"/>
      <c r="F1668" s="139"/>
      <c r="G1668" s="139"/>
      <c r="H1668" s="135"/>
      <c r="I1668" s="141"/>
      <c r="J1668" s="147" t="str">
        <f>IFERROR(__xludf.DUMMYFUNCTION("IF(ISBLANK(A1668),IFERROR(1/0),IF(COUNT(FILTER(F:F,A:A=A1668))&gt;1,TRUNC(N1668*F1668/SUM(FILTER(N:N,A:A=A1668)),3),F1668))"),"")</f>
        <v/>
      </c>
      <c r="K1668" s="147" t="str">
        <f>IFERROR(__xludf.DUMMYFUNCTION("IF(ISBLANK(A1668),IFERROR(1/0),IF(COUNT(FILTER(G:G,((A:A=A1668)*(B:B=""V""))))&gt;1,TRUNC(N1668*G1668/SUM(FILTER(N:N,((A:A=A1668)*(B:B=""V"")))),3),G1668))"),"")</f>
        <v/>
      </c>
      <c r="L1668" s="148" t="str">
        <f>IFERROR(__xludf.DUMMYFUNCTION("if($C1668="""","""",iferror(if(row()&lt;&gt;2,INDEX(arrayformula(filter($M$2:$M1667,$C$2:$C1667&lt;&gt;"""",row($C$2:$C1667)=max(if($C$2:$C1667=C1668,row($C$2:$C1667),0)))) ,1),0),0))"),"")</f>
        <v/>
      </c>
      <c r="M1668" s="148" t="str">
        <f t="shared" si="1"/>
        <v/>
      </c>
      <c r="N1668" s="147" t="str">
        <f t="shared" si="2"/>
        <v/>
      </c>
      <c r="O1668" s="147" t="str">
        <f t="shared" si="21"/>
        <v/>
      </c>
      <c r="P1668" s="147" t="str">
        <f>IFERROR(__xludf.DUMMYFUNCTION("if(C1668="""","""",iferror(if(row()&lt;&gt;2,INDEX(arrayformula(filter($Q$2:$Q1667,$C$2:$C1667&lt;&gt;"""",row($C$2:$C1667)=max(if($C$2:$C1667=C1668,row($C$2:$C1667),0)))) ,1),0),0))"),"")</f>
        <v/>
      </c>
      <c r="Q1668" s="147" t="str">
        <f t="shared" si="22"/>
        <v/>
      </c>
      <c r="R1668" s="147" t="str">
        <f t="shared" si="23"/>
        <v/>
      </c>
      <c r="S1668" s="147" t="str">
        <f t="shared" si="24"/>
        <v/>
      </c>
      <c r="T1668" s="147" t="str">
        <f t="shared" si="7"/>
        <v/>
      </c>
      <c r="U1668" s="150" t="str">
        <f t="shared" si="8"/>
        <v/>
      </c>
      <c r="V1668" s="151" t="str">
        <f>IFERROR(VLOOKUP(C1668,Ativos!$A$1:$G2000,5,),)</f>
        <v/>
      </c>
    </row>
    <row r="1669" ht="21.0" customHeight="1">
      <c r="A1669" s="152"/>
      <c r="B1669" s="160"/>
      <c r="C1669" s="153"/>
      <c r="D1669" s="154"/>
      <c r="E1669" s="139"/>
      <c r="F1669" s="139"/>
      <c r="G1669" s="139"/>
      <c r="H1669" s="135"/>
      <c r="I1669" s="141"/>
      <c r="J1669" s="147" t="str">
        <f>IFERROR(__xludf.DUMMYFUNCTION("IF(ISBLANK(A1669),IFERROR(1/0),IF(COUNT(FILTER(F:F,A:A=A1669))&gt;1,TRUNC(N1669*F1669/SUM(FILTER(N:N,A:A=A1669)),3),F1669))"),"")</f>
        <v/>
      </c>
      <c r="K1669" s="147" t="str">
        <f>IFERROR(__xludf.DUMMYFUNCTION("IF(ISBLANK(A1669),IFERROR(1/0),IF(COUNT(FILTER(G:G,((A:A=A1669)*(B:B=""V""))))&gt;1,TRUNC(N1669*G1669/SUM(FILTER(N:N,((A:A=A1669)*(B:B=""V"")))),3),G1669))"),"")</f>
        <v/>
      </c>
      <c r="L1669" s="148" t="str">
        <f>IFERROR(__xludf.DUMMYFUNCTION("if($C1669="""","""",iferror(if(row()&lt;&gt;2,INDEX(arrayformula(filter($M$2:$M1668,$C$2:$C1668&lt;&gt;"""",row($C$2:$C1668)=max(if($C$2:$C1668=C1669,row($C$2:$C1668),0)))) ,1),0),0))"),"")</f>
        <v/>
      </c>
      <c r="M1669" s="148" t="str">
        <f t="shared" si="1"/>
        <v/>
      </c>
      <c r="N1669" s="147" t="str">
        <f t="shared" si="2"/>
        <v/>
      </c>
      <c r="O1669" s="147" t="str">
        <f t="shared" si="21"/>
        <v/>
      </c>
      <c r="P1669" s="147" t="str">
        <f>IFERROR(__xludf.DUMMYFUNCTION("if(C1669="""","""",iferror(if(row()&lt;&gt;2,INDEX(arrayformula(filter($Q$2:$Q1668,$C$2:$C1668&lt;&gt;"""",row($C$2:$C1668)=max(if($C$2:$C1668=C1669,row($C$2:$C1668),0)))) ,1),0),0))"),"")</f>
        <v/>
      </c>
      <c r="Q1669" s="147" t="str">
        <f t="shared" si="22"/>
        <v/>
      </c>
      <c r="R1669" s="147" t="str">
        <f t="shared" si="23"/>
        <v/>
      </c>
      <c r="S1669" s="147" t="str">
        <f t="shared" si="24"/>
        <v/>
      </c>
      <c r="T1669" s="147" t="str">
        <f t="shared" si="7"/>
        <v/>
      </c>
      <c r="U1669" s="150" t="str">
        <f t="shared" si="8"/>
        <v/>
      </c>
      <c r="V1669" s="151" t="str">
        <f>IFERROR(VLOOKUP(C1669,Ativos!$A$1:$G2000,5,),)</f>
        <v/>
      </c>
    </row>
    <row r="1670" ht="21.0" customHeight="1">
      <c r="A1670" s="152"/>
      <c r="B1670" s="160"/>
      <c r="C1670" s="153"/>
      <c r="D1670" s="154"/>
      <c r="E1670" s="139"/>
      <c r="F1670" s="139"/>
      <c r="G1670" s="139"/>
      <c r="H1670" s="135"/>
      <c r="I1670" s="141"/>
      <c r="J1670" s="147" t="str">
        <f>IFERROR(__xludf.DUMMYFUNCTION("IF(ISBLANK(A1670),IFERROR(1/0),IF(COUNT(FILTER(F:F,A:A=A1670))&gt;1,TRUNC(N1670*F1670/SUM(FILTER(N:N,A:A=A1670)),3),F1670))"),"")</f>
        <v/>
      </c>
      <c r="K1670" s="147" t="str">
        <f>IFERROR(__xludf.DUMMYFUNCTION("IF(ISBLANK(A1670),IFERROR(1/0),IF(COUNT(FILTER(G:G,((A:A=A1670)*(B:B=""V""))))&gt;1,TRUNC(N1670*G1670/SUM(FILTER(N:N,((A:A=A1670)*(B:B=""V"")))),3),G1670))"),"")</f>
        <v/>
      </c>
      <c r="L1670" s="148" t="str">
        <f>IFERROR(__xludf.DUMMYFUNCTION("if($C1670="""","""",iferror(if(row()&lt;&gt;2,INDEX(arrayformula(filter($M$2:$M1669,$C$2:$C1669&lt;&gt;"""",row($C$2:$C1669)=max(if($C$2:$C1669=C1670,row($C$2:$C1669),0)))) ,1),0),0))"),"")</f>
        <v/>
      </c>
      <c r="M1670" s="148" t="str">
        <f t="shared" si="1"/>
        <v/>
      </c>
      <c r="N1670" s="147" t="str">
        <f t="shared" si="2"/>
        <v/>
      </c>
      <c r="O1670" s="147" t="str">
        <f t="shared" si="21"/>
        <v/>
      </c>
      <c r="P1670" s="147" t="str">
        <f>IFERROR(__xludf.DUMMYFUNCTION("if(C1670="""","""",iferror(if(row()&lt;&gt;2,INDEX(arrayformula(filter($Q$2:$Q1669,$C$2:$C1669&lt;&gt;"""",row($C$2:$C1669)=max(if($C$2:$C1669=C1670,row($C$2:$C1669),0)))) ,1),0),0))"),"")</f>
        <v/>
      </c>
      <c r="Q1670" s="147" t="str">
        <f t="shared" si="22"/>
        <v/>
      </c>
      <c r="R1670" s="147" t="str">
        <f t="shared" si="23"/>
        <v/>
      </c>
      <c r="S1670" s="147" t="str">
        <f t="shared" si="24"/>
        <v/>
      </c>
      <c r="T1670" s="147" t="str">
        <f t="shared" si="7"/>
        <v/>
      </c>
      <c r="U1670" s="150" t="str">
        <f t="shared" si="8"/>
        <v/>
      </c>
      <c r="V1670" s="151" t="str">
        <f>IFERROR(VLOOKUP(C1670,Ativos!$A$1:$G2000,5,),)</f>
        <v/>
      </c>
    </row>
    <row r="1671" ht="21.0" customHeight="1">
      <c r="A1671" s="152"/>
      <c r="B1671" s="160"/>
      <c r="C1671" s="153"/>
      <c r="D1671" s="154"/>
      <c r="E1671" s="139"/>
      <c r="F1671" s="139"/>
      <c r="G1671" s="139"/>
      <c r="H1671" s="135"/>
      <c r="I1671" s="141"/>
      <c r="J1671" s="147" t="str">
        <f>IFERROR(__xludf.DUMMYFUNCTION("IF(ISBLANK(A1671),IFERROR(1/0),IF(COUNT(FILTER(F:F,A:A=A1671))&gt;1,TRUNC(N1671*F1671/SUM(FILTER(N:N,A:A=A1671)),3),F1671))"),"")</f>
        <v/>
      </c>
      <c r="K1671" s="147" t="str">
        <f>IFERROR(__xludf.DUMMYFUNCTION("IF(ISBLANK(A1671),IFERROR(1/0),IF(COUNT(FILTER(G:G,((A:A=A1671)*(B:B=""V""))))&gt;1,TRUNC(N1671*G1671/SUM(FILTER(N:N,((A:A=A1671)*(B:B=""V"")))),3),G1671))"),"")</f>
        <v/>
      </c>
      <c r="L1671" s="148" t="str">
        <f>IFERROR(__xludf.DUMMYFUNCTION("if($C1671="""","""",iferror(if(row()&lt;&gt;2,INDEX(arrayformula(filter($M$2:$M1670,$C$2:$C1670&lt;&gt;"""",row($C$2:$C1670)=max(if($C$2:$C1670=C1671,row($C$2:$C1670),0)))) ,1),0),0))"),"")</f>
        <v/>
      </c>
      <c r="M1671" s="148" t="str">
        <f t="shared" si="1"/>
        <v/>
      </c>
      <c r="N1671" s="147" t="str">
        <f t="shared" si="2"/>
        <v/>
      </c>
      <c r="O1671" s="147" t="str">
        <f t="shared" si="21"/>
        <v/>
      </c>
      <c r="P1671" s="147" t="str">
        <f>IFERROR(__xludf.DUMMYFUNCTION("if(C1671="""","""",iferror(if(row()&lt;&gt;2,INDEX(arrayformula(filter($Q$2:$Q1670,$C$2:$C1670&lt;&gt;"""",row($C$2:$C1670)=max(if($C$2:$C1670=C1671,row($C$2:$C1670),0)))) ,1),0),0))"),"")</f>
        <v/>
      </c>
      <c r="Q1671" s="147" t="str">
        <f t="shared" si="22"/>
        <v/>
      </c>
      <c r="R1671" s="147" t="str">
        <f t="shared" si="23"/>
        <v/>
      </c>
      <c r="S1671" s="147" t="str">
        <f t="shared" si="24"/>
        <v/>
      </c>
      <c r="T1671" s="147" t="str">
        <f t="shared" si="7"/>
        <v/>
      </c>
      <c r="U1671" s="150" t="str">
        <f t="shared" si="8"/>
        <v/>
      </c>
      <c r="V1671" s="151" t="str">
        <f>IFERROR(VLOOKUP(C1671,Ativos!$A$1:$G2000,5,),)</f>
        <v/>
      </c>
    </row>
    <row r="1672" ht="21.0" customHeight="1">
      <c r="A1672" s="152"/>
      <c r="B1672" s="160"/>
      <c r="C1672" s="153"/>
      <c r="D1672" s="154"/>
      <c r="E1672" s="139"/>
      <c r="F1672" s="139"/>
      <c r="G1672" s="139"/>
      <c r="H1672" s="135"/>
      <c r="I1672" s="141"/>
      <c r="J1672" s="147" t="str">
        <f>IFERROR(__xludf.DUMMYFUNCTION("IF(ISBLANK(A1672),IFERROR(1/0),IF(COUNT(FILTER(F:F,A:A=A1672))&gt;1,TRUNC(N1672*F1672/SUM(FILTER(N:N,A:A=A1672)),3),F1672))"),"")</f>
        <v/>
      </c>
      <c r="K1672" s="147" t="str">
        <f>IFERROR(__xludf.DUMMYFUNCTION("IF(ISBLANK(A1672),IFERROR(1/0),IF(COUNT(FILTER(G:G,((A:A=A1672)*(B:B=""V""))))&gt;1,TRUNC(N1672*G1672/SUM(FILTER(N:N,((A:A=A1672)*(B:B=""V"")))),3),G1672))"),"")</f>
        <v/>
      </c>
      <c r="L1672" s="148" t="str">
        <f>IFERROR(__xludf.DUMMYFUNCTION("if($C1672="""","""",iferror(if(row()&lt;&gt;2,INDEX(arrayformula(filter($M$2:$M1671,$C$2:$C1671&lt;&gt;"""",row($C$2:$C1671)=max(if($C$2:$C1671=C1672,row($C$2:$C1671),0)))) ,1),0),0))"),"")</f>
        <v/>
      </c>
      <c r="M1672" s="148" t="str">
        <f t="shared" si="1"/>
        <v/>
      </c>
      <c r="N1672" s="147" t="str">
        <f t="shared" si="2"/>
        <v/>
      </c>
      <c r="O1672" s="147" t="str">
        <f t="shared" si="21"/>
        <v/>
      </c>
      <c r="P1672" s="147" t="str">
        <f>IFERROR(__xludf.DUMMYFUNCTION("if(C1672="""","""",iferror(if(row()&lt;&gt;2,INDEX(arrayformula(filter($Q$2:$Q1671,$C$2:$C1671&lt;&gt;"""",row($C$2:$C1671)=max(if($C$2:$C1671=C1672,row($C$2:$C1671),0)))) ,1),0),0))"),"")</f>
        <v/>
      </c>
      <c r="Q1672" s="147" t="str">
        <f t="shared" si="22"/>
        <v/>
      </c>
      <c r="R1672" s="147" t="str">
        <f t="shared" si="23"/>
        <v/>
      </c>
      <c r="S1672" s="147" t="str">
        <f t="shared" si="24"/>
        <v/>
      </c>
      <c r="T1672" s="147" t="str">
        <f t="shared" si="7"/>
        <v/>
      </c>
      <c r="U1672" s="150" t="str">
        <f t="shared" si="8"/>
        <v/>
      </c>
      <c r="V1672" s="151" t="str">
        <f>IFERROR(VLOOKUP(C1672,Ativos!$A$1:$G2000,5,),)</f>
        <v/>
      </c>
    </row>
    <row r="1673" ht="21.0" customHeight="1">
      <c r="A1673" s="152"/>
      <c r="B1673" s="160"/>
      <c r="C1673" s="153"/>
      <c r="D1673" s="154"/>
      <c r="E1673" s="139"/>
      <c r="F1673" s="139"/>
      <c r="G1673" s="139"/>
      <c r="H1673" s="135"/>
      <c r="I1673" s="141"/>
      <c r="J1673" s="147" t="str">
        <f>IFERROR(__xludf.DUMMYFUNCTION("IF(ISBLANK(A1673),IFERROR(1/0),IF(COUNT(FILTER(F:F,A:A=A1673))&gt;1,TRUNC(N1673*F1673/SUM(FILTER(N:N,A:A=A1673)),3),F1673))"),"")</f>
        <v/>
      </c>
      <c r="K1673" s="147" t="str">
        <f>IFERROR(__xludf.DUMMYFUNCTION("IF(ISBLANK(A1673),IFERROR(1/0),IF(COUNT(FILTER(G:G,((A:A=A1673)*(B:B=""V""))))&gt;1,TRUNC(N1673*G1673/SUM(FILTER(N:N,((A:A=A1673)*(B:B=""V"")))),3),G1673))"),"")</f>
        <v/>
      </c>
      <c r="L1673" s="148" t="str">
        <f>IFERROR(__xludf.DUMMYFUNCTION("if($C1673="""","""",iferror(if(row()&lt;&gt;2,INDEX(arrayformula(filter($M$2:$M1672,$C$2:$C1672&lt;&gt;"""",row($C$2:$C1672)=max(if($C$2:$C1672=C1673,row($C$2:$C1672),0)))) ,1),0),0))"),"")</f>
        <v/>
      </c>
      <c r="M1673" s="148" t="str">
        <f t="shared" si="1"/>
        <v/>
      </c>
      <c r="N1673" s="147" t="str">
        <f t="shared" si="2"/>
        <v/>
      </c>
      <c r="O1673" s="147" t="str">
        <f t="shared" si="21"/>
        <v/>
      </c>
      <c r="P1673" s="147" t="str">
        <f>IFERROR(__xludf.DUMMYFUNCTION("if(C1673="""","""",iferror(if(row()&lt;&gt;2,INDEX(arrayformula(filter($Q$2:$Q1672,$C$2:$C1672&lt;&gt;"""",row($C$2:$C1672)=max(if($C$2:$C1672=C1673,row($C$2:$C1672),0)))) ,1),0),0))"),"")</f>
        <v/>
      </c>
      <c r="Q1673" s="147" t="str">
        <f t="shared" si="22"/>
        <v/>
      </c>
      <c r="R1673" s="147" t="str">
        <f t="shared" si="23"/>
        <v/>
      </c>
      <c r="S1673" s="147" t="str">
        <f t="shared" si="24"/>
        <v/>
      </c>
      <c r="T1673" s="147" t="str">
        <f t="shared" si="7"/>
        <v/>
      </c>
      <c r="U1673" s="150" t="str">
        <f t="shared" si="8"/>
        <v/>
      </c>
      <c r="V1673" s="151" t="str">
        <f>IFERROR(VLOOKUP(C1673,Ativos!$A$1:$G2000,5,),)</f>
        <v/>
      </c>
    </row>
    <row r="1674" ht="21.0" customHeight="1">
      <c r="A1674" s="152"/>
      <c r="B1674" s="160"/>
      <c r="C1674" s="153"/>
      <c r="D1674" s="154"/>
      <c r="E1674" s="139"/>
      <c r="F1674" s="139"/>
      <c r="G1674" s="139"/>
      <c r="H1674" s="135"/>
      <c r="I1674" s="141"/>
      <c r="J1674" s="147" t="str">
        <f>IFERROR(__xludf.DUMMYFUNCTION("IF(ISBLANK(A1674),IFERROR(1/0),IF(COUNT(FILTER(F:F,A:A=A1674))&gt;1,TRUNC(N1674*F1674/SUM(FILTER(N:N,A:A=A1674)),3),F1674))"),"")</f>
        <v/>
      </c>
      <c r="K1674" s="147" t="str">
        <f>IFERROR(__xludf.DUMMYFUNCTION("IF(ISBLANK(A1674),IFERROR(1/0),IF(COUNT(FILTER(G:G,((A:A=A1674)*(B:B=""V""))))&gt;1,TRUNC(N1674*G1674/SUM(FILTER(N:N,((A:A=A1674)*(B:B=""V"")))),3),G1674))"),"")</f>
        <v/>
      </c>
      <c r="L1674" s="148" t="str">
        <f>IFERROR(__xludf.DUMMYFUNCTION("if($C1674="""","""",iferror(if(row()&lt;&gt;2,INDEX(arrayformula(filter($M$2:$M1673,$C$2:$C1673&lt;&gt;"""",row($C$2:$C1673)=max(if($C$2:$C1673=C1674,row($C$2:$C1673),0)))) ,1),0),0))"),"")</f>
        <v/>
      </c>
      <c r="M1674" s="148" t="str">
        <f t="shared" si="1"/>
        <v/>
      </c>
      <c r="N1674" s="147" t="str">
        <f t="shared" si="2"/>
        <v/>
      </c>
      <c r="O1674" s="147" t="str">
        <f t="shared" si="21"/>
        <v/>
      </c>
      <c r="P1674" s="147" t="str">
        <f>IFERROR(__xludf.DUMMYFUNCTION("if(C1674="""","""",iferror(if(row()&lt;&gt;2,INDEX(arrayformula(filter($Q$2:$Q1673,$C$2:$C1673&lt;&gt;"""",row($C$2:$C1673)=max(if($C$2:$C1673=C1674,row($C$2:$C1673),0)))) ,1),0),0))"),"")</f>
        <v/>
      </c>
      <c r="Q1674" s="147" t="str">
        <f t="shared" si="22"/>
        <v/>
      </c>
      <c r="R1674" s="147" t="str">
        <f t="shared" si="23"/>
        <v/>
      </c>
      <c r="S1674" s="147" t="str">
        <f t="shared" si="24"/>
        <v/>
      </c>
      <c r="T1674" s="147" t="str">
        <f t="shared" si="7"/>
        <v/>
      </c>
      <c r="U1674" s="150" t="str">
        <f t="shared" si="8"/>
        <v/>
      </c>
      <c r="V1674" s="151" t="str">
        <f>IFERROR(VLOOKUP(C1674,Ativos!$A$1:$G2000,5,),)</f>
        <v/>
      </c>
    </row>
    <row r="1675" ht="21.0" customHeight="1">
      <c r="A1675" s="152"/>
      <c r="B1675" s="160"/>
      <c r="C1675" s="153"/>
      <c r="D1675" s="154"/>
      <c r="E1675" s="139"/>
      <c r="F1675" s="139"/>
      <c r="G1675" s="139"/>
      <c r="H1675" s="135"/>
      <c r="I1675" s="141"/>
      <c r="J1675" s="147" t="str">
        <f>IFERROR(__xludf.DUMMYFUNCTION("IF(ISBLANK(A1675),IFERROR(1/0),IF(COUNT(FILTER(F:F,A:A=A1675))&gt;1,TRUNC(N1675*F1675/SUM(FILTER(N:N,A:A=A1675)),3),F1675))"),"")</f>
        <v/>
      </c>
      <c r="K1675" s="147" t="str">
        <f>IFERROR(__xludf.DUMMYFUNCTION("IF(ISBLANK(A1675),IFERROR(1/0),IF(COUNT(FILTER(G:G,((A:A=A1675)*(B:B=""V""))))&gt;1,TRUNC(N1675*G1675/SUM(FILTER(N:N,((A:A=A1675)*(B:B=""V"")))),3),G1675))"),"")</f>
        <v/>
      </c>
      <c r="L1675" s="148" t="str">
        <f>IFERROR(__xludf.DUMMYFUNCTION("if($C1675="""","""",iferror(if(row()&lt;&gt;2,INDEX(arrayformula(filter($M$2:$M1674,$C$2:$C1674&lt;&gt;"""",row($C$2:$C1674)=max(if($C$2:$C1674=C1675,row($C$2:$C1674),0)))) ,1),0),0))"),"")</f>
        <v/>
      </c>
      <c r="M1675" s="148" t="str">
        <f t="shared" si="1"/>
        <v/>
      </c>
      <c r="N1675" s="147" t="str">
        <f t="shared" si="2"/>
        <v/>
      </c>
      <c r="O1675" s="147" t="str">
        <f t="shared" si="21"/>
        <v/>
      </c>
      <c r="P1675" s="147" t="str">
        <f>IFERROR(__xludf.DUMMYFUNCTION("if(C1675="""","""",iferror(if(row()&lt;&gt;2,INDEX(arrayformula(filter($Q$2:$Q1674,$C$2:$C1674&lt;&gt;"""",row($C$2:$C1674)=max(if($C$2:$C1674=C1675,row($C$2:$C1674),0)))) ,1),0),0))"),"")</f>
        <v/>
      </c>
      <c r="Q1675" s="147" t="str">
        <f t="shared" si="22"/>
        <v/>
      </c>
      <c r="R1675" s="147" t="str">
        <f t="shared" si="23"/>
        <v/>
      </c>
      <c r="S1675" s="147" t="str">
        <f t="shared" si="24"/>
        <v/>
      </c>
      <c r="T1675" s="147" t="str">
        <f t="shared" si="7"/>
        <v/>
      </c>
      <c r="U1675" s="150" t="str">
        <f t="shared" si="8"/>
        <v/>
      </c>
      <c r="V1675" s="151" t="str">
        <f>IFERROR(VLOOKUP(C1675,Ativos!$A$1:$G2000,5,),)</f>
        <v/>
      </c>
    </row>
    <row r="1676" ht="21.0" customHeight="1">
      <c r="A1676" s="152"/>
      <c r="B1676" s="160"/>
      <c r="C1676" s="153"/>
      <c r="D1676" s="154"/>
      <c r="E1676" s="139"/>
      <c r="F1676" s="139"/>
      <c r="G1676" s="139"/>
      <c r="H1676" s="135"/>
      <c r="I1676" s="141"/>
      <c r="J1676" s="147" t="str">
        <f>IFERROR(__xludf.DUMMYFUNCTION("IF(ISBLANK(A1676),IFERROR(1/0),IF(COUNT(FILTER(F:F,A:A=A1676))&gt;1,TRUNC(N1676*F1676/SUM(FILTER(N:N,A:A=A1676)),3),F1676))"),"")</f>
        <v/>
      </c>
      <c r="K1676" s="147" t="str">
        <f>IFERROR(__xludf.DUMMYFUNCTION("IF(ISBLANK(A1676),IFERROR(1/0),IF(COUNT(FILTER(G:G,((A:A=A1676)*(B:B=""V""))))&gt;1,TRUNC(N1676*G1676/SUM(FILTER(N:N,((A:A=A1676)*(B:B=""V"")))),3),G1676))"),"")</f>
        <v/>
      </c>
      <c r="L1676" s="148" t="str">
        <f>IFERROR(__xludf.DUMMYFUNCTION("if($C1676="""","""",iferror(if(row()&lt;&gt;2,INDEX(arrayformula(filter($M$2:$M1675,$C$2:$C1675&lt;&gt;"""",row($C$2:$C1675)=max(if($C$2:$C1675=C1676,row($C$2:$C1675),0)))) ,1),0),0))"),"")</f>
        <v/>
      </c>
      <c r="M1676" s="148" t="str">
        <f t="shared" si="1"/>
        <v/>
      </c>
      <c r="N1676" s="147" t="str">
        <f t="shared" si="2"/>
        <v/>
      </c>
      <c r="O1676" s="147" t="str">
        <f t="shared" si="21"/>
        <v/>
      </c>
      <c r="P1676" s="147" t="str">
        <f>IFERROR(__xludf.DUMMYFUNCTION("if(C1676="""","""",iferror(if(row()&lt;&gt;2,INDEX(arrayformula(filter($Q$2:$Q1675,$C$2:$C1675&lt;&gt;"""",row($C$2:$C1675)=max(if($C$2:$C1675=C1676,row($C$2:$C1675),0)))) ,1),0),0))"),"")</f>
        <v/>
      </c>
      <c r="Q1676" s="147" t="str">
        <f t="shared" si="22"/>
        <v/>
      </c>
      <c r="R1676" s="147" t="str">
        <f t="shared" si="23"/>
        <v/>
      </c>
      <c r="S1676" s="147" t="str">
        <f t="shared" si="24"/>
        <v/>
      </c>
      <c r="T1676" s="147" t="str">
        <f t="shared" si="7"/>
        <v/>
      </c>
      <c r="U1676" s="150" t="str">
        <f t="shared" si="8"/>
        <v/>
      </c>
      <c r="V1676" s="151" t="str">
        <f>IFERROR(VLOOKUP(C1676,Ativos!$A$1:$G2000,5,),)</f>
        <v/>
      </c>
    </row>
    <row r="1677" ht="21.0" customHeight="1">
      <c r="A1677" s="152"/>
      <c r="B1677" s="160"/>
      <c r="C1677" s="153"/>
      <c r="D1677" s="154"/>
      <c r="E1677" s="139"/>
      <c r="F1677" s="139"/>
      <c r="G1677" s="139"/>
      <c r="H1677" s="135"/>
      <c r="I1677" s="141"/>
      <c r="J1677" s="147" t="str">
        <f>IFERROR(__xludf.DUMMYFUNCTION("IF(ISBLANK(A1677),IFERROR(1/0),IF(COUNT(FILTER(F:F,A:A=A1677))&gt;1,TRUNC(N1677*F1677/SUM(FILTER(N:N,A:A=A1677)),3),F1677))"),"")</f>
        <v/>
      </c>
      <c r="K1677" s="147" t="str">
        <f>IFERROR(__xludf.DUMMYFUNCTION("IF(ISBLANK(A1677),IFERROR(1/0),IF(COUNT(FILTER(G:G,((A:A=A1677)*(B:B=""V""))))&gt;1,TRUNC(N1677*G1677/SUM(FILTER(N:N,((A:A=A1677)*(B:B=""V"")))),3),G1677))"),"")</f>
        <v/>
      </c>
      <c r="L1677" s="148" t="str">
        <f>IFERROR(__xludf.DUMMYFUNCTION("if($C1677="""","""",iferror(if(row()&lt;&gt;2,INDEX(arrayformula(filter($M$2:$M1676,$C$2:$C1676&lt;&gt;"""",row($C$2:$C1676)=max(if($C$2:$C1676=C1677,row($C$2:$C1676),0)))) ,1),0),0))"),"")</f>
        <v/>
      </c>
      <c r="M1677" s="148" t="str">
        <f t="shared" si="1"/>
        <v/>
      </c>
      <c r="N1677" s="147" t="str">
        <f t="shared" si="2"/>
        <v/>
      </c>
      <c r="O1677" s="147" t="str">
        <f t="shared" si="21"/>
        <v/>
      </c>
      <c r="P1677" s="147" t="str">
        <f>IFERROR(__xludf.DUMMYFUNCTION("if(C1677="""","""",iferror(if(row()&lt;&gt;2,INDEX(arrayformula(filter($Q$2:$Q1676,$C$2:$C1676&lt;&gt;"""",row($C$2:$C1676)=max(if($C$2:$C1676=C1677,row($C$2:$C1676),0)))) ,1),0),0))"),"")</f>
        <v/>
      </c>
      <c r="Q1677" s="147" t="str">
        <f t="shared" si="22"/>
        <v/>
      </c>
      <c r="R1677" s="147" t="str">
        <f t="shared" si="23"/>
        <v/>
      </c>
      <c r="S1677" s="147" t="str">
        <f t="shared" si="24"/>
        <v/>
      </c>
      <c r="T1677" s="147" t="str">
        <f t="shared" si="7"/>
        <v/>
      </c>
      <c r="U1677" s="150" t="str">
        <f t="shared" si="8"/>
        <v/>
      </c>
      <c r="V1677" s="151" t="str">
        <f>IFERROR(VLOOKUP(C1677,Ativos!$A$1:$G2000,5,),)</f>
        <v/>
      </c>
    </row>
    <row r="1678" ht="21.0" customHeight="1">
      <c r="A1678" s="152"/>
      <c r="B1678" s="160"/>
      <c r="C1678" s="153"/>
      <c r="D1678" s="154"/>
      <c r="E1678" s="139"/>
      <c r="F1678" s="139"/>
      <c r="G1678" s="139"/>
      <c r="H1678" s="135"/>
      <c r="I1678" s="141"/>
      <c r="J1678" s="147" t="str">
        <f>IFERROR(__xludf.DUMMYFUNCTION("IF(ISBLANK(A1678),IFERROR(1/0),IF(COUNT(FILTER(F:F,A:A=A1678))&gt;1,TRUNC(N1678*F1678/SUM(FILTER(N:N,A:A=A1678)),3),F1678))"),"")</f>
        <v/>
      </c>
      <c r="K1678" s="147" t="str">
        <f>IFERROR(__xludf.DUMMYFUNCTION("IF(ISBLANK(A1678),IFERROR(1/0),IF(COUNT(FILTER(G:G,((A:A=A1678)*(B:B=""V""))))&gt;1,TRUNC(N1678*G1678/SUM(FILTER(N:N,((A:A=A1678)*(B:B=""V"")))),3),G1678))"),"")</f>
        <v/>
      </c>
      <c r="L1678" s="148" t="str">
        <f>IFERROR(__xludf.DUMMYFUNCTION("if($C1678="""","""",iferror(if(row()&lt;&gt;2,INDEX(arrayformula(filter($M$2:$M1677,$C$2:$C1677&lt;&gt;"""",row($C$2:$C1677)=max(if($C$2:$C1677=C1678,row($C$2:$C1677),0)))) ,1),0),0))"),"")</f>
        <v/>
      </c>
      <c r="M1678" s="148" t="str">
        <f t="shared" si="1"/>
        <v/>
      </c>
      <c r="N1678" s="147" t="str">
        <f t="shared" si="2"/>
        <v/>
      </c>
      <c r="O1678" s="147" t="str">
        <f t="shared" si="21"/>
        <v/>
      </c>
      <c r="P1678" s="147" t="str">
        <f>IFERROR(__xludf.DUMMYFUNCTION("if(C1678="""","""",iferror(if(row()&lt;&gt;2,INDEX(arrayformula(filter($Q$2:$Q1677,$C$2:$C1677&lt;&gt;"""",row($C$2:$C1677)=max(if($C$2:$C1677=C1678,row($C$2:$C1677),0)))) ,1),0),0))"),"")</f>
        <v/>
      </c>
      <c r="Q1678" s="147" t="str">
        <f t="shared" si="22"/>
        <v/>
      </c>
      <c r="R1678" s="147" t="str">
        <f t="shared" si="23"/>
        <v/>
      </c>
      <c r="S1678" s="147" t="str">
        <f t="shared" si="24"/>
        <v/>
      </c>
      <c r="T1678" s="147" t="str">
        <f t="shared" si="7"/>
        <v/>
      </c>
      <c r="U1678" s="150" t="str">
        <f t="shared" si="8"/>
        <v/>
      </c>
      <c r="V1678" s="151" t="str">
        <f>IFERROR(VLOOKUP(C1678,Ativos!$A$1:$G2000,5,),)</f>
        <v/>
      </c>
    </row>
    <row r="1679" ht="21.0" customHeight="1">
      <c r="A1679" s="152"/>
      <c r="B1679" s="160"/>
      <c r="C1679" s="153"/>
      <c r="D1679" s="154"/>
      <c r="E1679" s="139"/>
      <c r="F1679" s="139"/>
      <c r="G1679" s="139"/>
      <c r="H1679" s="135"/>
      <c r="I1679" s="141"/>
      <c r="J1679" s="147" t="str">
        <f>IFERROR(__xludf.DUMMYFUNCTION("IF(ISBLANK(A1679),IFERROR(1/0),IF(COUNT(FILTER(F:F,A:A=A1679))&gt;1,TRUNC(N1679*F1679/SUM(FILTER(N:N,A:A=A1679)),3),F1679))"),"")</f>
        <v/>
      </c>
      <c r="K1679" s="147" t="str">
        <f>IFERROR(__xludf.DUMMYFUNCTION("IF(ISBLANK(A1679),IFERROR(1/0),IF(COUNT(FILTER(G:G,((A:A=A1679)*(B:B=""V""))))&gt;1,TRUNC(N1679*G1679/SUM(FILTER(N:N,((A:A=A1679)*(B:B=""V"")))),3),G1679))"),"")</f>
        <v/>
      </c>
      <c r="L1679" s="148" t="str">
        <f>IFERROR(__xludf.DUMMYFUNCTION("if($C1679="""","""",iferror(if(row()&lt;&gt;2,INDEX(arrayformula(filter($M$2:$M1678,$C$2:$C1678&lt;&gt;"""",row($C$2:$C1678)=max(if($C$2:$C1678=C1679,row($C$2:$C1678),0)))) ,1),0),0))"),"")</f>
        <v/>
      </c>
      <c r="M1679" s="148" t="str">
        <f t="shared" si="1"/>
        <v/>
      </c>
      <c r="N1679" s="147" t="str">
        <f t="shared" si="2"/>
        <v/>
      </c>
      <c r="O1679" s="147" t="str">
        <f t="shared" si="21"/>
        <v/>
      </c>
      <c r="P1679" s="147" t="str">
        <f>IFERROR(__xludf.DUMMYFUNCTION("if(C1679="""","""",iferror(if(row()&lt;&gt;2,INDEX(arrayformula(filter($Q$2:$Q1678,$C$2:$C1678&lt;&gt;"""",row($C$2:$C1678)=max(if($C$2:$C1678=C1679,row($C$2:$C1678),0)))) ,1),0),0))"),"")</f>
        <v/>
      </c>
      <c r="Q1679" s="147" t="str">
        <f t="shared" si="22"/>
        <v/>
      </c>
      <c r="R1679" s="147" t="str">
        <f t="shared" si="23"/>
        <v/>
      </c>
      <c r="S1679" s="147" t="str">
        <f t="shared" si="24"/>
        <v/>
      </c>
      <c r="T1679" s="147" t="str">
        <f t="shared" si="7"/>
        <v/>
      </c>
      <c r="U1679" s="150" t="str">
        <f t="shared" si="8"/>
        <v/>
      </c>
      <c r="V1679" s="151" t="str">
        <f>IFERROR(VLOOKUP(C1679,Ativos!$A$1:$G2000,5,),)</f>
        <v/>
      </c>
    </row>
    <row r="1680" ht="21.0" customHeight="1">
      <c r="A1680" s="152"/>
      <c r="B1680" s="160"/>
      <c r="C1680" s="153"/>
      <c r="D1680" s="154"/>
      <c r="E1680" s="139"/>
      <c r="F1680" s="139"/>
      <c r="G1680" s="139"/>
      <c r="H1680" s="135"/>
      <c r="I1680" s="141"/>
      <c r="J1680" s="147" t="str">
        <f>IFERROR(__xludf.DUMMYFUNCTION("IF(ISBLANK(A1680),IFERROR(1/0),IF(COUNT(FILTER(F:F,A:A=A1680))&gt;1,TRUNC(N1680*F1680/SUM(FILTER(N:N,A:A=A1680)),3),F1680))"),"")</f>
        <v/>
      </c>
      <c r="K1680" s="147" t="str">
        <f>IFERROR(__xludf.DUMMYFUNCTION("IF(ISBLANK(A1680),IFERROR(1/0),IF(COUNT(FILTER(G:G,((A:A=A1680)*(B:B=""V""))))&gt;1,TRUNC(N1680*G1680/SUM(FILTER(N:N,((A:A=A1680)*(B:B=""V"")))),3),G1680))"),"")</f>
        <v/>
      </c>
      <c r="L1680" s="148" t="str">
        <f>IFERROR(__xludf.DUMMYFUNCTION("if($C1680="""","""",iferror(if(row()&lt;&gt;2,INDEX(arrayformula(filter($M$2:$M1679,$C$2:$C1679&lt;&gt;"""",row($C$2:$C1679)=max(if($C$2:$C1679=C1680,row($C$2:$C1679),0)))) ,1),0),0))"),"")</f>
        <v/>
      </c>
      <c r="M1680" s="148" t="str">
        <f t="shared" si="1"/>
        <v/>
      </c>
      <c r="N1680" s="147" t="str">
        <f t="shared" si="2"/>
        <v/>
      </c>
      <c r="O1680" s="147" t="str">
        <f t="shared" si="21"/>
        <v/>
      </c>
      <c r="P1680" s="147" t="str">
        <f>IFERROR(__xludf.DUMMYFUNCTION("if(C1680="""","""",iferror(if(row()&lt;&gt;2,INDEX(arrayformula(filter($Q$2:$Q1679,$C$2:$C1679&lt;&gt;"""",row($C$2:$C1679)=max(if($C$2:$C1679=C1680,row($C$2:$C1679),0)))) ,1),0),0))"),"")</f>
        <v/>
      </c>
      <c r="Q1680" s="147" t="str">
        <f t="shared" si="22"/>
        <v/>
      </c>
      <c r="R1680" s="147" t="str">
        <f t="shared" si="23"/>
        <v/>
      </c>
      <c r="S1680" s="147" t="str">
        <f t="shared" si="24"/>
        <v/>
      </c>
      <c r="T1680" s="147" t="str">
        <f t="shared" si="7"/>
        <v/>
      </c>
      <c r="U1680" s="150" t="str">
        <f t="shared" si="8"/>
        <v/>
      </c>
      <c r="V1680" s="151" t="str">
        <f>IFERROR(VLOOKUP(C1680,Ativos!$A$1:$G2000,5,),)</f>
        <v/>
      </c>
    </row>
    <row r="1681" ht="21.0" customHeight="1">
      <c r="A1681" s="152"/>
      <c r="B1681" s="160"/>
      <c r="C1681" s="153"/>
      <c r="D1681" s="154"/>
      <c r="E1681" s="139"/>
      <c r="F1681" s="139"/>
      <c r="G1681" s="139"/>
      <c r="H1681" s="135"/>
      <c r="I1681" s="141"/>
      <c r="J1681" s="147" t="str">
        <f>IFERROR(__xludf.DUMMYFUNCTION("IF(ISBLANK(A1681),IFERROR(1/0),IF(COUNT(FILTER(F:F,A:A=A1681))&gt;1,TRUNC(N1681*F1681/SUM(FILTER(N:N,A:A=A1681)),3),F1681))"),"")</f>
        <v/>
      </c>
      <c r="K1681" s="147" t="str">
        <f>IFERROR(__xludf.DUMMYFUNCTION("IF(ISBLANK(A1681),IFERROR(1/0),IF(COUNT(FILTER(G:G,((A:A=A1681)*(B:B=""V""))))&gt;1,TRUNC(N1681*G1681/SUM(FILTER(N:N,((A:A=A1681)*(B:B=""V"")))),3),G1681))"),"")</f>
        <v/>
      </c>
      <c r="L1681" s="148" t="str">
        <f>IFERROR(__xludf.DUMMYFUNCTION("if($C1681="""","""",iferror(if(row()&lt;&gt;2,INDEX(arrayformula(filter($M$2:$M1680,$C$2:$C1680&lt;&gt;"""",row($C$2:$C1680)=max(if($C$2:$C1680=C1681,row($C$2:$C1680),0)))) ,1),0),0))"),"")</f>
        <v/>
      </c>
      <c r="M1681" s="148" t="str">
        <f t="shared" si="1"/>
        <v/>
      </c>
      <c r="N1681" s="147" t="str">
        <f t="shared" si="2"/>
        <v/>
      </c>
      <c r="O1681" s="147" t="str">
        <f t="shared" si="21"/>
        <v/>
      </c>
      <c r="P1681" s="147" t="str">
        <f>IFERROR(__xludf.DUMMYFUNCTION("if(C1681="""","""",iferror(if(row()&lt;&gt;2,INDEX(arrayformula(filter($Q$2:$Q1680,$C$2:$C1680&lt;&gt;"""",row($C$2:$C1680)=max(if($C$2:$C1680=C1681,row($C$2:$C1680),0)))) ,1),0),0))"),"")</f>
        <v/>
      </c>
      <c r="Q1681" s="147" t="str">
        <f t="shared" si="22"/>
        <v/>
      </c>
      <c r="R1681" s="147" t="str">
        <f t="shared" si="23"/>
        <v/>
      </c>
      <c r="S1681" s="147" t="str">
        <f t="shared" si="24"/>
        <v/>
      </c>
      <c r="T1681" s="147" t="str">
        <f t="shared" si="7"/>
        <v/>
      </c>
      <c r="U1681" s="150" t="str">
        <f t="shared" si="8"/>
        <v/>
      </c>
      <c r="V1681" s="151" t="str">
        <f>IFERROR(VLOOKUP(C1681,Ativos!$A$1:$G2000,5,),)</f>
        <v/>
      </c>
    </row>
    <row r="1682" ht="21.0" customHeight="1">
      <c r="A1682" s="152"/>
      <c r="B1682" s="160"/>
      <c r="C1682" s="153"/>
      <c r="D1682" s="154"/>
      <c r="E1682" s="139"/>
      <c r="F1682" s="139"/>
      <c r="G1682" s="139"/>
      <c r="H1682" s="135"/>
      <c r="I1682" s="141"/>
      <c r="J1682" s="147" t="str">
        <f>IFERROR(__xludf.DUMMYFUNCTION("IF(ISBLANK(A1682),IFERROR(1/0),IF(COUNT(FILTER(F:F,A:A=A1682))&gt;1,TRUNC(N1682*F1682/SUM(FILTER(N:N,A:A=A1682)),3),F1682))"),"")</f>
        <v/>
      </c>
      <c r="K1682" s="147" t="str">
        <f>IFERROR(__xludf.DUMMYFUNCTION("IF(ISBLANK(A1682),IFERROR(1/0),IF(COUNT(FILTER(G:G,((A:A=A1682)*(B:B=""V""))))&gt;1,TRUNC(N1682*G1682/SUM(FILTER(N:N,((A:A=A1682)*(B:B=""V"")))),3),G1682))"),"")</f>
        <v/>
      </c>
      <c r="L1682" s="148" t="str">
        <f>IFERROR(__xludf.DUMMYFUNCTION("if($C1682="""","""",iferror(if(row()&lt;&gt;2,INDEX(arrayformula(filter($M$2:$M1681,$C$2:$C1681&lt;&gt;"""",row($C$2:$C1681)=max(if($C$2:$C1681=C1682,row($C$2:$C1681),0)))) ,1),0),0))"),"")</f>
        <v/>
      </c>
      <c r="M1682" s="148" t="str">
        <f t="shared" si="1"/>
        <v/>
      </c>
      <c r="N1682" s="147" t="str">
        <f t="shared" si="2"/>
        <v/>
      </c>
      <c r="O1682" s="147" t="str">
        <f t="shared" si="21"/>
        <v/>
      </c>
      <c r="P1682" s="147" t="str">
        <f>IFERROR(__xludf.DUMMYFUNCTION("if(C1682="""","""",iferror(if(row()&lt;&gt;2,INDEX(arrayformula(filter($Q$2:$Q1681,$C$2:$C1681&lt;&gt;"""",row($C$2:$C1681)=max(if($C$2:$C1681=C1682,row($C$2:$C1681),0)))) ,1),0),0))"),"")</f>
        <v/>
      </c>
      <c r="Q1682" s="147" t="str">
        <f t="shared" si="22"/>
        <v/>
      </c>
      <c r="R1682" s="147" t="str">
        <f t="shared" si="23"/>
        <v/>
      </c>
      <c r="S1682" s="147" t="str">
        <f t="shared" si="24"/>
        <v/>
      </c>
      <c r="T1682" s="147" t="str">
        <f t="shared" si="7"/>
        <v/>
      </c>
      <c r="U1682" s="150" t="str">
        <f t="shared" si="8"/>
        <v/>
      </c>
      <c r="V1682" s="151" t="str">
        <f>IFERROR(VLOOKUP(C1682,Ativos!$A$1:$G2000,5,),)</f>
        <v/>
      </c>
    </row>
    <row r="1683" ht="21.0" customHeight="1">
      <c r="A1683" s="152"/>
      <c r="B1683" s="160"/>
      <c r="C1683" s="153"/>
      <c r="D1683" s="154"/>
      <c r="E1683" s="139"/>
      <c r="F1683" s="139"/>
      <c r="G1683" s="139"/>
      <c r="H1683" s="135"/>
      <c r="I1683" s="141"/>
      <c r="J1683" s="147" t="str">
        <f>IFERROR(__xludf.DUMMYFUNCTION("IF(ISBLANK(A1683),IFERROR(1/0),IF(COUNT(FILTER(F:F,A:A=A1683))&gt;1,TRUNC(N1683*F1683/SUM(FILTER(N:N,A:A=A1683)),3),F1683))"),"")</f>
        <v/>
      </c>
      <c r="K1683" s="147" t="str">
        <f>IFERROR(__xludf.DUMMYFUNCTION("IF(ISBLANK(A1683),IFERROR(1/0),IF(COUNT(FILTER(G:G,((A:A=A1683)*(B:B=""V""))))&gt;1,TRUNC(N1683*G1683/SUM(FILTER(N:N,((A:A=A1683)*(B:B=""V"")))),3),G1683))"),"")</f>
        <v/>
      </c>
      <c r="L1683" s="148" t="str">
        <f>IFERROR(__xludf.DUMMYFUNCTION("if($C1683="""","""",iferror(if(row()&lt;&gt;2,INDEX(arrayformula(filter($M$2:$M1682,$C$2:$C1682&lt;&gt;"""",row($C$2:$C1682)=max(if($C$2:$C1682=C1683,row($C$2:$C1682),0)))) ,1),0),0))"),"")</f>
        <v/>
      </c>
      <c r="M1683" s="148" t="str">
        <f t="shared" si="1"/>
        <v/>
      </c>
      <c r="N1683" s="147" t="str">
        <f t="shared" si="2"/>
        <v/>
      </c>
      <c r="O1683" s="147" t="str">
        <f t="shared" si="21"/>
        <v/>
      </c>
      <c r="P1683" s="147" t="str">
        <f>IFERROR(__xludf.DUMMYFUNCTION("if(C1683="""","""",iferror(if(row()&lt;&gt;2,INDEX(arrayformula(filter($Q$2:$Q1682,$C$2:$C1682&lt;&gt;"""",row($C$2:$C1682)=max(if($C$2:$C1682=C1683,row($C$2:$C1682),0)))) ,1),0),0))"),"")</f>
        <v/>
      </c>
      <c r="Q1683" s="147" t="str">
        <f t="shared" si="22"/>
        <v/>
      </c>
      <c r="R1683" s="147" t="str">
        <f t="shared" si="23"/>
        <v/>
      </c>
      <c r="S1683" s="147" t="str">
        <f t="shared" si="24"/>
        <v/>
      </c>
      <c r="T1683" s="147" t="str">
        <f t="shared" si="7"/>
        <v/>
      </c>
      <c r="U1683" s="150" t="str">
        <f t="shared" si="8"/>
        <v/>
      </c>
      <c r="V1683" s="151" t="str">
        <f>IFERROR(VLOOKUP(C1683,Ativos!$A$1:$G2000,5,),)</f>
        <v/>
      </c>
    </row>
    <row r="1684" ht="21.0" customHeight="1">
      <c r="A1684" s="152"/>
      <c r="B1684" s="160"/>
      <c r="C1684" s="153"/>
      <c r="D1684" s="154"/>
      <c r="E1684" s="139"/>
      <c r="F1684" s="139"/>
      <c r="G1684" s="139"/>
      <c r="H1684" s="135"/>
      <c r="I1684" s="141"/>
      <c r="J1684" s="147" t="str">
        <f>IFERROR(__xludf.DUMMYFUNCTION("IF(ISBLANK(A1684),IFERROR(1/0),IF(COUNT(FILTER(F:F,A:A=A1684))&gt;1,TRUNC(N1684*F1684/SUM(FILTER(N:N,A:A=A1684)),3),F1684))"),"")</f>
        <v/>
      </c>
      <c r="K1684" s="147" t="str">
        <f>IFERROR(__xludf.DUMMYFUNCTION("IF(ISBLANK(A1684),IFERROR(1/0),IF(COUNT(FILTER(G:G,((A:A=A1684)*(B:B=""V""))))&gt;1,TRUNC(N1684*G1684/SUM(FILTER(N:N,((A:A=A1684)*(B:B=""V"")))),3),G1684))"),"")</f>
        <v/>
      </c>
      <c r="L1684" s="148" t="str">
        <f>IFERROR(__xludf.DUMMYFUNCTION("if($C1684="""","""",iferror(if(row()&lt;&gt;2,INDEX(arrayformula(filter($M$2:$M1683,$C$2:$C1683&lt;&gt;"""",row($C$2:$C1683)=max(if($C$2:$C1683=C1684,row($C$2:$C1683),0)))) ,1),0),0))"),"")</f>
        <v/>
      </c>
      <c r="M1684" s="148" t="str">
        <f t="shared" si="1"/>
        <v/>
      </c>
      <c r="N1684" s="147" t="str">
        <f t="shared" si="2"/>
        <v/>
      </c>
      <c r="O1684" s="147" t="str">
        <f t="shared" si="21"/>
        <v/>
      </c>
      <c r="P1684" s="147" t="str">
        <f>IFERROR(__xludf.DUMMYFUNCTION("if(C1684="""","""",iferror(if(row()&lt;&gt;2,INDEX(arrayformula(filter($Q$2:$Q1683,$C$2:$C1683&lt;&gt;"""",row($C$2:$C1683)=max(if($C$2:$C1683=C1684,row($C$2:$C1683),0)))) ,1),0),0))"),"")</f>
        <v/>
      </c>
      <c r="Q1684" s="147" t="str">
        <f t="shared" si="22"/>
        <v/>
      </c>
      <c r="R1684" s="147" t="str">
        <f t="shared" si="23"/>
        <v/>
      </c>
      <c r="S1684" s="147" t="str">
        <f t="shared" si="24"/>
        <v/>
      </c>
      <c r="T1684" s="147" t="str">
        <f t="shared" si="7"/>
        <v/>
      </c>
      <c r="U1684" s="150" t="str">
        <f t="shared" si="8"/>
        <v/>
      </c>
      <c r="V1684" s="151" t="str">
        <f>IFERROR(VLOOKUP(C1684,Ativos!$A$1:$G2000,5,),)</f>
        <v/>
      </c>
    </row>
    <row r="1685" ht="21.0" customHeight="1">
      <c r="A1685" s="152"/>
      <c r="B1685" s="160"/>
      <c r="C1685" s="153"/>
      <c r="D1685" s="154"/>
      <c r="E1685" s="139"/>
      <c r="F1685" s="139"/>
      <c r="G1685" s="139"/>
      <c r="H1685" s="135"/>
      <c r="I1685" s="141"/>
      <c r="J1685" s="147" t="str">
        <f>IFERROR(__xludf.DUMMYFUNCTION("IF(ISBLANK(A1685),IFERROR(1/0),IF(COUNT(FILTER(F:F,A:A=A1685))&gt;1,TRUNC(N1685*F1685/SUM(FILTER(N:N,A:A=A1685)),3),F1685))"),"")</f>
        <v/>
      </c>
      <c r="K1685" s="147" t="str">
        <f>IFERROR(__xludf.DUMMYFUNCTION("IF(ISBLANK(A1685),IFERROR(1/0),IF(COUNT(FILTER(G:G,((A:A=A1685)*(B:B=""V""))))&gt;1,TRUNC(N1685*G1685/SUM(FILTER(N:N,((A:A=A1685)*(B:B=""V"")))),3),G1685))"),"")</f>
        <v/>
      </c>
      <c r="L1685" s="148" t="str">
        <f>IFERROR(__xludf.DUMMYFUNCTION("if($C1685="""","""",iferror(if(row()&lt;&gt;2,INDEX(arrayformula(filter($M$2:$M1684,$C$2:$C1684&lt;&gt;"""",row($C$2:$C1684)=max(if($C$2:$C1684=C1685,row($C$2:$C1684),0)))) ,1),0),0))"),"")</f>
        <v/>
      </c>
      <c r="M1685" s="148" t="str">
        <f t="shared" si="1"/>
        <v/>
      </c>
      <c r="N1685" s="147" t="str">
        <f t="shared" si="2"/>
        <v/>
      </c>
      <c r="O1685" s="147" t="str">
        <f t="shared" si="21"/>
        <v/>
      </c>
      <c r="P1685" s="147" t="str">
        <f>IFERROR(__xludf.DUMMYFUNCTION("if(C1685="""","""",iferror(if(row()&lt;&gt;2,INDEX(arrayformula(filter($Q$2:$Q1684,$C$2:$C1684&lt;&gt;"""",row($C$2:$C1684)=max(if($C$2:$C1684=C1685,row($C$2:$C1684),0)))) ,1),0),0))"),"")</f>
        <v/>
      </c>
      <c r="Q1685" s="147" t="str">
        <f t="shared" si="22"/>
        <v/>
      </c>
      <c r="R1685" s="147" t="str">
        <f t="shared" si="23"/>
        <v/>
      </c>
      <c r="S1685" s="147" t="str">
        <f t="shared" si="24"/>
        <v/>
      </c>
      <c r="T1685" s="147" t="str">
        <f t="shared" si="7"/>
        <v/>
      </c>
      <c r="U1685" s="150" t="str">
        <f t="shared" si="8"/>
        <v/>
      </c>
      <c r="V1685" s="151" t="str">
        <f>IFERROR(VLOOKUP(C1685,Ativos!$A$1:$G2000,5,),)</f>
        <v/>
      </c>
    </row>
    <row r="1686" ht="21.0" customHeight="1">
      <c r="A1686" s="152"/>
      <c r="B1686" s="160"/>
      <c r="C1686" s="153"/>
      <c r="D1686" s="154"/>
      <c r="E1686" s="139"/>
      <c r="F1686" s="139"/>
      <c r="G1686" s="139"/>
      <c r="H1686" s="135"/>
      <c r="I1686" s="141"/>
      <c r="J1686" s="147" t="str">
        <f>IFERROR(__xludf.DUMMYFUNCTION("IF(ISBLANK(A1686),IFERROR(1/0),IF(COUNT(FILTER(F:F,A:A=A1686))&gt;1,TRUNC(N1686*F1686/SUM(FILTER(N:N,A:A=A1686)),3),F1686))"),"")</f>
        <v/>
      </c>
      <c r="K1686" s="147" t="str">
        <f>IFERROR(__xludf.DUMMYFUNCTION("IF(ISBLANK(A1686),IFERROR(1/0),IF(COUNT(FILTER(G:G,((A:A=A1686)*(B:B=""V""))))&gt;1,TRUNC(N1686*G1686/SUM(FILTER(N:N,((A:A=A1686)*(B:B=""V"")))),3),G1686))"),"")</f>
        <v/>
      </c>
      <c r="L1686" s="148" t="str">
        <f>IFERROR(__xludf.DUMMYFUNCTION("if($C1686="""","""",iferror(if(row()&lt;&gt;2,INDEX(arrayformula(filter($M$2:$M1685,$C$2:$C1685&lt;&gt;"""",row($C$2:$C1685)=max(if($C$2:$C1685=C1686,row($C$2:$C1685),0)))) ,1),0),0))"),"")</f>
        <v/>
      </c>
      <c r="M1686" s="148" t="str">
        <f t="shared" si="1"/>
        <v/>
      </c>
      <c r="N1686" s="147" t="str">
        <f t="shared" si="2"/>
        <v/>
      </c>
      <c r="O1686" s="147" t="str">
        <f t="shared" si="21"/>
        <v/>
      </c>
      <c r="P1686" s="147" t="str">
        <f>IFERROR(__xludf.DUMMYFUNCTION("if(C1686="""","""",iferror(if(row()&lt;&gt;2,INDEX(arrayformula(filter($Q$2:$Q1685,$C$2:$C1685&lt;&gt;"""",row($C$2:$C1685)=max(if($C$2:$C1685=C1686,row($C$2:$C1685),0)))) ,1),0),0))"),"")</f>
        <v/>
      </c>
      <c r="Q1686" s="147" t="str">
        <f t="shared" si="22"/>
        <v/>
      </c>
      <c r="R1686" s="147" t="str">
        <f t="shared" si="23"/>
        <v/>
      </c>
      <c r="S1686" s="147" t="str">
        <f t="shared" si="24"/>
        <v/>
      </c>
      <c r="T1686" s="147" t="str">
        <f t="shared" si="7"/>
        <v/>
      </c>
      <c r="U1686" s="150" t="str">
        <f t="shared" si="8"/>
        <v/>
      </c>
      <c r="V1686" s="151" t="str">
        <f>IFERROR(VLOOKUP(C1686,Ativos!$A$1:$G2000,5,),)</f>
        <v/>
      </c>
    </row>
    <row r="1687" ht="21.0" customHeight="1">
      <c r="A1687" s="152"/>
      <c r="B1687" s="160"/>
      <c r="C1687" s="153"/>
      <c r="D1687" s="154"/>
      <c r="E1687" s="139"/>
      <c r="F1687" s="139"/>
      <c r="G1687" s="139"/>
      <c r="H1687" s="135"/>
      <c r="I1687" s="141"/>
      <c r="J1687" s="147" t="str">
        <f>IFERROR(__xludf.DUMMYFUNCTION("IF(ISBLANK(A1687),IFERROR(1/0),IF(COUNT(FILTER(F:F,A:A=A1687))&gt;1,TRUNC(N1687*F1687/SUM(FILTER(N:N,A:A=A1687)),3),F1687))"),"")</f>
        <v/>
      </c>
      <c r="K1687" s="147" t="str">
        <f>IFERROR(__xludf.DUMMYFUNCTION("IF(ISBLANK(A1687),IFERROR(1/0),IF(COUNT(FILTER(G:G,((A:A=A1687)*(B:B=""V""))))&gt;1,TRUNC(N1687*G1687/SUM(FILTER(N:N,((A:A=A1687)*(B:B=""V"")))),3),G1687))"),"")</f>
        <v/>
      </c>
      <c r="L1687" s="148" t="str">
        <f>IFERROR(__xludf.DUMMYFUNCTION("if($C1687="""","""",iferror(if(row()&lt;&gt;2,INDEX(arrayformula(filter($M$2:$M1686,$C$2:$C1686&lt;&gt;"""",row($C$2:$C1686)=max(if($C$2:$C1686=C1687,row($C$2:$C1686),0)))) ,1),0),0))"),"")</f>
        <v/>
      </c>
      <c r="M1687" s="148" t="str">
        <f t="shared" si="1"/>
        <v/>
      </c>
      <c r="N1687" s="147" t="str">
        <f t="shared" si="2"/>
        <v/>
      </c>
      <c r="O1687" s="147" t="str">
        <f t="shared" si="21"/>
        <v/>
      </c>
      <c r="P1687" s="147" t="str">
        <f>IFERROR(__xludf.DUMMYFUNCTION("if(C1687="""","""",iferror(if(row()&lt;&gt;2,INDEX(arrayformula(filter($Q$2:$Q1686,$C$2:$C1686&lt;&gt;"""",row($C$2:$C1686)=max(if($C$2:$C1686=C1687,row($C$2:$C1686),0)))) ,1),0),0))"),"")</f>
        <v/>
      </c>
      <c r="Q1687" s="147" t="str">
        <f t="shared" si="22"/>
        <v/>
      </c>
      <c r="R1687" s="147" t="str">
        <f t="shared" si="23"/>
        <v/>
      </c>
      <c r="S1687" s="147" t="str">
        <f t="shared" si="24"/>
        <v/>
      </c>
      <c r="T1687" s="147" t="str">
        <f t="shared" si="7"/>
        <v/>
      </c>
      <c r="U1687" s="150" t="str">
        <f t="shared" si="8"/>
        <v/>
      </c>
      <c r="V1687" s="151" t="str">
        <f>IFERROR(VLOOKUP(C1687,Ativos!$A$1:$G2000,5,),)</f>
        <v/>
      </c>
    </row>
    <row r="1688" ht="21.0" customHeight="1">
      <c r="A1688" s="152"/>
      <c r="B1688" s="160"/>
      <c r="C1688" s="153"/>
      <c r="D1688" s="154"/>
      <c r="E1688" s="139"/>
      <c r="F1688" s="139"/>
      <c r="G1688" s="139"/>
      <c r="H1688" s="135"/>
      <c r="I1688" s="141"/>
      <c r="J1688" s="147" t="str">
        <f>IFERROR(__xludf.DUMMYFUNCTION("IF(ISBLANK(A1688),IFERROR(1/0),IF(COUNT(FILTER(F:F,A:A=A1688))&gt;1,TRUNC(N1688*F1688/SUM(FILTER(N:N,A:A=A1688)),3),F1688))"),"")</f>
        <v/>
      </c>
      <c r="K1688" s="147" t="str">
        <f>IFERROR(__xludf.DUMMYFUNCTION("IF(ISBLANK(A1688),IFERROR(1/0),IF(COUNT(FILTER(G:G,((A:A=A1688)*(B:B=""V""))))&gt;1,TRUNC(N1688*G1688/SUM(FILTER(N:N,((A:A=A1688)*(B:B=""V"")))),3),G1688))"),"")</f>
        <v/>
      </c>
      <c r="L1688" s="148" t="str">
        <f>IFERROR(__xludf.DUMMYFUNCTION("if($C1688="""","""",iferror(if(row()&lt;&gt;2,INDEX(arrayformula(filter($M$2:$M1687,$C$2:$C1687&lt;&gt;"""",row($C$2:$C1687)=max(if($C$2:$C1687=C1688,row($C$2:$C1687),0)))) ,1),0),0))"),"")</f>
        <v/>
      </c>
      <c r="M1688" s="148" t="str">
        <f t="shared" si="1"/>
        <v/>
      </c>
      <c r="N1688" s="147" t="str">
        <f t="shared" si="2"/>
        <v/>
      </c>
      <c r="O1688" s="147" t="str">
        <f t="shared" si="21"/>
        <v/>
      </c>
      <c r="P1688" s="147" t="str">
        <f>IFERROR(__xludf.DUMMYFUNCTION("if(C1688="""","""",iferror(if(row()&lt;&gt;2,INDEX(arrayformula(filter($Q$2:$Q1687,$C$2:$C1687&lt;&gt;"""",row($C$2:$C1687)=max(if($C$2:$C1687=C1688,row($C$2:$C1687),0)))) ,1),0),0))"),"")</f>
        <v/>
      </c>
      <c r="Q1688" s="147" t="str">
        <f t="shared" si="22"/>
        <v/>
      </c>
      <c r="R1688" s="147" t="str">
        <f t="shared" si="23"/>
        <v/>
      </c>
      <c r="S1688" s="147" t="str">
        <f t="shared" si="24"/>
        <v/>
      </c>
      <c r="T1688" s="147" t="str">
        <f t="shared" si="7"/>
        <v/>
      </c>
      <c r="U1688" s="150" t="str">
        <f t="shared" si="8"/>
        <v/>
      </c>
      <c r="V1688" s="151" t="str">
        <f>IFERROR(VLOOKUP(C1688,Ativos!$A$1:$G2000,5,),)</f>
        <v/>
      </c>
    </row>
    <row r="1689" ht="21.0" customHeight="1">
      <c r="A1689" s="152"/>
      <c r="B1689" s="160"/>
      <c r="C1689" s="153"/>
      <c r="D1689" s="154"/>
      <c r="E1689" s="139"/>
      <c r="F1689" s="139"/>
      <c r="G1689" s="139"/>
      <c r="H1689" s="135"/>
      <c r="I1689" s="141"/>
      <c r="J1689" s="147" t="str">
        <f>IFERROR(__xludf.DUMMYFUNCTION("IF(ISBLANK(A1689),IFERROR(1/0),IF(COUNT(FILTER(F:F,A:A=A1689))&gt;1,TRUNC(N1689*F1689/SUM(FILTER(N:N,A:A=A1689)),3),F1689))"),"")</f>
        <v/>
      </c>
      <c r="K1689" s="147" t="str">
        <f>IFERROR(__xludf.DUMMYFUNCTION("IF(ISBLANK(A1689),IFERROR(1/0),IF(COUNT(FILTER(G:G,((A:A=A1689)*(B:B=""V""))))&gt;1,TRUNC(N1689*G1689/SUM(FILTER(N:N,((A:A=A1689)*(B:B=""V"")))),3),G1689))"),"")</f>
        <v/>
      </c>
      <c r="L1689" s="148" t="str">
        <f>IFERROR(__xludf.DUMMYFUNCTION("if($C1689="""","""",iferror(if(row()&lt;&gt;2,INDEX(arrayformula(filter($M$2:$M1688,$C$2:$C1688&lt;&gt;"""",row($C$2:$C1688)=max(if($C$2:$C1688=C1689,row($C$2:$C1688),0)))) ,1),0),0))"),"")</f>
        <v/>
      </c>
      <c r="M1689" s="148" t="str">
        <f t="shared" si="1"/>
        <v/>
      </c>
      <c r="N1689" s="147" t="str">
        <f t="shared" si="2"/>
        <v/>
      </c>
      <c r="O1689" s="147" t="str">
        <f t="shared" si="21"/>
        <v/>
      </c>
      <c r="P1689" s="147" t="str">
        <f>IFERROR(__xludf.DUMMYFUNCTION("if(C1689="""","""",iferror(if(row()&lt;&gt;2,INDEX(arrayformula(filter($Q$2:$Q1688,$C$2:$C1688&lt;&gt;"""",row($C$2:$C1688)=max(if($C$2:$C1688=C1689,row($C$2:$C1688),0)))) ,1),0),0))"),"")</f>
        <v/>
      </c>
      <c r="Q1689" s="147" t="str">
        <f t="shared" si="22"/>
        <v/>
      </c>
      <c r="R1689" s="147" t="str">
        <f t="shared" si="23"/>
        <v/>
      </c>
      <c r="S1689" s="147" t="str">
        <f t="shared" si="24"/>
        <v/>
      </c>
      <c r="T1689" s="147" t="str">
        <f t="shared" si="7"/>
        <v/>
      </c>
      <c r="U1689" s="150" t="str">
        <f t="shared" si="8"/>
        <v/>
      </c>
      <c r="V1689" s="151" t="str">
        <f>IFERROR(VLOOKUP(C1689,Ativos!$A$1:$G2000,5,),)</f>
        <v/>
      </c>
    </row>
    <row r="1690" ht="21.0" customHeight="1">
      <c r="A1690" s="152"/>
      <c r="B1690" s="160"/>
      <c r="C1690" s="153"/>
      <c r="D1690" s="154"/>
      <c r="E1690" s="139"/>
      <c r="F1690" s="139"/>
      <c r="G1690" s="139"/>
      <c r="H1690" s="135"/>
      <c r="I1690" s="141"/>
      <c r="J1690" s="147" t="str">
        <f>IFERROR(__xludf.DUMMYFUNCTION("IF(ISBLANK(A1690),IFERROR(1/0),IF(COUNT(FILTER(F:F,A:A=A1690))&gt;1,TRUNC(N1690*F1690/SUM(FILTER(N:N,A:A=A1690)),3),F1690))"),"")</f>
        <v/>
      </c>
      <c r="K1690" s="147" t="str">
        <f>IFERROR(__xludf.DUMMYFUNCTION("IF(ISBLANK(A1690),IFERROR(1/0),IF(COUNT(FILTER(G:G,((A:A=A1690)*(B:B=""V""))))&gt;1,TRUNC(N1690*G1690/SUM(FILTER(N:N,((A:A=A1690)*(B:B=""V"")))),3),G1690))"),"")</f>
        <v/>
      </c>
      <c r="L1690" s="148" t="str">
        <f>IFERROR(__xludf.DUMMYFUNCTION("if($C1690="""","""",iferror(if(row()&lt;&gt;2,INDEX(arrayformula(filter($M$2:$M1689,$C$2:$C1689&lt;&gt;"""",row($C$2:$C1689)=max(if($C$2:$C1689=C1690,row($C$2:$C1689),0)))) ,1),0),0))"),"")</f>
        <v/>
      </c>
      <c r="M1690" s="148" t="str">
        <f t="shared" si="1"/>
        <v/>
      </c>
      <c r="N1690" s="147" t="str">
        <f t="shared" si="2"/>
        <v/>
      </c>
      <c r="O1690" s="147" t="str">
        <f t="shared" si="21"/>
        <v/>
      </c>
      <c r="P1690" s="147" t="str">
        <f>IFERROR(__xludf.DUMMYFUNCTION("if(C1690="""","""",iferror(if(row()&lt;&gt;2,INDEX(arrayformula(filter($Q$2:$Q1689,$C$2:$C1689&lt;&gt;"""",row($C$2:$C1689)=max(if($C$2:$C1689=C1690,row($C$2:$C1689),0)))) ,1),0),0))"),"")</f>
        <v/>
      </c>
      <c r="Q1690" s="147" t="str">
        <f t="shared" si="22"/>
        <v/>
      </c>
      <c r="R1690" s="147" t="str">
        <f t="shared" si="23"/>
        <v/>
      </c>
      <c r="S1690" s="147" t="str">
        <f t="shared" si="24"/>
        <v/>
      </c>
      <c r="T1690" s="147" t="str">
        <f t="shared" si="7"/>
        <v/>
      </c>
      <c r="U1690" s="150" t="str">
        <f t="shared" si="8"/>
        <v/>
      </c>
      <c r="V1690" s="151" t="str">
        <f>IFERROR(VLOOKUP(C1690,Ativos!$A$1:$G2000,5,),)</f>
        <v/>
      </c>
    </row>
    <row r="1691" ht="21.0" customHeight="1">
      <c r="A1691" s="152"/>
      <c r="B1691" s="160"/>
      <c r="C1691" s="153"/>
      <c r="D1691" s="154"/>
      <c r="E1691" s="139"/>
      <c r="F1691" s="139"/>
      <c r="G1691" s="139"/>
      <c r="H1691" s="135"/>
      <c r="I1691" s="141"/>
      <c r="J1691" s="147" t="str">
        <f>IFERROR(__xludf.DUMMYFUNCTION("IF(ISBLANK(A1691),IFERROR(1/0),IF(COUNT(FILTER(F:F,A:A=A1691))&gt;1,TRUNC(N1691*F1691/SUM(FILTER(N:N,A:A=A1691)),3),F1691))"),"")</f>
        <v/>
      </c>
      <c r="K1691" s="147" t="str">
        <f>IFERROR(__xludf.DUMMYFUNCTION("IF(ISBLANK(A1691),IFERROR(1/0),IF(COUNT(FILTER(G:G,((A:A=A1691)*(B:B=""V""))))&gt;1,TRUNC(N1691*G1691/SUM(FILTER(N:N,((A:A=A1691)*(B:B=""V"")))),3),G1691))"),"")</f>
        <v/>
      </c>
      <c r="L1691" s="148" t="str">
        <f>IFERROR(__xludf.DUMMYFUNCTION("if($C1691="""","""",iferror(if(row()&lt;&gt;2,INDEX(arrayformula(filter($M$2:$M1690,$C$2:$C1690&lt;&gt;"""",row($C$2:$C1690)=max(if($C$2:$C1690=C1691,row($C$2:$C1690),0)))) ,1),0),0))"),"")</f>
        <v/>
      </c>
      <c r="M1691" s="148" t="str">
        <f t="shared" si="1"/>
        <v/>
      </c>
      <c r="N1691" s="147" t="str">
        <f t="shared" si="2"/>
        <v/>
      </c>
      <c r="O1691" s="147" t="str">
        <f t="shared" si="21"/>
        <v/>
      </c>
      <c r="P1691" s="147" t="str">
        <f>IFERROR(__xludf.DUMMYFUNCTION("if(C1691="""","""",iferror(if(row()&lt;&gt;2,INDEX(arrayformula(filter($Q$2:$Q1690,$C$2:$C1690&lt;&gt;"""",row($C$2:$C1690)=max(if($C$2:$C1690=C1691,row($C$2:$C1690),0)))) ,1),0),0))"),"")</f>
        <v/>
      </c>
      <c r="Q1691" s="147" t="str">
        <f t="shared" si="22"/>
        <v/>
      </c>
      <c r="R1691" s="147" t="str">
        <f t="shared" si="23"/>
        <v/>
      </c>
      <c r="S1691" s="147" t="str">
        <f t="shared" si="24"/>
        <v/>
      </c>
      <c r="T1691" s="147" t="str">
        <f t="shared" si="7"/>
        <v/>
      </c>
      <c r="U1691" s="150" t="str">
        <f t="shared" si="8"/>
        <v/>
      </c>
      <c r="V1691" s="151" t="str">
        <f>IFERROR(VLOOKUP(C1691,Ativos!$A$1:$G2000,5,),)</f>
        <v/>
      </c>
    </row>
    <row r="1692" ht="21.0" customHeight="1">
      <c r="A1692" s="152"/>
      <c r="B1692" s="160"/>
      <c r="C1692" s="153"/>
      <c r="D1692" s="154"/>
      <c r="E1692" s="139"/>
      <c r="F1692" s="139"/>
      <c r="G1692" s="139"/>
      <c r="H1692" s="135"/>
      <c r="I1692" s="141"/>
      <c r="J1692" s="147" t="str">
        <f>IFERROR(__xludf.DUMMYFUNCTION("IF(ISBLANK(A1692),IFERROR(1/0),IF(COUNT(FILTER(F:F,A:A=A1692))&gt;1,TRUNC(N1692*F1692/SUM(FILTER(N:N,A:A=A1692)),3),F1692))"),"")</f>
        <v/>
      </c>
      <c r="K1692" s="147" t="str">
        <f>IFERROR(__xludf.DUMMYFUNCTION("IF(ISBLANK(A1692),IFERROR(1/0),IF(COUNT(FILTER(G:G,((A:A=A1692)*(B:B=""V""))))&gt;1,TRUNC(N1692*G1692/SUM(FILTER(N:N,((A:A=A1692)*(B:B=""V"")))),3),G1692))"),"")</f>
        <v/>
      </c>
      <c r="L1692" s="148" t="str">
        <f>IFERROR(__xludf.DUMMYFUNCTION("if($C1692="""","""",iferror(if(row()&lt;&gt;2,INDEX(arrayformula(filter($M$2:$M1691,$C$2:$C1691&lt;&gt;"""",row($C$2:$C1691)=max(if($C$2:$C1691=C1692,row($C$2:$C1691),0)))) ,1),0),0))"),"")</f>
        <v/>
      </c>
      <c r="M1692" s="148" t="str">
        <f t="shared" si="1"/>
        <v/>
      </c>
      <c r="N1692" s="147" t="str">
        <f t="shared" si="2"/>
        <v/>
      </c>
      <c r="O1692" s="147" t="str">
        <f t="shared" si="21"/>
        <v/>
      </c>
      <c r="P1692" s="147" t="str">
        <f>IFERROR(__xludf.DUMMYFUNCTION("if(C1692="""","""",iferror(if(row()&lt;&gt;2,INDEX(arrayformula(filter($Q$2:$Q1691,$C$2:$C1691&lt;&gt;"""",row($C$2:$C1691)=max(if($C$2:$C1691=C1692,row($C$2:$C1691),0)))) ,1),0),0))"),"")</f>
        <v/>
      </c>
      <c r="Q1692" s="147" t="str">
        <f t="shared" si="22"/>
        <v/>
      </c>
      <c r="R1692" s="147" t="str">
        <f t="shared" si="23"/>
        <v/>
      </c>
      <c r="S1692" s="147" t="str">
        <f t="shared" si="24"/>
        <v/>
      </c>
      <c r="T1692" s="147" t="str">
        <f t="shared" si="7"/>
        <v/>
      </c>
      <c r="U1692" s="150" t="str">
        <f t="shared" si="8"/>
        <v/>
      </c>
      <c r="V1692" s="151" t="str">
        <f>IFERROR(VLOOKUP(C1692,Ativos!$A$1:$G2000,5,),)</f>
        <v/>
      </c>
    </row>
    <row r="1693" ht="21.0" customHeight="1">
      <c r="A1693" s="152"/>
      <c r="B1693" s="160"/>
      <c r="C1693" s="153"/>
      <c r="D1693" s="154"/>
      <c r="E1693" s="139"/>
      <c r="F1693" s="139"/>
      <c r="G1693" s="139"/>
      <c r="H1693" s="135"/>
      <c r="I1693" s="141"/>
      <c r="J1693" s="147" t="str">
        <f>IFERROR(__xludf.DUMMYFUNCTION("IF(ISBLANK(A1693),IFERROR(1/0),IF(COUNT(FILTER(F:F,A:A=A1693))&gt;1,TRUNC(N1693*F1693/SUM(FILTER(N:N,A:A=A1693)),3),F1693))"),"")</f>
        <v/>
      </c>
      <c r="K1693" s="147" t="str">
        <f>IFERROR(__xludf.DUMMYFUNCTION("IF(ISBLANK(A1693),IFERROR(1/0),IF(COUNT(FILTER(G:G,((A:A=A1693)*(B:B=""V""))))&gt;1,TRUNC(N1693*G1693/SUM(FILTER(N:N,((A:A=A1693)*(B:B=""V"")))),3),G1693))"),"")</f>
        <v/>
      </c>
      <c r="L1693" s="148" t="str">
        <f>IFERROR(__xludf.DUMMYFUNCTION("if($C1693="""","""",iferror(if(row()&lt;&gt;2,INDEX(arrayformula(filter($M$2:$M1692,$C$2:$C1692&lt;&gt;"""",row($C$2:$C1692)=max(if($C$2:$C1692=C1693,row($C$2:$C1692),0)))) ,1),0),0))"),"")</f>
        <v/>
      </c>
      <c r="M1693" s="148" t="str">
        <f t="shared" si="1"/>
        <v/>
      </c>
      <c r="N1693" s="147" t="str">
        <f t="shared" si="2"/>
        <v/>
      </c>
      <c r="O1693" s="147" t="str">
        <f t="shared" si="21"/>
        <v/>
      </c>
      <c r="P1693" s="147" t="str">
        <f>IFERROR(__xludf.DUMMYFUNCTION("if(C1693="""","""",iferror(if(row()&lt;&gt;2,INDEX(arrayformula(filter($Q$2:$Q1692,$C$2:$C1692&lt;&gt;"""",row($C$2:$C1692)=max(if($C$2:$C1692=C1693,row($C$2:$C1692),0)))) ,1),0),0))"),"")</f>
        <v/>
      </c>
      <c r="Q1693" s="147" t="str">
        <f t="shared" si="22"/>
        <v/>
      </c>
      <c r="R1693" s="147" t="str">
        <f t="shared" si="23"/>
        <v/>
      </c>
      <c r="S1693" s="147" t="str">
        <f t="shared" si="24"/>
        <v/>
      </c>
      <c r="T1693" s="147" t="str">
        <f t="shared" si="7"/>
        <v/>
      </c>
      <c r="U1693" s="150" t="str">
        <f t="shared" si="8"/>
        <v/>
      </c>
      <c r="V1693" s="151" t="str">
        <f>IFERROR(VLOOKUP(C1693,Ativos!$A$1:$G2000,5,),)</f>
        <v/>
      </c>
    </row>
    <row r="1694" ht="21.0" customHeight="1">
      <c r="A1694" s="152"/>
      <c r="B1694" s="160"/>
      <c r="C1694" s="153"/>
      <c r="D1694" s="154"/>
      <c r="E1694" s="139"/>
      <c r="F1694" s="139"/>
      <c r="G1694" s="139"/>
      <c r="H1694" s="135"/>
      <c r="I1694" s="141"/>
      <c r="J1694" s="147" t="str">
        <f>IFERROR(__xludf.DUMMYFUNCTION("IF(ISBLANK(A1694),IFERROR(1/0),IF(COUNT(FILTER(F:F,A:A=A1694))&gt;1,TRUNC(N1694*F1694/SUM(FILTER(N:N,A:A=A1694)),3),F1694))"),"")</f>
        <v/>
      </c>
      <c r="K1694" s="147" t="str">
        <f>IFERROR(__xludf.DUMMYFUNCTION("IF(ISBLANK(A1694),IFERROR(1/0),IF(COUNT(FILTER(G:G,((A:A=A1694)*(B:B=""V""))))&gt;1,TRUNC(N1694*G1694/SUM(FILTER(N:N,((A:A=A1694)*(B:B=""V"")))),3),G1694))"),"")</f>
        <v/>
      </c>
      <c r="L1694" s="148" t="str">
        <f>IFERROR(__xludf.DUMMYFUNCTION("if($C1694="""","""",iferror(if(row()&lt;&gt;2,INDEX(arrayformula(filter($M$2:$M1693,$C$2:$C1693&lt;&gt;"""",row($C$2:$C1693)=max(if($C$2:$C1693=C1694,row($C$2:$C1693),0)))) ,1),0),0))"),"")</f>
        <v/>
      </c>
      <c r="M1694" s="148" t="str">
        <f t="shared" si="1"/>
        <v/>
      </c>
      <c r="N1694" s="147" t="str">
        <f t="shared" si="2"/>
        <v/>
      </c>
      <c r="O1694" s="147" t="str">
        <f t="shared" si="21"/>
        <v/>
      </c>
      <c r="P1694" s="147" t="str">
        <f>IFERROR(__xludf.DUMMYFUNCTION("if(C1694="""","""",iferror(if(row()&lt;&gt;2,INDEX(arrayformula(filter($Q$2:$Q1693,$C$2:$C1693&lt;&gt;"""",row($C$2:$C1693)=max(if($C$2:$C1693=C1694,row($C$2:$C1693),0)))) ,1),0),0))"),"")</f>
        <v/>
      </c>
      <c r="Q1694" s="147" t="str">
        <f t="shared" si="22"/>
        <v/>
      </c>
      <c r="R1694" s="147" t="str">
        <f t="shared" si="23"/>
        <v/>
      </c>
      <c r="S1694" s="147" t="str">
        <f t="shared" si="24"/>
        <v/>
      </c>
      <c r="T1694" s="147" t="str">
        <f t="shared" si="7"/>
        <v/>
      </c>
      <c r="U1694" s="150" t="str">
        <f t="shared" si="8"/>
        <v/>
      </c>
      <c r="V1694" s="151" t="str">
        <f>IFERROR(VLOOKUP(C1694,Ativos!$A$1:$G2000,5,),)</f>
        <v/>
      </c>
    </row>
    <row r="1695" ht="21.0" customHeight="1">
      <c r="A1695" s="152"/>
      <c r="B1695" s="160"/>
      <c r="C1695" s="153"/>
      <c r="D1695" s="154"/>
      <c r="E1695" s="139"/>
      <c r="F1695" s="139"/>
      <c r="G1695" s="139"/>
      <c r="H1695" s="135"/>
      <c r="I1695" s="141"/>
      <c r="J1695" s="147" t="str">
        <f>IFERROR(__xludf.DUMMYFUNCTION("IF(ISBLANK(A1695),IFERROR(1/0),IF(COUNT(FILTER(F:F,A:A=A1695))&gt;1,TRUNC(N1695*F1695/SUM(FILTER(N:N,A:A=A1695)),3),F1695))"),"")</f>
        <v/>
      </c>
      <c r="K1695" s="147" t="str">
        <f>IFERROR(__xludf.DUMMYFUNCTION("IF(ISBLANK(A1695),IFERROR(1/0),IF(COUNT(FILTER(G:G,((A:A=A1695)*(B:B=""V""))))&gt;1,TRUNC(N1695*G1695/SUM(FILTER(N:N,((A:A=A1695)*(B:B=""V"")))),3),G1695))"),"")</f>
        <v/>
      </c>
      <c r="L1695" s="148" t="str">
        <f>IFERROR(__xludf.DUMMYFUNCTION("if($C1695="""","""",iferror(if(row()&lt;&gt;2,INDEX(arrayformula(filter($M$2:$M1694,$C$2:$C1694&lt;&gt;"""",row($C$2:$C1694)=max(if($C$2:$C1694=C1695,row($C$2:$C1694),0)))) ,1),0),0))"),"")</f>
        <v/>
      </c>
      <c r="M1695" s="148" t="str">
        <f t="shared" si="1"/>
        <v/>
      </c>
      <c r="N1695" s="147" t="str">
        <f t="shared" si="2"/>
        <v/>
      </c>
      <c r="O1695" s="147" t="str">
        <f t="shared" si="21"/>
        <v/>
      </c>
      <c r="P1695" s="147" t="str">
        <f>IFERROR(__xludf.DUMMYFUNCTION("if(C1695="""","""",iferror(if(row()&lt;&gt;2,INDEX(arrayformula(filter($Q$2:$Q1694,$C$2:$C1694&lt;&gt;"""",row($C$2:$C1694)=max(if($C$2:$C1694=C1695,row($C$2:$C1694),0)))) ,1),0),0))"),"")</f>
        <v/>
      </c>
      <c r="Q1695" s="147" t="str">
        <f t="shared" si="22"/>
        <v/>
      </c>
      <c r="R1695" s="147" t="str">
        <f t="shared" si="23"/>
        <v/>
      </c>
      <c r="S1695" s="147" t="str">
        <f t="shared" si="24"/>
        <v/>
      </c>
      <c r="T1695" s="147" t="str">
        <f t="shared" si="7"/>
        <v/>
      </c>
      <c r="U1695" s="150" t="str">
        <f t="shared" si="8"/>
        <v/>
      </c>
      <c r="V1695" s="151" t="str">
        <f>IFERROR(VLOOKUP(C1695,Ativos!$A$1:$G2000,5,),)</f>
        <v/>
      </c>
    </row>
    <row r="1696" ht="21.0" customHeight="1">
      <c r="A1696" s="152"/>
      <c r="B1696" s="160"/>
      <c r="C1696" s="153"/>
      <c r="D1696" s="154"/>
      <c r="E1696" s="139"/>
      <c r="F1696" s="139"/>
      <c r="G1696" s="139"/>
      <c r="H1696" s="135"/>
      <c r="I1696" s="141"/>
      <c r="J1696" s="147" t="str">
        <f>IFERROR(__xludf.DUMMYFUNCTION("IF(ISBLANK(A1696),IFERROR(1/0),IF(COUNT(FILTER(F:F,A:A=A1696))&gt;1,TRUNC(N1696*F1696/SUM(FILTER(N:N,A:A=A1696)),3),F1696))"),"")</f>
        <v/>
      </c>
      <c r="K1696" s="147" t="str">
        <f>IFERROR(__xludf.DUMMYFUNCTION("IF(ISBLANK(A1696),IFERROR(1/0),IF(COUNT(FILTER(G:G,((A:A=A1696)*(B:B=""V""))))&gt;1,TRUNC(N1696*G1696/SUM(FILTER(N:N,((A:A=A1696)*(B:B=""V"")))),3),G1696))"),"")</f>
        <v/>
      </c>
      <c r="L1696" s="148" t="str">
        <f>IFERROR(__xludf.DUMMYFUNCTION("if($C1696="""","""",iferror(if(row()&lt;&gt;2,INDEX(arrayformula(filter($M$2:$M1695,$C$2:$C1695&lt;&gt;"""",row($C$2:$C1695)=max(if($C$2:$C1695=C1696,row($C$2:$C1695),0)))) ,1),0),0))"),"")</f>
        <v/>
      </c>
      <c r="M1696" s="148" t="str">
        <f t="shared" si="1"/>
        <v/>
      </c>
      <c r="N1696" s="147" t="str">
        <f t="shared" si="2"/>
        <v/>
      </c>
      <c r="O1696" s="147" t="str">
        <f t="shared" si="21"/>
        <v/>
      </c>
      <c r="P1696" s="147" t="str">
        <f>IFERROR(__xludf.DUMMYFUNCTION("if(C1696="""","""",iferror(if(row()&lt;&gt;2,INDEX(arrayformula(filter($Q$2:$Q1695,$C$2:$C1695&lt;&gt;"""",row($C$2:$C1695)=max(if($C$2:$C1695=C1696,row($C$2:$C1695),0)))) ,1),0),0))"),"")</f>
        <v/>
      </c>
      <c r="Q1696" s="147" t="str">
        <f t="shared" si="22"/>
        <v/>
      </c>
      <c r="R1696" s="147" t="str">
        <f t="shared" si="23"/>
        <v/>
      </c>
      <c r="S1696" s="147" t="str">
        <f t="shared" si="24"/>
        <v/>
      </c>
      <c r="T1696" s="147" t="str">
        <f t="shared" si="7"/>
        <v/>
      </c>
      <c r="U1696" s="150" t="str">
        <f t="shared" si="8"/>
        <v/>
      </c>
      <c r="V1696" s="151" t="str">
        <f>IFERROR(VLOOKUP(C1696,Ativos!$A$1:$G2000,5,),)</f>
        <v/>
      </c>
    </row>
    <row r="1697" ht="21.0" customHeight="1">
      <c r="A1697" s="152"/>
      <c r="B1697" s="160"/>
      <c r="C1697" s="153"/>
      <c r="D1697" s="154"/>
      <c r="E1697" s="139"/>
      <c r="F1697" s="139"/>
      <c r="G1697" s="139"/>
      <c r="H1697" s="135"/>
      <c r="I1697" s="141"/>
      <c r="J1697" s="147" t="str">
        <f>IFERROR(__xludf.DUMMYFUNCTION("IF(ISBLANK(A1697),IFERROR(1/0),IF(COUNT(FILTER(F:F,A:A=A1697))&gt;1,TRUNC(N1697*F1697/SUM(FILTER(N:N,A:A=A1697)),3),F1697))"),"")</f>
        <v/>
      </c>
      <c r="K1697" s="147" t="str">
        <f>IFERROR(__xludf.DUMMYFUNCTION("IF(ISBLANK(A1697),IFERROR(1/0),IF(COUNT(FILTER(G:G,((A:A=A1697)*(B:B=""V""))))&gt;1,TRUNC(N1697*G1697/SUM(FILTER(N:N,((A:A=A1697)*(B:B=""V"")))),3),G1697))"),"")</f>
        <v/>
      </c>
      <c r="L1697" s="148" t="str">
        <f>IFERROR(__xludf.DUMMYFUNCTION("if($C1697="""","""",iferror(if(row()&lt;&gt;2,INDEX(arrayformula(filter($M$2:$M1696,$C$2:$C1696&lt;&gt;"""",row($C$2:$C1696)=max(if($C$2:$C1696=C1697,row($C$2:$C1696),0)))) ,1),0),0))"),"")</f>
        <v/>
      </c>
      <c r="M1697" s="148" t="str">
        <f t="shared" si="1"/>
        <v/>
      </c>
      <c r="N1697" s="147" t="str">
        <f t="shared" si="2"/>
        <v/>
      </c>
      <c r="O1697" s="147" t="str">
        <f t="shared" si="21"/>
        <v/>
      </c>
      <c r="P1697" s="147" t="str">
        <f>IFERROR(__xludf.DUMMYFUNCTION("if(C1697="""","""",iferror(if(row()&lt;&gt;2,INDEX(arrayformula(filter($Q$2:$Q1696,$C$2:$C1696&lt;&gt;"""",row($C$2:$C1696)=max(if($C$2:$C1696=C1697,row($C$2:$C1696),0)))) ,1),0),0))"),"")</f>
        <v/>
      </c>
      <c r="Q1697" s="147" t="str">
        <f t="shared" si="22"/>
        <v/>
      </c>
      <c r="R1697" s="147" t="str">
        <f t="shared" si="23"/>
        <v/>
      </c>
      <c r="S1697" s="147" t="str">
        <f t="shared" si="24"/>
        <v/>
      </c>
      <c r="T1697" s="147" t="str">
        <f t="shared" si="7"/>
        <v/>
      </c>
      <c r="U1697" s="150" t="str">
        <f t="shared" si="8"/>
        <v/>
      </c>
      <c r="V1697" s="151" t="str">
        <f>IFERROR(VLOOKUP(C1697,Ativos!$A$1:$G2000,5,),)</f>
        <v/>
      </c>
    </row>
    <row r="1698" ht="21.0" customHeight="1">
      <c r="A1698" s="152"/>
      <c r="B1698" s="160"/>
      <c r="C1698" s="153"/>
      <c r="D1698" s="154"/>
      <c r="E1698" s="139"/>
      <c r="F1698" s="139"/>
      <c r="G1698" s="139"/>
      <c r="H1698" s="135"/>
      <c r="I1698" s="141"/>
      <c r="J1698" s="147" t="str">
        <f>IFERROR(__xludf.DUMMYFUNCTION("IF(ISBLANK(A1698),IFERROR(1/0),IF(COUNT(FILTER(F:F,A:A=A1698))&gt;1,TRUNC(N1698*F1698/SUM(FILTER(N:N,A:A=A1698)),3),F1698))"),"")</f>
        <v/>
      </c>
      <c r="K1698" s="147" t="str">
        <f>IFERROR(__xludf.DUMMYFUNCTION("IF(ISBLANK(A1698),IFERROR(1/0),IF(COUNT(FILTER(G:G,((A:A=A1698)*(B:B=""V""))))&gt;1,TRUNC(N1698*G1698/SUM(FILTER(N:N,((A:A=A1698)*(B:B=""V"")))),3),G1698))"),"")</f>
        <v/>
      </c>
      <c r="L1698" s="148" t="str">
        <f>IFERROR(__xludf.DUMMYFUNCTION("if($C1698="""","""",iferror(if(row()&lt;&gt;2,INDEX(arrayformula(filter($M$2:$M1697,$C$2:$C1697&lt;&gt;"""",row($C$2:$C1697)=max(if($C$2:$C1697=C1698,row($C$2:$C1697),0)))) ,1),0),0))"),"")</f>
        <v/>
      </c>
      <c r="M1698" s="148" t="str">
        <f t="shared" si="1"/>
        <v/>
      </c>
      <c r="N1698" s="147" t="str">
        <f t="shared" si="2"/>
        <v/>
      </c>
      <c r="O1698" s="147" t="str">
        <f t="shared" si="21"/>
        <v/>
      </c>
      <c r="P1698" s="147" t="str">
        <f>IFERROR(__xludf.DUMMYFUNCTION("if(C1698="""","""",iferror(if(row()&lt;&gt;2,INDEX(arrayformula(filter($Q$2:$Q1697,$C$2:$C1697&lt;&gt;"""",row($C$2:$C1697)=max(if($C$2:$C1697=C1698,row($C$2:$C1697),0)))) ,1),0),0))"),"")</f>
        <v/>
      </c>
      <c r="Q1698" s="147" t="str">
        <f t="shared" si="22"/>
        <v/>
      </c>
      <c r="R1698" s="147" t="str">
        <f t="shared" si="23"/>
        <v/>
      </c>
      <c r="S1698" s="147" t="str">
        <f t="shared" si="24"/>
        <v/>
      </c>
      <c r="T1698" s="147" t="str">
        <f t="shared" si="7"/>
        <v/>
      </c>
      <c r="U1698" s="150" t="str">
        <f t="shared" si="8"/>
        <v/>
      </c>
      <c r="V1698" s="151" t="str">
        <f>IFERROR(VLOOKUP(C1698,Ativos!$A$1:$G2000,5,),)</f>
        <v/>
      </c>
    </row>
    <row r="1699" ht="21.0" customHeight="1">
      <c r="A1699" s="152"/>
      <c r="B1699" s="160"/>
      <c r="C1699" s="153"/>
      <c r="D1699" s="154"/>
      <c r="E1699" s="139"/>
      <c r="F1699" s="139"/>
      <c r="G1699" s="139"/>
      <c r="H1699" s="135"/>
      <c r="I1699" s="141"/>
      <c r="J1699" s="147" t="str">
        <f>IFERROR(__xludf.DUMMYFUNCTION("IF(ISBLANK(A1699),IFERROR(1/0),IF(COUNT(FILTER(F:F,A:A=A1699))&gt;1,TRUNC(N1699*F1699/SUM(FILTER(N:N,A:A=A1699)),3),F1699))"),"")</f>
        <v/>
      </c>
      <c r="K1699" s="147" t="str">
        <f>IFERROR(__xludf.DUMMYFUNCTION("IF(ISBLANK(A1699),IFERROR(1/0),IF(COUNT(FILTER(G:G,((A:A=A1699)*(B:B=""V""))))&gt;1,TRUNC(N1699*G1699/SUM(FILTER(N:N,((A:A=A1699)*(B:B=""V"")))),3),G1699))"),"")</f>
        <v/>
      </c>
      <c r="L1699" s="148" t="str">
        <f>IFERROR(__xludf.DUMMYFUNCTION("if($C1699="""","""",iferror(if(row()&lt;&gt;2,INDEX(arrayformula(filter($M$2:$M1698,$C$2:$C1698&lt;&gt;"""",row($C$2:$C1698)=max(if($C$2:$C1698=C1699,row($C$2:$C1698),0)))) ,1),0),0))"),"")</f>
        <v/>
      </c>
      <c r="M1699" s="148" t="str">
        <f t="shared" si="1"/>
        <v/>
      </c>
      <c r="N1699" s="147" t="str">
        <f t="shared" si="2"/>
        <v/>
      </c>
      <c r="O1699" s="147" t="str">
        <f t="shared" si="21"/>
        <v/>
      </c>
      <c r="P1699" s="147" t="str">
        <f>IFERROR(__xludf.DUMMYFUNCTION("if(C1699="""","""",iferror(if(row()&lt;&gt;2,INDEX(arrayformula(filter($Q$2:$Q1698,$C$2:$C1698&lt;&gt;"""",row($C$2:$C1698)=max(if($C$2:$C1698=C1699,row($C$2:$C1698),0)))) ,1),0),0))"),"")</f>
        <v/>
      </c>
      <c r="Q1699" s="147" t="str">
        <f t="shared" si="22"/>
        <v/>
      </c>
      <c r="R1699" s="147" t="str">
        <f t="shared" si="23"/>
        <v/>
      </c>
      <c r="S1699" s="147" t="str">
        <f t="shared" si="24"/>
        <v/>
      </c>
      <c r="T1699" s="147" t="str">
        <f t="shared" si="7"/>
        <v/>
      </c>
      <c r="U1699" s="150" t="str">
        <f t="shared" si="8"/>
        <v/>
      </c>
      <c r="V1699" s="151" t="str">
        <f>IFERROR(VLOOKUP(C1699,Ativos!$A$1:$G2000,5,),)</f>
        <v/>
      </c>
    </row>
    <row r="1700" ht="21.0" customHeight="1">
      <c r="A1700" s="152"/>
      <c r="B1700" s="160"/>
      <c r="C1700" s="153"/>
      <c r="D1700" s="154"/>
      <c r="E1700" s="139"/>
      <c r="F1700" s="139"/>
      <c r="G1700" s="139"/>
      <c r="H1700" s="135"/>
      <c r="I1700" s="141"/>
      <c r="J1700" s="147" t="str">
        <f>IFERROR(__xludf.DUMMYFUNCTION("IF(ISBLANK(A1700),IFERROR(1/0),IF(COUNT(FILTER(F:F,A:A=A1700))&gt;1,TRUNC(N1700*F1700/SUM(FILTER(N:N,A:A=A1700)),3),F1700))"),"")</f>
        <v/>
      </c>
      <c r="K1700" s="147" t="str">
        <f>IFERROR(__xludf.DUMMYFUNCTION("IF(ISBLANK(A1700),IFERROR(1/0),IF(COUNT(FILTER(G:G,((A:A=A1700)*(B:B=""V""))))&gt;1,TRUNC(N1700*G1700/SUM(FILTER(N:N,((A:A=A1700)*(B:B=""V"")))),3),G1700))"),"")</f>
        <v/>
      </c>
      <c r="L1700" s="148" t="str">
        <f>IFERROR(__xludf.DUMMYFUNCTION("if($C1700="""","""",iferror(if(row()&lt;&gt;2,INDEX(arrayformula(filter($M$2:$M1699,$C$2:$C1699&lt;&gt;"""",row($C$2:$C1699)=max(if($C$2:$C1699=C1700,row($C$2:$C1699),0)))) ,1),0),0))"),"")</f>
        <v/>
      </c>
      <c r="M1700" s="148" t="str">
        <f t="shared" si="1"/>
        <v/>
      </c>
      <c r="N1700" s="147" t="str">
        <f t="shared" si="2"/>
        <v/>
      </c>
      <c r="O1700" s="147" t="str">
        <f t="shared" si="21"/>
        <v/>
      </c>
      <c r="P1700" s="147" t="str">
        <f>IFERROR(__xludf.DUMMYFUNCTION("if(C1700="""","""",iferror(if(row()&lt;&gt;2,INDEX(arrayformula(filter($Q$2:$Q1699,$C$2:$C1699&lt;&gt;"""",row($C$2:$C1699)=max(if($C$2:$C1699=C1700,row($C$2:$C1699),0)))) ,1),0),0))"),"")</f>
        <v/>
      </c>
      <c r="Q1700" s="147" t="str">
        <f t="shared" si="22"/>
        <v/>
      </c>
      <c r="R1700" s="147" t="str">
        <f t="shared" si="23"/>
        <v/>
      </c>
      <c r="S1700" s="147" t="str">
        <f t="shared" si="24"/>
        <v/>
      </c>
      <c r="T1700" s="147" t="str">
        <f t="shared" si="7"/>
        <v/>
      </c>
      <c r="U1700" s="150" t="str">
        <f t="shared" si="8"/>
        <v/>
      </c>
      <c r="V1700" s="151" t="str">
        <f>IFERROR(VLOOKUP(C1700,Ativos!$A$1:$G2000,5,),)</f>
        <v/>
      </c>
    </row>
    <row r="1701" ht="21.0" customHeight="1">
      <c r="A1701" s="152"/>
      <c r="B1701" s="160"/>
      <c r="C1701" s="153"/>
      <c r="D1701" s="154"/>
      <c r="E1701" s="139"/>
      <c r="F1701" s="139"/>
      <c r="G1701" s="139"/>
      <c r="H1701" s="135"/>
      <c r="I1701" s="141"/>
      <c r="J1701" s="147" t="str">
        <f>IFERROR(__xludf.DUMMYFUNCTION("IF(ISBLANK(A1701),IFERROR(1/0),IF(COUNT(FILTER(F:F,A:A=A1701))&gt;1,TRUNC(N1701*F1701/SUM(FILTER(N:N,A:A=A1701)),3),F1701))"),"")</f>
        <v/>
      </c>
      <c r="K1701" s="147" t="str">
        <f>IFERROR(__xludf.DUMMYFUNCTION("IF(ISBLANK(A1701),IFERROR(1/0),IF(COUNT(FILTER(G:G,((A:A=A1701)*(B:B=""V""))))&gt;1,TRUNC(N1701*G1701/SUM(FILTER(N:N,((A:A=A1701)*(B:B=""V"")))),3),G1701))"),"")</f>
        <v/>
      </c>
      <c r="L1701" s="148" t="str">
        <f>IFERROR(__xludf.DUMMYFUNCTION("if($C1701="""","""",iferror(if(row()&lt;&gt;2,INDEX(arrayformula(filter($M$2:$M1700,$C$2:$C1700&lt;&gt;"""",row($C$2:$C1700)=max(if($C$2:$C1700=C1701,row($C$2:$C1700),0)))) ,1),0),0))"),"")</f>
        <v/>
      </c>
      <c r="M1701" s="148" t="str">
        <f t="shared" si="1"/>
        <v/>
      </c>
      <c r="N1701" s="147" t="str">
        <f t="shared" si="2"/>
        <v/>
      </c>
      <c r="O1701" s="147" t="str">
        <f t="shared" si="21"/>
        <v/>
      </c>
      <c r="P1701" s="147" t="str">
        <f>IFERROR(__xludf.DUMMYFUNCTION("if(C1701="""","""",iferror(if(row()&lt;&gt;2,INDEX(arrayformula(filter($Q$2:$Q1700,$C$2:$C1700&lt;&gt;"""",row($C$2:$C1700)=max(if($C$2:$C1700=C1701,row($C$2:$C1700),0)))) ,1),0),0))"),"")</f>
        <v/>
      </c>
      <c r="Q1701" s="147" t="str">
        <f t="shared" si="22"/>
        <v/>
      </c>
      <c r="R1701" s="147" t="str">
        <f t="shared" si="23"/>
        <v/>
      </c>
      <c r="S1701" s="147" t="str">
        <f t="shared" si="24"/>
        <v/>
      </c>
      <c r="T1701" s="147" t="str">
        <f t="shared" si="7"/>
        <v/>
      </c>
      <c r="U1701" s="150" t="str">
        <f t="shared" si="8"/>
        <v/>
      </c>
      <c r="V1701" s="151" t="str">
        <f>IFERROR(VLOOKUP(C1701,Ativos!$A$1:$G2000,5,),)</f>
        <v/>
      </c>
    </row>
    <row r="1702" ht="21.0" customHeight="1">
      <c r="A1702" s="152"/>
      <c r="B1702" s="160"/>
      <c r="C1702" s="153"/>
      <c r="D1702" s="154"/>
      <c r="E1702" s="139"/>
      <c r="F1702" s="139"/>
      <c r="G1702" s="139"/>
      <c r="H1702" s="135"/>
      <c r="I1702" s="141"/>
      <c r="J1702" s="147" t="str">
        <f>IFERROR(__xludf.DUMMYFUNCTION("IF(ISBLANK(A1702),IFERROR(1/0),IF(COUNT(FILTER(F:F,A:A=A1702))&gt;1,TRUNC(N1702*F1702/SUM(FILTER(N:N,A:A=A1702)),3),F1702))"),"")</f>
        <v/>
      </c>
      <c r="K1702" s="147" t="str">
        <f>IFERROR(__xludf.DUMMYFUNCTION("IF(ISBLANK(A1702),IFERROR(1/0),IF(COUNT(FILTER(G:G,((A:A=A1702)*(B:B=""V""))))&gt;1,TRUNC(N1702*G1702/SUM(FILTER(N:N,((A:A=A1702)*(B:B=""V"")))),3),G1702))"),"")</f>
        <v/>
      </c>
      <c r="L1702" s="148" t="str">
        <f>IFERROR(__xludf.DUMMYFUNCTION("if($C1702="""","""",iferror(if(row()&lt;&gt;2,INDEX(arrayformula(filter($M$2:$M1701,$C$2:$C1701&lt;&gt;"""",row($C$2:$C1701)=max(if($C$2:$C1701=C1702,row($C$2:$C1701),0)))) ,1),0),0))"),"")</f>
        <v/>
      </c>
      <c r="M1702" s="148" t="str">
        <f t="shared" si="1"/>
        <v/>
      </c>
      <c r="N1702" s="147" t="str">
        <f t="shared" si="2"/>
        <v/>
      </c>
      <c r="O1702" s="147" t="str">
        <f t="shared" si="21"/>
        <v/>
      </c>
      <c r="P1702" s="147" t="str">
        <f>IFERROR(__xludf.DUMMYFUNCTION("if(C1702="""","""",iferror(if(row()&lt;&gt;2,INDEX(arrayformula(filter($Q$2:$Q1701,$C$2:$C1701&lt;&gt;"""",row($C$2:$C1701)=max(if($C$2:$C1701=C1702,row($C$2:$C1701),0)))) ,1),0),0))"),"")</f>
        <v/>
      </c>
      <c r="Q1702" s="147" t="str">
        <f t="shared" si="22"/>
        <v/>
      </c>
      <c r="R1702" s="147" t="str">
        <f t="shared" si="23"/>
        <v/>
      </c>
      <c r="S1702" s="147" t="str">
        <f t="shared" si="24"/>
        <v/>
      </c>
      <c r="T1702" s="147" t="str">
        <f t="shared" si="7"/>
        <v/>
      </c>
      <c r="U1702" s="150" t="str">
        <f t="shared" si="8"/>
        <v/>
      </c>
      <c r="V1702" s="151" t="str">
        <f>IFERROR(VLOOKUP(C1702,Ativos!$A$1:$G2000,5,),)</f>
        <v/>
      </c>
    </row>
    <row r="1703" ht="21.0" customHeight="1">
      <c r="A1703" s="152"/>
      <c r="B1703" s="160"/>
      <c r="C1703" s="153"/>
      <c r="D1703" s="154"/>
      <c r="E1703" s="139"/>
      <c r="F1703" s="139"/>
      <c r="G1703" s="139"/>
      <c r="H1703" s="135"/>
      <c r="I1703" s="141"/>
      <c r="J1703" s="147" t="str">
        <f>IFERROR(__xludf.DUMMYFUNCTION("IF(ISBLANK(A1703),IFERROR(1/0),IF(COUNT(FILTER(F:F,A:A=A1703))&gt;1,TRUNC(N1703*F1703/SUM(FILTER(N:N,A:A=A1703)),3),F1703))"),"")</f>
        <v/>
      </c>
      <c r="K1703" s="147" t="str">
        <f>IFERROR(__xludf.DUMMYFUNCTION("IF(ISBLANK(A1703),IFERROR(1/0),IF(COUNT(FILTER(G:G,((A:A=A1703)*(B:B=""V""))))&gt;1,TRUNC(N1703*G1703/SUM(FILTER(N:N,((A:A=A1703)*(B:B=""V"")))),3),G1703))"),"")</f>
        <v/>
      </c>
      <c r="L1703" s="148" t="str">
        <f>IFERROR(__xludf.DUMMYFUNCTION("if($C1703="""","""",iferror(if(row()&lt;&gt;2,INDEX(arrayformula(filter($M$2:$M1702,$C$2:$C1702&lt;&gt;"""",row($C$2:$C1702)=max(if($C$2:$C1702=C1703,row($C$2:$C1702),0)))) ,1),0),0))"),"")</f>
        <v/>
      </c>
      <c r="M1703" s="148" t="str">
        <f t="shared" si="1"/>
        <v/>
      </c>
      <c r="N1703" s="147" t="str">
        <f t="shared" si="2"/>
        <v/>
      </c>
      <c r="O1703" s="147" t="str">
        <f t="shared" si="21"/>
        <v/>
      </c>
      <c r="P1703" s="147" t="str">
        <f>IFERROR(__xludf.DUMMYFUNCTION("if(C1703="""","""",iferror(if(row()&lt;&gt;2,INDEX(arrayformula(filter($Q$2:$Q1702,$C$2:$C1702&lt;&gt;"""",row($C$2:$C1702)=max(if($C$2:$C1702=C1703,row($C$2:$C1702),0)))) ,1),0),0))"),"")</f>
        <v/>
      </c>
      <c r="Q1703" s="147" t="str">
        <f t="shared" si="22"/>
        <v/>
      </c>
      <c r="R1703" s="147" t="str">
        <f t="shared" si="23"/>
        <v/>
      </c>
      <c r="S1703" s="147" t="str">
        <f t="shared" si="24"/>
        <v/>
      </c>
      <c r="T1703" s="147" t="str">
        <f t="shared" si="7"/>
        <v/>
      </c>
      <c r="U1703" s="150" t="str">
        <f t="shared" si="8"/>
        <v/>
      </c>
      <c r="V1703" s="151" t="str">
        <f>IFERROR(VLOOKUP(C1703,Ativos!$A$1:$G2000,5,),)</f>
        <v/>
      </c>
    </row>
    <row r="1704" ht="21.0" customHeight="1">
      <c r="A1704" s="152"/>
      <c r="B1704" s="160"/>
      <c r="C1704" s="153"/>
      <c r="D1704" s="154"/>
      <c r="E1704" s="139"/>
      <c r="F1704" s="139"/>
      <c r="G1704" s="139"/>
      <c r="H1704" s="135"/>
      <c r="I1704" s="141"/>
      <c r="J1704" s="147" t="str">
        <f>IFERROR(__xludf.DUMMYFUNCTION("IF(ISBLANK(A1704),IFERROR(1/0),IF(COUNT(FILTER(F:F,A:A=A1704))&gt;1,TRUNC(N1704*F1704/SUM(FILTER(N:N,A:A=A1704)),3),F1704))"),"")</f>
        <v/>
      </c>
      <c r="K1704" s="147" t="str">
        <f>IFERROR(__xludf.DUMMYFUNCTION("IF(ISBLANK(A1704),IFERROR(1/0),IF(COUNT(FILTER(G:G,((A:A=A1704)*(B:B=""V""))))&gt;1,TRUNC(N1704*G1704/SUM(FILTER(N:N,((A:A=A1704)*(B:B=""V"")))),3),G1704))"),"")</f>
        <v/>
      </c>
      <c r="L1704" s="148" t="str">
        <f>IFERROR(__xludf.DUMMYFUNCTION("if($C1704="""","""",iferror(if(row()&lt;&gt;2,INDEX(arrayformula(filter($M$2:$M1703,$C$2:$C1703&lt;&gt;"""",row($C$2:$C1703)=max(if($C$2:$C1703=C1704,row($C$2:$C1703),0)))) ,1),0),0))"),"")</f>
        <v/>
      </c>
      <c r="M1704" s="148" t="str">
        <f t="shared" si="1"/>
        <v/>
      </c>
      <c r="N1704" s="147" t="str">
        <f t="shared" si="2"/>
        <v/>
      </c>
      <c r="O1704" s="147" t="str">
        <f t="shared" si="21"/>
        <v/>
      </c>
      <c r="P1704" s="147" t="str">
        <f>IFERROR(__xludf.DUMMYFUNCTION("if(C1704="""","""",iferror(if(row()&lt;&gt;2,INDEX(arrayformula(filter($Q$2:$Q1703,$C$2:$C1703&lt;&gt;"""",row($C$2:$C1703)=max(if($C$2:$C1703=C1704,row($C$2:$C1703),0)))) ,1),0),0))"),"")</f>
        <v/>
      </c>
      <c r="Q1704" s="147" t="str">
        <f t="shared" si="22"/>
        <v/>
      </c>
      <c r="R1704" s="147" t="str">
        <f t="shared" si="23"/>
        <v/>
      </c>
      <c r="S1704" s="147" t="str">
        <f t="shared" si="24"/>
        <v/>
      </c>
      <c r="T1704" s="147" t="str">
        <f t="shared" si="7"/>
        <v/>
      </c>
      <c r="U1704" s="150" t="str">
        <f t="shared" si="8"/>
        <v/>
      </c>
      <c r="V1704" s="151" t="str">
        <f>IFERROR(VLOOKUP(C1704,Ativos!$A$1:$G2000,5,),)</f>
        <v/>
      </c>
    </row>
    <row r="1705" ht="21.0" customHeight="1">
      <c r="A1705" s="152"/>
      <c r="B1705" s="160"/>
      <c r="C1705" s="153"/>
      <c r="D1705" s="154"/>
      <c r="E1705" s="139"/>
      <c r="F1705" s="139"/>
      <c r="G1705" s="139"/>
      <c r="H1705" s="135"/>
      <c r="I1705" s="141"/>
      <c r="J1705" s="147" t="str">
        <f>IFERROR(__xludf.DUMMYFUNCTION("IF(ISBLANK(A1705),IFERROR(1/0),IF(COUNT(FILTER(F:F,A:A=A1705))&gt;1,TRUNC(N1705*F1705/SUM(FILTER(N:N,A:A=A1705)),3),F1705))"),"")</f>
        <v/>
      </c>
      <c r="K1705" s="147" t="str">
        <f>IFERROR(__xludf.DUMMYFUNCTION("IF(ISBLANK(A1705),IFERROR(1/0),IF(COUNT(FILTER(G:G,((A:A=A1705)*(B:B=""V""))))&gt;1,TRUNC(N1705*G1705/SUM(FILTER(N:N,((A:A=A1705)*(B:B=""V"")))),3),G1705))"),"")</f>
        <v/>
      </c>
      <c r="L1705" s="148" t="str">
        <f>IFERROR(__xludf.DUMMYFUNCTION("if($C1705="""","""",iferror(if(row()&lt;&gt;2,INDEX(arrayformula(filter($M$2:$M1704,$C$2:$C1704&lt;&gt;"""",row($C$2:$C1704)=max(if($C$2:$C1704=C1705,row($C$2:$C1704),0)))) ,1),0),0))"),"")</f>
        <v/>
      </c>
      <c r="M1705" s="148" t="str">
        <f t="shared" si="1"/>
        <v/>
      </c>
      <c r="N1705" s="147" t="str">
        <f t="shared" si="2"/>
        <v/>
      </c>
      <c r="O1705" s="147" t="str">
        <f t="shared" si="21"/>
        <v/>
      </c>
      <c r="P1705" s="147" t="str">
        <f>IFERROR(__xludf.DUMMYFUNCTION("if(C1705="""","""",iferror(if(row()&lt;&gt;2,INDEX(arrayformula(filter($Q$2:$Q1704,$C$2:$C1704&lt;&gt;"""",row($C$2:$C1704)=max(if($C$2:$C1704=C1705,row($C$2:$C1704),0)))) ,1),0),0))"),"")</f>
        <v/>
      </c>
      <c r="Q1705" s="147" t="str">
        <f t="shared" si="22"/>
        <v/>
      </c>
      <c r="R1705" s="147" t="str">
        <f t="shared" si="23"/>
        <v/>
      </c>
      <c r="S1705" s="147" t="str">
        <f t="shared" si="24"/>
        <v/>
      </c>
      <c r="T1705" s="147" t="str">
        <f t="shared" si="7"/>
        <v/>
      </c>
      <c r="U1705" s="150" t="str">
        <f t="shared" si="8"/>
        <v/>
      </c>
      <c r="V1705" s="151" t="str">
        <f>IFERROR(VLOOKUP(C1705,Ativos!$A$1:$G2000,5,),)</f>
        <v/>
      </c>
    </row>
    <row r="1706" ht="21.0" customHeight="1">
      <c r="A1706" s="152"/>
      <c r="B1706" s="160"/>
      <c r="C1706" s="153"/>
      <c r="D1706" s="154"/>
      <c r="E1706" s="139"/>
      <c r="F1706" s="139"/>
      <c r="G1706" s="139"/>
      <c r="H1706" s="135"/>
      <c r="I1706" s="141"/>
      <c r="J1706" s="147" t="str">
        <f>IFERROR(__xludf.DUMMYFUNCTION("IF(ISBLANK(A1706),IFERROR(1/0),IF(COUNT(FILTER(F:F,A:A=A1706))&gt;1,TRUNC(N1706*F1706/SUM(FILTER(N:N,A:A=A1706)),3),F1706))"),"")</f>
        <v/>
      </c>
      <c r="K1706" s="147" t="str">
        <f>IFERROR(__xludf.DUMMYFUNCTION("IF(ISBLANK(A1706),IFERROR(1/0),IF(COUNT(FILTER(G:G,((A:A=A1706)*(B:B=""V""))))&gt;1,TRUNC(N1706*G1706/SUM(FILTER(N:N,((A:A=A1706)*(B:B=""V"")))),3),G1706))"),"")</f>
        <v/>
      </c>
      <c r="L1706" s="148" t="str">
        <f>IFERROR(__xludf.DUMMYFUNCTION("if($C1706="""","""",iferror(if(row()&lt;&gt;2,INDEX(arrayformula(filter($M$2:$M1705,$C$2:$C1705&lt;&gt;"""",row($C$2:$C1705)=max(if($C$2:$C1705=C1706,row($C$2:$C1705),0)))) ,1),0),0))"),"")</f>
        <v/>
      </c>
      <c r="M1706" s="148" t="str">
        <f t="shared" si="1"/>
        <v/>
      </c>
      <c r="N1706" s="147" t="str">
        <f t="shared" si="2"/>
        <v/>
      </c>
      <c r="O1706" s="147" t="str">
        <f t="shared" si="21"/>
        <v/>
      </c>
      <c r="P1706" s="147" t="str">
        <f>IFERROR(__xludf.DUMMYFUNCTION("if(C1706="""","""",iferror(if(row()&lt;&gt;2,INDEX(arrayformula(filter($Q$2:$Q1705,$C$2:$C1705&lt;&gt;"""",row($C$2:$C1705)=max(if($C$2:$C1705=C1706,row($C$2:$C1705),0)))) ,1),0),0))"),"")</f>
        <v/>
      </c>
      <c r="Q1706" s="147" t="str">
        <f t="shared" si="22"/>
        <v/>
      </c>
      <c r="R1706" s="147" t="str">
        <f t="shared" si="23"/>
        <v/>
      </c>
      <c r="S1706" s="147" t="str">
        <f t="shared" si="24"/>
        <v/>
      </c>
      <c r="T1706" s="147" t="str">
        <f t="shared" si="7"/>
        <v/>
      </c>
      <c r="U1706" s="150" t="str">
        <f t="shared" si="8"/>
        <v/>
      </c>
      <c r="V1706" s="151" t="str">
        <f>IFERROR(VLOOKUP(C1706,Ativos!$A$1:$G2000,5,),)</f>
        <v/>
      </c>
    </row>
    <row r="1707" ht="21.0" customHeight="1">
      <c r="A1707" s="152"/>
      <c r="B1707" s="160"/>
      <c r="C1707" s="153"/>
      <c r="D1707" s="154"/>
      <c r="E1707" s="139"/>
      <c r="F1707" s="139"/>
      <c r="G1707" s="139"/>
      <c r="H1707" s="135"/>
      <c r="I1707" s="141"/>
      <c r="J1707" s="147" t="str">
        <f>IFERROR(__xludf.DUMMYFUNCTION("IF(ISBLANK(A1707),IFERROR(1/0),IF(COUNT(FILTER(F:F,A:A=A1707))&gt;1,TRUNC(N1707*F1707/SUM(FILTER(N:N,A:A=A1707)),3),F1707))"),"")</f>
        <v/>
      </c>
      <c r="K1707" s="147" t="str">
        <f>IFERROR(__xludf.DUMMYFUNCTION("IF(ISBLANK(A1707),IFERROR(1/0),IF(COUNT(FILTER(G:G,((A:A=A1707)*(B:B=""V""))))&gt;1,TRUNC(N1707*G1707/SUM(FILTER(N:N,((A:A=A1707)*(B:B=""V"")))),3),G1707))"),"")</f>
        <v/>
      </c>
      <c r="L1707" s="148" t="str">
        <f>IFERROR(__xludf.DUMMYFUNCTION("if($C1707="""","""",iferror(if(row()&lt;&gt;2,INDEX(arrayformula(filter($M$2:$M1706,$C$2:$C1706&lt;&gt;"""",row($C$2:$C1706)=max(if($C$2:$C1706=C1707,row($C$2:$C1706),0)))) ,1),0),0))"),"")</f>
        <v/>
      </c>
      <c r="M1707" s="148" t="str">
        <f t="shared" si="1"/>
        <v/>
      </c>
      <c r="N1707" s="147" t="str">
        <f t="shared" si="2"/>
        <v/>
      </c>
      <c r="O1707" s="147" t="str">
        <f t="shared" si="21"/>
        <v/>
      </c>
      <c r="P1707" s="147" t="str">
        <f>IFERROR(__xludf.DUMMYFUNCTION("if(C1707="""","""",iferror(if(row()&lt;&gt;2,INDEX(arrayformula(filter($Q$2:$Q1706,$C$2:$C1706&lt;&gt;"""",row($C$2:$C1706)=max(if($C$2:$C1706=C1707,row($C$2:$C1706),0)))) ,1),0),0))"),"")</f>
        <v/>
      </c>
      <c r="Q1707" s="147" t="str">
        <f t="shared" si="22"/>
        <v/>
      </c>
      <c r="R1707" s="147" t="str">
        <f t="shared" si="23"/>
        <v/>
      </c>
      <c r="S1707" s="147" t="str">
        <f t="shared" si="24"/>
        <v/>
      </c>
      <c r="T1707" s="147" t="str">
        <f t="shared" si="7"/>
        <v/>
      </c>
      <c r="U1707" s="150" t="str">
        <f t="shared" si="8"/>
        <v/>
      </c>
      <c r="V1707" s="151" t="str">
        <f>IFERROR(VLOOKUP(C1707,Ativos!$A$1:$G2000,5,),)</f>
        <v/>
      </c>
    </row>
    <row r="1708" ht="21.0" customHeight="1">
      <c r="A1708" s="152"/>
      <c r="B1708" s="160"/>
      <c r="C1708" s="153"/>
      <c r="D1708" s="154"/>
      <c r="E1708" s="139"/>
      <c r="F1708" s="139"/>
      <c r="G1708" s="139"/>
      <c r="H1708" s="135"/>
      <c r="I1708" s="141"/>
      <c r="J1708" s="147" t="str">
        <f>IFERROR(__xludf.DUMMYFUNCTION("IF(ISBLANK(A1708),IFERROR(1/0),IF(COUNT(FILTER(F:F,A:A=A1708))&gt;1,TRUNC(N1708*F1708/SUM(FILTER(N:N,A:A=A1708)),3),F1708))"),"")</f>
        <v/>
      </c>
      <c r="K1708" s="147" t="str">
        <f>IFERROR(__xludf.DUMMYFUNCTION("IF(ISBLANK(A1708),IFERROR(1/0),IF(COUNT(FILTER(G:G,((A:A=A1708)*(B:B=""V""))))&gt;1,TRUNC(N1708*G1708/SUM(FILTER(N:N,((A:A=A1708)*(B:B=""V"")))),3),G1708))"),"")</f>
        <v/>
      </c>
      <c r="L1708" s="148" t="str">
        <f>IFERROR(__xludf.DUMMYFUNCTION("if($C1708="""","""",iferror(if(row()&lt;&gt;2,INDEX(arrayformula(filter($M$2:$M1707,$C$2:$C1707&lt;&gt;"""",row($C$2:$C1707)=max(if($C$2:$C1707=C1708,row($C$2:$C1707),0)))) ,1),0),0))"),"")</f>
        <v/>
      </c>
      <c r="M1708" s="148" t="str">
        <f t="shared" si="1"/>
        <v/>
      </c>
      <c r="N1708" s="147" t="str">
        <f t="shared" si="2"/>
        <v/>
      </c>
      <c r="O1708" s="147" t="str">
        <f t="shared" si="21"/>
        <v/>
      </c>
      <c r="P1708" s="147" t="str">
        <f>IFERROR(__xludf.DUMMYFUNCTION("if(C1708="""","""",iferror(if(row()&lt;&gt;2,INDEX(arrayformula(filter($Q$2:$Q1707,$C$2:$C1707&lt;&gt;"""",row($C$2:$C1707)=max(if($C$2:$C1707=C1708,row($C$2:$C1707),0)))) ,1),0),0))"),"")</f>
        <v/>
      </c>
      <c r="Q1708" s="147" t="str">
        <f t="shared" si="22"/>
        <v/>
      </c>
      <c r="R1708" s="147" t="str">
        <f t="shared" si="23"/>
        <v/>
      </c>
      <c r="S1708" s="147" t="str">
        <f t="shared" si="24"/>
        <v/>
      </c>
      <c r="T1708" s="147" t="str">
        <f t="shared" si="7"/>
        <v/>
      </c>
      <c r="U1708" s="150" t="str">
        <f t="shared" si="8"/>
        <v/>
      </c>
      <c r="V1708" s="151" t="str">
        <f>IFERROR(VLOOKUP(C1708,Ativos!$A$1:$G2000,5,),)</f>
        <v/>
      </c>
    </row>
    <row r="1709" ht="21.0" customHeight="1">
      <c r="A1709" s="152"/>
      <c r="B1709" s="160"/>
      <c r="C1709" s="153"/>
      <c r="D1709" s="154"/>
      <c r="E1709" s="139"/>
      <c r="F1709" s="139"/>
      <c r="G1709" s="139"/>
      <c r="H1709" s="135"/>
      <c r="I1709" s="141"/>
      <c r="J1709" s="147" t="str">
        <f>IFERROR(__xludf.DUMMYFUNCTION("IF(ISBLANK(A1709),IFERROR(1/0),IF(COUNT(FILTER(F:F,A:A=A1709))&gt;1,TRUNC(N1709*F1709/SUM(FILTER(N:N,A:A=A1709)),3),F1709))"),"")</f>
        <v/>
      </c>
      <c r="K1709" s="147" t="str">
        <f>IFERROR(__xludf.DUMMYFUNCTION("IF(ISBLANK(A1709),IFERROR(1/0),IF(COUNT(FILTER(G:G,((A:A=A1709)*(B:B=""V""))))&gt;1,TRUNC(N1709*G1709/SUM(FILTER(N:N,((A:A=A1709)*(B:B=""V"")))),3),G1709))"),"")</f>
        <v/>
      </c>
      <c r="L1709" s="148" t="str">
        <f>IFERROR(__xludf.DUMMYFUNCTION("if($C1709="""","""",iferror(if(row()&lt;&gt;2,INDEX(arrayformula(filter($M$2:$M1708,$C$2:$C1708&lt;&gt;"""",row($C$2:$C1708)=max(if($C$2:$C1708=C1709,row($C$2:$C1708),0)))) ,1),0),0))"),"")</f>
        <v/>
      </c>
      <c r="M1709" s="148" t="str">
        <f t="shared" si="1"/>
        <v/>
      </c>
      <c r="N1709" s="147" t="str">
        <f t="shared" si="2"/>
        <v/>
      </c>
      <c r="O1709" s="147" t="str">
        <f t="shared" si="21"/>
        <v/>
      </c>
      <c r="P1709" s="147" t="str">
        <f>IFERROR(__xludf.DUMMYFUNCTION("if(C1709="""","""",iferror(if(row()&lt;&gt;2,INDEX(arrayformula(filter($Q$2:$Q1708,$C$2:$C1708&lt;&gt;"""",row($C$2:$C1708)=max(if($C$2:$C1708=C1709,row($C$2:$C1708),0)))) ,1),0),0))"),"")</f>
        <v/>
      </c>
      <c r="Q1709" s="147" t="str">
        <f t="shared" si="22"/>
        <v/>
      </c>
      <c r="R1709" s="147" t="str">
        <f t="shared" si="23"/>
        <v/>
      </c>
      <c r="S1709" s="147" t="str">
        <f t="shared" si="24"/>
        <v/>
      </c>
      <c r="T1709" s="147" t="str">
        <f t="shared" si="7"/>
        <v/>
      </c>
      <c r="U1709" s="150" t="str">
        <f t="shared" si="8"/>
        <v/>
      </c>
      <c r="V1709" s="151" t="str">
        <f>IFERROR(VLOOKUP(C1709,Ativos!$A$1:$G2000,5,),)</f>
        <v/>
      </c>
    </row>
    <row r="1710" ht="21.0" customHeight="1">
      <c r="A1710" s="152"/>
      <c r="B1710" s="160"/>
      <c r="C1710" s="153"/>
      <c r="D1710" s="154"/>
      <c r="E1710" s="139"/>
      <c r="F1710" s="139"/>
      <c r="G1710" s="139"/>
      <c r="H1710" s="135"/>
      <c r="I1710" s="141"/>
      <c r="J1710" s="147" t="str">
        <f>IFERROR(__xludf.DUMMYFUNCTION("IF(ISBLANK(A1710),IFERROR(1/0),IF(COUNT(FILTER(F:F,A:A=A1710))&gt;1,TRUNC(N1710*F1710/SUM(FILTER(N:N,A:A=A1710)),3),F1710))"),"")</f>
        <v/>
      </c>
      <c r="K1710" s="147" t="str">
        <f>IFERROR(__xludf.DUMMYFUNCTION("IF(ISBLANK(A1710),IFERROR(1/0),IF(COUNT(FILTER(G:G,((A:A=A1710)*(B:B=""V""))))&gt;1,TRUNC(N1710*G1710/SUM(FILTER(N:N,((A:A=A1710)*(B:B=""V"")))),3),G1710))"),"")</f>
        <v/>
      </c>
      <c r="L1710" s="148" t="str">
        <f>IFERROR(__xludf.DUMMYFUNCTION("if($C1710="""","""",iferror(if(row()&lt;&gt;2,INDEX(arrayformula(filter($M$2:$M1709,$C$2:$C1709&lt;&gt;"""",row($C$2:$C1709)=max(if($C$2:$C1709=C1710,row($C$2:$C1709),0)))) ,1),0),0))"),"")</f>
        <v/>
      </c>
      <c r="M1710" s="148" t="str">
        <f t="shared" si="1"/>
        <v/>
      </c>
      <c r="N1710" s="147" t="str">
        <f t="shared" si="2"/>
        <v/>
      </c>
      <c r="O1710" s="147" t="str">
        <f t="shared" si="21"/>
        <v/>
      </c>
      <c r="P1710" s="147" t="str">
        <f>IFERROR(__xludf.DUMMYFUNCTION("if(C1710="""","""",iferror(if(row()&lt;&gt;2,INDEX(arrayformula(filter($Q$2:$Q1709,$C$2:$C1709&lt;&gt;"""",row($C$2:$C1709)=max(if($C$2:$C1709=C1710,row($C$2:$C1709),0)))) ,1),0),0))"),"")</f>
        <v/>
      </c>
      <c r="Q1710" s="147" t="str">
        <f t="shared" si="22"/>
        <v/>
      </c>
      <c r="R1710" s="147" t="str">
        <f t="shared" si="23"/>
        <v/>
      </c>
      <c r="S1710" s="147" t="str">
        <f t="shared" si="24"/>
        <v/>
      </c>
      <c r="T1710" s="147" t="str">
        <f t="shared" si="7"/>
        <v/>
      </c>
      <c r="U1710" s="150" t="str">
        <f t="shared" si="8"/>
        <v/>
      </c>
      <c r="V1710" s="151" t="str">
        <f>IFERROR(VLOOKUP(C1710,Ativos!$A$1:$G2000,5,),)</f>
        <v/>
      </c>
    </row>
    <row r="1711" ht="21.0" customHeight="1">
      <c r="A1711" s="152"/>
      <c r="B1711" s="160"/>
      <c r="C1711" s="153"/>
      <c r="D1711" s="154"/>
      <c r="E1711" s="139"/>
      <c r="F1711" s="139"/>
      <c r="G1711" s="139"/>
      <c r="H1711" s="135"/>
      <c r="I1711" s="141"/>
      <c r="J1711" s="147" t="str">
        <f>IFERROR(__xludf.DUMMYFUNCTION("IF(ISBLANK(A1711),IFERROR(1/0),IF(COUNT(FILTER(F:F,A:A=A1711))&gt;1,TRUNC(N1711*F1711/SUM(FILTER(N:N,A:A=A1711)),3),F1711))"),"")</f>
        <v/>
      </c>
      <c r="K1711" s="147" t="str">
        <f>IFERROR(__xludf.DUMMYFUNCTION("IF(ISBLANK(A1711),IFERROR(1/0),IF(COUNT(FILTER(G:G,((A:A=A1711)*(B:B=""V""))))&gt;1,TRUNC(N1711*G1711/SUM(FILTER(N:N,((A:A=A1711)*(B:B=""V"")))),3),G1711))"),"")</f>
        <v/>
      </c>
      <c r="L1711" s="148" t="str">
        <f>IFERROR(__xludf.DUMMYFUNCTION("if($C1711="""","""",iferror(if(row()&lt;&gt;2,INDEX(arrayformula(filter($M$2:$M1710,$C$2:$C1710&lt;&gt;"""",row($C$2:$C1710)=max(if($C$2:$C1710=C1711,row($C$2:$C1710),0)))) ,1),0),0))"),"")</f>
        <v/>
      </c>
      <c r="M1711" s="148" t="str">
        <f t="shared" si="1"/>
        <v/>
      </c>
      <c r="N1711" s="147" t="str">
        <f t="shared" si="2"/>
        <v/>
      </c>
      <c r="O1711" s="147" t="str">
        <f t="shared" si="21"/>
        <v/>
      </c>
      <c r="P1711" s="147" t="str">
        <f>IFERROR(__xludf.DUMMYFUNCTION("if(C1711="""","""",iferror(if(row()&lt;&gt;2,INDEX(arrayformula(filter($Q$2:$Q1710,$C$2:$C1710&lt;&gt;"""",row($C$2:$C1710)=max(if($C$2:$C1710=C1711,row($C$2:$C1710),0)))) ,1),0),0))"),"")</f>
        <v/>
      </c>
      <c r="Q1711" s="147" t="str">
        <f t="shared" si="22"/>
        <v/>
      </c>
      <c r="R1711" s="147" t="str">
        <f t="shared" si="23"/>
        <v/>
      </c>
      <c r="S1711" s="147" t="str">
        <f t="shared" si="24"/>
        <v/>
      </c>
      <c r="T1711" s="147" t="str">
        <f t="shared" si="7"/>
        <v/>
      </c>
      <c r="U1711" s="150" t="str">
        <f t="shared" si="8"/>
        <v/>
      </c>
      <c r="V1711" s="151" t="str">
        <f>IFERROR(VLOOKUP(C1711,Ativos!$A$1:$G2000,5,),)</f>
        <v/>
      </c>
    </row>
    <row r="1712" ht="21.0" customHeight="1">
      <c r="A1712" s="152"/>
      <c r="B1712" s="160"/>
      <c r="C1712" s="153"/>
      <c r="D1712" s="154"/>
      <c r="E1712" s="139"/>
      <c r="F1712" s="139"/>
      <c r="G1712" s="139"/>
      <c r="H1712" s="135"/>
      <c r="I1712" s="141"/>
      <c r="J1712" s="147" t="str">
        <f>IFERROR(__xludf.DUMMYFUNCTION("IF(ISBLANK(A1712),IFERROR(1/0),IF(COUNT(FILTER(F:F,A:A=A1712))&gt;1,TRUNC(N1712*F1712/SUM(FILTER(N:N,A:A=A1712)),3),F1712))"),"")</f>
        <v/>
      </c>
      <c r="K1712" s="147" t="str">
        <f>IFERROR(__xludf.DUMMYFUNCTION("IF(ISBLANK(A1712),IFERROR(1/0),IF(COUNT(FILTER(G:G,((A:A=A1712)*(B:B=""V""))))&gt;1,TRUNC(N1712*G1712/SUM(FILTER(N:N,((A:A=A1712)*(B:B=""V"")))),3),G1712))"),"")</f>
        <v/>
      </c>
      <c r="L1712" s="148" t="str">
        <f>IFERROR(__xludf.DUMMYFUNCTION("if($C1712="""","""",iferror(if(row()&lt;&gt;2,INDEX(arrayformula(filter($M$2:$M1711,$C$2:$C1711&lt;&gt;"""",row($C$2:$C1711)=max(if($C$2:$C1711=C1712,row($C$2:$C1711),0)))) ,1),0),0))"),"")</f>
        <v/>
      </c>
      <c r="M1712" s="148" t="str">
        <f t="shared" si="1"/>
        <v/>
      </c>
      <c r="N1712" s="147" t="str">
        <f t="shared" si="2"/>
        <v/>
      </c>
      <c r="O1712" s="147" t="str">
        <f t="shared" si="21"/>
        <v/>
      </c>
      <c r="P1712" s="147" t="str">
        <f>IFERROR(__xludf.DUMMYFUNCTION("if(C1712="""","""",iferror(if(row()&lt;&gt;2,INDEX(arrayformula(filter($Q$2:$Q1711,$C$2:$C1711&lt;&gt;"""",row($C$2:$C1711)=max(if($C$2:$C1711=C1712,row($C$2:$C1711),0)))) ,1),0),0))"),"")</f>
        <v/>
      </c>
      <c r="Q1712" s="147" t="str">
        <f t="shared" si="22"/>
        <v/>
      </c>
      <c r="R1712" s="147" t="str">
        <f t="shared" si="23"/>
        <v/>
      </c>
      <c r="S1712" s="147" t="str">
        <f t="shared" si="24"/>
        <v/>
      </c>
      <c r="T1712" s="147" t="str">
        <f t="shared" si="7"/>
        <v/>
      </c>
      <c r="U1712" s="150" t="str">
        <f t="shared" si="8"/>
        <v/>
      </c>
      <c r="V1712" s="151" t="str">
        <f>IFERROR(VLOOKUP(C1712,Ativos!$A$1:$G2000,5,),)</f>
        <v/>
      </c>
    </row>
    <row r="1713" ht="21.0" customHeight="1">
      <c r="A1713" s="152"/>
      <c r="B1713" s="160"/>
      <c r="C1713" s="153"/>
      <c r="D1713" s="154"/>
      <c r="E1713" s="139"/>
      <c r="F1713" s="139"/>
      <c r="G1713" s="139"/>
      <c r="H1713" s="135"/>
      <c r="I1713" s="141"/>
      <c r="J1713" s="147" t="str">
        <f>IFERROR(__xludf.DUMMYFUNCTION("IF(ISBLANK(A1713),IFERROR(1/0),IF(COUNT(FILTER(F:F,A:A=A1713))&gt;1,TRUNC(N1713*F1713/SUM(FILTER(N:N,A:A=A1713)),3),F1713))"),"")</f>
        <v/>
      </c>
      <c r="K1713" s="147" t="str">
        <f>IFERROR(__xludf.DUMMYFUNCTION("IF(ISBLANK(A1713),IFERROR(1/0),IF(COUNT(FILTER(G:G,((A:A=A1713)*(B:B=""V""))))&gt;1,TRUNC(N1713*G1713/SUM(FILTER(N:N,((A:A=A1713)*(B:B=""V"")))),3),G1713))"),"")</f>
        <v/>
      </c>
      <c r="L1713" s="148" t="str">
        <f>IFERROR(__xludf.DUMMYFUNCTION("if($C1713="""","""",iferror(if(row()&lt;&gt;2,INDEX(arrayformula(filter($M$2:$M1712,$C$2:$C1712&lt;&gt;"""",row($C$2:$C1712)=max(if($C$2:$C1712=C1713,row($C$2:$C1712),0)))) ,1),0),0))"),"")</f>
        <v/>
      </c>
      <c r="M1713" s="148" t="str">
        <f t="shared" si="1"/>
        <v/>
      </c>
      <c r="N1713" s="147" t="str">
        <f t="shared" si="2"/>
        <v/>
      </c>
      <c r="O1713" s="147" t="str">
        <f t="shared" si="21"/>
        <v/>
      </c>
      <c r="P1713" s="147" t="str">
        <f>IFERROR(__xludf.DUMMYFUNCTION("if(C1713="""","""",iferror(if(row()&lt;&gt;2,INDEX(arrayformula(filter($Q$2:$Q1712,$C$2:$C1712&lt;&gt;"""",row($C$2:$C1712)=max(if($C$2:$C1712=C1713,row($C$2:$C1712),0)))) ,1),0),0))"),"")</f>
        <v/>
      </c>
      <c r="Q1713" s="147" t="str">
        <f t="shared" si="22"/>
        <v/>
      </c>
      <c r="R1713" s="147" t="str">
        <f t="shared" si="23"/>
        <v/>
      </c>
      <c r="S1713" s="147" t="str">
        <f t="shared" si="24"/>
        <v/>
      </c>
      <c r="T1713" s="147" t="str">
        <f t="shared" si="7"/>
        <v/>
      </c>
      <c r="U1713" s="150" t="str">
        <f t="shared" si="8"/>
        <v/>
      </c>
      <c r="V1713" s="151" t="str">
        <f>IFERROR(VLOOKUP(C1713,Ativos!$A$1:$G2000,5,),)</f>
        <v/>
      </c>
    </row>
    <row r="1714" ht="21.0" customHeight="1">
      <c r="A1714" s="152"/>
      <c r="B1714" s="160"/>
      <c r="C1714" s="153"/>
      <c r="D1714" s="154"/>
      <c r="E1714" s="139"/>
      <c r="F1714" s="139"/>
      <c r="G1714" s="139"/>
      <c r="H1714" s="135"/>
      <c r="I1714" s="141"/>
      <c r="J1714" s="147" t="str">
        <f>IFERROR(__xludf.DUMMYFUNCTION("IF(ISBLANK(A1714),IFERROR(1/0),IF(COUNT(FILTER(F:F,A:A=A1714))&gt;1,TRUNC(N1714*F1714/SUM(FILTER(N:N,A:A=A1714)),3),F1714))"),"")</f>
        <v/>
      </c>
      <c r="K1714" s="147" t="str">
        <f>IFERROR(__xludf.DUMMYFUNCTION("IF(ISBLANK(A1714),IFERROR(1/0),IF(COUNT(FILTER(G:G,((A:A=A1714)*(B:B=""V""))))&gt;1,TRUNC(N1714*G1714/SUM(FILTER(N:N,((A:A=A1714)*(B:B=""V"")))),3),G1714))"),"")</f>
        <v/>
      </c>
      <c r="L1714" s="148" t="str">
        <f>IFERROR(__xludf.DUMMYFUNCTION("if($C1714="""","""",iferror(if(row()&lt;&gt;2,INDEX(arrayformula(filter($M$2:$M1713,$C$2:$C1713&lt;&gt;"""",row($C$2:$C1713)=max(if($C$2:$C1713=C1714,row($C$2:$C1713),0)))) ,1),0),0))"),"")</f>
        <v/>
      </c>
      <c r="M1714" s="148" t="str">
        <f t="shared" si="1"/>
        <v/>
      </c>
      <c r="N1714" s="147" t="str">
        <f t="shared" si="2"/>
        <v/>
      </c>
      <c r="O1714" s="147" t="str">
        <f t="shared" si="21"/>
        <v/>
      </c>
      <c r="P1714" s="147" t="str">
        <f>IFERROR(__xludf.DUMMYFUNCTION("if(C1714="""","""",iferror(if(row()&lt;&gt;2,INDEX(arrayformula(filter($Q$2:$Q1713,$C$2:$C1713&lt;&gt;"""",row($C$2:$C1713)=max(if($C$2:$C1713=C1714,row($C$2:$C1713),0)))) ,1),0),0))"),"")</f>
        <v/>
      </c>
      <c r="Q1714" s="147" t="str">
        <f t="shared" si="22"/>
        <v/>
      </c>
      <c r="R1714" s="147" t="str">
        <f t="shared" si="23"/>
        <v/>
      </c>
      <c r="S1714" s="147" t="str">
        <f t="shared" si="24"/>
        <v/>
      </c>
      <c r="T1714" s="147" t="str">
        <f t="shared" si="7"/>
        <v/>
      </c>
      <c r="U1714" s="150" t="str">
        <f t="shared" si="8"/>
        <v/>
      </c>
      <c r="V1714" s="151" t="str">
        <f>IFERROR(VLOOKUP(C1714,Ativos!$A$1:$G2000,5,),)</f>
        <v/>
      </c>
    </row>
    <row r="1715" ht="21.0" customHeight="1">
      <c r="A1715" s="152"/>
      <c r="B1715" s="160"/>
      <c r="C1715" s="153"/>
      <c r="D1715" s="154"/>
      <c r="E1715" s="139"/>
      <c r="F1715" s="139"/>
      <c r="G1715" s="139"/>
      <c r="H1715" s="135"/>
      <c r="I1715" s="141"/>
      <c r="J1715" s="147" t="str">
        <f>IFERROR(__xludf.DUMMYFUNCTION("IF(ISBLANK(A1715),IFERROR(1/0),IF(COUNT(FILTER(F:F,A:A=A1715))&gt;1,TRUNC(N1715*F1715/SUM(FILTER(N:N,A:A=A1715)),3),F1715))"),"")</f>
        <v/>
      </c>
      <c r="K1715" s="147" t="str">
        <f>IFERROR(__xludf.DUMMYFUNCTION("IF(ISBLANK(A1715),IFERROR(1/0),IF(COUNT(FILTER(G:G,((A:A=A1715)*(B:B=""V""))))&gt;1,TRUNC(N1715*G1715/SUM(FILTER(N:N,((A:A=A1715)*(B:B=""V"")))),3),G1715))"),"")</f>
        <v/>
      </c>
      <c r="L1715" s="148" t="str">
        <f>IFERROR(__xludf.DUMMYFUNCTION("if($C1715="""","""",iferror(if(row()&lt;&gt;2,INDEX(arrayformula(filter($M$2:$M1714,$C$2:$C1714&lt;&gt;"""",row($C$2:$C1714)=max(if($C$2:$C1714=C1715,row($C$2:$C1714),0)))) ,1),0),0))"),"")</f>
        <v/>
      </c>
      <c r="M1715" s="148" t="str">
        <f t="shared" si="1"/>
        <v/>
      </c>
      <c r="N1715" s="147" t="str">
        <f t="shared" si="2"/>
        <v/>
      </c>
      <c r="O1715" s="147" t="str">
        <f t="shared" si="21"/>
        <v/>
      </c>
      <c r="P1715" s="147" t="str">
        <f>IFERROR(__xludf.DUMMYFUNCTION("if(C1715="""","""",iferror(if(row()&lt;&gt;2,INDEX(arrayformula(filter($Q$2:$Q1714,$C$2:$C1714&lt;&gt;"""",row($C$2:$C1714)=max(if($C$2:$C1714=C1715,row($C$2:$C1714),0)))) ,1),0),0))"),"")</f>
        <v/>
      </c>
      <c r="Q1715" s="147" t="str">
        <f t="shared" si="22"/>
        <v/>
      </c>
      <c r="R1715" s="147" t="str">
        <f t="shared" si="23"/>
        <v/>
      </c>
      <c r="S1715" s="147" t="str">
        <f t="shared" si="24"/>
        <v/>
      </c>
      <c r="T1715" s="147" t="str">
        <f t="shared" si="7"/>
        <v/>
      </c>
      <c r="U1715" s="150" t="str">
        <f t="shared" si="8"/>
        <v/>
      </c>
      <c r="V1715" s="151" t="str">
        <f>IFERROR(VLOOKUP(C1715,Ativos!$A$1:$G2000,5,),)</f>
        <v/>
      </c>
    </row>
    <row r="1716" ht="21.0" customHeight="1">
      <c r="A1716" s="152"/>
      <c r="B1716" s="160"/>
      <c r="C1716" s="153"/>
      <c r="D1716" s="154"/>
      <c r="E1716" s="139"/>
      <c r="F1716" s="139"/>
      <c r="G1716" s="139"/>
      <c r="H1716" s="135"/>
      <c r="I1716" s="141"/>
      <c r="J1716" s="147" t="str">
        <f>IFERROR(__xludf.DUMMYFUNCTION("IF(ISBLANK(A1716),IFERROR(1/0),IF(COUNT(FILTER(F:F,A:A=A1716))&gt;1,TRUNC(N1716*F1716/SUM(FILTER(N:N,A:A=A1716)),3),F1716))"),"")</f>
        <v/>
      </c>
      <c r="K1716" s="147" t="str">
        <f>IFERROR(__xludf.DUMMYFUNCTION("IF(ISBLANK(A1716),IFERROR(1/0),IF(COUNT(FILTER(G:G,((A:A=A1716)*(B:B=""V""))))&gt;1,TRUNC(N1716*G1716/SUM(FILTER(N:N,((A:A=A1716)*(B:B=""V"")))),3),G1716))"),"")</f>
        <v/>
      </c>
      <c r="L1716" s="148" t="str">
        <f>IFERROR(__xludf.DUMMYFUNCTION("if($C1716="""","""",iferror(if(row()&lt;&gt;2,INDEX(arrayformula(filter($M$2:$M1715,$C$2:$C1715&lt;&gt;"""",row($C$2:$C1715)=max(if($C$2:$C1715=C1716,row($C$2:$C1715),0)))) ,1),0),0))"),"")</f>
        <v/>
      </c>
      <c r="M1716" s="148" t="str">
        <f t="shared" si="1"/>
        <v/>
      </c>
      <c r="N1716" s="147" t="str">
        <f t="shared" si="2"/>
        <v/>
      </c>
      <c r="O1716" s="147" t="str">
        <f t="shared" si="21"/>
        <v/>
      </c>
      <c r="P1716" s="147" t="str">
        <f>IFERROR(__xludf.DUMMYFUNCTION("if(C1716="""","""",iferror(if(row()&lt;&gt;2,INDEX(arrayformula(filter($Q$2:$Q1715,$C$2:$C1715&lt;&gt;"""",row($C$2:$C1715)=max(if($C$2:$C1715=C1716,row($C$2:$C1715),0)))) ,1),0),0))"),"")</f>
        <v/>
      </c>
      <c r="Q1716" s="147" t="str">
        <f t="shared" si="22"/>
        <v/>
      </c>
      <c r="R1716" s="147" t="str">
        <f t="shared" si="23"/>
        <v/>
      </c>
      <c r="S1716" s="147" t="str">
        <f t="shared" si="24"/>
        <v/>
      </c>
      <c r="T1716" s="147" t="str">
        <f t="shared" si="7"/>
        <v/>
      </c>
      <c r="U1716" s="150" t="str">
        <f t="shared" si="8"/>
        <v/>
      </c>
      <c r="V1716" s="151" t="str">
        <f>IFERROR(VLOOKUP(C1716,Ativos!$A$1:$G2000,5,),)</f>
        <v/>
      </c>
    </row>
    <row r="1717" ht="21.0" customHeight="1">
      <c r="A1717" s="152"/>
      <c r="B1717" s="160"/>
      <c r="C1717" s="153"/>
      <c r="D1717" s="154"/>
      <c r="E1717" s="139"/>
      <c r="F1717" s="139"/>
      <c r="G1717" s="139"/>
      <c r="H1717" s="135"/>
      <c r="I1717" s="141"/>
      <c r="J1717" s="147" t="str">
        <f>IFERROR(__xludf.DUMMYFUNCTION("IF(ISBLANK(A1717),IFERROR(1/0),IF(COUNT(FILTER(F:F,A:A=A1717))&gt;1,TRUNC(N1717*F1717/SUM(FILTER(N:N,A:A=A1717)),3),F1717))"),"")</f>
        <v/>
      </c>
      <c r="K1717" s="147" t="str">
        <f>IFERROR(__xludf.DUMMYFUNCTION("IF(ISBLANK(A1717),IFERROR(1/0),IF(COUNT(FILTER(G:G,((A:A=A1717)*(B:B=""V""))))&gt;1,TRUNC(N1717*G1717/SUM(FILTER(N:N,((A:A=A1717)*(B:B=""V"")))),3),G1717))"),"")</f>
        <v/>
      </c>
      <c r="L1717" s="148" t="str">
        <f>IFERROR(__xludf.DUMMYFUNCTION("if($C1717="""","""",iferror(if(row()&lt;&gt;2,INDEX(arrayformula(filter($M$2:$M1716,$C$2:$C1716&lt;&gt;"""",row($C$2:$C1716)=max(if($C$2:$C1716=C1717,row($C$2:$C1716),0)))) ,1),0),0))"),"")</f>
        <v/>
      </c>
      <c r="M1717" s="148" t="str">
        <f t="shared" si="1"/>
        <v/>
      </c>
      <c r="N1717" s="147" t="str">
        <f t="shared" si="2"/>
        <v/>
      </c>
      <c r="O1717" s="147" t="str">
        <f t="shared" si="21"/>
        <v/>
      </c>
      <c r="P1717" s="147" t="str">
        <f>IFERROR(__xludf.DUMMYFUNCTION("if(C1717="""","""",iferror(if(row()&lt;&gt;2,INDEX(arrayformula(filter($Q$2:$Q1716,$C$2:$C1716&lt;&gt;"""",row($C$2:$C1716)=max(if($C$2:$C1716=C1717,row($C$2:$C1716),0)))) ,1),0),0))"),"")</f>
        <v/>
      </c>
      <c r="Q1717" s="147" t="str">
        <f t="shared" si="22"/>
        <v/>
      </c>
      <c r="R1717" s="147" t="str">
        <f t="shared" si="23"/>
        <v/>
      </c>
      <c r="S1717" s="147" t="str">
        <f t="shared" si="24"/>
        <v/>
      </c>
      <c r="T1717" s="147" t="str">
        <f t="shared" si="7"/>
        <v/>
      </c>
      <c r="U1717" s="150" t="str">
        <f t="shared" si="8"/>
        <v/>
      </c>
      <c r="V1717" s="151" t="str">
        <f>IFERROR(VLOOKUP(C1717,Ativos!$A$1:$G2000,5,),)</f>
        <v/>
      </c>
    </row>
    <row r="1718" ht="21.0" customHeight="1">
      <c r="A1718" s="152"/>
      <c r="B1718" s="160"/>
      <c r="C1718" s="153"/>
      <c r="D1718" s="154"/>
      <c r="E1718" s="139"/>
      <c r="F1718" s="139"/>
      <c r="G1718" s="139"/>
      <c r="H1718" s="135"/>
      <c r="I1718" s="141"/>
      <c r="J1718" s="147" t="str">
        <f>IFERROR(__xludf.DUMMYFUNCTION("IF(ISBLANK(A1718),IFERROR(1/0),IF(COUNT(FILTER(F:F,A:A=A1718))&gt;1,TRUNC(N1718*F1718/SUM(FILTER(N:N,A:A=A1718)),3),F1718))"),"")</f>
        <v/>
      </c>
      <c r="K1718" s="147" t="str">
        <f>IFERROR(__xludf.DUMMYFUNCTION("IF(ISBLANK(A1718),IFERROR(1/0),IF(COUNT(FILTER(G:G,((A:A=A1718)*(B:B=""V""))))&gt;1,TRUNC(N1718*G1718/SUM(FILTER(N:N,((A:A=A1718)*(B:B=""V"")))),3),G1718))"),"")</f>
        <v/>
      </c>
      <c r="L1718" s="148" t="str">
        <f>IFERROR(__xludf.DUMMYFUNCTION("if($C1718="""","""",iferror(if(row()&lt;&gt;2,INDEX(arrayformula(filter($M$2:$M1717,$C$2:$C1717&lt;&gt;"""",row($C$2:$C1717)=max(if($C$2:$C1717=C1718,row($C$2:$C1717),0)))) ,1),0),0))"),"")</f>
        <v/>
      </c>
      <c r="M1718" s="148" t="str">
        <f t="shared" si="1"/>
        <v/>
      </c>
      <c r="N1718" s="147" t="str">
        <f t="shared" si="2"/>
        <v/>
      </c>
      <c r="O1718" s="147" t="str">
        <f t="shared" si="21"/>
        <v/>
      </c>
      <c r="P1718" s="147" t="str">
        <f>IFERROR(__xludf.DUMMYFUNCTION("if(C1718="""","""",iferror(if(row()&lt;&gt;2,INDEX(arrayformula(filter($Q$2:$Q1717,$C$2:$C1717&lt;&gt;"""",row($C$2:$C1717)=max(if($C$2:$C1717=C1718,row($C$2:$C1717),0)))) ,1),0),0))"),"")</f>
        <v/>
      </c>
      <c r="Q1718" s="147" t="str">
        <f t="shared" si="22"/>
        <v/>
      </c>
      <c r="R1718" s="147" t="str">
        <f t="shared" si="23"/>
        <v/>
      </c>
      <c r="S1718" s="147" t="str">
        <f t="shared" si="24"/>
        <v/>
      </c>
      <c r="T1718" s="147" t="str">
        <f t="shared" si="7"/>
        <v/>
      </c>
      <c r="U1718" s="150" t="str">
        <f t="shared" si="8"/>
        <v/>
      </c>
      <c r="V1718" s="151" t="str">
        <f>IFERROR(VLOOKUP(C1718,Ativos!$A$1:$G2000,5,),)</f>
        <v/>
      </c>
    </row>
    <row r="1719" ht="21.0" customHeight="1">
      <c r="A1719" s="152"/>
      <c r="B1719" s="160"/>
      <c r="C1719" s="153"/>
      <c r="D1719" s="154"/>
      <c r="E1719" s="139"/>
      <c r="F1719" s="139"/>
      <c r="G1719" s="139"/>
      <c r="H1719" s="135"/>
      <c r="I1719" s="141"/>
      <c r="J1719" s="147" t="str">
        <f>IFERROR(__xludf.DUMMYFUNCTION("IF(ISBLANK(A1719),IFERROR(1/0),IF(COUNT(FILTER(F:F,A:A=A1719))&gt;1,TRUNC(N1719*F1719/SUM(FILTER(N:N,A:A=A1719)),3),F1719))"),"")</f>
        <v/>
      </c>
      <c r="K1719" s="147" t="str">
        <f>IFERROR(__xludf.DUMMYFUNCTION("IF(ISBLANK(A1719),IFERROR(1/0),IF(COUNT(FILTER(G:G,((A:A=A1719)*(B:B=""V""))))&gt;1,TRUNC(N1719*G1719/SUM(FILTER(N:N,((A:A=A1719)*(B:B=""V"")))),3),G1719))"),"")</f>
        <v/>
      </c>
      <c r="L1719" s="148" t="str">
        <f>IFERROR(__xludf.DUMMYFUNCTION("if($C1719="""","""",iferror(if(row()&lt;&gt;2,INDEX(arrayformula(filter($M$2:$M1718,$C$2:$C1718&lt;&gt;"""",row($C$2:$C1718)=max(if($C$2:$C1718=C1719,row($C$2:$C1718),0)))) ,1),0),0))"),"")</f>
        <v/>
      </c>
      <c r="M1719" s="148" t="str">
        <f t="shared" si="1"/>
        <v/>
      </c>
      <c r="N1719" s="147" t="str">
        <f t="shared" si="2"/>
        <v/>
      </c>
      <c r="O1719" s="147" t="str">
        <f t="shared" si="21"/>
        <v/>
      </c>
      <c r="P1719" s="147" t="str">
        <f>IFERROR(__xludf.DUMMYFUNCTION("if(C1719="""","""",iferror(if(row()&lt;&gt;2,INDEX(arrayformula(filter($Q$2:$Q1718,$C$2:$C1718&lt;&gt;"""",row($C$2:$C1718)=max(if($C$2:$C1718=C1719,row($C$2:$C1718),0)))) ,1),0),0))"),"")</f>
        <v/>
      </c>
      <c r="Q1719" s="147" t="str">
        <f t="shared" si="22"/>
        <v/>
      </c>
      <c r="R1719" s="147" t="str">
        <f t="shared" si="23"/>
        <v/>
      </c>
      <c r="S1719" s="147" t="str">
        <f t="shared" si="24"/>
        <v/>
      </c>
      <c r="T1719" s="147" t="str">
        <f t="shared" si="7"/>
        <v/>
      </c>
      <c r="U1719" s="150" t="str">
        <f t="shared" si="8"/>
        <v/>
      </c>
      <c r="V1719" s="151" t="str">
        <f>IFERROR(VLOOKUP(C1719,Ativos!$A$1:$G2000,5,),)</f>
        <v/>
      </c>
    </row>
    <row r="1720" ht="21.0" customHeight="1">
      <c r="A1720" s="152"/>
      <c r="B1720" s="160"/>
      <c r="C1720" s="153"/>
      <c r="D1720" s="154"/>
      <c r="E1720" s="139"/>
      <c r="F1720" s="139"/>
      <c r="G1720" s="139"/>
      <c r="H1720" s="135"/>
      <c r="I1720" s="141"/>
      <c r="J1720" s="147" t="str">
        <f>IFERROR(__xludf.DUMMYFUNCTION("IF(ISBLANK(A1720),IFERROR(1/0),IF(COUNT(FILTER(F:F,A:A=A1720))&gt;1,TRUNC(N1720*F1720/SUM(FILTER(N:N,A:A=A1720)),3),F1720))"),"")</f>
        <v/>
      </c>
      <c r="K1720" s="147" t="str">
        <f>IFERROR(__xludf.DUMMYFUNCTION("IF(ISBLANK(A1720),IFERROR(1/0),IF(COUNT(FILTER(G:G,((A:A=A1720)*(B:B=""V""))))&gt;1,TRUNC(N1720*G1720/SUM(FILTER(N:N,((A:A=A1720)*(B:B=""V"")))),3),G1720))"),"")</f>
        <v/>
      </c>
      <c r="L1720" s="148" t="str">
        <f>IFERROR(__xludf.DUMMYFUNCTION("if($C1720="""","""",iferror(if(row()&lt;&gt;2,INDEX(arrayformula(filter($M$2:$M1719,$C$2:$C1719&lt;&gt;"""",row($C$2:$C1719)=max(if($C$2:$C1719=C1720,row($C$2:$C1719),0)))) ,1),0),0))"),"")</f>
        <v/>
      </c>
      <c r="M1720" s="148" t="str">
        <f t="shared" si="1"/>
        <v/>
      </c>
      <c r="N1720" s="147" t="str">
        <f t="shared" si="2"/>
        <v/>
      </c>
      <c r="O1720" s="147" t="str">
        <f t="shared" si="21"/>
        <v/>
      </c>
      <c r="P1720" s="147" t="str">
        <f>IFERROR(__xludf.DUMMYFUNCTION("if(C1720="""","""",iferror(if(row()&lt;&gt;2,INDEX(arrayformula(filter($Q$2:$Q1719,$C$2:$C1719&lt;&gt;"""",row($C$2:$C1719)=max(if($C$2:$C1719=C1720,row($C$2:$C1719),0)))) ,1),0),0))"),"")</f>
        <v/>
      </c>
      <c r="Q1720" s="147" t="str">
        <f t="shared" si="22"/>
        <v/>
      </c>
      <c r="R1720" s="147" t="str">
        <f t="shared" si="23"/>
        <v/>
      </c>
      <c r="S1720" s="147" t="str">
        <f t="shared" si="24"/>
        <v/>
      </c>
      <c r="T1720" s="147" t="str">
        <f t="shared" si="7"/>
        <v/>
      </c>
      <c r="U1720" s="150" t="str">
        <f t="shared" si="8"/>
        <v/>
      </c>
      <c r="V1720" s="151" t="str">
        <f>IFERROR(VLOOKUP(C1720,Ativos!$A$1:$G2000,5,),)</f>
        <v/>
      </c>
    </row>
    <row r="1721" ht="21.0" customHeight="1">
      <c r="A1721" s="152"/>
      <c r="B1721" s="160"/>
      <c r="C1721" s="153"/>
      <c r="D1721" s="154"/>
      <c r="E1721" s="139"/>
      <c r="F1721" s="139"/>
      <c r="G1721" s="139"/>
      <c r="H1721" s="135"/>
      <c r="I1721" s="141"/>
      <c r="J1721" s="147" t="str">
        <f>IFERROR(__xludf.DUMMYFUNCTION("IF(ISBLANK(A1721),IFERROR(1/0),IF(COUNT(FILTER(F:F,A:A=A1721))&gt;1,TRUNC(N1721*F1721/SUM(FILTER(N:N,A:A=A1721)),3),F1721))"),"")</f>
        <v/>
      </c>
      <c r="K1721" s="147" t="str">
        <f>IFERROR(__xludf.DUMMYFUNCTION("IF(ISBLANK(A1721),IFERROR(1/0),IF(COUNT(FILTER(G:G,((A:A=A1721)*(B:B=""V""))))&gt;1,TRUNC(N1721*G1721/SUM(FILTER(N:N,((A:A=A1721)*(B:B=""V"")))),3),G1721))"),"")</f>
        <v/>
      </c>
      <c r="L1721" s="148" t="str">
        <f>IFERROR(__xludf.DUMMYFUNCTION("if($C1721="""","""",iferror(if(row()&lt;&gt;2,INDEX(arrayformula(filter($M$2:$M1720,$C$2:$C1720&lt;&gt;"""",row($C$2:$C1720)=max(if($C$2:$C1720=C1721,row($C$2:$C1720),0)))) ,1),0),0))"),"")</f>
        <v/>
      </c>
      <c r="M1721" s="148" t="str">
        <f t="shared" si="1"/>
        <v/>
      </c>
      <c r="N1721" s="147" t="str">
        <f t="shared" si="2"/>
        <v/>
      </c>
      <c r="O1721" s="147" t="str">
        <f t="shared" si="21"/>
        <v/>
      </c>
      <c r="P1721" s="147" t="str">
        <f>IFERROR(__xludf.DUMMYFUNCTION("if(C1721="""","""",iferror(if(row()&lt;&gt;2,INDEX(arrayformula(filter($Q$2:$Q1720,$C$2:$C1720&lt;&gt;"""",row($C$2:$C1720)=max(if($C$2:$C1720=C1721,row($C$2:$C1720),0)))) ,1),0),0))"),"")</f>
        <v/>
      </c>
      <c r="Q1721" s="147" t="str">
        <f t="shared" si="22"/>
        <v/>
      </c>
      <c r="R1721" s="147" t="str">
        <f t="shared" si="23"/>
        <v/>
      </c>
      <c r="S1721" s="147" t="str">
        <f t="shared" si="24"/>
        <v/>
      </c>
      <c r="T1721" s="147" t="str">
        <f t="shared" si="7"/>
        <v/>
      </c>
      <c r="U1721" s="150" t="str">
        <f t="shared" si="8"/>
        <v/>
      </c>
      <c r="V1721" s="151" t="str">
        <f>IFERROR(VLOOKUP(C1721,Ativos!$A$1:$G2000,5,),)</f>
        <v/>
      </c>
    </row>
    <row r="1722" ht="21.0" customHeight="1">
      <c r="A1722" s="152"/>
      <c r="B1722" s="160"/>
      <c r="C1722" s="153"/>
      <c r="D1722" s="154"/>
      <c r="E1722" s="139"/>
      <c r="F1722" s="139"/>
      <c r="G1722" s="139"/>
      <c r="H1722" s="135"/>
      <c r="I1722" s="141"/>
      <c r="J1722" s="147" t="str">
        <f>IFERROR(__xludf.DUMMYFUNCTION("IF(ISBLANK(A1722),IFERROR(1/0),IF(COUNT(FILTER(F:F,A:A=A1722))&gt;1,TRUNC(N1722*F1722/SUM(FILTER(N:N,A:A=A1722)),3),F1722))"),"")</f>
        <v/>
      </c>
      <c r="K1722" s="147" t="str">
        <f>IFERROR(__xludf.DUMMYFUNCTION("IF(ISBLANK(A1722),IFERROR(1/0),IF(COUNT(FILTER(G:G,((A:A=A1722)*(B:B=""V""))))&gt;1,TRUNC(N1722*G1722/SUM(FILTER(N:N,((A:A=A1722)*(B:B=""V"")))),3),G1722))"),"")</f>
        <v/>
      </c>
      <c r="L1722" s="148" t="str">
        <f>IFERROR(__xludf.DUMMYFUNCTION("if($C1722="""","""",iferror(if(row()&lt;&gt;2,INDEX(arrayformula(filter($M$2:$M1721,$C$2:$C1721&lt;&gt;"""",row($C$2:$C1721)=max(if($C$2:$C1721=C1722,row($C$2:$C1721),0)))) ,1),0),0))"),"")</f>
        <v/>
      </c>
      <c r="M1722" s="148" t="str">
        <f t="shared" si="1"/>
        <v/>
      </c>
      <c r="N1722" s="147" t="str">
        <f t="shared" si="2"/>
        <v/>
      </c>
      <c r="O1722" s="147" t="str">
        <f t="shared" si="21"/>
        <v/>
      </c>
      <c r="P1722" s="147" t="str">
        <f>IFERROR(__xludf.DUMMYFUNCTION("if(C1722="""","""",iferror(if(row()&lt;&gt;2,INDEX(arrayformula(filter($Q$2:$Q1721,$C$2:$C1721&lt;&gt;"""",row($C$2:$C1721)=max(if($C$2:$C1721=C1722,row($C$2:$C1721),0)))) ,1),0),0))"),"")</f>
        <v/>
      </c>
      <c r="Q1722" s="147" t="str">
        <f t="shared" si="22"/>
        <v/>
      </c>
      <c r="R1722" s="147" t="str">
        <f t="shared" si="23"/>
        <v/>
      </c>
      <c r="S1722" s="147" t="str">
        <f t="shared" si="24"/>
        <v/>
      </c>
      <c r="T1722" s="147" t="str">
        <f t="shared" si="7"/>
        <v/>
      </c>
      <c r="U1722" s="150" t="str">
        <f t="shared" si="8"/>
        <v/>
      </c>
      <c r="V1722" s="151" t="str">
        <f>IFERROR(VLOOKUP(C1722,Ativos!$A$1:$G2000,5,),)</f>
        <v/>
      </c>
    </row>
    <row r="1723" ht="21.0" customHeight="1">
      <c r="A1723" s="152"/>
      <c r="B1723" s="160"/>
      <c r="C1723" s="153"/>
      <c r="D1723" s="154"/>
      <c r="E1723" s="139"/>
      <c r="F1723" s="139"/>
      <c r="G1723" s="139"/>
      <c r="H1723" s="135"/>
      <c r="I1723" s="141"/>
      <c r="J1723" s="147" t="str">
        <f>IFERROR(__xludf.DUMMYFUNCTION("IF(ISBLANK(A1723),IFERROR(1/0),IF(COUNT(FILTER(F:F,A:A=A1723))&gt;1,TRUNC(N1723*F1723/SUM(FILTER(N:N,A:A=A1723)),3),F1723))"),"")</f>
        <v/>
      </c>
      <c r="K1723" s="147" t="str">
        <f>IFERROR(__xludf.DUMMYFUNCTION("IF(ISBLANK(A1723),IFERROR(1/0),IF(COUNT(FILTER(G:G,((A:A=A1723)*(B:B=""V""))))&gt;1,TRUNC(N1723*G1723/SUM(FILTER(N:N,((A:A=A1723)*(B:B=""V"")))),3),G1723))"),"")</f>
        <v/>
      </c>
      <c r="L1723" s="148" t="str">
        <f>IFERROR(__xludf.DUMMYFUNCTION("if($C1723="""","""",iferror(if(row()&lt;&gt;2,INDEX(arrayformula(filter($M$2:$M1722,$C$2:$C1722&lt;&gt;"""",row($C$2:$C1722)=max(if($C$2:$C1722=C1723,row($C$2:$C1722),0)))) ,1),0),0))"),"")</f>
        <v/>
      </c>
      <c r="M1723" s="148" t="str">
        <f t="shared" si="1"/>
        <v/>
      </c>
      <c r="N1723" s="147" t="str">
        <f t="shared" si="2"/>
        <v/>
      </c>
      <c r="O1723" s="147" t="str">
        <f t="shared" si="21"/>
        <v/>
      </c>
      <c r="P1723" s="147" t="str">
        <f>IFERROR(__xludf.DUMMYFUNCTION("if(C1723="""","""",iferror(if(row()&lt;&gt;2,INDEX(arrayformula(filter($Q$2:$Q1722,$C$2:$C1722&lt;&gt;"""",row($C$2:$C1722)=max(if($C$2:$C1722=C1723,row($C$2:$C1722),0)))) ,1),0),0))"),"")</f>
        <v/>
      </c>
      <c r="Q1723" s="147" t="str">
        <f t="shared" si="22"/>
        <v/>
      </c>
      <c r="R1723" s="147" t="str">
        <f t="shared" si="23"/>
        <v/>
      </c>
      <c r="S1723" s="147" t="str">
        <f t="shared" si="24"/>
        <v/>
      </c>
      <c r="T1723" s="147" t="str">
        <f t="shared" si="7"/>
        <v/>
      </c>
      <c r="U1723" s="150" t="str">
        <f t="shared" si="8"/>
        <v/>
      </c>
      <c r="V1723" s="151" t="str">
        <f>IFERROR(VLOOKUP(C1723,Ativos!$A$1:$G2000,5,),)</f>
        <v/>
      </c>
    </row>
    <row r="1724" ht="21.0" customHeight="1">
      <c r="A1724" s="152"/>
      <c r="B1724" s="160"/>
      <c r="C1724" s="153"/>
      <c r="D1724" s="154"/>
      <c r="E1724" s="139"/>
      <c r="F1724" s="139"/>
      <c r="G1724" s="139"/>
      <c r="H1724" s="135"/>
      <c r="I1724" s="141"/>
      <c r="J1724" s="147" t="str">
        <f>IFERROR(__xludf.DUMMYFUNCTION("IF(ISBLANK(A1724),IFERROR(1/0),IF(COUNT(FILTER(F:F,A:A=A1724))&gt;1,TRUNC(N1724*F1724/SUM(FILTER(N:N,A:A=A1724)),3),F1724))"),"")</f>
        <v/>
      </c>
      <c r="K1724" s="147" t="str">
        <f>IFERROR(__xludf.DUMMYFUNCTION("IF(ISBLANK(A1724),IFERROR(1/0),IF(COUNT(FILTER(G:G,((A:A=A1724)*(B:B=""V""))))&gt;1,TRUNC(N1724*G1724/SUM(FILTER(N:N,((A:A=A1724)*(B:B=""V"")))),3),G1724))"),"")</f>
        <v/>
      </c>
      <c r="L1724" s="148" t="str">
        <f>IFERROR(__xludf.DUMMYFUNCTION("if($C1724="""","""",iferror(if(row()&lt;&gt;2,INDEX(arrayformula(filter($M$2:$M1723,$C$2:$C1723&lt;&gt;"""",row($C$2:$C1723)=max(if($C$2:$C1723=C1724,row($C$2:$C1723),0)))) ,1),0),0))"),"")</f>
        <v/>
      </c>
      <c r="M1724" s="148" t="str">
        <f t="shared" si="1"/>
        <v/>
      </c>
      <c r="N1724" s="147" t="str">
        <f t="shared" si="2"/>
        <v/>
      </c>
      <c r="O1724" s="147" t="str">
        <f t="shared" si="21"/>
        <v/>
      </c>
      <c r="P1724" s="147" t="str">
        <f>IFERROR(__xludf.DUMMYFUNCTION("if(C1724="""","""",iferror(if(row()&lt;&gt;2,INDEX(arrayformula(filter($Q$2:$Q1723,$C$2:$C1723&lt;&gt;"""",row($C$2:$C1723)=max(if($C$2:$C1723=C1724,row($C$2:$C1723),0)))) ,1),0),0))"),"")</f>
        <v/>
      </c>
      <c r="Q1724" s="147" t="str">
        <f t="shared" si="22"/>
        <v/>
      </c>
      <c r="R1724" s="147" t="str">
        <f t="shared" si="23"/>
        <v/>
      </c>
      <c r="S1724" s="147" t="str">
        <f t="shared" si="24"/>
        <v/>
      </c>
      <c r="T1724" s="147" t="str">
        <f t="shared" si="7"/>
        <v/>
      </c>
      <c r="U1724" s="150" t="str">
        <f t="shared" si="8"/>
        <v/>
      </c>
      <c r="V1724" s="151" t="str">
        <f>IFERROR(VLOOKUP(C1724,Ativos!$A$1:$G2000,5,),)</f>
        <v/>
      </c>
    </row>
    <row r="1725" ht="21.0" customHeight="1">
      <c r="A1725" s="152"/>
      <c r="B1725" s="160"/>
      <c r="C1725" s="153"/>
      <c r="D1725" s="154"/>
      <c r="E1725" s="139"/>
      <c r="F1725" s="139"/>
      <c r="G1725" s="139"/>
      <c r="H1725" s="135"/>
      <c r="I1725" s="141"/>
      <c r="J1725" s="147" t="str">
        <f>IFERROR(__xludf.DUMMYFUNCTION("IF(ISBLANK(A1725),IFERROR(1/0),IF(COUNT(FILTER(F:F,A:A=A1725))&gt;1,TRUNC(N1725*F1725/SUM(FILTER(N:N,A:A=A1725)),3),F1725))"),"")</f>
        <v/>
      </c>
      <c r="K1725" s="147" t="str">
        <f>IFERROR(__xludf.DUMMYFUNCTION("IF(ISBLANK(A1725),IFERROR(1/0),IF(COUNT(FILTER(G:G,((A:A=A1725)*(B:B=""V""))))&gt;1,TRUNC(N1725*G1725/SUM(FILTER(N:N,((A:A=A1725)*(B:B=""V"")))),3),G1725))"),"")</f>
        <v/>
      </c>
      <c r="L1725" s="148" t="str">
        <f>IFERROR(__xludf.DUMMYFUNCTION("if($C1725="""","""",iferror(if(row()&lt;&gt;2,INDEX(arrayformula(filter($M$2:$M1724,$C$2:$C1724&lt;&gt;"""",row($C$2:$C1724)=max(if($C$2:$C1724=C1725,row($C$2:$C1724),0)))) ,1),0),0))"),"")</f>
        <v/>
      </c>
      <c r="M1725" s="148" t="str">
        <f t="shared" si="1"/>
        <v/>
      </c>
      <c r="N1725" s="147" t="str">
        <f t="shared" si="2"/>
        <v/>
      </c>
      <c r="O1725" s="147" t="str">
        <f t="shared" si="21"/>
        <v/>
      </c>
      <c r="P1725" s="147" t="str">
        <f>IFERROR(__xludf.DUMMYFUNCTION("if(C1725="""","""",iferror(if(row()&lt;&gt;2,INDEX(arrayformula(filter($Q$2:$Q1724,$C$2:$C1724&lt;&gt;"""",row($C$2:$C1724)=max(if($C$2:$C1724=C1725,row($C$2:$C1724),0)))) ,1),0),0))"),"")</f>
        <v/>
      </c>
      <c r="Q1725" s="147" t="str">
        <f t="shared" si="22"/>
        <v/>
      </c>
      <c r="R1725" s="147" t="str">
        <f t="shared" si="23"/>
        <v/>
      </c>
      <c r="S1725" s="147" t="str">
        <f t="shared" si="24"/>
        <v/>
      </c>
      <c r="T1725" s="147" t="str">
        <f t="shared" si="7"/>
        <v/>
      </c>
      <c r="U1725" s="150" t="str">
        <f t="shared" si="8"/>
        <v/>
      </c>
      <c r="V1725" s="151" t="str">
        <f>IFERROR(VLOOKUP(C1725,Ativos!$A$1:$G2000,5,),)</f>
        <v/>
      </c>
    </row>
    <row r="1726" ht="21.0" customHeight="1">
      <c r="A1726" s="152"/>
      <c r="B1726" s="160"/>
      <c r="C1726" s="153"/>
      <c r="D1726" s="154"/>
      <c r="E1726" s="139"/>
      <c r="F1726" s="139"/>
      <c r="G1726" s="139"/>
      <c r="H1726" s="135"/>
      <c r="I1726" s="141"/>
      <c r="J1726" s="147" t="str">
        <f>IFERROR(__xludf.DUMMYFUNCTION("IF(ISBLANK(A1726),IFERROR(1/0),IF(COUNT(FILTER(F:F,A:A=A1726))&gt;1,TRUNC(N1726*F1726/SUM(FILTER(N:N,A:A=A1726)),3),F1726))"),"")</f>
        <v/>
      </c>
      <c r="K1726" s="147" t="str">
        <f>IFERROR(__xludf.DUMMYFUNCTION("IF(ISBLANK(A1726),IFERROR(1/0),IF(COUNT(FILTER(G:G,((A:A=A1726)*(B:B=""V""))))&gt;1,TRUNC(N1726*G1726/SUM(FILTER(N:N,((A:A=A1726)*(B:B=""V"")))),3),G1726))"),"")</f>
        <v/>
      </c>
      <c r="L1726" s="148" t="str">
        <f>IFERROR(__xludf.DUMMYFUNCTION("if($C1726="""","""",iferror(if(row()&lt;&gt;2,INDEX(arrayformula(filter($M$2:$M1725,$C$2:$C1725&lt;&gt;"""",row($C$2:$C1725)=max(if($C$2:$C1725=C1726,row($C$2:$C1725),0)))) ,1),0),0))"),"")</f>
        <v/>
      </c>
      <c r="M1726" s="148" t="str">
        <f t="shared" si="1"/>
        <v/>
      </c>
      <c r="N1726" s="147" t="str">
        <f t="shared" si="2"/>
        <v/>
      </c>
      <c r="O1726" s="147" t="str">
        <f t="shared" si="21"/>
        <v/>
      </c>
      <c r="P1726" s="147" t="str">
        <f>IFERROR(__xludf.DUMMYFUNCTION("if(C1726="""","""",iferror(if(row()&lt;&gt;2,INDEX(arrayformula(filter($Q$2:$Q1725,$C$2:$C1725&lt;&gt;"""",row($C$2:$C1725)=max(if($C$2:$C1725=C1726,row($C$2:$C1725),0)))) ,1),0),0))"),"")</f>
        <v/>
      </c>
      <c r="Q1726" s="147" t="str">
        <f t="shared" si="22"/>
        <v/>
      </c>
      <c r="R1726" s="147" t="str">
        <f t="shared" si="23"/>
        <v/>
      </c>
      <c r="S1726" s="147" t="str">
        <f t="shared" si="24"/>
        <v/>
      </c>
      <c r="T1726" s="147" t="str">
        <f t="shared" si="7"/>
        <v/>
      </c>
      <c r="U1726" s="150" t="str">
        <f t="shared" si="8"/>
        <v/>
      </c>
      <c r="V1726" s="151" t="str">
        <f>IFERROR(VLOOKUP(C1726,Ativos!$A$1:$G2000,5,),)</f>
        <v/>
      </c>
    </row>
    <row r="1727" ht="21.0" customHeight="1">
      <c r="A1727" s="152"/>
      <c r="B1727" s="160"/>
      <c r="C1727" s="153"/>
      <c r="D1727" s="154"/>
      <c r="E1727" s="139"/>
      <c r="F1727" s="139"/>
      <c r="G1727" s="139"/>
      <c r="H1727" s="135"/>
      <c r="I1727" s="141"/>
      <c r="J1727" s="147" t="str">
        <f>IFERROR(__xludf.DUMMYFUNCTION("IF(ISBLANK(A1727),IFERROR(1/0),IF(COUNT(FILTER(F:F,A:A=A1727))&gt;1,TRUNC(N1727*F1727/SUM(FILTER(N:N,A:A=A1727)),3),F1727))"),"")</f>
        <v/>
      </c>
      <c r="K1727" s="147" t="str">
        <f>IFERROR(__xludf.DUMMYFUNCTION("IF(ISBLANK(A1727),IFERROR(1/0),IF(COUNT(FILTER(G:G,((A:A=A1727)*(B:B=""V""))))&gt;1,TRUNC(N1727*G1727/SUM(FILTER(N:N,((A:A=A1727)*(B:B=""V"")))),3),G1727))"),"")</f>
        <v/>
      </c>
      <c r="L1727" s="148" t="str">
        <f>IFERROR(__xludf.DUMMYFUNCTION("if($C1727="""","""",iferror(if(row()&lt;&gt;2,INDEX(arrayformula(filter($M$2:$M1726,$C$2:$C1726&lt;&gt;"""",row($C$2:$C1726)=max(if($C$2:$C1726=C1727,row($C$2:$C1726),0)))) ,1),0),0))"),"")</f>
        <v/>
      </c>
      <c r="M1727" s="148" t="str">
        <f t="shared" si="1"/>
        <v/>
      </c>
      <c r="N1727" s="147" t="str">
        <f t="shared" si="2"/>
        <v/>
      </c>
      <c r="O1727" s="147" t="str">
        <f t="shared" si="21"/>
        <v/>
      </c>
      <c r="P1727" s="147" t="str">
        <f>IFERROR(__xludf.DUMMYFUNCTION("if(C1727="""","""",iferror(if(row()&lt;&gt;2,INDEX(arrayformula(filter($Q$2:$Q1726,$C$2:$C1726&lt;&gt;"""",row($C$2:$C1726)=max(if($C$2:$C1726=C1727,row($C$2:$C1726),0)))) ,1),0),0))"),"")</f>
        <v/>
      </c>
      <c r="Q1727" s="147" t="str">
        <f t="shared" si="22"/>
        <v/>
      </c>
      <c r="R1727" s="147" t="str">
        <f t="shared" si="23"/>
        <v/>
      </c>
      <c r="S1727" s="147" t="str">
        <f t="shared" si="24"/>
        <v/>
      </c>
      <c r="T1727" s="147" t="str">
        <f t="shared" si="7"/>
        <v/>
      </c>
      <c r="U1727" s="150" t="str">
        <f t="shared" si="8"/>
        <v/>
      </c>
      <c r="V1727" s="151" t="str">
        <f>IFERROR(VLOOKUP(C1727,Ativos!$A$1:$G2000,5,),)</f>
        <v/>
      </c>
    </row>
    <row r="1728" ht="21.0" customHeight="1">
      <c r="A1728" s="152"/>
      <c r="B1728" s="160"/>
      <c r="C1728" s="153"/>
      <c r="D1728" s="154"/>
      <c r="E1728" s="139"/>
      <c r="F1728" s="139"/>
      <c r="G1728" s="139"/>
      <c r="H1728" s="135"/>
      <c r="I1728" s="141"/>
      <c r="J1728" s="147" t="str">
        <f>IFERROR(__xludf.DUMMYFUNCTION("IF(ISBLANK(A1728),IFERROR(1/0),IF(COUNT(FILTER(F:F,A:A=A1728))&gt;1,TRUNC(N1728*F1728/SUM(FILTER(N:N,A:A=A1728)),3),F1728))"),"")</f>
        <v/>
      </c>
      <c r="K1728" s="147" t="str">
        <f>IFERROR(__xludf.DUMMYFUNCTION("IF(ISBLANK(A1728),IFERROR(1/0),IF(COUNT(FILTER(G:G,((A:A=A1728)*(B:B=""V""))))&gt;1,TRUNC(N1728*G1728/SUM(FILTER(N:N,((A:A=A1728)*(B:B=""V"")))),3),G1728))"),"")</f>
        <v/>
      </c>
      <c r="L1728" s="148" t="str">
        <f>IFERROR(__xludf.DUMMYFUNCTION("if($C1728="""","""",iferror(if(row()&lt;&gt;2,INDEX(arrayformula(filter($M$2:$M1727,$C$2:$C1727&lt;&gt;"""",row($C$2:$C1727)=max(if($C$2:$C1727=C1728,row($C$2:$C1727),0)))) ,1),0),0))"),"")</f>
        <v/>
      </c>
      <c r="M1728" s="148" t="str">
        <f t="shared" si="1"/>
        <v/>
      </c>
      <c r="N1728" s="147" t="str">
        <f t="shared" si="2"/>
        <v/>
      </c>
      <c r="O1728" s="147" t="str">
        <f t="shared" si="21"/>
        <v/>
      </c>
      <c r="P1728" s="147" t="str">
        <f>IFERROR(__xludf.DUMMYFUNCTION("if(C1728="""","""",iferror(if(row()&lt;&gt;2,INDEX(arrayformula(filter($Q$2:$Q1727,$C$2:$C1727&lt;&gt;"""",row($C$2:$C1727)=max(if($C$2:$C1727=C1728,row($C$2:$C1727),0)))) ,1),0),0))"),"")</f>
        <v/>
      </c>
      <c r="Q1728" s="147" t="str">
        <f t="shared" si="22"/>
        <v/>
      </c>
      <c r="R1728" s="147" t="str">
        <f t="shared" si="23"/>
        <v/>
      </c>
      <c r="S1728" s="147" t="str">
        <f t="shared" si="24"/>
        <v/>
      </c>
      <c r="T1728" s="147" t="str">
        <f t="shared" si="7"/>
        <v/>
      </c>
      <c r="U1728" s="150" t="str">
        <f t="shared" si="8"/>
        <v/>
      </c>
      <c r="V1728" s="151" t="str">
        <f>IFERROR(VLOOKUP(C1728,Ativos!$A$1:$G2000,5,),)</f>
        <v/>
      </c>
    </row>
    <row r="1729" ht="21.0" customHeight="1">
      <c r="A1729" s="152"/>
      <c r="B1729" s="160"/>
      <c r="C1729" s="153"/>
      <c r="D1729" s="154"/>
      <c r="E1729" s="139"/>
      <c r="F1729" s="139"/>
      <c r="G1729" s="139"/>
      <c r="H1729" s="135"/>
      <c r="I1729" s="141"/>
      <c r="J1729" s="147" t="str">
        <f>IFERROR(__xludf.DUMMYFUNCTION("IF(ISBLANK(A1729),IFERROR(1/0),IF(COUNT(FILTER(F:F,A:A=A1729))&gt;1,TRUNC(N1729*F1729/SUM(FILTER(N:N,A:A=A1729)),3),F1729))"),"")</f>
        <v/>
      </c>
      <c r="K1729" s="147" t="str">
        <f>IFERROR(__xludf.DUMMYFUNCTION("IF(ISBLANK(A1729),IFERROR(1/0),IF(COUNT(FILTER(G:G,((A:A=A1729)*(B:B=""V""))))&gt;1,TRUNC(N1729*G1729/SUM(FILTER(N:N,((A:A=A1729)*(B:B=""V"")))),3),G1729))"),"")</f>
        <v/>
      </c>
      <c r="L1729" s="148" t="str">
        <f>IFERROR(__xludf.DUMMYFUNCTION("if($C1729="""","""",iferror(if(row()&lt;&gt;2,INDEX(arrayformula(filter($M$2:$M1728,$C$2:$C1728&lt;&gt;"""",row($C$2:$C1728)=max(if($C$2:$C1728=C1729,row($C$2:$C1728),0)))) ,1),0),0))"),"")</f>
        <v/>
      </c>
      <c r="M1729" s="148" t="str">
        <f t="shared" si="1"/>
        <v/>
      </c>
      <c r="N1729" s="147" t="str">
        <f t="shared" si="2"/>
        <v/>
      </c>
      <c r="O1729" s="147" t="str">
        <f t="shared" si="21"/>
        <v/>
      </c>
      <c r="P1729" s="147" t="str">
        <f>IFERROR(__xludf.DUMMYFUNCTION("if(C1729="""","""",iferror(if(row()&lt;&gt;2,INDEX(arrayformula(filter($Q$2:$Q1728,$C$2:$C1728&lt;&gt;"""",row($C$2:$C1728)=max(if($C$2:$C1728=C1729,row($C$2:$C1728),0)))) ,1),0),0))"),"")</f>
        <v/>
      </c>
      <c r="Q1729" s="147" t="str">
        <f t="shared" si="22"/>
        <v/>
      </c>
      <c r="R1729" s="147" t="str">
        <f t="shared" si="23"/>
        <v/>
      </c>
      <c r="S1729" s="147" t="str">
        <f t="shared" si="24"/>
        <v/>
      </c>
      <c r="T1729" s="147" t="str">
        <f t="shared" si="7"/>
        <v/>
      </c>
      <c r="U1729" s="150" t="str">
        <f t="shared" si="8"/>
        <v/>
      </c>
      <c r="V1729" s="151" t="str">
        <f>IFERROR(VLOOKUP(C1729,Ativos!$A$1:$G2000,5,),)</f>
        <v/>
      </c>
    </row>
    <row r="1730" ht="21.0" customHeight="1">
      <c r="A1730" s="152"/>
      <c r="B1730" s="160"/>
      <c r="C1730" s="153"/>
      <c r="D1730" s="154"/>
      <c r="E1730" s="139"/>
      <c r="F1730" s="139"/>
      <c r="G1730" s="139"/>
      <c r="H1730" s="135"/>
      <c r="I1730" s="141"/>
      <c r="J1730" s="147" t="str">
        <f>IFERROR(__xludf.DUMMYFUNCTION("IF(ISBLANK(A1730),IFERROR(1/0),IF(COUNT(FILTER(F:F,A:A=A1730))&gt;1,TRUNC(N1730*F1730/SUM(FILTER(N:N,A:A=A1730)),3),F1730))"),"")</f>
        <v/>
      </c>
      <c r="K1730" s="147" t="str">
        <f>IFERROR(__xludf.DUMMYFUNCTION("IF(ISBLANK(A1730),IFERROR(1/0),IF(COUNT(FILTER(G:G,((A:A=A1730)*(B:B=""V""))))&gt;1,TRUNC(N1730*G1730/SUM(FILTER(N:N,((A:A=A1730)*(B:B=""V"")))),3),G1730))"),"")</f>
        <v/>
      </c>
      <c r="L1730" s="148" t="str">
        <f>IFERROR(__xludf.DUMMYFUNCTION("if($C1730="""","""",iferror(if(row()&lt;&gt;2,INDEX(arrayformula(filter($M$2:$M1729,$C$2:$C1729&lt;&gt;"""",row($C$2:$C1729)=max(if($C$2:$C1729=C1730,row($C$2:$C1729),0)))) ,1),0),0))"),"")</f>
        <v/>
      </c>
      <c r="M1730" s="148" t="str">
        <f t="shared" si="1"/>
        <v/>
      </c>
      <c r="N1730" s="147" t="str">
        <f t="shared" si="2"/>
        <v/>
      </c>
      <c r="O1730" s="147" t="str">
        <f t="shared" si="21"/>
        <v/>
      </c>
      <c r="P1730" s="147" t="str">
        <f>IFERROR(__xludf.DUMMYFUNCTION("if(C1730="""","""",iferror(if(row()&lt;&gt;2,INDEX(arrayformula(filter($Q$2:$Q1729,$C$2:$C1729&lt;&gt;"""",row($C$2:$C1729)=max(if($C$2:$C1729=C1730,row($C$2:$C1729),0)))) ,1),0),0))"),"")</f>
        <v/>
      </c>
      <c r="Q1730" s="147" t="str">
        <f t="shared" si="22"/>
        <v/>
      </c>
      <c r="R1730" s="147" t="str">
        <f t="shared" si="23"/>
        <v/>
      </c>
      <c r="S1730" s="147" t="str">
        <f t="shared" si="24"/>
        <v/>
      </c>
      <c r="T1730" s="147" t="str">
        <f t="shared" si="7"/>
        <v/>
      </c>
      <c r="U1730" s="150" t="str">
        <f t="shared" si="8"/>
        <v/>
      </c>
      <c r="V1730" s="151" t="str">
        <f>IFERROR(VLOOKUP(C1730,Ativos!$A$1:$G2000,5,),)</f>
        <v/>
      </c>
    </row>
    <row r="1731" ht="21.0" customHeight="1">
      <c r="A1731" s="152"/>
      <c r="B1731" s="160"/>
      <c r="C1731" s="153"/>
      <c r="D1731" s="154"/>
      <c r="E1731" s="139"/>
      <c r="F1731" s="139"/>
      <c r="G1731" s="139"/>
      <c r="H1731" s="135"/>
      <c r="I1731" s="141"/>
      <c r="J1731" s="147" t="str">
        <f>IFERROR(__xludf.DUMMYFUNCTION("IF(ISBLANK(A1731),IFERROR(1/0),IF(COUNT(FILTER(F:F,A:A=A1731))&gt;1,TRUNC(N1731*F1731/SUM(FILTER(N:N,A:A=A1731)),3),F1731))"),"")</f>
        <v/>
      </c>
      <c r="K1731" s="147" t="str">
        <f>IFERROR(__xludf.DUMMYFUNCTION("IF(ISBLANK(A1731),IFERROR(1/0),IF(COUNT(FILTER(G:G,((A:A=A1731)*(B:B=""V""))))&gt;1,TRUNC(N1731*G1731/SUM(FILTER(N:N,((A:A=A1731)*(B:B=""V"")))),3),G1731))"),"")</f>
        <v/>
      </c>
      <c r="L1731" s="148" t="str">
        <f>IFERROR(__xludf.DUMMYFUNCTION("if($C1731="""","""",iferror(if(row()&lt;&gt;2,INDEX(arrayformula(filter($M$2:$M1730,$C$2:$C1730&lt;&gt;"""",row($C$2:$C1730)=max(if($C$2:$C1730=C1731,row($C$2:$C1730),0)))) ,1),0),0))"),"")</f>
        <v/>
      </c>
      <c r="M1731" s="148" t="str">
        <f t="shared" si="1"/>
        <v/>
      </c>
      <c r="N1731" s="147" t="str">
        <f t="shared" si="2"/>
        <v/>
      </c>
      <c r="O1731" s="147" t="str">
        <f t="shared" si="21"/>
        <v/>
      </c>
      <c r="P1731" s="147" t="str">
        <f>IFERROR(__xludf.DUMMYFUNCTION("if(C1731="""","""",iferror(if(row()&lt;&gt;2,INDEX(arrayformula(filter($Q$2:$Q1730,$C$2:$C1730&lt;&gt;"""",row($C$2:$C1730)=max(if($C$2:$C1730=C1731,row($C$2:$C1730),0)))) ,1),0),0))"),"")</f>
        <v/>
      </c>
      <c r="Q1731" s="147" t="str">
        <f t="shared" si="22"/>
        <v/>
      </c>
      <c r="R1731" s="147" t="str">
        <f t="shared" si="23"/>
        <v/>
      </c>
      <c r="S1731" s="147" t="str">
        <f t="shared" si="24"/>
        <v/>
      </c>
      <c r="T1731" s="147" t="str">
        <f t="shared" si="7"/>
        <v/>
      </c>
      <c r="U1731" s="150" t="str">
        <f t="shared" si="8"/>
        <v/>
      </c>
      <c r="V1731" s="151" t="str">
        <f>IFERROR(VLOOKUP(C1731,Ativos!$A$1:$G2000,5,),)</f>
        <v/>
      </c>
    </row>
    <row r="1732" ht="21.0" customHeight="1">
      <c r="A1732" s="152"/>
      <c r="B1732" s="160"/>
      <c r="C1732" s="153"/>
      <c r="D1732" s="154"/>
      <c r="E1732" s="139"/>
      <c r="F1732" s="139"/>
      <c r="G1732" s="139"/>
      <c r="H1732" s="135"/>
      <c r="I1732" s="141"/>
      <c r="J1732" s="147" t="str">
        <f>IFERROR(__xludf.DUMMYFUNCTION("IF(ISBLANK(A1732),IFERROR(1/0),IF(COUNT(FILTER(F:F,A:A=A1732))&gt;1,TRUNC(N1732*F1732/SUM(FILTER(N:N,A:A=A1732)),3),F1732))"),"")</f>
        <v/>
      </c>
      <c r="K1732" s="147" t="str">
        <f>IFERROR(__xludf.DUMMYFUNCTION("IF(ISBLANK(A1732),IFERROR(1/0),IF(COUNT(FILTER(G:G,((A:A=A1732)*(B:B=""V""))))&gt;1,TRUNC(N1732*G1732/SUM(FILTER(N:N,((A:A=A1732)*(B:B=""V"")))),3),G1732))"),"")</f>
        <v/>
      </c>
      <c r="L1732" s="148" t="str">
        <f>IFERROR(__xludf.DUMMYFUNCTION("if($C1732="""","""",iferror(if(row()&lt;&gt;2,INDEX(arrayformula(filter($M$2:$M1731,$C$2:$C1731&lt;&gt;"""",row($C$2:$C1731)=max(if($C$2:$C1731=C1732,row($C$2:$C1731),0)))) ,1),0),0))"),"")</f>
        <v/>
      </c>
      <c r="M1732" s="148" t="str">
        <f t="shared" si="1"/>
        <v/>
      </c>
      <c r="N1732" s="147" t="str">
        <f t="shared" si="2"/>
        <v/>
      </c>
      <c r="O1732" s="147" t="str">
        <f t="shared" si="21"/>
        <v/>
      </c>
      <c r="P1732" s="147" t="str">
        <f>IFERROR(__xludf.DUMMYFUNCTION("if(C1732="""","""",iferror(if(row()&lt;&gt;2,INDEX(arrayformula(filter($Q$2:$Q1731,$C$2:$C1731&lt;&gt;"""",row($C$2:$C1731)=max(if($C$2:$C1731=C1732,row($C$2:$C1731),0)))) ,1),0),0))"),"")</f>
        <v/>
      </c>
      <c r="Q1732" s="147" t="str">
        <f t="shared" si="22"/>
        <v/>
      </c>
      <c r="R1732" s="147" t="str">
        <f t="shared" si="23"/>
        <v/>
      </c>
      <c r="S1732" s="147" t="str">
        <f t="shared" si="24"/>
        <v/>
      </c>
      <c r="T1732" s="147" t="str">
        <f t="shared" si="7"/>
        <v/>
      </c>
      <c r="U1732" s="150" t="str">
        <f t="shared" si="8"/>
        <v/>
      </c>
      <c r="V1732" s="151" t="str">
        <f>IFERROR(VLOOKUP(C1732,Ativos!$A$1:$G2000,5,),)</f>
        <v/>
      </c>
    </row>
    <row r="1733" ht="21.0" customHeight="1">
      <c r="A1733" s="152"/>
      <c r="B1733" s="160"/>
      <c r="C1733" s="153"/>
      <c r="D1733" s="154"/>
      <c r="E1733" s="139"/>
      <c r="F1733" s="139"/>
      <c r="G1733" s="139"/>
      <c r="H1733" s="135"/>
      <c r="I1733" s="141"/>
      <c r="J1733" s="147" t="str">
        <f>IFERROR(__xludf.DUMMYFUNCTION("IF(ISBLANK(A1733),IFERROR(1/0),IF(COUNT(FILTER(F:F,A:A=A1733))&gt;1,TRUNC(N1733*F1733/SUM(FILTER(N:N,A:A=A1733)),3),F1733))"),"")</f>
        <v/>
      </c>
      <c r="K1733" s="147" t="str">
        <f>IFERROR(__xludf.DUMMYFUNCTION("IF(ISBLANK(A1733),IFERROR(1/0),IF(COUNT(FILTER(G:G,((A:A=A1733)*(B:B=""V""))))&gt;1,TRUNC(N1733*G1733/SUM(FILTER(N:N,((A:A=A1733)*(B:B=""V"")))),3),G1733))"),"")</f>
        <v/>
      </c>
      <c r="L1733" s="148" t="str">
        <f>IFERROR(__xludf.DUMMYFUNCTION("if($C1733="""","""",iferror(if(row()&lt;&gt;2,INDEX(arrayformula(filter($M$2:$M1732,$C$2:$C1732&lt;&gt;"""",row($C$2:$C1732)=max(if($C$2:$C1732=C1733,row($C$2:$C1732),0)))) ,1),0),0))"),"")</f>
        <v/>
      </c>
      <c r="M1733" s="148" t="str">
        <f t="shared" si="1"/>
        <v/>
      </c>
      <c r="N1733" s="147" t="str">
        <f t="shared" si="2"/>
        <v/>
      </c>
      <c r="O1733" s="147" t="str">
        <f t="shared" si="21"/>
        <v/>
      </c>
      <c r="P1733" s="147" t="str">
        <f>IFERROR(__xludf.DUMMYFUNCTION("if(C1733="""","""",iferror(if(row()&lt;&gt;2,INDEX(arrayformula(filter($Q$2:$Q1732,$C$2:$C1732&lt;&gt;"""",row($C$2:$C1732)=max(if($C$2:$C1732=C1733,row($C$2:$C1732),0)))) ,1),0),0))"),"")</f>
        <v/>
      </c>
      <c r="Q1733" s="147" t="str">
        <f t="shared" si="22"/>
        <v/>
      </c>
      <c r="R1733" s="147" t="str">
        <f t="shared" si="23"/>
        <v/>
      </c>
      <c r="S1733" s="147" t="str">
        <f t="shared" si="24"/>
        <v/>
      </c>
      <c r="T1733" s="147" t="str">
        <f t="shared" si="7"/>
        <v/>
      </c>
      <c r="U1733" s="150" t="str">
        <f t="shared" si="8"/>
        <v/>
      </c>
      <c r="V1733" s="151" t="str">
        <f>IFERROR(VLOOKUP(C1733,Ativos!$A$1:$G2000,5,),)</f>
        <v/>
      </c>
    </row>
    <row r="1734" ht="21.0" customHeight="1">
      <c r="A1734" s="152"/>
      <c r="B1734" s="160"/>
      <c r="C1734" s="153"/>
      <c r="D1734" s="154"/>
      <c r="E1734" s="139"/>
      <c r="F1734" s="139"/>
      <c r="G1734" s="139"/>
      <c r="H1734" s="135"/>
      <c r="I1734" s="141"/>
      <c r="J1734" s="147" t="str">
        <f>IFERROR(__xludf.DUMMYFUNCTION("IF(ISBLANK(A1734),IFERROR(1/0),IF(COUNT(FILTER(F:F,A:A=A1734))&gt;1,TRUNC(N1734*F1734/SUM(FILTER(N:N,A:A=A1734)),3),F1734))"),"")</f>
        <v/>
      </c>
      <c r="K1734" s="147" t="str">
        <f>IFERROR(__xludf.DUMMYFUNCTION("IF(ISBLANK(A1734),IFERROR(1/0),IF(COUNT(FILTER(G:G,((A:A=A1734)*(B:B=""V""))))&gt;1,TRUNC(N1734*G1734/SUM(FILTER(N:N,((A:A=A1734)*(B:B=""V"")))),3),G1734))"),"")</f>
        <v/>
      </c>
      <c r="L1734" s="148" t="str">
        <f>IFERROR(__xludf.DUMMYFUNCTION("if($C1734="""","""",iferror(if(row()&lt;&gt;2,INDEX(arrayformula(filter($M$2:$M1733,$C$2:$C1733&lt;&gt;"""",row($C$2:$C1733)=max(if($C$2:$C1733=C1734,row($C$2:$C1733),0)))) ,1),0),0))"),"")</f>
        <v/>
      </c>
      <c r="M1734" s="148" t="str">
        <f t="shared" si="1"/>
        <v/>
      </c>
      <c r="N1734" s="147" t="str">
        <f t="shared" si="2"/>
        <v/>
      </c>
      <c r="O1734" s="147" t="str">
        <f t="shared" si="21"/>
        <v/>
      </c>
      <c r="P1734" s="147" t="str">
        <f>IFERROR(__xludf.DUMMYFUNCTION("if(C1734="""","""",iferror(if(row()&lt;&gt;2,INDEX(arrayformula(filter($Q$2:$Q1733,$C$2:$C1733&lt;&gt;"""",row($C$2:$C1733)=max(if($C$2:$C1733=C1734,row($C$2:$C1733),0)))) ,1),0),0))"),"")</f>
        <v/>
      </c>
      <c r="Q1734" s="147" t="str">
        <f t="shared" si="22"/>
        <v/>
      </c>
      <c r="R1734" s="147" t="str">
        <f t="shared" si="23"/>
        <v/>
      </c>
      <c r="S1734" s="147" t="str">
        <f t="shared" si="24"/>
        <v/>
      </c>
      <c r="T1734" s="147" t="str">
        <f t="shared" si="7"/>
        <v/>
      </c>
      <c r="U1734" s="150" t="str">
        <f t="shared" si="8"/>
        <v/>
      </c>
      <c r="V1734" s="151" t="str">
        <f>IFERROR(VLOOKUP(C1734,Ativos!$A$1:$G2000,5,),)</f>
        <v/>
      </c>
    </row>
    <row r="1735" ht="21.0" customHeight="1">
      <c r="A1735" s="152"/>
      <c r="B1735" s="160"/>
      <c r="C1735" s="153"/>
      <c r="D1735" s="154"/>
      <c r="E1735" s="139"/>
      <c r="F1735" s="139"/>
      <c r="G1735" s="139"/>
      <c r="H1735" s="135"/>
      <c r="I1735" s="141"/>
      <c r="J1735" s="147" t="str">
        <f>IFERROR(__xludf.DUMMYFUNCTION("IF(ISBLANK(A1735),IFERROR(1/0),IF(COUNT(FILTER(F:F,A:A=A1735))&gt;1,TRUNC(N1735*F1735/SUM(FILTER(N:N,A:A=A1735)),3),F1735))"),"")</f>
        <v/>
      </c>
      <c r="K1735" s="147" t="str">
        <f>IFERROR(__xludf.DUMMYFUNCTION("IF(ISBLANK(A1735),IFERROR(1/0),IF(COUNT(FILTER(G:G,((A:A=A1735)*(B:B=""V""))))&gt;1,TRUNC(N1735*G1735/SUM(FILTER(N:N,((A:A=A1735)*(B:B=""V"")))),3),G1735))"),"")</f>
        <v/>
      </c>
      <c r="L1735" s="148" t="str">
        <f>IFERROR(__xludf.DUMMYFUNCTION("if($C1735="""","""",iferror(if(row()&lt;&gt;2,INDEX(arrayformula(filter($M$2:$M1734,$C$2:$C1734&lt;&gt;"""",row($C$2:$C1734)=max(if($C$2:$C1734=C1735,row($C$2:$C1734),0)))) ,1),0),0))"),"")</f>
        <v/>
      </c>
      <c r="M1735" s="148" t="str">
        <f t="shared" si="1"/>
        <v/>
      </c>
      <c r="N1735" s="147" t="str">
        <f t="shared" si="2"/>
        <v/>
      </c>
      <c r="O1735" s="147" t="str">
        <f t="shared" si="21"/>
        <v/>
      </c>
      <c r="P1735" s="147" t="str">
        <f>IFERROR(__xludf.DUMMYFUNCTION("if(C1735="""","""",iferror(if(row()&lt;&gt;2,INDEX(arrayformula(filter($Q$2:$Q1734,$C$2:$C1734&lt;&gt;"""",row($C$2:$C1734)=max(if($C$2:$C1734=C1735,row($C$2:$C1734),0)))) ,1),0),0))"),"")</f>
        <v/>
      </c>
      <c r="Q1735" s="147" t="str">
        <f t="shared" si="22"/>
        <v/>
      </c>
      <c r="R1735" s="147" t="str">
        <f t="shared" si="23"/>
        <v/>
      </c>
      <c r="S1735" s="147" t="str">
        <f t="shared" si="24"/>
        <v/>
      </c>
      <c r="T1735" s="147" t="str">
        <f t="shared" si="7"/>
        <v/>
      </c>
      <c r="U1735" s="150" t="str">
        <f t="shared" si="8"/>
        <v/>
      </c>
      <c r="V1735" s="151" t="str">
        <f>IFERROR(VLOOKUP(C1735,Ativos!$A$1:$G2000,5,),)</f>
        <v/>
      </c>
    </row>
    <row r="1736" ht="21.0" customHeight="1">
      <c r="A1736" s="152"/>
      <c r="B1736" s="160"/>
      <c r="C1736" s="153"/>
      <c r="D1736" s="154"/>
      <c r="E1736" s="139"/>
      <c r="F1736" s="139"/>
      <c r="G1736" s="139"/>
      <c r="H1736" s="135"/>
      <c r="I1736" s="141"/>
      <c r="J1736" s="147" t="str">
        <f>IFERROR(__xludf.DUMMYFUNCTION("IF(ISBLANK(A1736),IFERROR(1/0),IF(COUNT(FILTER(F:F,A:A=A1736))&gt;1,TRUNC(N1736*F1736/SUM(FILTER(N:N,A:A=A1736)),3),F1736))"),"")</f>
        <v/>
      </c>
      <c r="K1736" s="147" t="str">
        <f>IFERROR(__xludf.DUMMYFUNCTION("IF(ISBLANK(A1736),IFERROR(1/0),IF(COUNT(FILTER(G:G,((A:A=A1736)*(B:B=""V""))))&gt;1,TRUNC(N1736*G1736/SUM(FILTER(N:N,((A:A=A1736)*(B:B=""V"")))),3),G1736))"),"")</f>
        <v/>
      </c>
      <c r="L1736" s="148" t="str">
        <f>IFERROR(__xludf.DUMMYFUNCTION("if($C1736="""","""",iferror(if(row()&lt;&gt;2,INDEX(arrayformula(filter($M$2:$M1735,$C$2:$C1735&lt;&gt;"""",row($C$2:$C1735)=max(if($C$2:$C1735=C1736,row($C$2:$C1735),0)))) ,1),0),0))"),"")</f>
        <v/>
      </c>
      <c r="M1736" s="148" t="str">
        <f t="shared" si="1"/>
        <v/>
      </c>
      <c r="N1736" s="147" t="str">
        <f t="shared" si="2"/>
        <v/>
      </c>
      <c r="O1736" s="147" t="str">
        <f t="shared" si="21"/>
        <v/>
      </c>
      <c r="P1736" s="147" t="str">
        <f>IFERROR(__xludf.DUMMYFUNCTION("if(C1736="""","""",iferror(if(row()&lt;&gt;2,INDEX(arrayformula(filter($Q$2:$Q1735,$C$2:$C1735&lt;&gt;"""",row($C$2:$C1735)=max(if($C$2:$C1735=C1736,row($C$2:$C1735),0)))) ,1),0),0))"),"")</f>
        <v/>
      </c>
      <c r="Q1736" s="147" t="str">
        <f t="shared" si="22"/>
        <v/>
      </c>
      <c r="R1736" s="147" t="str">
        <f t="shared" si="23"/>
        <v/>
      </c>
      <c r="S1736" s="147" t="str">
        <f t="shared" si="24"/>
        <v/>
      </c>
      <c r="T1736" s="147" t="str">
        <f t="shared" si="7"/>
        <v/>
      </c>
      <c r="U1736" s="150" t="str">
        <f t="shared" si="8"/>
        <v/>
      </c>
      <c r="V1736" s="151" t="str">
        <f>IFERROR(VLOOKUP(C1736,Ativos!$A$1:$G2000,5,),)</f>
        <v/>
      </c>
    </row>
    <row r="1737" ht="21.0" customHeight="1">
      <c r="A1737" s="152"/>
      <c r="B1737" s="160"/>
      <c r="C1737" s="153"/>
      <c r="D1737" s="154"/>
      <c r="E1737" s="139"/>
      <c r="F1737" s="139"/>
      <c r="G1737" s="139"/>
      <c r="H1737" s="135"/>
      <c r="I1737" s="141"/>
      <c r="J1737" s="147" t="str">
        <f>IFERROR(__xludf.DUMMYFUNCTION("IF(ISBLANK(A1737),IFERROR(1/0),IF(COUNT(FILTER(F:F,A:A=A1737))&gt;1,TRUNC(N1737*F1737/SUM(FILTER(N:N,A:A=A1737)),3),F1737))"),"")</f>
        <v/>
      </c>
      <c r="K1737" s="147" t="str">
        <f>IFERROR(__xludf.DUMMYFUNCTION("IF(ISBLANK(A1737),IFERROR(1/0),IF(COUNT(FILTER(G:G,((A:A=A1737)*(B:B=""V""))))&gt;1,TRUNC(N1737*G1737/SUM(FILTER(N:N,((A:A=A1737)*(B:B=""V"")))),3),G1737))"),"")</f>
        <v/>
      </c>
      <c r="L1737" s="148" t="str">
        <f>IFERROR(__xludf.DUMMYFUNCTION("if($C1737="""","""",iferror(if(row()&lt;&gt;2,INDEX(arrayformula(filter($M$2:$M1736,$C$2:$C1736&lt;&gt;"""",row($C$2:$C1736)=max(if($C$2:$C1736=C1737,row($C$2:$C1736),0)))) ,1),0),0))"),"")</f>
        <v/>
      </c>
      <c r="M1737" s="148" t="str">
        <f t="shared" si="1"/>
        <v/>
      </c>
      <c r="N1737" s="147" t="str">
        <f t="shared" si="2"/>
        <v/>
      </c>
      <c r="O1737" s="147" t="str">
        <f t="shared" si="21"/>
        <v/>
      </c>
      <c r="P1737" s="147" t="str">
        <f>IFERROR(__xludf.DUMMYFUNCTION("if(C1737="""","""",iferror(if(row()&lt;&gt;2,INDEX(arrayformula(filter($Q$2:$Q1736,$C$2:$C1736&lt;&gt;"""",row($C$2:$C1736)=max(if($C$2:$C1736=C1737,row($C$2:$C1736),0)))) ,1),0),0))"),"")</f>
        <v/>
      </c>
      <c r="Q1737" s="147" t="str">
        <f t="shared" si="22"/>
        <v/>
      </c>
      <c r="R1737" s="147" t="str">
        <f t="shared" si="23"/>
        <v/>
      </c>
      <c r="S1737" s="147" t="str">
        <f t="shared" si="24"/>
        <v/>
      </c>
      <c r="T1737" s="147" t="str">
        <f t="shared" si="7"/>
        <v/>
      </c>
      <c r="U1737" s="150" t="str">
        <f t="shared" si="8"/>
        <v/>
      </c>
      <c r="V1737" s="151" t="str">
        <f>IFERROR(VLOOKUP(C1737,Ativos!$A$1:$G2000,5,),)</f>
        <v/>
      </c>
    </row>
    <row r="1738" ht="21.0" customHeight="1">
      <c r="A1738" s="152"/>
      <c r="B1738" s="160"/>
      <c r="C1738" s="153"/>
      <c r="D1738" s="154"/>
      <c r="E1738" s="139"/>
      <c r="F1738" s="139"/>
      <c r="G1738" s="139"/>
      <c r="H1738" s="135"/>
      <c r="I1738" s="141"/>
      <c r="J1738" s="147" t="str">
        <f>IFERROR(__xludf.DUMMYFUNCTION("IF(ISBLANK(A1738),IFERROR(1/0),IF(COUNT(FILTER(F:F,A:A=A1738))&gt;1,TRUNC(N1738*F1738/SUM(FILTER(N:N,A:A=A1738)),3),F1738))"),"")</f>
        <v/>
      </c>
      <c r="K1738" s="147" t="str">
        <f>IFERROR(__xludf.DUMMYFUNCTION("IF(ISBLANK(A1738),IFERROR(1/0),IF(COUNT(FILTER(G:G,((A:A=A1738)*(B:B=""V""))))&gt;1,TRUNC(N1738*G1738/SUM(FILTER(N:N,((A:A=A1738)*(B:B=""V"")))),3),G1738))"),"")</f>
        <v/>
      </c>
      <c r="L1738" s="148" t="str">
        <f>IFERROR(__xludf.DUMMYFUNCTION("if($C1738="""","""",iferror(if(row()&lt;&gt;2,INDEX(arrayformula(filter($M$2:$M1737,$C$2:$C1737&lt;&gt;"""",row($C$2:$C1737)=max(if($C$2:$C1737=C1738,row($C$2:$C1737),0)))) ,1),0),0))"),"")</f>
        <v/>
      </c>
      <c r="M1738" s="148" t="str">
        <f t="shared" si="1"/>
        <v/>
      </c>
      <c r="N1738" s="147" t="str">
        <f t="shared" si="2"/>
        <v/>
      </c>
      <c r="O1738" s="147" t="str">
        <f t="shared" si="21"/>
        <v/>
      </c>
      <c r="P1738" s="147" t="str">
        <f>IFERROR(__xludf.DUMMYFUNCTION("if(C1738="""","""",iferror(if(row()&lt;&gt;2,INDEX(arrayformula(filter($Q$2:$Q1737,$C$2:$C1737&lt;&gt;"""",row($C$2:$C1737)=max(if($C$2:$C1737=C1738,row($C$2:$C1737),0)))) ,1),0),0))"),"")</f>
        <v/>
      </c>
      <c r="Q1738" s="147" t="str">
        <f t="shared" si="22"/>
        <v/>
      </c>
      <c r="R1738" s="147" t="str">
        <f t="shared" si="23"/>
        <v/>
      </c>
      <c r="S1738" s="147" t="str">
        <f t="shared" si="24"/>
        <v/>
      </c>
      <c r="T1738" s="147" t="str">
        <f t="shared" si="7"/>
        <v/>
      </c>
      <c r="U1738" s="150" t="str">
        <f t="shared" si="8"/>
        <v/>
      </c>
      <c r="V1738" s="151" t="str">
        <f>IFERROR(VLOOKUP(C1738,Ativos!$A$1:$G2000,5,),)</f>
        <v/>
      </c>
    </row>
    <row r="1739" ht="21.0" customHeight="1">
      <c r="A1739" s="152"/>
      <c r="B1739" s="160"/>
      <c r="C1739" s="153"/>
      <c r="D1739" s="154"/>
      <c r="E1739" s="139"/>
      <c r="F1739" s="139"/>
      <c r="G1739" s="139"/>
      <c r="H1739" s="135"/>
      <c r="I1739" s="141"/>
      <c r="J1739" s="147" t="str">
        <f>IFERROR(__xludf.DUMMYFUNCTION("IF(ISBLANK(A1739),IFERROR(1/0),IF(COUNT(FILTER(F:F,A:A=A1739))&gt;1,TRUNC(N1739*F1739/SUM(FILTER(N:N,A:A=A1739)),3),F1739))"),"")</f>
        <v/>
      </c>
      <c r="K1739" s="147" t="str">
        <f>IFERROR(__xludf.DUMMYFUNCTION("IF(ISBLANK(A1739),IFERROR(1/0),IF(COUNT(FILTER(G:G,((A:A=A1739)*(B:B=""V""))))&gt;1,TRUNC(N1739*G1739/SUM(FILTER(N:N,((A:A=A1739)*(B:B=""V"")))),3),G1739))"),"")</f>
        <v/>
      </c>
      <c r="L1739" s="148" t="str">
        <f>IFERROR(__xludf.DUMMYFUNCTION("if($C1739="""","""",iferror(if(row()&lt;&gt;2,INDEX(arrayformula(filter($M$2:$M1738,$C$2:$C1738&lt;&gt;"""",row($C$2:$C1738)=max(if($C$2:$C1738=C1739,row($C$2:$C1738),0)))) ,1),0),0))"),"")</f>
        <v/>
      </c>
      <c r="M1739" s="148" t="str">
        <f t="shared" si="1"/>
        <v/>
      </c>
      <c r="N1739" s="147" t="str">
        <f t="shared" si="2"/>
        <v/>
      </c>
      <c r="O1739" s="147" t="str">
        <f t="shared" si="21"/>
        <v/>
      </c>
      <c r="P1739" s="147" t="str">
        <f>IFERROR(__xludf.DUMMYFUNCTION("if(C1739="""","""",iferror(if(row()&lt;&gt;2,INDEX(arrayformula(filter($Q$2:$Q1738,$C$2:$C1738&lt;&gt;"""",row($C$2:$C1738)=max(if($C$2:$C1738=C1739,row($C$2:$C1738),0)))) ,1),0),0))"),"")</f>
        <v/>
      </c>
      <c r="Q1739" s="147" t="str">
        <f t="shared" si="22"/>
        <v/>
      </c>
      <c r="R1739" s="147" t="str">
        <f t="shared" si="23"/>
        <v/>
      </c>
      <c r="S1739" s="147" t="str">
        <f t="shared" si="24"/>
        <v/>
      </c>
      <c r="T1739" s="147" t="str">
        <f t="shared" si="7"/>
        <v/>
      </c>
      <c r="U1739" s="150" t="str">
        <f t="shared" si="8"/>
        <v/>
      </c>
      <c r="V1739" s="151" t="str">
        <f>IFERROR(VLOOKUP(C1739,Ativos!$A$1:$G2000,5,),)</f>
        <v/>
      </c>
    </row>
    <row r="1740" ht="21.0" customHeight="1">
      <c r="A1740" s="152"/>
      <c r="B1740" s="160"/>
      <c r="C1740" s="153"/>
      <c r="D1740" s="154"/>
      <c r="E1740" s="139"/>
      <c r="F1740" s="139"/>
      <c r="G1740" s="139"/>
      <c r="H1740" s="135"/>
      <c r="I1740" s="141"/>
      <c r="J1740" s="147" t="str">
        <f>IFERROR(__xludf.DUMMYFUNCTION("IF(ISBLANK(A1740),IFERROR(1/0),IF(COUNT(FILTER(F:F,A:A=A1740))&gt;1,TRUNC(N1740*F1740/SUM(FILTER(N:N,A:A=A1740)),3),F1740))"),"")</f>
        <v/>
      </c>
      <c r="K1740" s="147" t="str">
        <f>IFERROR(__xludf.DUMMYFUNCTION("IF(ISBLANK(A1740),IFERROR(1/0),IF(COUNT(FILTER(G:G,((A:A=A1740)*(B:B=""V""))))&gt;1,TRUNC(N1740*G1740/SUM(FILTER(N:N,((A:A=A1740)*(B:B=""V"")))),3),G1740))"),"")</f>
        <v/>
      </c>
      <c r="L1740" s="148" t="str">
        <f>IFERROR(__xludf.DUMMYFUNCTION("if($C1740="""","""",iferror(if(row()&lt;&gt;2,INDEX(arrayformula(filter($M$2:$M1739,$C$2:$C1739&lt;&gt;"""",row($C$2:$C1739)=max(if($C$2:$C1739=C1740,row($C$2:$C1739),0)))) ,1),0),0))"),"")</f>
        <v/>
      </c>
      <c r="M1740" s="148" t="str">
        <f t="shared" si="1"/>
        <v/>
      </c>
      <c r="N1740" s="147" t="str">
        <f t="shared" si="2"/>
        <v/>
      </c>
      <c r="O1740" s="147" t="str">
        <f t="shared" si="21"/>
        <v/>
      </c>
      <c r="P1740" s="147" t="str">
        <f>IFERROR(__xludf.DUMMYFUNCTION("if(C1740="""","""",iferror(if(row()&lt;&gt;2,INDEX(arrayformula(filter($Q$2:$Q1739,$C$2:$C1739&lt;&gt;"""",row($C$2:$C1739)=max(if($C$2:$C1739=C1740,row($C$2:$C1739),0)))) ,1),0),0))"),"")</f>
        <v/>
      </c>
      <c r="Q1740" s="147" t="str">
        <f t="shared" si="22"/>
        <v/>
      </c>
      <c r="R1740" s="147" t="str">
        <f t="shared" si="23"/>
        <v/>
      </c>
      <c r="S1740" s="147" t="str">
        <f t="shared" si="24"/>
        <v/>
      </c>
      <c r="T1740" s="147" t="str">
        <f t="shared" si="7"/>
        <v/>
      </c>
      <c r="U1740" s="150" t="str">
        <f t="shared" si="8"/>
        <v/>
      </c>
      <c r="V1740" s="151" t="str">
        <f>IFERROR(VLOOKUP(C1740,Ativos!$A$1:$G2000,5,),)</f>
        <v/>
      </c>
    </row>
    <row r="1741" ht="21.0" customHeight="1">
      <c r="A1741" s="152"/>
      <c r="B1741" s="160"/>
      <c r="C1741" s="153"/>
      <c r="D1741" s="154"/>
      <c r="E1741" s="139"/>
      <c r="F1741" s="139"/>
      <c r="G1741" s="139"/>
      <c r="H1741" s="135"/>
      <c r="I1741" s="141"/>
      <c r="J1741" s="147" t="str">
        <f>IFERROR(__xludf.DUMMYFUNCTION("IF(ISBLANK(A1741),IFERROR(1/0),IF(COUNT(FILTER(F:F,A:A=A1741))&gt;1,TRUNC(N1741*F1741/SUM(FILTER(N:N,A:A=A1741)),3),F1741))"),"")</f>
        <v/>
      </c>
      <c r="K1741" s="147" t="str">
        <f>IFERROR(__xludf.DUMMYFUNCTION("IF(ISBLANK(A1741),IFERROR(1/0),IF(COUNT(FILTER(G:G,((A:A=A1741)*(B:B=""V""))))&gt;1,TRUNC(N1741*G1741/SUM(FILTER(N:N,((A:A=A1741)*(B:B=""V"")))),3),G1741))"),"")</f>
        <v/>
      </c>
      <c r="L1741" s="148" t="str">
        <f>IFERROR(__xludf.DUMMYFUNCTION("if($C1741="""","""",iferror(if(row()&lt;&gt;2,INDEX(arrayformula(filter($M$2:$M1740,$C$2:$C1740&lt;&gt;"""",row($C$2:$C1740)=max(if($C$2:$C1740=C1741,row($C$2:$C1740),0)))) ,1),0),0))"),"")</f>
        <v/>
      </c>
      <c r="M1741" s="148" t="str">
        <f t="shared" si="1"/>
        <v/>
      </c>
      <c r="N1741" s="147" t="str">
        <f t="shared" si="2"/>
        <v/>
      </c>
      <c r="O1741" s="147" t="str">
        <f t="shared" si="21"/>
        <v/>
      </c>
      <c r="P1741" s="147" t="str">
        <f>IFERROR(__xludf.DUMMYFUNCTION("if(C1741="""","""",iferror(if(row()&lt;&gt;2,INDEX(arrayformula(filter($Q$2:$Q1740,$C$2:$C1740&lt;&gt;"""",row($C$2:$C1740)=max(if($C$2:$C1740=C1741,row($C$2:$C1740),0)))) ,1),0),0))"),"")</f>
        <v/>
      </c>
      <c r="Q1741" s="147" t="str">
        <f t="shared" si="22"/>
        <v/>
      </c>
      <c r="R1741" s="147" t="str">
        <f t="shared" si="23"/>
        <v/>
      </c>
      <c r="S1741" s="147" t="str">
        <f t="shared" si="24"/>
        <v/>
      </c>
      <c r="T1741" s="147" t="str">
        <f t="shared" si="7"/>
        <v/>
      </c>
      <c r="U1741" s="150" t="str">
        <f t="shared" si="8"/>
        <v/>
      </c>
      <c r="V1741" s="151" t="str">
        <f>IFERROR(VLOOKUP(C1741,Ativos!$A$1:$G2000,5,),)</f>
        <v/>
      </c>
    </row>
    <row r="1742" ht="21.0" customHeight="1">
      <c r="A1742" s="152"/>
      <c r="B1742" s="160"/>
      <c r="C1742" s="153"/>
      <c r="D1742" s="154"/>
      <c r="E1742" s="139"/>
      <c r="F1742" s="139"/>
      <c r="G1742" s="139"/>
      <c r="H1742" s="135"/>
      <c r="I1742" s="141"/>
      <c r="J1742" s="147" t="str">
        <f>IFERROR(__xludf.DUMMYFUNCTION("IF(ISBLANK(A1742),IFERROR(1/0),IF(COUNT(FILTER(F:F,A:A=A1742))&gt;1,TRUNC(N1742*F1742/SUM(FILTER(N:N,A:A=A1742)),3),F1742))"),"")</f>
        <v/>
      </c>
      <c r="K1742" s="147" t="str">
        <f>IFERROR(__xludf.DUMMYFUNCTION("IF(ISBLANK(A1742),IFERROR(1/0),IF(COUNT(FILTER(G:G,((A:A=A1742)*(B:B=""V""))))&gt;1,TRUNC(N1742*G1742/SUM(FILTER(N:N,((A:A=A1742)*(B:B=""V"")))),3),G1742))"),"")</f>
        <v/>
      </c>
      <c r="L1742" s="148" t="str">
        <f>IFERROR(__xludf.DUMMYFUNCTION("if($C1742="""","""",iferror(if(row()&lt;&gt;2,INDEX(arrayformula(filter($M$2:$M1741,$C$2:$C1741&lt;&gt;"""",row($C$2:$C1741)=max(if($C$2:$C1741=C1742,row($C$2:$C1741),0)))) ,1),0),0))"),"")</f>
        <v/>
      </c>
      <c r="M1742" s="148" t="str">
        <f t="shared" si="1"/>
        <v/>
      </c>
      <c r="N1742" s="147" t="str">
        <f t="shared" si="2"/>
        <v/>
      </c>
      <c r="O1742" s="147" t="str">
        <f t="shared" si="21"/>
        <v/>
      </c>
      <c r="P1742" s="147" t="str">
        <f>IFERROR(__xludf.DUMMYFUNCTION("if(C1742="""","""",iferror(if(row()&lt;&gt;2,INDEX(arrayformula(filter($Q$2:$Q1741,$C$2:$C1741&lt;&gt;"""",row($C$2:$C1741)=max(if($C$2:$C1741=C1742,row($C$2:$C1741),0)))) ,1),0),0))"),"")</f>
        <v/>
      </c>
      <c r="Q1742" s="147" t="str">
        <f t="shared" si="22"/>
        <v/>
      </c>
      <c r="R1742" s="147" t="str">
        <f t="shared" si="23"/>
        <v/>
      </c>
      <c r="S1742" s="147" t="str">
        <f t="shared" si="24"/>
        <v/>
      </c>
      <c r="T1742" s="147" t="str">
        <f t="shared" si="7"/>
        <v/>
      </c>
      <c r="U1742" s="150" t="str">
        <f t="shared" si="8"/>
        <v/>
      </c>
      <c r="V1742" s="151" t="str">
        <f>IFERROR(VLOOKUP(C1742,Ativos!$A$1:$G2000,5,),)</f>
        <v/>
      </c>
    </row>
    <row r="1743" ht="21.0" customHeight="1">
      <c r="A1743" s="152"/>
      <c r="B1743" s="160"/>
      <c r="C1743" s="153"/>
      <c r="D1743" s="154"/>
      <c r="E1743" s="139"/>
      <c r="F1743" s="139"/>
      <c r="G1743" s="139"/>
      <c r="H1743" s="135"/>
      <c r="I1743" s="141"/>
      <c r="J1743" s="147" t="str">
        <f>IFERROR(__xludf.DUMMYFUNCTION("IF(ISBLANK(A1743),IFERROR(1/0),IF(COUNT(FILTER(F:F,A:A=A1743))&gt;1,TRUNC(N1743*F1743/SUM(FILTER(N:N,A:A=A1743)),3),F1743))"),"")</f>
        <v/>
      </c>
      <c r="K1743" s="147" t="str">
        <f>IFERROR(__xludf.DUMMYFUNCTION("IF(ISBLANK(A1743),IFERROR(1/0),IF(COUNT(FILTER(G:G,((A:A=A1743)*(B:B=""V""))))&gt;1,TRUNC(N1743*G1743/SUM(FILTER(N:N,((A:A=A1743)*(B:B=""V"")))),3),G1743))"),"")</f>
        <v/>
      </c>
      <c r="L1743" s="148" t="str">
        <f>IFERROR(__xludf.DUMMYFUNCTION("if($C1743="""","""",iferror(if(row()&lt;&gt;2,INDEX(arrayformula(filter($M$2:$M1742,$C$2:$C1742&lt;&gt;"""",row($C$2:$C1742)=max(if($C$2:$C1742=C1743,row($C$2:$C1742),0)))) ,1),0),0))"),"")</f>
        <v/>
      </c>
      <c r="M1743" s="148" t="str">
        <f t="shared" si="1"/>
        <v/>
      </c>
      <c r="N1743" s="147" t="str">
        <f t="shared" si="2"/>
        <v/>
      </c>
      <c r="O1743" s="147" t="str">
        <f t="shared" si="21"/>
        <v/>
      </c>
      <c r="P1743" s="147" t="str">
        <f>IFERROR(__xludf.DUMMYFUNCTION("if(C1743="""","""",iferror(if(row()&lt;&gt;2,INDEX(arrayformula(filter($Q$2:$Q1742,$C$2:$C1742&lt;&gt;"""",row($C$2:$C1742)=max(if($C$2:$C1742=C1743,row($C$2:$C1742),0)))) ,1),0),0))"),"")</f>
        <v/>
      </c>
      <c r="Q1743" s="147" t="str">
        <f t="shared" si="22"/>
        <v/>
      </c>
      <c r="R1743" s="147" t="str">
        <f t="shared" si="23"/>
        <v/>
      </c>
      <c r="S1743" s="147" t="str">
        <f t="shared" si="24"/>
        <v/>
      </c>
      <c r="T1743" s="147" t="str">
        <f t="shared" si="7"/>
        <v/>
      </c>
      <c r="U1743" s="150" t="str">
        <f t="shared" si="8"/>
        <v/>
      </c>
      <c r="V1743" s="151" t="str">
        <f>IFERROR(VLOOKUP(C1743,Ativos!$A$1:$G2000,5,),)</f>
        <v/>
      </c>
    </row>
    <row r="1744" ht="21.0" customHeight="1">
      <c r="A1744" s="152"/>
      <c r="B1744" s="160"/>
      <c r="C1744" s="153"/>
      <c r="D1744" s="154"/>
      <c r="E1744" s="139"/>
      <c r="F1744" s="139"/>
      <c r="G1744" s="139"/>
      <c r="H1744" s="135"/>
      <c r="I1744" s="141"/>
      <c r="J1744" s="147" t="str">
        <f>IFERROR(__xludf.DUMMYFUNCTION("IF(ISBLANK(A1744),IFERROR(1/0),IF(COUNT(FILTER(F:F,A:A=A1744))&gt;1,TRUNC(N1744*F1744/SUM(FILTER(N:N,A:A=A1744)),3),F1744))"),"")</f>
        <v/>
      </c>
      <c r="K1744" s="147" t="str">
        <f>IFERROR(__xludf.DUMMYFUNCTION("IF(ISBLANK(A1744),IFERROR(1/0),IF(COUNT(FILTER(G:G,((A:A=A1744)*(B:B=""V""))))&gt;1,TRUNC(N1744*G1744/SUM(FILTER(N:N,((A:A=A1744)*(B:B=""V"")))),3),G1744))"),"")</f>
        <v/>
      </c>
      <c r="L1744" s="148" t="str">
        <f>IFERROR(__xludf.DUMMYFUNCTION("if($C1744="""","""",iferror(if(row()&lt;&gt;2,INDEX(arrayformula(filter($M$2:$M1743,$C$2:$C1743&lt;&gt;"""",row($C$2:$C1743)=max(if($C$2:$C1743=C1744,row($C$2:$C1743),0)))) ,1),0),0))"),"")</f>
        <v/>
      </c>
      <c r="M1744" s="148" t="str">
        <f t="shared" si="1"/>
        <v/>
      </c>
      <c r="N1744" s="147" t="str">
        <f t="shared" si="2"/>
        <v/>
      </c>
      <c r="O1744" s="147" t="str">
        <f t="shared" si="21"/>
        <v/>
      </c>
      <c r="P1744" s="147" t="str">
        <f>IFERROR(__xludf.DUMMYFUNCTION("if(C1744="""","""",iferror(if(row()&lt;&gt;2,INDEX(arrayformula(filter($Q$2:$Q1743,$C$2:$C1743&lt;&gt;"""",row($C$2:$C1743)=max(if($C$2:$C1743=C1744,row($C$2:$C1743),0)))) ,1),0),0))"),"")</f>
        <v/>
      </c>
      <c r="Q1744" s="147" t="str">
        <f t="shared" si="22"/>
        <v/>
      </c>
      <c r="R1744" s="147" t="str">
        <f t="shared" si="23"/>
        <v/>
      </c>
      <c r="S1744" s="147" t="str">
        <f t="shared" si="24"/>
        <v/>
      </c>
      <c r="T1744" s="147" t="str">
        <f t="shared" si="7"/>
        <v/>
      </c>
      <c r="U1744" s="150" t="str">
        <f t="shared" si="8"/>
        <v/>
      </c>
      <c r="V1744" s="151" t="str">
        <f>IFERROR(VLOOKUP(C1744,Ativos!$A$1:$G2000,5,),)</f>
        <v/>
      </c>
    </row>
    <row r="1745" ht="21.0" customHeight="1">
      <c r="A1745" s="152"/>
      <c r="B1745" s="160"/>
      <c r="C1745" s="153"/>
      <c r="D1745" s="154"/>
      <c r="E1745" s="139"/>
      <c r="F1745" s="139"/>
      <c r="G1745" s="139"/>
      <c r="H1745" s="135"/>
      <c r="I1745" s="141"/>
      <c r="J1745" s="147" t="str">
        <f>IFERROR(__xludf.DUMMYFUNCTION("IF(ISBLANK(A1745),IFERROR(1/0),IF(COUNT(FILTER(F:F,A:A=A1745))&gt;1,TRUNC(N1745*F1745/SUM(FILTER(N:N,A:A=A1745)),3),F1745))"),"")</f>
        <v/>
      </c>
      <c r="K1745" s="147" t="str">
        <f>IFERROR(__xludf.DUMMYFUNCTION("IF(ISBLANK(A1745),IFERROR(1/0),IF(COUNT(FILTER(G:G,((A:A=A1745)*(B:B=""V""))))&gt;1,TRUNC(N1745*G1745/SUM(FILTER(N:N,((A:A=A1745)*(B:B=""V"")))),3),G1745))"),"")</f>
        <v/>
      </c>
      <c r="L1745" s="148" t="str">
        <f>IFERROR(__xludf.DUMMYFUNCTION("if($C1745="""","""",iferror(if(row()&lt;&gt;2,INDEX(arrayformula(filter($M$2:$M1744,$C$2:$C1744&lt;&gt;"""",row($C$2:$C1744)=max(if($C$2:$C1744=C1745,row($C$2:$C1744),0)))) ,1),0),0))"),"")</f>
        <v/>
      </c>
      <c r="M1745" s="148" t="str">
        <f t="shared" si="1"/>
        <v/>
      </c>
      <c r="N1745" s="147" t="str">
        <f t="shared" si="2"/>
        <v/>
      </c>
      <c r="O1745" s="147" t="str">
        <f t="shared" si="21"/>
        <v/>
      </c>
      <c r="P1745" s="147" t="str">
        <f>IFERROR(__xludf.DUMMYFUNCTION("if(C1745="""","""",iferror(if(row()&lt;&gt;2,INDEX(arrayformula(filter($Q$2:$Q1744,$C$2:$C1744&lt;&gt;"""",row($C$2:$C1744)=max(if($C$2:$C1744=C1745,row($C$2:$C1744),0)))) ,1),0),0))"),"")</f>
        <v/>
      </c>
      <c r="Q1745" s="147" t="str">
        <f t="shared" si="22"/>
        <v/>
      </c>
      <c r="R1745" s="147" t="str">
        <f t="shared" si="23"/>
        <v/>
      </c>
      <c r="S1745" s="147" t="str">
        <f t="shared" si="24"/>
        <v/>
      </c>
      <c r="T1745" s="147" t="str">
        <f t="shared" si="7"/>
        <v/>
      </c>
      <c r="U1745" s="150" t="str">
        <f t="shared" si="8"/>
        <v/>
      </c>
      <c r="V1745" s="151" t="str">
        <f>IFERROR(VLOOKUP(C1745,Ativos!$A$1:$G2000,5,),)</f>
        <v/>
      </c>
    </row>
    <row r="1746" ht="21.0" customHeight="1">
      <c r="A1746" s="152"/>
      <c r="B1746" s="160"/>
      <c r="C1746" s="153"/>
      <c r="D1746" s="154"/>
      <c r="E1746" s="139"/>
      <c r="F1746" s="139"/>
      <c r="G1746" s="139"/>
      <c r="H1746" s="135"/>
      <c r="I1746" s="141"/>
      <c r="J1746" s="147" t="str">
        <f>IFERROR(__xludf.DUMMYFUNCTION("IF(ISBLANK(A1746),IFERROR(1/0),IF(COUNT(FILTER(F:F,A:A=A1746))&gt;1,TRUNC(N1746*F1746/SUM(FILTER(N:N,A:A=A1746)),3),F1746))"),"")</f>
        <v/>
      </c>
      <c r="K1746" s="147" t="str">
        <f>IFERROR(__xludf.DUMMYFUNCTION("IF(ISBLANK(A1746),IFERROR(1/0),IF(COUNT(FILTER(G:G,((A:A=A1746)*(B:B=""V""))))&gt;1,TRUNC(N1746*G1746/SUM(FILTER(N:N,((A:A=A1746)*(B:B=""V"")))),3),G1746))"),"")</f>
        <v/>
      </c>
      <c r="L1746" s="148" t="str">
        <f>IFERROR(__xludf.DUMMYFUNCTION("if($C1746="""","""",iferror(if(row()&lt;&gt;2,INDEX(arrayformula(filter($M$2:$M1745,$C$2:$C1745&lt;&gt;"""",row($C$2:$C1745)=max(if($C$2:$C1745=C1746,row($C$2:$C1745),0)))) ,1),0),0))"),"")</f>
        <v/>
      </c>
      <c r="M1746" s="148" t="str">
        <f t="shared" si="1"/>
        <v/>
      </c>
      <c r="N1746" s="147" t="str">
        <f t="shared" si="2"/>
        <v/>
      </c>
      <c r="O1746" s="147" t="str">
        <f t="shared" si="21"/>
        <v/>
      </c>
      <c r="P1746" s="147" t="str">
        <f>IFERROR(__xludf.DUMMYFUNCTION("if(C1746="""","""",iferror(if(row()&lt;&gt;2,INDEX(arrayformula(filter($Q$2:$Q1745,$C$2:$C1745&lt;&gt;"""",row($C$2:$C1745)=max(if($C$2:$C1745=C1746,row($C$2:$C1745),0)))) ,1),0),0))"),"")</f>
        <v/>
      </c>
      <c r="Q1746" s="147" t="str">
        <f t="shared" si="22"/>
        <v/>
      </c>
      <c r="R1746" s="147" t="str">
        <f t="shared" si="23"/>
        <v/>
      </c>
      <c r="S1746" s="147" t="str">
        <f t="shared" si="24"/>
        <v/>
      </c>
      <c r="T1746" s="147" t="str">
        <f t="shared" si="7"/>
        <v/>
      </c>
      <c r="U1746" s="150" t="str">
        <f t="shared" si="8"/>
        <v/>
      </c>
      <c r="V1746" s="151" t="str">
        <f>IFERROR(VLOOKUP(C1746,Ativos!$A$1:$G2000,5,),)</f>
        <v/>
      </c>
    </row>
    <row r="1747" ht="21.0" customHeight="1">
      <c r="A1747" s="152"/>
      <c r="B1747" s="160"/>
      <c r="C1747" s="153"/>
      <c r="D1747" s="154"/>
      <c r="E1747" s="139"/>
      <c r="F1747" s="139"/>
      <c r="G1747" s="139"/>
      <c r="H1747" s="135"/>
      <c r="I1747" s="141"/>
      <c r="J1747" s="147" t="str">
        <f>IFERROR(__xludf.DUMMYFUNCTION("IF(ISBLANK(A1747),IFERROR(1/0),IF(COUNT(FILTER(F:F,A:A=A1747))&gt;1,TRUNC(N1747*F1747/SUM(FILTER(N:N,A:A=A1747)),3),F1747))"),"")</f>
        <v/>
      </c>
      <c r="K1747" s="147" t="str">
        <f>IFERROR(__xludf.DUMMYFUNCTION("IF(ISBLANK(A1747),IFERROR(1/0),IF(COUNT(FILTER(G:G,((A:A=A1747)*(B:B=""V""))))&gt;1,TRUNC(N1747*G1747/SUM(FILTER(N:N,((A:A=A1747)*(B:B=""V"")))),3),G1747))"),"")</f>
        <v/>
      </c>
      <c r="L1747" s="148" t="str">
        <f>IFERROR(__xludf.DUMMYFUNCTION("if($C1747="""","""",iferror(if(row()&lt;&gt;2,INDEX(arrayformula(filter($M$2:$M1746,$C$2:$C1746&lt;&gt;"""",row($C$2:$C1746)=max(if($C$2:$C1746=C1747,row($C$2:$C1746),0)))) ,1),0),0))"),"")</f>
        <v/>
      </c>
      <c r="M1747" s="148" t="str">
        <f t="shared" si="1"/>
        <v/>
      </c>
      <c r="N1747" s="147" t="str">
        <f t="shared" si="2"/>
        <v/>
      </c>
      <c r="O1747" s="147" t="str">
        <f t="shared" si="21"/>
        <v/>
      </c>
      <c r="P1747" s="147" t="str">
        <f>IFERROR(__xludf.DUMMYFUNCTION("if(C1747="""","""",iferror(if(row()&lt;&gt;2,INDEX(arrayformula(filter($Q$2:$Q1746,$C$2:$C1746&lt;&gt;"""",row($C$2:$C1746)=max(if($C$2:$C1746=C1747,row($C$2:$C1746),0)))) ,1),0),0))"),"")</f>
        <v/>
      </c>
      <c r="Q1747" s="147" t="str">
        <f t="shared" si="22"/>
        <v/>
      </c>
      <c r="R1747" s="147" t="str">
        <f t="shared" si="23"/>
        <v/>
      </c>
      <c r="S1747" s="147" t="str">
        <f t="shared" si="24"/>
        <v/>
      </c>
      <c r="T1747" s="147" t="str">
        <f t="shared" si="7"/>
        <v/>
      </c>
      <c r="U1747" s="150" t="str">
        <f t="shared" si="8"/>
        <v/>
      </c>
      <c r="V1747" s="151" t="str">
        <f>IFERROR(VLOOKUP(C1747,Ativos!$A$1:$G2000,5,),)</f>
        <v/>
      </c>
    </row>
    <row r="1748" ht="21.0" customHeight="1">
      <c r="A1748" s="152"/>
      <c r="B1748" s="160"/>
      <c r="C1748" s="153"/>
      <c r="D1748" s="154"/>
      <c r="E1748" s="139"/>
      <c r="F1748" s="139"/>
      <c r="G1748" s="139"/>
      <c r="H1748" s="135"/>
      <c r="I1748" s="141"/>
      <c r="J1748" s="147" t="str">
        <f>IFERROR(__xludf.DUMMYFUNCTION("IF(ISBLANK(A1748),IFERROR(1/0),IF(COUNT(FILTER(F:F,A:A=A1748))&gt;1,TRUNC(N1748*F1748/SUM(FILTER(N:N,A:A=A1748)),3),F1748))"),"")</f>
        <v/>
      </c>
      <c r="K1748" s="147" t="str">
        <f>IFERROR(__xludf.DUMMYFUNCTION("IF(ISBLANK(A1748),IFERROR(1/0),IF(COUNT(FILTER(G:G,((A:A=A1748)*(B:B=""V""))))&gt;1,TRUNC(N1748*G1748/SUM(FILTER(N:N,((A:A=A1748)*(B:B=""V"")))),3),G1748))"),"")</f>
        <v/>
      </c>
      <c r="L1748" s="148" t="str">
        <f>IFERROR(__xludf.DUMMYFUNCTION("if($C1748="""","""",iferror(if(row()&lt;&gt;2,INDEX(arrayformula(filter($M$2:$M1747,$C$2:$C1747&lt;&gt;"""",row($C$2:$C1747)=max(if($C$2:$C1747=C1748,row($C$2:$C1747),0)))) ,1),0),0))"),"")</f>
        <v/>
      </c>
      <c r="M1748" s="148" t="str">
        <f t="shared" si="1"/>
        <v/>
      </c>
      <c r="N1748" s="147" t="str">
        <f t="shared" si="2"/>
        <v/>
      </c>
      <c r="O1748" s="147" t="str">
        <f t="shared" si="21"/>
        <v/>
      </c>
      <c r="P1748" s="147" t="str">
        <f>IFERROR(__xludf.DUMMYFUNCTION("if(C1748="""","""",iferror(if(row()&lt;&gt;2,INDEX(arrayformula(filter($Q$2:$Q1747,$C$2:$C1747&lt;&gt;"""",row($C$2:$C1747)=max(if($C$2:$C1747=C1748,row($C$2:$C1747),0)))) ,1),0),0))"),"")</f>
        <v/>
      </c>
      <c r="Q1748" s="147" t="str">
        <f t="shared" si="22"/>
        <v/>
      </c>
      <c r="R1748" s="147" t="str">
        <f t="shared" si="23"/>
        <v/>
      </c>
      <c r="S1748" s="147" t="str">
        <f t="shared" si="24"/>
        <v/>
      </c>
      <c r="T1748" s="147" t="str">
        <f t="shared" si="7"/>
        <v/>
      </c>
      <c r="U1748" s="150" t="str">
        <f t="shared" si="8"/>
        <v/>
      </c>
      <c r="V1748" s="151" t="str">
        <f>IFERROR(VLOOKUP(C1748,Ativos!$A$1:$G2000,5,),)</f>
        <v/>
      </c>
    </row>
    <row r="1749" ht="21.0" customHeight="1">
      <c r="A1749" s="152"/>
      <c r="B1749" s="160"/>
      <c r="C1749" s="153"/>
      <c r="D1749" s="154"/>
      <c r="E1749" s="139"/>
      <c r="F1749" s="139"/>
      <c r="G1749" s="139"/>
      <c r="H1749" s="135"/>
      <c r="I1749" s="141"/>
      <c r="J1749" s="147" t="str">
        <f>IFERROR(__xludf.DUMMYFUNCTION("IF(ISBLANK(A1749),IFERROR(1/0),IF(COUNT(FILTER(F:F,A:A=A1749))&gt;1,TRUNC(N1749*F1749/SUM(FILTER(N:N,A:A=A1749)),3),F1749))"),"")</f>
        <v/>
      </c>
      <c r="K1749" s="147" t="str">
        <f>IFERROR(__xludf.DUMMYFUNCTION("IF(ISBLANK(A1749),IFERROR(1/0),IF(COUNT(FILTER(G:G,((A:A=A1749)*(B:B=""V""))))&gt;1,TRUNC(N1749*G1749/SUM(FILTER(N:N,((A:A=A1749)*(B:B=""V"")))),3),G1749))"),"")</f>
        <v/>
      </c>
      <c r="L1749" s="148" t="str">
        <f>IFERROR(__xludf.DUMMYFUNCTION("if($C1749="""","""",iferror(if(row()&lt;&gt;2,INDEX(arrayformula(filter($M$2:$M1748,$C$2:$C1748&lt;&gt;"""",row($C$2:$C1748)=max(if($C$2:$C1748=C1749,row($C$2:$C1748),0)))) ,1),0),0))"),"")</f>
        <v/>
      </c>
      <c r="M1749" s="148" t="str">
        <f t="shared" si="1"/>
        <v/>
      </c>
      <c r="N1749" s="147" t="str">
        <f t="shared" si="2"/>
        <v/>
      </c>
      <c r="O1749" s="147" t="str">
        <f t="shared" si="21"/>
        <v/>
      </c>
      <c r="P1749" s="147" t="str">
        <f>IFERROR(__xludf.DUMMYFUNCTION("if(C1749="""","""",iferror(if(row()&lt;&gt;2,INDEX(arrayformula(filter($Q$2:$Q1748,$C$2:$C1748&lt;&gt;"""",row($C$2:$C1748)=max(if($C$2:$C1748=C1749,row($C$2:$C1748),0)))) ,1),0),0))"),"")</f>
        <v/>
      </c>
      <c r="Q1749" s="147" t="str">
        <f t="shared" si="22"/>
        <v/>
      </c>
      <c r="R1749" s="147" t="str">
        <f t="shared" si="23"/>
        <v/>
      </c>
      <c r="S1749" s="147" t="str">
        <f t="shared" si="24"/>
        <v/>
      </c>
      <c r="T1749" s="147" t="str">
        <f t="shared" si="7"/>
        <v/>
      </c>
      <c r="U1749" s="150" t="str">
        <f t="shared" si="8"/>
        <v/>
      </c>
      <c r="V1749" s="151" t="str">
        <f>IFERROR(VLOOKUP(C1749,Ativos!$A$1:$G2000,5,),)</f>
        <v/>
      </c>
    </row>
    <row r="1750" ht="21.0" customHeight="1">
      <c r="A1750" s="152"/>
      <c r="B1750" s="160"/>
      <c r="C1750" s="153"/>
      <c r="D1750" s="154"/>
      <c r="E1750" s="139"/>
      <c r="F1750" s="139"/>
      <c r="G1750" s="139"/>
      <c r="H1750" s="135"/>
      <c r="I1750" s="141"/>
      <c r="J1750" s="147" t="str">
        <f>IFERROR(__xludf.DUMMYFUNCTION("IF(ISBLANK(A1750),IFERROR(1/0),IF(COUNT(FILTER(F:F,A:A=A1750))&gt;1,TRUNC(N1750*F1750/SUM(FILTER(N:N,A:A=A1750)),3),F1750))"),"")</f>
        <v/>
      </c>
      <c r="K1750" s="147" t="str">
        <f>IFERROR(__xludf.DUMMYFUNCTION("IF(ISBLANK(A1750),IFERROR(1/0),IF(COUNT(FILTER(G:G,((A:A=A1750)*(B:B=""V""))))&gt;1,TRUNC(N1750*G1750/SUM(FILTER(N:N,((A:A=A1750)*(B:B=""V"")))),3),G1750))"),"")</f>
        <v/>
      </c>
      <c r="L1750" s="148" t="str">
        <f>IFERROR(__xludf.DUMMYFUNCTION("if($C1750="""","""",iferror(if(row()&lt;&gt;2,INDEX(arrayformula(filter($M$2:$M1749,$C$2:$C1749&lt;&gt;"""",row($C$2:$C1749)=max(if($C$2:$C1749=C1750,row($C$2:$C1749),0)))) ,1),0),0))"),"")</f>
        <v/>
      </c>
      <c r="M1750" s="148" t="str">
        <f t="shared" si="1"/>
        <v/>
      </c>
      <c r="N1750" s="147" t="str">
        <f t="shared" si="2"/>
        <v/>
      </c>
      <c r="O1750" s="147" t="str">
        <f t="shared" si="21"/>
        <v/>
      </c>
      <c r="P1750" s="147" t="str">
        <f>IFERROR(__xludf.DUMMYFUNCTION("if(C1750="""","""",iferror(if(row()&lt;&gt;2,INDEX(arrayformula(filter($Q$2:$Q1749,$C$2:$C1749&lt;&gt;"""",row($C$2:$C1749)=max(if($C$2:$C1749=C1750,row($C$2:$C1749),0)))) ,1),0),0))"),"")</f>
        <v/>
      </c>
      <c r="Q1750" s="147" t="str">
        <f t="shared" si="22"/>
        <v/>
      </c>
      <c r="R1750" s="147" t="str">
        <f t="shared" si="23"/>
        <v/>
      </c>
      <c r="S1750" s="147" t="str">
        <f t="shared" si="24"/>
        <v/>
      </c>
      <c r="T1750" s="147" t="str">
        <f t="shared" si="7"/>
        <v/>
      </c>
      <c r="U1750" s="150" t="str">
        <f t="shared" si="8"/>
        <v/>
      </c>
      <c r="V1750" s="151" t="str">
        <f>IFERROR(VLOOKUP(C1750,Ativos!$A$1:$G2000,5,),)</f>
        <v/>
      </c>
    </row>
    <row r="1751" ht="21.0" customHeight="1">
      <c r="A1751" s="152"/>
      <c r="B1751" s="160"/>
      <c r="C1751" s="153"/>
      <c r="D1751" s="154"/>
      <c r="E1751" s="139"/>
      <c r="F1751" s="139"/>
      <c r="G1751" s="139"/>
      <c r="H1751" s="135"/>
      <c r="I1751" s="141"/>
      <c r="J1751" s="147" t="str">
        <f>IFERROR(__xludf.DUMMYFUNCTION("IF(ISBLANK(A1751),IFERROR(1/0),IF(COUNT(FILTER(F:F,A:A=A1751))&gt;1,TRUNC(N1751*F1751/SUM(FILTER(N:N,A:A=A1751)),3),F1751))"),"")</f>
        <v/>
      </c>
      <c r="K1751" s="147" t="str">
        <f>IFERROR(__xludf.DUMMYFUNCTION("IF(ISBLANK(A1751),IFERROR(1/0),IF(COUNT(FILTER(G:G,((A:A=A1751)*(B:B=""V""))))&gt;1,TRUNC(N1751*G1751/SUM(FILTER(N:N,((A:A=A1751)*(B:B=""V"")))),3),G1751))"),"")</f>
        <v/>
      </c>
      <c r="L1751" s="148" t="str">
        <f>IFERROR(__xludf.DUMMYFUNCTION("if($C1751="""","""",iferror(if(row()&lt;&gt;2,INDEX(arrayformula(filter($M$2:$M1750,$C$2:$C1750&lt;&gt;"""",row($C$2:$C1750)=max(if($C$2:$C1750=C1751,row($C$2:$C1750),0)))) ,1),0),0))"),"")</f>
        <v/>
      </c>
      <c r="M1751" s="148" t="str">
        <f t="shared" si="1"/>
        <v/>
      </c>
      <c r="N1751" s="147" t="str">
        <f t="shared" si="2"/>
        <v/>
      </c>
      <c r="O1751" s="147" t="str">
        <f t="shared" si="21"/>
        <v/>
      </c>
      <c r="P1751" s="147" t="str">
        <f>IFERROR(__xludf.DUMMYFUNCTION("if(C1751="""","""",iferror(if(row()&lt;&gt;2,INDEX(arrayformula(filter($Q$2:$Q1750,$C$2:$C1750&lt;&gt;"""",row($C$2:$C1750)=max(if($C$2:$C1750=C1751,row($C$2:$C1750),0)))) ,1),0),0))"),"")</f>
        <v/>
      </c>
      <c r="Q1751" s="147" t="str">
        <f t="shared" si="22"/>
        <v/>
      </c>
      <c r="R1751" s="147" t="str">
        <f t="shared" si="23"/>
        <v/>
      </c>
      <c r="S1751" s="147" t="str">
        <f t="shared" si="24"/>
        <v/>
      </c>
      <c r="T1751" s="147" t="str">
        <f t="shared" si="7"/>
        <v/>
      </c>
      <c r="U1751" s="150" t="str">
        <f t="shared" si="8"/>
        <v/>
      </c>
      <c r="V1751" s="151" t="str">
        <f>IFERROR(VLOOKUP(C1751,Ativos!$A$1:$G2000,5,),)</f>
        <v/>
      </c>
    </row>
    <row r="1752" ht="21.0" customHeight="1">
      <c r="A1752" s="152"/>
      <c r="B1752" s="160"/>
      <c r="C1752" s="153"/>
      <c r="D1752" s="154"/>
      <c r="E1752" s="139"/>
      <c r="F1752" s="139"/>
      <c r="G1752" s="139"/>
      <c r="H1752" s="135"/>
      <c r="I1752" s="141"/>
      <c r="J1752" s="147" t="str">
        <f>IFERROR(__xludf.DUMMYFUNCTION("IF(ISBLANK(A1752),IFERROR(1/0),IF(COUNT(FILTER(F:F,A:A=A1752))&gt;1,TRUNC(N1752*F1752/SUM(FILTER(N:N,A:A=A1752)),3),F1752))"),"")</f>
        <v/>
      </c>
      <c r="K1752" s="147" t="str">
        <f>IFERROR(__xludf.DUMMYFUNCTION("IF(ISBLANK(A1752),IFERROR(1/0),IF(COUNT(FILTER(G:G,((A:A=A1752)*(B:B=""V""))))&gt;1,TRUNC(N1752*G1752/SUM(FILTER(N:N,((A:A=A1752)*(B:B=""V"")))),3),G1752))"),"")</f>
        <v/>
      </c>
      <c r="L1752" s="148" t="str">
        <f>IFERROR(__xludf.DUMMYFUNCTION("if($C1752="""","""",iferror(if(row()&lt;&gt;2,INDEX(arrayformula(filter($M$2:$M1751,$C$2:$C1751&lt;&gt;"""",row($C$2:$C1751)=max(if($C$2:$C1751=C1752,row($C$2:$C1751),0)))) ,1),0),0))"),"")</f>
        <v/>
      </c>
      <c r="M1752" s="148" t="str">
        <f t="shared" si="1"/>
        <v/>
      </c>
      <c r="N1752" s="147" t="str">
        <f t="shared" si="2"/>
        <v/>
      </c>
      <c r="O1752" s="147" t="str">
        <f t="shared" si="21"/>
        <v/>
      </c>
      <c r="P1752" s="147" t="str">
        <f>IFERROR(__xludf.DUMMYFUNCTION("if(C1752="""","""",iferror(if(row()&lt;&gt;2,INDEX(arrayformula(filter($Q$2:$Q1751,$C$2:$C1751&lt;&gt;"""",row($C$2:$C1751)=max(if($C$2:$C1751=C1752,row($C$2:$C1751),0)))) ,1),0),0))"),"")</f>
        <v/>
      </c>
      <c r="Q1752" s="147" t="str">
        <f t="shared" si="22"/>
        <v/>
      </c>
      <c r="R1752" s="147" t="str">
        <f t="shared" si="23"/>
        <v/>
      </c>
      <c r="S1752" s="147" t="str">
        <f t="shared" si="24"/>
        <v/>
      </c>
      <c r="T1752" s="147" t="str">
        <f t="shared" si="7"/>
        <v/>
      </c>
      <c r="U1752" s="150" t="str">
        <f t="shared" si="8"/>
        <v/>
      </c>
      <c r="V1752" s="151" t="str">
        <f>IFERROR(VLOOKUP(C1752,Ativos!$A$1:$G2000,5,),)</f>
        <v/>
      </c>
    </row>
    <row r="1753" ht="21.0" customHeight="1">
      <c r="A1753" s="152"/>
      <c r="B1753" s="160"/>
      <c r="C1753" s="153"/>
      <c r="D1753" s="154"/>
      <c r="E1753" s="139"/>
      <c r="F1753" s="139"/>
      <c r="G1753" s="139"/>
      <c r="H1753" s="135"/>
      <c r="I1753" s="141"/>
      <c r="J1753" s="147" t="str">
        <f>IFERROR(__xludf.DUMMYFUNCTION("IF(ISBLANK(A1753),IFERROR(1/0),IF(COUNT(FILTER(F:F,A:A=A1753))&gt;1,TRUNC(N1753*F1753/SUM(FILTER(N:N,A:A=A1753)),3),F1753))"),"")</f>
        <v/>
      </c>
      <c r="K1753" s="147" t="str">
        <f>IFERROR(__xludf.DUMMYFUNCTION("IF(ISBLANK(A1753),IFERROR(1/0),IF(COUNT(FILTER(G:G,((A:A=A1753)*(B:B=""V""))))&gt;1,TRUNC(N1753*G1753/SUM(FILTER(N:N,((A:A=A1753)*(B:B=""V"")))),3),G1753))"),"")</f>
        <v/>
      </c>
      <c r="L1753" s="148" t="str">
        <f>IFERROR(__xludf.DUMMYFUNCTION("if($C1753="""","""",iferror(if(row()&lt;&gt;2,INDEX(arrayformula(filter($M$2:$M1752,$C$2:$C1752&lt;&gt;"""",row($C$2:$C1752)=max(if($C$2:$C1752=C1753,row($C$2:$C1752),0)))) ,1),0),0))"),"")</f>
        <v/>
      </c>
      <c r="M1753" s="148" t="str">
        <f t="shared" si="1"/>
        <v/>
      </c>
      <c r="N1753" s="147" t="str">
        <f t="shared" si="2"/>
        <v/>
      </c>
      <c r="O1753" s="147" t="str">
        <f t="shared" si="21"/>
        <v/>
      </c>
      <c r="P1753" s="147" t="str">
        <f>IFERROR(__xludf.DUMMYFUNCTION("if(C1753="""","""",iferror(if(row()&lt;&gt;2,INDEX(arrayformula(filter($Q$2:$Q1752,$C$2:$C1752&lt;&gt;"""",row($C$2:$C1752)=max(if($C$2:$C1752=C1753,row($C$2:$C1752),0)))) ,1),0),0))"),"")</f>
        <v/>
      </c>
      <c r="Q1753" s="147" t="str">
        <f t="shared" si="22"/>
        <v/>
      </c>
      <c r="R1753" s="147" t="str">
        <f t="shared" si="23"/>
        <v/>
      </c>
      <c r="S1753" s="147" t="str">
        <f t="shared" si="24"/>
        <v/>
      </c>
      <c r="T1753" s="147" t="str">
        <f t="shared" si="7"/>
        <v/>
      </c>
      <c r="U1753" s="150" t="str">
        <f t="shared" si="8"/>
        <v/>
      </c>
      <c r="V1753" s="151" t="str">
        <f>IFERROR(VLOOKUP(C1753,Ativos!$A$1:$G2000,5,),)</f>
        <v/>
      </c>
    </row>
    <row r="1754" ht="21.0" customHeight="1">
      <c r="A1754" s="152"/>
      <c r="B1754" s="160"/>
      <c r="C1754" s="153"/>
      <c r="D1754" s="154"/>
      <c r="E1754" s="139"/>
      <c r="F1754" s="139"/>
      <c r="G1754" s="139"/>
      <c r="H1754" s="135"/>
      <c r="I1754" s="141"/>
      <c r="J1754" s="147" t="str">
        <f>IFERROR(__xludf.DUMMYFUNCTION("IF(ISBLANK(A1754),IFERROR(1/0),IF(COUNT(FILTER(F:F,A:A=A1754))&gt;1,TRUNC(N1754*F1754/SUM(FILTER(N:N,A:A=A1754)),3),F1754))"),"")</f>
        <v/>
      </c>
      <c r="K1754" s="147" t="str">
        <f>IFERROR(__xludf.DUMMYFUNCTION("IF(ISBLANK(A1754),IFERROR(1/0),IF(COUNT(FILTER(G:G,((A:A=A1754)*(B:B=""V""))))&gt;1,TRUNC(N1754*G1754/SUM(FILTER(N:N,((A:A=A1754)*(B:B=""V"")))),3),G1754))"),"")</f>
        <v/>
      </c>
      <c r="L1754" s="148" t="str">
        <f>IFERROR(__xludf.DUMMYFUNCTION("if($C1754="""","""",iferror(if(row()&lt;&gt;2,INDEX(arrayformula(filter($M$2:$M1753,$C$2:$C1753&lt;&gt;"""",row($C$2:$C1753)=max(if($C$2:$C1753=C1754,row($C$2:$C1753),0)))) ,1),0),0))"),"")</f>
        <v/>
      </c>
      <c r="M1754" s="148" t="str">
        <f t="shared" si="1"/>
        <v/>
      </c>
      <c r="N1754" s="147" t="str">
        <f t="shared" si="2"/>
        <v/>
      </c>
      <c r="O1754" s="147" t="str">
        <f t="shared" si="21"/>
        <v/>
      </c>
      <c r="P1754" s="147" t="str">
        <f>IFERROR(__xludf.DUMMYFUNCTION("if(C1754="""","""",iferror(if(row()&lt;&gt;2,INDEX(arrayformula(filter($Q$2:$Q1753,$C$2:$C1753&lt;&gt;"""",row($C$2:$C1753)=max(if($C$2:$C1753=C1754,row($C$2:$C1753),0)))) ,1),0),0))"),"")</f>
        <v/>
      </c>
      <c r="Q1754" s="147" t="str">
        <f t="shared" si="22"/>
        <v/>
      </c>
      <c r="R1754" s="147" t="str">
        <f t="shared" si="23"/>
        <v/>
      </c>
      <c r="S1754" s="147" t="str">
        <f t="shared" si="24"/>
        <v/>
      </c>
      <c r="T1754" s="147" t="str">
        <f t="shared" si="7"/>
        <v/>
      </c>
      <c r="U1754" s="150" t="str">
        <f t="shared" si="8"/>
        <v/>
      </c>
      <c r="V1754" s="151" t="str">
        <f>IFERROR(VLOOKUP(C1754,Ativos!$A$1:$G2000,5,),)</f>
        <v/>
      </c>
    </row>
    <row r="1755" ht="21.0" customHeight="1">
      <c r="A1755" s="152"/>
      <c r="B1755" s="160"/>
      <c r="C1755" s="153"/>
      <c r="D1755" s="154"/>
      <c r="E1755" s="139"/>
      <c r="F1755" s="139"/>
      <c r="G1755" s="139"/>
      <c r="H1755" s="135"/>
      <c r="I1755" s="141"/>
      <c r="J1755" s="147" t="str">
        <f>IFERROR(__xludf.DUMMYFUNCTION("IF(ISBLANK(A1755),IFERROR(1/0),IF(COUNT(FILTER(F:F,A:A=A1755))&gt;1,TRUNC(N1755*F1755/SUM(FILTER(N:N,A:A=A1755)),3),F1755))"),"")</f>
        <v/>
      </c>
      <c r="K1755" s="147" t="str">
        <f>IFERROR(__xludf.DUMMYFUNCTION("IF(ISBLANK(A1755),IFERROR(1/0),IF(COUNT(FILTER(G:G,((A:A=A1755)*(B:B=""V""))))&gt;1,TRUNC(N1755*G1755/SUM(FILTER(N:N,((A:A=A1755)*(B:B=""V"")))),3),G1755))"),"")</f>
        <v/>
      </c>
      <c r="L1755" s="148" t="str">
        <f>IFERROR(__xludf.DUMMYFUNCTION("if($C1755="""","""",iferror(if(row()&lt;&gt;2,INDEX(arrayformula(filter($M$2:$M1754,$C$2:$C1754&lt;&gt;"""",row($C$2:$C1754)=max(if($C$2:$C1754=C1755,row($C$2:$C1754),0)))) ,1),0),0))"),"")</f>
        <v/>
      </c>
      <c r="M1755" s="148" t="str">
        <f t="shared" si="1"/>
        <v/>
      </c>
      <c r="N1755" s="147" t="str">
        <f t="shared" si="2"/>
        <v/>
      </c>
      <c r="O1755" s="147" t="str">
        <f t="shared" si="21"/>
        <v/>
      </c>
      <c r="P1755" s="147" t="str">
        <f>IFERROR(__xludf.DUMMYFUNCTION("if(C1755="""","""",iferror(if(row()&lt;&gt;2,INDEX(arrayformula(filter($Q$2:$Q1754,$C$2:$C1754&lt;&gt;"""",row($C$2:$C1754)=max(if($C$2:$C1754=C1755,row($C$2:$C1754),0)))) ,1),0),0))"),"")</f>
        <v/>
      </c>
      <c r="Q1755" s="147" t="str">
        <f t="shared" si="22"/>
        <v/>
      </c>
      <c r="R1755" s="147" t="str">
        <f t="shared" si="23"/>
        <v/>
      </c>
      <c r="S1755" s="147" t="str">
        <f t="shared" si="24"/>
        <v/>
      </c>
      <c r="T1755" s="147" t="str">
        <f t="shared" si="7"/>
        <v/>
      </c>
      <c r="U1755" s="150" t="str">
        <f t="shared" si="8"/>
        <v/>
      </c>
      <c r="V1755" s="151" t="str">
        <f>IFERROR(VLOOKUP(C1755,Ativos!$A$1:$G2000,5,),)</f>
        <v/>
      </c>
    </row>
    <row r="1756" ht="21.0" customHeight="1">
      <c r="A1756" s="152"/>
      <c r="B1756" s="160"/>
      <c r="C1756" s="153"/>
      <c r="D1756" s="154"/>
      <c r="E1756" s="139"/>
      <c r="F1756" s="139"/>
      <c r="G1756" s="139"/>
      <c r="H1756" s="135"/>
      <c r="I1756" s="141"/>
      <c r="J1756" s="147" t="str">
        <f>IFERROR(__xludf.DUMMYFUNCTION("IF(ISBLANK(A1756),IFERROR(1/0),IF(COUNT(FILTER(F:F,A:A=A1756))&gt;1,TRUNC(N1756*F1756/SUM(FILTER(N:N,A:A=A1756)),3),F1756))"),"")</f>
        <v/>
      </c>
      <c r="K1756" s="147" t="str">
        <f>IFERROR(__xludf.DUMMYFUNCTION("IF(ISBLANK(A1756),IFERROR(1/0),IF(COUNT(FILTER(G:G,((A:A=A1756)*(B:B=""V""))))&gt;1,TRUNC(N1756*G1756/SUM(FILTER(N:N,((A:A=A1756)*(B:B=""V"")))),3),G1756))"),"")</f>
        <v/>
      </c>
      <c r="L1756" s="148" t="str">
        <f>IFERROR(__xludf.DUMMYFUNCTION("if($C1756="""","""",iferror(if(row()&lt;&gt;2,INDEX(arrayformula(filter($M$2:$M1755,$C$2:$C1755&lt;&gt;"""",row($C$2:$C1755)=max(if($C$2:$C1755=C1756,row($C$2:$C1755),0)))) ,1),0),0))"),"")</f>
        <v/>
      </c>
      <c r="M1756" s="148" t="str">
        <f t="shared" si="1"/>
        <v/>
      </c>
      <c r="N1756" s="147" t="str">
        <f t="shared" si="2"/>
        <v/>
      </c>
      <c r="O1756" s="147" t="str">
        <f t="shared" si="21"/>
        <v/>
      </c>
      <c r="P1756" s="147" t="str">
        <f>IFERROR(__xludf.DUMMYFUNCTION("if(C1756="""","""",iferror(if(row()&lt;&gt;2,INDEX(arrayformula(filter($Q$2:$Q1755,$C$2:$C1755&lt;&gt;"""",row($C$2:$C1755)=max(if($C$2:$C1755=C1756,row($C$2:$C1755),0)))) ,1),0),0))"),"")</f>
        <v/>
      </c>
      <c r="Q1756" s="147" t="str">
        <f t="shared" si="22"/>
        <v/>
      </c>
      <c r="R1756" s="147" t="str">
        <f t="shared" si="23"/>
        <v/>
      </c>
      <c r="S1756" s="147" t="str">
        <f t="shared" si="24"/>
        <v/>
      </c>
      <c r="T1756" s="147" t="str">
        <f t="shared" si="7"/>
        <v/>
      </c>
      <c r="U1756" s="150" t="str">
        <f t="shared" si="8"/>
        <v/>
      </c>
      <c r="V1756" s="151" t="str">
        <f>IFERROR(VLOOKUP(C1756,Ativos!$A$1:$G2000,5,),)</f>
        <v/>
      </c>
    </row>
    <row r="1757" ht="21.0" customHeight="1">
      <c r="A1757" s="152"/>
      <c r="B1757" s="160"/>
      <c r="C1757" s="153"/>
      <c r="D1757" s="154"/>
      <c r="E1757" s="139"/>
      <c r="F1757" s="139"/>
      <c r="G1757" s="139"/>
      <c r="H1757" s="135"/>
      <c r="I1757" s="141"/>
      <c r="J1757" s="147" t="str">
        <f>IFERROR(__xludf.DUMMYFUNCTION("IF(ISBLANK(A1757),IFERROR(1/0),IF(COUNT(FILTER(F:F,A:A=A1757))&gt;1,TRUNC(N1757*F1757/SUM(FILTER(N:N,A:A=A1757)),3),F1757))"),"")</f>
        <v/>
      </c>
      <c r="K1757" s="147" t="str">
        <f>IFERROR(__xludf.DUMMYFUNCTION("IF(ISBLANK(A1757),IFERROR(1/0),IF(COUNT(FILTER(G:G,((A:A=A1757)*(B:B=""V""))))&gt;1,TRUNC(N1757*G1757/SUM(FILTER(N:N,((A:A=A1757)*(B:B=""V"")))),3),G1757))"),"")</f>
        <v/>
      </c>
      <c r="L1757" s="148" t="str">
        <f>IFERROR(__xludf.DUMMYFUNCTION("if($C1757="""","""",iferror(if(row()&lt;&gt;2,INDEX(arrayformula(filter($M$2:$M1756,$C$2:$C1756&lt;&gt;"""",row($C$2:$C1756)=max(if($C$2:$C1756=C1757,row($C$2:$C1756),0)))) ,1),0),0))"),"")</f>
        <v/>
      </c>
      <c r="M1757" s="148" t="str">
        <f t="shared" si="1"/>
        <v/>
      </c>
      <c r="N1757" s="147" t="str">
        <f t="shared" si="2"/>
        <v/>
      </c>
      <c r="O1757" s="147" t="str">
        <f t="shared" si="21"/>
        <v/>
      </c>
      <c r="P1757" s="147" t="str">
        <f>IFERROR(__xludf.DUMMYFUNCTION("if(C1757="""","""",iferror(if(row()&lt;&gt;2,INDEX(arrayformula(filter($Q$2:$Q1756,$C$2:$C1756&lt;&gt;"""",row($C$2:$C1756)=max(if($C$2:$C1756=C1757,row($C$2:$C1756),0)))) ,1),0),0))"),"")</f>
        <v/>
      </c>
      <c r="Q1757" s="147" t="str">
        <f t="shared" si="22"/>
        <v/>
      </c>
      <c r="R1757" s="147" t="str">
        <f t="shared" si="23"/>
        <v/>
      </c>
      <c r="S1757" s="147" t="str">
        <f t="shared" si="24"/>
        <v/>
      </c>
      <c r="T1757" s="147" t="str">
        <f t="shared" si="7"/>
        <v/>
      </c>
      <c r="U1757" s="150" t="str">
        <f t="shared" si="8"/>
        <v/>
      </c>
      <c r="V1757" s="151" t="str">
        <f>IFERROR(VLOOKUP(C1757,Ativos!$A$1:$G2000,5,),)</f>
        <v/>
      </c>
    </row>
    <row r="1758" ht="21.0" customHeight="1">
      <c r="A1758" s="152"/>
      <c r="B1758" s="160"/>
      <c r="C1758" s="153"/>
      <c r="D1758" s="154"/>
      <c r="E1758" s="139"/>
      <c r="F1758" s="139"/>
      <c r="G1758" s="139"/>
      <c r="H1758" s="135"/>
      <c r="I1758" s="141"/>
      <c r="J1758" s="147" t="str">
        <f>IFERROR(__xludf.DUMMYFUNCTION("IF(ISBLANK(A1758),IFERROR(1/0),IF(COUNT(FILTER(F:F,A:A=A1758))&gt;1,TRUNC(N1758*F1758/SUM(FILTER(N:N,A:A=A1758)),3),F1758))"),"")</f>
        <v/>
      </c>
      <c r="K1758" s="147" t="str">
        <f>IFERROR(__xludf.DUMMYFUNCTION("IF(ISBLANK(A1758),IFERROR(1/0),IF(COUNT(FILTER(G:G,((A:A=A1758)*(B:B=""V""))))&gt;1,TRUNC(N1758*G1758/SUM(FILTER(N:N,((A:A=A1758)*(B:B=""V"")))),3),G1758))"),"")</f>
        <v/>
      </c>
      <c r="L1758" s="148" t="str">
        <f>IFERROR(__xludf.DUMMYFUNCTION("if($C1758="""","""",iferror(if(row()&lt;&gt;2,INDEX(arrayformula(filter($M$2:$M1757,$C$2:$C1757&lt;&gt;"""",row($C$2:$C1757)=max(if($C$2:$C1757=C1758,row($C$2:$C1757),0)))) ,1),0),0))"),"")</f>
        <v/>
      </c>
      <c r="M1758" s="148" t="str">
        <f t="shared" si="1"/>
        <v/>
      </c>
      <c r="N1758" s="147" t="str">
        <f t="shared" si="2"/>
        <v/>
      </c>
      <c r="O1758" s="147" t="str">
        <f t="shared" si="21"/>
        <v/>
      </c>
      <c r="P1758" s="147" t="str">
        <f>IFERROR(__xludf.DUMMYFUNCTION("if(C1758="""","""",iferror(if(row()&lt;&gt;2,INDEX(arrayformula(filter($Q$2:$Q1757,$C$2:$C1757&lt;&gt;"""",row($C$2:$C1757)=max(if($C$2:$C1757=C1758,row($C$2:$C1757),0)))) ,1),0),0))"),"")</f>
        <v/>
      </c>
      <c r="Q1758" s="147" t="str">
        <f t="shared" si="22"/>
        <v/>
      </c>
      <c r="R1758" s="147" t="str">
        <f t="shared" si="23"/>
        <v/>
      </c>
      <c r="S1758" s="147" t="str">
        <f t="shared" si="24"/>
        <v/>
      </c>
      <c r="T1758" s="147" t="str">
        <f t="shared" si="7"/>
        <v/>
      </c>
      <c r="U1758" s="150" t="str">
        <f t="shared" si="8"/>
        <v/>
      </c>
      <c r="V1758" s="151" t="str">
        <f>IFERROR(VLOOKUP(C1758,Ativos!$A$1:$G2000,5,),)</f>
        <v/>
      </c>
    </row>
    <row r="1759" ht="21.0" customHeight="1">
      <c r="A1759" s="152"/>
      <c r="B1759" s="160"/>
      <c r="C1759" s="153"/>
      <c r="D1759" s="154"/>
      <c r="E1759" s="139"/>
      <c r="F1759" s="139"/>
      <c r="G1759" s="139"/>
      <c r="H1759" s="135"/>
      <c r="I1759" s="141"/>
      <c r="J1759" s="147" t="str">
        <f>IFERROR(__xludf.DUMMYFUNCTION("IF(ISBLANK(A1759),IFERROR(1/0),IF(COUNT(FILTER(F:F,A:A=A1759))&gt;1,TRUNC(N1759*F1759/SUM(FILTER(N:N,A:A=A1759)),3),F1759))"),"")</f>
        <v/>
      </c>
      <c r="K1759" s="147" t="str">
        <f>IFERROR(__xludf.DUMMYFUNCTION("IF(ISBLANK(A1759),IFERROR(1/0),IF(COUNT(FILTER(G:G,((A:A=A1759)*(B:B=""V""))))&gt;1,TRUNC(N1759*G1759/SUM(FILTER(N:N,((A:A=A1759)*(B:B=""V"")))),3),G1759))"),"")</f>
        <v/>
      </c>
      <c r="L1759" s="148" t="str">
        <f>IFERROR(__xludf.DUMMYFUNCTION("if($C1759="""","""",iferror(if(row()&lt;&gt;2,INDEX(arrayformula(filter($M$2:$M1758,$C$2:$C1758&lt;&gt;"""",row($C$2:$C1758)=max(if($C$2:$C1758=C1759,row($C$2:$C1758),0)))) ,1),0),0))"),"")</f>
        <v/>
      </c>
      <c r="M1759" s="148" t="str">
        <f t="shared" si="1"/>
        <v/>
      </c>
      <c r="N1759" s="147" t="str">
        <f t="shared" si="2"/>
        <v/>
      </c>
      <c r="O1759" s="147" t="str">
        <f t="shared" si="21"/>
        <v/>
      </c>
      <c r="P1759" s="147" t="str">
        <f>IFERROR(__xludf.DUMMYFUNCTION("if(C1759="""","""",iferror(if(row()&lt;&gt;2,INDEX(arrayformula(filter($Q$2:$Q1758,$C$2:$C1758&lt;&gt;"""",row($C$2:$C1758)=max(if($C$2:$C1758=C1759,row($C$2:$C1758),0)))) ,1),0),0))"),"")</f>
        <v/>
      </c>
      <c r="Q1759" s="147" t="str">
        <f t="shared" si="22"/>
        <v/>
      </c>
      <c r="R1759" s="147" t="str">
        <f t="shared" si="23"/>
        <v/>
      </c>
      <c r="S1759" s="147" t="str">
        <f t="shared" si="24"/>
        <v/>
      </c>
      <c r="T1759" s="147" t="str">
        <f t="shared" si="7"/>
        <v/>
      </c>
      <c r="U1759" s="150" t="str">
        <f t="shared" si="8"/>
        <v/>
      </c>
      <c r="V1759" s="151" t="str">
        <f>IFERROR(VLOOKUP(C1759,Ativos!$A$1:$G2000,5,),)</f>
        <v/>
      </c>
    </row>
    <row r="1760" ht="21.0" customHeight="1">
      <c r="A1760" s="152"/>
      <c r="B1760" s="160"/>
      <c r="C1760" s="153"/>
      <c r="D1760" s="154"/>
      <c r="E1760" s="139"/>
      <c r="F1760" s="139"/>
      <c r="G1760" s="139"/>
      <c r="H1760" s="135"/>
      <c r="I1760" s="141"/>
      <c r="J1760" s="147" t="str">
        <f>IFERROR(__xludf.DUMMYFUNCTION("IF(ISBLANK(A1760),IFERROR(1/0),IF(COUNT(FILTER(F:F,A:A=A1760))&gt;1,TRUNC(N1760*F1760/SUM(FILTER(N:N,A:A=A1760)),3),F1760))"),"")</f>
        <v/>
      </c>
      <c r="K1760" s="147" t="str">
        <f>IFERROR(__xludf.DUMMYFUNCTION("IF(ISBLANK(A1760),IFERROR(1/0),IF(COUNT(FILTER(G:G,((A:A=A1760)*(B:B=""V""))))&gt;1,TRUNC(N1760*G1760/SUM(FILTER(N:N,((A:A=A1760)*(B:B=""V"")))),3),G1760))"),"")</f>
        <v/>
      </c>
      <c r="L1760" s="148" t="str">
        <f>IFERROR(__xludf.DUMMYFUNCTION("if($C1760="""","""",iferror(if(row()&lt;&gt;2,INDEX(arrayformula(filter($M$2:$M1759,$C$2:$C1759&lt;&gt;"""",row($C$2:$C1759)=max(if($C$2:$C1759=C1760,row($C$2:$C1759),0)))) ,1),0),0))"),"")</f>
        <v/>
      </c>
      <c r="M1760" s="148" t="str">
        <f t="shared" si="1"/>
        <v/>
      </c>
      <c r="N1760" s="147" t="str">
        <f t="shared" si="2"/>
        <v/>
      </c>
      <c r="O1760" s="147" t="str">
        <f t="shared" si="21"/>
        <v/>
      </c>
      <c r="P1760" s="147" t="str">
        <f>IFERROR(__xludf.DUMMYFUNCTION("if(C1760="""","""",iferror(if(row()&lt;&gt;2,INDEX(arrayformula(filter($Q$2:$Q1759,$C$2:$C1759&lt;&gt;"""",row($C$2:$C1759)=max(if($C$2:$C1759=C1760,row($C$2:$C1759),0)))) ,1),0),0))"),"")</f>
        <v/>
      </c>
      <c r="Q1760" s="147" t="str">
        <f t="shared" si="22"/>
        <v/>
      </c>
      <c r="R1760" s="147" t="str">
        <f t="shared" si="23"/>
        <v/>
      </c>
      <c r="S1760" s="147" t="str">
        <f t="shared" si="24"/>
        <v/>
      </c>
      <c r="T1760" s="147" t="str">
        <f t="shared" si="7"/>
        <v/>
      </c>
      <c r="U1760" s="150" t="str">
        <f t="shared" si="8"/>
        <v/>
      </c>
      <c r="V1760" s="151" t="str">
        <f>IFERROR(VLOOKUP(C1760,Ativos!$A$1:$G2000,5,),)</f>
        <v/>
      </c>
    </row>
    <row r="1761" ht="21.0" customHeight="1">
      <c r="A1761" s="152"/>
      <c r="B1761" s="160"/>
      <c r="C1761" s="153"/>
      <c r="D1761" s="154"/>
      <c r="E1761" s="139"/>
      <c r="F1761" s="139"/>
      <c r="G1761" s="139"/>
      <c r="H1761" s="135"/>
      <c r="I1761" s="141"/>
      <c r="J1761" s="147" t="str">
        <f>IFERROR(__xludf.DUMMYFUNCTION("IF(ISBLANK(A1761),IFERROR(1/0),IF(COUNT(FILTER(F:F,A:A=A1761))&gt;1,TRUNC(N1761*F1761/SUM(FILTER(N:N,A:A=A1761)),3),F1761))"),"")</f>
        <v/>
      </c>
      <c r="K1761" s="147" t="str">
        <f>IFERROR(__xludf.DUMMYFUNCTION("IF(ISBLANK(A1761),IFERROR(1/0),IF(COUNT(FILTER(G:G,((A:A=A1761)*(B:B=""V""))))&gt;1,TRUNC(N1761*G1761/SUM(FILTER(N:N,((A:A=A1761)*(B:B=""V"")))),3),G1761))"),"")</f>
        <v/>
      </c>
      <c r="L1761" s="148" t="str">
        <f>IFERROR(__xludf.DUMMYFUNCTION("if($C1761="""","""",iferror(if(row()&lt;&gt;2,INDEX(arrayformula(filter($M$2:$M1760,$C$2:$C1760&lt;&gt;"""",row($C$2:$C1760)=max(if($C$2:$C1760=C1761,row($C$2:$C1760),0)))) ,1),0),0))"),"")</f>
        <v/>
      </c>
      <c r="M1761" s="148" t="str">
        <f t="shared" si="1"/>
        <v/>
      </c>
      <c r="N1761" s="147" t="str">
        <f t="shared" si="2"/>
        <v/>
      </c>
      <c r="O1761" s="147" t="str">
        <f t="shared" si="21"/>
        <v/>
      </c>
      <c r="P1761" s="147" t="str">
        <f>IFERROR(__xludf.DUMMYFUNCTION("if(C1761="""","""",iferror(if(row()&lt;&gt;2,INDEX(arrayformula(filter($Q$2:$Q1760,$C$2:$C1760&lt;&gt;"""",row($C$2:$C1760)=max(if($C$2:$C1760=C1761,row($C$2:$C1760),0)))) ,1),0),0))"),"")</f>
        <v/>
      </c>
      <c r="Q1761" s="147" t="str">
        <f t="shared" si="22"/>
        <v/>
      </c>
      <c r="R1761" s="147" t="str">
        <f t="shared" si="23"/>
        <v/>
      </c>
      <c r="S1761" s="147" t="str">
        <f t="shared" si="24"/>
        <v/>
      </c>
      <c r="T1761" s="147" t="str">
        <f t="shared" si="7"/>
        <v/>
      </c>
      <c r="U1761" s="150" t="str">
        <f t="shared" si="8"/>
        <v/>
      </c>
      <c r="V1761" s="151" t="str">
        <f>IFERROR(VLOOKUP(C1761,Ativos!$A$1:$G2000,5,),)</f>
        <v/>
      </c>
    </row>
    <row r="1762" ht="21.0" customHeight="1">
      <c r="A1762" s="152"/>
      <c r="B1762" s="160"/>
      <c r="C1762" s="153"/>
      <c r="D1762" s="154"/>
      <c r="E1762" s="139"/>
      <c r="F1762" s="139"/>
      <c r="G1762" s="139"/>
      <c r="H1762" s="135"/>
      <c r="I1762" s="141"/>
      <c r="J1762" s="147" t="str">
        <f>IFERROR(__xludf.DUMMYFUNCTION("IF(ISBLANK(A1762),IFERROR(1/0),IF(COUNT(FILTER(F:F,A:A=A1762))&gt;1,TRUNC(N1762*F1762/SUM(FILTER(N:N,A:A=A1762)),3),F1762))"),"")</f>
        <v/>
      </c>
      <c r="K1762" s="147" t="str">
        <f>IFERROR(__xludf.DUMMYFUNCTION("IF(ISBLANK(A1762),IFERROR(1/0),IF(COUNT(FILTER(G:G,((A:A=A1762)*(B:B=""V""))))&gt;1,TRUNC(N1762*G1762/SUM(FILTER(N:N,((A:A=A1762)*(B:B=""V"")))),3),G1762))"),"")</f>
        <v/>
      </c>
      <c r="L1762" s="148" t="str">
        <f>IFERROR(__xludf.DUMMYFUNCTION("if($C1762="""","""",iferror(if(row()&lt;&gt;2,INDEX(arrayformula(filter($M$2:$M1761,$C$2:$C1761&lt;&gt;"""",row($C$2:$C1761)=max(if($C$2:$C1761=C1762,row($C$2:$C1761),0)))) ,1),0),0))"),"")</f>
        <v/>
      </c>
      <c r="M1762" s="148" t="str">
        <f t="shared" si="1"/>
        <v/>
      </c>
      <c r="N1762" s="147" t="str">
        <f t="shared" si="2"/>
        <v/>
      </c>
      <c r="O1762" s="147" t="str">
        <f t="shared" si="21"/>
        <v/>
      </c>
      <c r="P1762" s="147" t="str">
        <f>IFERROR(__xludf.DUMMYFUNCTION("if(C1762="""","""",iferror(if(row()&lt;&gt;2,INDEX(arrayformula(filter($Q$2:$Q1761,$C$2:$C1761&lt;&gt;"""",row($C$2:$C1761)=max(if($C$2:$C1761=C1762,row($C$2:$C1761),0)))) ,1),0),0))"),"")</f>
        <v/>
      </c>
      <c r="Q1762" s="147" t="str">
        <f t="shared" si="22"/>
        <v/>
      </c>
      <c r="R1762" s="147" t="str">
        <f t="shared" si="23"/>
        <v/>
      </c>
      <c r="S1762" s="147" t="str">
        <f t="shared" si="24"/>
        <v/>
      </c>
      <c r="T1762" s="147" t="str">
        <f t="shared" si="7"/>
        <v/>
      </c>
      <c r="U1762" s="150" t="str">
        <f t="shared" si="8"/>
        <v/>
      </c>
      <c r="V1762" s="151" t="str">
        <f>IFERROR(VLOOKUP(C1762,Ativos!$A$1:$G2000,5,),)</f>
        <v/>
      </c>
    </row>
    <row r="1763" ht="21.0" customHeight="1">
      <c r="A1763" s="152"/>
      <c r="B1763" s="160"/>
      <c r="C1763" s="153"/>
      <c r="D1763" s="154"/>
      <c r="E1763" s="139"/>
      <c r="F1763" s="139"/>
      <c r="G1763" s="139"/>
      <c r="H1763" s="135"/>
      <c r="I1763" s="141"/>
      <c r="J1763" s="147" t="str">
        <f>IFERROR(__xludf.DUMMYFUNCTION("IF(ISBLANK(A1763),IFERROR(1/0),IF(COUNT(FILTER(F:F,A:A=A1763))&gt;1,TRUNC(N1763*F1763/SUM(FILTER(N:N,A:A=A1763)),3),F1763))"),"")</f>
        <v/>
      </c>
      <c r="K1763" s="147" t="str">
        <f>IFERROR(__xludf.DUMMYFUNCTION("IF(ISBLANK(A1763),IFERROR(1/0),IF(COUNT(FILTER(G:G,((A:A=A1763)*(B:B=""V""))))&gt;1,TRUNC(N1763*G1763/SUM(FILTER(N:N,((A:A=A1763)*(B:B=""V"")))),3),G1763))"),"")</f>
        <v/>
      </c>
      <c r="L1763" s="148" t="str">
        <f>IFERROR(__xludf.DUMMYFUNCTION("if($C1763="""","""",iferror(if(row()&lt;&gt;2,INDEX(arrayformula(filter($M$2:$M1762,$C$2:$C1762&lt;&gt;"""",row($C$2:$C1762)=max(if($C$2:$C1762=C1763,row($C$2:$C1762),0)))) ,1),0),0))"),"")</f>
        <v/>
      </c>
      <c r="M1763" s="148" t="str">
        <f t="shared" si="1"/>
        <v/>
      </c>
      <c r="N1763" s="147" t="str">
        <f t="shared" si="2"/>
        <v/>
      </c>
      <c r="O1763" s="147" t="str">
        <f t="shared" si="21"/>
        <v/>
      </c>
      <c r="P1763" s="147" t="str">
        <f>IFERROR(__xludf.DUMMYFUNCTION("if(C1763="""","""",iferror(if(row()&lt;&gt;2,INDEX(arrayformula(filter($Q$2:$Q1762,$C$2:$C1762&lt;&gt;"""",row($C$2:$C1762)=max(if($C$2:$C1762=C1763,row($C$2:$C1762),0)))) ,1),0),0))"),"")</f>
        <v/>
      </c>
      <c r="Q1763" s="147" t="str">
        <f t="shared" si="22"/>
        <v/>
      </c>
      <c r="R1763" s="147" t="str">
        <f t="shared" si="23"/>
        <v/>
      </c>
      <c r="S1763" s="147" t="str">
        <f t="shared" si="24"/>
        <v/>
      </c>
      <c r="T1763" s="147" t="str">
        <f t="shared" si="7"/>
        <v/>
      </c>
      <c r="U1763" s="150" t="str">
        <f t="shared" si="8"/>
        <v/>
      </c>
      <c r="V1763" s="151" t="str">
        <f>IFERROR(VLOOKUP(C1763,Ativos!$A$1:$G2000,5,),)</f>
        <v/>
      </c>
    </row>
    <row r="1764" ht="21.0" customHeight="1">
      <c r="A1764" s="152"/>
      <c r="B1764" s="160"/>
      <c r="C1764" s="153"/>
      <c r="D1764" s="154"/>
      <c r="E1764" s="139"/>
      <c r="F1764" s="139"/>
      <c r="G1764" s="139"/>
      <c r="H1764" s="135"/>
      <c r="I1764" s="141"/>
      <c r="J1764" s="147" t="str">
        <f>IFERROR(__xludf.DUMMYFUNCTION("IF(ISBLANK(A1764),IFERROR(1/0),IF(COUNT(FILTER(F:F,A:A=A1764))&gt;1,TRUNC(N1764*F1764/SUM(FILTER(N:N,A:A=A1764)),3),F1764))"),"")</f>
        <v/>
      </c>
      <c r="K1764" s="147" t="str">
        <f>IFERROR(__xludf.DUMMYFUNCTION("IF(ISBLANK(A1764),IFERROR(1/0),IF(COUNT(FILTER(G:G,((A:A=A1764)*(B:B=""V""))))&gt;1,TRUNC(N1764*G1764/SUM(FILTER(N:N,((A:A=A1764)*(B:B=""V"")))),3),G1764))"),"")</f>
        <v/>
      </c>
      <c r="L1764" s="148" t="str">
        <f>IFERROR(__xludf.DUMMYFUNCTION("if($C1764="""","""",iferror(if(row()&lt;&gt;2,INDEX(arrayformula(filter($M$2:$M1763,$C$2:$C1763&lt;&gt;"""",row($C$2:$C1763)=max(if($C$2:$C1763=C1764,row($C$2:$C1763),0)))) ,1),0),0))"),"")</f>
        <v/>
      </c>
      <c r="M1764" s="148" t="str">
        <f t="shared" si="1"/>
        <v/>
      </c>
      <c r="N1764" s="147" t="str">
        <f t="shared" si="2"/>
        <v/>
      </c>
      <c r="O1764" s="147" t="str">
        <f t="shared" si="21"/>
        <v/>
      </c>
      <c r="P1764" s="147" t="str">
        <f>IFERROR(__xludf.DUMMYFUNCTION("if(C1764="""","""",iferror(if(row()&lt;&gt;2,INDEX(arrayformula(filter($Q$2:$Q1763,$C$2:$C1763&lt;&gt;"""",row($C$2:$C1763)=max(if($C$2:$C1763=C1764,row($C$2:$C1763),0)))) ,1),0),0))"),"")</f>
        <v/>
      </c>
      <c r="Q1764" s="147" t="str">
        <f t="shared" si="22"/>
        <v/>
      </c>
      <c r="R1764" s="147" t="str">
        <f t="shared" si="23"/>
        <v/>
      </c>
      <c r="S1764" s="147" t="str">
        <f t="shared" si="24"/>
        <v/>
      </c>
      <c r="T1764" s="147" t="str">
        <f t="shared" si="7"/>
        <v/>
      </c>
      <c r="U1764" s="150" t="str">
        <f t="shared" si="8"/>
        <v/>
      </c>
      <c r="V1764" s="151" t="str">
        <f>IFERROR(VLOOKUP(C1764,Ativos!$A$1:$G2000,5,),)</f>
        <v/>
      </c>
    </row>
    <row r="1765" ht="21.0" customHeight="1">
      <c r="A1765" s="152"/>
      <c r="B1765" s="160"/>
      <c r="C1765" s="153"/>
      <c r="D1765" s="154"/>
      <c r="E1765" s="139"/>
      <c r="F1765" s="139"/>
      <c r="G1765" s="139"/>
      <c r="H1765" s="135"/>
      <c r="I1765" s="141"/>
      <c r="J1765" s="147" t="str">
        <f>IFERROR(__xludf.DUMMYFUNCTION("IF(ISBLANK(A1765),IFERROR(1/0),IF(COUNT(FILTER(F:F,A:A=A1765))&gt;1,TRUNC(N1765*F1765/SUM(FILTER(N:N,A:A=A1765)),3),F1765))"),"")</f>
        <v/>
      </c>
      <c r="K1765" s="147" t="str">
        <f>IFERROR(__xludf.DUMMYFUNCTION("IF(ISBLANK(A1765),IFERROR(1/0),IF(COUNT(FILTER(G:G,((A:A=A1765)*(B:B=""V""))))&gt;1,TRUNC(N1765*G1765/SUM(FILTER(N:N,((A:A=A1765)*(B:B=""V"")))),3),G1765))"),"")</f>
        <v/>
      </c>
      <c r="L1765" s="148" t="str">
        <f>IFERROR(__xludf.DUMMYFUNCTION("if($C1765="""","""",iferror(if(row()&lt;&gt;2,INDEX(arrayformula(filter($M$2:$M1764,$C$2:$C1764&lt;&gt;"""",row($C$2:$C1764)=max(if($C$2:$C1764=C1765,row($C$2:$C1764),0)))) ,1),0),0))"),"")</f>
        <v/>
      </c>
      <c r="M1765" s="148" t="str">
        <f t="shared" si="1"/>
        <v/>
      </c>
      <c r="N1765" s="147" t="str">
        <f t="shared" si="2"/>
        <v/>
      </c>
      <c r="O1765" s="147" t="str">
        <f t="shared" si="21"/>
        <v/>
      </c>
      <c r="P1765" s="147" t="str">
        <f>IFERROR(__xludf.DUMMYFUNCTION("if(C1765="""","""",iferror(if(row()&lt;&gt;2,INDEX(arrayformula(filter($Q$2:$Q1764,$C$2:$C1764&lt;&gt;"""",row($C$2:$C1764)=max(if($C$2:$C1764=C1765,row($C$2:$C1764),0)))) ,1),0),0))"),"")</f>
        <v/>
      </c>
      <c r="Q1765" s="147" t="str">
        <f t="shared" si="22"/>
        <v/>
      </c>
      <c r="R1765" s="147" t="str">
        <f t="shared" si="23"/>
        <v/>
      </c>
      <c r="S1765" s="147" t="str">
        <f t="shared" si="24"/>
        <v/>
      </c>
      <c r="T1765" s="147" t="str">
        <f t="shared" si="7"/>
        <v/>
      </c>
      <c r="U1765" s="150" t="str">
        <f t="shared" si="8"/>
        <v/>
      </c>
      <c r="V1765" s="151" t="str">
        <f>IFERROR(VLOOKUP(C1765,Ativos!$A$1:$G2000,5,),)</f>
        <v/>
      </c>
    </row>
    <row r="1766" ht="21.0" customHeight="1">
      <c r="A1766" s="152"/>
      <c r="B1766" s="160"/>
      <c r="C1766" s="153"/>
      <c r="D1766" s="154"/>
      <c r="E1766" s="139"/>
      <c r="F1766" s="139"/>
      <c r="G1766" s="139"/>
      <c r="H1766" s="135"/>
      <c r="I1766" s="141"/>
      <c r="J1766" s="147" t="str">
        <f>IFERROR(__xludf.DUMMYFUNCTION("IF(ISBLANK(A1766),IFERROR(1/0),IF(COUNT(FILTER(F:F,A:A=A1766))&gt;1,TRUNC(N1766*F1766/SUM(FILTER(N:N,A:A=A1766)),3),F1766))"),"")</f>
        <v/>
      </c>
      <c r="K1766" s="147" t="str">
        <f>IFERROR(__xludf.DUMMYFUNCTION("IF(ISBLANK(A1766),IFERROR(1/0),IF(COUNT(FILTER(G:G,((A:A=A1766)*(B:B=""V""))))&gt;1,TRUNC(N1766*G1766/SUM(FILTER(N:N,((A:A=A1766)*(B:B=""V"")))),3),G1766))"),"")</f>
        <v/>
      </c>
      <c r="L1766" s="148" t="str">
        <f>IFERROR(__xludf.DUMMYFUNCTION("if($C1766="""","""",iferror(if(row()&lt;&gt;2,INDEX(arrayformula(filter($M$2:$M1765,$C$2:$C1765&lt;&gt;"""",row($C$2:$C1765)=max(if($C$2:$C1765=C1766,row($C$2:$C1765),0)))) ,1),0),0))"),"")</f>
        <v/>
      </c>
      <c r="M1766" s="148" t="str">
        <f t="shared" si="1"/>
        <v/>
      </c>
      <c r="N1766" s="147" t="str">
        <f t="shared" si="2"/>
        <v/>
      </c>
      <c r="O1766" s="147" t="str">
        <f t="shared" si="21"/>
        <v/>
      </c>
      <c r="P1766" s="147" t="str">
        <f>IFERROR(__xludf.DUMMYFUNCTION("if(C1766="""","""",iferror(if(row()&lt;&gt;2,INDEX(arrayformula(filter($Q$2:$Q1765,$C$2:$C1765&lt;&gt;"""",row($C$2:$C1765)=max(if($C$2:$C1765=C1766,row($C$2:$C1765),0)))) ,1),0),0))"),"")</f>
        <v/>
      </c>
      <c r="Q1766" s="147" t="str">
        <f t="shared" si="22"/>
        <v/>
      </c>
      <c r="R1766" s="147" t="str">
        <f t="shared" si="23"/>
        <v/>
      </c>
      <c r="S1766" s="147" t="str">
        <f t="shared" si="24"/>
        <v/>
      </c>
      <c r="T1766" s="147" t="str">
        <f t="shared" si="7"/>
        <v/>
      </c>
      <c r="U1766" s="150" t="str">
        <f t="shared" si="8"/>
        <v/>
      </c>
      <c r="V1766" s="151" t="str">
        <f>IFERROR(VLOOKUP(C1766,Ativos!$A$1:$G2000,5,),)</f>
        <v/>
      </c>
    </row>
    <row r="1767" ht="21.0" customHeight="1">
      <c r="A1767" s="152"/>
      <c r="B1767" s="160"/>
      <c r="C1767" s="153"/>
      <c r="D1767" s="154"/>
      <c r="E1767" s="139"/>
      <c r="F1767" s="139"/>
      <c r="G1767" s="139"/>
      <c r="H1767" s="135"/>
      <c r="I1767" s="141"/>
      <c r="J1767" s="147" t="str">
        <f>IFERROR(__xludf.DUMMYFUNCTION("IF(ISBLANK(A1767),IFERROR(1/0),IF(COUNT(FILTER(F:F,A:A=A1767))&gt;1,TRUNC(N1767*F1767/SUM(FILTER(N:N,A:A=A1767)),3),F1767))"),"")</f>
        <v/>
      </c>
      <c r="K1767" s="147" t="str">
        <f>IFERROR(__xludf.DUMMYFUNCTION("IF(ISBLANK(A1767),IFERROR(1/0),IF(COUNT(FILTER(G:G,((A:A=A1767)*(B:B=""V""))))&gt;1,TRUNC(N1767*G1767/SUM(FILTER(N:N,((A:A=A1767)*(B:B=""V"")))),3),G1767))"),"")</f>
        <v/>
      </c>
      <c r="L1767" s="148" t="str">
        <f>IFERROR(__xludf.DUMMYFUNCTION("if($C1767="""","""",iferror(if(row()&lt;&gt;2,INDEX(arrayformula(filter($M$2:$M1766,$C$2:$C1766&lt;&gt;"""",row($C$2:$C1766)=max(if($C$2:$C1766=C1767,row($C$2:$C1766),0)))) ,1),0),0))"),"")</f>
        <v/>
      </c>
      <c r="M1767" s="148" t="str">
        <f t="shared" si="1"/>
        <v/>
      </c>
      <c r="N1767" s="147" t="str">
        <f t="shared" si="2"/>
        <v/>
      </c>
      <c r="O1767" s="147" t="str">
        <f t="shared" si="21"/>
        <v/>
      </c>
      <c r="P1767" s="147" t="str">
        <f>IFERROR(__xludf.DUMMYFUNCTION("if(C1767="""","""",iferror(if(row()&lt;&gt;2,INDEX(arrayformula(filter($Q$2:$Q1766,$C$2:$C1766&lt;&gt;"""",row($C$2:$C1766)=max(if($C$2:$C1766=C1767,row($C$2:$C1766),0)))) ,1),0),0))"),"")</f>
        <v/>
      </c>
      <c r="Q1767" s="147" t="str">
        <f t="shared" si="22"/>
        <v/>
      </c>
      <c r="R1767" s="147" t="str">
        <f t="shared" si="23"/>
        <v/>
      </c>
      <c r="S1767" s="147" t="str">
        <f t="shared" si="24"/>
        <v/>
      </c>
      <c r="T1767" s="147" t="str">
        <f t="shared" si="7"/>
        <v/>
      </c>
      <c r="U1767" s="150" t="str">
        <f t="shared" si="8"/>
        <v/>
      </c>
      <c r="V1767" s="151" t="str">
        <f>IFERROR(VLOOKUP(C1767,Ativos!$A$1:$G2000,5,),)</f>
        <v/>
      </c>
    </row>
    <row r="1768" ht="21.0" customHeight="1">
      <c r="A1768" s="152"/>
      <c r="B1768" s="160"/>
      <c r="C1768" s="153"/>
      <c r="D1768" s="154"/>
      <c r="E1768" s="139"/>
      <c r="F1768" s="139"/>
      <c r="G1768" s="139"/>
      <c r="H1768" s="135"/>
      <c r="I1768" s="141"/>
      <c r="J1768" s="147" t="str">
        <f>IFERROR(__xludf.DUMMYFUNCTION("IF(ISBLANK(A1768),IFERROR(1/0),IF(COUNT(FILTER(F:F,A:A=A1768))&gt;1,TRUNC(N1768*F1768/SUM(FILTER(N:N,A:A=A1768)),3),F1768))"),"")</f>
        <v/>
      </c>
      <c r="K1768" s="147" t="str">
        <f>IFERROR(__xludf.DUMMYFUNCTION("IF(ISBLANK(A1768),IFERROR(1/0),IF(COUNT(FILTER(G:G,((A:A=A1768)*(B:B=""V""))))&gt;1,TRUNC(N1768*G1768/SUM(FILTER(N:N,((A:A=A1768)*(B:B=""V"")))),3),G1768))"),"")</f>
        <v/>
      </c>
      <c r="L1768" s="148" t="str">
        <f>IFERROR(__xludf.DUMMYFUNCTION("if($C1768="""","""",iferror(if(row()&lt;&gt;2,INDEX(arrayformula(filter($M$2:$M1767,$C$2:$C1767&lt;&gt;"""",row($C$2:$C1767)=max(if($C$2:$C1767=C1768,row($C$2:$C1767),0)))) ,1),0),0))"),"")</f>
        <v/>
      </c>
      <c r="M1768" s="148" t="str">
        <f t="shared" si="1"/>
        <v/>
      </c>
      <c r="N1768" s="147" t="str">
        <f t="shared" si="2"/>
        <v/>
      </c>
      <c r="O1768" s="147" t="str">
        <f t="shared" si="21"/>
        <v/>
      </c>
      <c r="P1768" s="147" t="str">
        <f>IFERROR(__xludf.DUMMYFUNCTION("if(C1768="""","""",iferror(if(row()&lt;&gt;2,INDEX(arrayformula(filter($Q$2:$Q1767,$C$2:$C1767&lt;&gt;"""",row($C$2:$C1767)=max(if($C$2:$C1767=C1768,row($C$2:$C1767),0)))) ,1),0),0))"),"")</f>
        <v/>
      </c>
      <c r="Q1768" s="147" t="str">
        <f t="shared" si="22"/>
        <v/>
      </c>
      <c r="R1768" s="147" t="str">
        <f t="shared" si="23"/>
        <v/>
      </c>
      <c r="S1768" s="147" t="str">
        <f t="shared" si="24"/>
        <v/>
      </c>
      <c r="T1768" s="147" t="str">
        <f t="shared" si="7"/>
        <v/>
      </c>
      <c r="U1768" s="150" t="str">
        <f t="shared" si="8"/>
        <v/>
      </c>
      <c r="V1768" s="151" t="str">
        <f>IFERROR(VLOOKUP(C1768,Ativos!$A$1:$G2000,5,),)</f>
        <v/>
      </c>
    </row>
    <row r="1769" ht="21.0" customHeight="1">
      <c r="A1769" s="152"/>
      <c r="B1769" s="160"/>
      <c r="C1769" s="153"/>
      <c r="D1769" s="154"/>
      <c r="E1769" s="139"/>
      <c r="F1769" s="139"/>
      <c r="G1769" s="139"/>
      <c r="H1769" s="135"/>
      <c r="I1769" s="141"/>
      <c r="J1769" s="147" t="str">
        <f>IFERROR(__xludf.DUMMYFUNCTION("IF(ISBLANK(A1769),IFERROR(1/0),IF(COUNT(FILTER(F:F,A:A=A1769))&gt;1,TRUNC(N1769*F1769/SUM(FILTER(N:N,A:A=A1769)),3),F1769))"),"")</f>
        <v/>
      </c>
      <c r="K1769" s="147" t="str">
        <f>IFERROR(__xludf.DUMMYFUNCTION("IF(ISBLANK(A1769),IFERROR(1/0),IF(COUNT(FILTER(G:G,((A:A=A1769)*(B:B=""V""))))&gt;1,TRUNC(N1769*G1769/SUM(FILTER(N:N,((A:A=A1769)*(B:B=""V"")))),3),G1769))"),"")</f>
        <v/>
      </c>
      <c r="L1769" s="148" t="str">
        <f>IFERROR(__xludf.DUMMYFUNCTION("if($C1769="""","""",iferror(if(row()&lt;&gt;2,INDEX(arrayformula(filter($M$2:$M1768,$C$2:$C1768&lt;&gt;"""",row($C$2:$C1768)=max(if($C$2:$C1768=C1769,row($C$2:$C1768),0)))) ,1),0),0))"),"")</f>
        <v/>
      </c>
      <c r="M1769" s="148" t="str">
        <f t="shared" si="1"/>
        <v/>
      </c>
      <c r="N1769" s="147" t="str">
        <f t="shared" si="2"/>
        <v/>
      </c>
      <c r="O1769" s="147" t="str">
        <f t="shared" si="21"/>
        <v/>
      </c>
      <c r="P1769" s="147" t="str">
        <f>IFERROR(__xludf.DUMMYFUNCTION("if(C1769="""","""",iferror(if(row()&lt;&gt;2,INDEX(arrayformula(filter($Q$2:$Q1768,$C$2:$C1768&lt;&gt;"""",row($C$2:$C1768)=max(if($C$2:$C1768=C1769,row($C$2:$C1768),0)))) ,1),0),0))"),"")</f>
        <v/>
      </c>
      <c r="Q1769" s="147" t="str">
        <f t="shared" si="22"/>
        <v/>
      </c>
      <c r="R1769" s="147" t="str">
        <f t="shared" si="23"/>
        <v/>
      </c>
      <c r="S1769" s="147" t="str">
        <f t="shared" si="24"/>
        <v/>
      </c>
      <c r="T1769" s="147" t="str">
        <f t="shared" si="7"/>
        <v/>
      </c>
      <c r="U1769" s="150" t="str">
        <f t="shared" si="8"/>
        <v/>
      </c>
      <c r="V1769" s="151" t="str">
        <f>IFERROR(VLOOKUP(C1769,Ativos!$A$1:$G2000,5,),)</f>
        <v/>
      </c>
    </row>
    <row r="1770" ht="21.0" customHeight="1">
      <c r="A1770" s="152"/>
      <c r="B1770" s="160"/>
      <c r="C1770" s="153"/>
      <c r="D1770" s="154"/>
      <c r="E1770" s="139"/>
      <c r="F1770" s="139"/>
      <c r="G1770" s="139"/>
      <c r="H1770" s="135"/>
      <c r="I1770" s="141"/>
      <c r="J1770" s="147" t="str">
        <f>IFERROR(__xludf.DUMMYFUNCTION("IF(ISBLANK(A1770),IFERROR(1/0),IF(COUNT(FILTER(F:F,A:A=A1770))&gt;1,TRUNC(N1770*F1770/SUM(FILTER(N:N,A:A=A1770)),3),F1770))"),"")</f>
        <v/>
      </c>
      <c r="K1770" s="147" t="str">
        <f>IFERROR(__xludf.DUMMYFUNCTION("IF(ISBLANK(A1770),IFERROR(1/0),IF(COUNT(FILTER(G:G,((A:A=A1770)*(B:B=""V""))))&gt;1,TRUNC(N1770*G1770/SUM(FILTER(N:N,((A:A=A1770)*(B:B=""V"")))),3),G1770))"),"")</f>
        <v/>
      </c>
      <c r="L1770" s="148" t="str">
        <f>IFERROR(__xludf.DUMMYFUNCTION("if($C1770="""","""",iferror(if(row()&lt;&gt;2,INDEX(arrayformula(filter($M$2:$M1769,$C$2:$C1769&lt;&gt;"""",row($C$2:$C1769)=max(if($C$2:$C1769=C1770,row($C$2:$C1769),0)))) ,1),0),0))"),"")</f>
        <v/>
      </c>
      <c r="M1770" s="148" t="str">
        <f t="shared" si="1"/>
        <v/>
      </c>
      <c r="N1770" s="147" t="str">
        <f t="shared" si="2"/>
        <v/>
      </c>
      <c r="O1770" s="147" t="str">
        <f t="shared" si="21"/>
        <v/>
      </c>
      <c r="P1770" s="147" t="str">
        <f>IFERROR(__xludf.DUMMYFUNCTION("if(C1770="""","""",iferror(if(row()&lt;&gt;2,INDEX(arrayformula(filter($Q$2:$Q1769,$C$2:$C1769&lt;&gt;"""",row($C$2:$C1769)=max(if($C$2:$C1769=C1770,row($C$2:$C1769),0)))) ,1),0),0))"),"")</f>
        <v/>
      </c>
      <c r="Q1770" s="147" t="str">
        <f t="shared" si="22"/>
        <v/>
      </c>
      <c r="R1770" s="147" t="str">
        <f t="shared" si="23"/>
        <v/>
      </c>
      <c r="S1770" s="147" t="str">
        <f t="shared" si="24"/>
        <v/>
      </c>
      <c r="T1770" s="147" t="str">
        <f t="shared" si="7"/>
        <v/>
      </c>
      <c r="U1770" s="150" t="str">
        <f t="shared" si="8"/>
        <v/>
      </c>
      <c r="V1770" s="151" t="str">
        <f>IFERROR(VLOOKUP(C1770,Ativos!$A$1:$G2000,5,),)</f>
        <v/>
      </c>
    </row>
    <row r="1771" ht="21.0" customHeight="1">
      <c r="A1771" s="152"/>
      <c r="B1771" s="160"/>
      <c r="C1771" s="153"/>
      <c r="D1771" s="154"/>
      <c r="E1771" s="139"/>
      <c r="F1771" s="139"/>
      <c r="G1771" s="139"/>
      <c r="H1771" s="135"/>
      <c r="I1771" s="141"/>
      <c r="J1771" s="147" t="str">
        <f>IFERROR(__xludf.DUMMYFUNCTION("IF(ISBLANK(A1771),IFERROR(1/0),IF(COUNT(FILTER(F:F,A:A=A1771))&gt;1,TRUNC(N1771*F1771/SUM(FILTER(N:N,A:A=A1771)),3),F1771))"),"")</f>
        <v/>
      </c>
      <c r="K1771" s="147" t="str">
        <f>IFERROR(__xludf.DUMMYFUNCTION("IF(ISBLANK(A1771),IFERROR(1/0),IF(COUNT(FILTER(G:G,((A:A=A1771)*(B:B=""V""))))&gt;1,TRUNC(N1771*G1771/SUM(FILTER(N:N,((A:A=A1771)*(B:B=""V"")))),3),G1771))"),"")</f>
        <v/>
      </c>
      <c r="L1771" s="148" t="str">
        <f>IFERROR(__xludf.DUMMYFUNCTION("if($C1771="""","""",iferror(if(row()&lt;&gt;2,INDEX(arrayformula(filter($M$2:$M1770,$C$2:$C1770&lt;&gt;"""",row($C$2:$C1770)=max(if($C$2:$C1770=C1771,row($C$2:$C1770),0)))) ,1),0),0))"),"")</f>
        <v/>
      </c>
      <c r="M1771" s="148" t="str">
        <f t="shared" si="1"/>
        <v/>
      </c>
      <c r="N1771" s="147" t="str">
        <f t="shared" si="2"/>
        <v/>
      </c>
      <c r="O1771" s="147" t="str">
        <f t="shared" si="21"/>
        <v/>
      </c>
      <c r="P1771" s="147" t="str">
        <f>IFERROR(__xludf.DUMMYFUNCTION("if(C1771="""","""",iferror(if(row()&lt;&gt;2,INDEX(arrayformula(filter($Q$2:$Q1770,$C$2:$C1770&lt;&gt;"""",row($C$2:$C1770)=max(if($C$2:$C1770=C1771,row($C$2:$C1770),0)))) ,1),0),0))"),"")</f>
        <v/>
      </c>
      <c r="Q1771" s="147" t="str">
        <f t="shared" si="22"/>
        <v/>
      </c>
      <c r="R1771" s="147" t="str">
        <f t="shared" si="23"/>
        <v/>
      </c>
      <c r="S1771" s="147" t="str">
        <f t="shared" si="24"/>
        <v/>
      </c>
      <c r="T1771" s="147" t="str">
        <f t="shared" si="7"/>
        <v/>
      </c>
      <c r="U1771" s="150" t="str">
        <f t="shared" si="8"/>
        <v/>
      </c>
      <c r="V1771" s="151" t="str">
        <f>IFERROR(VLOOKUP(C1771,Ativos!$A$1:$G2000,5,),)</f>
        <v/>
      </c>
    </row>
    <row r="1772" ht="21.0" customHeight="1">
      <c r="A1772" s="152"/>
      <c r="B1772" s="160"/>
      <c r="C1772" s="153"/>
      <c r="D1772" s="154"/>
      <c r="E1772" s="139"/>
      <c r="F1772" s="139"/>
      <c r="G1772" s="139"/>
      <c r="H1772" s="135"/>
      <c r="I1772" s="141"/>
      <c r="J1772" s="147" t="str">
        <f>IFERROR(__xludf.DUMMYFUNCTION("IF(ISBLANK(A1772),IFERROR(1/0),IF(COUNT(FILTER(F:F,A:A=A1772))&gt;1,TRUNC(N1772*F1772/SUM(FILTER(N:N,A:A=A1772)),3),F1772))"),"")</f>
        <v/>
      </c>
      <c r="K1772" s="147" t="str">
        <f>IFERROR(__xludf.DUMMYFUNCTION("IF(ISBLANK(A1772),IFERROR(1/0),IF(COUNT(FILTER(G:G,((A:A=A1772)*(B:B=""V""))))&gt;1,TRUNC(N1772*G1772/SUM(FILTER(N:N,((A:A=A1772)*(B:B=""V"")))),3),G1772))"),"")</f>
        <v/>
      </c>
      <c r="L1772" s="148" t="str">
        <f>IFERROR(__xludf.DUMMYFUNCTION("if($C1772="""","""",iferror(if(row()&lt;&gt;2,INDEX(arrayformula(filter($M$2:$M1771,$C$2:$C1771&lt;&gt;"""",row($C$2:$C1771)=max(if($C$2:$C1771=C1772,row($C$2:$C1771),0)))) ,1),0),0))"),"")</f>
        <v/>
      </c>
      <c r="M1772" s="148" t="str">
        <f t="shared" si="1"/>
        <v/>
      </c>
      <c r="N1772" s="147" t="str">
        <f t="shared" si="2"/>
        <v/>
      </c>
      <c r="O1772" s="147" t="str">
        <f t="shared" si="21"/>
        <v/>
      </c>
      <c r="P1772" s="147" t="str">
        <f>IFERROR(__xludf.DUMMYFUNCTION("if(C1772="""","""",iferror(if(row()&lt;&gt;2,INDEX(arrayformula(filter($Q$2:$Q1771,$C$2:$C1771&lt;&gt;"""",row($C$2:$C1771)=max(if($C$2:$C1771=C1772,row($C$2:$C1771),0)))) ,1),0),0))"),"")</f>
        <v/>
      </c>
      <c r="Q1772" s="147" t="str">
        <f t="shared" si="22"/>
        <v/>
      </c>
      <c r="R1772" s="147" t="str">
        <f t="shared" si="23"/>
        <v/>
      </c>
      <c r="S1772" s="147" t="str">
        <f t="shared" si="24"/>
        <v/>
      </c>
      <c r="T1772" s="147" t="str">
        <f t="shared" si="7"/>
        <v/>
      </c>
      <c r="U1772" s="150" t="str">
        <f t="shared" si="8"/>
        <v/>
      </c>
      <c r="V1772" s="151" t="str">
        <f>IFERROR(VLOOKUP(C1772,Ativos!$A$1:$G2000,5,),)</f>
        <v/>
      </c>
    </row>
    <row r="1773" ht="21.0" customHeight="1">
      <c r="A1773" s="152"/>
      <c r="B1773" s="160"/>
      <c r="C1773" s="153"/>
      <c r="D1773" s="154"/>
      <c r="E1773" s="139"/>
      <c r="F1773" s="139"/>
      <c r="G1773" s="139"/>
      <c r="H1773" s="135"/>
      <c r="I1773" s="141"/>
      <c r="J1773" s="147" t="str">
        <f>IFERROR(__xludf.DUMMYFUNCTION("IF(ISBLANK(A1773),IFERROR(1/0),IF(COUNT(FILTER(F:F,A:A=A1773))&gt;1,TRUNC(N1773*F1773/SUM(FILTER(N:N,A:A=A1773)),3),F1773))"),"")</f>
        <v/>
      </c>
      <c r="K1773" s="147" t="str">
        <f>IFERROR(__xludf.DUMMYFUNCTION("IF(ISBLANK(A1773),IFERROR(1/0),IF(COUNT(FILTER(G:G,((A:A=A1773)*(B:B=""V""))))&gt;1,TRUNC(N1773*G1773/SUM(FILTER(N:N,((A:A=A1773)*(B:B=""V"")))),3),G1773))"),"")</f>
        <v/>
      </c>
      <c r="L1773" s="148" t="str">
        <f>IFERROR(__xludf.DUMMYFUNCTION("if($C1773="""","""",iferror(if(row()&lt;&gt;2,INDEX(arrayformula(filter($M$2:$M1772,$C$2:$C1772&lt;&gt;"""",row($C$2:$C1772)=max(if($C$2:$C1772=C1773,row($C$2:$C1772),0)))) ,1),0),0))"),"")</f>
        <v/>
      </c>
      <c r="M1773" s="148" t="str">
        <f t="shared" si="1"/>
        <v/>
      </c>
      <c r="N1773" s="147" t="str">
        <f t="shared" si="2"/>
        <v/>
      </c>
      <c r="O1773" s="147" t="str">
        <f t="shared" si="21"/>
        <v/>
      </c>
      <c r="P1773" s="147" t="str">
        <f>IFERROR(__xludf.DUMMYFUNCTION("if(C1773="""","""",iferror(if(row()&lt;&gt;2,INDEX(arrayformula(filter($Q$2:$Q1772,$C$2:$C1772&lt;&gt;"""",row($C$2:$C1772)=max(if($C$2:$C1772=C1773,row($C$2:$C1772),0)))) ,1),0),0))"),"")</f>
        <v/>
      </c>
      <c r="Q1773" s="147" t="str">
        <f t="shared" si="22"/>
        <v/>
      </c>
      <c r="R1773" s="147" t="str">
        <f t="shared" si="23"/>
        <v/>
      </c>
      <c r="S1773" s="147" t="str">
        <f t="shared" si="24"/>
        <v/>
      </c>
      <c r="T1773" s="147" t="str">
        <f t="shared" si="7"/>
        <v/>
      </c>
      <c r="U1773" s="150" t="str">
        <f t="shared" si="8"/>
        <v/>
      </c>
      <c r="V1773" s="151" t="str">
        <f>IFERROR(VLOOKUP(C1773,Ativos!$A$1:$G2000,5,),)</f>
        <v/>
      </c>
    </row>
    <row r="1774" ht="21.0" customHeight="1">
      <c r="A1774" s="152"/>
      <c r="B1774" s="160"/>
      <c r="C1774" s="153"/>
      <c r="D1774" s="154"/>
      <c r="E1774" s="139"/>
      <c r="F1774" s="139"/>
      <c r="G1774" s="139"/>
      <c r="H1774" s="135"/>
      <c r="I1774" s="141"/>
      <c r="J1774" s="147" t="str">
        <f>IFERROR(__xludf.DUMMYFUNCTION("IF(ISBLANK(A1774),IFERROR(1/0),IF(COUNT(FILTER(F:F,A:A=A1774))&gt;1,TRUNC(N1774*F1774/SUM(FILTER(N:N,A:A=A1774)),3),F1774))"),"")</f>
        <v/>
      </c>
      <c r="K1774" s="147" t="str">
        <f>IFERROR(__xludf.DUMMYFUNCTION("IF(ISBLANK(A1774),IFERROR(1/0),IF(COUNT(FILTER(G:G,((A:A=A1774)*(B:B=""V""))))&gt;1,TRUNC(N1774*G1774/SUM(FILTER(N:N,((A:A=A1774)*(B:B=""V"")))),3),G1774))"),"")</f>
        <v/>
      </c>
      <c r="L1774" s="148" t="str">
        <f>IFERROR(__xludf.DUMMYFUNCTION("if($C1774="""","""",iferror(if(row()&lt;&gt;2,INDEX(arrayformula(filter($M$2:$M1773,$C$2:$C1773&lt;&gt;"""",row($C$2:$C1773)=max(if($C$2:$C1773=C1774,row($C$2:$C1773),0)))) ,1),0),0))"),"")</f>
        <v/>
      </c>
      <c r="M1774" s="148" t="str">
        <f t="shared" si="1"/>
        <v/>
      </c>
      <c r="N1774" s="147" t="str">
        <f t="shared" si="2"/>
        <v/>
      </c>
      <c r="O1774" s="147" t="str">
        <f t="shared" si="21"/>
        <v/>
      </c>
      <c r="P1774" s="147" t="str">
        <f>IFERROR(__xludf.DUMMYFUNCTION("if(C1774="""","""",iferror(if(row()&lt;&gt;2,INDEX(arrayformula(filter($Q$2:$Q1773,$C$2:$C1773&lt;&gt;"""",row($C$2:$C1773)=max(if($C$2:$C1773=C1774,row($C$2:$C1773),0)))) ,1),0),0))"),"")</f>
        <v/>
      </c>
      <c r="Q1774" s="147" t="str">
        <f t="shared" si="22"/>
        <v/>
      </c>
      <c r="R1774" s="147" t="str">
        <f t="shared" si="23"/>
        <v/>
      </c>
      <c r="S1774" s="147" t="str">
        <f t="shared" si="24"/>
        <v/>
      </c>
      <c r="T1774" s="147" t="str">
        <f t="shared" si="7"/>
        <v/>
      </c>
      <c r="U1774" s="150" t="str">
        <f t="shared" si="8"/>
        <v/>
      </c>
      <c r="V1774" s="151" t="str">
        <f>IFERROR(VLOOKUP(C1774,Ativos!$A$1:$G2000,5,),)</f>
        <v/>
      </c>
    </row>
    <row r="1775" ht="21.0" customHeight="1">
      <c r="A1775" s="152"/>
      <c r="B1775" s="160"/>
      <c r="C1775" s="153"/>
      <c r="D1775" s="154"/>
      <c r="E1775" s="139"/>
      <c r="F1775" s="139"/>
      <c r="G1775" s="139"/>
      <c r="H1775" s="135"/>
      <c r="I1775" s="141"/>
      <c r="J1775" s="147" t="str">
        <f>IFERROR(__xludf.DUMMYFUNCTION("IF(ISBLANK(A1775),IFERROR(1/0),IF(COUNT(FILTER(F:F,A:A=A1775))&gt;1,TRUNC(N1775*F1775/SUM(FILTER(N:N,A:A=A1775)),3),F1775))"),"")</f>
        <v/>
      </c>
      <c r="K1775" s="147" t="str">
        <f>IFERROR(__xludf.DUMMYFUNCTION("IF(ISBLANK(A1775),IFERROR(1/0),IF(COUNT(FILTER(G:G,((A:A=A1775)*(B:B=""V""))))&gt;1,TRUNC(N1775*G1775/SUM(FILTER(N:N,((A:A=A1775)*(B:B=""V"")))),3),G1775))"),"")</f>
        <v/>
      </c>
      <c r="L1775" s="148" t="str">
        <f>IFERROR(__xludf.DUMMYFUNCTION("if($C1775="""","""",iferror(if(row()&lt;&gt;2,INDEX(arrayformula(filter($M$2:$M1774,$C$2:$C1774&lt;&gt;"""",row($C$2:$C1774)=max(if($C$2:$C1774=C1775,row($C$2:$C1774),0)))) ,1),0),0))"),"")</f>
        <v/>
      </c>
      <c r="M1775" s="148" t="str">
        <f t="shared" si="1"/>
        <v/>
      </c>
      <c r="N1775" s="147" t="str">
        <f t="shared" si="2"/>
        <v/>
      </c>
      <c r="O1775" s="147" t="str">
        <f t="shared" si="21"/>
        <v/>
      </c>
      <c r="P1775" s="147" t="str">
        <f>IFERROR(__xludf.DUMMYFUNCTION("if(C1775="""","""",iferror(if(row()&lt;&gt;2,INDEX(arrayformula(filter($Q$2:$Q1774,$C$2:$C1774&lt;&gt;"""",row($C$2:$C1774)=max(if($C$2:$C1774=C1775,row($C$2:$C1774),0)))) ,1),0),0))"),"")</f>
        <v/>
      </c>
      <c r="Q1775" s="147" t="str">
        <f t="shared" si="22"/>
        <v/>
      </c>
      <c r="R1775" s="147" t="str">
        <f t="shared" si="23"/>
        <v/>
      </c>
      <c r="S1775" s="147" t="str">
        <f t="shared" si="24"/>
        <v/>
      </c>
      <c r="T1775" s="147" t="str">
        <f t="shared" si="7"/>
        <v/>
      </c>
      <c r="U1775" s="150" t="str">
        <f t="shared" si="8"/>
        <v/>
      </c>
      <c r="V1775" s="151" t="str">
        <f>IFERROR(VLOOKUP(C1775,Ativos!$A$1:$G2000,5,),)</f>
        <v/>
      </c>
    </row>
    <row r="1776" ht="21.0" customHeight="1">
      <c r="A1776" s="152"/>
      <c r="B1776" s="160"/>
      <c r="C1776" s="153"/>
      <c r="D1776" s="154"/>
      <c r="E1776" s="139"/>
      <c r="F1776" s="139"/>
      <c r="G1776" s="139"/>
      <c r="H1776" s="135"/>
      <c r="I1776" s="141"/>
      <c r="J1776" s="147" t="str">
        <f>IFERROR(__xludf.DUMMYFUNCTION("IF(ISBLANK(A1776),IFERROR(1/0),IF(COUNT(FILTER(F:F,A:A=A1776))&gt;1,TRUNC(N1776*F1776/SUM(FILTER(N:N,A:A=A1776)),3),F1776))"),"")</f>
        <v/>
      </c>
      <c r="K1776" s="147" t="str">
        <f>IFERROR(__xludf.DUMMYFUNCTION("IF(ISBLANK(A1776),IFERROR(1/0),IF(COUNT(FILTER(G:G,((A:A=A1776)*(B:B=""V""))))&gt;1,TRUNC(N1776*G1776/SUM(FILTER(N:N,((A:A=A1776)*(B:B=""V"")))),3),G1776))"),"")</f>
        <v/>
      </c>
      <c r="L1776" s="148" t="str">
        <f>IFERROR(__xludf.DUMMYFUNCTION("if($C1776="""","""",iferror(if(row()&lt;&gt;2,INDEX(arrayformula(filter($M$2:$M1775,$C$2:$C1775&lt;&gt;"""",row($C$2:$C1775)=max(if($C$2:$C1775=C1776,row($C$2:$C1775),0)))) ,1),0),0))"),"")</f>
        <v/>
      </c>
      <c r="M1776" s="148" t="str">
        <f t="shared" si="1"/>
        <v/>
      </c>
      <c r="N1776" s="147" t="str">
        <f t="shared" si="2"/>
        <v/>
      </c>
      <c r="O1776" s="147" t="str">
        <f t="shared" si="21"/>
        <v/>
      </c>
      <c r="P1776" s="147" t="str">
        <f>IFERROR(__xludf.DUMMYFUNCTION("if(C1776="""","""",iferror(if(row()&lt;&gt;2,INDEX(arrayformula(filter($Q$2:$Q1775,$C$2:$C1775&lt;&gt;"""",row($C$2:$C1775)=max(if($C$2:$C1775=C1776,row($C$2:$C1775),0)))) ,1),0),0))"),"")</f>
        <v/>
      </c>
      <c r="Q1776" s="147" t="str">
        <f t="shared" si="22"/>
        <v/>
      </c>
      <c r="R1776" s="147" t="str">
        <f t="shared" si="23"/>
        <v/>
      </c>
      <c r="S1776" s="147" t="str">
        <f t="shared" si="24"/>
        <v/>
      </c>
      <c r="T1776" s="147" t="str">
        <f t="shared" si="7"/>
        <v/>
      </c>
      <c r="U1776" s="150" t="str">
        <f t="shared" si="8"/>
        <v/>
      </c>
      <c r="V1776" s="151" t="str">
        <f>IFERROR(VLOOKUP(C1776,Ativos!$A$1:$G2000,5,),)</f>
        <v/>
      </c>
    </row>
    <row r="1777" ht="21.0" customHeight="1">
      <c r="A1777" s="152"/>
      <c r="B1777" s="160"/>
      <c r="C1777" s="153"/>
      <c r="D1777" s="154"/>
      <c r="E1777" s="139"/>
      <c r="F1777" s="139"/>
      <c r="G1777" s="139"/>
      <c r="H1777" s="135"/>
      <c r="I1777" s="141"/>
      <c r="J1777" s="147" t="str">
        <f>IFERROR(__xludf.DUMMYFUNCTION("IF(ISBLANK(A1777),IFERROR(1/0),IF(COUNT(FILTER(F:F,A:A=A1777))&gt;1,TRUNC(N1777*F1777/SUM(FILTER(N:N,A:A=A1777)),3),F1777))"),"")</f>
        <v/>
      </c>
      <c r="K1777" s="147" t="str">
        <f>IFERROR(__xludf.DUMMYFUNCTION("IF(ISBLANK(A1777),IFERROR(1/0),IF(COUNT(FILTER(G:G,((A:A=A1777)*(B:B=""V""))))&gt;1,TRUNC(N1777*G1777/SUM(FILTER(N:N,((A:A=A1777)*(B:B=""V"")))),3),G1777))"),"")</f>
        <v/>
      </c>
      <c r="L1777" s="148" t="str">
        <f>IFERROR(__xludf.DUMMYFUNCTION("if($C1777="""","""",iferror(if(row()&lt;&gt;2,INDEX(arrayformula(filter($M$2:$M1776,$C$2:$C1776&lt;&gt;"""",row($C$2:$C1776)=max(if($C$2:$C1776=C1777,row($C$2:$C1776),0)))) ,1),0),0))"),"")</f>
        <v/>
      </c>
      <c r="M1777" s="148" t="str">
        <f t="shared" si="1"/>
        <v/>
      </c>
      <c r="N1777" s="147" t="str">
        <f t="shared" si="2"/>
        <v/>
      </c>
      <c r="O1777" s="147" t="str">
        <f t="shared" si="21"/>
        <v/>
      </c>
      <c r="P1777" s="147" t="str">
        <f>IFERROR(__xludf.DUMMYFUNCTION("if(C1777="""","""",iferror(if(row()&lt;&gt;2,INDEX(arrayformula(filter($Q$2:$Q1776,$C$2:$C1776&lt;&gt;"""",row($C$2:$C1776)=max(if($C$2:$C1776=C1777,row($C$2:$C1776),0)))) ,1),0),0))"),"")</f>
        <v/>
      </c>
      <c r="Q1777" s="147" t="str">
        <f t="shared" si="22"/>
        <v/>
      </c>
      <c r="R1777" s="147" t="str">
        <f t="shared" si="23"/>
        <v/>
      </c>
      <c r="S1777" s="147" t="str">
        <f t="shared" si="24"/>
        <v/>
      </c>
      <c r="T1777" s="147" t="str">
        <f t="shared" si="7"/>
        <v/>
      </c>
      <c r="U1777" s="150" t="str">
        <f t="shared" si="8"/>
        <v/>
      </c>
      <c r="V1777" s="151" t="str">
        <f>IFERROR(VLOOKUP(C1777,Ativos!$A$1:$G2000,5,),)</f>
        <v/>
      </c>
    </row>
    <row r="1778" ht="21.0" customHeight="1">
      <c r="A1778" s="152"/>
      <c r="B1778" s="160"/>
      <c r="C1778" s="153"/>
      <c r="D1778" s="154"/>
      <c r="E1778" s="139"/>
      <c r="F1778" s="139"/>
      <c r="G1778" s="139"/>
      <c r="H1778" s="135"/>
      <c r="I1778" s="141"/>
      <c r="J1778" s="147" t="str">
        <f>IFERROR(__xludf.DUMMYFUNCTION("IF(ISBLANK(A1778),IFERROR(1/0),IF(COUNT(FILTER(F:F,A:A=A1778))&gt;1,TRUNC(N1778*F1778/SUM(FILTER(N:N,A:A=A1778)),3),F1778))"),"")</f>
        <v/>
      </c>
      <c r="K1778" s="147" t="str">
        <f>IFERROR(__xludf.DUMMYFUNCTION("IF(ISBLANK(A1778),IFERROR(1/0),IF(COUNT(FILTER(G:G,((A:A=A1778)*(B:B=""V""))))&gt;1,TRUNC(N1778*G1778/SUM(FILTER(N:N,((A:A=A1778)*(B:B=""V"")))),3),G1778))"),"")</f>
        <v/>
      </c>
      <c r="L1778" s="148" t="str">
        <f>IFERROR(__xludf.DUMMYFUNCTION("if($C1778="""","""",iferror(if(row()&lt;&gt;2,INDEX(arrayformula(filter($M$2:$M1777,$C$2:$C1777&lt;&gt;"""",row($C$2:$C1777)=max(if($C$2:$C1777=C1778,row($C$2:$C1777),0)))) ,1),0),0))"),"")</f>
        <v/>
      </c>
      <c r="M1778" s="148" t="str">
        <f t="shared" si="1"/>
        <v/>
      </c>
      <c r="N1778" s="147" t="str">
        <f t="shared" si="2"/>
        <v/>
      </c>
      <c r="O1778" s="147" t="str">
        <f t="shared" si="21"/>
        <v/>
      </c>
      <c r="P1778" s="147" t="str">
        <f>IFERROR(__xludf.DUMMYFUNCTION("if(C1778="""","""",iferror(if(row()&lt;&gt;2,INDEX(arrayformula(filter($Q$2:$Q1777,$C$2:$C1777&lt;&gt;"""",row($C$2:$C1777)=max(if($C$2:$C1777=C1778,row($C$2:$C1777),0)))) ,1),0),0))"),"")</f>
        <v/>
      </c>
      <c r="Q1778" s="147" t="str">
        <f t="shared" si="22"/>
        <v/>
      </c>
      <c r="R1778" s="147" t="str">
        <f t="shared" si="23"/>
        <v/>
      </c>
      <c r="S1778" s="147" t="str">
        <f t="shared" si="24"/>
        <v/>
      </c>
      <c r="T1778" s="147" t="str">
        <f t="shared" si="7"/>
        <v/>
      </c>
      <c r="U1778" s="150" t="str">
        <f t="shared" si="8"/>
        <v/>
      </c>
      <c r="V1778" s="151" t="str">
        <f>IFERROR(VLOOKUP(C1778,Ativos!$A$1:$G2000,5,),)</f>
        <v/>
      </c>
    </row>
    <row r="1779" ht="21.0" customHeight="1">
      <c r="A1779" s="152"/>
      <c r="B1779" s="160"/>
      <c r="C1779" s="153"/>
      <c r="D1779" s="154"/>
      <c r="E1779" s="139"/>
      <c r="F1779" s="139"/>
      <c r="G1779" s="139"/>
      <c r="H1779" s="135"/>
      <c r="I1779" s="141"/>
      <c r="J1779" s="147" t="str">
        <f>IFERROR(__xludf.DUMMYFUNCTION("IF(ISBLANK(A1779),IFERROR(1/0),IF(COUNT(FILTER(F:F,A:A=A1779))&gt;1,TRUNC(N1779*F1779/SUM(FILTER(N:N,A:A=A1779)),3),F1779))"),"")</f>
        <v/>
      </c>
      <c r="K1779" s="147" t="str">
        <f>IFERROR(__xludf.DUMMYFUNCTION("IF(ISBLANK(A1779),IFERROR(1/0),IF(COUNT(FILTER(G:G,((A:A=A1779)*(B:B=""V""))))&gt;1,TRUNC(N1779*G1779/SUM(FILTER(N:N,((A:A=A1779)*(B:B=""V"")))),3),G1779))"),"")</f>
        <v/>
      </c>
      <c r="L1779" s="148" t="str">
        <f>IFERROR(__xludf.DUMMYFUNCTION("if($C1779="""","""",iferror(if(row()&lt;&gt;2,INDEX(arrayformula(filter($M$2:$M1778,$C$2:$C1778&lt;&gt;"""",row($C$2:$C1778)=max(if($C$2:$C1778=C1779,row($C$2:$C1778),0)))) ,1),0),0))"),"")</f>
        <v/>
      </c>
      <c r="M1779" s="148" t="str">
        <f t="shared" si="1"/>
        <v/>
      </c>
      <c r="N1779" s="147" t="str">
        <f t="shared" si="2"/>
        <v/>
      </c>
      <c r="O1779" s="147" t="str">
        <f t="shared" si="21"/>
        <v/>
      </c>
      <c r="P1779" s="147" t="str">
        <f>IFERROR(__xludf.DUMMYFUNCTION("if(C1779="""","""",iferror(if(row()&lt;&gt;2,INDEX(arrayformula(filter($Q$2:$Q1778,$C$2:$C1778&lt;&gt;"""",row($C$2:$C1778)=max(if($C$2:$C1778=C1779,row($C$2:$C1778),0)))) ,1),0),0))"),"")</f>
        <v/>
      </c>
      <c r="Q1779" s="147" t="str">
        <f t="shared" si="22"/>
        <v/>
      </c>
      <c r="R1779" s="147" t="str">
        <f t="shared" si="23"/>
        <v/>
      </c>
      <c r="S1779" s="147" t="str">
        <f t="shared" si="24"/>
        <v/>
      </c>
      <c r="T1779" s="147" t="str">
        <f t="shared" si="7"/>
        <v/>
      </c>
      <c r="U1779" s="150" t="str">
        <f t="shared" si="8"/>
        <v/>
      </c>
      <c r="V1779" s="151" t="str">
        <f>IFERROR(VLOOKUP(C1779,Ativos!$A$1:$G2000,5,),)</f>
        <v/>
      </c>
    </row>
    <row r="1780" ht="21.0" customHeight="1">
      <c r="A1780" s="152"/>
      <c r="B1780" s="160"/>
      <c r="C1780" s="153"/>
      <c r="D1780" s="154"/>
      <c r="E1780" s="139"/>
      <c r="F1780" s="139"/>
      <c r="G1780" s="139"/>
      <c r="H1780" s="135"/>
      <c r="I1780" s="141"/>
      <c r="J1780" s="147" t="str">
        <f>IFERROR(__xludf.DUMMYFUNCTION("IF(ISBLANK(A1780),IFERROR(1/0),IF(COUNT(FILTER(F:F,A:A=A1780))&gt;1,TRUNC(N1780*F1780/SUM(FILTER(N:N,A:A=A1780)),3),F1780))"),"")</f>
        <v/>
      </c>
      <c r="K1780" s="147" t="str">
        <f>IFERROR(__xludf.DUMMYFUNCTION("IF(ISBLANK(A1780),IFERROR(1/0),IF(COUNT(FILTER(G:G,((A:A=A1780)*(B:B=""V""))))&gt;1,TRUNC(N1780*G1780/SUM(FILTER(N:N,((A:A=A1780)*(B:B=""V"")))),3),G1780))"),"")</f>
        <v/>
      </c>
      <c r="L1780" s="148" t="str">
        <f>IFERROR(__xludf.DUMMYFUNCTION("if($C1780="""","""",iferror(if(row()&lt;&gt;2,INDEX(arrayformula(filter($M$2:$M1779,$C$2:$C1779&lt;&gt;"""",row($C$2:$C1779)=max(if($C$2:$C1779=C1780,row($C$2:$C1779),0)))) ,1),0),0))"),"")</f>
        <v/>
      </c>
      <c r="M1780" s="148" t="str">
        <f t="shared" si="1"/>
        <v/>
      </c>
      <c r="N1780" s="147" t="str">
        <f t="shared" si="2"/>
        <v/>
      </c>
      <c r="O1780" s="147" t="str">
        <f t="shared" si="21"/>
        <v/>
      </c>
      <c r="P1780" s="147" t="str">
        <f>IFERROR(__xludf.DUMMYFUNCTION("if(C1780="""","""",iferror(if(row()&lt;&gt;2,INDEX(arrayformula(filter($Q$2:$Q1779,$C$2:$C1779&lt;&gt;"""",row($C$2:$C1779)=max(if($C$2:$C1779=C1780,row($C$2:$C1779),0)))) ,1),0),0))"),"")</f>
        <v/>
      </c>
      <c r="Q1780" s="147" t="str">
        <f t="shared" si="22"/>
        <v/>
      </c>
      <c r="R1780" s="147" t="str">
        <f t="shared" si="23"/>
        <v/>
      </c>
      <c r="S1780" s="147" t="str">
        <f t="shared" si="24"/>
        <v/>
      </c>
      <c r="T1780" s="147" t="str">
        <f t="shared" si="7"/>
        <v/>
      </c>
      <c r="U1780" s="150" t="str">
        <f t="shared" si="8"/>
        <v/>
      </c>
      <c r="V1780" s="151" t="str">
        <f>IFERROR(VLOOKUP(C1780,Ativos!$A$1:$G2000,5,),)</f>
        <v/>
      </c>
    </row>
    <row r="1781" ht="21.0" customHeight="1">
      <c r="A1781" s="152"/>
      <c r="B1781" s="160"/>
      <c r="C1781" s="153"/>
      <c r="D1781" s="154"/>
      <c r="E1781" s="139"/>
      <c r="F1781" s="139"/>
      <c r="G1781" s="139"/>
      <c r="H1781" s="135"/>
      <c r="I1781" s="141"/>
      <c r="J1781" s="147" t="str">
        <f>IFERROR(__xludf.DUMMYFUNCTION("IF(ISBLANK(A1781),IFERROR(1/0),IF(COUNT(FILTER(F:F,A:A=A1781))&gt;1,TRUNC(N1781*F1781/SUM(FILTER(N:N,A:A=A1781)),3),F1781))"),"")</f>
        <v/>
      </c>
      <c r="K1781" s="147" t="str">
        <f>IFERROR(__xludf.DUMMYFUNCTION("IF(ISBLANK(A1781),IFERROR(1/0),IF(COUNT(FILTER(G:G,((A:A=A1781)*(B:B=""V""))))&gt;1,TRUNC(N1781*G1781/SUM(FILTER(N:N,((A:A=A1781)*(B:B=""V"")))),3),G1781))"),"")</f>
        <v/>
      </c>
      <c r="L1781" s="148" t="str">
        <f>IFERROR(__xludf.DUMMYFUNCTION("if($C1781="""","""",iferror(if(row()&lt;&gt;2,INDEX(arrayformula(filter($M$2:$M1780,$C$2:$C1780&lt;&gt;"""",row($C$2:$C1780)=max(if($C$2:$C1780=C1781,row($C$2:$C1780),0)))) ,1),0),0))"),"")</f>
        <v/>
      </c>
      <c r="M1781" s="148" t="str">
        <f t="shared" si="1"/>
        <v/>
      </c>
      <c r="N1781" s="147" t="str">
        <f t="shared" si="2"/>
        <v/>
      </c>
      <c r="O1781" s="147" t="str">
        <f t="shared" si="21"/>
        <v/>
      </c>
      <c r="P1781" s="147" t="str">
        <f>IFERROR(__xludf.DUMMYFUNCTION("if(C1781="""","""",iferror(if(row()&lt;&gt;2,INDEX(arrayformula(filter($Q$2:$Q1780,$C$2:$C1780&lt;&gt;"""",row($C$2:$C1780)=max(if($C$2:$C1780=C1781,row($C$2:$C1780),0)))) ,1),0),0))"),"")</f>
        <v/>
      </c>
      <c r="Q1781" s="147" t="str">
        <f t="shared" si="22"/>
        <v/>
      </c>
      <c r="R1781" s="147" t="str">
        <f t="shared" si="23"/>
        <v/>
      </c>
      <c r="S1781" s="147" t="str">
        <f t="shared" si="24"/>
        <v/>
      </c>
      <c r="T1781" s="147" t="str">
        <f t="shared" si="7"/>
        <v/>
      </c>
      <c r="U1781" s="150" t="str">
        <f t="shared" si="8"/>
        <v/>
      </c>
      <c r="V1781" s="151" t="str">
        <f>IFERROR(VLOOKUP(C1781,Ativos!$A$1:$G2000,5,),)</f>
        <v/>
      </c>
    </row>
    <row r="1782" ht="21.0" customHeight="1">
      <c r="A1782" s="152"/>
      <c r="B1782" s="160"/>
      <c r="C1782" s="153"/>
      <c r="D1782" s="154"/>
      <c r="E1782" s="139"/>
      <c r="F1782" s="139"/>
      <c r="G1782" s="139"/>
      <c r="H1782" s="135"/>
      <c r="I1782" s="141"/>
      <c r="J1782" s="147" t="str">
        <f>IFERROR(__xludf.DUMMYFUNCTION("IF(ISBLANK(A1782),IFERROR(1/0),IF(COUNT(FILTER(F:F,A:A=A1782))&gt;1,TRUNC(N1782*F1782/SUM(FILTER(N:N,A:A=A1782)),3),F1782))"),"")</f>
        <v/>
      </c>
      <c r="K1782" s="147" t="str">
        <f>IFERROR(__xludf.DUMMYFUNCTION("IF(ISBLANK(A1782),IFERROR(1/0),IF(COUNT(FILTER(G:G,((A:A=A1782)*(B:B=""V""))))&gt;1,TRUNC(N1782*G1782/SUM(FILTER(N:N,((A:A=A1782)*(B:B=""V"")))),3),G1782))"),"")</f>
        <v/>
      </c>
      <c r="L1782" s="148" t="str">
        <f>IFERROR(__xludf.DUMMYFUNCTION("if($C1782="""","""",iferror(if(row()&lt;&gt;2,INDEX(arrayformula(filter($M$2:$M1781,$C$2:$C1781&lt;&gt;"""",row($C$2:$C1781)=max(if($C$2:$C1781=C1782,row($C$2:$C1781),0)))) ,1),0),0))"),"")</f>
        <v/>
      </c>
      <c r="M1782" s="148" t="str">
        <f t="shared" si="1"/>
        <v/>
      </c>
      <c r="N1782" s="147" t="str">
        <f t="shared" si="2"/>
        <v/>
      </c>
      <c r="O1782" s="147" t="str">
        <f t="shared" si="21"/>
        <v/>
      </c>
      <c r="P1782" s="147" t="str">
        <f>IFERROR(__xludf.DUMMYFUNCTION("if(C1782="""","""",iferror(if(row()&lt;&gt;2,INDEX(arrayformula(filter($Q$2:$Q1781,$C$2:$C1781&lt;&gt;"""",row($C$2:$C1781)=max(if($C$2:$C1781=C1782,row($C$2:$C1781),0)))) ,1),0),0))"),"")</f>
        <v/>
      </c>
      <c r="Q1782" s="147" t="str">
        <f t="shared" si="22"/>
        <v/>
      </c>
      <c r="R1782" s="147" t="str">
        <f t="shared" si="23"/>
        <v/>
      </c>
      <c r="S1782" s="147" t="str">
        <f t="shared" si="24"/>
        <v/>
      </c>
      <c r="T1782" s="147" t="str">
        <f t="shared" si="7"/>
        <v/>
      </c>
      <c r="U1782" s="150" t="str">
        <f t="shared" si="8"/>
        <v/>
      </c>
      <c r="V1782" s="151" t="str">
        <f>IFERROR(VLOOKUP(C1782,Ativos!$A$1:$G2000,5,),)</f>
        <v/>
      </c>
    </row>
    <row r="1783" ht="21.0" customHeight="1">
      <c r="A1783" s="152"/>
      <c r="B1783" s="160"/>
      <c r="C1783" s="153"/>
      <c r="D1783" s="154"/>
      <c r="E1783" s="139"/>
      <c r="F1783" s="139"/>
      <c r="G1783" s="139"/>
      <c r="H1783" s="135"/>
      <c r="I1783" s="141"/>
      <c r="J1783" s="147" t="str">
        <f>IFERROR(__xludf.DUMMYFUNCTION("IF(ISBLANK(A1783),IFERROR(1/0),IF(COUNT(FILTER(F:F,A:A=A1783))&gt;1,TRUNC(N1783*F1783/SUM(FILTER(N:N,A:A=A1783)),3),F1783))"),"")</f>
        <v/>
      </c>
      <c r="K1783" s="147" t="str">
        <f>IFERROR(__xludf.DUMMYFUNCTION("IF(ISBLANK(A1783),IFERROR(1/0),IF(COUNT(FILTER(G:G,((A:A=A1783)*(B:B=""V""))))&gt;1,TRUNC(N1783*G1783/SUM(FILTER(N:N,((A:A=A1783)*(B:B=""V"")))),3),G1783))"),"")</f>
        <v/>
      </c>
      <c r="L1783" s="148" t="str">
        <f>IFERROR(__xludf.DUMMYFUNCTION("if($C1783="""","""",iferror(if(row()&lt;&gt;2,INDEX(arrayformula(filter($M$2:$M1782,$C$2:$C1782&lt;&gt;"""",row($C$2:$C1782)=max(if($C$2:$C1782=C1783,row($C$2:$C1782),0)))) ,1),0),0))"),"")</f>
        <v/>
      </c>
      <c r="M1783" s="148" t="str">
        <f t="shared" si="1"/>
        <v/>
      </c>
      <c r="N1783" s="147" t="str">
        <f t="shared" si="2"/>
        <v/>
      </c>
      <c r="O1783" s="147" t="str">
        <f t="shared" si="21"/>
        <v/>
      </c>
      <c r="P1783" s="147" t="str">
        <f>IFERROR(__xludf.DUMMYFUNCTION("if(C1783="""","""",iferror(if(row()&lt;&gt;2,INDEX(arrayformula(filter($Q$2:$Q1782,$C$2:$C1782&lt;&gt;"""",row($C$2:$C1782)=max(if($C$2:$C1782=C1783,row($C$2:$C1782),0)))) ,1),0),0))"),"")</f>
        <v/>
      </c>
      <c r="Q1783" s="147" t="str">
        <f t="shared" si="22"/>
        <v/>
      </c>
      <c r="R1783" s="147" t="str">
        <f t="shared" si="23"/>
        <v/>
      </c>
      <c r="S1783" s="147" t="str">
        <f t="shared" si="24"/>
        <v/>
      </c>
      <c r="T1783" s="147" t="str">
        <f t="shared" si="7"/>
        <v/>
      </c>
      <c r="U1783" s="150" t="str">
        <f t="shared" si="8"/>
        <v/>
      </c>
      <c r="V1783" s="151" t="str">
        <f>IFERROR(VLOOKUP(C1783,Ativos!$A$1:$G2000,5,),)</f>
        <v/>
      </c>
    </row>
    <row r="1784" ht="21.0" customHeight="1">
      <c r="A1784" s="152"/>
      <c r="B1784" s="160"/>
      <c r="C1784" s="153"/>
      <c r="D1784" s="154"/>
      <c r="E1784" s="139"/>
      <c r="F1784" s="139"/>
      <c r="G1784" s="139"/>
      <c r="H1784" s="135"/>
      <c r="I1784" s="141"/>
      <c r="J1784" s="147" t="str">
        <f>IFERROR(__xludf.DUMMYFUNCTION("IF(ISBLANK(A1784),IFERROR(1/0),IF(COUNT(FILTER(F:F,A:A=A1784))&gt;1,TRUNC(N1784*F1784/SUM(FILTER(N:N,A:A=A1784)),3),F1784))"),"")</f>
        <v/>
      </c>
      <c r="K1784" s="147" t="str">
        <f>IFERROR(__xludf.DUMMYFUNCTION("IF(ISBLANK(A1784),IFERROR(1/0),IF(COUNT(FILTER(G:G,((A:A=A1784)*(B:B=""V""))))&gt;1,TRUNC(N1784*G1784/SUM(FILTER(N:N,((A:A=A1784)*(B:B=""V"")))),3),G1784))"),"")</f>
        <v/>
      </c>
      <c r="L1784" s="148" t="str">
        <f>IFERROR(__xludf.DUMMYFUNCTION("if($C1784="""","""",iferror(if(row()&lt;&gt;2,INDEX(arrayformula(filter($M$2:$M1783,$C$2:$C1783&lt;&gt;"""",row($C$2:$C1783)=max(if($C$2:$C1783=C1784,row($C$2:$C1783),0)))) ,1),0),0))"),"")</f>
        <v/>
      </c>
      <c r="M1784" s="148" t="str">
        <f t="shared" si="1"/>
        <v/>
      </c>
      <c r="N1784" s="147" t="str">
        <f t="shared" si="2"/>
        <v/>
      </c>
      <c r="O1784" s="147" t="str">
        <f t="shared" si="21"/>
        <v/>
      </c>
      <c r="P1784" s="147" t="str">
        <f>IFERROR(__xludf.DUMMYFUNCTION("if(C1784="""","""",iferror(if(row()&lt;&gt;2,INDEX(arrayformula(filter($Q$2:$Q1783,$C$2:$C1783&lt;&gt;"""",row($C$2:$C1783)=max(if($C$2:$C1783=C1784,row($C$2:$C1783),0)))) ,1),0),0))"),"")</f>
        <v/>
      </c>
      <c r="Q1784" s="147" t="str">
        <f t="shared" si="22"/>
        <v/>
      </c>
      <c r="R1784" s="147" t="str">
        <f t="shared" si="23"/>
        <v/>
      </c>
      <c r="S1784" s="147" t="str">
        <f t="shared" si="24"/>
        <v/>
      </c>
      <c r="T1784" s="147" t="str">
        <f t="shared" si="7"/>
        <v/>
      </c>
      <c r="U1784" s="150" t="str">
        <f t="shared" si="8"/>
        <v/>
      </c>
      <c r="V1784" s="151" t="str">
        <f>IFERROR(VLOOKUP(C1784,Ativos!$A$1:$G2000,5,),)</f>
        <v/>
      </c>
    </row>
    <row r="1785" ht="21.0" customHeight="1">
      <c r="A1785" s="152"/>
      <c r="B1785" s="160"/>
      <c r="C1785" s="153"/>
      <c r="D1785" s="154"/>
      <c r="E1785" s="139"/>
      <c r="F1785" s="139"/>
      <c r="G1785" s="139"/>
      <c r="H1785" s="135"/>
      <c r="I1785" s="141"/>
      <c r="J1785" s="147" t="str">
        <f>IFERROR(__xludf.DUMMYFUNCTION("IF(ISBLANK(A1785),IFERROR(1/0),IF(COUNT(FILTER(F:F,A:A=A1785))&gt;1,TRUNC(N1785*F1785/SUM(FILTER(N:N,A:A=A1785)),3),F1785))"),"")</f>
        <v/>
      </c>
      <c r="K1785" s="147" t="str">
        <f>IFERROR(__xludf.DUMMYFUNCTION("IF(ISBLANK(A1785),IFERROR(1/0),IF(COUNT(FILTER(G:G,((A:A=A1785)*(B:B=""V""))))&gt;1,TRUNC(N1785*G1785/SUM(FILTER(N:N,((A:A=A1785)*(B:B=""V"")))),3),G1785))"),"")</f>
        <v/>
      </c>
      <c r="L1785" s="148" t="str">
        <f>IFERROR(__xludf.DUMMYFUNCTION("if($C1785="""","""",iferror(if(row()&lt;&gt;2,INDEX(arrayformula(filter($M$2:$M1784,$C$2:$C1784&lt;&gt;"""",row($C$2:$C1784)=max(if($C$2:$C1784=C1785,row($C$2:$C1784),0)))) ,1),0),0))"),"")</f>
        <v/>
      </c>
      <c r="M1785" s="148" t="str">
        <f t="shared" si="1"/>
        <v/>
      </c>
      <c r="N1785" s="147" t="str">
        <f t="shared" si="2"/>
        <v/>
      </c>
      <c r="O1785" s="147" t="str">
        <f t="shared" si="21"/>
        <v/>
      </c>
      <c r="P1785" s="147" t="str">
        <f>IFERROR(__xludf.DUMMYFUNCTION("if(C1785="""","""",iferror(if(row()&lt;&gt;2,INDEX(arrayformula(filter($Q$2:$Q1784,$C$2:$C1784&lt;&gt;"""",row($C$2:$C1784)=max(if($C$2:$C1784=C1785,row($C$2:$C1784),0)))) ,1),0),0))"),"")</f>
        <v/>
      </c>
      <c r="Q1785" s="147" t="str">
        <f t="shared" si="22"/>
        <v/>
      </c>
      <c r="R1785" s="147" t="str">
        <f t="shared" si="23"/>
        <v/>
      </c>
      <c r="S1785" s="147" t="str">
        <f t="shared" si="24"/>
        <v/>
      </c>
      <c r="T1785" s="147" t="str">
        <f t="shared" si="7"/>
        <v/>
      </c>
      <c r="U1785" s="150" t="str">
        <f t="shared" si="8"/>
        <v/>
      </c>
      <c r="V1785" s="151" t="str">
        <f>IFERROR(VLOOKUP(C1785,Ativos!$A$1:$G2000,5,),)</f>
        <v/>
      </c>
    </row>
    <row r="1786" ht="21.0" customHeight="1">
      <c r="A1786" s="152"/>
      <c r="B1786" s="160"/>
      <c r="C1786" s="153"/>
      <c r="D1786" s="154"/>
      <c r="E1786" s="139"/>
      <c r="F1786" s="139"/>
      <c r="G1786" s="139"/>
      <c r="H1786" s="135"/>
      <c r="I1786" s="141"/>
      <c r="J1786" s="147" t="str">
        <f>IFERROR(__xludf.DUMMYFUNCTION("IF(ISBLANK(A1786),IFERROR(1/0),IF(COUNT(FILTER(F:F,A:A=A1786))&gt;1,TRUNC(N1786*F1786/SUM(FILTER(N:N,A:A=A1786)),3),F1786))"),"")</f>
        <v/>
      </c>
      <c r="K1786" s="147" t="str">
        <f>IFERROR(__xludf.DUMMYFUNCTION("IF(ISBLANK(A1786),IFERROR(1/0),IF(COUNT(FILTER(G:G,((A:A=A1786)*(B:B=""V""))))&gt;1,TRUNC(N1786*G1786/SUM(FILTER(N:N,((A:A=A1786)*(B:B=""V"")))),3),G1786))"),"")</f>
        <v/>
      </c>
      <c r="L1786" s="148" t="str">
        <f>IFERROR(__xludf.DUMMYFUNCTION("if($C1786="""","""",iferror(if(row()&lt;&gt;2,INDEX(arrayformula(filter($M$2:$M1785,$C$2:$C1785&lt;&gt;"""",row($C$2:$C1785)=max(if($C$2:$C1785=C1786,row($C$2:$C1785),0)))) ,1),0),0))"),"")</f>
        <v/>
      </c>
      <c r="M1786" s="148" t="str">
        <f t="shared" si="1"/>
        <v/>
      </c>
      <c r="N1786" s="147" t="str">
        <f t="shared" si="2"/>
        <v/>
      </c>
      <c r="O1786" s="147" t="str">
        <f t="shared" si="21"/>
        <v/>
      </c>
      <c r="P1786" s="147" t="str">
        <f>IFERROR(__xludf.DUMMYFUNCTION("if(C1786="""","""",iferror(if(row()&lt;&gt;2,INDEX(arrayformula(filter($Q$2:$Q1785,$C$2:$C1785&lt;&gt;"""",row($C$2:$C1785)=max(if($C$2:$C1785=C1786,row($C$2:$C1785),0)))) ,1),0),0))"),"")</f>
        <v/>
      </c>
      <c r="Q1786" s="147" t="str">
        <f t="shared" si="22"/>
        <v/>
      </c>
      <c r="R1786" s="147" t="str">
        <f t="shared" si="23"/>
        <v/>
      </c>
      <c r="S1786" s="147" t="str">
        <f t="shared" si="24"/>
        <v/>
      </c>
      <c r="T1786" s="147" t="str">
        <f t="shared" si="7"/>
        <v/>
      </c>
      <c r="U1786" s="150" t="str">
        <f t="shared" si="8"/>
        <v/>
      </c>
      <c r="V1786" s="151" t="str">
        <f>IFERROR(VLOOKUP(C1786,Ativos!$A$1:$G2000,5,),)</f>
        <v/>
      </c>
    </row>
    <row r="1787" ht="21.0" customHeight="1">
      <c r="A1787" s="152"/>
      <c r="B1787" s="160"/>
      <c r="C1787" s="153"/>
      <c r="D1787" s="154"/>
      <c r="E1787" s="139"/>
      <c r="F1787" s="139"/>
      <c r="G1787" s="139"/>
      <c r="H1787" s="135"/>
      <c r="I1787" s="141"/>
      <c r="J1787" s="147" t="str">
        <f>IFERROR(__xludf.DUMMYFUNCTION("IF(ISBLANK(A1787),IFERROR(1/0),IF(COUNT(FILTER(F:F,A:A=A1787))&gt;1,TRUNC(N1787*F1787/SUM(FILTER(N:N,A:A=A1787)),3),F1787))"),"")</f>
        <v/>
      </c>
      <c r="K1787" s="147" t="str">
        <f>IFERROR(__xludf.DUMMYFUNCTION("IF(ISBLANK(A1787),IFERROR(1/0),IF(COUNT(FILTER(G:G,((A:A=A1787)*(B:B=""V""))))&gt;1,TRUNC(N1787*G1787/SUM(FILTER(N:N,((A:A=A1787)*(B:B=""V"")))),3),G1787))"),"")</f>
        <v/>
      </c>
      <c r="L1787" s="148" t="str">
        <f>IFERROR(__xludf.DUMMYFUNCTION("if($C1787="""","""",iferror(if(row()&lt;&gt;2,INDEX(arrayformula(filter($M$2:$M1786,$C$2:$C1786&lt;&gt;"""",row($C$2:$C1786)=max(if($C$2:$C1786=C1787,row($C$2:$C1786),0)))) ,1),0),0))"),"")</f>
        <v/>
      </c>
      <c r="M1787" s="148" t="str">
        <f t="shared" si="1"/>
        <v/>
      </c>
      <c r="N1787" s="147" t="str">
        <f t="shared" si="2"/>
        <v/>
      </c>
      <c r="O1787" s="147" t="str">
        <f t="shared" si="21"/>
        <v/>
      </c>
      <c r="P1787" s="147" t="str">
        <f>IFERROR(__xludf.DUMMYFUNCTION("if(C1787="""","""",iferror(if(row()&lt;&gt;2,INDEX(arrayformula(filter($Q$2:$Q1786,$C$2:$C1786&lt;&gt;"""",row($C$2:$C1786)=max(if($C$2:$C1786=C1787,row($C$2:$C1786),0)))) ,1),0),0))"),"")</f>
        <v/>
      </c>
      <c r="Q1787" s="147" t="str">
        <f t="shared" si="22"/>
        <v/>
      </c>
      <c r="R1787" s="147" t="str">
        <f t="shared" si="23"/>
        <v/>
      </c>
      <c r="S1787" s="147" t="str">
        <f t="shared" si="24"/>
        <v/>
      </c>
      <c r="T1787" s="147" t="str">
        <f t="shared" si="7"/>
        <v/>
      </c>
      <c r="U1787" s="150" t="str">
        <f t="shared" si="8"/>
        <v/>
      </c>
      <c r="V1787" s="151" t="str">
        <f>IFERROR(VLOOKUP(C1787,Ativos!$A$1:$G2000,5,),)</f>
        <v/>
      </c>
    </row>
    <row r="1788" ht="21.0" customHeight="1">
      <c r="A1788" s="152"/>
      <c r="B1788" s="160"/>
      <c r="C1788" s="153"/>
      <c r="D1788" s="154"/>
      <c r="E1788" s="139"/>
      <c r="F1788" s="139"/>
      <c r="G1788" s="139"/>
      <c r="H1788" s="135"/>
      <c r="I1788" s="141"/>
      <c r="J1788" s="147" t="str">
        <f>IFERROR(__xludf.DUMMYFUNCTION("IF(ISBLANK(A1788),IFERROR(1/0),IF(COUNT(FILTER(F:F,A:A=A1788))&gt;1,TRUNC(N1788*F1788/SUM(FILTER(N:N,A:A=A1788)),3),F1788))"),"")</f>
        <v/>
      </c>
      <c r="K1788" s="147" t="str">
        <f>IFERROR(__xludf.DUMMYFUNCTION("IF(ISBLANK(A1788),IFERROR(1/0),IF(COUNT(FILTER(G:G,((A:A=A1788)*(B:B=""V""))))&gt;1,TRUNC(N1788*G1788/SUM(FILTER(N:N,((A:A=A1788)*(B:B=""V"")))),3),G1788))"),"")</f>
        <v/>
      </c>
      <c r="L1788" s="148" t="str">
        <f>IFERROR(__xludf.DUMMYFUNCTION("if($C1788="""","""",iferror(if(row()&lt;&gt;2,INDEX(arrayformula(filter($M$2:$M1787,$C$2:$C1787&lt;&gt;"""",row($C$2:$C1787)=max(if($C$2:$C1787=C1788,row($C$2:$C1787),0)))) ,1),0),0))"),"")</f>
        <v/>
      </c>
      <c r="M1788" s="148" t="str">
        <f t="shared" si="1"/>
        <v/>
      </c>
      <c r="N1788" s="147" t="str">
        <f t="shared" si="2"/>
        <v/>
      </c>
      <c r="O1788" s="147" t="str">
        <f t="shared" si="21"/>
        <v/>
      </c>
      <c r="P1788" s="147" t="str">
        <f>IFERROR(__xludf.DUMMYFUNCTION("if(C1788="""","""",iferror(if(row()&lt;&gt;2,INDEX(arrayformula(filter($Q$2:$Q1787,$C$2:$C1787&lt;&gt;"""",row($C$2:$C1787)=max(if($C$2:$C1787=C1788,row($C$2:$C1787),0)))) ,1),0),0))"),"")</f>
        <v/>
      </c>
      <c r="Q1788" s="147" t="str">
        <f t="shared" si="22"/>
        <v/>
      </c>
      <c r="R1788" s="147" t="str">
        <f t="shared" si="23"/>
        <v/>
      </c>
      <c r="S1788" s="147" t="str">
        <f t="shared" si="24"/>
        <v/>
      </c>
      <c r="T1788" s="147" t="str">
        <f t="shared" si="7"/>
        <v/>
      </c>
      <c r="U1788" s="150" t="str">
        <f t="shared" si="8"/>
        <v/>
      </c>
      <c r="V1788" s="151" t="str">
        <f>IFERROR(VLOOKUP(C1788,Ativos!$A$1:$G2000,5,),)</f>
        <v/>
      </c>
    </row>
    <row r="1789" ht="21.0" customHeight="1">
      <c r="A1789" s="152"/>
      <c r="B1789" s="160"/>
      <c r="C1789" s="153"/>
      <c r="D1789" s="154"/>
      <c r="E1789" s="139"/>
      <c r="F1789" s="139"/>
      <c r="G1789" s="139"/>
      <c r="H1789" s="135"/>
      <c r="I1789" s="141"/>
      <c r="J1789" s="147" t="str">
        <f>IFERROR(__xludf.DUMMYFUNCTION("IF(ISBLANK(A1789),IFERROR(1/0),IF(COUNT(FILTER(F:F,A:A=A1789))&gt;1,TRUNC(N1789*F1789/SUM(FILTER(N:N,A:A=A1789)),3),F1789))"),"")</f>
        <v/>
      </c>
      <c r="K1789" s="147" t="str">
        <f>IFERROR(__xludf.DUMMYFUNCTION("IF(ISBLANK(A1789),IFERROR(1/0),IF(COUNT(FILTER(G:G,((A:A=A1789)*(B:B=""V""))))&gt;1,TRUNC(N1789*G1789/SUM(FILTER(N:N,((A:A=A1789)*(B:B=""V"")))),3),G1789))"),"")</f>
        <v/>
      </c>
      <c r="L1789" s="148" t="str">
        <f>IFERROR(__xludf.DUMMYFUNCTION("if($C1789="""","""",iferror(if(row()&lt;&gt;2,INDEX(arrayformula(filter($M$2:$M1788,$C$2:$C1788&lt;&gt;"""",row($C$2:$C1788)=max(if($C$2:$C1788=C1789,row($C$2:$C1788),0)))) ,1),0),0))"),"")</f>
        <v/>
      </c>
      <c r="M1789" s="148" t="str">
        <f t="shared" si="1"/>
        <v/>
      </c>
      <c r="N1789" s="147" t="str">
        <f t="shared" si="2"/>
        <v/>
      </c>
      <c r="O1789" s="147" t="str">
        <f t="shared" si="21"/>
        <v/>
      </c>
      <c r="P1789" s="147" t="str">
        <f>IFERROR(__xludf.DUMMYFUNCTION("if(C1789="""","""",iferror(if(row()&lt;&gt;2,INDEX(arrayformula(filter($Q$2:$Q1788,$C$2:$C1788&lt;&gt;"""",row($C$2:$C1788)=max(if($C$2:$C1788=C1789,row($C$2:$C1788),0)))) ,1),0),0))"),"")</f>
        <v/>
      </c>
      <c r="Q1789" s="147" t="str">
        <f t="shared" si="22"/>
        <v/>
      </c>
      <c r="R1789" s="147" t="str">
        <f t="shared" si="23"/>
        <v/>
      </c>
      <c r="S1789" s="147" t="str">
        <f t="shared" si="24"/>
        <v/>
      </c>
      <c r="T1789" s="147" t="str">
        <f t="shared" si="7"/>
        <v/>
      </c>
      <c r="U1789" s="150" t="str">
        <f t="shared" si="8"/>
        <v/>
      </c>
      <c r="V1789" s="151" t="str">
        <f>IFERROR(VLOOKUP(C1789,Ativos!$A$1:$G2000,5,),)</f>
        <v/>
      </c>
    </row>
    <row r="1790" ht="21.0" customHeight="1">
      <c r="A1790" s="152"/>
      <c r="B1790" s="160"/>
      <c r="C1790" s="153"/>
      <c r="D1790" s="154"/>
      <c r="E1790" s="139"/>
      <c r="F1790" s="139"/>
      <c r="G1790" s="139"/>
      <c r="H1790" s="135"/>
      <c r="I1790" s="141"/>
      <c r="J1790" s="147" t="str">
        <f>IFERROR(__xludf.DUMMYFUNCTION("IF(ISBLANK(A1790),IFERROR(1/0),IF(COUNT(FILTER(F:F,A:A=A1790))&gt;1,TRUNC(N1790*F1790/SUM(FILTER(N:N,A:A=A1790)),3),F1790))"),"")</f>
        <v/>
      </c>
      <c r="K1790" s="147" t="str">
        <f>IFERROR(__xludf.DUMMYFUNCTION("IF(ISBLANK(A1790),IFERROR(1/0),IF(COUNT(FILTER(G:G,((A:A=A1790)*(B:B=""V""))))&gt;1,TRUNC(N1790*G1790/SUM(FILTER(N:N,((A:A=A1790)*(B:B=""V"")))),3),G1790))"),"")</f>
        <v/>
      </c>
      <c r="L1790" s="148" t="str">
        <f>IFERROR(__xludf.DUMMYFUNCTION("if($C1790="""","""",iferror(if(row()&lt;&gt;2,INDEX(arrayformula(filter($M$2:$M1789,$C$2:$C1789&lt;&gt;"""",row($C$2:$C1789)=max(if($C$2:$C1789=C1790,row($C$2:$C1789),0)))) ,1),0),0))"),"")</f>
        <v/>
      </c>
      <c r="M1790" s="148" t="str">
        <f t="shared" si="1"/>
        <v/>
      </c>
      <c r="N1790" s="147" t="str">
        <f t="shared" si="2"/>
        <v/>
      </c>
      <c r="O1790" s="147" t="str">
        <f t="shared" si="21"/>
        <v/>
      </c>
      <c r="P1790" s="147" t="str">
        <f>IFERROR(__xludf.DUMMYFUNCTION("if(C1790="""","""",iferror(if(row()&lt;&gt;2,INDEX(arrayformula(filter($Q$2:$Q1789,$C$2:$C1789&lt;&gt;"""",row($C$2:$C1789)=max(if($C$2:$C1789=C1790,row($C$2:$C1789),0)))) ,1),0),0))"),"")</f>
        <v/>
      </c>
      <c r="Q1790" s="147" t="str">
        <f t="shared" si="22"/>
        <v/>
      </c>
      <c r="R1790" s="147" t="str">
        <f t="shared" si="23"/>
        <v/>
      </c>
      <c r="S1790" s="147" t="str">
        <f t="shared" si="24"/>
        <v/>
      </c>
      <c r="T1790" s="147" t="str">
        <f t="shared" si="7"/>
        <v/>
      </c>
      <c r="U1790" s="150" t="str">
        <f t="shared" si="8"/>
        <v/>
      </c>
      <c r="V1790" s="151" t="str">
        <f>IFERROR(VLOOKUP(C1790,Ativos!$A$1:$G2000,5,),)</f>
        <v/>
      </c>
    </row>
    <row r="1791" ht="21.0" customHeight="1">
      <c r="A1791" s="152"/>
      <c r="B1791" s="160"/>
      <c r="C1791" s="153"/>
      <c r="D1791" s="154"/>
      <c r="E1791" s="139"/>
      <c r="F1791" s="139"/>
      <c r="G1791" s="139"/>
      <c r="H1791" s="135"/>
      <c r="I1791" s="141"/>
      <c r="J1791" s="147" t="str">
        <f>IFERROR(__xludf.DUMMYFUNCTION("IF(ISBLANK(A1791),IFERROR(1/0),IF(COUNT(FILTER(F:F,A:A=A1791))&gt;1,TRUNC(N1791*F1791/SUM(FILTER(N:N,A:A=A1791)),3),F1791))"),"")</f>
        <v/>
      </c>
      <c r="K1791" s="147" t="str">
        <f>IFERROR(__xludf.DUMMYFUNCTION("IF(ISBLANK(A1791),IFERROR(1/0),IF(COUNT(FILTER(G:G,((A:A=A1791)*(B:B=""V""))))&gt;1,TRUNC(N1791*G1791/SUM(FILTER(N:N,((A:A=A1791)*(B:B=""V"")))),3),G1791))"),"")</f>
        <v/>
      </c>
      <c r="L1791" s="148" t="str">
        <f>IFERROR(__xludf.DUMMYFUNCTION("if($C1791="""","""",iferror(if(row()&lt;&gt;2,INDEX(arrayformula(filter($M$2:$M1790,$C$2:$C1790&lt;&gt;"""",row($C$2:$C1790)=max(if($C$2:$C1790=C1791,row($C$2:$C1790),0)))) ,1),0),0))"),"")</f>
        <v/>
      </c>
      <c r="M1791" s="148" t="str">
        <f t="shared" si="1"/>
        <v/>
      </c>
      <c r="N1791" s="147" t="str">
        <f t="shared" si="2"/>
        <v/>
      </c>
      <c r="O1791" s="147" t="str">
        <f t="shared" si="21"/>
        <v/>
      </c>
      <c r="P1791" s="147" t="str">
        <f>IFERROR(__xludf.DUMMYFUNCTION("if(C1791="""","""",iferror(if(row()&lt;&gt;2,INDEX(arrayformula(filter($Q$2:$Q1790,$C$2:$C1790&lt;&gt;"""",row($C$2:$C1790)=max(if($C$2:$C1790=C1791,row($C$2:$C1790),0)))) ,1),0),0))"),"")</f>
        <v/>
      </c>
      <c r="Q1791" s="147" t="str">
        <f t="shared" si="22"/>
        <v/>
      </c>
      <c r="R1791" s="147" t="str">
        <f t="shared" si="23"/>
        <v/>
      </c>
      <c r="S1791" s="147" t="str">
        <f t="shared" si="24"/>
        <v/>
      </c>
      <c r="T1791" s="147" t="str">
        <f t="shared" si="7"/>
        <v/>
      </c>
      <c r="U1791" s="150" t="str">
        <f t="shared" si="8"/>
        <v/>
      </c>
      <c r="V1791" s="151" t="str">
        <f>IFERROR(VLOOKUP(C1791,Ativos!$A$1:$G2000,5,),)</f>
        <v/>
      </c>
    </row>
    <row r="1792" ht="21.0" customHeight="1">
      <c r="A1792" s="152"/>
      <c r="B1792" s="160"/>
      <c r="C1792" s="153"/>
      <c r="D1792" s="154"/>
      <c r="E1792" s="139"/>
      <c r="F1792" s="139"/>
      <c r="G1792" s="139"/>
      <c r="H1792" s="135"/>
      <c r="I1792" s="141"/>
      <c r="J1792" s="147" t="str">
        <f>IFERROR(__xludf.DUMMYFUNCTION("IF(ISBLANK(A1792),IFERROR(1/0),IF(COUNT(FILTER(F:F,A:A=A1792))&gt;1,TRUNC(N1792*F1792/SUM(FILTER(N:N,A:A=A1792)),3),F1792))"),"")</f>
        <v/>
      </c>
      <c r="K1792" s="147" t="str">
        <f>IFERROR(__xludf.DUMMYFUNCTION("IF(ISBLANK(A1792),IFERROR(1/0),IF(COUNT(FILTER(G:G,((A:A=A1792)*(B:B=""V""))))&gt;1,TRUNC(N1792*G1792/SUM(FILTER(N:N,((A:A=A1792)*(B:B=""V"")))),3),G1792))"),"")</f>
        <v/>
      </c>
      <c r="L1792" s="148" t="str">
        <f>IFERROR(__xludf.DUMMYFUNCTION("if($C1792="""","""",iferror(if(row()&lt;&gt;2,INDEX(arrayformula(filter($M$2:$M1791,$C$2:$C1791&lt;&gt;"""",row($C$2:$C1791)=max(if($C$2:$C1791=C1792,row($C$2:$C1791),0)))) ,1),0),0))"),"")</f>
        <v/>
      </c>
      <c r="M1792" s="148" t="str">
        <f t="shared" si="1"/>
        <v/>
      </c>
      <c r="N1792" s="147" t="str">
        <f t="shared" si="2"/>
        <v/>
      </c>
      <c r="O1792" s="147" t="str">
        <f t="shared" si="21"/>
        <v/>
      </c>
      <c r="P1792" s="147" t="str">
        <f>IFERROR(__xludf.DUMMYFUNCTION("if(C1792="""","""",iferror(if(row()&lt;&gt;2,INDEX(arrayformula(filter($Q$2:$Q1791,$C$2:$C1791&lt;&gt;"""",row($C$2:$C1791)=max(if($C$2:$C1791=C1792,row($C$2:$C1791),0)))) ,1),0),0))"),"")</f>
        <v/>
      </c>
      <c r="Q1792" s="147" t="str">
        <f t="shared" si="22"/>
        <v/>
      </c>
      <c r="R1792" s="147" t="str">
        <f t="shared" si="23"/>
        <v/>
      </c>
      <c r="S1792" s="147" t="str">
        <f t="shared" si="24"/>
        <v/>
      </c>
      <c r="T1792" s="147" t="str">
        <f t="shared" si="7"/>
        <v/>
      </c>
      <c r="U1792" s="150" t="str">
        <f t="shared" si="8"/>
        <v/>
      </c>
      <c r="V1792" s="151" t="str">
        <f>IFERROR(VLOOKUP(C1792,Ativos!$A$1:$G2000,5,),)</f>
        <v/>
      </c>
    </row>
    <row r="1793" ht="21.0" customHeight="1">
      <c r="A1793" s="152"/>
      <c r="B1793" s="160"/>
      <c r="C1793" s="153"/>
      <c r="D1793" s="154"/>
      <c r="E1793" s="139"/>
      <c r="F1793" s="139"/>
      <c r="G1793" s="139"/>
      <c r="H1793" s="135"/>
      <c r="I1793" s="141"/>
      <c r="J1793" s="147" t="str">
        <f>IFERROR(__xludf.DUMMYFUNCTION("IF(ISBLANK(A1793),IFERROR(1/0),IF(COUNT(FILTER(F:F,A:A=A1793))&gt;1,TRUNC(N1793*F1793/SUM(FILTER(N:N,A:A=A1793)),3),F1793))"),"")</f>
        <v/>
      </c>
      <c r="K1793" s="147" t="str">
        <f>IFERROR(__xludf.DUMMYFUNCTION("IF(ISBLANK(A1793),IFERROR(1/0),IF(COUNT(FILTER(G:G,((A:A=A1793)*(B:B=""V""))))&gt;1,TRUNC(N1793*G1793/SUM(FILTER(N:N,((A:A=A1793)*(B:B=""V"")))),3),G1793))"),"")</f>
        <v/>
      </c>
      <c r="L1793" s="148" t="str">
        <f>IFERROR(__xludf.DUMMYFUNCTION("if($C1793="""","""",iferror(if(row()&lt;&gt;2,INDEX(arrayformula(filter($M$2:$M1792,$C$2:$C1792&lt;&gt;"""",row($C$2:$C1792)=max(if($C$2:$C1792=C1793,row($C$2:$C1792),0)))) ,1),0),0))"),"")</f>
        <v/>
      </c>
      <c r="M1793" s="148" t="str">
        <f t="shared" si="1"/>
        <v/>
      </c>
      <c r="N1793" s="147" t="str">
        <f t="shared" si="2"/>
        <v/>
      </c>
      <c r="O1793" s="147" t="str">
        <f t="shared" si="21"/>
        <v/>
      </c>
      <c r="P1793" s="147" t="str">
        <f>IFERROR(__xludf.DUMMYFUNCTION("if(C1793="""","""",iferror(if(row()&lt;&gt;2,INDEX(arrayformula(filter($Q$2:$Q1792,$C$2:$C1792&lt;&gt;"""",row($C$2:$C1792)=max(if($C$2:$C1792=C1793,row($C$2:$C1792),0)))) ,1),0),0))"),"")</f>
        <v/>
      </c>
      <c r="Q1793" s="147" t="str">
        <f t="shared" si="22"/>
        <v/>
      </c>
      <c r="R1793" s="147" t="str">
        <f t="shared" si="23"/>
        <v/>
      </c>
      <c r="S1793" s="147" t="str">
        <f t="shared" si="24"/>
        <v/>
      </c>
      <c r="T1793" s="147" t="str">
        <f t="shared" si="7"/>
        <v/>
      </c>
      <c r="U1793" s="150" t="str">
        <f t="shared" si="8"/>
        <v/>
      </c>
      <c r="V1793" s="151" t="str">
        <f>IFERROR(VLOOKUP(C1793,Ativos!$A$1:$G2000,5,),)</f>
        <v/>
      </c>
    </row>
    <row r="1794" ht="21.0" customHeight="1">
      <c r="A1794" s="152"/>
      <c r="B1794" s="160"/>
      <c r="C1794" s="153"/>
      <c r="D1794" s="154"/>
      <c r="E1794" s="139"/>
      <c r="F1794" s="139"/>
      <c r="G1794" s="139"/>
      <c r="H1794" s="135"/>
      <c r="I1794" s="141"/>
      <c r="J1794" s="147" t="str">
        <f>IFERROR(__xludf.DUMMYFUNCTION("IF(ISBLANK(A1794),IFERROR(1/0),IF(COUNT(FILTER(F:F,A:A=A1794))&gt;1,TRUNC(N1794*F1794/SUM(FILTER(N:N,A:A=A1794)),3),F1794))"),"")</f>
        <v/>
      </c>
      <c r="K1794" s="147" t="str">
        <f>IFERROR(__xludf.DUMMYFUNCTION("IF(ISBLANK(A1794),IFERROR(1/0),IF(COUNT(FILTER(G:G,((A:A=A1794)*(B:B=""V""))))&gt;1,TRUNC(N1794*G1794/SUM(FILTER(N:N,((A:A=A1794)*(B:B=""V"")))),3),G1794))"),"")</f>
        <v/>
      </c>
      <c r="L1794" s="148" t="str">
        <f>IFERROR(__xludf.DUMMYFUNCTION("if($C1794="""","""",iferror(if(row()&lt;&gt;2,INDEX(arrayformula(filter($M$2:$M1793,$C$2:$C1793&lt;&gt;"""",row($C$2:$C1793)=max(if($C$2:$C1793=C1794,row($C$2:$C1793),0)))) ,1),0),0))"),"")</f>
        <v/>
      </c>
      <c r="M1794" s="148" t="str">
        <f t="shared" si="1"/>
        <v/>
      </c>
      <c r="N1794" s="147" t="str">
        <f t="shared" si="2"/>
        <v/>
      </c>
      <c r="O1794" s="147" t="str">
        <f t="shared" si="21"/>
        <v/>
      </c>
      <c r="P1794" s="147" t="str">
        <f>IFERROR(__xludf.DUMMYFUNCTION("if(C1794="""","""",iferror(if(row()&lt;&gt;2,INDEX(arrayformula(filter($Q$2:$Q1793,$C$2:$C1793&lt;&gt;"""",row($C$2:$C1793)=max(if($C$2:$C1793=C1794,row($C$2:$C1793),0)))) ,1),0),0))"),"")</f>
        <v/>
      </c>
      <c r="Q1794" s="147" t="str">
        <f t="shared" si="22"/>
        <v/>
      </c>
      <c r="R1794" s="147" t="str">
        <f t="shared" si="23"/>
        <v/>
      </c>
      <c r="S1794" s="147" t="str">
        <f t="shared" si="24"/>
        <v/>
      </c>
      <c r="T1794" s="147" t="str">
        <f t="shared" si="7"/>
        <v/>
      </c>
      <c r="U1794" s="150" t="str">
        <f t="shared" si="8"/>
        <v/>
      </c>
      <c r="V1794" s="151" t="str">
        <f>IFERROR(VLOOKUP(C1794,Ativos!$A$1:$G2000,5,),)</f>
        <v/>
      </c>
    </row>
    <row r="1795" ht="21.0" customHeight="1">
      <c r="A1795" s="152"/>
      <c r="B1795" s="160"/>
      <c r="C1795" s="153"/>
      <c r="D1795" s="154"/>
      <c r="E1795" s="139"/>
      <c r="F1795" s="139"/>
      <c r="G1795" s="139"/>
      <c r="H1795" s="135"/>
      <c r="I1795" s="141"/>
      <c r="J1795" s="147" t="str">
        <f>IFERROR(__xludf.DUMMYFUNCTION("IF(ISBLANK(A1795),IFERROR(1/0),IF(COUNT(FILTER(F:F,A:A=A1795))&gt;1,TRUNC(N1795*F1795/SUM(FILTER(N:N,A:A=A1795)),3),F1795))"),"")</f>
        <v/>
      </c>
      <c r="K1795" s="147" t="str">
        <f>IFERROR(__xludf.DUMMYFUNCTION("IF(ISBLANK(A1795),IFERROR(1/0),IF(COUNT(FILTER(G:G,((A:A=A1795)*(B:B=""V""))))&gt;1,TRUNC(N1795*G1795/SUM(FILTER(N:N,((A:A=A1795)*(B:B=""V"")))),3),G1795))"),"")</f>
        <v/>
      </c>
      <c r="L1795" s="148" t="str">
        <f>IFERROR(__xludf.DUMMYFUNCTION("if($C1795="""","""",iferror(if(row()&lt;&gt;2,INDEX(arrayformula(filter($M$2:$M1794,$C$2:$C1794&lt;&gt;"""",row($C$2:$C1794)=max(if($C$2:$C1794=C1795,row($C$2:$C1794),0)))) ,1),0),0))"),"")</f>
        <v/>
      </c>
      <c r="M1795" s="148" t="str">
        <f t="shared" si="1"/>
        <v/>
      </c>
      <c r="N1795" s="147" t="str">
        <f t="shared" si="2"/>
        <v/>
      </c>
      <c r="O1795" s="147" t="str">
        <f t="shared" si="21"/>
        <v/>
      </c>
      <c r="P1795" s="147" t="str">
        <f>IFERROR(__xludf.DUMMYFUNCTION("if(C1795="""","""",iferror(if(row()&lt;&gt;2,INDEX(arrayformula(filter($Q$2:$Q1794,$C$2:$C1794&lt;&gt;"""",row($C$2:$C1794)=max(if($C$2:$C1794=C1795,row($C$2:$C1794),0)))) ,1),0),0))"),"")</f>
        <v/>
      </c>
      <c r="Q1795" s="147" t="str">
        <f t="shared" si="22"/>
        <v/>
      </c>
      <c r="R1795" s="147" t="str">
        <f t="shared" si="23"/>
        <v/>
      </c>
      <c r="S1795" s="147" t="str">
        <f t="shared" si="24"/>
        <v/>
      </c>
      <c r="T1795" s="147" t="str">
        <f t="shared" si="7"/>
        <v/>
      </c>
      <c r="U1795" s="150" t="str">
        <f t="shared" si="8"/>
        <v/>
      </c>
      <c r="V1795" s="151" t="str">
        <f>IFERROR(VLOOKUP(C1795,Ativos!$A$1:$G2000,5,),)</f>
        <v/>
      </c>
    </row>
    <row r="1796" ht="21.0" customHeight="1">
      <c r="A1796" s="152"/>
      <c r="B1796" s="160"/>
      <c r="C1796" s="153"/>
      <c r="D1796" s="154"/>
      <c r="E1796" s="139"/>
      <c r="F1796" s="139"/>
      <c r="G1796" s="139"/>
      <c r="H1796" s="135"/>
      <c r="I1796" s="141"/>
      <c r="J1796" s="147" t="str">
        <f>IFERROR(__xludf.DUMMYFUNCTION("IF(ISBLANK(A1796),IFERROR(1/0),IF(COUNT(FILTER(F:F,A:A=A1796))&gt;1,TRUNC(N1796*F1796/SUM(FILTER(N:N,A:A=A1796)),3),F1796))"),"")</f>
        <v/>
      </c>
      <c r="K1796" s="147" t="str">
        <f>IFERROR(__xludf.DUMMYFUNCTION("IF(ISBLANK(A1796),IFERROR(1/0),IF(COUNT(FILTER(G:G,((A:A=A1796)*(B:B=""V""))))&gt;1,TRUNC(N1796*G1796/SUM(FILTER(N:N,((A:A=A1796)*(B:B=""V"")))),3),G1796))"),"")</f>
        <v/>
      </c>
      <c r="L1796" s="148" t="str">
        <f>IFERROR(__xludf.DUMMYFUNCTION("if($C1796="""","""",iferror(if(row()&lt;&gt;2,INDEX(arrayformula(filter($M$2:$M1795,$C$2:$C1795&lt;&gt;"""",row($C$2:$C1795)=max(if($C$2:$C1795=C1796,row($C$2:$C1795),0)))) ,1),0),0))"),"")</f>
        <v/>
      </c>
      <c r="M1796" s="148" t="str">
        <f t="shared" si="1"/>
        <v/>
      </c>
      <c r="N1796" s="147" t="str">
        <f t="shared" si="2"/>
        <v/>
      </c>
      <c r="O1796" s="147" t="str">
        <f t="shared" si="21"/>
        <v/>
      </c>
      <c r="P1796" s="147" t="str">
        <f>IFERROR(__xludf.DUMMYFUNCTION("if(C1796="""","""",iferror(if(row()&lt;&gt;2,INDEX(arrayformula(filter($Q$2:$Q1795,$C$2:$C1795&lt;&gt;"""",row($C$2:$C1795)=max(if($C$2:$C1795=C1796,row($C$2:$C1795),0)))) ,1),0),0))"),"")</f>
        <v/>
      </c>
      <c r="Q1796" s="147" t="str">
        <f t="shared" si="22"/>
        <v/>
      </c>
      <c r="R1796" s="147" t="str">
        <f t="shared" si="23"/>
        <v/>
      </c>
      <c r="S1796" s="147" t="str">
        <f t="shared" si="24"/>
        <v/>
      </c>
      <c r="T1796" s="147" t="str">
        <f t="shared" si="7"/>
        <v/>
      </c>
      <c r="U1796" s="150" t="str">
        <f t="shared" si="8"/>
        <v/>
      </c>
      <c r="V1796" s="151" t="str">
        <f>IFERROR(VLOOKUP(C1796,Ativos!$A$1:$G2000,5,),)</f>
        <v/>
      </c>
    </row>
    <row r="1797" ht="21.0" customHeight="1">
      <c r="A1797" s="152"/>
      <c r="B1797" s="160"/>
      <c r="C1797" s="153"/>
      <c r="D1797" s="154"/>
      <c r="E1797" s="139"/>
      <c r="F1797" s="139"/>
      <c r="G1797" s="139"/>
      <c r="H1797" s="135"/>
      <c r="I1797" s="141"/>
      <c r="J1797" s="147" t="str">
        <f>IFERROR(__xludf.DUMMYFUNCTION("IF(ISBLANK(A1797),IFERROR(1/0),IF(COUNT(FILTER(F:F,A:A=A1797))&gt;1,TRUNC(N1797*F1797/SUM(FILTER(N:N,A:A=A1797)),3),F1797))"),"")</f>
        <v/>
      </c>
      <c r="K1797" s="147" t="str">
        <f>IFERROR(__xludf.DUMMYFUNCTION("IF(ISBLANK(A1797),IFERROR(1/0),IF(COUNT(FILTER(G:G,((A:A=A1797)*(B:B=""V""))))&gt;1,TRUNC(N1797*G1797/SUM(FILTER(N:N,((A:A=A1797)*(B:B=""V"")))),3),G1797))"),"")</f>
        <v/>
      </c>
      <c r="L1797" s="148" t="str">
        <f>IFERROR(__xludf.DUMMYFUNCTION("if($C1797="""","""",iferror(if(row()&lt;&gt;2,INDEX(arrayformula(filter($M$2:$M1796,$C$2:$C1796&lt;&gt;"""",row($C$2:$C1796)=max(if($C$2:$C1796=C1797,row($C$2:$C1796),0)))) ,1),0),0))"),"")</f>
        <v/>
      </c>
      <c r="M1797" s="148" t="str">
        <f t="shared" si="1"/>
        <v/>
      </c>
      <c r="N1797" s="147" t="str">
        <f t="shared" si="2"/>
        <v/>
      </c>
      <c r="O1797" s="147" t="str">
        <f t="shared" si="21"/>
        <v/>
      </c>
      <c r="P1797" s="147" t="str">
        <f>IFERROR(__xludf.DUMMYFUNCTION("if(C1797="""","""",iferror(if(row()&lt;&gt;2,INDEX(arrayformula(filter($Q$2:$Q1796,$C$2:$C1796&lt;&gt;"""",row($C$2:$C1796)=max(if($C$2:$C1796=C1797,row($C$2:$C1796),0)))) ,1),0),0))"),"")</f>
        <v/>
      </c>
      <c r="Q1797" s="147" t="str">
        <f t="shared" si="22"/>
        <v/>
      </c>
      <c r="R1797" s="147" t="str">
        <f t="shared" si="23"/>
        <v/>
      </c>
      <c r="S1797" s="147" t="str">
        <f t="shared" si="24"/>
        <v/>
      </c>
      <c r="T1797" s="147" t="str">
        <f t="shared" si="7"/>
        <v/>
      </c>
      <c r="U1797" s="150" t="str">
        <f t="shared" si="8"/>
        <v/>
      </c>
      <c r="V1797" s="151" t="str">
        <f>IFERROR(VLOOKUP(C1797,Ativos!$A$1:$G2000,5,),)</f>
        <v/>
      </c>
    </row>
    <row r="1798" ht="21.0" customHeight="1">
      <c r="A1798" s="152"/>
      <c r="B1798" s="160"/>
      <c r="C1798" s="153"/>
      <c r="D1798" s="154"/>
      <c r="E1798" s="139"/>
      <c r="F1798" s="139"/>
      <c r="G1798" s="139"/>
      <c r="H1798" s="135"/>
      <c r="I1798" s="141"/>
      <c r="J1798" s="147" t="str">
        <f>IFERROR(__xludf.DUMMYFUNCTION("IF(ISBLANK(A1798),IFERROR(1/0),IF(COUNT(FILTER(F:F,A:A=A1798))&gt;1,TRUNC(N1798*F1798/SUM(FILTER(N:N,A:A=A1798)),3),F1798))"),"")</f>
        <v/>
      </c>
      <c r="K1798" s="147" t="str">
        <f>IFERROR(__xludf.DUMMYFUNCTION("IF(ISBLANK(A1798),IFERROR(1/0),IF(COUNT(FILTER(G:G,((A:A=A1798)*(B:B=""V""))))&gt;1,TRUNC(N1798*G1798/SUM(FILTER(N:N,((A:A=A1798)*(B:B=""V"")))),3),G1798))"),"")</f>
        <v/>
      </c>
      <c r="L1798" s="148" t="str">
        <f>IFERROR(__xludf.DUMMYFUNCTION("if($C1798="""","""",iferror(if(row()&lt;&gt;2,INDEX(arrayformula(filter($M$2:$M1797,$C$2:$C1797&lt;&gt;"""",row($C$2:$C1797)=max(if($C$2:$C1797=C1798,row($C$2:$C1797),0)))) ,1),0),0))"),"")</f>
        <v/>
      </c>
      <c r="M1798" s="148" t="str">
        <f t="shared" si="1"/>
        <v/>
      </c>
      <c r="N1798" s="147" t="str">
        <f t="shared" si="2"/>
        <v/>
      </c>
      <c r="O1798" s="147" t="str">
        <f t="shared" si="21"/>
        <v/>
      </c>
      <c r="P1798" s="147" t="str">
        <f>IFERROR(__xludf.DUMMYFUNCTION("if(C1798="""","""",iferror(if(row()&lt;&gt;2,INDEX(arrayformula(filter($Q$2:$Q1797,$C$2:$C1797&lt;&gt;"""",row($C$2:$C1797)=max(if($C$2:$C1797=C1798,row($C$2:$C1797),0)))) ,1),0),0))"),"")</f>
        <v/>
      </c>
      <c r="Q1798" s="147" t="str">
        <f t="shared" si="22"/>
        <v/>
      </c>
      <c r="R1798" s="147" t="str">
        <f t="shared" si="23"/>
        <v/>
      </c>
      <c r="S1798" s="147" t="str">
        <f t="shared" si="24"/>
        <v/>
      </c>
      <c r="T1798" s="147" t="str">
        <f t="shared" si="7"/>
        <v/>
      </c>
      <c r="U1798" s="150" t="str">
        <f t="shared" si="8"/>
        <v/>
      </c>
      <c r="V1798" s="151" t="str">
        <f>IFERROR(VLOOKUP(C1798,Ativos!$A$1:$G2000,5,),)</f>
        <v/>
      </c>
    </row>
    <row r="1799" ht="21.0" customHeight="1">
      <c r="A1799" s="152"/>
      <c r="B1799" s="160"/>
      <c r="C1799" s="153"/>
      <c r="D1799" s="154"/>
      <c r="E1799" s="139"/>
      <c r="F1799" s="139"/>
      <c r="G1799" s="139"/>
      <c r="H1799" s="135"/>
      <c r="I1799" s="141"/>
      <c r="J1799" s="147" t="str">
        <f>IFERROR(__xludf.DUMMYFUNCTION("IF(ISBLANK(A1799),IFERROR(1/0),IF(COUNT(FILTER(F:F,A:A=A1799))&gt;1,TRUNC(N1799*F1799/SUM(FILTER(N:N,A:A=A1799)),3),F1799))"),"")</f>
        <v/>
      </c>
      <c r="K1799" s="147" t="str">
        <f>IFERROR(__xludf.DUMMYFUNCTION("IF(ISBLANK(A1799),IFERROR(1/0),IF(COUNT(FILTER(G:G,((A:A=A1799)*(B:B=""V""))))&gt;1,TRUNC(N1799*G1799/SUM(FILTER(N:N,((A:A=A1799)*(B:B=""V"")))),3),G1799))"),"")</f>
        <v/>
      </c>
      <c r="L1799" s="148" t="str">
        <f>IFERROR(__xludf.DUMMYFUNCTION("if($C1799="""","""",iferror(if(row()&lt;&gt;2,INDEX(arrayformula(filter($M$2:$M1798,$C$2:$C1798&lt;&gt;"""",row($C$2:$C1798)=max(if($C$2:$C1798=C1799,row($C$2:$C1798),0)))) ,1),0),0))"),"")</f>
        <v/>
      </c>
      <c r="M1799" s="148" t="str">
        <f t="shared" si="1"/>
        <v/>
      </c>
      <c r="N1799" s="147" t="str">
        <f t="shared" si="2"/>
        <v/>
      </c>
      <c r="O1799" s="147" t="str">
        <f t="shared" si="21"/>
        <v/>
      </c>
      <c r="P1799" s="147" t="str">
        <f>IFERROR(__xludf.DUMMYFUNCTION("if(C1799="""","""",iferror(if(row()&lt;&gt;2,INDEX(arrayformula(filter($Q$2:$Q1798,$C$2:$C1798&lt;&gt;"""",row($C$2:$C1798)=max(if($C$2:$C1798=C1799,row($C$2:$C1798),0)))) ,1),0),0))"),"")</f>
        <v/>
      </c>
      <c r="Q1799" s="147" t="str">
        <f t="shared" si="22"/>
        <v/>
      </c>
      <c r="R1799" s="147" t="str">
        <f t="shared" si="23"/>
        <v/>
      </c>
      <c r="S1799" s="147" t="str">
        <f t="shared" si="24"/>
        <v/>
      </c>
      <c r="T1799" s="147" t="str">
        <f t="shared" si="7"/>
        <v/>
      </c>
      <c r="U1799" s="150" t="str">
        <f t="shared" si="8"/>
        <v/>
      </c>
      <c r="V1799" s="151" t="str">
        <f>IFERROR(VLOOKUP(C1799,Ativos!$A$1:$G2000,5,),)</f>
        <v/>
      </c>
    </row>
    <row r="1800" ht="21.0" customHeight="1">
      <c r="A1800" s="152"/>
      <c r="B1800" s="160"/>
      <c r="C1800" s="153"/>
      <c r="D1800" s="154"/>
      <c r="E1800" s="139"/>
      <c r="F1800" s="139"/>
      <c r="G1800" s="139"/>
      <c r="H1800" s="135"/>
      <c r="I1800" s="141"/>
      <c r="J1800" s="147" t="str">
        <f>IFERROR(__xludf.DUMMYFUNCTION("IF(ISBLANK(A1800),IFERROR(1/0),IF(COUNT(FILTER(F:F,A:A=A1800))&gt;1,TRUNC(N1800*F1800/SUM(FILTER(N:N,A:A=A1800)),3),F1800))"),"")</f>
        <v/>
      </c>
      <c r="K1800" s="147" t="str">
        <f>IFERROR(__xludf.DUMMYFUNCTION("IF(ISBLANK(A1800),IFERROR(1/0),IF(COUNT(FILTER(G:G,((A:A=A1800)*(B:B=""V""))))&gt;1,TRUNC(N1800*G1800/SUM(FILTER(N:N,((A:A=A1800)*(B:B=""V"")))),3),G1800))"),"")</f>
        <v/>
      </c>
      <c r="L1800" s="148" t="str">
        <f>IFERROR(__xludf.DUMMYFUNCTION("if($C1800="""","""",iferror(if(row()&lt;&gt;2,INDEX(arrayformula(filter($M$2:$M1799,$C$2:$C1799&lt;&gt;"""",row($C$2:$C1799)=max(if($C$2:$C1799=C1800,row($C$2:$C1799),0)))) ,1),0),0))"),"")</f>
        <v/>
      </c>
      <c r="M1800" s="148" t="str">
        <f t="shared" si="1"/>
        <v/>
      </c>
      <c r="N1800" s="147" t="str">
        <f t="shared" si="2"/>
        <v/>
      </c>
      <c r="O1800" s="147" t="str">
        <f t="shared" si="21"/>
        <v/>
      </c>
      <c r="P1800" s="147" t="str">
        <f>IFERROR(__xludf.DUMMYFUNCTION("if(C1800="""","""",iferror(if(row()&lt;&gt;2,INDEX(arrayformula(filter($Q$2:$Q1799,$C$2:$C1799&lt;&gt;"""",row($C$2:$C1799)=max(if($C$2:$C1799=C1800,row($C$2:$C1799),0)))) ,1),0),0))"),"")</f>
        <v/>
      </c>
      <c r="Q1800" s="147" t="str">
        <f t="shared" si="22"/>
        <v/>
      </c>
      <c r="R1800" s="147" t="str">
        <f t="shared" si="23"/>
        <v/>
      </c>
      <c r="S1800" s="147" t="str">
        <f t="shared" si="24"/>
        <v/>
      </c>
      <c r="T1800" s="147" t="str">
        <f t="shared" si="7"/>
        <v/>
      </c>
      <c r="U1800" s="150" t="str">
        <f t="shared" si="8"/>
        <v/>
      </c>
      <c r="V1800" s="151" t="str">
        <f>IFERROR(VLOOKUP(C1800,Ativos!$A$1:$G2000,5,),)</f>
        <v/>
      </c>
    </row>
    <row r="1801" ht="21.0" customHeight="1">
      <c r="A1801" s="152"/>
      <c r="B1801" s="160"/>
      <c r="C1801" s="153"/>
      <c r="D1801" s="154"/>
      <c r="E1801" s="139"/>
      <c r="F1801" s="139"/>
      <c r="G1801" s="139"/>
      <c r="H1801" s="135"/>
      <c r="I1801" s="141"/>
      <c r="J1801" s="147" t="str">
        <f>IFERROR(__xludf.DUMMYFUNCTION("IF(ISBLANK(A1801),IFERROR(1/0),IF(COUNT(FILTER(F:F,A:A=A1801))&gt;1,TRUNC(N1801*F1801/SUM(FILTER(N:N,A:A=A1801)),3),F1801))"),"")</f>
        <v/>
      </c>
      <c r="K1801" s="147" t="str">
        <f>IFERROR(__xludf.DUMMYFUNCTION("IF(ISBLANK(A1801),IFERROR(1/0),IF(COUNT(FILTER(G:G,((A:A=A1801)*(B:B=""V""))))&gt;1,TRUNC(N1801*G1801/SUM(FILTER(N:N,((A:A=A1801)*(B:B=""V"")))),3),G1801))"),"")</f>
        <v/>
      </c>
      <c r="L1801" s="148" t="str">
        <f>IFERROR(__xludf.DUMMYFUNCTION("if($C1801="""","""",iferror(if(row()&lt;&gt;2,INDEX(arrayformula(filter($M$2:$M1800,$C$2:$C1800&lt;&gt;"""",row($C$2:$C1800)=max(if($C$2:$C1800=C1801,row($C$2:$C1800),0)))) ,1),0),0))"),"")</f>
        <v/>
      </c>
      <c r="M1801" s="148" t="str">
        <f t="shared" si="1"/>
        <v/>
      </c>
      <c r="N1801" s="147" t="str">
        <f t="shared" si="2"/>
        <v/>
      </c>
      <c r="O1801" s="147" t="str">
        <f t="shared" si="21"/>
        <v/>
      </c>
      <c r="P1801" s="147" t="str">
        <f>IFERROR(__xludf.DUMMYFUNCTION("if(C1801="""","""",iferror(if(row()&lt;&gt;2,INDEX(arrayformula(filter($Q$2:$Q1800,$C$2:$C1800&lt;&gt;"""",row($C$2:$C1800)=max(if($C$2:$C1800=C1801,row($C$2:$C1800),0)))) ,1),0),0))"),"")</f>
        <v/>
      </c>
      <c r="Q1801" s="147" t="str">
        <f t="shared" si="22"/>
        <v/>
      </c>
      <c r="R1801" s="147" t="str">
        <f t="shared" si="23"/>
        <v/>
      </c>
      <c r="S1801" s="147" t="str">
        <f t="shared" si="24"/>
        <v/>
      </c>
      <c r="T1801" s="147" t="str">
        <f t="shared" si="7"/>
        <v/>
      </c>
      <c r="U1801" s="150" t="str">
        <f t="shared" si="8"/>
        <v/>
      </c>
      <c r="V1801" s="151" t="str">
        <f>IFERROR(VLOOKUP(C1801,Ativos!$A$1:$G2000,5,),)</f>
        <v/>
      </c>
    </row>
    <row r="1802" ht="21.0" customHeight="1">
      <c r="A1802" s="152"/>
      <c r="B1802" s="160"/>
      <c r="C1802" s="153"/>
      <c r="D1802" s="154"/>
      <c r="E1802" s="139"/>
      <c r="F1802" s="139"/>
      <c r="G1802" s="139"/>
      <c r="H1802" s="135"/>
      <c r="I1802" s="141"/>
      <c r="J1802" s="147" t="str">
        <f>IFERROR(__xludf.DUMMYFUNCTION("IF(ISBLANK(A1802),IFERROR(1/0),IF(COUNT(FILTER(F:F,A:A=A1802))&gt;1,TRUNC(N1802*F1802/SUM(FILTER(N:N,A:A=A1802)),3),F1802))"),"")</f>
        <v/>
      </c>
      <c r="K1802" s="147" t="str">
        <f>IFERROR(__xludf.DUMMYFUNCTION("IF(ISBLANK(A1802),IFERROR(1/0),IF(COUNT(FILTER(G:G,((A:A=A1802)*(B:B=""V""))))&gt;1,TRUNC(N1802*G1802/SUM(FILTER(N:N,((A:A=A1802)*(B:B=""V"")))),3),G1802))"),"")</f>
        <v/>
      </c>
      <c r="L1802" s="148" t="str">
        <f>IFERROR(__xludf.DUMMYFUNCTION("if($C1802="""","""",iferror(if(row()&lt;&gt;2,INDEX(arrayformula(filter($M$2:$M1801,$C$2:$C1801&lt;&gt;"""",row($C$2:$C1801)=max(if($C$2:$C1801=C1802,row($C$2:$C1801),0)))) ,1),0),0))"),"")</f>
        <v/>
      </c>
      <c r="M1802" s="148" t="str">
        <f t="shared" si="1"/>
        <v/>
      </c>
      <c r="N1802" s="147" t="str">
        <f t="shared" si="2"/>
        <v/>
      </c>
      <c r="O1802" s="147" t="str">
        <f t="shared" si="21"/>
        <v/>
      </c>
      <c r="P1802" s="147" t="str">
        <f>IFERROR(__xludf.DUMMYFUNCTION("if(C1802="""","""",iferror(if(row()&lt;&gt;2,INDEX(arrayformula(filter($Q$2:$Q1801,$C$2:$C1801&lt;&gt;"""",row($C$2:$C1801)=max(if($C$2:$C1801=C1802,row($C$2:$C1801),0)))) ,1),0),0))"),"")</f>
        <v/>
      </c>
      <c r="Q1802" s="147" t="str">
        <f t="shared" si="22"/>
        <v/>
      </c>
      <c r="R1802" s="147" t="str">
        <f t="shared" si="23"/>
        <v/>
      </c>
      <c r="S1802" s="147" t="str">
        <f t="shared" si="24"/>
        <v/>
      </c>
      <c r="T1802" s="147" t="str">
        <f t="shared" si="7"/>
        <v/>
      </c>
      <c r="U1802" s="150" t="str">
        <f t="shared" si="8"/>
        <v/>
      </c>
      <c r="V1802" s="151" t="str">
        <f>IFERROR(VLOOKUP(C1802,Ativos!$A$1:$G2000,5,),)</f>
        <v/>
      </c>
    </row>
    <row r="1803" ht="21.0" customHeight="1">
      <c r="A1803" s="152"/>
      <c r="B1803" s="160"/>
      <c r="C1803" s="153"/>
      <c r="D1803" s="154"/>
      <c r="E1803" s="139"/>
      <c r="F1803" s="139"/>
      <c r="G1803" s="139"/>
      <c r="H1803" s="135"/>
      <c r="I1803" s="141"/>
      <c r="J1803" s="147" t="str">
        <f>IFERROR(__xludf.DUMMYFUNCTION("IF(ISBLANK(A1803),IFERROR(1/0),IF(COUNT(FILTER(F:F,A:A=A1803))&gt;1,TRUNC(N1803*F1803/SUM(FILTER(N:N,A:A=A1803)),3),F1803))"),"")</f>
        <v/>
      </c>
      <c r="K1803" s="147" t="str">
        <f>IFERROR(__xludf.DUMMYFUNCTION("IF(ISBLANK(A1803),IFERROR(1/0),IF(COUNT(FILTER(G:G,((A:A=A1803)*(B:B=""V""))))&gt;1,TRUNC(N1803*G1803/SUM(FILTER(N:N,((A:A=A1803)*(B:B=""V"")))),3),G1803))"),"")</f>
        <v/>
      </c>
      <c r="L1803" s="148" t="str">
        <f>IFERROR(__xludf.DUMMYFUNCTION("if($C1803="""","""",iferror(if(row()&lt;&gt;2,INDEX(arrayformula(filter($M$2:$M1802,$C$2:$C1802&lt;&gt;"""",row($C$2:$C1802)=max(if($C$2:$C1802=C1803,row($C$2:$C1802),0)))) ,1),0),0))"),"")</f>
        <v/>
      </c>
      <c r="M1803" s="148" t="str">
        <f t="shared" si="1"/>
        <v/>
      </c>
      <c r="N1803" s="147" t="str">
        <f t="shared" si="2"/>
        <v/>
      </c>
      <c r="O1803" s="147" t="str">
        <f t="shared" si="21"/>
        <v/>
      </c>
      <c r="P1803" s="147" t="str">
        <f>IFERROR(__xludf.DUMMYFUNCTION("if(C1803="""","""",iferror(if(row()&lt;&gt;2,INDEX(arrayformula(filter($Q$2:$Q1802,$C$2:$C1802&lt;&gt;"""",row($C$2:$C1802)=max(if($C$2:$C1802=C1803,row($C$2:$C1802),0)))) ,1),0),0))"),"")</f>
        <v/>
      </c>
      <c r="Q1803" s="147" t="str">
        <f t="shared" si="22"/>
        <v/>
      </c>
      <c r="R1803" s="147" t="str">
        <f t="shared" si="23"/>
        <v/>
      </c>
      <c r="S1803" s="147" t="str">
        <f t="shared" si="24"/>
        <v/>
      </c>
      <c r="T1803" s="147" t="str">
        <f t="shared" si="7"/>
        <v/>
      </c>
      <c r="U1803" s="150" t="str">
        <f t="shared" si="8"/>
        <v/>
      </c>
      <c r="V1803" s="151" t="str">
        <f>IFERROR(VLOOKUP(C1803,Ativos!$A$1:$G2000,5,),)</f>
        <v/>
      </c>
    </row>
    <row r="1804" ht="21.0" customHeight="1">
      <c r="A1804" s="152"/>
      <c r="B1804" s="160"/>
      <c r="C1804" s="153"/>
      <c r="D1804" s="154"/>
      <c r="E1804" s="139"/>
      <c r="F1804" s="139"/>
      <c r="G1804" s="139"/>
      <c r="H1804" s="135"/>
      <c r="I1804" s="141"/>
      <c r="J1804" s="147" t="str">
        <f>IFERROR(__xludf.DUMMYFUNCTION("IF(ISBLANK(A1804),IFERROR(1/0),IF(COUNT(FILTER(F:F,A:A=A1804))&gt;1,TRUNC(N1804*F1804/SUM(FILTER(N:N,A:A=A1804)),3),F1804))"),"")</f>
        <v/>
      </c>
      <c r="K1804" s="147" t="str">
        <f>IFERROR(__xludf.DUMMYFUNCTION("IF(ISBLANK(A1804),IFERROR(1/0),IF(COUNT(FILTER(G:G,((A:A=A1804)*(B:B=""V""))))&gt;1,TRUNC(N1804*G1804/SUM(FILTER(N:N,((A:A=A1804)*(B:B=""V"")))),3),G1804))"),"")</f>
        <v/>
      </c>
      <c r="L1804" s="148" t="str">
        <f>IFERROR(__xludf.DUMMYFUNCTION("if($C1804="""","""",iferror(if(row()&lt;&gt;2,INDEX(arrayformula(filter($M$2:$M1803,$C$2:$C1803&lt;&gt;"""",row($C$2:$C1803)=max(if($C$2:$C1803=C1804,row($C$2:$C1803),0)))) ,1),0),0))"),"")</f>
        <v/>
      </c>
      <c r="M1804" s="148" t="str">
        <f t="shared" si="1"/>
        <v/>
      </c>
      <c r="N1804" s="147" t="str">
        <f t="shared" si="2"/>
        <v/>
      </c>
      <c r="O1804" s="147" t="str">
        <f t="shared" si="21"/>
        <v/>
      </c>
      <c r="P1804" s="147" t="str">
        <f>IFERROR(__xludf.DUMMYFUNCTION("if(C1804="""","""",iferror(if(row()&lt;&gt;2,INDEX(arrayformula(filter($Q$2:$Q1803,$C$2:$C1803&lt;&gt;"""",row($C$2:$C1803)=max(if($C$2:$C1803=C1804,row($C$2:$C1803),0)))) ,1),0),0))"),"")</f>
        <v/>
      </c>
      <c r="Q1804" s="147" t="str">
        <f t="shared" si="22"/>
        <v/>
      </c>
      <c r="R1804" s="147" t="str">
        <f t="shared" si="23"/>
        <v/>
      </c>
      <c r="S1804" s="147" t="str">
        <f t="shared" si="24"/>
        <v/>
      </c>
      <c r="T1804" s="147" t="str">
        <f t="shared" si="7"/>
        <v/>
      </c>
      <c r="U1804" s="150" t="str">
        <f t="shared" si="8"/>
        <v/>
      </c>
      <c r="V1804" s="151" t="str">
        <f>IFERROR(VLOOKUP(C1804,Ativos!$A$1:$G2000,5,),)</f>
        <v/>
      </c>
    </row>
    <row r="1805" ht="21.0" customHeight="1">
      <c r="A1805" s="152"/>
      <c r="B1805" s="160"/>
      <c r="C1805" s="153"/>
      <c r="D1805" s="154"/>
      <c r="E1805" s="139"/>
      <c r="F1805" s="139"/>
      <c r="G1805" s="139"/>
      <c r="H1805" s="135"/>
      <c r="I1805" s="141"/>
      <c r="J1805" s="147" t="str">
        <f>IFERROR(__xludf.DUMMYFUNCTION("IF(ISBLANK(A1805),IFERROR(1/0),IF(COUNT(FILTER(F:F,A:A=A1805))&gt;1,TRUNC(N1805*F1805/SUM(FILTER(N:N,A:A=A1805)),3),F1805))"),"")</f>
        <v/>
      </c>
      <c r="K1805" s="147" t="str">
        <f>IFERROR(__xludf.DUMMYFUNCTION("IF(ISBLANK(A1805),IFERROR(1/0),IF(COUNT(FILTER(G:G,((A:A=A1805)*(B:B=""V""))))&gt;1,TRUNC(N1805*G1805/SUM(FILTER(N:N,((A:A=A1805)*(B:B=""V"")))),3),G1805))"),"")</f>
        <v/>
      </c>
      <c r="L1805" s="148" t="str">
        <f>IFERROR(__xludf.DUMMYFUNCTION("if($C1805="""","""",iferror(if(row()&lt;&gt;2,INDEX(arrayformula(filter($M$2:$M1804,$C$2:$C1804&lt;&gt;"""",row($C$2:$C1804)=max(if($C$2:$C1804=C1805,row($C$2:$C1804),0)))) ,1),0),0))"),"")</f>
        <v/>
      </c>
      <c r="M1805" s="148" t="str">
        <f t="shared" si="1"/>
        <v/>
      </c>
      <c r="N1805" s="147" t="str">
        <f t="shared" si="2"/>
        <v/>
      </c>
      <c r="O1805" s="147" t="str">
        <f t="shared" si="21"/>
        <v/>
      </c>
      <c r="P1805" s="147" t="str">
        <f>IFERROR(__xludf.DUMMYFUNCTION("if(C1805="""","""",iferror(if(row()&lt;&gt;2,INDEX(arrayformula(filter($Q$2:$Q1804,$C$2:$C1804&lt;&gt;"""",row($C$2:$C1804)=max(if($C$2:$C1804=C1805,row($C$2:$C1804),0)))) ,1),0),0))"),"")</f>
        <v/>
      </c>
      <c r="Q1805" s="147" t="str">
        <f t="shared" si="22"/>
        <v/>
      </c>
      <c r="R1805" s="147" t="str">
        <f t="shared" si="23"/>
        <v/>
      </c>
      <c r="S1805" s="147" t="str">
        <f t="shared" si="24"/>
        <v/>
      </c>
      <c r="T1805" s="147" t="str">
        <f t="shared" si="7"/>
        <v/>
      </c>
      <c r="U1805" s="150" t="str">
        <f t="shared" si="8"/>
        <v/>
      </c>
      <c r="V1805" s="151" t="str">
        <f>IFERROR(VLOOKUP(C1805,Ativos!$A$1:$G2000,5,),)</f>
        <v/>
      </c>
    </row>
    <row r="1806" ht="21.0" customHeight="1">
      <c r="A1806" s="152"/>
      <c r="B1806" s="160"/>
      <c r="C1806" s="153"/>
      <c r="D1806" s="154"/>
      <c r="E1806" s="139"/>
      <c r="F1806" s="139"/>
      <c r="G1806" s="139"/>
      <c r="H1806" s="135"/>
      <c r="I1806" s="141"/>
      <c r="J1806" s="147" t="str">
        <f>IFERROR(__xludf.DUMMYFUNCTION("IF(ISBLANK(A1806),IFERROR(1/0),IF(COUNT(FILTER(F:F,A:A=A1806))&gt;1,TRUNC(N1806*F1806/SUM(FILTER(N:N,A:A=A1806)),3),F1806))"),"")</f>
        <v/>
      </c>
      <c r="K1806" s="147" t="str">
        <f>IFERROR(__xludf.DUMMYFUNCTION("IF(ISBLANK(A1806),IFERROR(1/0),IF(COUNT(FILTER(G:G,((A:A=A1806)*(B:B=""V""))))&gt;1,TRUNC(N1806*G1806/SUM(FILTER(N:N,((A:A=A1806)*(B:B=""V"")))),3),G1806))"),"")</f>
        <v/>
      </c>
      <c r="L1806" s="148" t="str">
        <f>IFERROR(__xludf.DUMMYFUNCTION("if($C1806="""","""",iferror(if(row()&lt;&gt;2,INDEX(arrayformula(filter($M$2:$M1805,$C$2:$C1805&lt;&gt;"""",row($C$2:$C1805)=max(if($C$2:$C1805=C1806,row($C$2:$C1805),0)))) ,1),0),0))"),"")</f>
        <v/>
      </c>
      <c r="M1806" s="148" t="str">
        <f t="shared" si="1"/>
        <v/>
      </c>
      <c r="N1806" s="147" t="str">
        <f t="shared" si="2"/>
        <v/>
      </c>
      <c r="O1806" s="147" t="str">
        <f t="shared" si="21"/>
        <v/>
      </c>
      <c r="P1806" s="147" t="str">
        <f>IFERROR(__xludf.DUMMYFUNCTION("if(C1806="""","""",iferror(if(row()&lt;&gt;2,INDEX(arrayformula(filter($Q$2:$Q1805,$C$2:$C1805&lt;&gt;"""",row($C$2:$C1805)=max(if($C$2:$C1805=C1806,row($C$2:$C1805),0)))) ,1),0),0))"),"")</f>
        <v/>
      </c>
      <c r="Q1806" s="147" t="str">
        <f t="shared" si="22"/>
        <v/>
      </c>
      <c r="R1806" s="147" t="str">
        <f t="shared" si="23"/>
        <v/>
      </c>
      <c r="S1806" s="147" t="str">
        <f t="shared" si="24"/>
        <v/>
      </c>
      <c r="T1806" s="147" t="str">
        <f t="shared" si="7"/>
        <v/>
      </c>
      <c r="U1806" s="150" t="str">
        <f t="shared" si="8"/>
        <v/>
      </c>
      <c r="V1806" s="151" t="str">
        <f>IFERROR(VLOOKUP(C1806,Ativos!$A$1:$G2000,5,),)</f>
        <v/>
      </c>
    </row>
    <row r="1807" ht="21.0" customHeight="1">
      <c r="A1807" s="152"/>
      <c r="B1807" s="160"/>
      <c r="C1807" s="153"/>
      <c r="D1807" s="154"/>
      <c r="E1807" s="139"/>
      <c r="F1807" s="139"/>
      <c r="G1807" s="139"/>
      <c r="H1807" s="135"/>
      <c r="I1807" s="141"/>
      <c r="J1807" s="147" t="str">
        <f>IFERROR(__xludf.DUMMYFUNCTION("IF(ISBLANK(A1807),IFERROR(1/0),IF(COUNT(FILTER(F:F,A:A=A1807))&gt;1,TRUNC(N1807*F1807/SUM(FILTER(N:N,A:A=A1807)),3),F1807))"),"")</f>
        <v/>
      </c>
      <c r="K1807" s="147" t="str">
        <f>IFERROR(__xludf.DUMMYFUNCTION("IF(ISBLANK(A1807),IFERROR(1/0),IF(COUNT(FILTER(G:G,((A:A=A1807)*(B:B=""V""))))&gt;1,TRUNC(N1807*G1807/SUM(FILTER(N:N,((A:A=A1807)*(B:B=""V"")))),3),G1807))"),"")</f>
        <v/>
      </c>
      <c r="L1807" s="148" t="str">
        <f>IFERROR(__xludf.DUMMYFUNCTION("if($C1807="""","""",iferror(if(row()&lt;&gt;2,INDEX(arrayformula(filter($M$2:$M1806,$C$2:$C1806&lt;&gt;"""",row($C$2:$C1806)=max(if($C$2:$C1806=C1807,row($C$2:$C1806),0)))) ,1),0),0))"),"")</f>
        <v/>
      </c>
      <c r="M1807" s="148" t="str">
        <f t="shared" si="1"/>
        <v/>
      </c>
      <c r="N1807" s="147" t="str">
        <f t="shared" si="2"/>
        <v/>
      </c>
      <c r="O1807" s="147" t="str">
        <f t="shared" si="21"/>
        <v/>
      </c>
      <c r="P1807" s="147" t="str">
        <f>IFERROR(__xludf.DUMMYFUNCTION("if(C1807="""","""",iferror(if(row()&lt;&gt;2,INDEX(arrayformula(filter($Q$2:$Q1806,$C$2:$C1806&lt;&gt;"""",row($C$2:$C1806)=max(if($C$2:$C1806=C1807,row($C$2:$C1806),0)))) ,1),0),0))"),"")</f>
        <v/>
      </c>
      <c r="Q1807" s="147" t="str">
        <f t="shared" si="22"/>
        <v/>
      </c>
      <c r="R1807" s="147" t="str">
        <f t="shared" si="23"/>
        <v/>
      </c>
      <c r="S1807" s="147" t="str">
        <f t="shared" si="24"/>
        <v/>
      </c>
      <c r="T1807" s="147" t="str">
        <f t="shared" si="7"/>
        <v/>
      </c>
      <c r="U1807" s="150" t="str">
        <f t="shared" si="8"/>
        <v/>
      </c>
      <c r="V1807" s="151" t="str">
        <f>IFERROR(VLOOKUP(C1807,Ativos!$A$1:$G2000,5,),)</f>
        <v/>
      </c>
    </row>
    <row r="1808" ht="21.0" customHeight="1">
      <c r="A1808" s="152"/>
      <c r="B1808" s="160"/>
      <c r="C1808" s="153"/>
      <c r="D1808" s="154"/>
      <c r="E1808" s="139"/>
      <c r="F1808" s="139"/>
      <c r="G1808" s="139"/>
      <c r="H1808" s="135"/>
      <c r="I1808" s="141"/>
      <c r="J1808" s="147" t="str">
        <f>IFERROR(__xludf.DUMMYFUNCTION("IF(ISBLANK(A1808),IFERROR(1/0),IF(COUNT(FILTER(F:F,A:A=A1808))&gt;1,TRUNC(N1808*F1808/SUM(FILTER(N:N,A:A=A1808)),3),F1808))"),"")</f>
        <v/>
      </c>
      <c r="K1808" s="147" t="str">
        <f>IFERROR(__xludf.DUMMYFUNCTION("IF(ISBLANK(A1808),IFERROR(1/0),IF(COUNT(FILTER(G:G,((A:A=A1808)*(B:B=""V""))))&gt;1,TRUNC(N1808*G1808/SUM(FILTER(N:N,((A:A=A1808)*(B:B=""V"")))),3),G1808))"),"")</f>
        <v/>
      </c>
      <c r="L1808" s="148" t="str">
        <f>IFERROR(__xludf.DUMMYFUNCTION("if($C1808="""","""",iferror(if(row()&lt;&gt;2,INDEX(arrayformula(filter($M$2:$M1807,$C$2:$C1807&lt;&gt;"""",row($C$2:$C1807)=max(if($C$2:$C1807=C1808,row($C$2:$C1807),0)))) ,1),0),0))"),"")</f>
        <v/>
      </c>
      <c r="M1808" s="148" t="str">
        <f t="shared" si="1"/>
        <v/>
      </c>
      <c r="N1808" s="147" t="str">
        <f t="shared" si="2"/>
        <v/>
      </c>
      <c r="O1808" s="147" t="str">
        <f t="shared" si="21"/>
        <v/>
      </c>
      <c r="P1808" s="147" t="str">
        <f>IFERROR(__xludf.DUMMYFUNCTION("if(C1808="""","""",iferror(if(row()&lt;&gt;2,INDEX(arrayformula(filter($Q$2:$Q1807,$C$2:$C1807&lt;&gt;"""",row($C$2:$C1807)=max(if($C$2:$C1807=C1808,row($C$2:$C1807),0)))) ,1),0),0))"),"")</f>
        <v/>
      </c>
      <c r="Q1808" s="147" t="str">
        <f t="shared" si="22"/>
        <v/>
      </c>
      <c r="R1808" s="147" t="str">
        <f t="shared" si="23"/>
        <v/>
      </c>
      <c r="S1808" s="147" t="str">
        <f t="shared" si="24"/>
        <v/>
      </c>
      <c r="T1808" s="147" t="str">
        <f t="shared" si="7"/>
        <v/>
      </c>
      <c r="U1808" s="150" t="str">
        <f t="shared" si="8"/>
        <v/>
      </c>
      <c r="V1808" s="151" t="str">
        <f>IFERROR(VLOOKUP(C1808,Ativos!$A$1:$G2000,5,),)</f>
        <v/>
      </c>
    </row>
    <row r="1809" ht="21.0" customHeight="1">
      <c r="A1809" s="152"/>
      <c r="B1809" s="160"/>
      <c r="C1809" s="153"/>
      <c r="D1809" s="154"/>
      <c r="E1809" s="139"/>
      <c r="F1809" s="139"/>
      <c r="G1809" s="139"/>
      <c r="H1809" s="135"/>
      <c r="I1809" s="141"/>
      <c r="J1809" s="147" t="str">
        <f>IFERROR(__xludf.DUMMYFUNCTION("IF(ISBLANK(A1809),IFERROR(1/0),IF(COUNT(FILTER(F:F,A:A=A1809))&gt;1,TRUNC(N1809*F1809/SUM(FILTER(N:N,A:A=A1809)),3),F1809))"),"")</f>
        <v/>
      </c>
      <c r="K1809" s="147" t="str">
        <f>IFERROR(__xludf.DUMMYFUNCTION("IF(ISBLANK(A1809),IFERROR(1/0),IF(COUNT(FILTER(G:G,((A:A=A1809)*(B:B=""V""))))&gt;1,TRUNC(N1809*G1809/SUM(FILTER(N:N,((A:A=A1809)*(B:B=""V"")))),3),G1809))"),"")</f>
        <v/>
      </c>
      <c r="L1809" s="148" t="str">
        <f>IFERROR(__xludf.DUMMYFUNCTION("if($C1809="""","""",iferror(if(row()&lt;&gt;2,INDEX(arrayformula(filter($M$2:$M1808,$C$2:$C1808&lt;&gt;"""",row($C$2:$C1808)=max(if($C$2:$C1808=C1809,row($C$2:$C1808),0)))) ,1),0),0))"),"")</f>
        <v/>
      </c>
      <c r="M1809" s="148" t="str">
        <f t="shared" si="1"/>
        <v/>
      </c>
      <c r="N1809" s="147" t="str">
        <f t="shared" si="2"/>
        <v/>
      </c>
      <c r="O1809" s="147" t="str">
        <f t="shared" si="21"/>
        <v/>
      </c>
      <c r="P1809" s="147" t="str">
        <f>IFERROR(__xludf.DUMMYFUNCTION("if(C1809="""","""",iferror(if(row()&lt;&gt;2,INDEX(arrayformula(filter($Q$2:$Q1808,$C$2:$C1808&lt;&gt;"""",row($C$2:$C1808)=max(if($C$2:$C1808=C1809,row($C$2:$C1808),0)))) ,1),0),0))"),"")</f>
        <v/>
      </c>
      <c r="Q1809" s="147" t="str">
        <f t="shared" si="22"/>
        <v/>
      </c>
      <c r="R1809" s="147" t="str">
        <f t="shared" si="23"/>
        <v/>
      </c>
      <c r="S1809" s="147" t="str">
        <f t="shared" si="24"/>
        <v/>
      </c>
      <c r="T1809" s="147" t="str">
        <f t="shared" si="7"/>
        <v/>
      </c>
      <c r="U1809" s="150" t="str">
        <f t="shared" si="8"/>
        <v/>
      </c>
      <c r="V1809" s="151" t="str">
        <f>IFERROR(VLOOKUP(C1809,Ativos!$A$1:$G2000,5,),)</f>
        <v/>
      </c>
    </row>
    <row r="1810" ht="21.0" customHeight="1">
      <c r="A1810" s="152"/>
      <c r="B1810" s="160"/>
      <c r="C1810" s="153"/>
      <c r="D1810" s="154"/>
      <c r="E1810" s="139"/>
      <c r="F1810" s="139"/>
      <c r="G1810" s="139"/>
      <c r="H1810" s="135"/>
      <c r="I1810" s="141"/>
      <c r="J1810" s="147" t="str">
        <f>IFERROR(__xludf.DUMMYFUNCTION("IF(ISBLANK(A1810),IFERROR(1/0),IF(COUNT(FILTER(F:F,A:A=A1810))&gt;1,TRUNC(N1810*F1810/SUM(FILTER(N:N,A:A=A1810)),3),F1810))"),"")</f>
        <v/>
      </c>
      <c r="K1810" s="147" t="str">
        <f>IFERROR(__xludf.DUMMYFUNCTION("IF(ISBLANK(A1810),IFERROR(1/0),IF(COUNT(FILTER(G:G,((A:A=A1810)*(B:B=""V""))))&gt;1,TRUNC(N1810*G1810/SUM(FILTER(N:N,((A:A=A1810)*(B:B=""V"")))),3),G1810))"),"")</f>
        <v/>
      </c>
      <c r="L1810" s="148" t="str">
        <f>IFERROR(__xludf.DUMMYFUNCTION("if($C1810="""","""",iferror(if(row()&lt;&gt;2,INDEX(arrayformula(filter($M$2:$M1809,$C$2:$C1809&lt;&gt;"""",row($C$2:$C1809)=max(if($C$2:$C1809=C1810,row($C$2:$C1809),0)))) ,1),0),0))"),"")</f>
        <v/>
      </c>
      <c r="M1810" s="148" t="str">
        <f t="shared" si="1"/>
        <v/>
      </c>
      <c r="N1810" s="147" t="str">
        <f t="shared" si="2"/>
        <v/>
      </c>
      <c r="O1810" s="147" t="str">
        <f t="shared" si="21"/>
        <v/>
      </c>
      <c r="P1810" s="147" t="str">
        <f>IFERROR(__xludf.DUMMYFUNCTION("if(C1810="""","""",iferror(if(row()&lt;&gt;2,INDEX(arrayformula(filter($Q$2:$Q1809,$C$2:$C1809&lt;&gt;"""",row($C$2:$C1809)=max(if($C$2:$C1809=C1810,row($C$2:$C1809),0)))) ,1),0),0))"),"")</f>
        <v/>
      </c>
      <c r="Q1810" s="147" t="str">
        <f t="shared" si="22"/>
        <v/>
      </c>
      <c r="R1810" s="147" t="str">
        <f t="shared" si="23"/>
        <v/>
      </c>
      <c r="S1810" s="147" t="str">
        <f t="shared" si="24"/>
        <v/>
      </c>
      <c r="T1810" s="147" t="str">
        <f t="shared" si="7"/>
        <v/>
      </c>
      <c r="U1810" s="150" t="str">
        <f t="shared" si="8"/>
        <v/>
      </c>
      <c r="V1810" s="151" t="str">
        <f>IFERROR(VLOOKUP(C1810,Ativos!$A$1:$G2000,5,),)</f>
        <v/>
      </c>
    </row>
    <row r="1811" ht="21.0" customHeight="1">
      <c r="A1811" s="152"/>
      <c r="B1811" s="160"/>
      <c r="C1811" s="153"/>
      <c r="D1811" s="154"/>
      <c r="E1811" s="139"/>
      <c r="F1811" s="139"/>
      <c r="G1811" s="139"/>
      <c r="H1811" s="135"/>
      <c r="I1811" s="141"/>
      <c r="J1811" s="147" t="str">
        <f>IFERROR(__xludf.DUMMYFUNCTION("IF(ISBLANK(A1811),IFERROR(1/0),IF(COUNT(FILTER(F:F,A:A=A1811))&gt;1,TRUNC(N1811*F1811/SUM(FILTER(N:N,A:A=A1811)),3),F1811))"),"")</f>
        <v/>
      </c>
      <c r="K1811" s="147" t="str">
        <f>IFERROR(__xludf.DUMMYFUNCTION("IF(ISBLANK(A1811),IFERROR(1/0),IF(COUNT(FILTER(G:G,((A:A=A1811)*(B:B=""V""))))&gt;1,TRUNC(N1811*G1811/SUM(FILTER(N:N,((A:A=A1811)*(B:B=""V"")))),3),G1811))"),"")</f>
        <v/>
      </c>
      <c r="L1811" s="148" t="str">
        <f>IFERROR(__xludf.DUMMYFUNCTION("if($C1811="""","""",iferror(if(row()&lt;&gt;2,INDEX(arrayformula(filter($M$2:$M1810,$C$2:$C1810&lt;&gt;"""",row($C$2:$C1810)=max(if($C$2:$C1810=C1811,row($C$2:$C1810),0)))) ,1),0),0))"),"")</f>
        <v/>
      </c>
      <c r="M1811" s="148" t="str">
        <f t="shared" si="1"/>
        <v/>
      </c>
      <c r="N1811" s="147" t="str">
        <f t="shared" si="2"/>
        <v/>
      </c>
      <c r="O1811" s="147" t="str">
        <f t="shared" si="21"/>
        <v/>
      </c>
      <c r="P1811" s="147" t="str">
        <f>IFERROR(__xludf.DUMMYFUNCTION("if(C1811="""","""",iferror(if(row()&lt;&gt;2,INDEX(arrayformula(filter($Q$2:$Q1810,$C$2:$C1810&lt;&gt;"""",row($C$2:$C1810)=max(if($C$2:$C1810=C1811,row($C$2:$C1810),0)))) ,1),0),0))"),"")</f>
        <v/>
      </c>
      <c r="Q1811" s="147" t="str">
        <f t="shared" si="22"/>
        <v/>
      </c>
      <c r="R1811" s="147" t="str">
        <f t="shared" si="23"/>
        <v/>
      </c>
      <c r="S1811" s="147" t="str">
        <f t="shared" si="24"/>
        <v/>
      </c>
      <c r="T1811" s="147" t="str">
        <f t="shared" si="7"/>
        <v/>
      </c>
      <c r="U1811" s="150" t="str">
        <f t="shared" si="8"/>
        <v/>
      </c>
      <c r="V1811" s="151" t="str">
        <f>IFERROR(VLOOKUP(C1811,Ativos!$A$1:$G2000,5,),)</f>
        <v/>
      </c>
    </row>
    <row r="1812" ht="21.0" customHeight="1">
      <c r="A1812" s="152"/>
      <c r="B1812" s="160"/>
      <c r="C1812" s="153"/>
      <c r="D1812" s="154"/>
      <c r="E1812" s="139"/>
      <c r="F1812" s="139"/>
      <c r="G1812" s="139"/>
      <c r="H1812" s="135"/>
      <c r="I1812" s="141"/>
      <c r="J1812" s="147" t="str">
        <f>IFERROR(__xludf.DUMMYFUNCTION("IF(ISBLANK(A1812),IFERROR(1/0),IF(COUNT(FILTER(F:F,A:A=A1812))&gt;1,TRUNC(N1812*F1812/SUM(FILTER(N:N,A:A=A1812)),3),F1812))"),"")</f>
        <v/>
      </c>
      <c r="K1812" s="147" t="str">
        <f>IFERROR(__xludf.DUMMYFUNCTION("IF(ISBLANK(A1812),IFERROR(1/0),IF(COUNT(FILTER(G:G,((A:A=A1812)*(B:B=""V""))))&gt;1,TRUNC(N1812*G1812/SUM(FILTER(N:N,((A:A=A1812)*(B:B=""V"")))),3),G1812))"),"")</f>
        <v/>
      </c>
      <c r="L1812" s="148" t="str">
        <f>IFERROR(__xludf.DUMMYFUNCTION("if($C1812="""","""",iferror(if(row()&lt;&gt;2,INDEX(arrayformula(filter($M$2:$M1811,$C$2:$C1811&lt;&gt;"""",row($C$2:$C1811)=max(if($C$2:$C1811=C1812,row($C$2:$C1811),0)))) ,1),0),0))"),"")</f>
        <v/>
      </c>
      <c r="M1812" s="148" t="str">
        <f t="shared" si="1"/>
        <v/>
      </c>
      <c r="N1812" s="147" t="str">
        <f t="shared" si="2"/>
        <v/>
      </c>
      <c r="O1812" s="147" t="str">
        <f t="shared" si="21"/>
        <v/>
      </c>
      <c r="P1812" s="147" t="str">
        <f>IFERROR(__xludf.DUMMYFUNCTION("if(C1812="""","""",iferror(if(row()&lt;&gt;2,INDEX(arrayformula(filter($Q$2:$Q1811,$C$2:$C1811&lt;&gt;"""",row($C$2:$C1811)=max(if($C$2:$C1811=C1812,row($C$2:$C1811),0)))) ,1),0),0))"),"")</f>
        <v/>
      </c>
      <c r="Q1812" s="147" t="str">
        <f t="shared" si="22"/>
        <v/>
      </c>
      <c r="R1812" s="147" t="str">
        <f t="shared" si="23"/>
        <v/>
      </c>
      <c r="S1812" s="147" t="str">
        <f t="shared" si="24"/>
        <v/>
      </c>
      <c r="T1812" s="147" t="str">
        <f t="shared" si="7"/>
        <v/>
      </c>
      <c r="U1812" s="150" t="str">
        <f t="shared" si="8"/>
        <v/>
      </c>
      <c r="V1812" s="151" t="str">
        <f>IFERROR(VLOOKUP(C1812,Ativos!$A$1:$G2000,5,),)</f>
        <v/>
      </c>
    </row>
    <row r="1813" ht="21.0" customHeight="1">
      <c r="A1813" s="152"/>
      <c r="B1813" s="160"/>
      <c r="C1813" s="153"/>
      <c r="D1813" s="154"/>
      <c r="E1813" s="139"/>
      <c r="F1813" s="139"/>
      <c r="G1813" s="139"/>
      <c r="H1813" s="135"/>
      <c r="I1813" s="141"/>
      <c r="J1813" s="147" t="str">
        <f>IFERROR(__xludf.DUMMYFUNCTION("IF(ISBLANK(A1813),IFERROR(1/0),IF(COUNT(FILTER(F:F,A:A=A1813))&gt;1,TRUNC(N1813*F1813/SUM(FILTER(N:N,A:A=A1813)),3),F1813))"),"")</f>
        <v/>
      </c>
      <c r="K1813" s="147" t="str">
        <f>IFERROR(__xludf.DUMMYFUNCTION("IF(ISBLANK(A1813),IFERROR(1/0),IF(COUNT(FILTER(G:G,((A:A=A1813)*(B:B=""V""))))&gt;1,TRUNC(N1813*G1813/SUM(FILTER(N:N,((A:A=A1813)*(B:B=""V"")))),3),G1813))"),"")</f>
        <v/>
      </c>
      <c r="L1813" s="148" t="str">
        <f>IFERROR(__xludf.DUMMYFUNCTION("if($C1813="""","""",iferror(if(row()&lt;&gt;2,INDEX(arrayformula(filter($M$2:$M1812,$C$2:$C1812&lt;&gt;"""",row($C$2:$C1812)=max(if($C$2:$C1812=C1813,row($C$2:$C1812),0)))) ,1),0),0))"),"")</f>
        <v/>
      </c>
      <c r="M1813" s="148" t="str">
        <f t="shared" si="1"/>
        <v/>
      </c>
      <c r="N1813" s="147" t="str">
        <f t="shared" si="2"/>
        <v/>
      </c>
      <c r="O1813" s="147" t="str">
        <f t="shared" si="21"/>
        <v/>
      </c>
      <c r="P1813" s="147" t="str">
        <f>IFERROR(__xludf.DUMMYFUNCTION("if(C1813="""","""",iferror(if(row()&lt;&gt;2,INDEX(arrayformula(filter($Q$2:$Q1812,$C$2:$C1812&lt;&gt;"""",row($C$2:$C1812)=max(if($C$2:$C1812=C1813,row($C$2:$C1812),0)))) ,1),0),0))"),"")</f>
        <v/>
      </c>
      <c r="Q1813" s="147" t="str">
        <f t="shared" si="22"/>
        <v/>
      </c>
      <c r="R1813" s="147" t="str">
        <f t="shared" si="23"/>
        <v/>
      </c>
      <c r="S1813" s="147" t="str">
        <f t="shared" si="24"/>
        <v/>
      </c>
      <c r="T1813" s="147" t="str">
        <f t="shared" si="7"/>
        <v/>
      </c>
      <c r="U1813" s="150" t="str">
        <f t="shared" si="8"/>
        <v/>
      </c>
      <c r="V1813" s="151" t="str">
        <f>IFERROR(VLOOKUP(C1813,Ativos!$A$1:$G2000,5,),)</f>
        <v/>
      </c>
    </row>
    <row r="1814" ht="21.0" customHeight="1">
      <c r="A1814" s="152"/>
      <c r="B1814" s="160"/>
      <c r="C1814" s="153"/>
      <c r="D1814" s="154"/>
      <c r="E1814" s="139"/>
      <c r="F1814" s="139"/>
      <c r="G1814" s="139"/>
      <c r="H1814" s="135"/>
      <c r="I1814" s="141"/>
      <c r="J1814" s="147" t="str">
        <f>IFERROR(__xludf.DUMMYFUNCTION("IF(ISBLANK(A1814),IFERROR(1/0),IF(COUNT(FILTER(F:F,A:A=A1814))&gt;1,TRUNC(N1814*F1814/SUM(FILTER(N:N,A:A=A1814)),3),F1814))"),"")</f>
        <v/>
      </c>
      <c r="K1814" s="147" t="str">
        <f>IFERROR(__xludf.DUMMYFUNCTION("IF(ISBLANK(A1814),IFERROR(1/0),IF(COUNT(FILTER(G:G,((A:A=A1814)*(B:B=""V""))))&gt;1,TRUNC(N1814*G1814/SUM(FILTER(N:N,((A:A=A1814)*(B:B=""V"")))),3),G1814))"),"")</f>
        <v/>
      </c>
      <c r="L1814" s="148" t="str">
        <f>IFERROR(__xludf.DUMMYFUNCTION("if($C1814="""","""",iferror(if(row()&lt;&gt;2,INDEX(arrayformula(filter($M$2:$M1813,$C$2:$C1813&lt;&gt;"""",row($C$2:$C1813)=max(if($C$2:$C1813=C1814,row($C$2:$C1813),0)))) ,1),0),0))"),"")</f>
        <v/>
      </c>
      <c r="M1814" s="148" t="str">
        <f t="shared" si="1"/>
        <v/>
      </c>
      <c r="N1814" s="147" t="str">
        <f t="shared" si="2"/>
        <v/>
      </c>
      <c r="O1814" s="147" t="str">
        <f t="shared" si="21"/>
        <v/>
      </c>
      <c r="P1814" s="147" t="str">
        <f>IFERROR(__xludf.DUMMYFUNCTION("if(C1814="""","""",iferror(if(row()&lt;&gt;2,INDEX(arrayformula(filter($Q$2:$Q1813,$C$2:$C1813&lt;&gt;"""",row($C$2:$C1813)=max(if($C$2:$C1813=C1814,row($C$2:$C1813),0)))) ,1),0),0))"),"")</f>
        <v/>
      </c>
      <c r="Q1814" s="147" t="str">
        <f t="shared" si="22"/>
        <v/>
      </c>
      <c r="R1814" s="147" t="str">
        <f t="shared" si="23"/>
        <v/>
      </c>
      <c r="S1814" s="147" t="str">
        <f t="shared" si="24"/>
        <v/>
      </c>
      <c r="T1814" s="147" t="str">
        <f t="shared" si="7"/>
        <v/>
      </c>
      <c r="U1814" s="150" t="str">
        <f t="shared" si="8"/>
        <v/>
      </c>
      <c r="V1814" s="151" t="str">
        <f>IFERROR(VLOOKUP(C1814,Ativos!$A$1:$G2000,5,),)</f>
        <v/>
      </c>
    </row>
    <row r="1815" ht="21.0" customHeight="1">
      <c r="A1815" s="152"/>
      <c r="B1815" s="160"/>
      <c r="C1815" s="153"/>
      <c r="D1815" s="154"/>
      <c r="E1815" s="139"/>
      <c r="F1815" s="139"/>
      <c r="G1815" s="139"/>
      <c r="H1815" s="135"/>
      <c r="I1815" s="141"/>
      <c r="J1815" s="147" t="str">
        <f>IFERROR(__xludf.DUMMYFUNCTION("IF(ISBLANK(A1815),IFERROR(1/0),IF(COUNT(FILTER(F:F,A:A=A1815))&gt;1,TRUNC(N1815*F1815/SUM(FILTER(N:N,A:A=A1815)),3),F1815))"),"")</f>
        <v/>
      </c>
      <c r="K1815" s="147" t="str">
        <f>IFERROR(__xludf.DUMMYFUNCTION("IF(ISBLANK(A1815),IFERROR(1/0),IF(COUNT(FILTER(G:G,((A:A=A1815)*(B:B=""V""))))&gt;1,TRUNC(N1815*G1815/SUM(FILTER(N:N,((A:A=A1815)*(B:B=""V"")))),3),G1815))"),"")</f>
        <v/>
      </c>
      <c r="L1815" s="148" t="str">
        <f>IFERROR(__xludf.DUMMYFUNCTION("if($C1815="""","""",iferror(if(row()&lt;&gt;2,INDEX(arrayformula(filter($M$2:$M1814,$C$2:$C1814&lt;&gt;"""",row($C$2:$C1814)=max(if($C$2:$C1814=C1815,row($C$2:$C1814),0)))) ,1),0),0))"),"")</f>
        <v/>
      </c>
      <c r="M1815" s="148" t="str">
        <f t="shared" si="1"/>
        <v/>
      </c>
      <c r="N1815" s="147" t="str">
        <f t="shared" si="2"/>
        <v/>
      </c>
      <c r="O1815" s="147" t="str">
        <f t="shared" si="21"/>
        <v/>
      </c>
      <c r="P1815" s="147" t="str">
        <f>IFERROR(__xludf.DUMMYFUNCTION("if(C1815="""","""",iferror(if(row()&lt;&gt;2,INDEX(arrayformula(filter($Q$2:$Q1814,$C$2:$C1814&lt;&gt;"""",row($C$2:$C1814)=max(if($C$2:$C1814=C1815,row($C$2:$C1814),0)))) ,1),0),0))"),"")</f>
        <v/>
      </c>
      <c r="Q1815" s="147" t="str">
        <f t="shared" si="22"/>
        <v/>
      </c>
      <c r="R1815" s="147" t="str">
        <f t="shared" si="23"/>
        <v/>
      </c>
      <c r="S1815" s="147" t="str">
        <f t="shared" si="24"/>
        <v/>
      </c>
      <c r="T1815" s="147" t="str">
        <f t="shared" si="7"/>
        <v/>
      </c>
      <c r="U1815" s="150" t="str">
        <f t="shared" si="8"/>
        <v/>
      </c>
      <c r="V1815" s="151" t="str">
        <f>IFERROR(VLOOKUP(C1815,Ativos!$A$1:$G2000,5,),)</f>
        <v/>
      </c>
    </row>
    <row r="1816" ht="21.0" customHeight="1">
      <c r="A1816" s="152"/>
      <c r="B1816" s="160"/>
      <c r="C1816" s="153"/>
      <c r="D1816" s="154"/>
      <c r="E1816" s="139"/>
      <c r="F1816" s="139"/>
      <c r="G1816" s="139"/>
      <c r="H1816" s="135"/>
      <c r="I1816" s="141"/>
      <c r="J1816" s="147" t="str">
        <f>IFERROR(__xludf.DUMMYFUNCTION("IF(ISBLANK(A1816),IFERROR(1/0),IF(COUNT(FILTER(F:F,A:A=A1816))&gt;1,TRUNC(N1816*F1816/SUM(FILTER(N:N,A:A=A1816)),3),F1816))"),"")</f>
        <v/>
      </c>
      <c r="K1816" s="147" t="str">
        <f>IFERROR(__xludf.DUMMYFUNCTION("IF(ISBLANK(A1816),IFERROR(1/0),IF(COUNT(FILTER(G:G,((A:A=A1816)*(B:B=""V""))))&gt;1,TRUNC(N1816*G1816/SUM(FILTER(N:N,((A:A=A1816)*(B:B=""V"")))),3),G1816))"),"")</f>
        <v/>
      </c>
      <c r="L1816" s="148" t="str">
        <f>IFERROR(__xludf.DUMMYFUNCTION("if($C1816="""","""",iferror(if(row()&lt;&gt;2,INDEX(arrayformula(filter($M$2:$M1815,$C$2:$C1815&lt;&gt;"""",row($C$2:$C1815)=max(if($C$2:$C1815=C1816,row($C$2:$C1815),0)))) ,1),0),0))"),"")</f>
        <v/>
      </c>
      <c r="M1816" s="148" t="str">
        <f t="shared" si="1"/>
        <v/>
      </c>
      <c r="N1816" s="147" t="str">
        <f t="shared" si="2"/>
        <v/>
      </c>
      <c r="O1816" s="147" t="str">
        <f t="shared" si="21"/>
        <v/>
      </c>
      <c r="P1816" s="147" t="str">
        <f>IFERROR(__xludf.DUMMYFUNCTION("if(C1816="""","""",iferror(if(row()&lt;&gt;2,INDEX(arrayformula(filter($Q$2:$Q1815,$C$2:$C1815&lt;&gt;"""",row($C$2:$C1815)=max(if($C$2:$C1815=C1816,row($C$2:$C1815),0)))) ,1),0),0))"),"")</f>
        <v/>
      </c>
      <c r="Q1816" s="147" t="str">
        <f t="shared" si="22"/>
        <v/>
      </c>
      <c r="R1816" s="147" t="str">
        <f t="shared" si="23"/>
        <v/>
      </c>
      <c r="S1816" s="147" t="str">
        <f t="shared" si="24"/>
        <v/>
      </c>
      <c r="T1816" s="147" t="str">
        <f t="shared" si="7"/>
        <v/>
      </c>
      <c r="U1816" s="150" t="str">
        <f t="shared" si="8"/>
        <v/>
      </c>
      <c r="V1816" s="151" t="str">
        <f>IFERROR(VLOOKUP(C1816,Ativos!$A$1:$G2000,5,),)</f>
        <v/>
      </c>
    </row>
    <row r="1817" ht="21.0" customHeight="1">
      <c r="A1817" s="152"/>
      <c r="B1817" s="160"/>
      <c r="C1817" s="153"/>
      <c r="D1817" s="154"/>
      <c r="E1817" s="139"/>
      <c r="F1817" s="139"/>
      <c r="G1817" s="139"/>
      <c r="H1817" s="135"/>
      <c r="I1817" s="141"/>
      <c r="J1817" s="147" t="str">
        <f>IFERROR(__xludf.DUMMYFUNCTION("IF(ISBLANK(A1817),IFERROR(1/0),IF(COUNT(FILTER(F:F,A:A=A1817))&gt;1,TRUNC(N1817*F1817/SUM(FILTER(N:N,A:A=A1817)),3),F1817))"),"")</f>
        <v/>
      </c>
      <c r="K1817" s="147" t="str">
        <f>IFERROR(__xludf.DUMMYFUNCTION("IF(ISBLANK(A1817),IFERROR(1/0),IF(COUNT(FILTER(G:G,((A:A=A1817)*(B:B=""V""))))&gt;1,TRUNC(N1817*G1817/SUM(FILTER(N:N,((A:A=A1817)*(B:B=""V"")))),3),G1817))"),"")</f>
        <v/>
      </c>
      <c r="L1817" s="148" t="str">
        <f>IFERROR(__xludf.DUMMYFUNCTION("if($C1817="""","""",iferror(if(row()&lt;&gt;2,INDEX(arrayformula(filter($M$2:$M1816,$C$2:$C1816&lt;&gt;"""",row($C$2:$C1816)=max(if($C$2:$C1816=C1817,row($C$2:$C1816),0)))) ,1),0),0))"),"")</f>
        <v/>
      </c>
      <c r="M1817" s="148" t="str">
        <f t="shared" si="1"/>
        <v/>
      </c>
      <c r="N1817" s="147" t="str">
        <f t="shared" si="2"/>
        <v/>
      </c>
      <c r="O1817" s="147" t="str">
        <f t="shared" si="21"/>
        <v/>
      </c>
      <c r="P1817" s="147" t="str">
        <f>IFERROR(__xludf.DUMMYFUNCTION("if(C1817="""","""",iferror(if(row()&lt;&gt;2,INDEX(arrayformula(filter($Q$2:$Q1816,$C$2:$C1816&lt;&gt;"""",row($C$2:$C1816)=max(if($C$2:$C1816=C1817,row($C$2:$C1816),0)))) ,1),0),0))"),"")</f>
        <v/>
      </c>
      <c r="Q1817" s="147" t="str">
        <f t="shared" si="22"/>
        <v/>
      </c>
      <c r="R1817" s="147" t="str">
        <f t="shared" si="23"/>
        <v/>
      </c>
      <c r="S1817" s="147" t="str">
        <f t="shared" si="24"/>
        <v/>
      </c>
      <c r="T1817" s="147" t="str">
        <f t="shared" si="7"/>
        <v/>
      </c>
      <c r="U1817" s="150" t="str">
        <f t="shared" si="8"/>
        <v/>
      </c>
      <c r="V1817" s="151" t="str">
        <f>IFERROR(VLOOKUP(C1817,Ativos!$A$1:$G2000,5,),)</f>
        <v/>
      </c>
    </row>
    <row r="1818" ht="21.0" customHeight="1">
      <c r="A1818" s="152"/>
      <c r="B1818" s="160"/>
      <c r="C1818" s="153"/>
      <c r="D1818" s="154"/>
      <c r="E1818" s="139"/>
      <c r="F1818" s="139"/>
      <c r="G1818" s="139"/>
      <c r="H1818" s="135"/>
      <c r="I1818" s="141"/>
      <c r="J1818" s="147" t="str">
        <f>IFERROR(__xludf.DUMMYFUNCTION("IF(ISBLANK(A1818),IFERROR(1/0),IF(COUNT(FILTER(F:F,A:A=A1818))&gt;1,TRUNC(N1818*F1818/SUM(FILTER(N:N,A:A=A1818)),3),F1818))"),"")</f>
        <v/>
      </c>
      <c r="K1818" s="147" t="str">
        <f>IFERROR(__xludf.DUMMYFUNCTION("IF(ISBLANK(A1818),IFERROR(1/0),IF(COUNT(FILTER(G:G,((A:A=A1818)*(B:B=""V""))))&gt;1,TRUNC(N1818*G1818/SUM(FILTER(N:N,((A:A=A1818)*(B:B=""V"")))),3),G1818))"),"")</f>
        <v/>
      </c>
      <c r="L1818" s="148" t="str">
        <f>IFERROR(__xludf.DUMMYFUNCTION("if($C1818="""","""",iferror(if(row()&lt;&gt;2,INDEX(arrayformula(filter($M$2:$M1817,$C$2:$C1817&lt;&gt;"""",row($C$2:$C1817)=max(if($C$2:$C1817=C1818,row($C$2:$C1817),0)))) ,1),0),0))"),"")</f>
        <v/>
      </c>
      <c r="M1818" s="148" t="str">
        <f t="shared" si="1"/>
        <v/>
      </c>
      <c r="N1818" s="147" t="str">
        <f t="shared" si="2"/>
        <v/>
      </c>
      <c r="O1818" s="147" t="str">
        <f t="shared" si="21"/>
        <v/>
      </c>
      <c r="P1818" s="147" t="str">
        <f>IFERROR(__xludf.DUMMYFUNCTION("if(C1818="""","""",iferror(if(row()&lt;&gt;2,INDEX(arrayformula(filter($Q$2:$Q1817,$C$2:$C1817&lt;&gt;"""",row($C$2:$C1817)=max(if($C$2:$C1817=C1818,row($C$2:$C1817),0)))) ,1),0),0))"),"")</f>
        <v/>
      </c>
      <c r="Q1818" s="147" t="str">
        <f t="shared" si="22"/>
        <v/>
      </c>
      <c r="R1818" s="147" t="str">
        <f t="shared" si="23"/>
        <v/>
      </c>
      <c r="S1818" s="147" t="str">
        <f t="shared" si="24"/>
        <v/>
      </c>
      <c r="T1818" s="147" t="str">
        <f t="shared" si="7"/>
        <v/>
      </c>
      <c r="U1818" s="150" t="str">
        <f t="shared" si="8"/>
        <v/>
      </c>
      <c r="V1818" s="151" t="str">
        <f>IFERROR(VLOOKUP(C1818,Ativos!$A$1:$G2000,5,),)</f>
        <v/>
      </c>
    </row>
    <row r="1819" ht="21.0" customHeight="1">
      <c r="A1819" s="152"/>
      <c r="B1819" s="160"/>
      <c r="C1819" s="153"/>
      <c r="D1819" s="154"/>
      <c r="E1819" s="139"/>
      <c r="F1819" s="139"/>
      <c r="G1819" s="139"/>
      <c r="H1819" s="135"/>
      <c r="I1819" s="141"/>
      <c r="J1819" s="147" t="str">
        <f>IFERROR(__xludf.DUMMYFUNCTION("IF(ISBLANK(A1819),IFERROR(1/0),IF(COUNT(FILTER(F:F,A:A=A1819))&gt;1,TRUNC(N1819*F1819/SUM(FILTER(N:N,A:A=A1819)),3),F1819))"),"")</f>
        <v/>
      </c>
      <c r="K1819" s="147" t="str">
        <f>IFERROR(__xludf.DUMMYFUNCTION("IF(ISBLANK(A1819),IFERROR(1/0),IF(COUNT(FILTER(G:G,((A:A=A1819)*(B:B=""V""))))&gt;1,TRUNC(N1819*G1819/SUM(FILTER(N:N,((A:A=A1819)*(B:B=""V"")))),3),G1819))"),"")</f>
        <v/>
      </c>
      <c r="L1819" s="148" t="str">
        <f>IFERROR(__xludf.DUMMYFUNCTION("if($C1819="""","""",iferror(if(row()&lt;&gt;2,INDEX(arrayformula(filter($M$2:$M1818,$C$2:$C1818&lt;&gt;"""",row($C$2:$C1818)=max(if($C$2:$C1818=C1819,row($C$2:$C1818),0)))) ,1),0),0))"),"")</f>
        <v/>
      </c>
      <c r="M1819" s="148" t="str">
        <f t="shared" si="1"/>
        <v/>
      </c>
      <c r="N1819" s="147" t="str">
        <f t="shared" si="2"/>
        <v/>
      </c>
      <c r="O1819" s="147" t="str">
        <f t="shared" si="21"/>
        <v/>
      </c>
      <c r="P1819" s="147" t="str">
        <f>IFERROR(__xludf.DUMMYFUNCTION("if(C1819="""","""",iferror(if(row()&lt;&gt;2,INDEX(arrayformula(filter($Q$2:$Q1818,$C$2:$C1818&lt;&gt;"""",row($C$2:$C1818)=max(if($C$2:$C1818=C1819,row($C$2:$C1818),0)))) ,1),0),0))"),"")</f>
        <v/>
      </c>
      <c r="Q1819" s="147" t="str">
        <f t="shared" si="22"/>
        <v/>
      </c>
      <c r="R1819" s="147" t="str">
        <f t="shared" si="23"/>
        <v/>
      </c>
      <c r="S1819" s="147" t="str">
        <f t="shared" si="24"/>
        <v/>
      </c>
      <c r="T1819" s="147" t="str">
        <f t="shared" si="7"/>
        <v/>
      </c>
      <c r="U1819" s="150" t="str">
        <f t="shared" si="8"/>
        <v/>
      </c>
      <c r="V1819" s="151" t="str">
        <f>IFERROR(VLOOKUP(C1819,Ativos!$A$1:$G2000,5,),)</f>
        <v/>
      </c>
    </row>
    <row r="1820" ht="21.0" customHeight="1">
      <c r="A1820" s="152"/>
      <c r="B1820" s="160"/>
      <c r="C1820" s="153"/>
      <c r="D1820" s="154"/>
      <c r="E1820" s="139"/>
      <c r="F1820" s="139"/>
      <c r="G1820" s="139"/>
      <c r="H1820" s="135"/>
      <c r="I1820" s="141"/>
      <c r="J1820" s="147" t="str">
        <f>IFERROR(__xludf.DUMMYFUNCTION("IF(ISBLANK(A1820),IFERROR(1/0),IF(COUNT(FILTER(F:F,A:A=A1820))&gt;1,TRUNC(N1820*F1820/SUM(FILTER(N:N,A:A=A1820)),3),F1820))"),"")</f>
        <v/>
      </c>
      <c r="K1820" s="147" t="str">
        <f>IFERROR(__xludf.DUMMYFUNCTION("IF(ISBLANK(A1820),IFERROR(1/0),IF(COUNT(FILTER(G:G,((A:A=A1820)*(B:B=""V""))))&gt;1,TRUNC(N1820*G1820/SUM(FILTER(N:N,((A:A=A1820)*(B:B=""V"")))),3),G1820))"),"")</f>
        <v/>
      </c>
      <c r="L1820" s="148" t="str">
        <f>IFERROR(__xludf.DUMMYFUNCTION("if($C1820="""","""",iferror(if(row()&lt;&gt;2,INDEX(arrayformula(filter($M$2:$M1819,$C$2:$C1819&lt;&gt;"""",row($C$2:$C1819)=max(if($C$2:$C1819=C1820,row($C$2:$C1819),0)))) ,1),0),0))"),"")</f>
        <v/>
      </c>
      <c r="M1820" s="148" t="str">
        <f t="shared" si="1"/>
        <v/>
      </c>
      <c r="N1820" s="147" t="str">
        <f t="shared" si="2"/>
        <v/>
      </c>
      <c r="O1820" s="147" t="str">
        <f t="shared" si="21"/>
        <v/>
      </c>
      <c r="P1820" s="147" t="str">
        <f>IFERROR(__xludf.DUMMYFUNCTION("if(C1820="""","""",iferror(if(row()&lt;&gt;2,INDEX(arrayformula(filter($Q$2:$Q1819,$C$2:$C1819&lt;&gt;"""",row($C$2:$C1819)=max(if($C$2:$C1819=C1820,row($C$2:$C1819),0)))) ,1),0),0))"),"")</f>
        <v/>
      </c>
      <c r="Q1820" s="147" t="str">
        <f t="shared" si="22"/>
        <v/>
      </c>
      <c r="R1820" s="147" t="str">
        <f t="shared" si="23"/>
        <v/>
      </c>
      <c r="S1820" s="147" t="str">
        <f t="shared" si="24"/>
        <v/>
      </c>
      <c r="T1820" s="147" t="str">
        <f t="shared" si="7"/>
        <v/>
      </c>
      <c r="U1820" s="150" t="str">
        <f t="shared" si="8"/>
        <v/>
      </c>
      <c r="V1820" s="151" t="str">
        <f>IFERROR(VLOOKUP(C1820,Ativos!$A$1:$G2000,5,),)</f>
        <v/>
      </c>
    </row>
    <row r="1821" ht="21.0" customHeight="1">
      <c r="A1821" s="152"/>
      <c r="B1821" s="160"/>
      <c r="C1821" s="153"/>
      <c r="D1821" s="154"/>
      <c r="E1821" s="139"/>
      <c r="F1821" s="139"/>
      <c r="G1821" s="139"/>
      <c r="H1821" s="135"/>
      <c r="I1821" s="141"/>
      <c r="J1821" s="147" t="str">
        <f>IFERROR(__xludf.DUMMYFUNCTION("IF(ISBLANK(A1821),IFERROR(1/0),IF(COUNT(FILTER(F:F,A:A=A1821))&gt;1,TRUNC(N1821*F1821/SUM(FILTER(N:N,A:A=A1821)),3),F1821))"),"")</f>
        <v/>
      </c>
      <c r="K1821" s="147" t="str">
        <f>IFERROR(__xludf.DUMMYFUNCTION("IF(ISBLANK(A1821),IFERROR(1/0),IF(COUNT(FILTER(G:G,((A:A=A1821)*(B:B=""V""))))&gt;1,TRUNC(N1821*G1821/SUM(FILTER(N:N,((A:A=A1821)*(B:B=""V"")))),3),G1821))"),"")</f>
        <v/>
      </c>
      <c r="L1821" s="148" t="str">
        <f>IFERROR(__xludf.DUMMYFUNCTION("if($C1821="""","""",iferror(if(row()&lt;&gt;2,INDEX(arrayformula(filter($M$2:$M1820,$C$2:$C1820&lt;&gt;"""",row($C$2:$C1820)=max(if($C$2:$C1820=C1821,row($C$2:$C1820),0)))) ,1),0),0))"),"")</f>
        <v/>
      </c>
      <c r="M1821" s="148" t="str">
        <f t="shared" si="1"/>
        <v/>
      </c>
      <c r="N1821" s="147" t="str">
        <f t="shared" si="2"/>
        <v/>
      </c>
      <c r="O1821" s="147" t="str">
        <f t="shared" si="21"/>
        <v/>
      </c>
      <c r="P1821" s="147" t="str">
        <f>IFERROR(__xludf.DUMMYFUNCTION("if(C1821="""","""",iferror(if(row()&lt;&gt;2,INDEX(arrayformula(filter($Q$2:$Q1820,$C$2:$C1820&lt;&gt;"""",row($C$2:$C1820)=max(if($C$2:$C1820=C1821,row($C$2:$C1820),0)))) ,1),0),0))"),"")</f>
        <v/>
      </c>
      <c r="Q1821" s="147" t="str">
        <f t="shared" si="22"/>
        <v/>
      </c>
      <c r="R1821" s="147" t="str">
        <f t="shared" si="23"/>
        <v/>
      </c>
      <c r="S1821" s="147" t="str">
        <f t="shared" si="24"/>
        <v/>
      </c>
      <c r="T1821" s="147" t="str">
        <f t="shared" si="7"/>
        <v/>
      </c>
      <c r="U1821" s="150" t="str">
        <f t="shared" si="8"/>
        <v/>
      </c>
      <c r="V1821" s="151" t="str">
        <f>IFERROR(VLOOKUP(C1821,Ativos!$A$1:$G2000,5,),)</f>
        <v/>
      </c>
    </row>
    <row r="1822" ht="21.0" customHeight="1">
      <c r="A1822" s="152"/>
      <c r="B1822" s="160"/>
      <c r="C1822" s="153"/>
      <c r="D1822" s="154"/>
      <c r="E1822" s="139"/>
      <c r="F1822" s="139"/>
      <c r="G1822" s="139"/>
      <c r="H1822" s="135"/>
      <c r="I1822" s="141"/>
      <c r="J1822" s="147" t="str">
        <f>IFERROR(__xludf.DUMMYFUNCTION("IF(ISBLANK(A1822),IFERROR(1/0),IF(COUNT(FILTER(F:F,A:A=A1822))&gt;1,TRUNC(N1822*F1822/SUM(FILTER(N:N,A:A=A1822)),3),F1822))"),"")</f>
        <v/>
      </c>
      <c r="K1822" s="147" t="str">
        <f>IFERROR(__xludf.DUMMYFUNCTION("IF(ISBLANK(A1822),IFERROR(1/0),IF(COUNT(FILTER(G:G,((A:A=A1822)*(B:B=""V""))))&gt;1,TRUNC(N1822*G1822/SUM(FILTER(N:N,((A:A=A1822)*(B:B=""V"")))),3),G1822))"),"")</f>
        <v/>
      </c>
      <c r="L1822" s="148" t="str">
        <f>IFERROR(__xludf.DUMMYFUNCTION("if($C1822="""","""",iferror(if(row()&lt;&gt;2,INDEX(arrayformula(filter($M$2:$M1821,$C$2:$C1821&lt;&gt;"""",row($C$2:$C1821)=max(if($C$2:$C1821=C1822,row($C$2:$C1821),0)))) ,1),0),0))"),"")</f>
        <v/>
      </c>
      <c r="M1822" s="148" t="str">
        <f t="shared" si="1"/>
        <v/>
      </c>
      <c r="N1822" s="147" t="str">
        <f t="shared" si="2"/>
        <v/>
      </c>
      <c r="O1822" s="147" t="str">
        <f t="shared" si="21"/>
        <v/>
      </c>
      <c r="P1822" s="147" t="str">
        <f>IFERROR(__xludf.DUMMYFUNCTION("if(C1822="""","""",iferror(if(row()&lt;&gt;2,INDEX(arrayformula(filter($Q$2:$Q1821,$C$2:$C1821&lt;&gt;"""",row($C$2:$C1821)=max(if($C$2:$C1821=C1822,row($C$2:$C1821),0)))) ,1),0),0))"),"")</f>
        <v/>
      </c>
      <c r="Q1822" s="147" t="str">
        <f t="shared" si="22"/>
        <v/>
      </c>
      <c r="R1822" s="147" t="str">
        <f t="shared" si="23"/>
        <v/>
      </c>
      <c r="S1822" s="147" t="str">
        <f t="shared" si="24"/>
        <v/>
      </c>
      <c r="T1822" s="147" t="str">
        <f t="shared" si="7"/>
        <v/>
      </c>
      <c r="U1822" s="150" t="str">
        <f t="shared" si="8"/>
        <v/>
      </c>
      <c r="V1822" s="151" t="str">
        <f>IFERROR(VLOOKUP(C1822,Ativos!$A$1:$G2000,5,),)</f>
        <v/>
      </c>
    </row>
    <row r="1823" ht="21.0" customHeight="1">
      <c r="A1823" s="152"/>
      <c r="B1823" s="160"/>
      <c r="C1823" s="153"/>
      <c r="D1823" s="154"/>
      <c r="E1823" s="139"/>
      <c r="F1823" s="139"/>
      <c r="G1823" s="139"/>
      <c r="H1823" s="135"/>
      <c r="I1823" s="141"/>
      <c r="J1823" s="147" t="str">
        <f>IFERROR(__xludf.DUMMYFUNCTION("IF(ISBLANK(A1823),IFERROR(1/0),IF(COUNT(FILTER(F:F,A:A=A1823))&gt;1,TRUNC(N1823*F1823/SUM(FILTER(N:N,A:A=A1823)),3),F1823))"),"")</f>
        <v/>
      </c>
      <c r="K1823" s="147" t="str">
        <f>IFERROR(__xludf.DUMMYFUNCTION("IF(ISBLANK(A1823),IFERROR(1/0),IF(COUNT(FILTER(G:G,((A:A=A1823)*(B:B=""V""))))&gt;1,TRUNC(N1823*G1823/SUM(FILTER(N:N,((A:A=A1823)*(B:B=""V"")))),3),G1823))"),"")</f>
        <v/>
      </c>
      <c r="L1823" s="148" t="str">
        <f>IFERROR(__xludf.DUMMYFUNCTION("if($C1823="""","""",iferror(if(row()&lt;&gt;2,INDEX(arrayformula(filter($M$2:$M1822,$C$2:$C1822&lt;&gt;"""",row($C$2:$C1822)=max(if($C$2:$C1822=C1823,row($C$2:$C1822),0)))) ,1),0),0))"),"")</f>
        <v/>
      </c>
      <c r="M1823" s="148" t="str">
        <f t="shared" si="1"/>
        <v/>
      </c>
      <c r="N1823" s="147" t="str">
        <f t="shared" si="2"/>
        <v/>
      </c>
      <c r="O1823" s="147" t="str">
        <f t="shared" si="21"/>
        <v/>
      </c>
      <c r="P1823" s="147" t="str">
        <f>IFERROR(__xludf.DUMMYFUNCTION("if(C1823="""","""",iferror(if(row()&lt;&gt;2,INDEX(arrayformula(filter($Q$2:$Q1822,$C$2:$C1822&lt;&gt;"""",row($C$2:$C1822)=max(if($C$2:$C1822=C1823,row($C$2:$C1822),0)))) ,1),0),0))"),"")</f>
        <v/>
      </c>
      <c r="Q1823" s="147" t="str">
        <f t="shared" si="22"/>
        <v/>
      </c>
      <c r="R1823" s="147" t="str">
        <f t="shared" si="23"/>
        <v/>
      </c>
      <c r="S1823" s="147" t="str">
        <f t="shared" si="24"/>
        <v/>
      </c>
      <c r="T1823" s="147" t="str">
        <f t="shared" si="7"/>
        <v/>
      </c>
      <c r="U1823" s="150" t="str">
        <f t="shared" si="8"/>
        <v/>
      </c>
      <c r="V1823" s="151" t="str">
        <f>IFERROR(VLOOKUP(C1823,Ativos!$A$1:$G2000,5,),)</f>
        <v/>
      </c>
    </row>
    <row r="1824" ht="21.0" customHeight="1">
      <c r="A1824" s="152"/>
      <c r="B1824" s="160"/>
      <c r="C1824" s="153"/>
      <c r="D1824" s="154"/>
      <c r="E1824" s="139"/>
      <c r="F1824" s="139"/>
      <c r="G1824" s="139"/>
      <c r="H1824" s="135"/>
      <c r="I1824" s="141"/>
      <c r="J1824" s="147" t="str">
        <f>IFERROR(__xludf.DUMMYFUNCTION("IF(ISBLANK(A1824),IFERROR(1/0),IF(COUNT(FILTER(F:F,A:A=A1824))&gt;1,TRUNC(N1824*F1824/SUM(FILTER(N:N,A:A=A1824)),3),F1824))"),"")</f>
        <v/>
      </c>
      <c r="K1824" s="147" t="str">
        <f>IFERROR(__xludf.DUMMYFUNCTION("IF(ISBLANK(A1824),IFERROR(1/0),IF(COUNT(FILTER(G:G,((A:A=A1824)*(B:B=""V""))))&gt;1,TRUNC(N1824*G1824/SUM(FILTER(N:N,((A:A=A1824)*(B:B=""V"")))),3),G1824))"),"")</f>
        <v/>
      </c>
      <c r="L1824" s="148" t="str">
        <f>IFERROR(__xludf.DUMMYFUNCTION("if($C1824="""","""",iferror(if(row()&lt;&gt;2,INDEX(arrayformula(filter($M$2:$M1823,$C$2:$C1823&lt;&gt;"""",row($C$2:$C1823)=max(if($C$2:$C1823=C1824,row($C$2:$C1823),0)))) ,1),0),0))"),"")</f>
        <v/>
      </c>
      <c r="M1824" s="148" t="str">
        <f t="shared" si="1"/>
        <v/>
      </c>
      <c r="N1824" s="147" t="str">
        <f t="shared" si="2"/>
        <v/>
      </c>
      <c r="O1824" s="147" t="str">
        <f t="shared" si="21"/>
        <v/>
      </c>
      <c r="P1824" s="147" t="str">
        <f>IFERROR(__xludf.DUMMYFUNCTION("if(C1824="""","""",iferror(if(row()&lt;&gt;2,INDEX(arrayformula(filter($Q$2:$Q1823,$C$2:$C1823&lt;&gt;"""",row($C$2:$C1823)=max(if($C$2:$C1823=C1824,row($C$2:$C1823),0)))) ,1),0),0))"),"")</f>
        <v/>
      </c>
      <c r="Q1824" s="147" t="str">
        <f t="shared" si="22"/>
        <v/>
      </c>
      <c r="R1824" s="147" t="str">
        <f t="shared" si="23"/>
        <v/>
      </c>
      <c r="S1824" s="147" t="str">
        <f t="shared" si="24"/>
        <v/>
      </c>
      <c r="T1824" s="147" t="str">
        <f t="shared" si="7"/>
        <v/>
      </c>
      <c r="U1824" s="150" t="str">
        <f t="shared" si="8"/>
        <v/>
      </c>
      <c r="V1824" s="151" t="str">
        <f>IFERROR(VLOOKUP(C1824,Ativos!$A$1:$G2000,5,),)</f>
        <v/>
      </c>
    </row>
    <row r="1825" ht="21.0" customHeight="1">
      <c r="A1825" s="152"/>
      <c r="B1825" s="160"/>
      <c r="C1825" s="153"/>
      <c r="D1825" s="154"/>
      <c r="E1825" s="139"/>
      <c r="F1825" s="139"/>
      <c r="G1825" s="139"/>
      <c r="H1825" s="135"/>
      <c r="I1825" s="141"/>
      <c r="J1825" s="147" t="str">
        <f>IFERROR(__xludf.DUMMYFUNCTION("IF(ISBLANK(A1825),IFERROR(1/0),IF(COUNT(FILTER(F:F,A:A=A1825))&gt;1,TRUNC(N1825*F1825/SUM(FILTER(N:N,A:A=A1825)),3),F1825))"),"")</f>
        <v/>
      </c>
      <c r="K1825" s="147" t="str">
        <f>IFERROR(__xludf.DUMMYFUNCTION("IF(ISBLANK(A1825),IFERROR(1/0),IF(COUNT(FILTER(G:G,((A:A=A1825)*(B:B=""V""))))&gt;1,TRUNC(N1825*G1825/SUM(FILTER(N:N,((A:A=A1825)*(B:B=""V"")))),3),G1825))"),"")</f>
        <v/>
      </c>
      <c r="L1825" s="148" t="str">
        <f>IFERROR(__xludf.DUMMYFUNCTION("if($C1825="""","""",iferror(if(row()&lt;&gt;2,INDEX(arrayformula(filter($M$2:$M1824,$C$2:$C1824&lt;&gt;"""",row($C$2:$C1824)=max(if($C$2:$C1824=C1825,row($C$2:$C1824),0)))) ,1),0),0))"),"")</f>
        <v/>
      </c>
      <c r="M1825" s="148" t="str">
        <f t="shared" si="1"/>
        <v/>
      </c>
      <c r="N1825" s="147" t="str">
        <f t="shared" si="2"/>
        <v/>
      </c>
      <c r="O1825" s="147" t="str">
        <f t="shared" si="21"/>
        <v/>
      </c>
      <c r="P1825" s="147" t="str">
        <f>IFERROR(__xludf.DUMMYFUNCTION("if(C1825="""","""",iferror(if(row()&lt;&gt;2,INDEX(arrayformula(filter($Q$2:$Q1824,$C$2:$C1824&lt;&gt;"""",row($C$2:$C1824)=max(if($C$2:$C1824=C1825,row($C$2:$C1824),0)))) ,1),0),0))"),"")</f>
        <v/>
      </c>
      <c r="Q1825" s="147" t="str">
        <f t="shared" si="22"/>
        <v/>
      </c>
      <c r="R1825" s="147" t="str">
        <f t="shared" si="23"/>
        <v/>
      </c>
      <c r="S1825" s="147" t="str">
        <f t="shared" si="24"/>
        <v/>
      </c>
      <c r="T1825" s="147" t="str">
        <f t="shared" si="7"/>
        <v/>
      </c>
      <c r="U1825" s="150" t="str">
        <f t="shared" si="8"/>
        <v/>
      </c>
      <c r="V1825" s="151" t="str">
        <f>IFERROR(VLOOKUP(C1825,Ativos!$A$1:$G2000,5,),)</f>
        <v/>
      </c>
    </row>
    <row r="1826" ht="21.0" customHeight="1">
      <c r="A1826" s="152"/>
      <c r="B1826" s="160"/>
      <c r="C1826" s="153"/>
      <c r="D1826" s="154"/>
      <c r="E1826" s="139"/>
      <c r="F1826" s="139"/>
      <c r="G1826" s="139"/>
      <c r="H1826" s="135"/>
      <c r="I1826" s="141"/>
      <c r="J1826" s="147" t="str">
        <f>IFERROR(__xludf.DUMMYFUNCTION("IF(ISBLANK(A1826),IFERROR(1/0),IF(COUNT(FILTER(F:F,A:A=A1826))&gt;1,TRUNC(N1826*F1826/SUM(FILTER(N:N,A:A=A1826)),3),F1826))"),"")</f>
        <v/>
      </c>
      <c r="K1826" s="147" t="str">
        <f>IFERROR(__xludf.DUMMYFUNCTION("IF(ISBLANK(A1826),IFERROR(1/0),IF(COUNT(FILTER(G:G,((A:A=A1826)*(B:B=""V""))))&gt;1,TRUNC(N1826*G1826/SUM(FILTER(N:N,((A:A=A1826)*(B:B=""V"")))),3),G1826))"),"")</f>
        <v/>
      </c>
      <c r="L1826" s="148" t="str">
        <f>IFERROR(__xludf.DUMMYFUNCTION("if($C1826="""","""",iferror(if(row()&lt;&gt;2,INDEX(arrayformula(filter($M$2:$M1825,$C$2:$C1825&lt;&gt;"""",row($C$2:$C1825)=max(if($C$2:$C1825=C1826,row($C$2:$C1825),0)))) ,1),0),0))"),"")</f>
        <v/>
      </c>
      <c r="M1826" s="148" t="str">
        <f t="shared" si="1"/>
        <v/>
      </c>
      <c r="N1826" s="147" t="str">
        <f t="shared" si="2"/>
        <v/>
      </c>
      <c r="O1826" s="147" t="str">
        <f t="shared" si="21"/>
        <v/>
      </c>
      <c r="P1826" s="147" t="str">
        <f>IFERROR(__xludf.DUMMYFUNCTION("if(C1826="""","""",iferror(if(row()&lt;&gt;2,INDEX(arrayformula(filter($Q$2:$Q1825,$C$2:$C1825&lt;&gt;"""",row($C$2:$C1825)=max(if($C$2:$C1825=C1826,row($C$2:$C1825),0)))) ,1),0),0))"),"")</f>
        <v/>
      </c>
      <c r="Q1826" s="147" t="str">
        <f t="shared" si="22"/>
        <v/>
      </c>
      <c r="R1826" s="147" t="str">
        <f t="shared" si="23"/>
        <v/>
      </c>
      <c r="S1826" s="147" t="str">
        <f t="shared" si="24"/>
        <v/>
      </c>
      <c r="T1826" s="147" t="str">
        <f t="shared" si="7"/>
        <v/>
      </c>
      <c r="U1826" s="150" t="str">
        <f t="shared" si="8"/>
        <v/>
      </c>
      <c r="V1826" s="151" t="str">
        <f>IFERROR(VLOOKUP(C1826,Ativos!$A$1:$G2000,5,),)</f>
        <v/>
      </c>
    </row>
    <row r="1827" ht="21.0" customHeight="1">
      <c r="A1827" s="152"/>
      <c r="B1827" s="160"/>
      <c r="C1827" s="153"/>
      <c r="D1827" s="154"/>
      <c r="E1827" s="139"/>
      <c r="F1827" s="139"/>
      <c r="G1827" s="139"/>
      <c r="H1827" s="135"/>
      <c r="I1827" s="141"/>
      <c r="J1827" s="147" t="str">
        <f>IFERROR(__xludf.DUMMYFUNCTION("IF(ISBLANK(A1827),IFERROR(1/0),IF(COUNT(FILTER(F:F,A:A=A1827))&gt;1,TRUNC(N1827*F1827/SUM(FILTER(N:N,A:A=A1827)),3),F1827))"),"")</f>
        <v/>
      </c>
      <c r="K1827" s="147" t="str">
        <f>IFERROR(__xludf.DUMMYFUNCTION("IF(ISBLANK(A1827),IFERROR(1/0),IF(COUNT(FILTER(G:G,((A:A=A1827)*(B:B=""V""))))&gt;1,TRUNC(N1827*G1827/SUM(FILTER(N:N,((A:A=A1827)*(B:B=""V"")))),3),G1827))"),"")</f>
        <v/>
      </c>
      <c r="L1827" s="148" t="str">
        <f>IFERROR(__xludf.DUMMYFUNCTION("if($C1827="""","""",iferror(if(row()&lt;&gt;2,INDEX(arrayformula(filter($M$2:$M1826,$C$2:$C1826&lt;&gt;"""",row($C$2:$C1826)=max(if($C$2:$C1826=C1827,row($C$2:$C1826),0)))) ,1),0),0))"),"")</f>
        <v/>
      </c>
      <c r="M1827" s="148" t="str">
        <f t="shared" si="1"/>
        <v/>
      </c>
      <c r="N1827" s="147" t="str">
        <f t="shared" si="2"/>
        <v/>
      </c>
      <c r="O1827" s="147" t="str">
        <f t="shared" si="21"/>
        <v/>
      </c>
      <c r="P1827" s="147" t="str">
        <f>IFERROR(__xludf.DUMMYFUNCTION("if(C1827="""","""",iferror(if(row()&lt;&gt;2,INDEX(arrayformula(filter($Q$2:$Q1826,$C$2:$C1826&lt;&gt;"""",row($C$2:$C1826)=max(if($C$2:$C1826=C1827,row($C$2:$C1826),0)))) ,1),0),0))"),"")</f>
        <v/>
      </c>
      <c r="Q1827" s="147" t="str">
        <f t="shared" si="22"/>
        <v/>
      </c>
      <c r="R1827" s="147" t="str">
        <f t="shared" si="23"/>
        <v/>
      </c>
      <c r="S1827" s="147" t="str">
        <f t="shared" si="24"/>
        <v/>
      </c>
      <c r="T1827" s="147" t="str">
        <f t="shared" si="7"/>
        <v/>
      </c>
      <c r="U1827" s="150" t="str">
        <f t="shared" si="8"/>
        <v/>
      </c>
      <c r="V1827" s="151" t="str">
        <f>IFERROR(VLOOKUP(C1827,Ativos!$A$1:$G2000,5,),)</f>
        <v/>
      </c>
    </row>
    <row r="1828" ht="21.0" customHeight="1">
      <c r="A1828" s="152"/>
      <c r="B1828" s="160"/>
      <c r="C1828" s="153"/>
      <c r="D1828" s="154"/>
      <c r="E1828" s="139"/>
      <c r="F1828" s="139"/>
      <c r="G1828" s="139"/>
      <c r="H1828" s="135"/>
      <c r="I1828" s="141"/>
      <c r="J1828" s="147" t="str">
        <f>IFERROR(__xludf.DUMMYFUNCTION("IF(ISBLANK(A1828),IFERROR(1/0),IF(COUNT(FILTER(F:F,A:A=A1828))&gt;1,TRUNC(N1828*F1828/SUM(FILTER(N:N,A:A=A1828)),3),F1828))"),"")</f>
        <v/>
      </c>
      <c r="K1828" s="147" t="str">
        <f>IFERROR(__xludf.DUMMYFUNCTION("IF(ISBLANK(A1828),IFERROR(1/0),IF(COUNT(FILTER(G:G,((A:A=A1828)*(B:B=""V""))))&gt;1,TRUNC(N1828*G1828/SUM(FILTER(N:N,((A:A=A1828)*(B:B=""V"")))),3),G1828))"),"")</f>
        <v/>
      </c>
      <c r="L1828" s="148" t="str">
        <f>IFERROR(__xludf.DUMMYFUNCTION("if($C1828="""","""",iferror(if(row()&lt;&gt;2,INDEX(arrayformula(filter($M$2:$M1827,$C$2:$C1827&lt;&gt;"""",row($C$2:$C1827)=max(if($C$2:$C1827=C1828,row($C$2:$C1827),0)))) ,1),0),0))"),"")</f>
        <v/>
      </c>
      <c r="M1828" s="148" t="str">
        <f t="shared" si="1"/>
        <v/>
      </c>
      <c r="N1828" s="147" t="str">
        <f t="shared" si="2"/>
        <v/>
      </c>
      <c r="O1828" s="147" t="str">
        <f t="shared" si="21"/>
        <v/>
      </c>
      <c r="P1828" s="147" t="str">
        <f>IFERROR(__xludf.DUMMYFUNCTION("if(C1828="""","""",iferror(if(row()&lt;&gt;2,INDEX(arrayformula(filter($Q$2:$Q1827,$C$2:$C1827&lt;&gt;"""",row($C$2:$C1827)=max(if($C$2:$C1827=C1828,row($C$2:$C1827),0)))) ,1),0),0))"),"")</f>
        <v/>
      </c>
      <c r="Q1828" s="147" t="str">
        <f t="shared" si="22"/>
        <v/>
      </c>
      <c r="R1828" s="147" t="str">
        <f t="shared" si="23"/>
        <v/>
      </c>
      <c r="S1828" s="147" t="str">
        <f t="shared" si="24"/>
        <v/>
      </c>
      <c r="T1828" s="147" t="str">
        <f t="shared" si="7"/>
        <v/>
      </c>
      <c r="U1828" s="150" t="str">
        <f t="shared" si="8"/>
        <v/>
      </c>
      <c r="V1828" s="151" t="str">
        <f>IFERROR(VLOOKUP(C1828,Ativos!$A$1:$G2000,5,),)</f>
        <v/>
      </c>
    </row>
    <row r="1829" ht="21.0" customHeight="1">
      <c r="A1829" s="152"/>
      <c r="B1829" s="160"/>
      <c r="C1829" s="153"/>
      <c r="D1829" s="154"/>
      <c r="E1829" s="139"/>
      <c r="F1829" s="139"/>
      <c r="G1829" s="139"/>
      <c r="H1829" s="135"/>
      <c r="I1829" s="141"/>
      <c r="J1829" s="147" t="str">
        <f>IFERROR(__xludf.DUMMYFUNCTION("IF(ISBLANK(A1829),IFERROR(1/0),IF(COUNT(FILTER(F:F,A:A=A1829))&gt;1,TRUNC(N1829*F1829/SUM(FILTER(N:N,A:A=A1829)),3),F1829))"),"")</f>
        <v/>
      </c>
      <c r="K1829" s="147" t="str">
        <f>IFERROR(__xludf.DUMMYFUNCTION("IF(ISBLANK(A1829),IFERROR(1/0),IF(COUNT(FILTER(G:G,((A:A=A1829)*(B:B=""V""))))&gt;1,TRUNC(N1829*G1829/SUM(FILTER(N:N,((A:A=A1829)*(B:B=""V"")))),3),G1829))"),"")</f>
        <v/>
      </c>
      <c r="L1829" s="148" t="str">
        <f>IFERROR(__xludf.DUMMYFUNCTION("if($C1829="""","""",iferror(if(row()&lt;&gt;2,INDEX(arrayformula(filter($M$2:$M1828,$C$2:$C1828&lt;&gt;"""",row($C$2:$C1828)=max(if($C$2:$C1828=C1829,row($C$2:$C1828),0)))) ,1),0),0))"),"")</f>
        <v/>
      </c>
      <c r="M1829" s="148" t="str">
        <f t="shared" si="1"/>
        <v/>
      </c>
      <c r="N1829" s="147" t="str">
        <f t="shared" si="2"/>
        <v/>
      </c>
      <c r="O1829" s="147" t="str">
        <f t="shared" si="21"/>
        <v/>
      </c>
      <c r="P1829" s="147" t="str">
        <f>IFERROR(__xludf.DUMMYFUNCTION("if(C1829="""","""",iferror(if(row()&lt;&gt;2,INDEX(arrayformula(filter($Q$2:$Q1828,$C$2:$C1828&lt;&gt;"""",row($C$2:$C1828)=max(if($C$2:$C1828=C1829,row($C$2:$C1828),0)))) ,1),0),0))"),"")</f>
        <v/>
      </c>
      <c r="Q1829" s="147" t="str">
        <f t="shared" si="22"/>
        <v/>
      </c>
      <c r="R1829" s="147" t="str">
        <f t="shared" si="23"/>
        <v/>
      </c>
      <c r="S1829" s="147" t="str">
        <f t="shared" si="24"/>
        <v/>
      </c>
      <c r="T1829" s="147" t="str">
        <f t="shared" si="7"/>
        <v/>
      </c>
      <c r="U1829" s="150" t="str">
        <f t="shared" si="8"/>
        <v/>
      </c>
      <c r="V1829" s="151" t="str">
        <f>IFERROR(VLOOKUP(C1829,Ativos!$A$1:$G2000,5,),)</f>
        <v/>
      </c>
    </row>
    <row r="1830" ht="21.0" customHeight="1">
      <c r="A1830" s="152"/>
      <c r="B1830" s="160"/>
      <c r="C1830" s="153"/>
      <c r="D1830" s="154"/>
      <c r="E1830" s="139"/>
      <c r="F1830" s="139"/>
      <c r="G1830" s="139"/>
      <c r="H1830" s="135"/>
      <c r="I1830" s="141"/>
      <c r="J1830" s="147" t="str">
        <f>IFERROR(__xludf.DUMMYFUNCTION("IF(ISBLANK(A1830),IFERROR(1/0),IF(COUNT(FILTER(F:F,A:A=A1830))&gt;1,TRUNC(N1830*F1830/SUM(FILTER(N:N,A:A=A1830)),3),F1830))"),"")</f>
        <v/>
      </c>
      <c r="K1830" s="147" t="str">
        <f>IFERROR(__xludf.DUMMYFUNCTION("IF(ISBLANK(A1830),IFERROR(1/0),IF(COUNT(FILTER(G:G,((A:A=A1830)*(B:B=""V""))))&gt;1,TRUNC(N1830*G1830/SUM(FILTER(N:N,((A:A=A1830)*(B:B=""V"")))),3),G1830))"),"")</f>
        <v/>
      </c>
      <c r="L1830" s="148" t="str">
        <f>IFERROR(__xludf.DUMMYFUNCTION("if($C1830="""","""",iferror(if(row()&lt;&gt;2,INDEX(arrayformula(filter($M$2:$M1829,$C$2:$C1829&lt;&gt;"""",row($C$2:$C1829)=max(if($C$2:$C1829=C1830,row($C$2:$C1829),0)))) ,1),0),0))"),"")</f>
        <v/>
      </c>
      <c r="M1830" s="148" t="str">
        <f t="shared" si="1"/>
        <v/>
      </c>
      <c r="N1830" s="147" t="str">
        <f t="shared" si="2"/>
        <v/>
      </c>
      <c r="O1830" s="147" t="str">
        <f t="shared" si="21"/>
        <v/>
      </c>
      <c r="P1830" s="147" t="str">
        <f>IFERROR(__xludf.DUMMYFUNCTION("if(C1830="""","""",iferror(if(row()&lt;&gt;2,INDEX(arrayformula(filter($Q$2:$Q1829,$C$2:$C1829&lt;&gt;"""",row($C$2:$C1829)=max(if($C$2:$C1829=C1830,row($C$2:$C1829),0)))) ,1),0),0))"),"")</f>
        <v/>
      </c>
      <c r="Q1830" s="147" t="str">
        <f t="shared" si="22"/>
        <v/>
      </c>
      <c r="R1830" s="147" t="str">
        <f t="shared" si="23"/>
        <v/>
      </c>
      <c r="S1830" s="147" t="str">
        <f t="shared" si="24"/>
        <v/>
      </c>
      <c r="T1830" s="147" t="str">
        <f t="shared" si="7"/>
        <v/>
      </c>
      <c r="U1830" s="150" t="str">
        <f t="shared" si="8"/>
        <v/>
      </c>
      <c r="V1830" s="151" t="str">
        <f>IFERROR(VLOOKUP(C1830,Ativos!$A$1:$G2000,5,),)</f>
        <v/>
      </c>
    </row>
    <row r="1831" ht="21.0" customHeight="1">
      <c r="A1831" s="152"/>
      <c r="B1831" s="160"/>
      <c r="C1831" s="153"/>
      <c r="D1831" s="154"/>
      <c r="E1831" s="139"/>
      <c r="F1831" s="139"/>
      <c r="G1831" s="139"/>
      <c r="H1831" s="135"/>
      <c r="I1831" s="141"/>
      <c r="J1831" s="147" t="str">
        <f>IFERROR(__xludf.DUMMYFUNCTION("IF(ISBLANK(A1831),IFERROR(1/0),IF(COUNT(FILTER(F:F,A:A=A1831))&gt;1,TRUNC(N1831*F1831/SUM(FILTER(N:N,A:A=A1831)),3),F1831))"),"")</f>
        <v/>
      </c>
      <c r="K1831" s="147" t="str">
        <f>IFERROR(__xludf.DUMMYFUNCTION("IF(ISBLANK(A1831),IFERROR(1/0),IF(COUNT(FILTER(G:G,((A:A=A1831)*(B:B=""V""))))&gt;1,TRUNC(N1831*G1831/SUM(FILTER(N:N,((A:A=A1831)*(B:B=""V"")))),3),G1831))"),"")</f>
        <v/>
      </c>
      <c r="L1831" s="148" t="str">
        <f>IFERROR(__xludf.DUMMYFUNCTION("if($C1831="""","""",iferror(if(row()&lt;&gt;2,INDEX(arrayformula(filter($M$2:$M1830,$C$2:$C1830&lt;&gt;"""",row($C$2:$C1830)=max(if($C$2:$C1830=C1831,row($C$2:$C1830),0)))) ,1),0),0))"),"")</f>
        <v/>
      </c>
      <c r="M1831" s="148" t="str">
        <f t="shared" si="1"/>
        <v/>
      </c>
      <c r="N1831" s="147" t="str">
        <f t="shared" si="2"/>
        <v/>
      </c>
      <c r="O1831" s="147" t="str">
        <f t="shared" si="21"/>
        <v/>
      </c>
      <c r="P1831" s="147" t="str">
        <f>IFERROR(__xludf.DUMMYFUNCTION("if(C1831="""","""",iferror(if(row()&lt;&gt;2,INDEX(arrayformula(filter($Q$2:$Q1830,$C$2:$C1830&lt;&gt;"""",row($C$2:$C1830)=max(if($C$2:$C1830=C1831,row($C$2:$C1830),0)))) ,1),0),0))"),"")</f>
        <v/>
      </c>
      <c r="Q1831" s="147" t="str">
        <f t="shared" si="22"/>
        <v/>
      </c>
      <c r="R1831" s="147" t="str">
        <f t="shared" si="23"/>
        <v/>
      </c>
      <c r="S1831" s="147" t="str">
        <f t="shared" si="24"/>
        <v/>
      </c>
      <c r="T1831" s="147" t="str">
        <f t="shared" si="7"/>
        <v/>
      </c>
      <c r="U1831" s="150" t="str">
        <f t="shared" si="8"/>
        <v/>
      </c>
      <c r="V1831" s="151" t="str">
        <f>IFERROR(VLOOKUP(C1831,Ativos!$A$1:$G2000,5,),)</f>
        <v/>
      </c>
    </row>
    <row r="1832" ht="21.0" customHeight="1">
      <c r="A1832" s="152"/>
      <c r="B1832" s="160"/>
      <c r="C1832" s="153"/>
      <c r="D1832" s="154"/>
      <c r="E1832" s="139"/>
      <c r="F1832" s="139"/>
      <c r="G1832" s="139"/>
      <c r="H1832" s="135"/>
      <c r="I1832" s="141"/>
      <c r="J1832" s="147" t="str">
        <f>IFERROR(__xludf.DUMMYFUNCTION("IF(ISBLANK(A1832),IFERROR(1/0),IF(COUNT(FILTER(F:F,A:A=A1832))&gt;1,TRUNC(N1832*F1832/SUM(FILTER(N:N,A:A=A1832)),3),F1832))"),"")</f>
        <v/>
      </c>
      <c r="K1832" s="147" t="str">
        <f>IFERROR(__xludf.DUMMYFUNCTION("IF(ISBLANK(A1832),IFERROR(1/0),IF(COUNT(FILTER(G:G,((A:A=A1832)*(B:B=""V""))))&gt;1,TRUNC(N1832*G1832/SUM(FILTER(N:N,((A:A=A1832)*(B:B=""V"")))),3),G1832))"),"")</f>
        <v/>
      </c>
      <c r="L1832" s="148" t="str">
        <f>IFERROR(__xludf.DUMMYFUNCTION("if($C1832="""","""",iferror(if(row()&lt;&gt;2,INDEX(arrayformula(filter($M$2:$M1831,$C$2:$C1831&lt;&gt;"""",row($C$2:$C1831)=max(if($C$2:$C1831=C1832,row($C$2:$C1831),0)))) ,1),0),0))"),"")</f>
        <v/>
      </c>
      <c r="M1832" s="148" t="str">
        <f t="shared" si="1"/>
        <v/>
      </c>
      <c r="N1832" s="147" t="str">
        <f t="shared" si="2"/>
        <v/>
      </c>
      <c r="O1832" s="147" t="str">
        <f t="shared" si="21"/>
        <v/>
      </c>
      <c r="P1832" s="147" t="str">
        <f>IFERROR(__xludf.DUMMYFUNCTION("if(C1832="""","""",iferror(if(row()&lt;&gt;2,INDEX(arrayformula(filter($Q$2:$Q1831,$C$2:$C1831&lt;&gt;"""",row($C$2:$C1831)=max(if($C$2:$C1831=C1832,row($C$2:$C1831),0)))) ,1),0),0))"),"")</f>
        <v/>
      </c>
      <c r="Q1832" s="147" t="str">
        <f t="shared" si="22"/>
        <v/>
      </c>
      <c r="R1832" s="147" t="str">
        <f t="shared" si="23"/>
        <v/>
      </c>
      <c r="S1832" s="147" t="str">
        <f t="shared" si="24"/>
        <v/>
      </c>
      <c r="T1832" s="147" t="str">
        <f t="shared" si="7"/>
        <v/>
      </c>
      <c r="U1832" s="150" t="str">
        <f t="shared" si="8"/>
        <v/>
      </c>
      <c r="V1832" s="151" t="str">
        <f>IFERROR(VLOOKUP(C1832,Ativos!$A$1:$G2000,5,),)</f>
        <v/>
      </c>
    </row>
    <row r="1833" ht="21.0" customHeight="1">
      <c r="A1833" s="152"/>
      <c r="B1833" s="160"/>
      <c r="C1833" s="153"/>
      <c r="D1833" s="154"/>
      <c r="E1833" s="139"/>
      <c r="F1833" s="139"/>
      <c r="G1833" s="139"/>
      <c r="H1833" s="135"/>
      <c r="I1833" s="141"/>
      <c r="J1833" s="147" t="str">
        <f>IFERROR(__xludf.DUMMYFUNCTION("IF(ISBLANK(A1833),IFERROR(1/0),IF(COUNT(FILTER(F:F,A:A=A1833))&gt;1,TRUNC(N1833*F1833/SUM(FILTER(N:N,A:A=A1833)),3),F1833))"),"")</f>
        <v/>
      </c>
      <c r="K1833" s="147" t="str">
        <f>IFERROR(__xludf.DUMMYFUNCTION("IF(ISBLANK(A1833),IFERROR(1/0),IF(COUNT(FILTER(G:G,((A:A=A1833)*(B:B=""V""))))&gt;1,TRUNC(N1833*G1833/SUM(FILTER(N:N,((A:A=A1833)*(B:B=""V"")))),3),G1833))"),"")</f>
        <v/>
      </c>
      <c r="L1833" s="148" t="str">
        <f>IFERROR(__xludf.DUMMYFUNCTION("if($C1833="""","""",iferror(if(row()&lt;&gt;2,INDEX(arrayformula(filter($M$2:$M1832,$C$2:$C1832&lt;&gt;"""",row($C$2:$C1832)=max(if($C$2:$C1832=C1833,row($C$2:$C1832),0)))) ,1),0),0))"),"")</f>
        <v/>
      </c>
      <c r="M1833" s="148" t="str">
        <f t="shared" si="1"/>
        <v/>
      </c>
      <c r="N1833" s="147" t="str">
        <f t="shared" si="2"/>
        <v/>
      </c>
      <c r="O1833" s="147" t="str">
        <f t="shared" si="21"/>
        <v/>
      </c>
      <c r="P1833" s="147" t="str">
        <f>IFERROR(__xludf.DUMMYFUNCTION("if(C1833="""","""",iferror(if(row()&lt;&gt;2,INDEX(arrayformula(filter($Q$2:$Q1832,$C$2:$C1832&lt;&gt;"""",row($C$2:$C1832)=max(if($C$2:$C1832=C1833,row($C$2:$C1832),0)))) ,1),0),0))"),"")</f>
        <v/>
      </c>
      <c r="Q1833" s="147" t="str">
        <f t="shared" si="22"/>
        <v/>
      </c>
      <c r="R1833" s="147" t="str">
        <f t="shared" si="23"/>
        <v/>
      </c>
      <c r="S1833" s="147" t="str">
        <f t="shared" si="24"/>
        <v/>
      </c>
      <c r="T1833" s="147" t="str">
        <f t="shared" si="7"/>
        <v/>
      </c>
      <c r="U1833" s="150" t="str">
        <f t="shared" si="8"/>
        <v/>
      </c>
      <c r="V1833" s="151" t="str">
        <f>IFERROR(VLOOKUP(C1833,Ativos!$A$1:$G2000,5,),)</f>
        <v/>
      </c>
    </row>
    <row r="1834" ht="21.0" customHeight="1">
      <c r="A1834" s="152"/>
      <c r="B1834" s="160"/>
      <c r="C1834" s="153"/>
      <c r="D1834" s="154"/>
      <c r="E1834" s="139"/>
      <c r="F1834" s="139"/>
      <c r="G1834" s="139"/>
      <c r="H1834" s="135"/>
      <c r="I1834" s="141"/>
      <c r="J1834" s="147" t="str">
        <f>IFERROR(__xludf.DUMMYFUNCTION("IF(ISBLANK(A1834),IFERROR(1/0),IF(COUNT(FILTER(F:F,A:A=A1834))&gt;1,TRUNC(N1834*F1834/SUM(FILTER(N:N,A:A=A1834)),3),F1834))"),"")</f>
        <v/>
      </c>
      <c r="K1834" s="147" t="str">
        <f>IFERROR(__xludf.DUMMYFUNCTION("IF(ISBLANK(A1834),IFERROR(1/0),IF(COUNT(FILTER(G:G,((A:A=A1834)*(B:B=""V""))))&gt;1,TRUNC(N1834*G1834/SUM(FILTER(N:N,((A:A=A1834)*(B:B=""V"")))),3),G1834))"),"")</f>
        <v/>
      </c>
      <c r="L1834" s="148" t="str">
        <f>IFERROR(__xludf.DUMMYFUNCTION("if($C1834="""","""",iferror(if(row()&lt;&gt;2,INDEX(arrayformula(filter($M$2:$M1833,$C$2:$C1833&lt;&gt;"""",row($C$2:$C1833)=max(if($C$2:$C1833=C1834,row($C$2:$C1833),0)))) ,1),0),0))"),"")</f>
        <v/>
      </c>
      <c r="M1834" s="148" t="str">
        <f t="shared" si="1"/>
        <v/>
      </c>
      <c r="N1834" s="147" t="str">
        <f t="shared" si="2"/>
        <v/>
      </c>
      <c r="O1834" s="147" t="str">
        <f t="shared" si="21"/>
        <v/>
      </c>
      <c r="P1834" s="147" t="str">
        <f>IFERROR(__xludf.DUMMYFUNCTION("if(C1834="""","""",iferror(if(row()&lt;&gt;2,INDEX(arrayformula(filter($Q$2:$Q1833,$C$2:$C1833&lt;&gt;"""",row($C$2:$C1833)=max(if($C$2:$C1833=C1834,row($C$2:$C1833),0)))) ,1),0),0))"),"")</f>
        <v/>
      </c>
      <c r="Q1834" s="147" t="str">
        <f t="shared" si="22"/>
        <v/>
      </c>
      <c r="R1834" s="147" t="str">
        <f t="shared" si="23"/>
        <v/>
      </c>
      <c r="S1834" s="147" t="str">
        <f t="shared" si="24"/>
        <v/>
      </c>
      <c r="T1834" s="147" t="str">
        <f t="shared" si="7"/>
        <v/>
      </c>
      <c r="U1834" s="150" t="str">
        <f t="shared" si="8"/>
        <v/>
      </c>
      <c r="V1834" s="151" t="str">
        <f>IFERROR(VLOOKUP(C1834,Ativos!$A$1:$G2000,5,),)</f>
        <v/>
      </c>
    </row>
    <row r="1835" ht="21.0" customHeight="1">
      <c r="A1835" s="152"/>
      <c r="B1835" s="160"/>
      <c r="C1835" s="153"/>
      <c r="D1835" s="154"/>
      <c r="E1835" s="139"/>
      <c r="F1835" s="139"/>
      <c r="G1835" s="139"/>
      <c r="H1835" s="135"/>
      <c r="I1835" s="141"/>
      <c r="J1835" s="147" t="str">
        <f>IFERROR(__xludf.DUMMYFUNCTION("IF(ISBLANK(A1835),IFERROR(1/0),IF(COUNT(FILTER(F:F,A:A=A1835))&gt;1,TRUNC(N1835*F1835/SUM(FILTER(N:N,A:A=A1835)),3),F1835))"),"")</f>
        <v/>
      </c>
      <c r="K1835" s="147" t="str">
        <f>IFERROR(__xludf.DUMMYFUNCTION("IF(ISBLANK(A1835),IFERROR(1/0),IF(COUNT(FILTER(G:G,((A:A=A1835)*(B:B=""V""))))&gt;1,TRUNC(N1835*G1835/SUM(FILTER(N:N,((A:A=A1835)*(B:B=""V"")))),3),G1835))"),"")</f>
        <v/>
      </c>
      <c r="L1835" s="148" t="str">
        <f>IFERROR(__xludf.DUMMYFUNCTION("if($C1835="""","""",iferror(if(row()&lt;&gt;2,INDEX(arrayformula(filter($M$2:$M1834,$C$2:$C1834&lt;&gt;"""",row($C$2:$C1834)=max(if($C$2:$C1834=C1835,row($C$2:$C1834),0)))) ,1),0),0))"),"")</f>
        <v/>
      </c>
      <c r="M1835" s="148" t="str">
        <f t="shared" si="1"/>
        <v/>
      </c>
      <c r="N1835" s="147" t="str">
        <f t="shared" si="2"/>
        <v/>
      </c>
      <c r="O1835" s="147" t="str">
        <f t="shared" si="21"/>
        <v/>
      </c>
      <c r="P1835" s="147" t="str">
        <f>IFERROR(__xludf.DUMMYFUNCTION("if(C1835="""","""",iferror(if(row()&lt;&gt;2,INDEX(arrayformula(filter($Q$2:$Q1834,$C$2:$C1834&lt;&gt;"""",row($C$2:$C1834)=max(if($C$2:$C1834=C1835,row($C$2:$C1834),0)))) ,1),0),0))"),"")</f>
        <v/>
      </c>
      <c r="Q1835" s="147" t="str">
        <f t="shared" si="22"/>
        <v/>
      </c>
      <c r="R1835" s="147" t="str">
        <f t="shared" si="23"/>
        <v/>
      </c>
      <c r="S1835" s="147" t="str">
        <f t="shared" si="24"/>
        <v/>
      </c>
      <c r="T1835" s="147" t="str">
        <f t="shared" si="7"/>
        <v/>
      </c>
      <c r="U1835" s="150" t="str">
        <f t="shared" si="8"/>
        <v/>
      </c>
      <c r="V1835" s="151" t="str">
        <f>IFERROR(VLOOKUP(C1835,Ativos!$A$1:$G2000,5,),)</f>
        <v/>
      </c>
    </row>
    <row r="1836" ht="21.0" customHeight="1">
      <c r="A1836" s="152"/>
      <c r="B1836" s="160"/>
      <c r="C1836" s="153"/>
      <c r="D1836" s="154"/>
      <c r="E1836" s="139"/>
      <c r="F1836" s="139"/>
      <c r="G1836" s="139"/>
      <c r="H1836" s="135"/>
      <c r="I1836" s="141"/>
      <c r="J1836" s="147" t="str">
        <f>IFERROR(__xludf.DUMMYFUNCTION("IF(ISBLANK(A1836),IFERROR(1/0),IF(COUNT(FILTER(F:F,A:A=A1836))&gt;1,TRUNC(N1836*F1836/SUM(FILTER(N:N,A:A=A1836)),3),F1836))"),"")</f>
        <v/>
      </c>
      <c r="K1836" s="147" t="str">
        <f>IFERROR(__xludf.DUMMYFUNCTION("IF(ISBLANK(A1836),IFERROR(1/0),IF(COUNT(FILTER(G:G,((A:A=A1836)*(B:B=""V""))))&gt;1,TRUNC(N1836*G1836/SUM(FILTER(N:N,((A:A=A1836)*(B:B=""V"")))),3),G1836))"),"")</f>
        <v/>
      </c>
      <c r="L1836" s="148" t="str">
        <f>IFERROR(__xludf.DUMMYFUNCTION("if($C1836="""","""",iferror(if(row()&lt;&gt;2,INDEX(arrayformula(filter($M$2:$M1835,$C$2:$C1835&lt;&gt;"""",row($C$2:$C1835)=max(if($C$2:$C1835=C1836,row($C$2:$C1835),0)))) ,1),0),0))"),"")</f>
        <v/>
      </c>
      <c r="M1836" s="148" t="str">
        <f t="shared" si="1"/>
        <v/>
      </c>
      <c r="N1836" s="147" t="str">
        <f t="shared" si="2"/>
        <v/>
      </c>
      <c r="O1836" s="147" t="str">
        <f t="shared" si="21"/>
        <v/>
      </c>
      <c r="P1836" s="147" t="str">
        <f>IFERROR(__xludf.DUMMYFUNCTION("if(C1836="""","""",iferror(if(row()&lt;&gt;2,INDEX(arrayformula(filter($Q$2:$Q1835,$C$2:$C1835&lt;&gt;"""",row($C$2:$C1835)=max(if($C$2:$C1835=C1836,row($C$2:$C1835),0)))) ,1),0),0))"),"")</f>
        <v/>
      </c>
      <c r="Q1836" s="147" t="str">
        <f t="shared" si="22"/>
        <v/>
      </c>
      <c r="R1836" s="147" t="str">
        <f t="shared" si="23"/>
        <v/>
      </c>
      <c r="S1836" s="147" t="str">
        <f t="shared" si="24"/>
        <v/>
      </c>
      <c r="T1836" s="147" t="str">
        <f t="shared" si="7"/>
        <v/>
      </c>
      <c r="U1836" s="150" t="str">
        <f t="shared" si="8"/>
        <v/>
      </c>
      <c r="V1836" s="151" t="str">
        <f>IFERROR(VLOOKUP(C1836,Ativos!$A$1:$G2000,5,),)</f>
        <v/>
      </c>
    </row>
    <row r="1837" ht="21.0" customHeight="1">
      <c r="A1837" s="152"/>
      <c r="B1837" s="160"/>
      <c r="C1837" s="153"/>
      <c r="D1837" s="154"/>
      <c r="E1837" s="139"/>
      <c r="F1837" s="139"/>
      <c r="G1837" s="139"/>
      <c r="H1837" s="135"/>
      <c r="I1837" s="141"/>
      <c r="J1837" s="147" t="str">
        <f>IFERROR(__xludf.DUMMYFUNCTION("IF(ISBLANK(A1837),IFERROR(1/0),IF(COUNT(FILTER(F:F,A:A=A1837))&gt;1,TRUNC(N1837*F1837/SUM(FILTER(N:N,A:A=A1837)),3),F1837))"),"")</f>
        <v/>
      </c>
      <c r="K1837" s="147" t="str">
        <f>IFERROR(__xludf.DUMMYFUNCTION("IF(ISBLANK(A1837),IFERROR(1/0),IF(COUNT(FILTER(G:G,((A:A=A1837)*(B:B=""V""))))&gt;1,TRUNC(N1837*G1837/SUM(FILTER(N:N,((A:A=A1837)*(B:B=""V"")))),3),G1837))"),"")</f>
        <v/>
      </c>
      <c r="L1837" s="148" t="str">
        <f>IFERROR(__xludf.DUMMYFUNCTION("if($C1837="""","""",iferror(if(row()&lt;&gt;2,INDEX(arrayformula(filter($M$2:$M1836,$C$2:$C1836&lt;&gt;"""",row($C$2:$C1836)=max(if($C$2:$C1836=C1837,row($C$2:$C1836),0)))) ,1),0),0))"),"")</f>
        <v/>
      </c>
      <c r="M1837" s="148" t="str">
        <f t="shared" si="1"/>
        <v/>
      </c>
      <c r="N1837" s="147" t="str">
        <f t="shared" si="2"/>
        <v/>
      </c>
      <c r="O1837" s="147" t="str">
        <f t="shared" si="21"/>
        <v/>
      </c>
      <c r="P1837" s="147" t="str">
        <f>IFERROR(__xludf.DUMMYFUNCTION("if(C1837="""","""",iferror(if(row()&lt;&gt;2,INDEX(arrayformula(filter($Q$2:$Q1836,$C$2:$C1836&lt;&gt;"""",row($C$2:$C1836)=max(if($C$2:$C1836=C1837,row($C$2:$C1836),0)))) ,1),0),0))"),"")</f>
        <v/>
      </c>
      <c r="Q1837" s="147" t="str">
        <f t="shared" si="22"/>
        <v/>
      </c>
      <c r="R1837" s="147" t="str">
        <f t="shared" si="23"/>
        <v/>
      </c>
      <c r="S1837" s="147" t="str">
        <f t="shared" si="24"/>
        <v/>
      </c>
      <c r="T1837" s="147" t="str">
        <f t="shared" si="7"/>
        <v/>
      </c>
      <c r="U1837" s="150" t="str">
        <f t="shared" si="8"/>
        <v/>
      </c>
      <c r="V1837" s="151" t="str">
        <f>IFERROR(VLOOKUP(C1837,Ativos!$A$1:$G2000,5,),)</f>
        <v/>
      </c>
    </row>
    <row r="1838" ht="21.0" customHeight="1">
      <c r="A1838" s="152"/>
      <c r="B1838" s="160"/>
      <c r="C1838" s="153"/>
      <c r="D1838" s="154"/>
      <c r="E1838" s="139"/>
      <c r="F1838" s="139"/>
      <c r="G1838" s="139"/>
      <c r="H1838" s="135"/>
      <c r="I1838" s="141"/>
      <c r="J1838" s="147" t="str">
        <f>IFERROR(__xludf.DUMMYFUNCTION("IF(ISBLANK(A1838),IFERROR(1/0),IF(COUNT(FILTER(F:F,A:A=A1838))&gt;1,TRUNC(N1838*F1838/SUM(FILTER(N:N,A:A=A1838)),3),F1838))"),"")</f>
        <v/>
      </c>
      <c r="K1838" s="147" t="str">
        <f>IFERROR(__xludf.DUMMYFUNCTION("IF(ISBLANK(A1838),IFERROR(1/0),IF(COUNT(FILTER(G:G,((A:A=A1838)*(B:B=""V""))))&gt;1,TRUNC(N1838*G1838/SUM(FILTER(N:N,((A:A=A1838)*(B:B=""V"")))),3),G1838))"),"")</f>
        <v/>
      </c>
      <c r="L1838" s="148" t="str">
        <f>IFERROR(__xludf.DUMMYFUNCTION("if($C1838="""","""",iferror(if(row()&lt;&gt;2,INDEX(arrayformula(filter($M$2:$M1837,$C$2:$C1837&lt;&gt;"""",row($C$2:$C1837)=max(if($C$2:$C1837=C1838,row($C$2:$C1837),0)))) ,1),0),0))"),"")</f>
        <v/>
      </c>
      <c r="M1838" s="148" t="str">
        <f t="shared" si="1"/>
        <v/>
      </c>
      <c r="N1838" s="147" t="str">
        <f t="shared" si="2"/>
        <v/>
      </c>
      <c r="O1838" s="147" t="str">
        <f t="shared" si="21"/>
        <v/>
      </c>
      <c r="P1838" s="147" t="str">
        <f>IFERROR(__xludf.DUMMYFUNCTION("if(C1838="""","""",iferror(if(row()&lt;&gt;2,INDEX(arrayformula(filter($Q$2:$Q1837,$C$2:$C1837&lt;&gt;"""",row($C$2:$C1837)=max(if($C$2:$C1837=C1838,row($C$2:$C1837),0)))) ,1),0),0))"),"")</f>
        <v/>
      </c>
      <c r="Q1838" s="147" t="str">
        <f t="shared" si="22"/>
        <v/>
      </c>
      <c r="R1838" s="147" t="str">
        <f t="shared" si="23"/>
        <v/>
      </c>
      <c r="S1838" s="147" t="str">
        <f t="shared" si="24"/>
        <v/>
      </c>
      <c r="T1838" s="147" t="str">
        <f t="shared" si="7"/>
        <v/>
      </c>
      <c r="U1838" s="150" t="str">
        <f t="shared" si="8"/>
        <v/>
      </c>
      <c r="V1838" s="151" t="str">
        <f>IFERROR(VLOOKUP(C1838,Ativos!$A$1:$G2000,5,),)</f>
        <v/>
      </c>
    </row>
    <row r="1839" ht="21.0" customHeight="1">
      <c r="A1839" s="152"/>
      <c r="B1839" s="160"/>
      <c r="C1839" s="153"/>
      <c r="D1839" s="154"/>
      <c r="E1839" s="139"/>
      <c r="F1839" s="139"/>
      <c r="G1839" s="139"/>
      <c r="H1839" s="135"/>
      <c r="I1839" s="141"/>
      <c r="J1839" s="147" t="str">
        <f>IFERROR(__xludf.DUMMYFUNCTION("IF(ISBLANK(A1839),IFERROR(1/0),IF(COUNT(FILTER(F:F,A:A=A1839))&gt;1,TRUNC(N1839*F1839/SUM(FILTER(N:N,A:A=A1839)),3),F1839))"),"")</f>
        <v/>
      </c>
      <c r="K1839" s="147" t="str">
        <f>IFERROR(__xludf.DUMMYFUNCTION("IF(ISBLANK(A1839),IFERROR(1/0),IF(COUNT(FILTER(G:G,((A:A=A1839)*(B:B=""V""))))&gt;1,TRUNC(N1839*G1839/SUM(FILTER(N:N,((A:A=A1839)*(B:B=""V"")))),3),G1839))"),"")</f>
        <v/>
      </c>
      <c r="L1839" s="148" t="str">
        <f>IFERROR(__xludf.DUMMYFUNCTION("if($C1839="""","""",iferror(if(row()&lt;&gt;2,INDEX(arrayformula(filter($M$2:$M1838,$C$2:$C1838&lt;&gt;"""",row($C$2:$C1838)=max(if($C$2:$C1838=C1839,row($C$2:$C1838),0)))) ,1),0),0))"),"")</f>
        <v/>
      </c>
      <c r="M1839" s="148" t="str">
        <f t="shared" si="1"/>
        <v/>
      </c>
      <c r="N1839" s="147" t="str">
        <f t="shared" si="2"/>
        <v/>
      </c>
      <c r="O1839" s="147" t="str">
        <f t="shared" si="21"/>
        <v/>
      </c>
      <c r="P1839" s="147" t="str">
        <f>IFERROR(__xludf.DUMMYFUNCTION("if(C1839="""","""",iferror(if(row()&lt;&gt;2,INDEX(arrayformula(filter($Q$2:$Q1838,$C$2:$C1838&lt;&gt;"""",row($C$2:$C1838)=max(if($C$2:$C1838=C1839,row($C$2:$C1838),0)))) ,1),0),0))"),"")</f>
        <v/>
      </c>
      <c r="Q1839" s="147" t="str">
        <f t="shared" si="22"/>
        <v/>
      </c>
      <c r="R1839" s="147" t="str">
        <f t="shared" si="23"/>
        <v/>
      </c>
      <c r="S1839" s="147" t="str">
        <f t="shared" si="24"/>
        <v/>
      </c>
      <c r="T1839" s="147" t="str">
        <f t="shared" si="7"/>
        <v/>
      </c>
      <c r="U1839" s="150" t="str">
        <f t="shared" si="8"/>
        <v/>
      </c>
      <c r="V1839" s="151" t="str">
        <f>IFERROR(VLOOKUP(C1839,Ativos!$A$1:$G2000,5,),)</f>
        <v/>
      </c>
    </row>
    <row r="1840" ht="21.0" customHeight="1">
      <c r="A1840" s="152"/>
      <c r="B1840" s="160"/>
      <c r="C1840" s="153"/>
      <c r="D1840" s="154"/>
      <c r="E1840" s="139"/>
      <c r="F1840" s="139"/>
      <c r="G1840" s="139"/>
      <c r="H1840" s="135"/>
      <c r="I1840" s="141"/>
      <c r="J1840" s="147" t="str">
        <f>IFERROR(__xludf.DUMMYFUNCTION("IF(ISBLANK(A1840),IFERROR(1/0),IF(COUNT(FILTER(F:F,A:A=A1840))&gt;1,TRUNC(N1840*F1840/SUM(FILTER(N:N,A:A=A1840)),3),F1840))"),"")</f>
        <v/>
      </c>
      <c r="K1840" s="147" t="str">
        <f>IFERROR(__xludf.DUMMYFUNCTION("IF(ISBLANK(A1840),IFERROR(1/0),IF(COUNT(FILTER(G:G,((A:A=A1840)*(B:B=""V""))))&gt;1,TRUNC(N1840*G1840/SUM(FILTER(N:N,((A:A=A1840)*(B:B=""V"")))),3),G1840))"),"")</f>
        <v/>
      </c>
      <c r="L1840" s="148" t="str">
        <f>IFERROR(__xludf.DUMMYFUNCTION("if($C1840="""","""",iferror(if(row()&lt;&gt;2,INDEX(arrayformula(filter($M$2:$M1839,$C$2:$C1839&lt;&gt;"""",row($C$2:$C1839)=max(if($C$2:$C1839=C1840,row($C$2:$C1839),0)))) ,1),0),0))"),"")</f>
        <v/>
      </c>
      <c r="M1840" s="148" t="str">
        <f t="shared" si="1"/>
        <v/>
      </c>
      <c r="N1840" s="147" t="str">
        <f t="shared" si="2"/>
        <v/>
      </c>
      <c r="O1840" s="147" t="str">
        <f t="shared" si="21"/>
        <v/>
      </c>
      <c r="P1840" s="147" t="str">
        <f>IFERROR(__xludf.DUMMYFUNCTION("if(C1840="""","""",iferror(if(row()&lt;&gt;2,INDEX(arrayformula(filter($Q$2:$Q1839,$C$2:$C1839&lt;&gt;"""",row($C$2:$C1839)=max(if($C$2:$C1839=C1840,row($C$2:$C1839),0)))) ,1),0),0))"),"")</f>
        <v/>
      </c>
      <c r="Q1840" s="147" t="str">
        <f t="shared" si="22"/>
        <v/>
      </c>
      <c r="R1840" s="147" t="str">
        <f t="shared" si="23"/>
        <v/>
      </c>
      <c r="S1840" s="147" t="str">
        <f t="shared" si="24"/>
        <v/>
      </c>
      <c r="T1840" s="147" t="str">
        <f t="shared" si="7"/>
        <v/>
      </c>
      <c r="U1840" s="150" t="str">
        <f t="shared" si="8"/>
        <v/>
      </c>
      <c r="V1840" s="151" t="str">
        <f>IFERROR(VLOOKUP(C1840,Ativos!$A$1:$G2000,5,),)</f>
        <v/>
      </c>
    </row>
    <row r="1841" ht="21.0" customHeight="1">
      <c r="A1841" s="152"/>
      <c r="B1841" s="160"/>
      <c r="C1841" s="153"/>
      <c r="D1841" s="154"/>
      <c r="E1841" s="139"/>
      <c r="F1841" s="139"/>
      <c r="G1841" s="139"/>
      <c r="H1841" s="135"/>
      <c r="I1841" s="141"/>
      <c r="J1841" s="147" t="str">
        <f>IFERROR(__xludf.DUMMYFUNCTION("IF(ISBLANK(A1841),IFERROR(1/0),IF(COUNT(FILTER(F:F,A:A=A1841))&gt;1,TRUNC(N1841*F1841/SUM(FILTER(N:N,A:A=A1841)),3),F1841))"),"")</f>
        <v/>
      </c>
      <c r="K1841" s="147" t="str">
        <f>IFERROR(__xludf.DUMMYFUNCTION("IF(ISBLANK(A1841),IFERROR(1/0),IF(COUNT(FILTER(G:G,((A:A=A1841)*(B:B=""V""))))&gt;1,TRUNC(N1841*G1841/SUM(FILTER(N:N,((A:A=A1841)*(B:B=""V"")))),3),G1841))"),"")</f>
        <v/>
      </c>
      <c r="L1841" s="148" t="str">
        <f>IFERROR(__xludf.DUMMYFUNCTION("if($C1841="""","""",iferror(if(row()&lt;&gt;2,INDEX(arrayformula(filter($M$2:$M1840,$C$2:$C1840&lt;&gt;"""",row($C$2:$C1840)=max(if($C$2:$C1840=C1841,row($C$2:$C1840),0)))) ,1),0),0))"),"")</f>
        <v/>
      </c>
      <c r="M1841" s="148" t="str">
        <f t="shared" si="1"/>
        <v/>
      </c>
      <c r="N1841" s="147" t="str">
        <f t="shared" si="2"/>
        <v/>
      </c>
      <c r="O1841" s="147" t="str">
        <f t="shared" si="21"/>
        <v/>
      </c>
      <c r="P1841" s="147" t="str">
        <f>IFERROR(__xludf.DUMMYFUNCTION("if(C1841="""","""",iferror(if(row()&lt;&gt;2,INDEX(arrayformula(filter($Q$2:$Q1840,$C$2:$C1840&lt;&gt;"""",row($C$2:$C1840)=max(if($C$2:$C1840=C1841,row($C$2:$C1840),0)))) ,1),0),0))"),"")</f>
        <v/>
      </c>
      <c r="Q1841" s="147" t="str">
        <f t="shared" si="22"/>
        <v/>
      </c>
      <c r="R1841" s="147" t="str">
        <f t="shared" si="23"/>
        <v/>
      </c>
      <c r="S1841" s="147" t="str">
        <f t="shared" si="24"/>
        <v/>
      </c>
      <c r="T1841" s="147" t="str">
        <f t="shared" si="7"/>
        <v/>
      </c>
      <c r="U1841" s="150" t="str">
        <f t="shared" si="8"/>
        <v/>
      </c>
      <c r="V1841" s="151" t="str">
        <f>IFERROR(VLOOKUP(C1841,Ativos!$A$1:$G2000,5,),)</f>
        <v/>
      </c>
    </row>
    <row r="1842" ht="21.0" customHeight="1">
      <c r="A1842" s="152"/>
      <c r="B1842" s="160"/>
      <c r="C1842" s="153"/>
      <c r="D1842" s="154"/>
      <c r="E1842" s="139"/>
      <c r="F1842" s="139"/>
      <c r="G1842" s="139"/>
      <c r="H1842" s="135"/>
      <c r="I1842" s="141"/>
      <c r="J1842" s="147" t="str">
        <f>IFERROR(__xludf.DUMMYFUNCTION("IF(ISBLANK(A1842),IFERROR(1/0),IF(COUNT(FILTER(F:F,A:A=A1842))&gt;1,TRUNC(N1842*F1842/SUM(FILTER(N:N,A:A=A1842)),3),F1842))"),"")</f>
        <v/>
      </c>
      <c r="K1842" s="147" t="str">
        <f>IFERROR(__xludf.DUMMYFUNCTION("IF(ISBLANK(A1842),IFERROR(1/0),IF(COUNT(FILTER(G:G,((A:A=A1842)*(B:B=""V""))))&gt;1,TRUNC(N1842*G1842/SUM(FILTER(N:N,((A:A=A1842)*(B:B=""V"")))),3),G1842))"),"")</f>
        <v/>
      </c>
      <c r="L1842" s="148" t="str">
        <f>IFERROR(__xludf.DUMMYFUNCTION("if($C1842="""","""",iferror(if(row()&lt;&gt;2,INDEX(arrayformula(filter($M$2:$M1841,$C$2:$C1841&lt;&gt;"""",row($C$2:$C1841)=max(if($C$2:$C1841=C1842,row($C$2:$C1841),0)))) ,1),0),0))"),"")</f>
        <v/>
      </c>
      <c r="M1842" s="148" t="str">
        <f t="shared" si="1"/>
        <v/>
      </c>
      <c r="N1842" s="147" t="str">
        <f t="shared" si="2"/>
        <v/>
      </c>
      <c r="O1842" s="147" t="str">
        <f t="shared" si="21"/>
        <v/>
      </c>
      <c r="P1842" s="147" t="str">
        <f>IFERROR(__xludf.DUMMYFUNCTION("if(C1842="""","""",iferror(if(row()&lt;&gt;2,INDEX(arrayformula(filter($Q$2:$Q1841,$C$2:$C1841&lt;&gt;"""",row($C$2:$C1841)=max(if($C$2:$C1841=C1842,row($C$2:$C1841),0)))) ,1),0),0))"),"")</f>
        <v/>
      </c>
      <c r="Q1842" s="147" t="str">
        <f t="shared" si="22"/>
        <v/>
      </c>
      <c r="R1842" s="147" t="str">
        <f t="shared" si="23"/>
        <v/>
      </c>
      <c r="S1842" s="147" t="str">
        <f t="shared" si="24"/>
        <v/>
      </c>
      <c r="T1842" s="147" t="str">
        <f t="shared" si="7"/>
        <v/>
      </c>
      <c r="U1842" s="150" t="str">
        <f t="shared" si="8"/>
        <v/>
      </c>
      <c r="V1842" s="151" t="str">
        <f>IFERROR(VLOOKUP(C1842,Ativos!$A$1:$G2000,5,),)</f>
        <v/>
      </c>
    </row>
    <row r="1843" ht="21.0" customHeight="1">
      <c r="A1843" s="152"/>
      <c r="B1843" s="160"/>
      <c r="C1843" s="153"/>
      <c r="D1843" s="154"/>
      <c r="E1843" s="139"/>
      <c r="F1843" s="139"/>
      <c r="G1843" s="139"/>
      <c r="H1843" s="135"/>
      <c r="I1843" s="141"/>
      <c r="J1843" s="147" t="str">
        <f>IFERROR(__xludf.DUMMYFUNCTION("IF(ISBLANK(A1843),IFERROR(1/0),IF(COUNT(FILTER(F:F,A:A=A1843))&gt;1,TRUNC(N1843*F1843/SUM(FILTER(N:N,A:A=A1843)),3),F1843))"),"")</f>
        <v/>
      </c>
      <c r="K1843" s="147" t="str">
        <f>IFERROR(__xludf.DUMMYFUNCTION("IF(ISBLANK(A1843),IFERROR(1/0),IF(COUNT(FILTER(G:G,((A:A=A1843)*(B:B=""V""))))&gt;1,TRUNC(N1843*G1843/SUM(FILTER(N:N,((A:A=A1843)*(B:B=""V"")))),3),G1843))"),"")</f>
        <v/>
      </c>
      <c r="L1843" s="148" t="str">
        <f>IFERROR(__xludf.DUMMYFUNCTION("if($C1843="""","""",iferror(if(row()&lt;&gt;2,INDEX(arrayformula(filter($M$2:$M1842,$C$2:$C1842&lt;&gt;"""",row($C$2:$C1842)=max(if($C$2:$C1842=C1843,row($C$2:$C1842),0)))) ,1),0),0))"),"")</f>
        <v/>
      </c>
      <c r="M1843" s="148" t="str">
        <f t="shared" si="1"/>
        <v/>
      </c>
      <c r="N1843" s="147" t="str">
        <f t="shared" si="2"/>
        <v/>
      </c>
      <c r="O1843" s="147" t="str">
        <f t="shared" si="21"/>
        <v/>
      </c>
      <c r="P1843" s="147" t="str">
        <f>IFERROR(__xludf.DUMMYFUNCTION("if(C1843="""","""",iferror(if(row()&lt;&gt;2,INDEX(arrayformula(filter($Q$2:$Q1842,$C$2:$C1842&lt;&gt;"""",row($C$2:$C1842)=max(if($C$2:$C1842=C1843,row($C$2:$C1842),0)))) ,1),0),0))"),"")</f>
        <v/>
      </c>
      <c r="Q1843" s="147" t="str">
        <f t="shared" si="22"/>
        <v/>
      </c>
      <c r="R1843" s="147" t="str">
        <f t="shared" si="23"/>
        <v/>
      </c>
      <c r="S1843" s="147" t="str">
        <f t="shared" si="24"/>
        <v/>
      </c>
      <c r="T1843" s="147" t="str">
        <f t="shared" si="7"/>
        <v/>
      </c>
      <c r="U1843" s="150" t="str">
        <f t="shared" si="8"/>
        <v/>
      </c>
      <c r="V1843" s="151" t="str">
        <f>IFERROR(VLOOKUP(C1843,Ativos!$A$1:$G2000,5,),)</f>
        <v/>
      </c>
    </row>
    <row r="1844" ht="21.0" customHeight="1">
      <c r="A1844" s="152"/>
      <c r="B1844" s="160"/>
      <c r="C1844" s="153"/>
      <c r="D1844" s="154"/>
      <c r="E1844" s="139"/>
      <c r="F1844" s="139"/>
      <c r="G1844" s="139"/>
      <c r="H1844" s="135"/>
      <c r="I1844" s="141"/>
      <c r="J1844" s="147" t="str">
        <f>IFERROR(__xludf.DUMMYFUNCTION("IF(ISBLANK(A1844),IFERROR(1/0),IF(COUNT(FILTER(F:F,A:A=A1844))&gt;1,TRUNC(N1844*F1844/SUM(FILTER(N:N,A:A=A1844)),3),F1844))"),"")</f>
        <v/>
      </c>
      <c r="K1844" s="147" t="str">
        <f>IFERROR(__xludf.DUMMYFUNCTION("IF(ISBLANK(A1844),IFERROR(1/0),IF(COUNT(FILTER(G:G,((A:A=A1844)*(B:B=""V""))))&gt;1,TRUNC(N1844*G1844/SUM(FILTER(N:N,((A:A=A1844)*(B:B=""V"")))),3),G1844))"),"")</f>
        <v/>
      </c>
      <c r="L1844" s="148" t="str">
        <f>IFERROR(__xludf.DUMMYFUNCTION("if($C1844="""","""",iferror(if(row()&lt;&gt;2,INDEX(arrayformula(filter($M$2:$M1843,$C$2:$C1843&lt;&gt;"""",row($C$2:$C1843)=max(if($C$2:$C1843=C1844,row($C$2:$C1843),0)))) ,1),0),0))"),"")</f>
        <v/>
      </c>
      <c r="M1844" s="148" t="str">
        <f t="shared" si="1"/>
        <v/>
      </c>
      <c r="N1844" s="147" t="str">
        <f t="shared" si="2"/>
        <v/>
      </c>
      <c r="O1844" s="147" t="str">
        <f t="shared" si="21"/>
        <v/>
      </c>
      <c r="P1844" s="147" t="str">
        <f>IFERROR(__xludf.DUMMYFUNCTION("if(C1844="""","""",iferror(if(row()&lt;&gt;2,INDEX(arrayformula(filter($Q$2:$Q1843,$C$2:$C1843&lt;&gt;"""",row($C$2:$C1843)=max(if($C$2:$C1843=C1844,row($C$2:$C1843),0)))) ,1),0),0))"),"")</f>
        <v/>
      </c>
      <c r="Q1844" s="147" t="str">
        <f t="shared" si="22"/>
        <v/>
      </c>
      <c r="R1844" s="147" t="str">
        <f t="shared" si="23"/>
        <v/>
      </c>
      <c r="S1844" s="147" t="str">
        <f t="shared" si="24"/>
        <v/>
      </c>
      <c r="T1844" s="147" t="str">
        <f t="shared" si="7"/>
        <v/>
      </c>
      <c r="U1844" s="150" t="str">
        <f t="shared" si="8"/>
        <v/>
      </c>
      <c r="V1844" s="151" t="str">
        <f>IFERROR(VLOOKUP(C1844,Ativos!$A$1:$G2000,5,),)</f>
        <v/>
      </c>
    </row>
    <row r="1845" ht="21.0" customHeight="1">
      <c r="A1845" s="152"/>
      <c r="B1845" s="160"/>
      <c r="C1845" s="153"/>
      <c r="D1845" s="154"/>
      <c r="E1845" s="139"/>
      <c r="F1845" s="139"/>
      <c r="G1845" s="139"/>
      <c r="H1845" s="135"/>
      <c r="I1845" s="141"/>
      <c r="J1845" s="147" t="str">
        <f>IFERROR(__xludf.DUMMYFUNCTION("IF(ISBLANK(A1845),IFERROR(1/0),IF(COUNT(FILTER(F:F,A:A=A1845))&gt;1,TRUNC(N1845*F1845/SUM(FILTER(N:N,A:A=A1845)),3),F1845))"),"")</f>
        <v/>
      </c>
      <c r="K1845" s="147" t="str">
        <f>IFERROR(__xludf.DUMMYFUNCTION("IF(ISBLANK(A1845),IFERROR(1/0),IF(COUNT(FILTER(G:G,((A:A=A1845)*(B:B=""V""))))&gt;1,TRUNC(N1845*G1845/SUM(FILTER(N:N,((A:A=A1845)*(B:B=""V"")))),3),G1845))"),"")</f>
        <v/>
      </c>
      <c r="L1845" s="148" t="str">
        <f>IFERROR(__xludf.DUMMYFUNCTION("if($C1845="""","""",iferror(if(row()&lt;&gt;2,INDEX(arrayformula(filter($M$2:$M1844,$C$2:$C1844&lt;&gt;"""",row($C$2:$C1844)=max(if($C$2:$C1844=C1845,row($C$2:$C1844),0)))) ,1),0),0))"),"")</f>
        <v/>
      </c>
      <c r="M1845" s="148" t="str">
        <f t="shared" si="1"/>
        <v/>
      </c>
      <c r="N1845" s="147" t="str">
        <f t="shared" si="2"/>
        <v/>
      </c>
      <c r="O1845" s="147" t="str">
        <f t="shared" si="21"/>
        <v/>
      </c>
      <c r="P1845" s="147" t="str">
        <f>IFERROR(__xludf.DUMMYFUNCTION("if(C1845="""","""",iferror(if(row()&lt;&gt;2,INDEX(arrayformula(filter($Q$2:$Q1844,$C$2:$C1844&lt;&gt;"""",row($C$2:$C1844)=max(if($C$2:$C1844=C1845,row($C$2:$C1844),0)))) ,1),0),0))"),"")</f>
        <v/>
      </c>
      <c r="Q1845" s="147" t="str">
        <f t="shared" si="22"/>
        <v/>
      </c>
      <c r="R1845" s="147" t="str">
        <f t="shared" si="23"/>
        <v/>
      </c>
      <c r="S1845" s="147" t="str">
        <f t="shared" si="24"/>
        <v/>
      </c>
      <c r="T1845" s="147" t="str">
        <f t="shared" si="7"/>
        <v/>
      </c>
      <c r="U1845" s="150" t="str">
        <f t="shared" si="8"/>
        <v/>
      </c>
      <c r="V1845" s="151" t="str">
        <f>IFERROR(VLOOKUP(C1845,Ativos!$A$1:$G2000,5,),)</f>
        <v/>
      </c>
    </row>
    <row r="1846" ht="21.0" customHeight="1">
      <c r="A1846" s="152"/>
      <c r="B1846" s="160"/>
      <c r="C1846" s="153"/>
      <c r="D1846" s="154"/>
      <c r="E1846" s="139"/>
      <c r="F1846" s="139"/>
      <c r="G1846" s="139"/>
      <c r="H1846" s="135"/>
      <c r="I1846" s="141"/>
      <c r="J1846" s="147" t="str">
        <f>IFERROR(__xludf.DUMMYFUNCTION("IF(ISBLANK(A1846),IFERROR(1/0),IF(COUNT(FILTER(F:F,A:A=A1846))&gt;1,TRUNC(N1846*F1846/SUM(FILTER(N:N,A:A=A1846)),3),F1846))"),"")</f>
        <v/>
      </c>
      <c r="K1846" s="147" t="str">
        <f>IFERROR(__xludf.DUMMYFUNCTION("IF(ISBLANK(A1846),IFERROR(1/0),IF(COUNT(FILTER(G:G,((A:A=A1846)*(B:B=""V""))))&gt;1,TRUNC(N1846*G1846/SUM(FILTER(N:N,((A:A=A1846)*(B:B=""V"")))),3),G1846))"),"")</f>
        <v/>
      </c>
      <c r="L1846" s="148" t="str">
        <f>IFERROR(__xludf.DUMMYFUNCTION("if($C1846="""","""",iferror(if(row()&lt;&gt;2,INDEX(arrayformula(filter($M$2:$M1845,$C$2:$C1845&lt;&gt;"""",row($C$2:$C1845)=max(if($C$2:$C1845=C1846,row($C$2:$C1845),0)))) ,1),0),0))"),"")</f>
        <v/>
      </c>
      <c r="M1846" s="148" t="str">
        <f t="shared" si="1"/>
        <v/>
      </c>
      <c r="N1846" s="147" t="str">
        <f t="shared" si="2"/>
        <v/>
      </c>
      <c r="O1846" s="147" t="str">
        <f t="shared" si="21"/>
        <v/>
      </c>
      <c r="P1846" s="147" t="str">
        <f>IFERROR(__xludf.DUMMYFUNCTION("if(C1846="""","""",iferror(if(row()&lt;&gt;2,INDEX(arrayformula(filter($Q$2:$Q1845,$C$2:$C1845&lt;&gt;"""",row($C$2:$C1845)=max(if($C$2:$C1845=C1846,row($C$2:$C1845),0)))) ,1),0),0))"),"")</f>
        <v/>
      </c>
      <c r="Q1846" s="147" t="str">
        <f t="shared" si="22"/>
        <v/>
      </c>
      <c r="R1846" s="147" t="str">
        <f t="shared" si="23"/>
        <v/>
      </c>
      <c r="S1846" s="147" t="str">
        <f t="shared" si="24"/>
        <v/>
      </c>
      <c r="T1846" s="147" t="str">
        <f t="shared" si="7"/>
        <v/>
      </c>
      <c r="U1846" s="150" t="str">
        <f t="shared" si="8"/>
        <v/>
      </c>
      <c r="V1846" s="151" t="str">
        <f>IFERROR(VLOOKUP(C1846,Ativos!$A$1:$G2000,5,),)</f>
        <v/>
      </c>
    </row>
    <row r="1847" ht="21.0" customHeight="1">
      <c r="A1847" s="152"/>
      <c r="B1847" s="160"/>
      <c r="C1847" s="153"/>
      <c r="D1847" s="154"/>
      <c r="E1847" s="139"/>
      <c r="F1847" s="139"/>
      <c r="G1847" s="139"/>
      <c r="H1847" s="135"/>
      <c r="I1847" s="141"/>
      <c r="J1847" s="147" t="str">
        <f>IFERROR(__xludf.DUMMYFUNCTION("IF(ISBLANK(A1847),IFERROR(1/0),IF(COUNT(FILTER(F:F,A:A=A1847))&gt;1,TRUNC(N1847*F1847/SUM(FILTER(N:N,A:A=A1847)),3),F1847))"),"")</f>
        <v/>
      </c>
      <c r="K1847" s="147" t="str">
        <f>IFERROR(__xludf.DUMMYFUNCTION("IF(ISBLANK(A1847),IFERROR(1/0),IF(COUNT(FILTER(G:G,((A:A=A1847)*(B:B=""V""))))&gt;1,TRUNC(N1847*G1847/SUM(FILTER(N:N,((A:A=A1847)*(B:B=""V"")))),3),G1847))"),"")</f>
        <v/>
      </c>
      <c r="L1847" s="148" t="str">
        <f>IFERROR(__xludf.DUMMYFUNCTION("if($C1847="""","""",iferror(if(row()&lt;&gt;2,INDEX(arrayformula(filter($M$2:$M1846,$C$2:$C1846&lt;&gt;"""",row($C$2:$C1846)=max(if($C$2:$C1846=C1847,row($C$2:$C1846),0)))) ,1),0),0))"),"")</f>
        <v/>
      </c>
      <c r="M1847" s="148" t="str">
        <f t="shared" si="1"/>
        <v/>
      </c>
      <c r="N1847" s="147" t="str">
        <f t="shared" si="2"/>
        <v/>
      </c>
      <c r="O1847" s="147" t="str">
        <f t="shared" si="21"/>
        <v/>
      </c>
      <c r="P1847" s="147" t="str">
        <f>IFERROR(__xludf.DUMMYFUNCTION("if(C1847="""","""",iferror(if(row()&lt;&gt;2,INDEX(arrayformula(filter($Q$2:$Q1846,$C$2:$C1846&lt;&gt;"""",row($C$2:$C1846)=max(if($C$2:$C1846=C1847,row($C$2:$C1846),0)))) ,1),0),0))"),"")</f>
        <v/>
      </c>
      <c r="Q1847" s="147" t="str">
        <f t="shared" si="22"/>
        <v/>
      </c>
      <c r="R1847" s="147" t="str">
        <f t="shared" si="23"/>
        <v/>
      </c>
      <c r="S1847" s="147" t="str">
        <f t="shared" si="24"/>
        <v/>
      </c>
      <c r="T1847" s="147" t="str">
        <f t="shared" si="7"/>
        <v/>
      </c>
      <c r="U1847" s="150" t="str">
        <f t="shared" si="8"/>
        <v/>
      </c>
      <c r="V1847" s="151" t="str">
        <f>IFERROR(VLOOKUP(C1847,Ativos!$A$1:$G2000,5,),)</f>
        <v/>
      </c>
    </row>
    <row r="1848" ht="21.0" customHeight="1">
      <c r="A1848" s="152"/>
      <c r="B1848" s="160"/>
      <c r="C1848" s="153"/>
      <c r="D1848" s="154"/>
      <c r="E1848" s="139"/>
      <c r="F1848" s="139"/>
      <c r="G1848" s="139"/>
      <c r="H1848" s="135"/>
      <c r="I1848" s="141"/>
      <c r="J1848" s="147" t="str">
        <f>IFERROR(__xludf.DUMMYFUNCTION("IF(ISBLANK(A1848),IFERROR(1/0),IF(COUNT(FILTER(F:F,A:A=A1848))&gt;1,TRUNC(N1848*F1848/SUM(FILTER(N:N,A:A=A1848)),3),F1848))"),"")</f>
        <v/>
      </c>
      <c r="K1848" s="147" t="str">
        <f>IFERROR(__xludf.DUMMYFUNCTION("IF(ISBLANK(A1848),IFERROR(1/0),IF(COUNT(FILTER(G:G,((A:A=A1848)*(B:B=""V""))))&gt;1,TRUNC(N1848*G1848/SUM(FILTER(N:N,((A:A=A1848)*(B:B=""V"")))),3),G1848))"),"")</f>
        <v/>
      </c>
      <c r="L1848" s="148" t="str">
        <f>IFERROR(__xludf.DUMMYFUNCTION("if($C1848="""","""",iferror(if(row()&lt;&gt;2,INDEX(arrayformula(filter($M$2:$M1847,$C$2:$C1847&lt;&gt;"""",row($C$2:$C1847)=max(if($C$2:$C1847=C1848,row($C$2:$C1847),0)))) ,1),0),0))"),"")</f>
        <v/>
      </c>
      <c r="M1848" s="148" t="str">
        <f t="shared" si="1"/>
        <v/>
      </c>
      <c r="N1848" s="147" t="str">
        <f t="shared" si="2"/>
        <v/>
      </c>
      <c r="O1848" s="147" t="str">
        <f t="shared" si="21"/>
        <v/>
      </c>
      <c r="P1848" s="147" t="str">
        <f>IFERROR(__xludf.DUMMYFUNCTION("if(C1848="""","""",iferror(if(row()&lt;&gt;2,INDEX(arrayformula(filter($Q$2:$Q1847,$C$2:$C1847&lt;&gt;"""",row($C$2:$C1847)=max(if($C$2:$C1847=C1848,row($C$2:$C1847),0)))) ,1),0),0))"),"")</f>
        <v/>
      </c>
      <c r="Q1848" s="147" t="str">
        <f t="shared" si="22"/>
        <v/>
      </c>
      <c r="R1848" s="147" t="str">
        <f t="shared" si="23"/>
        <v/>
      </c>
      <c r="S1848" s="147" t="str">
        <f t="shared" si="24"/>
        <v/>
      </c>
      <c r="T1848" s="147" t="str">
        <f t="shared" si="7"/>
        <v/>
      </c>
      <c r="U1848" s="150" t="str">
        <f t="shared" si="8"/>
        <v/>
      </c>
      <c r="V1848" s="151" t="str">
        <f>IFERROR(VLOOKUP(C1848,Ativos!$A$1:$G2000,5,),)</f>
        <v/>
      </c>
    </row>
    <row r="1849" ht="21.0" customHeight="1">
      <c r="A1849" s="152"/>
      <c r="B1849" s="160"/>
      <c r="C1849" s="153"/>
      <c r="D1849" s="154"/>
      <c r="E1849" s="139"/>
      <c r="F1849" s="139"/>
      <c r="G1849" s="139"/>
      <c r="H1849" s="135"/>
      <c r="I1849" s="141"/>
      <c r="J1849" s="147" t="str">
        <f>IFERROR(__xludf.DUMMYFUNCTION("IF(ISBLANK(A1849),IFERROR(1/0),IF(COUNT(FILTER(F:F,A:A=A1849))&gt;1,TRUNC(N1849*F1849/SUM(FILTER(N:N,A:A=A1849)),3),F1849))"),"")</f>
        <v/>
      </c>
      <c r="K1849" s="147" t="str">
        <f>IFERROR(__xludf.DUMMYFUNCTION("IF(ISBLANK(A1849),IFERROR(1/0),IF(COUNT(FILTER(G:G,((A:A=A1849)*(B:B=""V""))))&gt;1,TRUNC(N1849*G1849/SUM(FILTER(N:N,((A:A=A1849)*(B:B=""V"")))),3),G1849))"),"")</f>
        <v/>
      </c>
      <c r="L1849" s="148" t="str">
        <f>IFERROR(__xludf.DUMMYFUNCTION("if($C1849="""","""",iferror(if(row()&lt;&gt;2,INDEX(arrayformula(filter($M$2:$M1848,$C$2:$C1848&lt;&gt;"""",row($C$2:$C1848)=max(if($C$2:$C1848=C1849,row($C$2:$C1848),0)))) ,1),0),0))"),"")</f>
        <v/>
      </c>
      <c r="M1849" s="148" t="str">
        <f t="shared" si="1"/>
        <v/>
      </c>
      <c r="N1849" s="147" t="str">
        <f t="shared" si="2"/>
        <v/>
      </c>
      <c r="O1849" s="147" t="str">
        <f t="shared" si="21"/>
        <v/>
      </c>
      <c r="P1849" s="147" t="str">
        <f>IFERROR(__xludf.DUMMYFUNCTION("if(C1849="""","""",iferror(if(row()&lt;&gt;2,INDEX(arrayformula(filter($Q$2:$Q1848,$C$2:$C1848&lt;&gt;"""",row($C$2:$C1848)=max(if($C$2:$C1848=C1849,row($C$2:$C1848),0)))) ,1),0),0))"),"")</f>
        <v/>
      </c>
      <c r="Q1849" s="147" t="str">
        <f t="shared" si="22"/>
        <v/>
      </c>
      <c r="R1849" s="147" t="str">
        <f t="shared" si="23"/>
        <v/>
      </c>
      <c r="S1849" s="147" t="str">
        <f t="shared" si="24"/>
        <v/>
      </c>
      <c r="T1849" s="147" t="str">
        <f t="shared" si="7"/>
        <v/>
      </c>
      <c r="U1849" s="150" t="str">
        <f t="shared" si="8"/>
        <v/>
      </c>
      <c r="V1849" s="151" t="str">
        <f>IFERROR(VLOOKUP(C1849,Ativos!$A$1:$G2000,5,),)</f>
        <v/>
      </c>
    </row>
    <row r="1850" ht="21.0" customHeight="1">
      <c r="A1850" s="152"/>
      <c r="B1850" s="160"/>
      <c r="C1850" s="153"/>
      <c r="D1850" s="154"/>
      <c r="E1850" s="139"/>
      <c r="F1850" s="139"/>
      <c r="G1850" s="139"/>
      <c r="H1850" s="135"/>
      <c r="I1850" s="141"/>
      <c r="J1850" s="147" t="str">
        <f>IFERROR(__xludf.DUMMYFUNCTION("IF(ISBLANK(A1850),IFERROR(1/0),IF(COUNT(FILTER(F:F,A:A=A1850))&gt;1,TRUNC(N1850*F1850/SUM(FILTER(N:N,A:A=A1850)),3),F1850))"),"")</f>
        <v/>
      </c>
      <c r="K1850" s="147" t="str">
        <f>IFERROR(__xludf.DUMMYFUNCTION("IF(ISBLANK(A1850),IFERROR(1/0),IF(COUNT(FILTER(G:G,((A:A=A1850)*(B:B=""V""))))&gt;1,TRUNC(N1850*G1850/SUM(FILTER(N:N,((A:A=A1850)*(B:B=""V"")))),3),G1850))"),"")</f>
        <v/>
      </c>
      <c r="L1850" s="148" t="str">
        <f>IFERROR(__xludf.DUMMYFUNCTION("if($C1850="""","""",iferror(if(row()&lt;&gt;2,INDEX(arrayformula(filter($M$2:$M1849,$C$2:$C1849&lt;&gt;"""",row($C$2:$C1849)=max(if($C$2:$C1849=C1850,row($C$2:$C1849),0)))) ,1),0),0))"),"")</f>
        <v/>
      </c>
      <c r="M1850" s="148" t="str">
        <f t="shared" si="1"/>
        <v/>
      </c>
      <c r="N1850" s="147" t="str">
        <f t="shared" si="2"/>
        <v/>
      </c>
      <c r="O1850" s="147" t="str">
        <f t="shared" si="21"/>
        <v/>
      </c>
      <c r="P1850" s="147" t="str">
        <f>IFERROR(__xludf.DUMMYFUNCTION("if(C1850="""","""",iferror(if(row()&lt;&gt;2,INDEX(arrayformula(filter($Q$2:$Q1849,$C$2:$C1849&lt;&gt;"""",row($C$2:$C1849)=max(if($C$2:$C1849=C1850,row($C$2:$C1849),0)))) ,1),0),0))"),"")</f>
        <v/>
      </c>
      <c r="Q1850" s="147" t="str">
        <f t="shared" si="22"/>
        <v/>
      </c>
      <c r="R1850" s="147" t="str">
        <f t="shared" si="23"/>
        <v/>
      </c>
      <c r="S1850" s="147" t="str">
        <f t="shared" si="24"/>
        <v/>
      </c>
      <c r="T1850" s="147" t="str">
        <f t="shared" si="7"/>
        <v/>
      </c>
      <c r="U1850" s="150" t="str">
        <f t="shared" si="8"/>
        <v/>
      </c>
      <c r="V1850" s="151" t="str">
        <f>IFERROR(VLOOKUP(C1850,Ativos!$A$1:$G2000,5,),)</f>
        <v/>
      </c>
    </row>
    <row r="1851" ht="21.0" customHeight="1">
      <c r="A1851" s="152"/>
      <c r="B1851" s="160"/>
      <c r="C1851" s="153"/>
      <c r="D1851" s="154"/>
      <c r="E1851" s="139"/>
      <c r="F1851" s="139"/>
      <c r="G1851" s="139"/>
      <c r="H1851" s="135"/>
      <c r="I1851" s="141"/>
      <c r="J1851" s="147" t="str">
        <f>IFERROR(__xludf.DUMMYFUNCTION("IF(ISBLANK(A1851),IFERROR(1/0),IF(COUNT(FILTER(F:F,A:A=A1851))&gt;1,TRUNC(N1851*F1851/SUM(FILTER(N:N,A:A=A1851)),3),F1851))"),"")</f>
        <v/>
      </c>
      <c r="K1851" s="147" t="str">
        <f>IFERROR(__xludf.DUMMYFUNCTION("IF(ISBLANK(A1851),IFERROR(1/0),IF(COUNT(FILTER(G:G,((A:A=A1851)*(B:B=""V""))))&gt;1,TRUNC(N1851*G1851/SUM(FILTER(N:N,((A:A=A1851)*(B:B=""V"")))),3),G1851))"),"")</f>
        <v/>
      </c>
      <c r="L1851" s="148" t="str">
        <f>IFERROR(__xludf.DUMMYFUNCTION("if($C1851="""","""",iferror(if(row()&lt;&gt;2,INDEX(arrayformula(filter($M$2:$M1850,$C$2:$C1850&lt;&gt;"""",row($C$2:$C1850)=max(if($C$2:$C1850=C1851,row($C$2:$C1850),0)))) ,1),0),0))"),"")</f>
        <v/>
      </c>
      <c r="M1851" s="148" t="str">
        <f t="shared" si="1"/>
        <v/>
      </c>
      <c r="N1851" s="147" t="str">
        <f t="shared" si="2"/>
        <v/>
      </c>
      <c r="O1851" s="147" t="str">
        <f t="shared" si="21"/>
        <v/>
      </c>
      <c r="P1851" s="147" t="str">
        <f>IFERROR(__xludf.DUMMYFUNCTION("if(C1851="""","""",iferror(if(row()&lt;&gt;2,INDEX(arrayformula(filter($Q$2:$Q1850,$C$2:$C1850&lt;&gt;"""",row($C$2:$C1850)=max(if($C$2:$C1850=C1851,row($C$2:$C1850),0)))) ,1),0),0))"),"")</f>
        <v/>
      </c>
      <c r="Q1851" s="147" t="str">
        <f t="shared" si="22"/>
        <v/>
      </c>
      <c r="R1851" s="147" t="str">
        <f t="shared" si="23"/>
        <v/>
      </c>
      <c r="S1851" s="147" t="str">
        <f t="shared" si="24"/>
        <v/>
      </c>
      <c r="T1851" s="147" t="str">
        <f t="shared" si="7"/>
        <v/>
      </c>
      <c r="U1851" s="150" t="str">
        <f t="shared" si="8"/>
        <v/>
      </c>
      <c r="V1851" s="151" t="str">
        <f>IFERROR(VLOOKUP(C1851,Ativos!$A$1:$G2000,5,),)</f>
        <v/>
      </c>
    </row>
    <row r="1852" ht="21.0" customHeight="1">
      <c r="A1852" s="152"/>
      <c r="B1852" s="160"/>
      <c r="C1852" s="153"/>
      <c r="D1852" s="154"/>
      <c r="E1852" s="139"/>
      <c r="F1852" s="139"/>
      <c r="G1852" s="139"/>
      <c r="H1852" s="135"/>
      <c r="I1852" s="141"/>
      <c r="J1852" s="147" t="str">
        <f>IFERROR(__xludf.DUMMYFUNCTION("IF(ISBLANK(A1852),IFERROR(1/0),IF(COUNT(FILTER(F:F,A:A=A1852))&gt;1,TRUNC(N1852*F1852/SUM(FILTER(N:N,A:A=A1852)),3),F1852))"),"")</f>
        <v/>
      </c>
      <c r="K1852" s="147" t="str">
        <f>IFERROR(__xludf.DUMMYFUNCTION("IF(ISBLANK(A1852),IFERROR(1/0),IF(COUNT(FILTER(G:G,((A:A=A1852)*(B:B=""V""))))&gt;1,TRUNC(N1852*G1852/SUM(FILTER(N:N,((A:A=A1852)*(B:B=""V"")))),3),G1852))"),"")</f>
        <v/>
      </c>
      <c r="L1852" s="148" t="str">
        <f>IFERROR(__xludf.DUMMYFUNCTION("if($C1852="""","""",iferror(if(row()&lt;&gt;2,INDEX(arrayformula(filter($M$2:$M1851,$C$2:$C1851&lt;&gt;"""",row($C$2:$C1851)=max(if($C$2:$C1851=C1852,row($C$2:$C1851),0)))) ,1),0),0))"),"")</f>
        <v/>
      </c>
      <c r="M1852" s="148" t="str">
        <f t="shared" si="1"/>
        <v/>
      </c>
      <c r="N1852" s="147" t="str">
        <f t="shared" si="2"/>
        <v/>
      </c>
      <c r="O1852" s="147" t="str">
        <f t="shared" si="21"/>
        <v/>
      </c>
      <c r="P1852" s="147" t="str">
        <f>IFERROR(__xludf.DUMMYFUNCTION("if(C1852="""","""",iferror(if(row()&lt;&gt;2,INDEX(arrayformula(filter($Q$2:$Q1851,$C$2:$C1851&lt;&gt;"""",row($C$2:$C1851)=max(if($C$2:$C1851=C1852,row($C$2:$C1851),0)))) ,1),0),0))"),"")</f>
        <v/>
      </c>
      <c r="Q1852" s="147" t="str">
        <f t="shared" si="22"/>
        <v/>
      </c>
      <c r="R1852" s="147" t="str">
        <f t="shared" si="23"/>
        <v/>
      </c>
      <c r="S1852" s="147" t="str">
        <f t="shared" si="24"/>
        <v/>
      </c>
      <c r="T1852" s="147" t="str">
        <f t="shared" si="7"/>
        <v/>
      </c>
      <c r="U1852" s="150" t="str">
        <f t="shared" si="8"/>
        <v/>
      </c>
      <c r="V1852" s="151" t="str">
        <f>IFERROR(VLOOKUP(C1852,Ativos!$A$1:$G2000,5,),)</f>
        <v/>
      </c>
    </row>
    <row r="1853" ht="21.0" customHeight="1">
      <c r="A1853" s="152"/>
      <c r="B1853" s="160"/>
      <c r="C1853" s="153"/>
      <c r="D1853" s="154"/>
      <c r="E1853" s="139"/>
      <c r="F1853" s="139"/>
      <c r="G1853" s="139"/>
      <c r="H1853" s="135"/>
      <c r="I1853" s="141"/>
      <c r="J1853" s="147" t="str">
        <f>IFERROR(__xludf.DUMMYFUNCTION("IF(ISBLANK(A1853),IFERROR(1/0),IF(COUNT(FILTER(F:F,A:A=A1853))&gt;1,TRUNC(N1853*F1853/SUM(FILTER(N:N,A:A=A1853)),3),F1853))"),"")</f>
        <v/>
      </c>
      <c r="K1853" s="147" t="str">
        <f>IFERROR(__xludf.DUMMYFUNCTION("IF(ISBLANK(A1853),IFERROR(1/0),IF(COUNT(FILTER(G:G,((A:A=A1853)*(B:B=""V""))))&gt;1,TRUNC(N1853*G1853/SUM(FILTER(N:N,((A:A=A1853)*(B:B=""V"")))),3),G1853))"),"")</f>
        <v/>
      </c>
      <c r="L1853" s="148" t="str">
        <f>IFERROR(__xludf.DUMMYFUNCTION("if($C1853="""","""",iferror(if(row()&lt;&gt;2,INDEX(arrayformula(filter($M$2:$M1852,$C$2:$C1852&lt;&gt;"""",row($C$2:$C1852)=max(if($C$2:$C1852=C1853,row($C$2:$C1852),0)))) ,1),0),0))"),"")</f>
        <v/>
      </c>
      <c r="M1853" s="148" t="str">
        <f t="shared" si="1"/>
        <v/>
      </c>
      <c r="N1853" s="147" t="str">
        <f t="shared" si="2"/>
        <v/>
      </c>
      <c r="O1853" s="147" t="str">
        <f t="shared" si="21"/>
        <v/>
      </c>
      <c r="P1853" s="147" t="str">
        <f>IFERROR(__xludf.DUMMYFUNCTION("if(C1853="""","""",iferror(if(row()&lt;&gt;2,INDEX(arrayformula(filter($Q$2:$Q1852,$C$2:$C1852&lt;&gt;"""",row($C$2:$C1852)=max(if($C$2:$C1852=C1853,row($C$2:$C1852),0)))) ,1),0),0))"),"")</f>
        <v/>
      </c>
      <c r="Q1853" s="147" t="str">
        <f t="shared" si="22"/>
        <v/>
      </c>
      <c r="R1853" s="147" t="str">
        <f t="shared" si="23"/>
        <v/>
      </c>
      <c r="S1853" s="147" t="str">
        <f t="shared" si="24"/>
        <v/>
      </c>
      <c r="T1853" s="147" t="str">
        <f t="shared" si="7"/>
        <v/>
      </c>
      <c r="U1853" s="150" t="str">
        <f t="shared" si="8"/>
        <v/>
      </c>
      <c r="V1853" s="151" t="str">
        <f>IFERROR(VLOOKUP(C1853,Ativos!$A$1:$G2000,5,),)</f>
        <v/>
      </c>
    </row>
    <row r="1854" ht="21.0" customHeight="1">
      <c r="A1854" s="152"/>
      <c r="B1854" s="160"/>
      <c r="C1854" s="153"/>
      <c r="D1854" s="154"/>
      <c r="E1854" s="139"/>
      <c r="F1854" s="139"/>
      <c r="G1854" s="139"/>
      <c r="H1854" s="135"/>
      <c r="I1854" s="141"/>
      <c r="J1854" s="147" t="str">
        <f>IFERROR(__xludf.DUMMYFUNCTION("IF(ISBLANK(A1854),IFERROR(1/0),IF(COUNT(FILTER(F:F,A:A=A1854))&gt;1,TRUNC(N1854*F1854/SUM(FILTER(N:N,A:A=A1854)),3),F1854))"),"")</f>
        <v/>
      </c>
      <c r="K1854" s="147" t="str">
        <f>IFERROR(__xludf.DUMMYFUNCTION("IF(ISBLANK(A1854),IFERROR(1/0),IF(COUNT(FILTER(G:G,((A:A=A1854)*(B:B=""V""))))&gt;1,TRUNC(N1854*G1854/SUM(FILTER(N:N,((A:A=A1854)*(B:B=""V"")))),3),G1854))"),"")</f>
        <v/>
      </c>
      <c r="L1854" s="148" t="str">
        <f>IFERROR(__xludf.DUMMYFUNCTION("if($C1854="""","""",iferror(if(row()&lt;&gt;2,INDEX(arrayformula(filter($M$2:$M1853,$C$2:$C1853&lt;&gt;"""",row($C$2:$C1853)=max(if($C$2:$C1853=C1854,row($C$2:$C1853),0)))) ,1),0),0))"),"")</f>
        <v/>
      </c>
      <c r="M1854" s="148" t="str">
        <f t="shared" si="1"/>
        <v/>
      </c>
      <c r="N1854" s="147" t="str">
        <f t="shared" si="2"/>
        <v/>
      </c>
      <c r="O1854" s="147" t="str">
        <f t="shared" si="21"/>
        <v/>
      </c>
      <c r="P1854" s="147" t="str">
        <f>IFERROR(__xludf.DUMMYFUNCTION("if(C1854="""","""",iferror(if(row()&lt;&gt;2,INDEX(arrayformula(filter($Q$2:$Q1853,$C$2:$C1853&lt;&gt;"""",row($C$2:$C1853)=max(if($C$2:$C1853=C1854,row($C$2:$C1853),0)))) ,1),0),0))"),"")</f>
        <v/>
      </c>
      <c r="Q1854" s="147" t="str">
        <f t="shared" si="22"/>
        <v/>
      </c>
      <c r="R1854" s="147" t="str">
        <f t="shared" si="23"/>
        <v/>
      </c>
      <c r="S1854" s="147" t="str">
        <f t="shared" si="24"/>
        <v/>
      </c>
      <c r="T1854" s="147" t="str">
        <f t="shared" si="7"/>
        <v/>
      </c>
      <c r="U1854" s="150" t="str">
        <f t="shared" si="8"/>
        <v/>
      </c>
      <c r="V1854" s="151" t="str">
        <f>IFERROR(VLOOKUP(C1854,Ativos!$A$1:$G2000,5,),)</f>
        <v/>
      </c>
    </row>
    <row r="1855" ht="21.0" customHeight="1">
      <c r="A1855" s="152"/>
      <c r="B1855" s="160"/>
      <c r="C1855" s="153"/>
      <c r="D1855" s="154"/>
      <c r="E1855" s="139"/>
      <c r="F1855" s="139"/>
      <c r="G1855" s="139"/>
      <c r="H1855" s="135"/>
      <c r="I1855" s="141"/>
      <c r="J1855" s="147" t="str">
        <f>IFERROR(__xludf.DUMMYFUNCTION("IF(ISBLANK(A1855),IFERROR(1/0),IF(COUNT(FILTER(F:F,A:A=A1855))&gt;1,TRUNC(N1855*F1855/SUM(FILTER(N:N,A:A=A1855)),3),F1855))"),"")</f>
        <v/>
      </c>
      <c r="K1855" s="147" t="str">
        <f>IFERROR(__xludf.DUMMYFUNCTION("IF(ISBLANK(A1855),IFERROR(1/0),IF(COUNT(FILTER(G:G,((A:A=A1855)*(B:B=""V""))))&gt;1,TRUNC(N1855*G1855/SUM(FILTER(N:N,((A:A=A1855)*(B:B=""V"")))),3),G1855))"),"")</f>
        <v/>
      </c>
      <c r="L1855" s="148" t="str">
        <f>IFERROR(__xludf.DUMMYFUNCTION("if($C1855="""","""",iferror(if(row()&lt;&gt;2,INDEX(arrayformula(filter($M$2:$M1854,$C$2:$C1854&lt;&gt;"""",row($C$2:$C1854)=max(if($C$2:$C1854=C1855,row($C$2:$C1854),0)))) ,1),0),0))"),"")</f>
        <v/>
      </c>
      <c r="M1855" s="148" t="str">
        <f t="shared" si="1"/>
        <v/>
      </c>
      <c r="N1855" s="147" t="str">
        <f t="shared" si="2"/>
        <v/>
      </c>
      <c r="O1855" s="147" t="str">
        <f t="shared" si="21"/>
        <v/>
      </c>
      <c r="P1855" s="147" t="str">
        <f>IFERROR(__xludf.DUMMYFUNCTION("if(C1855="""","""",iferror(if(row()&lt;&gt;2,INDEX(arrayformula(filter($Q$2:$Q1854,$C$2:$C1854&lt;&gt;"""",row($C$2:$C1854)=max(if($C$2:$C1854=C1855,row($C$2:$C1854),0)))) ,1),0),0))"),"")</f>
        <v/>
      </c>
      <c r="Q1855" s="147" t="str">
        <f t="shared" si="22"/>
        <v/>
      </c>
      <c r="R1855" s="147" t="str">
        <f t="shared" si="23"/>
        <v/>
      </c>
      <c r="S1855" s="147" t="str">
        <f t="shared" si="24"/>
        <v/>
      </c>
      <c r="T1855" s="147" t="str">
        <f t="shared" si="7"/>
        <v/>
      </c>
      <c r="U1855" s="150" t="str">
        <f t="shared" si="8"/>
        <v/>
      </c>
      <c r="V1855" s="151" t="str">
        <f>IFERROR(VLOOKUP(C1855,Ativos!$A$1:$G2000,5,),)</f>
        <v/>
      </c>
    </row>
    <row r="1856" ht="21.0" customHeight="1">
      <c r="A1856" s="152"/>
      <c r="B1856" s="160"/>
      <c r="C1856" s="153"/>
      <c r="D1856" s="154"/>
      <c r="E1856" s="139"/>
      <c r="F1856" s="139"/>
      <c r="G1856" s="139"/>
      <c r="H1856" s="135"/>
      <c r="I1856" s="141"/>
      <c r="J1856" s="147" t="str">
        <f>IFERROR(__xludf.DUMMYFUNCTION("IF(ISBLANK(A1856),IFERROR(1/0),IF(COUNT(FILTER(F:F,A:A=A1856))&gt;1,TRUNC(N1856*F1856/SUM(FILTER(N:N,A:A=A1856)),3),F1856))"),"")</f>
        <v/>
      </c>
      <c r="K1856" s="147" t="str">
        <f>IFERROR(__xludf.DUMMYFUNCTION("IF(ISBLANK(A1856),IFERROR(1/0),IF(COUNT(FILTER(G:G,((A:A=A1856)*(B:B=""V""))))&gt;1,TRUNC(N1856*G1856/SUM(FILTER(N:N,((A:A=A1856)*(B:B=""V"")))),3),G1856))"),"")</f>
        <v/>
      </c>
      <c r="L1856" s="148" t="str">
        <f>IFERROR(__xludf.DUMMYFUNCTION("if($C1856="""","""",iferror(if(row()&lt;&gt;2,INDEX(arrayformula(filter($M$2:$M1855,$C$2:$C1855&lt;&gt;"""",row($C$2:$C1855)=max(if($C$2:$C1855=C1856,row($C$2:$C1855),0)))) ,1),0),0))"),"")</f>
        <v/>
      </c>
      <c r="M1856" s="148" t="str">
        <f t="shared" si="1"/>
        <v/>
      </c>
      <c r="N1856" s="147" t="str">
        <f t="shared" si="2"/>
        <v/>
      </c>
      <c r="O1856" s="147" t="str">
        <f t="shared" si="21"/>
        <v/>
      </c>
      <c r="P1856" s="147" t="str">
        <f>IFERROR(__xludf.DUMMYFUNCTION("if(C1856="""","""",iferror(if(row()&lt;&gt;2,INDEX(arrayformula(filter($Q$2:$Q1855,$C$2:$C1855&lt;&gt;"""",row($C$2:$C1855)=max(if($C$2:$C1855=C1856,row($C$2:$C1855),0)))) ,1),0),0))"),"")</f>
        <v/>
      </c>
      <c r="Q1856" s="147" t="str">
        <f t="shared" si="22"/>
        <v/>
      </c>
      <c r="R1856" s="147" t="str">
        <f t="shared" si="23"/>
        <v/>
      </c>
      <c r="S1856" s="147" t="str">
        <f t="shared" si="24"/>
        <v/>
      </c>
      <c r="T1856" s="147" t="str">
        <f t="shared" si="7"/>
        <v/>
      </c>
      <c r="U1856" s="150" t="str">
        <f t="shared" si="8"/>
        <v/>
      </c>
      <c r="V1856" s="151" t="str">
        <f>IFERROR(VLOOKUP(C1856,Ativos!$A$1:$G2000,5,),)</f>
        <v/>
      </c>
    </row>
    <row r="1857" ht="21.0" customHeight="1">
      <c r="A1857" s="152"/>
      <c r="B1857" s="160"/>
      <c r="C1857" s="153"/>
      <c r="D1857" s="154"/>
      <c r="E1857" s="139"/>
      <c r="F1857" s="139"/>
      <c r="G1857" s="139"/>
      <c r="H1857" s="135"/>
      <c r="I1857" s="141"/>
      <c r="J1857" s="147" t="str">
        <f>IFERROR(__xludf.DUMMYFUNCTION("IF(ISBLANK(A1857),IFERROR(1/0),IF(COUNT(FILTER(F:F,A:A=A1857))&gt;1,TRUNC(N1857*F1857/SUM(FILTER(N:N,A:A=A1857)),3),F1857))"),"")</f>
        <v/>
      </c>
      <c r="K1857" s="147" t="str">
        <f>IFERROR(__xludf.DUMMYFUNCTION("IF(ISBLANK(A1857),IFERROR(1/0),IF(COUNT(FILTER(G:G,((A:A=A1857)*(B:B=""V""))))&gt;1,TRUNC(N1857*G1857/SUM(FILTER(N:N,((A:A=A1857)*(B:B=""V"")))),3),G1857))"),"")</f>
        <v/>
      </c>
      <c r="L1857" s="148" t="str">
        <f>IFERROR(__xludf.DUMMYFUNCTION("if($C1857="""","""",iferror(if(row()&lt;&gt;2,INDEX(arrayformula(filter($M$2:$M1856,$C$2:$C1856&lt;&gt;"""",row($C$2:$C1856)=max(if($C$2:$C1856=C1857,row($C$2:$C1856),0)))) ,1),0),0))"),"")</f>
        <v/>
      </c>
      <c r="M1857" s="148" t="str">
        <f t="shared" si="1"/>
        <v/>
      </c>
      <c r="N1857" s="147" t="str">
        <f t="shared" si="2"/>
        <v/>
      </c>
      <c r="O1857" s="147" t="str">
        <f t="shared" si="21"/>
        <v/>
      </c>
      <c r="P1857" s="147" t="str">
        <f>IFERROR(__xludf.DUMMYFUNCTION("if(C1857="""","""",iferror(if(row()&lt;&gt;2,INDEX(arrayformula(filter($Q$2:$Q1856,$C$2:$C1856&lt;&gt;"""",row($C$2:$C1856)=max(if($C$2:$C1856=C1857,row($C$2:$C1856),0)))) ,1),0),0))"),"")</f>
        <v/>
      </c>
      <c r="Q1857" s="147" t="str">
        <f t="shared" si="22"/>
        <v/>
      </c>
      <c r="R1857" s="147" t="str">
        <f t="shared" si="23"/>
        <v/>
      </c>
      <c r="S1857" s="147" t="str">
        <f t="shared" si="24"/>
        <v/>
      </c>
      <c r="T1857" s="147" t="str">
        <f t="shared" si="7"/>
        <v/>
      </c>
      <c r="U1857" s="150" t="str">
        <f t="shared" si="8"/>
        <v/>
      </c>
      <c r="V1857" s="151" t="str">
        <f>IFERROR(VLOOKUP(C1857,Ativos!$A$1:$G2000,5,),)</f>
        <v/>
      </c>
    </row>
    <row r="1858" ht="21.0" customHeight="1">
      <c r="A1858" s="152"/>
      <c r="B1858" s="160"/>
      <c r="C1858" s="153"/>
      <c r="D1858" s="154"/>
      <c r="E1858" s="139"/>
      <c r="F1858" s="139"/>
      <c r="G1858" s="139"/>
      <c r="H1858" s="135"/>
      <c r="I1858" s="141"/>
      <c r="J1858" s="147" t="str">
        <f>IFERROR(__xludf.DUMMYFUNCTION("IF(ISBLANK(A1858),IFERROR(1/0),IF(COUNT(FILTER(F:F,A:A=A1858))&gt;1,TRUNC(N1858*F1858/SUM(FILTER(N:N,A:A=A1858)),3),F1858))"),"")</f>
        <v/>
      </c>
      <c r="K1858" s="147" t="str">
        <f>IFERROR(__xludf.DUMMYFUNCTION("IF(ISBLANK(A1858),IFERROR(1/0),IF(COUNT(FILTER(G:G,((A:A=A1858)*(B:B=""V""))))&gt;1,TRUNC(N1858*G1858/SUM(FILTER(N:N,((A:A=A1858)*(B:B=""V"")))),3),G1858))"),"")</f>
        <v/>
      </c>
      <c r="L1858" s="148" t="str">
        <f>IFERROR(__xludf.DUMMYFUNCTION("if($C1858="""","""",iferror(if(row()&lt;&gt;2,INDEX(arrayformula(filter($M$2:$M1857,$C$2:$C1857&lt;&gt;"""",row($C$2:$C1857)=max(if($C$2:$C1857=C1858,row($C$2:$C1857),0)))) ,1),0),0))"),"")</f>
        <v/>
      </c>
      <c r="M1858" s="148" t="str">
        <f t="shared" si="1"/>
        <v/>
      </c>
      <c r="N1858" s="147" t="str">
        <f t="shared" si="2"/>
        <v/>
      </c>
      <c r="O1858" s="147" t="str">
        <f t="shared" si="21"/>
        <v/>
      </c>
      <c r="P1858" s="147" t="str">
        <f>IFERROR(__xludf.DUMMYFUNCTION("if(C1858="""","""",iferror(if(row()&lt;&gt;2,INDEX(arrayformula(filter($Q$2:$Q1857,$C$2:$C1857&lt;&gt;"""",row($C$2:$C1857)=max(if($C$2:$C1857=C1858,row($C$2:$C1857),0)))) ,1),0),0))"),"")</f>
        <v/>
      </c>
      <c r="Q1858" s="147" t="str">
        <f t="shared" si="22"/>
        <v/>
      </c>
      <c r="R1858" s="147" t="str">
        <f t="shared" si="23"/>
        <v/>
      </c>
      <c r="S1858" s="147" t="str">
        <f t="shared" si="24"/>
        <v/>
      </c>
      <c r="T1858" s="147" t="str">
        <f t="shared" si="7"/>
        <v/>
      </c>
      <c r="U1858" s="150" t="str">
        <f t="shared" si="8"/>
        <v/>
      </c>
      <c r="V1858" s="151" t="str">
        <f>IFERROR(VLOOKUP(C1858,Ativos!$A$1:$G2000,5,),)</f>
        <v/>
      </c>
    </row>
    <row r="1859" ht="21.0" customHeight="1">
      <c r="A1859" s="152"/>
      <c r="B1859" s="160"/>
      <c r="C1859" s="153"/>
      <c r="D1859" s="154"/>
      <c r="E1859" s="139"/>
      <c r="F1859" s="139"/>
      <c r="G1859" s="139"/>
      <c r="H1859" s="135"/>
      <c r="I1859" s="141"/>
      <c r="J1859" s="147" t="str">
        <f>IFERROR(__xludf.DUMMYFUNCTION("IF(ISBLANK(A1859),IFERROR(1/0),IF(COUNT(FILTER(F:F,A:A=A1859))&gt;1,TRUNC(N1859*F1859/SUM(FILTER(N:N,A:A=A1859)),3),F1859))"),"")</f>
        <v/>
      </c>
      <c r="K1859" s="147" t="str">
        <f>IFERROR(__xludf.DUMMYFUNCTION("IF(ISBLANK(A1859),IFERROR(1/0),IF(COUNT(FILTER(G:G,((A:A=A1859)*(B:B=""V""))))&gt;1,TRUNC(N1859*G1859/SUM(FILTER(N:N,((A:A=A1859)*(B:B=""V"")))),3),G1859))"),"")</f>
        <v/>
      </c>
      <c r="L1859" s="148" t="str">
        <f>IFERROR(__xludf.DUMMYFUNCTION("if($C1859="""","""",iferror(if(row()&lt;&gt;2,INDEX(arrayformula(filter($M$2:$M1858,$C$2:$C1858&lt;&gt;"""",row($C$2:$C1858)=max(if($C$2:$C1858=C1859,row($C$2:$C1858),0)))) ,1),0),0))"),"")</f>
        <v/>
      </c>
      <c r="M1859" s="148" t="str">
        <f t="shared" si="1"/>
        <v/>
      </c>
      <c r="N1859" s="147" t="str">
        <f t="shared" si="2"/>
        <v/>
      </c>
      <c r="O1859" s="147" t="str">
        <f t="shared" si="21"/>
        <v/>
      </c>
      <c r="P1859" s="147" t="str">
        <f>IFERROR(__xludf.DUMMYFUNCTION("if(C1859="""","""",iferror(if(row()&lt;&gt;2,INDEX(arrayformula(filter($Q$2:$Q1858,$C$2:$C1858&lt;&gt;"""",row($C$2:$C1858)=max(if($C$2:$C1858=C1859,row($C$2:$C1858),0)))) ,1),0),0))"),"")</f>
        <v/>
      </c>
      <c r="Q1859" s="147" t="str">
        <f t="shared" si="22"/>
        <v/>
      </c>
      <c r="R1859" s="147" t="str">
        <f t="shared" si="23"/>
        <v/>
      </c>
      <c r="S1859" s="147" t="str">
        <f t="shared" si="24"/>
        <v/>
      </c>
      <c r="T1859" s="147" t="str">
        <f t="shared" si="7"/>
        <v/>
      </c>
      <c r="U1859" s="150" t="str">
        <f t="shared" si="8"/>
        <v/>
      </c>
      <c r="V1859" s="151" t="str">
        <f>IFERROR(VLOOKUP(C1859,Ativos!$A$1:$G2000,5,),)</f>
        <v/>
      </c>
    </row>
    <row r="1860" ht="21.0" customHeight="1">
      <c r="A1860" s="152"/>
      <c r="B1860" s="160"/>
      <c r="C1860" s="153"/>
      <c r="D1860" s="154"/>
      <c r="E1860" s="139"/>
      <c r="F1860" s="139"/>
      <c r="G1860" s="139"/>
      <c r="H1860" s="135"/>
      <c r="I1860" s="141"/>
      <c r="J1860" s="147" t="str">
        <f>IFERROR(__xludf.DUMMYFUNCTION("IF(ISBLANK(A1860),IFERROR(1/0),IF(COUNT(FILTER(F:F,A:A=A1860))&gt;1,TRUNC(N1860*F1860/SUM(FILTER(N:N,A:A=A1860)),3),F1860))"),"")</f>
        <v/>
      </c>
      <c r="K1860" s="147" t="str">
        <f>IFERROR(__xludf.DUMMYFUNCTION("IF(ISBLANK(A1860),IFERROR(1/0),IF(COUNT(FILTER(G:G,((A:A=A1860)*(B:B=""V""))))&gt;1,TRUNC(N1860*G1860/SUM(FILTER(N:N,((A:A=A1860)*(B:B=""V"")))),3),G1860))"),"")</f>
        <v/>
      </c>
      <c r="L1860" s="148" t="str">
        <f>IFERROR(__xludf.DUMMYFUNCTION("if($C1860="""","""",iferror(if(row()&lt;&gt;2,INDEX(arrayformula(filter($M$2:$M1859,$C$2:$C1859&lt;&gt;"""",row($C$2:$C1859)=max(if($C$2:$C1859=C1860,row($C$2:$C1859),0)))) ,1),0),0))"),"")</f>
        <v/>
      </c>
      <c r="M1860" s="148" t="str">
        <f t="shared" si="1"/>
        <v/>
      </c>
      <c r="N1860" s="147" t="str">
        <f t="shared" si="2"/>
        <v/>
      </c>
      <c r="O1860" s="147" t="str">
        <f t="shared" si="21"/>
        <v/>
      </c>
      <c r="P1860" s="147" t="str">
        <f>IFERROR(__xludf.DUMMYFUNCTION("if(C1860="""","""",iferror(if(row()&lt;&gt;2,INDEX(arrayformula(filter($Q$2:$Q1859,$C$2:$C1859&lt;&gt;"""",row($C$2:$C1859)=max(if($C$2:$C1859=C1860,row($C$2:$C1859),0)))) ,1),0),0))"),"")</f>
        <v/>
      </c>
      <c r="Q1860" s="147" t="str">
        <f t="shared" si="22"/>
        <v/>
      </c>
      <c r="R1860" s="147" t="str">
        <f t="shared" si="23"/>
        <v/>
      </c>
      <c r="S1860" s="147" t="str">
        <f t="shared" si="24"/>
        <v/>
      </c>
      <c r="T1860" s="147" t="str">
        <f t="shared" si="7"/>
        <v/>
      </c>
      <c r="U1860" s="150" t="str">
        <f t="shared" si="8"/>
        <v/>
      </c>
      <c r="V1860" s="151" t="str">
        <f>IFERROR(VLOOKUP(C1860,Ativos!$A$1:$G2000,5,),)</f>
        <v/>
      </c>
    </row>
    <row r="1861" ht="21.0" customHeight="1">
      <c r="A1861" s="152"/>
      <c r="B1861" s="160"/>
      <c r="C1861" s="153"/>
      <c r="D1861" s="154"/>
      <c r="E1861" s="139"/>
      <c r="F1861" s="139"/>
      <c r="G1861" s="139"/>
      <c r="H1861" s="135"/>
      <c r="I1861" s="141"/>
      <c r="J1861" s="147" t="str">
        <f>IFERROR(__xludf.DUMMYFUNCTION("IF(ISBLANK(A1861),IFERROR(1/0),IF(COUNT(FILTER(F:F,A:A=A1861))&gt;1,TRUNC(N1861*F1861/SUM(FILTER(N:N,A:A=A1861)),3),F1861))"),"")</f>
        <v/>
      </c>
      <c r="K1861" s="147" t="str">
        <f>IFERROR(__xludf.DUMMYFUNCTION("IF(ISBLANK(A1861),IFERROR(1/0),IF(COUNT(FILTER(G:G,((A:A=A1861)*(B:B=""V""))))&gt;1,TRUNC(N1861*G1861/SUM(FILTER(N:N,((A:A=A1861)*(B:B=""V"")))),3),G1861))"),"")</f>
        <v/>
      </c>
      <c r="L1861" s="148" t="str">
        <f>IFERROR(__xludf.DUMMYFUNCTION("if($C1861="""","""",iferror(if(row()&lt;&gt;2,INDEX(arrayformula(filter($M$2:$M1860,$C$2:$C1860&lt;&gt;"""",row($C$2:$C1860)=max(if($C$2:$C1860=C1861,row($C$2:$C1860),0)))) ,1),0),0))"),"")</f>
        <v/>
      </c>
      <c r="M1861" s="148" t="str">
        <f t="shared" si="1"/>
        <v/>
      </c>
      <c r="N1861" s="147" t="str">
        <f t="shared" si="2"/>
        <v/>
      </c>
      <c r="O1861" s="147" t="str">
        <f t="shared" si="21"/>
        <v/>
      </c>
      <c r="P1861" s="147" t="str">
        <f>IFERROR(__xludf.DUMMYFUNCTION("if(C1861="""","""",iferror(if(row()&lt;&gt;2,INDEX(arrayformula(filter($Q$2:$Q1860,$C$2:$C1860&lt;&gt;"""",row($C$2:$C1860)=max(if($C$2:$C1860=C1861,row($C$2:$C1860),0)))) ,1),0),0))"),"")</f>
        <v/>
      </c>
      <c r="Q1861" s="147" t="str">
        <f t="shared" si="22"/>
        <v/>
      </c>
      <c r="R1861" s="147" t="str">
        <f t="shared" si="23"/>
        <v/>
      </c>
      <c r="S1861" s="147" t="str">
        <f t="shared" si="24"/>
        <v/>
      </c>
      <c r="T1861" s="147" t="str">
        <f t="shared" si="7"/>
        <v/>
      </c>
      <c r="U1861" s="150" t="str">
        <f t="shared" si="8"/>
        <v/>
      </c>
      <c r="V1861" s="151" t="str">
        <f>IFERROR(VLOOKUP(C1861,Ativos!$A$1:$G2000,5,),)</f>
        <v/>
      </c>
    </row>
    <row r="1862" ht="21.0" customHeight="1">
      <c r="A1862" s="152"/>
      <c r="B1862" s="160"/>
      <c r="C1862" s="153"/>
      <c r="D1862" s="154"/>
      <c r="E1862" s="139"/>
      <c r="F1862" s="139"/>
      <c r="G1862" s="139"/>
      <c r="H1862" s="135"/>
      <c r="I1862" s="141"/>
      <c r="J1862" s="147" t="str">
        <f>IFERROR(__xludf.DUMMYFUNCTION("IF(ISBLANK(A1862),IFERROR(1/0),IF(COUNT(FILTER(F:F,A:A=A1862))&gt;1,TRUNC(N1862*F1862/SUM(FILTER(N:N,A:A=A1862)),3),F1862))"),"")</f>
        <v/>
      </c>
      <c r="K1862" s="147" t="str">
        <f>IFERROR(__xludf.DUMMYFUNCTION("IF(ISBLANK(A1862),IFERROR(1/0),IF(COUNT(FILTER(G:G,((A:A=A1862)*(B:B=""V""))))&gt;1,TRUNC(N1862*G1862/SUM(FILTER(N:N,((A:A=A1862)*(B:B=""V"")))),3),G1862))"),"")</f>
        <v/>
      </c>
      <c r="L1862" s="148" t="str">
        <f>IFERROR(__xludf.DUMMYFUNCTION("if($C1862="""","""",iferror(if(row()&lt;&gt;2,INDEX(arrayformula(filter($M$2:$M1861,$C$2:$C1861&lt;&gt;"""",row($C$2:$C1861)=max(if($C$2:$C1861=C1862,row($C$2:$C1861),0)))) ,1),0),0))"),"")</f>
        <v/>
      </c>
      <c r="M1862" s="148" t="str">
        <f t="shared" si="1"/>
        <v/>
      </c>
      <c r="N1862" s="147" t="str">
        <f t="shared" si="2"/>
        <v/>
      </c>
      <c r="O1862" s="147" t="str">
        <f t="shared" si="21"/>
        <v/>
      </c>
      <c r="P1862" s="147" t="str">
        <f>IFERROR(__xludf.DUMMYFUNCTION("if(C1862="""","""",iferror(if(row()&lt;&gt;2,INDEX(arrayformula(filter($Q$2:$Q1861,$C$2:$C1861&lt;&gt;"""",row($C$2:$C1861)=max(if($C$2:$C1861=C1862,row($C$2:$C1861),0)))) ,1),0),0))"),"")</f>
        <v/>
      </c>
      <c r="Q1862" s="147" t="str">
        <f t="shared" si="22"/>
        <v/>
      </c>
      <c r="R1862" s="147" t="str">
        <f t="shared" si="23"/>
        <v/>
      </c>
      <c r="S1862" s="147" t="str">
        <f t="shared" si="24"/>
        <v/>
      </c>
      <c r="T1862" s="147" t="str">
        <f t="shared" si="7"/>
        <v/>
      </c>
      <c r="U1862" s="150" t="str">
        <f t="shared" si="8"/>
        <v/>
      </c>
      <c r="V1862" s="151" t="str">
        <f>IFERROR(VLOOKUP(C1862,Ativos!$A$1:$G2000,5,),)</f>
        <v/>
      </c>
    </row>
    <row r="1863" ht="21.0" customHeight="1">
      <c r="A1863" s="152"/>
      <c r="B1863" s="160"/>
      <c r="C1863" s="153"/>
      <c r="D1863" s="154"/>
      <c r="E1863" s="139"/>
      <c r="F1863" s="139"/>
      <c r="G1863" s="139"/>
      <c r="H1863" s="135"/>
      <c r="I1863" s="141"/>
      <c r="J1863" s="147" t="str">
        <f>IFERROR(__xludf.DUMMYFUNCTION("IF(ISBLANK(A1863),IFERROR(1/0),IF(COUNT(FILTER(F:F,A:A=A1863))&gt;1,TRUNC(N1863*F1863/SUM(FILTER(N:N,A:A=A1863)),3),F1863))"),"")</f>
        <v/>
      </c>
      <c r="K1863" s="147" t="str">
        <f>IFERROR(__xludf.DUMMYFUNCTION("IF(ISBLANK(A1863),IFERROR(1/0),IF(COUNT(FILTER(G:G,((A:A=A1863)*(B:B=""V""))))&gt;1,TRUNC(N1863*G1863/SUM(FILTER(N:N,((A:A=A1863)*(B:B=""V"")))),3),G1863))"),"")</f>
        <v/>
      </c>
      <c r="L1863" s="148" t="str">
        <f>IFERROR(__xludf.DUMMYFUNCTION("if($C1863="""","""",iferror(if(row()&lt;&gt;2,INDEX(arrayformula(filter($M$2:$M1862,$C$2:$C1862&lt;&gt;"""",row($C$2:$C1862)=max(if($C$2:$C1862=C1863,row($C$2:$C1862),0)))) ,1),0),0))"),"")</f>
        <v/>
      </c>
      <c r="M1863" s="148" t="str">
        <f t="shared" si="1"/>
        <v/>
      </c>
      <c r="N1863" s="147" t="str">
        <f t="shared" si="2"/>
        <v/>
      </c>
      <c r="O1863" s="147" t="str">
        <f t="shared" si="21"/>
        <v/>
      </c>
      <c r="P1863" s="147" t="str">
        <f>IFERROR(__xludf.DUMMYFUNCTION("if(C1863="""","""",iferror(if(row()&lt;&gt;2,INDEX(arrayformula(filter($Q$2:$Q1862,$C$2:$C1862&lt;&gt;"""",row($C$2:$C1862)=max(if($C$2:$C1862=C1863,row($C$2:$C1862),0)))) ,1),0),0))"),"")</f>
        <v/>
      </c>
      <c r="Q1863" s="147" t="str">
        <f t="shared" si="22"/>
        <v/>
      </c>
      <c r="R1863" s="147" t="str">
        <f t="shared" si="23"/>
        <v/>
      </c>
      <c r="S1863" s="147" t="str">
        <f t="shared" si="24"/>
        <v/>
      </c>
      <c r="T1863" s="147" t="str">
        <f t="shared" si="7"/>
        <v/>
      </c>
      <c r="U1863" s="150" t="str">
        <f t="shared" si="8"/>
        <v/>
      </c>
      <c r="V1863" s="151" t="str">
        <f>IFERROR(VLOOKUP(C1863,Ativos!$A$1:$G2000,5,),)</f>
        <v/>
      </c>
    </row>
    <row r="1864" ht="21.0" customHeight="1">
      <c r="A1864" s="152"/>
      <c r="B1864" s="160"/>
      <c r="C1864" s="153"/>
      <c r="D1864" s="154"/>
      <c r="E1864" s="139"/>
      <c r="F1864" s="139"/>
      <c r="G1864" s="139"/>
      <c r="H1864" s="135"/>
      <c r="I1864" s="141"/>
      <c r="J1864" s="147" t="str">
        <f>IFERROR(__xludf.DUMMYFUNCTION("IF(ISBLANK(A1864),IFERROR(1/0),IF(COUNT(FILTER(F:F,A:A=A1864))&gt;1,TRUNC(N1864*F1864/SUM(FILTER(N:N,A:A=A1864)),3),F1864))"),"")</f>
        <v/>
      </c>
      <c r="K1864" s="147" t="str">
        <f>IFERROR(__xludf.DUMMYFUNCTION("IF(ISBLANK(A1864),IFERROR(1/0),IF(COUNT(FILTER(G:G,((A:A=A1864)*(B:B=""V""))))&gt;1,TRUNC(N1864*G1864/SUM(FILTER(N:N,((A:A=A1864)*(B:B=""V"")))),3),G1864))"),"")</f>
        <v/>
      </c>
      <c r="L1864" s="148" t="str">
        <f>IFERROR(__xludf.DUMMYFUNCTION("if($C1864="""","""",iferror(if(row()&lt;&gt;2,INDEX(arrayformula(filter($M$2:$M1863,$C$2:$C1863&lt;&gt;"""",row($C$2:$C1863)=max(if($C$2:$C1863=C1864,row($C$2:$C1863),0)))) ,1),0),0))"),"")</f>
        <v/>
      </c>
      <c r="M1864" s="148" t="str">
        <f t="shared" si="1"/>
        <v/>
      </c>
      <c r="N1864" s="147" t="str">
        <f t="shared" si="2"/>
        <v/>
      </c>
      <c r="O1864" s="147" t="str">
        <f t="shared" si="21"/>
        <v/>
      </c>
      <c r="P1864" s="147" t="str">
        <f>IFERROR(__xludf.DUMMYFUNCTION("if(C1864="""","""",iferror(if(row()&lt;&gt;2,INDEX(arrayformula(filter($Q$2:$Q1863,$C$2:$C1863&lt;&gt;"""",row($C$2:$C1863)=max(if($C$2:$C1863=C1864,row($C$2:$C1863),0)))) ,1),0),0))"),"")</f>
        <v/>
      </c>
      <c r="Q1864" s="147" t="str">
        <f t="shared" si="22"/>
        <v/>
      </c>
      <c r="R1864" s="147" t="str">
        <f t="shared" si="23"/>
        <v/>
      </c>
      <c r="S1864" s="147" t="str">
        <f t="shared" si="24"/>
        <v/>
      </c>
      <c r="T1864" s="147" t="str">
        <f t="shared" si="7"/>
        <v/>
      </c>
      <c r="U1864" s="150" t="str">
        <f t="shared" si="8"/>
        <v/>
      </c>
      <c r="V1864" s="151" t="str">
        <f>IFERROR(VLOOKUP(C1864,Ativos!$A$1:$G2000,5,),)</f>
        <v/>
      </c>
    </row>
    <row r="1865" ht="21.0" customHeight="1">
      <c r="A1865" s="152"/>
      <c r="B1865" s="160"/>
      <c r="C1865" s="153"/>
      <c r="D1865" s="154"/>
      <c r="E1865" s="139"/>
      <c r="F1865" s="139"/>
      <c r="G1865" s="139"/>
      <c r="H1865" s="135"/>
      <c r="I1865" s="141"/>
      <c r="J1865" s="147" t="str">
        <f>IFERROR(__xludf.DUMMYFUNCTION("IF(ISBLANK(A1865),IFERROR(1/0),IF(COUNT(FILTER(F:F,A:A=A1865))&gt;1,TRUNC(N1865*F1865/SUM(FILTER(N:N,A:A=A1865)),3),F1865))"),"")</f>
        <v/>
      </c>
      <c r="K1865" s="147" t="str">
        <f>IFERROR(__xludf.DUMMYFUNCTION("IF(ISBLANK(A1865),IFERROR(1/0),IF(COUNT(FILTER(G:G,((A:A=A1865)*(B:B=""V""))))&gt;1,TRUNC(N1865*G1865/SUM(FILTER(N:N,((A:A=A1865)*(B:B=""V"")))),3),G1865))"),"")</f>
        <v/>
      </c>
      <c r="L1865" s="148" t="str">
        <f>IFERROR(__xludf.DUMMYFUNCTION("if($C1865="""","""",iferror(if(row()&lt;&gt;2,INDEX(arrayformula(filter($M$2:$M1864,$C$2:$C1864&lt;&gt;"""",row($C$2:$C1864)=max(if($C$2:$C1864=C1865,row($C$2:$C1864),0)))) ,1),0),0))"),"")</f>
        <v/>
      </c>
      <c r="M1865" s="148" t="str">
        <f t="shared" si="1"/>
        <v/>
      </c>
      <c r="N1865" s="147" t="str">
        <f t="shared" si="2"/>
        <v/>
      </c>
      <c r="O1865" s="147" t="str">
        <f t="shared" si="21"/>
        <v/>
      </c>
      <c r="P1865" s="147" t="str">
        <f>IFERROR(__xludf.DUMMYFUNCTION("if(C1865="""","""",iferror(if(row()&lt;&gt;2,INDEX(arrayformula(filter($Q$2:$Q1864,$C$2:$C1864&lt;&gt;"""",row($C$2:$C1864)=max(if($C$2:$C1864=C1865,row($C$2:$C1864),0)))) ,1),0),0))"),"")</f>
        <v/>
      </c>
      <c r="Q1865" s="147" t="str">
        <f t="shared" si="22"/>
        <v/>
      </c>
      <c r="R1865" s="147" t="str">
        <f t="shared" si="23"/>
        <v/>
      </c>
      <c r="S1865" s="147" t="str">
        <f t="shared" si="24"/>
        <v/>
      </c>
      <c r="T1865" s="147" t="str">
        <f t="shared" si="7"/>
        <v/>
      </c>
      <c r="U1865" s="150" t="str">
        <f t="shared" si="8"/>
        <v/>
      </c>
      <c r="V1865" s="151" t="str">
        <f>IFERROR(VLOOKUP(C1865,Ativos!$A$1:$G2000,5,),)</f>
        <v/>
      </c>
    </row>
    <row r="1866" ht="21.0" customHeight="1">
      <c r="A1866" s="152"/>
      <c r="B1866" s="160"/>
      <c r="C1866" s="153"/>
      <c r="D1866" s="154"/>
      <c r="E1866" s="139"/>
      <c r="F1866" s="139"/>
      <c r="G1866" s="139"/>
      <c r="H1866" s="135"/>
      <c r="I1866" s="141"/>
      <c r="J1866" s="147" t="str">
        <f>IFERROR(__xludf.DUMMYFUNCTION("IF(ISBLANK(A1866),IFERROR(1/0),IF(COUNT(FILTER(F:F,A:A=A1866))&gt;1,TRUNC(N1866*F1866/SUM(FILTER(N:N,A:A=A1866)),3),F1866))"),"")</f>
        <v/>
      </c>
      <c r="K1866" s="147" t="str">
        <f>IFERROR(__xludf.DUMMYFUNCTION("IF(ISBLANK(A1866),IFERROR(1/0),IF(COUNT(FILTER(G:G,((A:A=A1866)*(B:B=""V""))))&gt;1,TRUNC(N1866*G1866/SUM(FILTER(N:N,((A:A=A1866)*(B:B=""V"")))),3),G1866))"),"")</f>
        <v/>
      </c>
      <c r="L1866" s="148" t="str">
        <f>IFERROR(__xludf.DUMMYFUNCTION("if($C1866="""","""",iferror(if(row()&lt;&gt;2,INDEX(arrayformula(filter($M$2:$M1865,$C$2:$C1865&lt;&gt;"""",row($C$2:$C1865)=max(if($C$2:$C1865=C1866,row($C$2:$C1865),0)))) ,1),0),0))"),"")</f>
        <v/>
      </c>
      <c r="M1866" s="148" t="str">
        <f t="shared" si="1"/>
        <v/>
      </c>
      <c r="N1866" s="147" t="str">
        <f t="shared" si="2"/>
        <v/>
      </c>
      <c r="O1866" s="147" t="str">
        <f t="shared" si="21"/>
        <v/>
      </c>
      <c r="P1866" s="147" t="str">
        <f>IFERROR(__xludf.DUMMYFUNCTION("if(C1866="""","""",iferror(if(row()&lt;&gt;2,INDEX(arrayformula(filter($Q$2:$Q1865,$C$2:$C1865&lt;&gt;"""",row($C$2:$C1865)=max(if($C$2:$C1865=C1866,row($C$2:$C1865),0)))) ,1),0),0))"),"")</f>
        <v/>
      </c>
      <c r="Q1866" s="147" t="str">
        <f t="shared" si="22"/>
        <v/>
      </c>
      <c r="R1866" s="147" t="str">
        <f t="shared" si="23"/>
        <v/>
      </c>
      <c r="S1866" s="147" t="str">
        <f t="shared" si="24"/>
        <v/>
      </c>
      <c r="T1866" s="147" t="str">
        <f t="shared" si="7"/>
        <v/>
      </c>
      <c r="U1866" s="150" t="str">
        <f t="shared" si="8"/>
        <v/>
      </c>
      <c r="V1866" s="151" t="str">
        <f>IFERROR(VLOOKUP(C1866,Ativos!$A$1:$G2000,5,),)</f>
        <v/>
      </c>
    </row>
    <row r="1867" ht="21.0" customHeight="1">
      <c r="A1867" s="152"/>
      <c r="B1867" s="160"/>
      <c r="C1867" s="153"/>
      <c r="D1867" s="154"/>
      <c r="E1867" s="139"/>
      <c r="F1867" s="139"/>
      <c r="G1867" s="139"/>
      <c r="H1867" s="135"/>
      <c r="I1867" s="141"/>
      <c r="J1867" s="147" t="str">
        <f>IFERROR(__xludf.DUMMYFUNCTION("IF(ISBLANK(A1867),IFERROR(1/0),IF(COUNT(FILTER(F:F,A:A=A1867))&gt;1,TRUNC(N1867*F1867/SUM(FILTER(N:N,A:A=A1867)),3),F1867))"),"")</f>
        <v/>
      </c>
      <c r="K1867" s="147" t="str">
        <f>IFERROR(__xludf.DUMMYFUNCTION("IF(ISBLANK(A1867),IFERROR(1/0),IF(COUNT(FILTER(G:G,((A:A=A1867)*(B:B=""V""))))&gt;1,TRUNC(N1867*G1867/SUM(FILTER(N:N,((A:A=A1867)*(B:B=""V"")))),3),G1867))"),"")</f>
        <v/>
      </c>
      <c r="L1867" s="148" t="str">
        <f>IFERROR(__xludf.DUMMYFUNCTION("if($C1867="""","""",iferror(if(row()&lt;&gt;2,INDEX(arrayformula(filter($M$2:$M1866,$C$2:$C1866&lt;&gt;"""",row($C$2:$C1866)=max(if($C$2:$C1866=C1867,row($C$2:$C1866),0)))) ,1),0),0))"),"")</f>
        <v/>
      </c>
      <c r="M1867" s="148" t="str">
        <f t="shared" si="1"/>
        <v/>
      </c>
      <c r="N1867" s="147" t="str">
        <f t="shared" si="2"/>
        <v/>
      </c>
      <c r="O1867" s="147" t="str">
        <f t="shared" si="21"/>
        <v/>
      </c>
      <c r="P1867" s="147" t="str">
        <f>IFERROR(__xludf.DUMMYFUNCTION("if(C1867="""","""",iferror(if(row()&lt;&gt;2,INDEX(arrayformula(filter($Q$2:$Q1866,$C$2:$C1866&lt;&gt;"""",row($C$2:$C1866)=max(if($C$2:$C1866=C1867,row($C$2:$C1866),0)))) ,1),0),0))"),"")</f>
        <v/>
      </c>
      <c r="Q1867" s="147" t="str">
        <f t="shared" si="22"/>
        <v/>
      </c>
      <c r="R1867" s="147" t="str">
        <f t="shared" si="23"/>
        <v/>
      </c>
      <c r="S1867" s="147" t="str">
        <f t="shared" si="24"/>
        <v/>
      </c>
      <c r="T1867" s="147" t="str">
        <f t="shared" si="7"/>
        <v/>
      </c>
      <c r="U1867" s="150" t="str">
        <f t="shared" si="8"/>
        <v/>
      </c>
      <c r="V1867" s="151" t="str">
        <f>IFERROR(VLOOKUP(C1867,Ativos!$A$1:$G2000,5,),)</f>
        <v/>
      </c>
    </row>
    <row r="1868" ht="21.0" customHeight="1">
      <c r="A1868" s="152"/>
      <c r="B1868" s="160"/>
      <c r="C1868" s="153"/>
      <c r="D1868" s="154"/>
      <c r="E1868" s="139"/>
      <c r="F1868" s="139"/>
      <c r="G1868" s="139"/>
      <c r="H1868" s="135"/>
      <c r="I1868" s="141"/>
      <c r="J1868" s="147" t="str">
        <f>IFERROR(__xludf.DUMMYFUNCTION("IF(ISBLANK(A1868),IFERROR(1/0),IF(COUNT(FILTER(F:F,A:A=A1868))&gt;1,TRUNC(N1868*F1868/SUM(FILTER(N:N,A:A=A1868)),3),F1868))"),"")</f>
        <v/>
      </c>
      <c r="K1868" s="147" t="str">
        <f>IFERROR(__xludf.DUMMYFUNCTION("IF(ISBLANK(A1868),IFERROR(1/0),IF(COUNT(FILTER(G:G,((A:A=A1868)*(B:B=""V""))))&gt;1,TRUNC(N1868*G1868/SUM(FILTER(N:N,((A:A=A1868)*(B:B=""V"")))),3),G1868))"),"")</f>
        <v/>
      </c>
      <c r="L1868" s="148" t="str">
        <f>IFERROR(__xludf.DUMMYFUNCTION("if($C1868="""","""",iferror(if(row()&lt;&gt;2,INDEX(arrayformula(filter($M$2:$M1867,$C$2:$C1867&lt;&gt;"""",row($C$2:$C1867)=max(if($C$2:$C1867=C1868,row($C$2:$C1867),0)))) ,1),0),0))"),"")</f>
        <v/>
      </c>
      <c r="M1868" s="148" t="str">
        <f t="shared" si="1"/>
        <v/>
      </c>
      <c r="N1868" s="147" t="str">
        <f t="shared" si="2"/>
        <v/>
      </c>
      <c r="O1868" s="147" t="str">
        <f t="shared" si="21"/>
        <v/>
      </c>
      <c r="P1868" s="147" t="str">
        <f>IFERROR(__xludf.DUMMYFUNCTION("if(C1868="""","""",iferror(if(row()&lt;&gt;2,INDEX(arrayformula(filter($Q$2:$Q1867,$C$2:$C1867&lt;&gt;"""",row($C$2:$C1867)=max(if($C$2:$C1867=C1868,row($C$2:$C1867),0)))) ,1),0),0))"),"")</f>
        <v/>
      </c>
      <c r="Q1868" s="147" t="str">
        <f t="shared" si="22"/>
        <v/>
      </c>
      <c r="R1868" s="147" t="str">
        <f t="shared" si="23"/>
        <v/>
      </c>
      <c r="S1868" s="147" t="str">
        <f t="shared" si="24"/>
        <v/>
      </c>
      <c r="T1868" s="147" t="str">
        <f t="shared" si="7"/>
        <v/>
      </c>
      <c r="U1868" s="150" t="str">
        <f t="shared" si="8"/>
        <v/>
      </c>
      <c r="V1868" s="151" t="str">
        <f>IFERROR(VLOOKUP(C1868,Ativos!$A$1:$G2000,5,),)</f>
        <v/>
      </c>
    </row>
    <row r="1869" ht="21.0" customHeight="1">
      <c r="A1869" s="152"/>
      <c r="B1869" s="160"/>
      <c r="C1869" s="153"/>
      <c r="D1869" s="154"/>
      <c r="E1869" s="139"/>
      <c r="F1869" s="139"/>
      <c r="G1869" s="139"/>
      <c r="H1869" s="135"/>
      <c r="I1869" s="141"/>
      <c r="J1869" s="147" t="str">
        <f>IFERROR(__xludf.DUMMYFUNCTION("IF(ISBLANK(A1869),IFERROR(1/0),IF(COUNT(FILTER(F:F,A:A=A1869))&gt;1,TRUNC(N1869*F1869/SUM(FILTER(N:N,A:A=A1869)),3),F1869))"),"")</f>
        <v/>
      </c>
      <c r="K1869" s="147" t="str">
        <f>IFERROR(__xludf.DUMMYFUNCTION("IF(ISBLANK(A1869),IFERROR(1/0),IF(COUNT(FILTER(G:G,((A:A=A1869)*(B:B=""V""))))&gt;1,TRUNC(N1869*G1869/SUM(FILTER(N:N,((A:A=A1869)*(B:B=""V"")))),3),G1869))"),"")</f>
        <v/>
      </c>
      <c r="L1869" s="148" t="str">
        <f>IFERROR(__xludf.DUMMYFUNCTION("if($C1869="""","""",iferror(if(row()&lt;&gt;2,INDEX(arrayformula(filter($M$2:$M1868,$C$2:$C1868&lt;&gt;"""",row($C$2:$C1868)=max(if($C$2:$C1868=C1869,row($C$2:$C1868),0)))) ,1),0),0))"),"")</f>
        <v/>
      </c>
      <c r="M1869" s="148" t="str">
        <f t="shared" si="1"/>
        <v/>
      </c>
      <c r="N1869" s="147" t="str">
        <f t="shared" si="2"/>
        <v/>
      </c>
      <c r="O1869" s="147" t="str">
        <f t="shared" si="21"/>
        <v/>
      </c>
      <c r="P1869" s="147" t="str">
        <f>IFERROR(__xludf.DUMMYFUNCTION("if(C1869="""","""",iferror(if(row()&lt;&gt;2,INDEX(arrayformula(filter($Q$2:$Q1868,$C$2:$C1868&lt;&gt;"""",row($C$2:$C1868)=max(if($C$2:$C1868=C1869,row($C$2:$C1868),0)))) ,1),0),0))"),"")</f>
        <v/>
      </c>
      <c r="Q1869" s="147" t="str">
        <f t="shared" si="22"/>
        <v/>
      </c>
      <c r="R1869" s="147" t="str">
        <f t="shared" si="23"/>
        <v/>
      </c>
      <c r="S1869" s="147" t="str">
        <f t="shared" si="24"/>
        <v/>
      </c>
      <c r="T1869" s="147" t="str">
        <f t="shared" si="7"/>
        <v/>
      </c>
      <c r="U1869" s="150" t="str">
        <f t="shared" si="8"/>
        <v/>
      </c>
      <c r="V1869" s="151" t="str">
        <f>IFERROR(VLOOKUP(C1869,Ativos!$A$1:$G2000,5,),)</f>
        <v/>
      </c>
    </row>
    <row r="1870" ht="21.0" customHeight="1">
      <c r="A1870" s="152"/>
      <c r="B1870" s="160"/>
      <c r="C1870" s="153"/>
      <c r="D1870" s="154"/>
      <c r="E1870" s="139"/>
      <c r="F1870" s="139"/>
      <c r="G1870" s="139"/>
      <c r="H1870" s="135"/>
      <c r="I1870" s="141"/>
      <c r="J1870" s="147" t="str">
        <f>IFERROR(__xludf.DUMMYFUNCTION("IF(ISBLANK(A1870),IFERROR(1/0),IF(COUNT(FILTER(F:F,A:A=A1870))&gt;1,TRUNC(N1870*F1870/SUM(FILTER(N:N,A:A=A1870)),3),F1870))"),"")</f>
        <v/>
      </c>
      <c r="K1870" s="147" t="str">
        <f>IFERROR(__xludf.DUMMYFUNCTION("IF(ISBLANK(A1870),IFERROR(1/0),IF(COUNT(FILTER(G:G,((A:A=A1870)*(B:B=""V""))))&gt;1,TRUNC(N1870*G1870/SUM(FILTER(N:N,((A:A=A1870)*(B:B=""V"")))),3),G1870))"),"")</f>
        <v/>
      </c>
      <c r="L1870" s="148" t="str">
        <f>IFERROR(__xludf.DUMMYFUNCTION("if($C1870="""","""",iferror(if(row()&lt;&gt;2,INDEX(arrayformula(filter($M$2:$M1869,$C$2:$C1869&lt;&gt;"""",row($C$2:$C1869)=max(if($C$2:$C1869=C1870,row($C$2:$C1869),0)))) ,1),0),0))"),"")</f>
        <v/>
      </c>
      <c r="M1870" s="148" t="str">
        <f t="shared" si="1"/>
        <v/>
      </c>
      <c r="N1870" s="147" t="str">
        <f t="shared" si="2"/>
        <v/>
      </c>
      <c r="O1870" s="147" t="str">
        <f t="shared" si="21"/>
        <v/>
      </c>
      <c r="P1870" s="147" t="str">
        <f>IFERROR(__xludf.DUMMYFUNCTION("if(C1870="""","""",iferror(if(row()&lt;&gt;2,INDEX(arrayformula(filter($Q$2:$Q1869,$C$2:$C1869&lt;&gt;"""",row($C$2:$C1869)=max(if($C$2:$C1869=C1870,row($C$2:$C1869),0)))) ,1),0),0))"),"")</f>
        <v/>
      </c>
      <c r="Q1870" s="147" t="str">
        <f t="shared" si="22"/>
        <v/>
      </c>
      <c r="R1870" s="147" t="str">
        <f t="shared" si="23"/>
        <v/>
      </c>
      <c r="S1870" s="147" t="str">
        <f t="shared" si="24"/>
        <v/>
      </c>
      <c r="T1870" s="147" t="str">
        <f t="shared" si="7"/>
        <v/>
      </c>
      <c r="U1870" s="150" t="str">
        <f t="shared" si="8"/>
        <v/>
      </c>
      <c r="V1870" s="151" t="str">
        <f>IFERROR(VLOOKUP(C1870,Ativos!$A$1:$G2000,5,),)</f>
        <v/>
      </c>
    </row>
    <row r="1871" ht="21.0" customHeight="1">
      <c r="A1871" s="152"/>
      <c r="B1871" s="160"/>
      <c r="C1871" s="153"/>
      <c r="D1871" s="154"/>
      <c r="E1871" s="139"/>
      <c r="F1871" s="139"/>
      <c r="G1871" s="139"/>
      <c r="H1871" s="135"/>
      <c r="I1871" s="141"/>
      <c r="J1871" s="147" t="str">
        <f>IFERROR(__xludf.DUMMYFUNCTION("IF(ISBLANK(A1871),IFERROR(1/0),IF(COUNT(FILTER(F:F,A:A=A1871))&gt;1,TRUNC(N1871*F1871/SUM(FILTER(N:N,A:A=A1871)),3),F1871))"),"")</f>
        <v/>
      </c>
      <c r="K1871" s="147" t="str">
        <f>IFERROR(__xludf.DUMMYFUNCTION("IF(ISBLANK(A1871),IFERROR(1/0),IF(COUNT(FILTER(G:G,((A:A=A1871)*(B:B=""V""))))&gt;1,TRUNC(N1871*G1871/SUM(FILTER(N:N,((A:A=A1871)*(B:B=""V"")))),3),G1871))"),"")</f>
        <v/>
      </c>
      <c r="L1871" s="148" t="str">
        <f>IFERROR(__xludf.DUMMYFUNCTION("if($C1871="""","""",iferror(if(row()&lt;&gt;2,INDEX(arrayformula(filter($M$2:$M1870,$C$2:$C1870&lt;&gt;"""",row($C$2:$C1870)=max(if($C$2:$C1870=C1871,row($C$2:$C1870),0)))) ,1),0),0))"),"")</f>
        <v/>
      </c>
      <c r="M1871" s="148" t="str">
        <f t="shared" si="1"/>
        <v/>
      </c>
      <c r="N1871" s="147" t="str">
        <f t="shared" si="2"/>
        <v/>
      </c>
      <c r="O1871" s="147" t="str">
        <f t="shared" si="21"/>
        <v/>
      </c>
      <c r="P1871" s="147" t="str">
        <f>IFERROR(__xludf.DUMMYFUNCTION("if(C1871="""","""",iferror(if(row()&lt;&gt;2,INDEX(arrayformula(filter($Q$2:$Q1870,$C$2:$C1870&lt;&gt;"""",row($C$2:$C1870)=max(if($C$2:$C1870=C1871,row($C$2:$C1870),0)))) ,1),0),0))"),"")</f>
        <v/>
      </c>
      <c r="Q1871" s="147" t="str">
        <f t="shared" si="22"/>
        <v/>
      </c>
      <c r="R1871" s="147" t="str">
        <f t="shared" si="23"/>
        <v/>
      </c>
      <c r="S1871" s="147" t="str">
        <f t="shared" si="24"/>
        <v/>
      </c>
      <c r="T1871" s="147" t="str">
        <f t="shared" si="7"/>
        <v/>
      </c>
      <c r="U1871" s="150" t="str">
        <f t="shared" si="8"/>
        <v/>
      </c>
      <c r="V1871" s="151" t="str">
        <f>IFERROR(VLOOKUP(C1871,Ativos!$A$1:$G2000,5,),)</f>
        <v/>
      </c>
    </row>
    <row r="1872" ht="21.0" customHeight="1">
      <c r="A1872" s="152"/>
      <c r="B1872" s="160"/>
      <c r="C1872" s="153"/>
      <c r="D1872" s="154"/>
      <c r="E1872" s="139"/>
      <c r="F1872" s="139"/>
      <c r="G1872" s="139"/>
      <c r="H1872" s="135"/>
      <c r="I1872" s="141"/>
      <c r="J1872" s="147" t="str">
        <f>IFERROR(__xludf.DUMMYFUNCTION("IF(ISBLANK(A1872),IFERROR(1/0),IF(COUNT(FILTER(F:F,A:A=A1872))&gt;1,TRUNC(N1872*F1872/SUM(FILTER(N:N,A:A=A1872)),3),F1872))"),"")</f>
        <v/>
      </c>
      <c r="K1872" s="147" t="str">
        <f>IFERROR(__xludf.DUMMYFUNCTION("IF(ISBLANK(A1872),IFERROR(1/0),IF(COUNT(FILTER(G:G,((A:A=A1872)*(B:B=""V""))))&gt;1,TRUNC(N1872*G1872/SUM(FILTER(N:N,((A:A=A1872)*(B:B=""V"")))),3),G1872))"),"")</f>
        <v/>
      </c>
      <c r="L1872" s="148" t="str">
        <f>IFERROR(__xludf.DUMMYFUNCTION("if($C1872="""","""",iferror(if(row()&lt;&gt;2,INDEX(arrayformula(filter($M$2:$M1871,$C$2:$C1871&lt;&gt;"""",row($C$2:$C1871)=max(if($C$2:$C1871=C1872,row($C$2:$C1871),0)))) ,1),0),0))"),"")</f>
        <v/>
      </c>
      <c r="M1872" s="148" t="str">
        <f t="shared" si="1"/>
        <v/>
      </c>
      <c r="N1872" s="147" t="str">
        <f t="shared" si="2"/>
        <v/>
      </c>
      <c r="O1872" s="147" t="str">
        <f t="shared" si="21"/>
        <v/>
      </c>
      <c r="P1872" s="147" t="str">
        <f>IFERROR(__xludf.DUMMYFUNCTION("if(C1872="""","""",iferror(if(row()&lt;&gt;2,INDEX(arrayformula(filter($Q$2:$Q1871,$C$2:$C1871&lt;&gt;"""",row($C$2:$C1871)=max(if($C$2:$C1871=C1872,row($C$2:$C1871),0)))) ,1),0),0))"),"")</f>
        <v/>
      </c>
      <c r="Q1872" s="147" t="str">
        <f t="shared" si="22"/>
        <v/>
      </c>
      <c r="R1872" s="147" t="str">
        <f t="shared" si="23"/>
        <v/>
      </c>
      <c r="S1872" s="147" t="str">
        <f t="shared" si="24"/>
        <v/>
      </c>
      <c r="T1872" s="147" t="str">
        <f t="shared" si="7"/>
        <v/>
      </c>
      <c r="U1872" s="150" t="str">
        <f t="shared" si="8"/>
        <v/>
      </c>
      <c r="V1872" s="151" t="str">
        <f>IFERROR(VLOOKUP(C1872,Ativos!$A$1:$G2000,5,),)</f>
        <v/>
      </c>
    </row>
    <row r="1873" ht="21.0" customHeight="1">
      <c r="A1873" s="152"/>
      <c r="B1873" s="160"/>
      <c r="C1873" s="153"/>
      <c r="D1873" s="154"/>
      <c r="E1873" s="139"/>
      <c r="F1873" s="139"/>
      <c r="G1873" s="139"/>
      <c r="H1873" s="135"/>
      <c r="I1873" s="141"/>
      <c r="J1873" s="147" t="str">
        <f>IFERROR(__xludf.DUMMYFUNCTION("IF(ISBLANK(A1873),IFERROR(1/0),IF(COUNT(FILTER(F:F,A:A=A1873))&gt;1,TRUNC(N1873*F1873/SUM(FILTER(N:N,A:A=A1873)),3),F1873))"),"")</f>
        <v/>
      </c>
      <c r="K1873" s="147" t="str">
        <f>IFERROR(__xludf.DUMMYFUNCTION("IF(ISBLANK(A1873),IFERROR(1/0),IF(COUNT(FILTER(G:G,((A:A=A1873)*(B:B=""V""))))&gt;1,TRUNC(N1873*G1873/SUM(FILTER(N:N,((A:A=A1873)*(B:B=""V"")))),3),G1873))"),"")</f>
        <v/>
      </c>
      <c r="L1873" s="148" t="str">
        <f>IFERROR(__xludf.DUMMYFUNCTION("if($C1873="""","""",iferror(if(row()&lt;&gt;2,INDEX(arrayformula(filter($M$2:$M1872,$C$2:$C1872&lt;&gt;"""",row($C$2:$C1872)=max(if($C$2:$C1872=C1873,row($C$2:$C1872),0)))) ,1),0),0))"),"")</f>
        <v/>
      </c>
      <c r="M1873" s="148" t="str">
        <f t="shared" si="1"/>
        <v/>
      </c>
      <c r="N1873" s="147" t="str">
        <f t="shared" si="2"/>
        <v/>
      </c>
      <c r="O1873" s="147" t="str">
        <f t="shared" si="21"/>
        <v/>
      </c>
      <c r="P1873" s="147" t="str">
        <f>IFERROR(__xludf.DUMMYFUNCTION("if(C1873="""","""",iferror(if(row()&lt;&gt;2,INDEX(arrayformula(filter($Q$2:$Q1872,$C$2:$C1872&lt;&gt;"""",row($C$2:$C1872)=max(if($C$2:$C1872=C1873,row($C$2:$C1872),0)))) ,1),0),0))"),"")</f>
        <v/>
      </c>
      <c r="Q1873" s="147" t="str">
        <f t="shared" si="22"/>
        <v/>
      </c>
      <c r="R1873" s="147" t="str">
        <f t="shared" si="23"/>
        <v/>
      </c>
      <c r="S1873" s="147" t="str">
        <f t="shared" si="24"/>
        <v/>
      </c>
      <c r="T1873" s="147" t="str">
        <f t="shared" si="7"/>
        <v/>
      </c>
      <c r="U1873" s="150" t="str">
        <f t="shared" si="8"/>
        <v/>
      </c>
      <c r="V1873" s="151" t="str">
        <f>IFERROR(VLOOKUP(C1873,Ativos!$A$1:$G2000,5,),)</f>
        <v/>
      </c>
    </row>
    <row r="1874" ht="21.0" customHeight="1">
      <c r="A1874" s="152"/>
      <c r="B1874" s="160"/>
      <c r="C1874" s="153"/>
      <c r="D1874" s="154"/>
      <c r="E1874" s="139"/>
      <c r="F1874" s="139"/>
      <c r="G1874" s="139"/>
      <c r="H1874" s="135"/>
      <c r="I1874" s="141"/>
      <c r="J1874" s="147" t="str">
        <f>IFERROR(__xludf.DUMMYFUNCTION("IF(ISBLANK(A1874),IFERROR(1/0),IF(COUNT(FILTER(F:F,A:A=A1874))&gt;1,TRUNC(N1874*F1874/SUM(FILTER(N:N,A:A=A1874)),3),F1874))"),"")</f>
        <v/>
      </c>
      <c r="K1874" s="147" t="str">
        <f>IFERROR(__xludf.DUMMYFUNCTION("IF(ISBLANK(A1874),IFERROR(1/0),IF(COUNT(FILTER(G:G,((A:A=A1874)*(B:B=""V""))))&gt;1,TRUNC(N1874*G1874/SUM(FILTER(N:N,((A:A=A1874)*(B:B=""V"")))),3),G1874))"),"")</f>
        <v/>
      </c>
      <c r="L1874" s="148" t="str">
        <f>IFERROR(__xludf.DUMMYFUNCTION("if($C1874="""","""",iferror(if(row()&lt;&gt;2,INDEX(arrayformula(filter($M$2:$M1873,$C$2:$C1873&lt;&gt;"""",row($C$2:$C1873)=max(if($C$2:$C1873=C1874,row($C$2:$C1873),0)))) ,1),0),0))"),"")</f>
        <v/>
      </c>
      <c r="M1874" s="148" t="str">
        <f t="shared" si="1"/>
        <v/>
      </c>
      <c r="N1874" s="147" t="str">
        <f t="shared" si="2"/>
        <v/>
      </c>
      <c r="O1874" s="147" t="str">
        <f t="shared" si="21"/>
        <v/>
      </c>
      <c r="P1874" s="147" t="str">
        <f>IFERROR(__xludf.DUMMYFUNCTION("if(C1874="""","""",iferror(if(row()&lt;&gt;2,INDEX(arrayformula(filter($Q$2:$Q1873,$C$2:$C1873&lt;&gt;"""",row($C$2:$C1873)=max(if($C$2:$C1873=C1874,row($C$2:$C1873),0)))) ,1),0),0))"),"")</f>
        <v/>
      </c>
      <c r="Q1874" s="147" t="str">
        <f t="shared" si="22"/>
        <v/>
      </c>
      <c r="R1874" s="147" t="str">
        <f t="shared" si="23"/>
        <v/>
      </c>
      <c r="S1874" s="147" t="str">
        <f t="shared" si="24"/>
        <v/>
      </c>
      <c r="T1874" s="147" t="str">
        <f t="shared" si="7"/>
        <v/>
      </c>
      <c r="U1874" s="150" t="str">
        <f t="shared" si="8"/>
        <v/>
      </c>
      <c r="V1874" s="151" t="str">
        <f>IFERROR(VLOOKUP(C1874,Ativos!$A$1:$G2000,5,),)</f>
        <v/>
      </c>
    </row>
    <row r="1875" ht="21.0" customHeight="1">
      <c r="A1875" s="152"/>
      <c r="B1875" s="160"/>
      <c r="C1875" s="153"/>
      <c r="D1875" s="154"/>
      <c r="E1875" s="139"/>
      <c r="F1875" s="139"/>
      <c r="G1875" s="139"/>
      <c r="H1875" s="135"/>
      <c r="I1875" s="141"/>
      <c r="J1875" s="147" t="str">
        <f>IFERROR(__xludf.DUMMYFUNCTION("IF(ISBLANK(A1875),IFERROR(1/0),IF(COUNT(FILTER(F:F,A:A=A1875))&gt;1,TRUNC(N1875*F1875/SUM(FILTER(N:N,A:A=A1875)),3),F1875))"),"")</f>
        <v/>
      </c>
      <c r="K1875" s="147" t="str">
        <f>IFERROR(__xludf.DUMMYFUNCTION("IF(ISBLANK(A1875),IFERROR(1/0),IF(COUNT(FILTER(G:G,((A:A=A1875)*(B:B=""V""))))&gt;1,TRUNC(N1875*G1875/SUM(FILTER(N:N,((A:A=A1875)*(B:B=""V"")))),3),G1875))"),"")</f>
        <v/>
      </c>
      <c r="L1875" s="148" t="str">
        <f>IFERROR(__xludf.DUMMYFUNCTION("if($C1875="""","""",iferror(if(row()&lt;&gt;2,INDEX(arrayformula(filter($M$2:$M1874,$C$2:$C1874&lt;&gt;"""",row($C$2:$C1874)=max(if($C$2:$C1874=C1875,row($C$2:$C1874),0)))) ,1),0),0))"),"")</f>
        <v/>
      </c>
      <c r="M1875" s="148" t="str">
        <f t="shared" si="1"/>
        <v/>
      </c>
      <c r="N1875" s="147" t="str">
        <f t="shared" si="2"/>
        <v/>
      </c>
      <c r="O1875" s="147" t="str">
        <f t="shared" si="21"/>
        <v/>
      </c>
      <c r="P1875" s="147" t="str">
        <f>IFERROR(__xludf.DUMMYFUNCTION("if(C1875="""","""",iferror(if(row()&lt;&gt;2,INDEX(arrayformula(filter($Q$2:$Q1874,$C$2:$C1874&lt;&gt;"""",row($C$2:$C1874)=max(if($C$2:$C1874=C1875,row($C$2:$C1874),0)))) ,1),0),0))"),"")</f>
        <v/>
      </c>
      <c r="Q1875" s="147" t="str">
        <f t="shared" si="22"/>
        <v/>
      </c>
      <c r="R1875" s="147" t="str">
        <f t="shared" si="23"/>
        <v/>
      </c>
      <c r="S1875" s="147" t="str">
        <f t="shared" si="24"/>
        <v/>
      </c>
      <c r="T1875" s="147" t="str">
        <f t="shared" si="7"/>
        <v/>
      </c>
      <c r="U1875" s="150" t="str">
        <f t="shared" si="8"/>
        <v/>
      </c>
      <c r="V1875" s="151" t="str">
        <f>IFERROR(VLOOKUP(C1875,Ativos!$A$1:$G2000,5,),)</f>
        <v/>
      </c>
    </row>
    <row r="1876" ht="21.0" customHeight="1">
      <c r="A1876" s="152"/>
      <c r="B1876" s="160"/>
      <c r="C1876" s="153"/>
      <c r="D1876" s="154"/>
      <c r="E1876" s="139"/>
      <c r="F1876" s="139"/>
      <c r="G1876" s="139"/>
      <c r="H1876" s="135"/>
      <c r="I1876" s="141"/>
      <c r="J1876" s="147" t="str">
        <f>IFERROR(__xludf.DUMMYFUNCTION("IF(ISBLANK(A1876),IFERROR(1/0),IF(COUNT(FILTER(F:F,A:A=A1876))&gt;1,TRUNC(N1876*F1876/SUM(FILTER(N:N,A:A=A1876)),3),F1876))"),"")</f>
        <v/>
      </c>
      <c r="K1876" s="147" t="str">
        <f>IFERROR(__xludf.DUMMYFUNCTION("IF(ISBLANK(A1876),IFERROR(1/0),IF(COUNT(FILTER(G:G,((A:A=A1876)*(B:B=""V""))))&gt;1,TRUNC(N1876*G1876/SUM(FILTER(N:N,((A:A=A1876)*(B:B=""V"")))),3),G1876))"),"")</f>
        <v/>
      </c>
      <c r="L1876" s="148" t="str">
        <f>IFERROR(__xludf.DUMMYFUNCTION("if($C1876="""","""",iferror(if(row()&lt;&gt;2,INDEX(arrayformula(filter($M$2:$M1875,$C$2:$C1875&lt;&gt;"""",row($C$2:$C1875)=max(if($C$2:$C1875=C1876,row($C$2:$C1875),0)))) ,1),0),0))"),"")</f>
        <v/>
      </c>
      <c r="M1876" s="148" t="str">
        <f t="shared" si="1"/>
        <v/>
      </c>
      <c r="N1876" s="147" t="str">
        <f t="shared" si="2"/>
        <v/>
      </c>
      <c r="O1876" s="147" t="str">
        <f t="shared" si="21"/>
        <v/>
      </c>
      <c r="P1876" s="147" t="str">
        <f>IFERROR(__xludf.DUMMYFUNCTION("if(C1876="""","""",iferror(if(row()&lt;&gt;2,INDEX(arrayformula(filter($Q$2:$Q1875,$C$2:$C1875&lt;&gt;"""",row($C$2:$C1875)=max(if($C$2:$C1875=C1876,row($C$2:$C1875),0)))) ,1),0),0))"),"")</f>
        <v/>
      </c>
      <c r="Q1876" s="147" t="str">
        <f t="shared" si="22"/>
        <v/>
      </c>
      <c r="R1876" s="147" t="str">
        <f t="shared" si="23"/>
        <v/>
      </c>
      <c r="S1876" s="147" t="str">
        <f t="shared" si="24"/>
        <v/>
      </c>
      <c r="T1876" s="147" t="str">
        <f t="shared" si="7"/>
        <v/>
      </c>
      <c r="U1876" s="150" t="str">
        <f t="shared" si="8"/>
        <v/>
      </c>
      <c r="V1876" s="151" t="str">
        <f>IFERROR(VLOOKUP(C1876,Ativos!$A$1:$G2000,5,),)</f>
        <v/>
      </c>
    </row>
    <row r="1877" ht="21.0" customHeight="1">
      <c r="A1877" s="152"/>
      <c r="B1877" s="160"/>
      <c r="C1877" s="153"/>
      <c r="D1877" s="154"/>
      <c r="E1877" s="139"/>
      <c r="F1877" s="139"/>
      <c r="G1877" s="139"/>
      <c r="H1877" s="135"/>
      <c r="I1877" s="141"/>
      <c r="J1877" s="147" t="str">
        <f>IFERROR(__xludf.DUMMYFUNCTION("IF(ISBLANK(A1877),IFERROR(1/0),IF(COUNT(FILTER(F:F,A:A=A1877))&gt;1,TRUNC(N1877*F1877/SUM(FILTER(N:N,A:A=A1877)),3),F1877))"),"")</f>
        <v/>
      </c>
      <c r="K1877" s="147" t="str">
        <f>IFERROR(__xludf.DUMMYFUNCTION("IF(ISBLANK(A1877),IFERROR(1/0),IF(COUNT(FILTER(G:G,((A:A=A1877)*(B:B=""V""))))&gt;1,TRUNC(N1877*G1877/SUM(FILTER(N:N,((A:A=A1877)*(B:B=""V"")))),3),G1877))"),"")</f>
        <v/>
      </c>
      <c r="L1877" s="148" t="str">
        <f>IFERROR(__xludf.DUMMYFUNCTION("if($C1877="""","""",iferror(if(row()&lt;&gt;2,INDEX(arrayformula(filter($M$2:$M1876,$C$2:$C1876&lt;&gt;"""",row($C$2:$C1876)=max(if($C$2:$C1876=C1877,row($C$2:$C1876),0)))) ,1),0),0))"),"")</f>
        <v/>
      </c>
      <c r="M1877" s="148" t="str">
        <f t="shared" si="1"/>
        <v/>
      </c>
      <c r="N1877" s="147" t="str">
        <f t="shared" si="2"/>
        <v/>
      </c>
      <c r="O1877" s="147" t="str">
        <f t="shared" si="21"/>
        <v/>
      </c>
      <c r="P1877" s="147" t="str">
        <f>IFERROR(__xludf.DUMMYFUNCTION("if(C1877="""","""",iferror(if(row()&lt;&gt;2,INDEX(arrayformula(filter($Q$2:$Q1876,$C$2:$C1876&lt;&gt;"""",row($C$2:$C1876)=max(if($C$2:$C1876=C1877,row($C$2:$C1876),0)))) ,1),0),0))"),"")</f>
        <v/>
      </c>
      <c r="Q1877" s="147" t="str">
        <f t="shared" si="22"/>
        <v/>
      </c>
      <c r="R1877" s="147" t="str">
        <f t="shared" si="23"/>
        <v/>
      </c>
      <c r="S1877" s="147" t="str">
        <f t="shared" si="24"/>
        <v/>
      </c>
      <c r="T1877" s="147" t="str">
        <f t="shared" si="7"/>
        <v/>
      </c>
      <c r="U1877" s="150" t="str">
        <f t="shared" si="8"/>
        <v/>
      </c>
      <c r="V1877" s="151" t="str">
        <f>IFERROR(VLOOKUP(C1877,Ativos!$A$1:$G2000,5,),)</f>
        <v/>
      </c>
    </row>
    <row r="1878" ht="21.0" customHeight="1">
      <c r="A1878" s="152"/>
      <c r="B1878" s="160"/>
      <c r="C1878" s="153"/>
      <c r="D1878" s="154"/>
      <c r="E1878" s="139"/>
      <c r="F1878" s="139"/>
      <c r="G1878" s="139"/>
      <c r="H1878" s="135"/>
      <c r="I1878" s="141"/>
      <c r="J1878" s="147" t="str">
        <f>IFERROR(__xludf.DUMMYFUNCTION("IF(ISBLANK(A1878),IFERROR(1/0),IF(COUNT(FILTER(F:F,A:A=A1878))&gt;1,TRUNC(N1878*F1878/SUM(FILTER(N:N,A:A=A1878)),3),F1878))"),"")</f>
        <v/>
      </c>
      <c r="K1878" s="147" t="str">
        <f>IFERROR(__xludf.DUMMYFUNCTION("IF(ISBLANK(A1878),IFERROR(1/0),IF(COUNT(FILTER(G:G,((A:A=A1878)*(B:B=""V""))))&gt;1,TRUNC(N1878*G1878/SUM(FILTER(N:N,((A:A=A1878)*(B:B=""V"")))),3),G1878))"),"")</f>
        <v/>
      </c>
      <c r="L1878" s="148" t="str">
        <f>IFERROR(__xludf.DUMMYFUNCTION("if($C1878="""","""",iferror(if(row()&lt;&gt;2,INDEX(arrayformula(filter($M$2:$M1877,$C$2:$C1877&lt;&gt;"""",row($C$2:$C1877)=max(if($C$2:$C1877=C1878,row($C$2:$C1877),0)))) ,1),0),0))"),"")</f>
        <v/>
      </c>
      <c r="M1878" s="148" t="str">
        <f t="shared" si="1"/>
        <v/>
      </c>
      <c r="N1878" s="147" t="str">
        <f t="shared" si="2"/>
        <v/>
      </c>
      <c r="O1878" s="147" t="str">
        <f t="shared" si="21"/>
        <v/>
      </c>
      <c r="P1878" s="147" t="str">
        <f>IFERROR(__xludf.DUMMYFUNCTION("if(C1878="""","""",iferror(if(row()&lt;&gt;2,INDEX(arrayformula(filter($Q$2:$Q1877,$C$2:$C1877&lt;&gt;"""",row($C$2:$C1877)=max(if($C$2:$C1877=C1878,row($C$2:$C1877),0)))) ,1),0),0))"),"")</f>
        <v/>
      </c>
      <c r="Q1878" s="147" t="str">
        <f t="shared" si="22"/>
        <v/>
      </c>
      <c r="R1878" s="147" t="str">
        <f t="shared" si="23"/>
        <v/>
      </c>
      <c r="S1878" s="147" t="str">
        <f t="shared" si="24"/>
        <v/>
      </c>
      <c r="T1878" s="147" t="str">
        <f t="shared" si="7"/>
        <v/>
      </c>
      <c r="U1878" s="150" t="str">
        <f t="shared" si="8"/>
        <v/>
      </c>
      <c r="V1878" s="151" t="str">
        <f>IFERROR(VLOOKUP(C1878,Ativos!$A$1:$G2000,5,),)</f>
        <v/>
      </c>
    </row>
    <row r="1879" ht="21.0" customHeight="1">
      <c r="A1879" s="152"/>
      <c r="B1879" s="160"/>
      <c r="C1879" s="153"/>
      <c r="D1879" s="154"/>
      <c r="E1879" s="139"/>
      <c r="F1879" s="139"/>
      <c r="G1879" s="139"/>
      <c r="H1879" s="135"/>
      <c r="I1879" s="141"/>
      <c r="J1879" s="147" t="str">
        <f>IFERROR(__xludf.DUMMYFUNCTION("IF(ISBLANK(A1879),IFERROR(1/0),IF(COUNT(FILTER(F:F,A:A=A1879))&gt;1,TRUNC(N1879*F1879/SUM(FILTER(N:N,A:A=A1879)),3),F1879))"),"")</f>
        <v/>
      </c>
      <c r="K1879" s="147" t="str">
        <f>IFERROR(__xludf.DUMMYFUNCTION("IF(ISBLANK(A1879),IFERROR(1/0),IF(COUNT(FILTER(G:G,((A:A=A1879)*(B:B=""V""))))&gt;1,TRUNC(N1879*G1879/SUM(FILTER(N:N,((A:A=A1879)*(B:B=""V"")))),3),G1879))"),"")</f>
        <v/>
      </c>
      <c r="L1879" s="148" t="str">
        <f>IFERROR(__xludf.DUMMYFUNCTION("if($C1879="""","""",iferror(if(row()&lt;&gt;2,INDEX(arrayformula(filter($M$2:$M1878,$C$2:$C1878&lt;&gt;"""",row($C$2:$C1878)=max(if($C$2:$C1878=C1879,row($C$2:$C1878),0)))) ,1),0),0))"),"")</f>
        <v/>
      </c>
      <c r="M1879" s="148" t="str">
        <f t="shared" si="1"/>
        <v/>
      </c>
      <c r="N1879" s="147" t="str">
        <f t="shared" si="2"/>
        <v/>
      </c>
      <c r="O1879" s="147" t="str">
        <f t="shared" si="21"/>
        <v/>
      </c>
      <c r="P1879" s="147" t="str">
        <f>IFERROR(__xludf.DUMMYFUNCTION("if(C1879="""","""",iferror(if(row()&lt;&gt;2,INDEX(arrayformula(filter($Q$2:$Q1878,$C$2:$C1878&lt;&gt;"""",row($C$2:$C1878)=max(if($C$2:$C1878=C1879,row($C$2:$C1878),0)))) ,1),0),0))"),"")</f>
        <v/>
      </c>
      <c r="Q1879" s="147" t="str">
        <f t="shared" si="22"/>
        <v/>
      </c>
      <c r="R1879" s="147" t="str">
        <f t="shared" si="23"/>
        <v/>
      </c>
      <c r="S1879" s="147" t="str">
        <f t="shared" si="24"/>
        <v/>
      </c>
      <c r="T1879" s="147" t="str">
        <f t="shared" si="7"/>
        <v/>
      </c>
      <c r="U1879" s="150" t="str">
        <f t="shared" si="8"/>
        <v/>
      </c>
      <c r="V1879" s="151" t="str">
        <f>IFERROR(VLOOKUP(C1879,Ativos!$A$1:$G2000,5,),)</f>
        <v/>
      </c>
    </row>
    <row r="1880" ht="21.0" customHeight="1">
      <c r="A1880" s="152"/>
      <c r="B1880" s="160"/>
      <c r="C1880" s="153"/>
      <c r="D1880" s="154"/>
      <c r="E1880" s="139"/>
      <c r="F1880" s="139"/>
      <c r="G1880" s="139"/>
      <c r="H1880" s="135"/>
      <c r="I1880" s="141"/>
      <c r="J1880" s="147" t="str">
        <f>IFERROR(__xludf.DUMMYFUNCTION("IF(ISBLANK(A1880),IFERROR(1/0),IF(COUNT(FILTER(F:F,A:A=A1880))&gt;1,TRUNC(N1880*F1880/SUM(FILTER(N:N,A:A=A1880)),3),F1880))"),"")</f>
        <v/>
      </c>
      <c r="K1880" s="147" t="str">
        <f>IFERROR(__xludf.DUMMYFUNCTION("IF(ISBLANK(A1880),IFERROR(1/0),IF(COUNT(FILTER(G:G,((A:A=A1880)*(B:B=""V""))))&gt;1,TRUNC(N1880*G1880/SUM(FILTER(N:N,((A:A=A1880)*(B:B=""V"")))),3),G1880))"),"")</f>
        <v/>
      </c>
      <c r="L1880" s="148" t="str">
        <f>IFERROR(__xludf.DUMMYFUNCTION("if($C1880="""","""",iferror(if(row()&lt;&gt;2,INDEX(arrayformula(filter($M$2:$M1879,$C$2:$C1879&lt;&gt;"""",row($C$2:$C1879)=max(if($C$2:$C1879=C1880,row($C$2:$C1879),0)))) ,1),0),0))"),"")</f>
        <v/>
      </c>
      <c r="M1880" s="148" t="str">
        <f t="shared" si="1"/>
        <v/>
      </c>
      <c r="N1880" s="147" t="str">
        <f t="shared" si="2"/>
        <v/>
      </c>
      <c r="O1880" s="147" t="str">
        <f t="shared" si="21"/>
        <v/>
      </c>
      <c r="P1880" s="147" t="str">
        <f>IFERROR(__xludf.DUMMYFUNCTION("if(C1880="""","""",iferror(if(row()&lt;&gt;2,INDEX(arrayformula(filter($Q$2:$Q1879,$C$2:$C1879&lt;&gt;"""",row($C$2:$C1879)=max(if($C$2:$C1879=C1880,row($C$2:$C1879),0)))) ,1),0),0))"),"")</f>
        <v/>
      </c>
      <c r="Q1880" s="147" t="str">
        <f t="shared" si="22"/>
        <v/>
      </c>
      <c r="R1880" s="147" t="str">
        <f t="shared" si="23"/>
        <v/>
      </c>
      <c r="S1880" s="147" t="str">
        <f t="shared" si="24"/>
        <v/>
      </c>
      <c r="T1880" s="147" t="str">
        <f t="shared" si="7"/>
        <v/>
      </c>
      <c r="U1880" s="150" t="str">
        <f t="shared" si="8"/>
        <v/>
      </c>
      <c r="V1880" s="151" t="str">
        <f>IFERROR(VLOOKUP(C1880,Ativos!$A$1:$G2000,5,),)</f>
        <v/>
      </c>
    </row>
    <row r="1881" ht="21.0" customHeight="1">
      <c r="A1881" s="152"/>
      <c r="B1881" s="160"/>
      <c r="C1881" s="153"/>
      <c r="D1881" s="154"/>
      <c r="E1881" s="139"/>
      <c r="F1881" s="139"/>
      <c r="G1881" s="139"/>
      <c r="H1881" s="135"/>
      <c r="I1881" s="141"/>
      <c r="J1881" s="147" t="str">
        <f>IFERROR(__xludf.DUMMYFUNCTION("IF(ISBLANK(A1881),IFERROR(1/0),IF(COUNT(FILTER(F:F,A:A=A1881))&gt;1,TRUNC(N1881*F1881/SUM(FILTER(N:N,A:A=A1881)),3),F1881))"),"")</f>
        <v/>
      </c>
      <c r="K1881" s="147" t="str">
        <f>IFERROR(__xludf.DUMMYFUNCTION("IF(ISBLANK(A1881),IFERROR(1/0),IF(COUNT(FILTER(G:G,((A:A=A1881)*(B:B=""V""))))&gt;1,TRUNC(N1881*G1881/SUM(FILTER(N:N,((A:A=A1881)*(B:B=""V"")))),3),G1881))"),"")</f>
        <v/>
      </c>
      <c r="L1881" s="148" t="str">
        <f>IFERROR(__xludf.DUMMYFUNCTION("if($C1881="""","""",iferror(if(row()&lt;&gt;2,INDEX(arrayformula(filter($M$2:$M1880,$C$2:$C1880&lt;&gt;"""",row($C$2:$C1880)=max(if($C$2:$C1880=C1881,row($C$2:$C1880),0)))) ,1),0),0))"),"")</f>
        <v/>
      </c>
      <c r="M1881" s="148" t="str">
        <f t="shared" si="1"/>
        <v/>
      </c>
      <c r="N1881" s="147" t="str">
        <f t="shared" si="2"/>
        <v/>
      </c>
      <c r="O1881" s="147" t="str">
        <f t="shared" si="21"/>
        <v/>
      </c>
      <c r="P1881" s="147" t="str">
        <f>IFERROR(__xludf.DUMMYFUNCTION("if(C1881="""","""",iferror(if(row()&lt;&gt;2,INDEX(arrayformula(filter($Q$2:$Q1880,$C$2:$C1880&lt;&gt;"""",row($C$2:$C1880)=max(if($C$2:$C1880=C1881,row($C$2:$C1880),0)))) ,1),0),0))"),"")</f>
        <v/>
      </c>
      <c r="Q1881" s="147" t="str">
        <f t="shared" si="22"/>
        <v/>
      </c>
      <c r="R1881" s="147" t="str">
        <f t="shared" si="23"/>
        <v/>
      </c>
      <c r="S1881" s="147" t="str">
        <f t="shared" si="24"/>
        <v/>
      </c>
      <c r="T1881" s="147" t="str">
        <f t="shared" si="7"/>
        <v/>
      </c>
      <c r="U1881" s="150" t="str">
        <f t="shared" si="8"/>
        <v/>
      </c>
      <c r="V1881" s="151" t="str">
        <f>IFERROR(VLOOKUP(C1881,Ativos!$A$1:$G2000,5,),)</f>
        <v/>
      </c>
    </row>
    <row r="1882" ht="21.0" customHeight="1">
      <c r="A1882" s="152"/>
      <c r="B1882" s="160"/>
      <c r="C1882" s="153"/>
      <c r="D1882" s="154"/>
      <c r="E1882" s="139"/>
      <c r="F1882" s="139"/>
      <c r="G1882" s="139"/>
      <c r="H1882" s="135"/>
      <c r="I1882" s="141"/>
      <c r="J1882" s="147" t="str">
        <f>IFERROR(__xludf.DUMMYFUNCTION("IF(ISBLANK(A1882),IFERROR(1/0),IF(COUNT(FILTER(F:F,A:A=A1882))&gt;1,TRUNC(N1882*F1882/SUM(FILTER(N:N,A:A=A1882)),3),F1882))"),"")</f>
        <v/>
      </c>
      <c r="K1882" s="147" t="str">
        <f>IFERROR(__xludf.DUMMYFUNCTION("IF(ISBLANK(A1882),IFERROR(1/0),IF(COUNT(FILTER(G:G,((A:A=A1882)*(B:B=""V""))))&gt;1,TRUNC(N1882*G1882/SUM(FILTER(N:N,((A:A=A1882)*(B:B=""V"")))),3),G1882))"),"")</f>
        <v/>
      </c>
      <c r="L1882" s="148" t="str">
        <f>IFERROR(__xludf.DUMMYFUNCTION("if($C1882="""","""",iferror(if(row()&lt;&gt;2,INDEX(arrayformula(filter($M$2:$M1881,$C$2:$C1881&lt;&gt;"""",row($C$2:$C1881)=max(if($C$2:$C1881=C1882,row($C$2:$C1881),0)))) ,1),0),0))"),"")</f>
        <v/>
      </c>
      <c r="M1882" s="148" t="str">
        <f t="shared" si="1"/>
        <v/>
      </c>
      <c r="N1882" s="147" t="str">
        <f t="shared" si="2"/>
        <v/>
      </c>
      <c r="O1882" s="147" t="str">
        <f t="shared" si="21"/>
        <v/>
      </c>
      <c r="P1882" s="147" t="str">
        <f>IFERROR(__xludf.DUMMYFUNCTION("if(C1882="""","""",iferror(if(row()&lt;&gt;2,INDEX(arrayformula(filter($Q$2:$Q1881,$C$2:$C1881&lt;&gt;"""",row($C$2:$C1881)=max(if($C$2:$C1881=C1882,row($C$2:$C1881),0)))) ,1),0),0))"),"")</f>
        <v/>
      </c>
      <c r="Q1882" s="147" t="str">
        <f t="shared" si="22"/>
        <v/>
      </c>
      <c r="R1882" s="147" t="str">
        <f t="shared" si="23"/>
        <v/>
      </c>
      <c r="S1882" s="147" t="str">
        <f t="shared" si="24"/>
        <v/>
      </c>
      <c r="T1882" s="147" t="str">
        <f t="shared" si="7"/>
        <v/>
      </c>
      <c r="U1882" s="150" t="str">
        <f t="shared" si="8"/>
        <v/>
      </c>
      <c r="V1882" s="151" t="str">
        <f>IFERROR(VLOOKUP(C1882,Ativos!$A$1:$G2000,5,),)</f>
        <v/>
      </c>
    </row>
    <row r="1883" ht="21.0" customHeight="1">
      <c r="A1883" s="152"/>
      <c r="B1883" s="160"/>
      <c r="C1883" s="153"/>
      <c r="D1883" s="154"/>
      <c r="E1883" s="139"/>
      <c r="F1883" s="139"/>
      <c r="G1883" s="139"/>
      <c r="H1883" s="135"/>
      <c r="I1883" s="141"/>
      <c r="J1883" s="147" t="str">
        <f>IFERROR(__xludf.DUMMYFUNCTION("IF(ISBLANK(A1883),IFERROR(1/0),IF(COUNT(FILTER(F:F,A:A=A1883))&gt;1,TRUNC(N1883*F1883/SUM(FILTER(N:N,A:A=A1883)),3),F1883))"),"")</f>
        <v/>
      </c>
      <c r="K1883" s="147" t="str">
        <f>IFERROR(__xludf.DUMMYFUNCTION("IF(ISBLANK(A1883),IFERROR(1/0),IF(COUNT(FILTER(G:G,((A:A=A1883)*(B:B=""V""))))&gt;1,TRUNC(N1883*G1883/SUM(FILTER(N:N,((A:A=A1883)*(B:B=""V"")))),3),G1883))"),"")</f>
        <v/>
      </c>
      <c r="L1883" s="148" t="str">
        <f>IFERROR(__xludf.DUMMYFUNCTION("if($C1883="""","""",iferror(if(row()&lt;&gt;2,INDEX(arrayformula(filter($M$2:$M1882,$C$2:$C1882&lt;&gt;"""",row($C$2:$C1882)=max(if($C$2:$C1882=C1883,row($C$2:$C1882),0)))) ,1),0),0))"),"")</f>
        <v/>
      </c>
      <c r="M1883" s="148" t="str">
        <f t="shared" si="1"/>
        <v/>
      </c>
      <c r="N1883" s="147" t="str">
        <f t="shared" si="2"/>
        <v/>
      </c>
      <c r="O1883" s="147" t="str">
        <f t="shared" si="21"/>
        <v/>
      </c>
      <c r="P1883" s="147" t="str">
        <f>IFERROR(__xludf.DUMMYFUNCTION("if(C1883="""","""",iferror(if(row()&lt;&gt;2,INDEX(arrayformula(filter($Q$2:$Q1882,$C$2:$C1882&lt;&gt;"""",row($C$2:$C1882)=max(if($C$2:$C1882=C1883,row($C$2:$C1882),0)))) ,1),0),0))"),"")</f>
        <v/>
      </c>
      <c r="Q1883" s="147" t="str">
        <f t="shared" si="22"/>
        <v/>
      </c>
      <c r="R1883" s="147" t="str">
        <f t="shared" si="23"/>
        <v/>
      </c>
      <c r="S1883" s="147" t="str">
        <f t="shared" si="24"/>
        <v/>
      </c>
      <c r="T1883" s="147" t="str">
        <f t="shared" si="7"/>
        <v/>
      </c>
      <c r="U1883" s="150" t="str">
        <f t="shared" si="8"/>
        <v/>
      </c>
      <c r="V1883" s="151" t="str">
        <f>IFERROR(VLOOKUP(C1883,Ativos!$A$1:$G2000,5,),)</f>
        <v/>
      </c>
    </row>
    <row r="1884" ht="21.0" customHeight="1">
      <c r="A1884" s="152"/>
      <c r="B1884" s="160"/>
      <c r="C1884" s="153"/>
      <c r="D1884" s="154"/>
      <c r="E1884" s="139"/>
      <c r="F1884" s="139"/>
      <c r="G1884" s="139"/>
      <c r="H1884" s="135"/>
      <c r="I1884" s="141"/>
      <c r="J1884" s="147" t="str">
        <f>IFERROR(__xludf.DUMMYFUNCTION("IF(ISBLANK(A1884),IFERROR(1/0),IF(COUNT(FILTER(F:F,A:A=A1884))&gt;1,TRUNC(N1884*F1884/SUM(FILTER(N:N,A:A=A1884)),3),F1884))"),"")</f>
        <v/>
      </c>
      <c r="K1884" s="147" t="str">
        <f>IFERROR(__xludf.DUMMYFUNCTION("IF(ISBLANK(A1884),IFERROR(1/0),IF(COUNT(FILTER(G:G,((A:A=A1884)*(B:B=""V""))))&gt;1,TRUNC(N1884*G1884/SUM(FILTER(N:N,((A:A=A1884)*(B:B=""V"")))),3),G1884))"),"")</f>
        <v/>
      </c>
      <c r="L1884" s="148" t="str">
        <f>IFERROR(__xludf.DUMMYFUNCTION("if($C1884="""","""",iferror(if(row()&lt;&gt;2,INDEX(arrayformula(filter($M$2:$M1883,$C$2:$C1883&lt;&gt;"""",row($C$2:$C1883)=max(if($C$2:$C1883=C1884,row($C$2:$C1883),0)))) ,1),0),0))"),"")</f>
        <v/>
      </c>
      <c r="M1884" s="148" t="str">
        <f t="shared" si="1"/>
        <v/>
      </c>
      <c r="N1884" s="147" t="str">
        <f t="shared" si="2"/>
        <v/>
      </c>
      <c r="O1884" s="147" t="str">
        <f t="shared" si="21"/>
        <v/>
      </c>
      <c r="P1884" s="147" t="str">
        <f>IFERROR(__xludf.DUMMYFUNCTION("if(C1884="""","""",iferror(if(row()&lt;&gt;2,INDEX(arrayformula(filter($Q$2:$Q1883,$C$2:$C1883&lt;&gt;"""",row($C$2:$C1883)=max(if($C$2:$C1883=C1884,row($C$2:$C1883),0)))) ,1),0),0))"),"")</f>
        <v/>
      </c>
      <c r="Q1884" s="147" t="str">
        <f t="shared" si="22"/>
        <v/>
      </c>
      <c r="R1884" s="147" t="str">
        <f t="shared" si="23"/>
        <v/>
      </c>
      <c r="S1884" s="147" t="str">
        <f t="shared" si="24"/>
        <v/>
      </c>
      <c r="T1884" s="147" t="str">
        <f t="shared" si="7"/>
        <v/>
      </c>
      <c r="U1884" s="150" t="str">
        <f t="shared" si="8"/>
        <v/>
      </c>
      <c r="V1884" s="151" t="str">
        <f>IFERROR(VLOOKUP(C1884,Ativos!$A$1:$G2000,5,),)</f>
        <v/>
      </c>
    </row>
    <row r="1885" ht="21.0" customHeight="1">
      <c r="A1885" s="152"/>
      <c r="B1885" s="160"/>
      <c r="C1885" s="153"/>
      <c r="D1885" s="154"/>
      <c r="E1885" s="139"/>
      <c r="F1885" s="139"/>
      <c r="G1885" s="139"/>
      <c r="H1885" s="135"/>
      <c r="I1885" s="141"/>
      <c r="J1885" s="147" t="str">
        <f>IFERROR(__xludf.DUMMYFUNCTION("IF(ISBLANK(A1885),IFERROR(1/0),IF(COUNT(FILTER(F:F,A:A=A1885))&gt;1,TRUNC(N1885*F1885/SUM(FILTER(N:N,A:A=A1885)),3),F1885))"),"")</f>
        <v/>
      </c>
      <c r="K1885" s="147" t="str">
        <f>IFERROR(__xludf.DUMMYFUNCTION("IF(ISBLANK(A1885),IFERROR(1/0),IF(COUNT(FILTER(G:G,((A:A=A1885)*(B:B=""V""))))&gt;1,TRUNC(N1885*G1885/SUM(FILTER(N:N,((A:A=A1885)*(B:B=""V"")))),3),G1885))"),"")</f>
        <v/>
      </c>
      <c r="L1885" s="148" t="str">
        <f>IFERROR(__xludf.DUMMYFUNCTION("if($C1885="""","""",iferror(if(row()&lt;&gt;2,INDEX(arrayformula(filter($M$2:$M1884,$C$2:$C1884&lt;&gt;"""",row($C$2:$C1884)=max(if($C$2:$C1884=C1885,row($C$2:$C1884),0)))) ,1),0),0))"),"")</f>
        <v/>
      </c>
      <c r="M1885" s="148" t="str">
        <f t="shared" si="1"/>
        <v/>
      </c>
      <c r="N1885" s="147" t="str">
        <f t="shared" si="2"/>
        <v/>
      </c>
      <c r="O1885" s="147" t="str">
        <f t="shared" si="21"/>
        <v/>
      </c>
      <c r="P1885" s="147" t="str">
        <f>IFERROR(__xludf.DUMMYFUNCTION("if(C1885="""","""",iferror(if(row()&lt;&gt;2,INDEX(arrayformula(filter($Q$2:$Q1884,$C$2:$C1884&lt;&gt;"""",row($C$2:$C1884)=max(if($C$2:$C1884=C1885,row($C$2:$C1884),0)))) ,1),0),0))"),"")</f>
        <v/>
      </c>
      <c r="Q1885" s="147" t="str">
        <f t="shared" si="22"/>
        <v/>
      </c>
      <c r="R1885" s="147" t="str">
        <f t="shared" si="23"/>
        <v/>
      </c>
      <c r="S1885" s="147" t="str">
        <f t="shared" si="24"/>
        <v/>
      </c>
      <c r="T1885" s="147" t="str">
        <f t="shared" si="7"/>
        <v/>
      </c>
      <c r="U1885" s="150" t="str">
        <f t="shared" si="8"/>
        <v/>
      </c>
      <c r="V1885" s="151" t="str">
        <f>IFERROR(VLOOKUP(C1885,Ativos!$A$1:$G2000,5,),)</f>
        <v/>
      </c>
    </row>
    <row r="1886" ht="21.0" customHeight="1">
      <c r="A1886" s="152"/>
      <c r="B1886" s="160"/>
      <c r="C1886" s="153"/>
      <c r="D1886" s="154"/>
      <c r="E1886" s="139"/>
      <c r="F1886" s="139"/>
      <c r="G1886" s="139"/>
      <c r="H1886" s="135"/>
      <c r="I1886" s="141"/>
      <c r="J1886" s="147" t="str">
        <f>IFERROR(__xludf.DUMMYFUNCTION("IF(ISBLANK(A1886),IFERROR(1/0),IF(COUNT(FILTER(F:F,A:A=A1886))&gt;1,TRUNC(N1886*F1886/SUM(FILTER(N:N,A:A=A1886)),3),F1886))"),"")</f>
        <v/>
      </c>
      <c r="K1886" s="147" t="str">
        <f>IFERROR(__xludf.DUMMYFUNCTION("IF(ISBLANK(A1886),IFERROR(1/0),IF(COUNT(FILTER(G:G,((A:A=A1886)*(B:B=""V""))))&gt;1,TRUNC(N1886*G1886/SUM(FILTER(N:N,((A:A=A1886)*(B:B=""V"")))),3),G1886))"),"")</f>
        <v/>
      </c>
      <c r="L1886" s="148" t="str">
        <f>IFERROR(__xludf.DUMMYFUNCTION("if($C1886="""","""",iferror(if(row()&lt;&gt;2,INDEX(arrayformula(filter($M$2:$M1885,$C$2:$C1885&lt;&gt;"""",row($C$2:$C1885)=max(if($C$2:$C1885=C1886,row($C$2:$C1885),0)))) ,1),0),0))"),"")</f>
        <v/>
      </c>
      <c r="M1886" s="148" t="str">
        <f t="shared" si="1"/>
        <v/>
      </c>
      <c r="N1886" s="147" t="str">
        <f t="shared" si="2"/>
        <v/>
      </c>
      <c r="O1886" s="147" t="str">
        <f t="shared" si="21"/>
        <v/>
      </c>
      <c r="P1886" s="147" t="str">
        <f>IFERROR(__xludf.DUMMYFUNCTION("if(C1886="""","""",iferror(if(row()&lt;&gt;2,INDEX(arrayformula(filter($Q$2:$Q1885,$C$2:$C1885&lt;&gt;"""",row($C$2:$C1885)=max(if($C$2:$C1885=C1886,row($C$2:$C1885),0)))) ,1),0),0))"),"")</f>
        <v/>
      </c>
      <c r="Q1886" s="147" t="str">
        <f t="shared" si="22"/>
        <v/>
      </c>
      <c r="R1886" s="147" t="str">
        <f t="shared" si="23"/>
        <v/>
      </c>
      <c r="S1886" s="147" t="str">
        <f t="shared" si="24"/>
        <v/>
      </c>
      <c r="T1886" s="147" t="str">
        <f t="shared" si="7"/>
        <v/>
      </c>
      <c r="U1886" s="150" t="str">
        <f t="shared" si="8"/>
        <v/>
      </c>
      <c r="V1886" s="151" t="str">
        <f>IFERROR(VLOOKUP(C1886,Ativos!$A$1:$G2000,5,),)</f>
        <v/>
      </c>
    </row>
    <row r="1887" ht="21.0" customHeight="1">
      <c r="A1887" s="152"/>
      <c r="B1887" s="160"/>
      <c r="C1887" s="153"/>
      <c r="D1887" s="154"/>
      <c r="E1887" s="139"/>
      <c r="F1887" s="139"/>
      <c r="G1887" s="139"/>
      <c r="H1887" s="135"/>
      <c r="I1887" s="141"/>
      <c r="J1887" s="147" t="str">
        <f>IFERROR(__xludf.DUMMYFUNCTION("IF(ISBLANK(A1887),IFERROR(1/0),IF(COUNT(FILTER(F:F,A:A=A1887))&gt;1,TRUNC(N1887*F1887/SUM(FILTER(N:N,A:A=A1887)),3),F1887))"),"")</f>
        <v/>
      </c>
      <c r="K1887" s="147" t="str">
        <f>IFERROR(__xludf.DUMMYFUNCTION("IF(ISBLANK(A1887),IFERROR(1/0),IF(COUNT(FILTER(G:G,((A:A=A1887)*(B:B=""V""))))&gt;1,TRUNC(N1887*G1887/SUM(FILTER(N:N,((A:A=A1887)*(B:B=""V"")))),3),G1887))"),"")</f>
        <v/>
      </c>
      <c r="L1887" s="148" t="str">
        <f>IFERROR(__xludf.DUMMYFUNCTION("if($C1887="""","""",iferror(if(row()&lt;&gt;2,INDEX(arrayformula(filter($M$2:$M1886,$C$2:$C1886&lt;&gt;"""",row($C$2:$C1886)=max(if($C$2:$C1886=C1887,row($C$2:$C1886),0)))) ,1),0),0))"),"")</f>
        <v/>
      </c>
      <c r="M1887" s="148" t="str">
        <f t="shared" si="1"/>
        <v/>
      </c>
      <c r="N1887" s="147" t="str">
        <f t="shared" si="2"/>
        <v/>
      </c>
      <c r="O1887" s="147" t="str">
        <f t="shared" si="21"/>
        <v/>
      </c>
      <c r="P1887" s="147" t="str">
        <f>IFERROR(__xludf.DUMMYFUNCTION("if(C1887="""","""",iferror(if(row()&lt;&gt;2,INDEX(arrayformula(filter($Q$2:$Q1886,$C$2:$C1886&lt;&gt;"""",row($C$2:$C1886)=max(if($C$2:$C1886=C1887,row($C$2:$C1886),0)))) ,1),0),0))"),"")</f>
        <v/>
      </c>
      <c r="Q1887" s="147" t="str">
        <f t="shared" si="22"/>
        <v/>
      </c>
      <c r="R1887" s="147" t="str">
        <f t="shared" si="23"/>
        <v/>
      </c>
      <c r="S1887" s="147" t="str">
        <f t="shared" si="24"/>
        <v/>
      </c>
      <c r="T1887" s="147" t="str">
        <f t="shared" si="7"/>
        <v/>
      </c>
      <c r="U1887" s="150" t="str">
        <f t="shared" si="8"/>
        <v/>
      </c>
      <c r="V1887" s="151" t="str">
        <f>IFERROR(VLOOKUP(C1887,Ativos!$A$1:$G2000,5,),)</f>
        <v/>
      </c>
    </row>
    <row r="1888" ht="21.0" customHeight="1">
      <c r="A1888" s="152"/>
      <c r="B1888" s="160"/>
      <c r="C1888" s="153"/>
      <c r="D1888" s="154"/>
      <c r="E1888" s="139"/>
      <c r="F1888" s="139"/>
      <c r="G1888" s="139"/>
      <c r="H1888" s="135"/>
      <c r="I1888" s="141"/>
      <c r="J1888" s="147" t="str">
        <f>IFERROR(__xludf.DUMMYFUNCTION("IF(ISBLANK(A1888),IFERROR(1/0),IF(COUNT(FILTER(F:F,A:A=A1888))&gt;1,TRUNC(N1888*F1888/SUM(FILTER(N:N,A:A=A1888)),3),F1888))"),"")</f>
        <v/>
      </c>
      <c r="K1888" s="147" t="str">
        <f>IFERROR(__xludf.DUMMYFUNCTION("IF(ISBLANK(A1888),IFERROR(1/0),IF(COUNT(FILTER(G:G,((A:A=A1888)*(B:B=""V""))))&gt;1,TRUNC(N1888*G1888/SUM(FILTER(N:N,((A:A=A1888)*(B:B=""V"")))),3),G1888))"),"")</f>
        <v/>
      </c>
      <c r="L1888" s="148" t="str">
        <f>IFERROR(__xludf.DUMMYFUNCTION("if($C1888="""","""",iferror(if(row()&lt;&gt;2,INDEX(arrayformula(filter($M$2:$M1887,$C$2:$C1887&lt;&gt;"""",row($C$2:$C1887)=max(if($C$2:$C1887=C1888,row($C$2:$C1887),0)))) ,1),0),0))"),"")</f>
        <v/>
      </c>
      <c r="M1888" s="148" t="str">
        <f t="shared" si="1"/>
        <v/>
      </c>
      <c r="N1888" s="147" t="str">
        <f t="shared" si="2"/>
        <v/>
      </c>
      <c r="O1888" s="147" t="str">
        <f t="shared" si="21"/>
        <v/>
      </c>
      <c r="P1888" s="147" t="str">
        <f>IFERROR(__xludf.DUMMYFUNCTION("if(C1888="""","""",iferror(if(row()&lt;&gt;2,INDEX(arrayformula(filter($Q$2:$Q1887,$C$2:$C1887&lt;&gt;"""",row($C$2:$C1887)=max(if($C$2:$C1887=C1888,row($C$2:$C1887),0)))) ,1),0),0))"),"")</f>
        <v/>
      </c>
      <c r="Q1888" s="147" t="str">
        <f t="shared" si="22"/>
        <v/>
      </c>
      <c r="R1888" s="147" t="str">
        <f t="shared" si="23"/>
        <v/>
      </c>
      <c r="S1888" s="147" t="str">
        <f t="shared" si="24"/>
        <v/>
      </c>
      <c r="T1888" s="147" t="str">
        <f t="shared" si="7"/>
        <v/>
      </c>
      <c r="U1888" s="150" t="str">
        <f t="shared" si="8"/>
        <v/>
      </c>
      <c r="V1888" s="151" t="str">
        <f>IFERROR(VLOOKUP(C1888,Ativos!$A$1:$G2000,5,),)</f>
        <v/>
      </c>
    </row>
    <row r="1889" ht="21.0" customHeight="1">
      <c r="A1889" s="152"/>
      <c r="B1889" s="160"/>
      <c r="C1889" s="153"/>
      <c r="D1889" s="154"/>
      <c r="E1889" s="139"/>
      <c r="F1889" s="139"/>
      <c r="G1889" s="139"/>
      <c r="H1889" s="135"/>
      <c r="I1889" s="141"/>
      <c r="J1889" s="147" t="str">
        <f>IFERROR(__xludf.DUMMYFUNCTION("IF(ISBLANK(A1889),IFERROR(1/0),IF(COUNT(FILTER(F:F,A:A=A1889))&gt;1,TRUNC(N1889*F1889/SUM(FILTER(N:N,A:A=A1889)),3),F1889))"),"")</f>
        <v/>
      </c>
      <c r="K1889" s="147" t="str">
        <f>IFERROR(__xludf.DUMMYFUNCTION("IF(ISBLANK(A1889),IFERROR(1/0),IF(COUNT(FILTER(G:G,((A:A=A1889)*(B:B=""V""))))&gt;1,TRUNC(N1889*G1889/SUM(FILTER(N:N,((A:A=A1889)*(B:B=""V"")))),3),G1889))"),"")</f>
        <v/>
      </c>
      <c r="L1889" s="148" t="str">
        <f>IFERROR(__xludf.DUMMYFUNCTION("if($C1889="""","""",iferror(if(row()&lt;&gt;2,INDEX(arrayformula(filter($M$2:$M1888,$C$2:$C1888&lt;&gt;"""",row($C$2:$C1888)=max(if($C$2:$C1888=C1889,row($C$2:$C1888),0)))) ,1),0),0))"),"")</f>
        <v/>
      </c>
      <c r="M1889" s="148" t="str">
        <f t="shared" si="1"/>
        <v/>
      </c>
      <c r="N1889" s="147" t="str">
        <f t="shared" si="2"/>
        <v/>
      </c>
      <c r="O1889" s="147" t="str">
        <f t="shared" si="21"/>
        <v/>
      </c>
      <c r="P1889" s="147" t="str">
        <f>IFERROR(__xludf.DUMMYFUNCTION("if(C1889="""","""",iferror(if(row()&lt;&gt;2,INDEX(arrayformula(filter($Q$2:$Q1888,$C$2:$C1888&lt;&gt;"""",row($C$2:$C1888)=max(if($C$2:$C1888=C1889,row($C$2:$C1888),0)))) ,1),0),0))"),"")</f>
        <v/>
      </c>
      <c r="Q1889" s="147" t="str">
        <f t="shared" si="22"/>
        <v/>
      </c>
      <c r="R1889" s="147" t="str">
        <f t="shared" si="23"/>
        <v/>
      </c>
      <c r="S1889" s="147" t="str">
        <f t="shared" si="24"/>
        <v/>
      </c>
      <c r="T1889" s="147" t="str">
        <f t="shared" si="7"/>
        <v/>
      </c>
      <c r="U1889" s="150" t="str">
        <f t="shared" si="8"/>
        <v/>
      </c>
      <c r="V1889" s="151" t="str">
        <f>IFERROR(VLOOKUP(C1889,Ativos!$A$1:$G2000,5,),)</f>
        <v/>
      </c>
    </row>
    <row r="1890" ht="21.0" customHeight="1">
      <c r="A1890" s="152"/>
      <c r="B1890" s="160"/>
      <c r="C1890" s="153"/>
      <c r="D1890" s="154"/>
      <c r="E1890" s="139"/>
      <c r="F1890" s="139"/>
      <c r="G1890" s="139"/>
      <c r="H1890" s="135"/>
      <c r="I1890" s="141"/>
      <c r="J1890" s="147" t="str">
        <f>IFERROR(__xludf.DUMMYFUNCTION("IF(ISBLANK(A1890),IFERROR(1/0),IF(COUNT(FILTER(F:F,A:A=A1890))&gt;1,TRUNC(N1890*F1890/SUM(FILTER(N:N,A:A=A1890)),3),F1890))"),"")</f>
        <v/>
      </c>
      <c r="K1890" s="147" t="str">
        <f>IFERROR(__xludf.DUMMYFUNCTION("IF(ISBLANK(A1890),IFERROR(1/0),IF(COUNT(FILTER(G:G,((A:A=A1890)*(B:B=""V""))))&gt;1,TRUNC(N1890*G1890/SUM(FILTER(N:N,((A:A=A1890)*(B:B=""V"")))),3),G1890))"),"")</f>
        <v/>
      </c>
      <c r="L1890" s="148" t="str">
        <f>IFERROR(__xludf.DUMMYFUNCTION("if($C1890="""","""",iferror(if(row()&lt;&gt;2,INDEX(arrayformula(filter($M$2:$M1889,$C$2:$C1889&lt;&gt;"""",row($C$2:$C1889)=max(if($C$2:$C1889=C1890,row($C$2:$C1889),0)))) ,1),0),0))"),"")</f>
        <v/>
      </c>
      <c r="M1890" s="148" t="str">
        <f t="shared" si="1"/>
        <v/>
      </c>
      <c r="N1890" s="147" t="str">
        <f t="shared" si="2"/>
        <v/>
      </c>
      <c r="O1890" s="147" t="str">
        <f t="shared" si="21"/>
        <v/>
      </c>
      <c r="P1890" s="147" t="str">
        <f>IFERROR(__xludf.DUMMYFUNCTION("if(C1890="""","""",iferror(if(row()&lt;&gt;2,INDEX(arrayformula(filter($Q$2:$Q1889,$C$2:$C1889&lt;&gt;"""",row($C$2:$C1889)=max(if($C$2:$C1889=C1890,row($C$2:$C1889),0)))) ,1),0),0))"),"")</f>
        <v/>
      </c>
      <c r="Q1890" s="147" t="str">
        <f t="shared" si="22"/>
        <v/>
      </c>
      <c r="R1890" s="147" t="str">
        <f t="shared" si="23"/>
        <v/>
      </c>
      <c r="S1890" s="147" t="str">
        <f t="shared" si="24"/>
        <v/>
      </c>
      <c r="T1890" s="147" t="str">
        <f t="shared" si="7"/>
        <v/>
      </c>
      <c r="U1890" s="150" t="str">
        <f t="shared" si="8"/>
        <v/>
      </c>
      <c r="V1890" s="151" t="str">
        <f>IFERROR(VLOOKUP(C1890,Ativos!$A$1:$G2000,5,),)</f>
        <v/>
      </c>
    </row>
    <row r="1891" ht="21.0" customHeight="1">
      <c r="A1891" s="152"/>
      <c r="B1891" s="160"/>
      <c r="C1891" s="153"/>
      <c r="D1891" s="154"/>
      <c r="E1891" s="139"/>
      <c r="F1891" s="139"/>
      <c r="G1891" s="139"/>
      <c r="H1891" s="135"/>
      <c r="I1891" s="141"/>
      <c r="J1891" s="147" t="str">
        <f>IFERROR(__xludf.DUMMYFUNCTION("IF(ISBLANK(A1891),IFERROR(1/0),IF(COUNT(FILTER(F:F,A:A=A1891))&gt;1,TRUNC(N1891*F1891/SUM(FILTER(N:N,A:A=A1891)),3),F1891))"),"")</f>
        <v/>
      </c>
      <c r="K1891" s="147" t="str">
        <f>IFERROR(__xludf.DUMMYFUNCTION("IF(ISBLANK(A1891),IFERROR(1/0),IF(COUNT(FILTER(G:G,((A:A=A1891)*(B:B=""V""))))&gt;1,TRUNC(N1891*G1891/SUM(FILTER(N:N,((A:A=A1891)*(B:B=""V"")))),3),G1891))"),"")</f>
        <v/>
      </c>
      <c r="L1891" s="148" t="str">
        <f>IFERROR(__xludf.DUMMYFUNCTION("if($C1891="""","""",iferror(if(row()&lt;&gt;2,INDEX(arrayformula(filter($M$2:$M1890,$C$2:$C1890&lt;&gt;"""",row($C$2:$C1890)=max(if($C$2:$C1890=C1891,row($C$2:$C1890),0)))) ,1),0),0))"),"")</f>
        <v/>
      </c>
      <c r="M1891" s="148" t="str">
        <f t="shared" si="1"/>
        <v/>
      </c>
      <c r="N1891" s="147" t="str">
        <f t="shared" si="2"/>
        <v/>
      </c>
      <c r="O1891" s="147" t="str">
        <f t="shared" si="21"/>
        <v/>
      </c>
      <c r="P1891" s="147" t="str">
        <f>IFERROR(__xludf.DUMMYFUNCTION("if(C1891="""","""",iferror(if(row()&lt;&gt;2,INDEX(arrayformula(filter($Q$2:$Q1890,$C$2:$C1890&lt;&gt;"""",row($C$2:$C1890)=max(if($C$2:$C1890=C1891,row($C$2:$C1890),0)))) ,1),0),0))"),"")</f>
        <v/>
      </c>
      <c r="Q1891" s="147" t="str">
        <f t="shared" si="22"/>
        <v/>
      </c>
      <c r="R1891" s="147" t="str">
        <f t="shared" si="23"/>
        <v/>
      </c>
      <c r="S1891" s="147" t="str">
        <f t="shared" si="24"/>
        <v/>
      </c>
      <c r="T1891" s="147" t="str">
        <f t="shared" si="7"/>
        <v/>
      </c>
      <c r="U1891" s="150" t="str">
        <f t="shared" si="8"/>
        <v/>
      </c>
      <c r="V1891" s="151" t="str">
        <f>IFERROR(VLOOKUP(C1891,Ativos!$A$1:$G2000,5,),)</f>
        <v/>
      </c>
    </row>
    <row r="1892" ht="21.0" customHeight="1">
      <c r="A1892" s="152"/>
      <c r="B1892" s="160"/>
      <c r="C1892" s="153"/>
      <c r="D1892" s="154"/>
      <c r="E1892" s="139"/>
      <c r="F1892" s="139"/>
      <c r="G1892" s="139"/>
      <c r="H1892" s="135"/>
      <c r="I1892" s="141"/>
      <c r="J1892" s="147" t="str">
        <f>IFERROR(__xludf.DUMMYFUNCTION("IF(ISBLANK(A1892),IFERROR(1/0),IF(COUNT(FILTER(F:F,A:A=A1892))&gt;1,TRUNC(N1892*F1892/SUM(FILTER(N:N,A:A=A1892)),3),F1892))"),"")</f>
        <v/>
      </c>
      <c r="K1892" s="147" t="str">
        <f>IFERROR(__xludf.DUMMYFUNCTION("IF(ISBLANK(A1892),IFERROR(1/0),IF(COUNT(FILTER(G:G,((A:A=A1892)*(B:B=""V""))))&gt;1,TRUNC(N1892*G1892/SUM(FILTER(N:N,((A:A=A1892)*(B:B=""V"")))),3),G1892))"),"")</f>
        <v/>
      </c>
      <c r="L1892" s="148" t="str">
        <f>IFERROR(__xludf.DUMMYFUNCTION("if($C1892="""","""",iferror(if(row()&lt;&gt;2,INDEX(arrayformula(filter($M$2:$M1891,$C$2:$C1891&lt;&gt;"""",row($C$2:$C1891)=max(if($C$2:$C1891=C1892,row($C$2:$C1891),0)))) ,1),0),0))"),"")</f>
        <v/>
      </c>
      <c r="M1892" s="148" t="str">
        <f t="shared" si="1"/>
        <v/>
      </c>
      <c r="N1892" s="147" t="str">
        <f t="shared" si="2"/>
        <v/>
      </c>
      <c r="O1892" s="147" t="str">
        <f t="shared" si="21"/>
        <v/>
      </c>
      <c r="P1892" s="147" t="str">
        <f>IFERROR(__xludf.DUMMYFUNCTION("if(C1892="""","""",iferror(if(row()&lt;&gt;2,INDEX(arrayformula(filter($Q$2:$Q1891,$C$2:$C1891&lt;&gt;"""",row($C$2:$C1891)=max(if($C$2:$C1891=C1892,row($C$2:$C1891),0)))) ,1),0),0))"),"")</f>
        <v/>
      </c>
      <c r="Q1892" s="147" t="str">
        <f t="shared" si="22"/>
        <v/>
      </c>
      <c r="R1892" s="147" t="str">
        <f t="shared" si="23"/>
        <v/>
      </c>
      <c r="S1892" s="147" t="str">
        <f t="shared" si="24"/>
        <v/>
      </c>
      <c r="T1892" s="147" t="str">
        <f t="shared" si="7"/>
        <v/>
      </c>
      <c r="U1892" s="150" t="str">
        <f t="shared" si="8"/>
        <v/>
      </c>
      <c r="V1892" s="151" t="str">
        <f>IFERROR(VLOOKUP(C1892,Ativos!$A$1:$G2000,5,),)</f>
        <v/>
      </c>
    </row>
    <row r="1893" ht="21.0" customHeight="1">
      <c r="A1893" s="152"/>
      <c r="B1893" s="160"/>
      <c r="C1893" s="153"/>
      <c r="D1893" s="154"/>
      <c r="E1893" s="139"/>
      <c r="F1893" s="139"/>
      <c r="G1893" s="139"/>
      <c r="H1893" s="135"/>
      <c r="I1893" s="141"/>
      <c r="J1893" s="147" t="str">
        <f>IFERROR(__xludf.DUMMYFUNCTION("IF(ISBLANK(A1893),IFERROR(1/0),IF(COUNT(FILTER(F:F,A:A=A1893))&gt;1,TRUNC(N1893*F1893/SUM(FILTER(N:N,A:A=A1893)),3),F1893))"),"")</f>
        <v/>
      </c>
      <c r="K1893" s="147" t="str">
        <f>IFERROR(__xludf.DUMMYFUNCTION("IF(ISBLANK(A1893),IFERROR(1/0),IF(COUNT(FILTER(G:G,((A:A=A1893)*(B:B=""V""))))&gt;1,TRUNC(N1893*G1893/SUM(FILTER(N:N,((A:A=A1893)*(B:B=""V"")))),3),G1893))"),"")</f>
        <v/>
      </c>
      <c r="L1893" s="148" t="str">
        <f>IFERROR(__xludf.DUMMYFUNCTION("if($C1893="""","""",iferror(if(row()&lt;&gt;2,INDEX(arrayformula(filter($M$2:$M1892,$C$2:$C1892&lt;&gt;"""",row($C$2:$C1892)=max(if($C$2:$C1892=C1893,row($C$2:$C1892),0)))) ,1),0),0))"),"")</f>
        <v/>
      </c>
      <c r="M1893" s="148" t="str">
        <f t="shared" si="1"/>
        <v/>
      </c>
      <c r="N1893" s="147" t="str">
        <f t="shared" si="2"/>
        <v/>
      </c>
      <c r="O1893" s="147" t="str">
        <f t="shared" si="21"/>
        <v/>
      </c>
      <c r="P1893" s="147" t="str">
        <f>IFERROR(__xludf.DUMMYFUNCTION("if(C1893="""","""",iferror(if(row()&lt;&gt;2,INDEX(arrayformula(filter($Q$2:$Q1892,$C$2:$C1892&lt;&gt;"""",row($C$2:$C1892)=max(if($C$2:$C1892=C1893,row($C$2:$C1892),0)))) ,1),0),0))"),"")</f>
        <v/>
      </c>
      <c r="Q1893" s="147" t="str">
        <f t="shared" si="22"/>
        <v/>
      </c>
      <c r="R1893" s="147" t="str">
        <f t="shared" si="23"/>
        <v/>
      </c>
      <c r="S1893" s="147" t="str">
        <f t="shared" si="24"/>
        <v/>
      </c>
      <c r="T1893" s="147" t="str">
        <f t="shared" si="7"/>
        <v/>
      </c>
      <c r="U1893" s="150" t="str">
        <f t="shared" si="8"/>
        <v/>
      </c>
      <c r="V1893" s="151" t="str">
        <f>IFERROR(VLOOKUP(C1893,Ativos!$A$1:$G2000,5,),)</f>
        <v/>
      </c>
    </row>
    <row r="1894" ht="21.0" customHeight="1">
      <c r="A1894" s="152"/>
      <c r="B1894" s="160"/>
      <c r="C1894" s="153"/>
      <c r="D1894" s="154"/>
      <c r="E1894" s="139"/>
      <c r="F1894" s="139"/>
      <c r="G1894" s="139"/>
      <c r="H1894" s="135"/>
      <c r="I1894" s="141"/>
      <c r="J1894" s="147" t="str">
        <f>IFERROR(__xludf.DUMMYFUNCTION("IF(ISBLANK(A1894),IFERROR(1/0),IF(COUNT(FILTER(F:F,A:A=A1894))&gt;1,TRUNC(N1894*F1894/SUM(FILTER(N:N,A:A=A1894)),3),F1894))"),"")</f>
        <v/>
      </c>
      <c r="K1894" s="147" t="str">
        <f>IFERROR(__xludf.DUMMYFUNCTION("IF(ISBLANK(A1894),IFERROR(1/0),IF(COUNT(FILTER(G:G,((A:A=A1894)*(B:B=""V""))))&gt;1,TRUNC(N1894*G1894/SUM(FILTER(N:N,((A:A=A1894)*(B:B=""V"")))),3),G1894))"),"")</f>
        <v/>
      </c>
      <c r="L1894" s="148" t="str">
        <f>IFERROR(__xludf.DUMMYFUNCTION("if($C1894="""","""",iferror(if(row()&lt;&gt;2,INDEX(arrayformula(filter($M$2:$M1893,$C$2:$C1893&lt;&gt;"""",row($C$2:$C1893)=max(if($C$2:$C1893=C1894,row($C$2:$C1893),0)))) ,1),0),0))"),"")</f>
        <v/>
      </c>
      <c r="M1894" s="148" t="str">
        <f t="shared" si="1"/>
        <v/>
      </c>
      <c r="N1894" s="147" t="str">
        <f t="shared" si="2"/>
        <v/>
      </c>
      <c r="O1894" s="147" t="str">
        <f t="shared" si="21"/>
        <v/>
      </c>
      <c r="P1894" s="147" t="str">
        <f>IFERROR(__xludf.DUMMYFUNCTION("if(C1894="""","""",iferror(if(row()&lt;&gt;2,INDEX(arrayformula(filter($Q$2:$Q1893,$C$2:$C1893&lt;&gt;"""",row($C$2:$C1893)=max(if($C$2:$C1893=C1894,row($C$2:$C1893),0)))) ,1),0),0))"),"")</f>
        <v/>
      </c>
      <c r="Q1894" s="147" t="str">
        <f t="shared" si="22"/>
        <v/>
      </c>
      <c r="R1894" s="147" t="str">
        <f t="shared" si="23"/>
        <v/>
      </c>
      <c r="S1894" s="147" t="str">
        <f t="shared" si="24"/>
        <v/>
      </c>
      <c r="T1894" s="147" t="str">
        <f t="shared" si="7"/>
        <v/>
      </c>
      <c r="U1894" s="150" t="str">
        <f t="shared" si="8"/>
        <v/>
      </c>
      <c r="V1894" s="151" t="str">
        <f>IFERROR(VLOOKUP(C1894,Ativos!$A$1:$G2000,5,),)</f>
        <v/>
      </c>
    </row>
    <row r="1895" ht="21.0" customHeight="1">
      <c r="A1895" s="152"/>
      <c r="B1895" s="160"/>
      <c r="C1895" s="153"/>
      <c r="D1895" s="154"/>
      <c r="E1895" s="139"/>
      <c r="F1895" s="139"/>
      <c r="G1895" s="139"/>
      <c r="H1895" s="135"/>
      <c r="I1895" s="141"/>
      <c r="J1895" s="147" t="str">
        <f>IFERROR(__xludf.DUMMYFUNCTION("IF(ISBLANK(A1895),IFERROR(1/0),IF(COUNT(FILTER(F:F,A:A=A1895))&gt;1,TRUNC(N1895*F1895/SUM(FILTER(N:N,A:A=A1895)),3),F1895))"),"")</f>
        <v/>
      </c>
      <c r="K1895" s="147" t="str">
        <f>IFERROR(__xludf.DUMMYFUNCTION("IF(ISBLANK(A1895),IFERROR(1/0),IF(COUNT(FILTER(G:G,((A:A=A1895)*(B:B=""V""))))&gt;1,TRUNC(N1895*G1895/SUM(FILTER(N:N,((A:A=A1895)*(B:B=""V"")))),3),G1895))"),"")</f>
        <v/>
      </c>
      <c r="L1895" s="148" t="str">
        <f>IFERROR(__xludf.DUMMYFUNCTION("if($C1895="""","""",iferror(if(row()&lt;&gt;2,INDEX(arrayformula(filter($M$2:$M1894,$C$2:$C1894&lt;&gt;"""",row($C$2:$C1894)=max(if($C$2:$C1894=C1895,row($C$2:$C1894),0)))) ,1),0),0))"),"")</f>
        <v/>
      </c>
      <c r="M1895" s="148" t="str">
        <f t="shared" si="1"/>
        <v/>
      </c>
      <c r="N1895" s="147" t="str">
        <f t="shared" si="2"/>
        <v/>
      </c>
      <c r="O1895" s="147" t="str">
        <f t="shared" si="21"/>
        <v/>
      </c>
      <c r="P1895" s="147" t="str">
        <f>IFERROR(__xludf.DUMMYFUNCTION("if(C1895="""","""",iferror(if(row()&lt;&gt;2,INDEX(arrayformula(filter($Q$2:$Q1894,$C$2:$C1894&lt;&gt;"""",row($C$2:$C1894)=max(if($C$2:$C1894=C1895,row($C$2:$C1894),0)))) ,1),0),0))"),"")</f>
        <v/>
      </c>
      <c r="Q1895" s="147" t="str">
        <f t="shared" si="22"/>
        <v/>
      </c>
      <c r="R1895" s="147" t="str">
        <f t="shared" si="23"/>
        <v/>
      </c>
      <c r="S1895" s="147" t="str">
        <f t="shared" si="24"/>
        <v/>
      </c>
      <c r="T1895" s="147" t="str">
        <f t="shared" si="7"/>
        <v/>
      </c>
      <c r="U1895" s="150" t="str">
        <f t="shared" si="8"/>
        <v/>
      </c>
      <c r="V1895" s="151" t="str">
        <f>IFERROR(VLOOKUP(C1895,Ativos!$A$1:$G2000,5,),)</f>
        <v/>
      </c>
    </row>
    <row r="1896" ht="21.0" customHeight="1">
      <c r="A1896" s="152"/>
      <c r="B1896" s="160"/>
      <c r="C1896" s="153"/>
      <c r="D1896" s="154"/>
      <c r="E1896" s="139"/>
      <c r="F1896" s="139"/>
      <c r="G1896" s="139"/>
      <c r="H1896" s="135"/>
      <c r="I1896" s="141"/>
      <c r="J1896" s="147" t="str">
        <f>IFERROR(__xludf.DUMMYFUNCTION("IF(ISBLANK(A1896),IFERROR(1/0),IF(COUNT(FILTER(F:F,A:A=A1896))&gt;1,TRUNC(N1896*F1896/SUM(FILTER(N:N,A:A=A1896)),3),F1896))"),"")</f>
        <v/>
      </c>
      <c r="K1896" s="147" t="str">
        <f>IFERROR(__xludf.DUMMYFUNCTION("IF(ISBLANK(A1896),IFERROR(1/0),IF(COUNT(FILTER(G:G,((A:A=A1896)*(B:B=""V""))))&gt;1,TRUNC(N1896*G1896/SUM(FILTER(N:N,((A:A=A1896)*(B:B=""V"")))),3),G1896))"),"")</f>
        <v/>
      </c>
      <c r="L1896" s="148" t="str">
        <f>IFERROR(__xludf.DUMMYFUNCTION("if($C1896="""","""",iferror(if(row()&lt;&gt;2,INDEX(arrayformula(filter($M$2:$M1895,$C$2:$C1895&lt;&gt;"""",row($C$2:$C1895)=max(if($C$2:$C1895=C1896,row($C$2:$C1895),0)))) ,1),0),0))"),"")</f>
        <v/>
      </c>
      <c r="M1896" s="148" t="str">
        <f t="shared" si="1"/>
        <v/>
      </c>
      <c r="N1896" s="147" t="str">
        <f t="shared" si="2"/>
        <v/>
      </c>
      <c r="O1896" s="147" t="str">
        <f t="shared" si="21"/>
        <v/>
      </c>
      <c r="P1896" s="147" t="str">
        <f>IFERROR(__xludf.DUMMYFUNCTION("if(C1896="""","""",iferror(if(row()&lt;&gt;2,INDEX(arrayformula(filter($Q$2:$Q1895,$C$2:$C1895&lt;&gt;"""",row($C$2:$C1895)=max(if($C$2:$C1895=C1896,row($C$2:$C1895),0)))) ,1),0),0))"),"")</f>
        <v/>
      </c>
      <c r="Q1896" s="147" t="str">
        <f t="shared" si="22"/>
        <v/>
      </c>
      <c r="R1896" s="147" t="str">
        <f t="shared" si="23"/>
        <v/>
      </c>
      <c r="S1896" s="147" t="str">
        <f t="shared" si="24"/>
        <v/>
      </c>
      <c r="T1896" s="147" t="str">
        <f t="shared" si="7"/>
        <v/>
      </c>
      <c r="U1896" s="150" t="str">
        <f t="shared" si="8"/>
        <v/>
      </c>
      <c r="V1896" s="151" t="str">
        <f>IFERROR(VLOOKUP(C1896,Ativos!$A$1:$G2000,5,),)</f>
        <v/>
      </c>
    </row>
    <row r="1897" ht="21.0" customHeight="1">
      <c r="A1897" s="152"/>
      <c r="B1897" s="160"/>
      <c r="C1897" s="153"/>
      <c r="D1897" s="154"/>
      <c r="E1897" s="139"/>
      <c r="F1897" s="139"/>
      <c r="G1897" s="139"/>
      <c r="H1897" s="135"/>
      <c r="I1897" s="141"/>
      <c r="J1897" s="147" t="str">
        <f>IFERROR(__xludf.DUMMYFUNCTION("IF(ISBLANK(A1897),IFERROR(1/0),IF(COUNT(FILTER(F:F,A:A=A1897))&gt;1,TRUNC(N1897*F1897/SUM(FILTER(N:N,A:A=A1897)),3),F1897))"),"")</f>
        <v/>
      </c>
      <c r="K1897" s="147" t="str">
        <f>IFERROR(__xludf.DUMMYFUNCTION("IF(ISBLANK(A1897),IFERROR(1/0),IF(COUNT(FILTER(G:G,((A:A=A1897)*(B:B=""V""))))&gt;1,TRUNC(N1897*G1897/SUM(FILTER(N:N,((A:A=A1897)*(B:B=""V"")))),3),G1897))"),"")</f>
        <v/>
      </c>
      <c r="L1897" s="148" t="str">
        <f>IFERROR(__xludf.DUMMYFUNCTION("if($C1897="""","""",iferror(if(row()&lt;&gt;2,INDEX(arrayformula(filter($M$2:$M1896,$C$2:$C1896&lt;&gt;"""",row($C$2:$C1896)=max(if($C$2:$C1896=C1897,row($C$2:$C1896),0)))) ,1),0),0))"),"")</f>
        <v/>
      </c>
      <c r="M1897" s="148" t="str">
        <f t="shared" si="1"/>
        <v/>
      </c>
      <c r="N1897" s="147" t="str">
        <f t="shared" si="2"/>
        <v/>
      </c>
      <c r="O1897" s="147" t="str">
        <f t="shared" si="21"/>
        <v/>
      </c>
      <c r="P1897" s="147" t="str">
        <f>IFERROR(__xludf.DUMMYFUNCTION("if(C1897="""","""",iferror(if(row()&lt;&gt;2,INDEX(arrayformula(filter($Q$2:$Q1896,$C$2:$C1896&lt;&gt;"""",row($C$2:$C1896)=max(if($C$2:$C1896=C1897,row($C$2:$C1896),0)))) ,1),0),0))"),"")</f>
        <v/>
      </c>
      <c r="Q1897" s="147" t="str">
        <f t="shared" si="22"/>
        <v/>
      </c>
      <c r="R1897" s="147" t="str">
        <f t="shared" si="23"/>
        <v/>
      </c>
      <c r="S1897" s="147" t="str">
        <f t="shared" si="24"/>
        <v/>
      </c>
      <c r="T1897" s="147" t="str">
        <f t="shared" si="7"/>
        <v/>
      </c>
      <c r="U1897" s="150" t="str">
        <f t="shared" si="8"/>
        <v/>
      </c>
      <c r="V1897" s="151" t="str">
        <f>IFERROR(VLOOKUP(C1897,Ativos!$A$1:$G2000,5,),)</f>
        <v/>
      </c>
    </row>
    <row r="1898" ht="21.0" customHeight="1">
      <c r="A1898" s="152"/>
      <c r="B1898" s="160"/>
      <c r="C1898" s="153"/>
      <c r="D1898" s="154"/>
      <c r="E1898" s="139"/>
      <c r="F1898" s="139"/>
      <c r="G1898" s="139"/>
      <c r="H1898" s="135"/>
      <c r="I1898" s="141"/>
      <c r="J1898" s="147" t="str">
        <f>IFERROR(__xludf.DUMMYFUNCTION("IF(ISBLANK(A1898),IFERROR(1/0),IF(COUNT(FILTER(F:F,A:A=A1898))&gt;1,TRUNC(N1898*F1898/SUM(FILTER(N:N,A:A=A1898)),3),F1898))"),"")</f>
        <v/>
      </c>
      <c r="K1898" s="147" t="str">
        <f>IFERROR(__xludf.DUMMYFUNCTION("IF(ISBLANK(A1898),IFERROR(1/0),IF(COUNT(FILTER(G:G,((A:A=A1898)*(B:B=""V""))))&gt;1,TRUNC(N1898*G1898/SUM(FILTER(N:N,((A:A=A1898)*(B:B=""V"")))),3),G1898))"),"")</f>
        <v/>
      </c>
      <c r="L1898" s="148" t="str">
        <f>IFERROR(__xludf.DUMMYFUNCTION("if($C1898="""","""",iferror(if(row()&lt;&gt;2,INDEX(arrayformula(filter($M$2:$M1897,$C$2:$C1897&lt;&gt;"""",row($C$2:$C1897)=max(if($C$2:$C1897=C1898,row($C$2:$C1897),0)))) ,1),0),0))"),"")</f>
        <v/>
      </c>
      <c r="M1898" s="148" t="str">
        <f t="shared" si="1"/>
        <v/>
      </c>
      <c r="N1898" s="147" t="str">
        <f t="shared" si="2"/>
        <v/>
      </c>
      <c r="O1898" s="147" t="str">
        <f t="shared" si="21"/>
        <v/>
      </c>
      <c r="P1898" s="147" t="str">
        <f>IFERROR(__xludf.DUMMYFUNCTION("if(C1898="""","""",iferror(if(row()&lt;&gt;2,INDEX(arrayformula(filter($Q$2:$Q1897,$C$2:$C1897&lt;&gt;"""",row($C$2:$C1897)=max(if($C$2:$C1897=C1898,row($C$2:$C1897),0)))) ,1),0),0))"),"")</f>
        <v/>
      </c>
      <c r="Q1898" s="147" t="str">
        <f t="shared" si="22"/>
        <v/>
      </c>
      <c r="R1898" s="147" t="str">
        <f t="shared" si="23"/>
        <v/>
      </c>
      <c r="S1898" s="147" t="str">
        <f t="shared" si="24"/>
        <v/>
      </c>
      <c r="T1898" s="147" t="str">
        <f t="shared" si="7"/>
        <v/>
      </c>
      <c r="U1898" s="150" t="str">
        <f t="shared" si="8"/>
        <v/>
      </c>
      <c r="V1898" s="151" t="str">
        <f>IFERROR(VLOOKUP(C1898,Ativos!$A$1:$G2000,5,),)</f>
        <v/>
      </c>
    </row>
    <row r="1899" ht="21.0" customHeight="1">
      <c r="A1899" s="152"/>
      <c r="B1899" s="160"/>
      <c r="C1899" s="153"/>
      <c r="D1899" s="154"/>
      <c r="E1899" s="139"/>
      <c r="F1899" s="139"/>
      <c r="G1899" s="139"/>
      <c r="H1899" s="135"/>
      <c r="I1899" s="141"/>
      <c r="J1899" s="147" t="str">
        <f>IFERROR(__xludf.DUMMYFUNCTION("IF(ISBLANK(A1899),IFERROR(1/0),IF(COUNT(FILTER(F:F,A:A=A1899))&gt;1,TRUNC(N1899*F1899/SUM(FILTER(N:N,A:A=A1899)),3),F1899))"),"")</f>
        <v/>
      </c>
      <c r="K1899" s="147" t="str">
        <f>IFERROR(__xludf.DUMMYFUNCTION("IF(ISBLANK(A1899),IFERROR(1/0),IF(COUNT(FILTER(G:G,((A:A=A1899)*(B:B=""V""))))&gt;1,TRUNC(N1899*G1899/SUM(FILTER(N:N,((A:A=A1899)*(B:B=""V"")))),3),G1899))"),"")</f>
        <v/>
      </c>
      <c r="L1899" s="148" t="str">
        <f>IFERROR(__xludf.DUMMYFUNCTION("if($C1899="""","""",iferror(if(row()&lt;&gt;2,INDEX(arrayformula(filter($M$2:$M1898,$C$2:$C1898&lt;&gt;"""",row($C$2:$C1898)=max(if($C$2:$C1898=C1899,row($C$2:$C1898),0)))) ,1),0),0))"),"")</f>
        <v/>
      </c>
      <c r="M1899" s="148" t="str">
        <f t="shared" si="1"/>
        <v/>
      </c>
      <c r="N1899" s="147" t="str">
        <f t="shared" si="2"/>
        <v/>
      </c>
      <c r="O1899" s="147" t="str">
        <f t="shared" si="21"/>
        <v/>
      </c>
      <c r="P1899" s="147" t="str">
        <f>IFERROR(__xludf.DUMMYFUNCTION("if(C1899="""","""",iferror(if(row()&lt;&gt;2,INDEX(arrayformula(filter($Q$2:$Q1898,$C$2:$C1898&lt;&gt;"""",row($C$2:$C1898)=max(if($C$2:$C1898=C1899,row($C$2:$C1898),0)))) ,1),0),0))"),"")</f>
        <v/>
      </c>
      <c r="Q1899" s="147" t="str">
        <f t="shared" si="22"/>
        <v/>
      </c>
      <c r="R1899" s="147" t="str">
        <f t="shared" si="23"/>
        <v/>
      </c>
      <c r="S1899" s="147" t="str">
        <f t="shared" si="24"/>
        <v/>
      </c>
      <c r="T1899" s="147" t="str">
        <f t="shared" si="7"/>
        <v/>
      </c>
      <c r="U1899" s="150" t="str">
        <f t="shared" si="8"/>
        <v/>
      </c>
      <c r="V1899" s="151" t="str">
        <f>IFERROR(VLOOKUP(C1899,Ativos!$A$1:$G2000,5,),)</f>
        <v/>
      </c>
    </row>
    <row r="1900" ht="21.0" customHeight="1">
      <c r="A1900" s="152"/>
      <c r="B1900" s="160"/>
      <c r="C1900" s="153"/>
      <c r="D1900" s="154"/>
      <c r="E1900" s="139"/>
      <c r="F1900" s="139"/>
      <c r="G1900" s="139"/>
      <c r="H1900" s="135"/>
      <c r="I1900" s="141"/>
      <c r="J1900" s="147" t="str">
        <f>IFERROR(__xludf.DUMMYFUNCTION("IF(ISBLANK(A1900),IFERROR(1/0),IF(COUNT(FILTER(F:F,A:A=A1900))&gt;1,TRUNC(N1900*F1900/SUM(FILTER(N:N,A:A=A1900)),3),F1900))"),"")</f>
        <v/>
      </c>
      <c r="K1900" s="147" t="str">
        <f>IFERROR(__xludf.DUMMYFUNCTION("IF(ISBLANK(A1900),IFERROR(1/0),IF(COUNT(FILTER(G:G,((A:A=A1900)*(B:B=""V""))))&gt;1,TRUNC(N1900*G1900/SUM(FILTER(N:N,((A:A=A1900)*(B:B=""V"")))),3),G1900))"),"")</f>
        <v/>
      </c>
      <c r="L1900" s="148" t="str">
        <f>IFERROR(__xludf.DUMMYFUNCTION("if($C1900="""","""",iferror(if(row()&lt;&gt;2,INDEX(arrayformula(filter($M$2:$M1899,$C$2:$C1899&lt;&gt;"""",row($C$2:$C1899)=max(if($C$2:$C1899=C1900,row($C$2:$C1899),0)))) ,1),0),0))"),"")</f>
        <v/>
      </c>
      <c r="M1900" s="148" t="str">
        <f t="shared" si="1"/>
        <v/>
      </c>
      <c r="N1900" s="147" t="str">
        <f t="shared" si="2"/>
        <v/>
      </c>
      <c r="O1900" s="147" t="str">
        <f t="shared" si="21"/>
        <v/>
      </c>
      <c r="P1900" s="147" t="str">
        <f>IFERROR(__xludf.DUMMYFUNCTION("if(C1900="""","""",iferror(if(row()&lt;&gt;2,INDEX(arrayformula(filter($Q$2:$Q1899,$C$2:$C1899&lt;&gt;"""",row($C$2:$C1899)=max(if($C$2:$C1899=C1900,row($C$2:$C1899),0)))) ,1),0),0))"),"")</f>
        <v/>
      </c>
      <c r="Q1900" s="147" t="str">
        <f t="shared" si="22"/>
        <v/>
      </c>
      <c r="R1900" s="147" t="str">
        <f t="shared" si="23"/>
        <v/>
      </c>
      <c r="S1900" s="147" t="str">
        <f t="shared" si="24"/>
        <v/>
      </c>
      <c r="T1900" s="147" t="str">
        <f t="shared" si="7"/>
        <v/>
      </c>
      <c r="U1900" s="150" t="str">
        <f t="shared" si="8"/>
        <v/>
      </c>
      <c r="V1900" s="151" t="str">
        <f>IFERROR(VLOOKUP(C1900,Ativos!$A$1:$G2000,5,),)</f>
        <v/>
      </c>
    </row>
    <row r="1901" ht="21.0" customHeight="1">
      <c r="A1901" s="152"/>
      <c r="B1901" s="160"/>
      <c r="C1901" s="153"/>
      <c r="D1901" s="154"/>
      <c r="E1901" s="139"/>
      <c r="F1901" s="139"/>
      <c r="G1901" s="139"/>
      <c r="H1901" s="135"/>
      <c r="I1901" s="141"/>
      <c r="J1901" s="147" t="str">
        <f>IFERROR(__xludf.DUMMYFUNCTION("IF(ISBLANK(A1901),IFERROR(1/0),IF(COUNT(FILTER(F:F,A:A=A1901))&gt;1,TRUNC(N1901*F1901/SUM(FILTER(N:N,A:A=A1901)),3),F1901))"),"")</f>
        <v/>
      </c>
      <c r="K1901" s="147" t="str">
        <f>IFERROR(__xludf.DUMMYFUNCTION("IF(ISBLANK(A1901),IFERROR(1/0),IF(COUNT(FILTER(G:G,((A:A=A1901)*(B:B=""V""))))&gt;1,TRUNC(N1901*G1901/SUM(FILTER(N:N,((A:A=A1901)*(B:B=""V"")))),3),G1901))"),"")</f>
        <v/>
      </c>
      <c r="L1901" s="148" t="str">
        <f>IFERROR(__xludf.DUMMYFUNCTION("if($C1901="""","""",iferror(if(row()&lt;&gt;2,INDEX(arrayformula(filter($M$2:$M1900,$C$2:$C1900&lt;&gt;"""",row($C$2:$C1900)=max(if($C$2:$C1900=C1901,row($C$2:$C1900),0)))) ,1),0),0))"),"")</f>
        <v/>
      </c>
      <c r="M1901" s="148" t="str">
        <f t="shared" si="1"/>
        <v/>
      </c>
      <c r="N1901" s="147" t="str">
        <f t="shared" si="2"/>
        <v/>
      </c>
      <c r="O1901" s="147" t="str">
        <f t="shared" si="21"/>
        <v/>
      </c>
      <c r="P1901" s="147" t="str">
        <f>IFERROR(__xludf.DUMMYFUNCTION("if(C1901="""","""",iferror(if(row()&lt;&gt;2,INDEX(arrayformula(filter($Q$2:$Q1900,$C$2:$C1900&lt;&gt;"""",row($C$2:$C1900)=max(if($C$2:$C1900=C1901,row($C$2:$C1900),0)))) ,1),0),0))"),"")</f>
        <v/>
      </c>
      <c r="Q1901" s="147" t="str">
        <f t="shared" si="22"/>
        <v/>
      </c>
      <c r="R1901" s="147" t="str">
        <f t="shared" si="23"/>
        <v/>
      </c>
      <c r="S1901" s="147" t="str">
        <f t="shared" si="24"/>
        <v/>
      </c>
      <c r="T1901" s="147" t="str">
        <f t="shared" si="7"/>
        <v/>
      </c>
      <c r="U1901" s="150" t="str">
        <f t="shared" si="8"/>
        <v/>
      </c>
      <c r="V1901" s="151" t="str">
        <f>IFERROR(VLOOKUP(C1901,Ativos!$A$1:$G2000,5,),)</f>
        <v/>
      </c>
    </row>
    <row r="1902" ht="21.0" customHeight="1">
      <c r="A1902" s="152"/>
      <c r="B1902" s="160"/>
      <c r="C1902" s="153"/>
      <c r="D1902" s="154"/>
      <c r="E1902" s="139"/>
      <c r="F1902" s="139"/>
      <c r="G1902" s="139"/>
      <c r="H1902" s="135"/>
      <c r="I1902" s="141"/>
      <c r="J1902" s="147" t="str">
        <f>IFERROR(__xludf.DUMMYFUNCTION("IF(ISBLANK(A1902),IFERROR(1/0),IF(COUNT(FILTER(F:F,A:A=A1902))&gt;1,TRUNC(N1902*F1902/SUM(FILTER(N:N,A:A=A1902)),3),F1902))"),"")</f>
        <v/>
      </c>
      <c r="K1902" s="147" t="str">
        <f>IFERROR(__xludf.DUMMYFUNCTION("IF(ISBLANK(A1902),IFERROR(1/0),IF(COUNT(FILTER(G:G,((A:A=A1902)*(B:B=""V""))))&gt;1,TRUNC(N1902*G1902/SUM(FILTER(N:N,((A:A=A1902)*(B:B=""V"")))),3),G1902))"),"")</f>
        <v/>
      </c>
      <c r="L1902" s="148" t="str">
        <f>IFERROR(__xludf.DUMMYFUNCTION("if($C1902="""","""",iferror(if(row()&lt;&gt;2,INDEX(arrayformula(filter($M$2:$M1901,$C$2:$C1901&lt;&gt;"""",row($C$2:$C1901)=max(if($C$2:$C1901=C1902,row($C$2:$C1901),0)))) ,1),0),0))"),"")</f>
        <v/>
      </c>
      <c r="M1902" s="148" t="str">
        <f t="shared" si="1"/>
        <v/>
      </c>
      <c r="N1902" s="147" t="str">
        <f t="shared" si="2"/>
        <v/>
      </c>
      <c r="O1902" s="147" t="str">
        <f t="shared" si="21"/>
        <v/>
      </c>
      <c r="P1902" s="147" t="str">
        <f>IFERROR(__xludf.DUMMYFUNCTION("if(C1902="""","""",iferror(if(row()&lt;&gt;2,INDEX(arrayformula(filter($Q$2:$Q1901,$C$2:$C1901&lt;&gt;"""",row($C$2:$C1901)=max(if($C$2:$C1901=C1902,row($C$2:$C1901),0)))) ,1),0),0))"),"")</f>
        <v/>
      </c>
      <c r="Q1902" s="147" t="str">
        <f t="shared" si="22"/>
        <v/>
      </c>
      <c r="R1902" s="147" t="str">
        <f t="shared" si="23"/>
        <v/>
      </c>
      <c r="S1902" s="147" t="str">
        <f t="shared" si="24"/>
        <v/>
      </c>
      <c r="T1902" s="147" t="str">
        <f t="shared" si="7"/>
        <v/>
      </c>
      <c r="U1902" s="150" t="str">
        <f t="shared" si="8"/>
        <v/>
      </c>
      <c r="V1902" s="151" t="str">
        <f>IFERROR(VLOOKUP(C1902,Ativos!$A$1:$G2000,5,),)</f>
        <v/>
      </c>
    </row>
    <row r="1903" ht="21.0" customHeight="1">
      <c r="A1903" s="152"/>
      <c r="B1903" s="160"/>
      <c r="C1903" s="153"/>
      <c r="D1903" s="154"/>
      <c r="E1903" s="139"/>
      <c r="F1903" s="139"/>
      <c r="G1903" s="139"/>
      <c r="H1903" s="135"/>
      <c r="I1903" s="141"/>
      <c r="J1903" s="147" t="str">
        <f>IFERROR(__xludf.DUMMYFUNCTION("IF(ISBLANK(A1903),IFERROR(1/0),IF(COUNT(FILTER(F:F,A:A=A1903))&gt;1,TRUNC(N1903*F1903/SUM(FILTER(N:N,A:A=A1903)),3),F1903))"),"")</f>
        <v/>
      </c>
      <c r="K1903" s="147" t="str">
        <f>IFERROR(__xludf.DUMMYFUNCTION("IF(ISBLANK(A1903),IFERROR(1/0),IF(COUNT(FILTER(G:G,((A:A=A1903)*(B:B=""V""))))&gt;1,TRUNC(N1903*G1903/SUM(FILTER(N:N,((A:A=A1903)*(B:B=""V"")))),3),G1903))"),"")</f>
        <v/>
      </c>
      <c r="L1903" s="148" t="str">
        <f>IFERROR(__xludf.DUMMYFUNCTION("if($C1903="""","""",iferror(if(row()&lt;&gt;2,INDEX(arrayformula(filter($M$2:$M1902,$C$2:$C1902&lt;&gt;"""",row($C$2:$C1902)=max(if($C$2:$C1902=C1903,row($C$2:$C1902),0)))) ,1),0),0))"),"")</f>
        <v/>
      </c>
      <c r="M1903" s="148" t="str">
        <f t="shared" si="1"/>
        <v/>
      </c>
      <c r="N1903" s="147" t="str">
        <f t="shared" si="2"/>
        <v/>
      </c>
      <c r="O1903" s="147" t="str">
        <f t="shared" si="21"/>
        <v/>
      </c>
      <c r="P1903" s="147" t="str">
        <f>IFERROR(__xludf.DUMMYFUNCTION("if(C1903="""","""",iferror(if(row()&lt;&gt;2,INDEX(arrayformula(filter($Q$2:$Q1902,$C$2:$C1902&lt;&gt;"""",row($C$2:$C1902)=max(if($C$2:$C1902=C1903,row($C$2:$C1902),0)))) ,1),0),0))"),"")</f>
        <v/>
      </c>
      <c r="Q1903" s="147" t="str">
        <f t="shared" si="22"/>
        <v/>
      </c>
      <c r="R1903" s="147" t="str">
        <f t="shared" si="23"/>
        <v/>
      </c>
      <c r="S1903" s="147" t="str">
        <f t="shared" si="24"/>
        <v/>
      </c>
      <c r="T1903" s="147" t="str">
        <f t="shared" si="7"/>
        <v/>
      </c>
      <c r="U1903" s="150" t="str">
        <f t="shared" si="8"/>
        <v/>
      </c>
      <c r="V1903" s="151" t="str">
        <f>IFERROR(VLOOKUP(C1903,Ativos!$A$1:$G2000,5,),)</f>
        <v/>
      </c>
    </row>
    <row r="1904" ht="21.0" customHeight="1">
      <c r="A1904" s="152"/>
      <c r="B1904" s="160"/>
      <c r="C1904" s="153"/>
      <c r="D1904" s="154"/>
      <c r="E1904" s="139"/>
      <c r="F1904" s="139"/>
      <c r="G1904" s="139"/>
      <c r="H1904" s="135"/>
      <c r="I1904" s="141"/>
      <c r="J1904" s="147" t="str">
        <f>IFERROR(__xludf.DUMMYFUNCTION("IF(ISBLANK(A1904),IFERROR(1/0),IF(COUNT(FILTER(F:F,A:A=A1904))&gt;1,TRUNC(N1904*F1904/SUM(FILTER(N:N,A:A=A1904)),3),F1904))"),"")</f>
        <v/>
      </c>
      <c r="K1904" s="147" t="str">
        <f>IFERROR(__xludf.DUMMYFUNCTION("IF(ISBLANK(A1904),IFERROR(1/0),IF(COUNT(FILTER(G:G,((A:A=A1904)*(B:B=""V""))))&gt;1,TRUNC(N1904*G1904/SUM(FILTER(N:N,((A:A=A1904)*(B:B=""V"")))),3),G1904))"),"")</f>
        <v/>
      </c>
      <c r="L1904" s="148" t="str">
        <f>IFERROR(__xludf.DUMMYFUNCTION("if($C1904="""","""",iferror(if(row()&lt;&gt;2,INDEX(arrayformula(filter($M$2:$M1903,$C$2:$C1903&lt;&gt;"""",row($C$2:$C1903)=max(if($C$2:$C1903=C1904,row($C$2:$C1903),0)))) ,1),0),0))"),"")</f>
        <v/>
      </c>
      <c r="M1904" s="148" t="str">
        <f t="shared" si="1"/>
        <v/>
      </c>
      <c r="N1904" s="147" t="str">
        <f t="shared" si="2"/>
        <v/>
      </c>
      <c r="O1904" s="147" t="str">
        <f t="shared" si="21"/>
        <v/>
      </c>
      <c r="P1904" s="147" t="str">
        <f>IFERROR(__xludf.DUMMYFUNCTION("if(C1904="""","""",iferror(if(row()&lt;&gt;2,INDEX(arrayformula(filter($Q$2:$Q1903,$C$2:$C1903&lt;&gt;"""",row($C$2:$C1903)=max(if($C$2:$C1903=C1904,row($C$2:$C1903),0)))) ,1),0),0))"),"")</f>
        <v/>
      </c>
      <c r="Q1904" s="147" t="str">
        <f t="shared" si="22"/>
        <v/>
      </c>
      <c r="R1904" s="147" t="str">
        <f t="shared" si="23"/>
        <v/>
      </c>
      <c r="S1904" s="147" t="str">
        <f t="shared" si="24"/>
        <v/>
      </c>
      <c r="T1904" s="147" t="str">
        <f t="shared" si="7"/>
        <v/>
      </c>
      <c r="U1904" s="150" t="str">
        <f t="shared" si="8"/>
        <v/>
      </c>
      <c r="V1904" s="151" t="str">
        <f>IFERROR(VLOOKUP(C1904,Ativos!$A$1:$G2000,5,),)</f>
        <v/>
      </c>
    </row>
    <row r="1905" ht="21.0" customHeight="1">
      <c r="A1905" s="152"/>
      <c r="B1905" s="160"/>
      <c r="C1905" s="153"/>
      <c r="D1905" s="154"/>
      <c r="E1905" s="139"/>
      <c r="F1905" s="139"/>
      <c r="G1905" s="139"/>
      <c r="H1905" s="135"/>
      <c r="I1905" s="141"/>
      <c r="J1905" s="147" t="str">
        <f>IFERROR(__xludf.DUMMYFUNCTION("IF(ISBLANK(A1905),IFERROR(1/0),IF(COUNT(FILTER(F:F,A:A=A1905))&gt;1,TRUNC(N1905*F1905/SUM(FILTER(N:N,A:A=A1905)),3),F1905))"),"")</f>
        <v/>
      </c>
      <c r="K1905" s="147" t="str">
        <f>IFERROR(__xludf.DUMMYFUNCTION("IF(ISBLANK(A1905),IFERROR(1/0),IF(COUNT(FILTER(G:G,((A:A=A1905)*(B:B=""V""))))&gt;1,TRUNC(N1905*G1905/SUM(FILTER(N:N,((A:A=A1905)*(B:B=""V"")))),3),G1905))"),"")</f>
        <v/>
      </c>
      <c r="L1905" s="148" t="str">
        <f>IFERROR(__xludf.DUMMYFUNCTION("if($C1905="""","""",iferror(if(row()&lt;&gt;2,INDEX(arrayformula(filter($M$2:$M1904,$C$2:$C1904&lt;&gt;"""",row($C$2:$C1904)=max(if($C$2:$C1904=C1905,row($C$2:$C1904),0)))) ,1),0),0))"),"")</f>
        <v/>
      </c>
      <c r="M1905" s="148" t="str">
        <f t="shared" si="1"/>
        <v/>
      </c>
      <c r="N1905" s="147" t="str">
        <f t="shared" si="2"/>
        <v/>
      </c>
      <c r="O1905" s="147" t="str">
        <f t="shared" si="21"/>
        <v/>
      </c>
      <c r="P1905" s="147" t="str">
        <f>IFERROR(__xludf.DUMMYFUNCTION("if(C1905="""","""",iferror(if(row()&lt;&gt;2,INDEX(arrayformula(filter($Q$2:$Q1904,$C$2:$C1904&lt;&gt;"""",row($C$2:$C1904)=max(if($C$2:$C1904=C1905,row($C$2:$C1904),0)))) ,1),0),0))"),"")</f>
        <v/>
      </c>
      <c r="Q1905" s="147" t="str">
        <f t="shared" si="22"/>
        <v/>
      </c>
      <c r="R1905" s="147" t="str">
        <f t="shared" si="23"/>
        <v/>
      </c>
      <c r="S1905" s="147" t="str">
        <f t="shared" si="24"/>
        <v/>
      </c>
      <c r="T1905" s="147" t="str">
        <f t="shared" si="7"/>
        <v/>
      </c>
      <c r="U1905" s="150" t="str">
        <f t="shared" si="8"/>
        <v/>
      </c>
      <c r="V1905" s="151" t="str">
        <f>IFERROR(VLOOKUP(C1905,Ativos!$A$1:$G2000,5,),)</f>
        <v/>
      </c>
    </row>
    <row r="1906" ht="21.0" customHeight="1">
      <c r="A1906" s="152"/>
      <c r="B1906" s="160"/>
      <c r="C1906" s="153"/>
      <c r="D1906" s="154"/>
      <c r="E1906" s="139"/>
      <c r="F1906" s="139"/>
      <c r="G1906" s="139"/>
      <c r="H1906" s="135"/>
      <c r="I1906" s="141"/>
      <c r="J1906" s="147" t="str">
        <f>IFERROR(__xludf.DUMMYFUNCTION("IF(ISBLANK(A1906),IFERROR(1/0),IF(COUNT(FILTER(F:F,A:A=A1906))&gt;1,TRUNC(N1906*F1906/SUM(FILTER(N:N,A:A=A1906)),3),F1906))"),"")</f>
        <v/>
      </c>
      <c r="K1906" s="147" t="str">
        <f>IFERROR(__xludf.DUMMYFUNCTION("IF(ISBLANK(A1906),IFERROR(1/0),IF(COUNT(FILTER(G:G,((A:A=A1906)*(B:B=""V""))))&gt;1,TRUNC(N1906*G1906/SUM(FILTER(N:N,((A:A=A1906)*(B:B=""V"")))),3),G1906))"),"")</f>
        <v/>
      </c>
      <c r="L1906" s="148" t="str">
        <f>IFERROR(__xludf.DUMMYFUNCTION("if($C1906="""","""",iferror(if(row()&lt;&gt;2,INDEX(arrayformula(filter($M$2:$M1905,$C$2:$C1905&lt;&gt;"""",row($C$2:$C1905)=max(if($C$2:$C1905=C1906,row($C$2:$C1905),0)))) ,1),0),0))"),"")</f>
        <v/>
      </c>
      <c r="M1906" s="148" t="str">
        <f t="shared" si="1"/>
        <v/>
      </c>
      <c r="N1906" s="147" t="str">
        <f t="shared" si="2"/>
        <v/>
      </c>
      <c r="O1906" s="147" t="str">
        <f t="shared" si="21"/>
        <v/>
      </c>
      <c r="P1906" s="147" t="str">
        <f>IFERROR(__xludf.DUMMYFUNCTION("if(C1906="""","""",iferror(if(row()&lt;&gt;2,INDEX(arrayformula(filter($Q$2:$Q1905,$C$2:$C1905&lt;&gt;"""",row($C$2:$C1905)=max(if($C$2:$C1905=C1906,row($C$2:$C1905),0)))) ,1),0),0))"),"")</f>
        <v/>
      </c>
      <c r="Q1906" s="147" t="str">
        <f t="shared" si="22"/>
        <v/>
      </c>
      <c r="R1906" s="147" t="str">
        <f t="shared" si="23"/>
        <v/>
      </c>
      <c r="S1906" s="147" t="str">
        <f t="shared" si="24"/>
        <v/>
      </c>
      <c r="T1906" s="147" t="str">
        <f t="shared" si="7"/>
        <v/>
      </c>
      <c r="U1906" s="150" t="str">
        <f t="shared" si="8"/>
        <v/>
      </c>
      <c r="V1906" s="151" t="str">
        <f>IFERROR(VLOOKUP(C1906,Ativos!$A$1:$G2000,5,),)</f>
        <v/>
      </c>
    </row>
    <row r="1907" ht="21.0" customHeight="1">
      <c r="A1907" s="152"/>
      <c r="B1907" s="160"/>
      <c r="C1907" s="153"/>
      <c r="D1907" s="154"/>
      <c r="E1907" s="139"/>
      <c r="F1907" s="139"/>
      <c r="G1907" s="139"/>
      <c r="H1907" s="135"/>
      <c r="I1907" s="141"/>
      <c r="J1907" s="147" t="str">
        <f>IFERROR(__xludf.DUMMYFUNCTION("IF(ISBLANK(A1907),IFERROR(1/0),IF(COUNT(FILTER(F:F,A:A=A1907))&gt;1,TRUNC(N1907*F1907/SUM(FILTER(N:N,A:A=A1907)),3),F1907))"),"")</f>
        <v/>
      </c>
      <c r="K1907" s="147" t="str">
        <f>IFERROR(__xludf.DUMMYFUNCTION("IF(ISBLANK(A1907),IFERROR(1/0),IF(COUNT(FILTER(G:G,((A:A=A1907)*(B:B=""V""))))&gt;1,TRUNC(N1907*G1907/SUM(FILTER(N:N,((A:A=A1907)*(B:B=""V"")))),3),G1907))"),"")</f>
        <v/>
      </c>
      <c r="L1907" s="148" t="str">
        <f>IFERROR(__xludf.DUMMYFUNCTION("if($C1907="""","""",iferror(if(row()&lt;&gt;2,INDEX(arrayformula(filter($M$2:$M1906,$C$2:$C1906&lt;&gt;"""",row($C$2:$C1906)=max(if($C$2:$C1906=C1907,row($C$2:$C1906),0)))) ,1),0),0))"),"")</f>
        <v/>
      </c>
      <c r="M1907" s="148" t="str">
        <f t="shared" si="1"/>
        <v/>
      </c>
      <c r="N1907" s="147" t="str">
        <f t="shared" si="2"/>
        <v/>
      </c>
      <c r="O1907" s="147" t="str">
        <f t="shared" si="21"/>
        <v/>
      </c>
      <c r="P1907" s="147" t="str">
        <f>IFERROR(__xludf.DUMMYFUNCTION("if(C1907="""","""",iferror(if(row()&lt;&gt;2,INDEX(arrayformula(filter($Q$2:$Q1906,$C$2:$C1906&lt;&gt;"""",row($C$2:$C1906)=max(if($C$2:$C1906=C1907,row($C$2:$C1906),0)))) ,1),0),0))"),"")</f>
        <v/>
      </c>
      <c r="Q1907" s="147" t="str">
        <f t="shared" si="22"/>
        <v/>
      </c>
      <c r="R1907" s="147" t="str">
        <f t="shared" si="23"/>
        <v/>
      </c>
      <c r="S1907" s="147" t="str">
        <f t="shared" si="24"/>
        <v/>
      </c>
      <c r="T1907" s="147" t="str">
        <f t="shared" si="7"/>
        <v/>
      </c>
      <c r="U1907" s="150" t="str">
        <f t="shared" si="8"/>
        <v/>
      </c>
      <c r="V1907" s="151" t="str">
        <f>IFERROR(VLOOKUP(C1907,Ativos!$A$1:$G2000,5,),)</f>
        <v/>
      </c>
    </row>
    <row r="1908" ht="21.0" customHeight="1">
      <c r="A1908" s="152"/>
      <c r="B1908" s="160"/>
      <c r="C1908" s="153"/>
      <c r="D1908" s="154"/>
      <c r="E1908" s="139"/>
      <c r="F1908" s="139"/>
      <c r="G1908" s="139"/>
      <c r="H1908" s="135"/>
      <c r="I1908" s="141"/>
      <c r="J1908" s="147" t="str">
        <f>IFERROR(__xludf.DUMMYFUNCTION("IF(ISBLANK(A1908),IFERROR(1/0),IF(COUNT(FILTER(F:F,A:A=A1908))&gt;1,TRUNC(N1908*F1908/SUM(FILTER(N:N,A:A=A1908)),3),F1908))"),"")</f>
        <v/>
      </c>
      <c r="K1908" s="147" t="str">
        <f>IFERROR(__xludf.DUMMYFUNCTION("IF(ISBLANK(A1908),IFERROR(1/0),IF(COUNT(FILTER(G:G,((A:A=A1908)*(B:B=""V""))))&gt;1,TRUNC(N1908*G1908/SUM(FILTER(N:N,((A:A=A1908)*(B:B=""V"")))),3),G1908))"),"")</f>
        <v/>
      </c>
      <c r="L1908" s="148" t="str">
        <f>IFERROR(__xludf.DUMMYFUNCTION("if($C1908="""","""",iferror(if(row()&lt;&gt;2,INDEX(arrayformula(filter($M$2:$M1907,$C$2:$C1907&lt;&gt;"""",row($C$2:$C1907)=max(if($C$2:$C1907=C1908,row($C$2:$C1907),0)))) ,1),0),0))"),"")</f>
        <v/>
      </c>
      <c r="M1908" s="148" t="str">
        <f t="shared" si="1"/>
        <v/>
      </c>
      <c r="N1908" s="147" t="str">
        <f t="shared" si="2"/>
        <v/>
      </c>
      <c r="O1908" s="147" t="str">
        <f t="shared" si="21"/>
        <v/>
      </c>
      <c r="P1908" s="147" t="str">
        <f>IFERROR(__xludf.DUMMYFUNCTION("if(C1908="""","""",iferror(if(row()&lt;&gt;2,INDEX(arrayformula(filter($Q$2:$Q1907,$C$2:$C1907&lt;&gt;"""",row($C$2:$C1907)=max(if($C$2:$C1907=C1908,row($C$2:$C1907),0)))) ,1),0),0))"),"")</f>
        <v/>
      </c>
      <c r="Q1908" s="147" t="str">
        <f t="shared" si="22"/>
        <v/>
      </c>
      <c r="R1908" s="147" t="str">
        <f t="shared" si="23"/>
        <v/>
      </c>
      <c r="S1908" s="147" t="str">
        <f t="shared" si="24"/>
        <v/>
      </c>
      <c r="T1908" s="147" t="str">
        <f t="shared" si="7"/>
        <v/>
      </c>
      <c r="U1908" s="150" t="str">
        <f t="shared" si="8"/>
        <v/>
      </c>
      <c r="V1908" s="151" t="str">
        <f>IFERROR(VLOOKUP(C1908,Ativos!$A$1:$G2000,5,),)</f>
        <v/>
      </c>
    </row>
    <row r="1909" ht="21.0" customHeight="1">
      <c r="A1909" s="152"/>
      <c r="B1909" s="160"/>
      <c r="C1909" s="153"/>
      <c r="D1909" s="154"/>
      <c r="E1909" s="139"/>
      <c r="F1909" s="139"/>
      <c r="G1909" s="139"/>
      <c r="H1909" s="135"/>
      <c r="I1909" s="141"/>
      <c r="J1909" s="147" t="str">
        <f>IFERROR(__xludf.DUMMYFUNCTION("IF(ISBLANK(A1909),IFERROR(1/0),IF(COUNT(FILTER(F:F,A:A=A1909))&gt;1,TRUNC(N1909*F1909/SUM(FILTER(N:N,A:A=A1909)),3),F1909))"),"")</f>
        <v/>
      </c>
      <c r="K1909" s="147" t="str">
        <f>IFERROR(__xludf.DUMMYFUNCTION("IF(ISBLANK(A1909),IFERROR(1/0),IF(COUNT(FILTER(G:G,((A:A=A1909)*(B:B=""V""))))&gt;1,TRUNC(N1909*G1909/SUM(FILTER(N:N,((A:A=A1909)*(B:B=""V"")))),3),G1909))"),"")</f>
        <v/>
      </c>
      <c r="L1909" s="148" t="str">
        <f>IFERROR(__xludf.DUMMYFUNCTION("if($C1909="""","""",iferror(if(row()&lt;&gt;2,INDEX(arrayformula(filter($M$2:$M1908,$C$2:$C1908&lt;&gt;"""",row($C$2:$C1908)=max(if($C$2:$C1908=C1909,row($C$2:$C1908),0)))) ,1),0),0))"),"")</f>
        <v/>
      </c>
      <c r="M1909" s="148" t="str">
        <f t="shared" si="1"/>
        <v/>
      </c>
      <c r="N1909" s="147" t="str">
        <f t="shared" si="2"/>
        <v/>
      </c>
      <c r="O1909" s="147" t="str">
        <f t="shared" si="21"/>
        <v/>
      </c>
      <c r="P1909" s="147" t="str">
        <f>IFERROR(__xludf.DUMMYFUNCTION("if(C1909="""","""",iferror(if(row()&lt;&gt;2,INDEX(arrayformula(filter($Q$2:$Q1908,$C$2:$C1908&lt;&gt;"""",row($C$2:$C1908)=max(if($C$2:$C1908=C1909,row($C$2:$C1908),0)))) ,1),0),0))"),"")</f>
        <v/>
      </c>
      <c r="Q1909" s="147" t="str">
        <f t="shared" si="22"/>
        <v/>
      </c>
      <c r="R1909" s="147" t="str">
        <f t="shared" si="23"/>
        <v/>
      </c>
      <c r="S1909" s="147" t="str">
        <f t="shared" si="24"/>
        <v/>
      </c>
      <c r="T1909" s="147" t="str">
        <f t="shared" si="7"/>
        <v/>
      </c>
      <c r="U1909" s="150" t="str">
        <f t="shared" si="8"/>
        <v/>
      </c>
      <c r="V1909" s="151" t="str">
        <f>IFERROR(VLOOKUP(C1909,Ativos!$A$1:$G2000,5,),)</f>
        <v/>
      </c>
    </row>
    <row r="1910" ht="21.0" customHeight="1">
      <c r="A1910" s="152"/>
      <c r="B1910" s="160"/>
      <c r="C1910" s="153"/>
      <c r="D1910" s="154"/>
      <c r="E1910" s="139"/>
      <c r="F1910" s="139"/>
      <c r="G1910" s="139"/>
      <c r="H1910" s="135"/>
      <c r="I1910" s="141"/>
      <c r="J1910" s="147" t="str">
        <f>IFERROR(__xludf.DUMMYFUNCTION("IF(ISBLANK(A1910),IFERROR(1/0),IF(COUNT(FILTER(F:F,A:A=A1910))&gt;1,TRUNC(N1910*F1910/SUM(FILTER(N:N,A:A=A1910)),3),F1910))"),"")</f>
        <v/>
      </c>
      <c r="K1910" s="147" t="str">
        <f>IFERROR(__xludf.DUMMYFUNCTION("IF(ISBLANK(A1910),IFERROR(1/0),IF(COUNT(FILTER(G:G,((A:A=A1910)*(B:B=""V""))))&gt;1,TRUNC(N1910*G1910/SUM(FILTER(N:N,((A:A=A1910)*(B:B=""V"")))),3),G1910))"),"")</f>
        <v/>
      </c>
      <c r="L1910" s="148" t="str">
        <f>IFERROR(__xludf.DUMMYFUNCTION("if($C1910="""","""",iferror(if(row()&lt;&gt;2,INDEX(arrayformula(filter($M$2:$M1909,$C$2:$C1909&lt;&gt;"""",row($C$2:$C1909)=max(if($C$2:$C1909=C1910,row($C$2:$C1909),0)))) ,1),0),0))"),"")</f>
        <v/>
      </c>
      <c r="M1910" s="148" t="str">
        <f t="shared" si="1"/>
        <v/>
      </c>
      <c r="N1910" s="147" t="str">
        <f t="shared" si="2"/>
        <v/>
      </c>
      <c r="O1910" s="147" t="str">
        <f t="shared" si="21"/>
        <v/>
      </c>
      <c r="P1910" s="147" t="str">
        <f>IFERROR(__xludf.DUMMYFUNCTION("if(C1910="""","""",iferror(if(row()&lt;&gt;2,INDEX(arrayformula(filter($Q$2:$Q1909,$C$2:$C1909&lt;&gt;"""",row($C$2:$C1909)=max(if($C$2:$C1909=C1910,row($C$2:$C1909),0)))) ,1),0),0))"),"")</f>
        <v/>
      </c>
      <c r="Q1910" s="147" t="str">
        <f t="shared" si="22"/>
        <v/>
      </c>
      <c r="R1910" s="147" t="str">
        <f t="shared" si="23"/>
        <v/>
      </c>
      <c r="S1910" s="147" t="str">
        <f t="shared" si="24"/>
        <v/>
      </c>
      <c r="T1910" s="147" t="str">
        <f t="shared" si="7"/>
        <v/>
      </c>
      <c r="U1910" s="150" t="str">
        <f t="shared" si="8"/>
        <v/>
      </c>
      <c r="V1910" s="151" t="str">
        <f>IFERROR(VLOOKUP(C1910,Ativos!$A$1:$G2000,5,),)</f>
        <v/>
      </c>
    </row>
    <row r="1911" ht="21.0" customHeight="1">
      <c r="A1911" s="152"/>
      <c r="B1911" s="160"/>
      <c r="C1911" s="153"/>
      <c r="D1911" s="154"/>
      <c r="E1911" s="139"/>
      <c r="F1911" s="139"/>
      <c r="G1911" s="139"/>
      <c r="H1911" s="135"/>
      <c r="I1911" s="141"/>
      <c r="J1911" s="147" t="str">
        <f>IFERROR(__xludf.DUMMYFUNCTION("IF(ISBLANK(A1911),IFERROR(1/0),IF(COUNT(FILTER(F:F,A:A=A1911))&gt;1,TRUNC(N1911*F1911/SUM(FILTER(N:N,A:A=A1911)),3),F1911))"),"")</f>
        <v/>
      </c>
      <c r="K1911" s="147" t="str">
        <f>IFERROR(__xludf.DUMMYFUNCTION("IF(ISBLANK(A1911),IFERROR(1/0),IF(COUNT(FILTER(G:G,((A:A=A1911)*(B:B=""V""))))&gt;1,TRUNC(N1911*G1911/SUM(FILTER(N:N,((A:A=A1911)*(B:B=""V"")))),3),G1911))"),"")</f>
        <v/>
      </c>
      <c r="L1911" s="148" t="str">
        <f>IFERROR(__xludf.DUMMYFUNCTION("if($C1911="""","""",iferror(if(row()&lt;&gt;2,INDEX(arrayformula(filter($M$2:$M1910,$C$2:$C1910&lt;&gt;"""",row($C$2:$C1910)=max(if($C$2:$C1910=C1911,row($C$2:$C1910),0)))) ,1),0),0))"),"")</f>
        <v/>
      </c>
      <c r="M1911" s="148" t="str">
        <f t="shared" si="1"/>
        <v/>
      </c>
      <c r="N1911" s="147" t="str">
        <f t="shared" si="2"/>
        <v/>
      </c>
      <c r="O1911" s="147" t="str">
        <f t="shared" si="21"/>
        <v/>
      </c>
      <c r="P1911" s="147" t="str">
        <f>IFERROR(__xludf.DUMMYFUNCTION("if(C1911="""","""",iferror(if(row()&lt;&gt;2,INDEX(arrayformula(filter($Q$2:$Q1910,$C$2:$C1910&lt;&gt;"""",row($C$2:$C1910)=max(if($C$2:$C1910=C1911,row($C$2:$C1910),0)))) ,1),0),0))"),"")</f>
        <v/>
      </c>
      <c r="Q1911" s="147" t="str">
        <f t="shared" si="22"/>
        <v/>
      </c>
      <c r="R1911" s="147" t="str">
        <f t="shared" si="23"/>
        <v/>
      </c>
      <c r="S1911" s="147" t="str">
        <f t="shared" si="24"/>
        <v/>
      </c>
      <c r="T1911" s="147" t="str">
        <f t="shared" si="7"/>
        <v/>
      </c>
      <c r="U1911" s="150" t="str">
        <f t="shared" si="8"/>
        <v/>
      </c>
      <c r="V1911" s="151" t="str">
        <f>IFERROR(VLOOKUP(C1911,Ativos!$A$1:$G2000,5,),)</f>
        <v/>
      </c>
    </row>
    <row r="1912" ht="21.0" customHeight="1">
      <c r="A1912" s="152"/>
      <c r="B1912" s="160"/>
      <c r="C1912" s="153"/>
      <c r="D1912" s="154"/>
      <c r="E1912" s="139"/>
      <c r="F1912" s="139"/>
      <c r="G1912" s="139"/>
      <c r="H1912" s="135"/>
      <c r="I1912" s="141"/>
      <c r="J1912" s="147" t="str">
        <f>IFERROR(__xludf.DUMMYFUNCTION("IF(ISBLANK(A1912),IFERROR(1/0),IF(COUNT(FILTER(F:F,A:A=A1912))&gt;1,TRUNC(N1912*F1912/SUM(FILTER(N:N,A:A=A1912)),3),F1912))"),"")</f>
        <v/>
      </c>
      <c r="K1912" s="147" t="str">
        <f>IFERROR(__xludf.DUMMYFUNCTION("IF(ISBLANK(A1912),IFERROR(1/0),IF(COUNT(FILTER(G:G,((A:A=A1912)*(B:B=""V""))))&gt;1,TRUNC(N1912*G1912/SUM(FILTER(N:N,((A:A=A1912)*(B:B=""V"")))),3),G1912))"),"")</f>
        <v/>
      </c>
      <c r="L1912" s="148" t="str">
        <f>IFERROR(__xludf.DUMMYFUNCTION("if($C1912="""","""",iferror(if(row()&lt;&gt;2,INDEX(arrayformula(filter($M$2:$M1911,$C$2:$C1911&lt;&gt;"""",row($C$2:$C1911)=max(if($C$2:$C1911=C1912,row($C$2:$C1911),0)))) ,1),0),0))"),"")</f>
        <v/>
      </c>
      <c r="M1912" s="148" t="str">
        <f t="shared" si="1"/>
        <v/>
      </c>
      <c r="N1912" s="147" t="str">
        <f t="shared" si="2"/>
        <v/>
      </c>
      <c r="O1912" s="147" t="str">
        <f t="shared" si="21"/>
        <v/>
      </c>
      <c r="P1912" s="147" t="str">
        <f>IFERROR(__xludf.DUMMYFUNCTION("if(C1912="""","""",iferror(if(row()&lt;&gt;2,INDEX(arrayformula(filter($Q$2:$Q1911,$C$2:$C1911&lt;&gt;"""",row($C$2:$C1911)=max(if($C$2:$C1911=C1912,row($C$2:$C1911),0)))) ,1),0),0))"),"")</f>
        <v/>
      </c>
      <c r="Q1912" s="147" t="str">
        <f t="shared" si="22"/>
        <v/>
      </c>
      <c r="R1912" s="147" t="str">
        <f t="shared" si="23"/>
        <v/>
      </c>
      <c r="S1912" s="147" t="str">
        <f t="shared" si="24"/>
        <v/>
      </c>
      <c r="T1912" s="147" t="str">
        <f t="shared" si="7"/>
        <v/>
      </c>
      <c r="U1912" s="150" t="str">
        <f t="shared" si="8"/>
        <v/>
      </c>
      <c r="V1912" s="151" t="str">
        <f>IFERROR(VLOOKUP(C1912,Ativos!$A$1:$G2000,5,),)</f>
        <v/>
      </c>
    </row>
    <row r="1913" ht="21.0" customHeight="1">
      <c r="A1913" s="152"/>
      <c r="B1913" s="160"/>
      <c r="C1913" s="153"/>
      <c r="D1913" s="154"/>
      <c r="E1913" s="139"/>
      <c r="F1913" s="139"/>
      <c r="G1913" s="139"/>
      <c r="H1913" s="135"/>
      <c r="I1913" s="141"/>
      <c r="J1913" s="147" t="str">
        <f>IFERROR(__xludf.DUMMYFUNCTION("IF(ISBLANK(A1913),IFERROR(1/0),IF(COUNT(FILTER(F:F,A:A=A1913))&gt;1,TRUNC(N1913*F1913/SUM(FILTER(N:N,A:A=A1913)),3),F1913))"),"")</f>
        <v/>
      </c>
      <c r="K1913" s="147" t="str">
        <f>IFERROR(__xludf.DUMMYFUNCTION("IF(ISBLANK(A1913),IFERROR(1/0),IF(COUNT(FILTER(G:G,((A:A=A1913)*(B:B=""V""))))&gt;1,TRUNC(N1913*G1913/SUM(FILTER(N:N,((A:A=A1913)*(B:B=""V"")))),3),G1913))"),"")</f>
        <v/>
      </c>
      <c r="L1913" s="148" t="str">
        <f>IFERROR(__xludf.DUMMYFUNCTION("if($C1913="""","""",iferror(if(row()&lt;&gt;2,INDEX(arrayformula(filter($M$2:$M1912,$C$2:$C1912&lt;&gt;"""",row($C$2:$C1912)=max(if($C$2:$C1912=C1913,row($C$2:$C1912),0)))) ,1),0),0))"),"")</f>
        <v/>
      </c>
      <c r="M1913" s="148" t="str">
        <f t="shared" si="1"/>
        <v/>
      </c>
      <c r="N1913" s="147" t="str">
        <f t="shared" si="2"/>
        <v/>
      </c>
      <c r="O1913" s="147" t="str">
        <f t="shared" si="21"/>
        <v/>
      </c>
      <c r="P1913" s="147" t="str">
        <f>IFERROR(__xludf.DUMMYFUNCTION("if(C1913="""","""",iferror(if(row()&lt;&gt;2,INDEX(arrayformula(filter($Q$2:$Q1912,$C$2:$C1912&lt;&gt;"""",row($C$2:$C1912)=max(if($C$2:$C1912=C1913,row($C$2:$C1912),0)))) ,1),0),0))"),"")</f>
        <v/>
      </c>
      <c r="Q1913" s="147" t="str">
        <f t="shared" si="22"/>
        <v/>
      </c>
      <c r="R1913" s="147" t="str">
        <f t="shared" si="23"/>
        <v/>
      </c>
      <c r="S1913" s="147" t="str">
        <f t="shared" si="24"/>
        <v/>
      </c>
      <c r="T1913" s="147" t="str">
        <f t="shared" si="7"/>
        <v/>
      </c>
      <c r="U1913" s="150" t="str">
        <f t="shared" si="8"/>
        <v/>
      </c>
      <c r="V1913" s="151" t="str">
        <f>IFERROR(VLOOKUP(C1913,Ativos!$A$1:$G2000,5,),)</f>
        <v/>
      </c>
    </row>
    <row r="1914" ht="21.0" customHeight="1">
      <c r="A1914" s="152"/>
      <c r="B1914" s="160"/>
      <c r="C1914" s="153"/>
      <c r="D1914" s="154"/>
      <c r="E1914" s="139"/>
      <c r="F1914" s="139"/>
      <c r="G1914" s="139"/>
      <c r="H1914" s="135"/>
      <c r="I1914" s="141"/>
      <c r="J1914" s="147" t="str">
        <f>IFERROR(__xludf.DUMMYFUNCTION("IF(ISBLANK(A1914),IFERROR(1/0),IF(COUNT(FILTER(F:F,A:A=A1914))&gt;1,TRUNC(N1914*F1914/SUM(FILTER(N:N,A:A=A1914)),3),F1914))"),"")</f>
        <v/>
      </c>
      <c r="K1914" s="147" t="str">
        <f>IFERROR(__xludf.DUMMYFUNCTION("IF(ISBLANK(A1914),IFERROR(1/0),IF(COUNT(FILTER(G:G,((A:A=A1914)*(B:B=""V""))))&gt;1,TRUNC(N1914*G1914/SUM(FILTER(N:N,((A:A=A1914)*(B:B=""V"")))),3),G1914))"),"")</f>
        <v/>
      </c>
      <c r="L1914" s="148" t="str">
        <f>IFERROR(__xludf.DUMMYFUNCTION("if($C1914="""","""",iferror(if(row()&lt;&gt;2,INDEX(arrayformula(filter($M$2:$M1913,$C$2:$C1913&lt;&gt;"""",row($C$2:$C1913)=max(if($C$2:$C1913=C1914,row($C$2:$C1913),0)))) ,1),0),0))"),"")</f>
        <v/>
      </c>
      <c r="M1914" s="148" t="str">
        <f t="shared" si="1"/>
        <v/>
      </c>
      <c r="N1914" s="147" t="str">
        <f t="shared" si="2"/>
        <v/>
      </c>
      <c r="O1914" s="147" t="str">
        <f t="shared" si="21"/>
        <v/>
      </c>
      <c r="P1914" s="147" t="str">
        <f>IFERROR(__xludf.DUMMYFUNCTION("if(C1914="""","""",iferror(if(row()&lt;&gt;2,INDEX(arrayformula(filter($Q$2:$Q1913,$C$2:$C1913&lt;&gt;"""",row($C$2:$C1913)=max(if($C$2:$C1913=C1914,row($C$2:$C1913),0)))) ,1),0),0))"),"")</f>
        <v/>
      </c>
      <c r="Q1914" s="147" t="str">
        <f t="shared" si="22"/>
        <v/>
      </c>
      <c r="R1914" s="147" t="str">
        <f t="shared" si="23"/>
        <v/>
      </c>
      <c r="S1914" s="147" t="str">
        <f t="shared" si="24"/>
        <v/>
      </c>
      <c r="T1914" s="147" t="str">
        <f t="shared" si="7"/>
        <v/>
      </c>
      <c r="U1914" s="150" t="str">
        <f t="shared" si="8"/>
        <v/>
      </c>
      <c r="V1914" s="151" t="str">
        <f>IFERROR(VLOOKUP(C1914,Ativos!$A$1:$G2000,5,),)</f>
        <v/>
      </c>
    </row>
    <row r="1915" ht="21.0" customHeight="1">
      <c r="A1915" s="152"/>
      <c r="B1915" s="160"/>
      <c r="C1915" s="153"/>
      <c r="D1915" s="154"/>
      <c r="E1915" s="139"/>
      <c r="F1915" s="139"/>
      <c r="G1915" s="139"/>
      <c r="H1915" s="135"/>
      <c r="I1915" s="141"/>
      <c r="J1915" s="147" t="str">
        <f>IFERROR(__xludf.DUMMYFUNCTION("IF(ISBLANK(A1915),IFERROR(1/0),IF(COUNT(FILTER(F:F,A:A=A1915))&gt;1,TRUNC(N1915*F1915/SUM(FILTER(N:N,A:A=A1915)),3),F1915))"),"")</f>
        <v/>
      </c>
      <c r="K1915" s="147" t="str">
        <f>IFERROR(__xludf.DUMMYFUNCTION("IF(ISBLANK(A1915),IFERROR(1/0),IF(COUNT(FILTER(G:G,((A:A=A1915)*(B:B=""V""))))&gt;1,TRUNC(N1915*G1915/SUM(FILTER(N:N,((A:A=A1915)*(B:B=""V"")))),3),G1915))"),"")</f>
        <v/>
      </c>
      <c r="L1915" s="148" t="str">
        <f>IFERROR(__xludf.DUMMYFUNCTION("if($C1915="""","""",iferror(if(row()&lt;&gt;2,INDEX(arrayformula(filter($M$2:$M1914,$C$2:$C1914&lt;&gt;"""",row($C$2:$C1914)=max(if($C$2:$C1914=C1915,row($C$2:$C1914),0)))) ,1),0),0))"),"")</f>
        <v/>
      </c>
      <c r="M1915" s="148" t="str">
        <f t="shared" si="1"/>
        <v/>
      </c>
      <c r="N1915" s="147" t="str">
        <f t="shared" si="2"/>
        <v/>
      </c>
      <c r="O1915" s="147" t="str">
        <f t="shared" si="21"/>
        <v/>
      </c>
      <c r="P1915" s="147" t="str">
        <f>IFERROR(__xludf.DUMMYFUNCTION("if(C1915="""","""",iferror(if(row()&lt;&gt;2,INDEX(arrayformula(filter($Q$2:$Q1914,$C$2:$C1914&lt;&gt;"""",row($C$2:$C1914)=max(if($C$2:$C1914=C1915,row($C$2:$C1914),0)))) ,1),0),0))"),"")</f>
        <v/>
      </c>
      <c r="Q1915" s="147" t="str">
        <f t="shared" si="22"/>
        <v/>
      </c>
      <c r="R1915" s="147" t="str">
        <f t="shared" si="23"/>
        <v/>
      </c>
      <c r="S1915" s="147" t="str">
        <f t="shared" si="24"/>
        <v/>
      </c>
      <c r="T1915" s="147" t="str">
        <f t="shared" si="7"/>
        <v/>
      </c>
      <c r="U1915" s="150" t="str">
        <f t="shared" si="8"/>
        <v/>
      </c>
      <c r="V1915" s="151" t="str">
        <f>IFERROR(VLOOKUP(C1915,Ativos!$A$1:$G2000,5,),)</f>
        <v/>
      </c>
    </row>
    <row r="1916" ht="21.0" customHeight="1">
      <c r="A1916" s="152"/>
      <c r="B1916" s="160"/>
      <c r="C1916" s="153"/>
      <c r="D1916" s="154"/>
      <c r="E1916" s="139"/>
      <c r="F1916" s="139"/>
      <c r="G1916" s="139"/>
      <c r="H1916" s="135"/>
      <c r="I1916" s="141"/>
      <c r="J1916" s="147" t="str">
        <f>IFERROR(__xludf.DUMMYFUNCTION("IF(ISBLANK(A1916),IFERROR(1/0),IF(COUNT(FILTER(F:F,A:A=A1916))&gt;1,TRUNC(N1916*F1916/SUM(FILTER(N:N,A:A=A1916)),3),F1916))"),"")</f>
        <v/>
      </c>
      <c r="K1916" s="147" t="str">
        <f>IFERROR(__xludf.DUMMYFUNCTION("IF(ISBLANK(A1916),IFERROR(1/0),IF(COUNT(FILTER(G:G,((A:A=A1916)*(B:B=""V""))))&gt;1,TRUNC(N1916*G1916/SUM(FILTER(N:N,((A:A=A1916)*(B:B=""V"")))),3),G1916))"),"")</f>
        <v/>
      </c>
      <c r="L1916" s="148" t="str">
        <f>IFERROR(__xludf.DUMMYFUNCTION("if($C1916="""","""",iferror(if(row()&lt;&gt;2,INDEX(arrayformula(filter($M$2:$M1915,$C$2:$C1915&lt;&gt;"""",row($C$2:$C1915)=max(if($C$2:$C1915=C1916,row($C$2:$C1915),0)))) ,1),0),0))"),"")</f>
        <v/>
      </c>
      <c r="M1916" s="148" t="str">
        <f t="shared" si="1"/>
        <v/>
      </c>
      <c r="N1916" s="147" t="str">
        <f t="shared" si="2"/>
        <v/>
      </c>
      <c r="O1916" s="147" t="str">
        <f t="shared" si="21"/>
        <v/>
      </c>
      <c r="P1916" s="147" t="str">
        <f>IFERROR(__xludf.DUMMYFUNCTION("if(C1916="""","""",iferror(if(row()&lt;&gt;2,INDEX(arrayformula(filter($Q$2:$Q1915,$C$2:$C1915&lt;&gt;"""",row($C$2:$C1915)=max(if($C$2:$C1915=C1916,row($C$2:$C1915),0)))) ,1),0),0))"),"")</f>
        <v/>
      </c>
      <c r="Q1916" s="147" t="str">
        <f t="shared" si="22"/>
        <v/>
      </c>
      <c r="R1916" s="147" t="str">
        <f t="shared" si="23"/>
        <v/>
      </c>
      <c r="S1916" s="147" t="str">
        <f t="shared" si="24"/>
        <v/>
      </c>
      <c r="T1916" s="147" t="str">
        <f t="shared" si="7"/>
        <v/>
      </c>
      <c r="U1916" s="150" t="str">
        <f t="shared" si="8"/>
        <v/>
      </c>
      <c r="V1916" s="151" t="str">
        <f>IFERROR(VLOOKUP(C1916,Ativos!$A$1:$G2000,5,),)</f>
        <v/>
      </c>
    </row>
    <row r="1917" ht="21.0" customHeight="1">
      <c r="A1917" s="152"/>
      <c r="B1917" s="160"/>
      <c r="C1917" s="153"/>
      <c r="D1917" s="154"/>
      <c r="E1917" s="139"/>
      <c r="F1917" s="139"/>
      <c r="G1917" s="139"/>
      <c r="H1917" s="135"/>
      <c r="I1917" s="141"/>
      <c r="J1917" s="147" t="str">
        <f>IFERROR(__xludf.DUMMYFUNCTION("IF(ISBLANK(A1917),IFERROR(1/0),IF(COUNT(FILTER(F:F,A:A=A1917))&gt;1,TRUNC(N1917*F1917/SUM(FILTER(N:N,A:A=A1917)),3),F1917))"),"")</f>
        <v/>
      </c>
      <c r="K1917" s="147" t="str">
        <f>IFERROR(__xludf.DUMMYFUNCTION("IF(ISBLANK(A1917),IFERROR(1/0),IF(COUNT(FILTER(G:G,((A:A=A1917)*(B:B=""V""))))&gt;1,TRUNC(N1917*G1917/SUM(FILTER(N:N,((A:A=A1917)*(B:B=""V"")))),3),G1917))"),"")</f>
        <v/>
      </c>
      <c r="L1917" s="148" t="str">
        <f>IFERROR(__xludf.DUMMYFUNCTION("if($C1917="""","""",iferror(if(row()&lt;&gt;2,INDEX(arrayformula(filter($M$2:$M1916,$C$2:$C1916&lt;&gt;"""",row($C$2:$C1916)=max(if($C$2:$C1916=C1917,row($C$2:$C1916),0)))) ,1),0),0))"),"")</f>
        <v/>
      </c>
      <c r="M1917" s="148" t="str">
        <f t="shared" si="1"/>
        <v/>
      </c>
      <c r="N1917" s="147" t="str">
        <f t="shared" si="2"/>
        <v/>
      </c>
      <c r="O1917" s="147" t="str">
        <f t="shared" si="21"/>
        <v/>
      </c>
      <c r="P1917" s="147" t="str">
        <f>IFERROR(__xludf.DUMMYFUNCTION("if(C1917="""","""",iferror(if(row()&lt;&gt;2,INDEX(arrayformula(filter($Q$2:$Q1916,$C$2:$C1916&lt;&gt;"""",row($C$2:$C1916)=max(if($C$2:$C1916=C1917,row($C$2:$C1916),0)))) ,1),0),0))"),"")</f>
        <v/>
      </c>
      <c r="Q1917" s="147" t="str">
        <f t="shared" si="22"/>
        <v/>
      </c>
      <c r="R1917" s="147" t="str">
        <f t="shared" si="23"/>
        <v/>
      </c>
      <c r="S1917" s="147" t="str">
        <f t="shared" si="24"/>
        <v/>
      </c>
      <c r="T1917" s="147" t="str">
        <f t="shared" si="7"/>
        <v/>
      </c>
      <c r="U1917" s="150" t="str">
        <f t="shared" si="8"/>
        <v/>
      </c>
      <c r="V1917" s="151" t="str">
        <f>IFERROR(VLOOKUP(C1917,Ativos!$A$1:$G2000,5,),)</f>
        <v/>
      </c>
    </row>
    <row r="1918" ht="21.0" customHeight="1">
      <c r="A1918" s="152"/>
      <c r="B1918" s="160"/>
      <c r="C1918" s="153"/>
      <c r="D1918" s="154"/>
      <c r="E1918" s="139"/>
      <c r="F1918" s="139"/>
      <c r="G1918" s="139"/>
      <c r="H1918" s="135"/>
      <c r="I1918" s="141"/>
      <c r="J1918" s="147" t="str">
        <f>IFERROR(__xludf.DUMMYFUNCTION("IF(ISBLANK(A1918),IFERROR(1/0),IF(COUNT(FILTER(F:F,A:A=A1918))&gt;1,TRUNC(N1918*F1918/SUM(FILTER(N:N,A:A=A1918)),3),F1918))"),"")</f>
        <v/>
      </c>
      <c r="K1918" s="147" t="str">
        <f>IFERROR(__xludf.DUMMYFUNCTION("IF(ISBLANK(A1918),IFERROR(1/0),IF(COUNT(FILTER(G:G,((A:A=A1918)*(B:B=""V""))))&gt;1,TRUNC(N1918*G1918/SUM(FILTER(N:N,((A:A=A1918)*(B:B=""V"")))),3),G1918))"),"")</f>
        <v/>
      </c>
      <c r="L1918" s="148" t="str">
        <f>IFERROR(__xludf.DUMMYFUNCTION("if($C1918="""","""",iferror(if(row()&lt;&gt;2,INDEX(arrayformula(filter($M$2:$M1917,$C$2:$C1917&lt;&gt;"""",row($C$2:$C1917)=max(if($C$2:$C1917=C1918,row($C$2:$C1917),0)))) ,1),0),0))"),"")</f>
        <v/>
      </c>
      <c r="M1918" s="148" t="str">
        <f t="shared" si="1"/>
        <v/>
      </c>
      <c r="N1918" s="147" t="str">
        <f t="shared" si="2"/>
        <v/>
      </c>
      <c r="O1918" s="147" t="str">
        <f t="shared" si="21"/>
        <v/>
      </c>
      <c r="P1918" s="147" t="str">
        <f>IFERROR(__xludf.DUMMYFUNCTION("if(C1918="""","""",iferror(if(row()&lt;&gt;2,INDEX(arrayformula(filter($Q$2:$Q1917,$C$2:$C1917&lt;&gt;"""",row($C$2:$C1917)=max(if($C$2:$C1917=C1918,row($C$2:$C1917),0)))) ,1),0),0))"),"")</f>
        <v/>
      </c>
      <c r="Q1918" s="147" t="str">
        <f t="shared" si="22"/>
        <v/>
      </c>
      <c r="R1918" s="147" t="str">
        <f t="shared" si="23"/>
        <v/>
      </c>
      <c r="S1918" s="147" t="str">
        <f t="shared" si="24"/>
        <v/>
      </c>
      <c r="T1918" s="147" t="str">
        <f t="shared" si="7"/>
        <v/>
      </c>
      <c r="U1918" s="150" t="str">
        <f t="shared" si="8"/>
        <v/>
      </c>
      <c r="V1918" s="151" t="str">
        <f>IFERROR(VLOOKUP(C1918,Ativos!$A$1:$G2000,5,),)</f>
        <v/>
      </c>
    </row>
    <row r="1919" ht="21.0" customHeight="1">
      <c r="A1919" s="152"/>
      <c r="B1919" s="160"/>
      <c r="C1919" s="153"/>
      <c r="D1919" s="154"/>
      <c r="E1919" s="139"/>
      <c r="F1919" s="139"/>
      <c r="G1919" s="139"/>
      <c r="H1919" s="135"/>
      <c r="I1919" s="141"/>
      <c r="J1919" s="147" t="str">
        <f>IFERROR(__xludf.DUMMYFUNCTION("IF(ISBLANK(A1919),IFERROR(1/0),IF(COUNT(FILTER(F:F,A:A=A1919))&gt;1,TRUNC(N1919*F1919/SUM(FILTER(N:N,A:A=A1919)),3),F1919))"),"")</f>
        <v/>
      </c>
      <c r="K1919" s="147" t="str">
        <f>IFERROR(__xludf.DUMMYFUNCTION("IF(ISBLANK(A1919),IFERROR(1/0),IF(COUNT(FILTER(G:G,((A:A=A1919)*(B:B=""V""))))&gt;1,TRUNC(N1919*G1919/SUM(FILTER(N:N,((A:A=A1919)*(B:B=""V"")))),3),G1919))"),"")</f>
        <v/>
      </c>
      <c r="L1919" s="148" t="str">
        <f>IFERROR(__xludf.DUMMYFUNCTION("if($C1919="""","""",iferror(if(row()&lt;&gt;2,INDEX(arrayformula(filter($M$2:$M1918,$C$2:$C1918&lt;&gt;"""",row($C$2:$C1918)=max(if($C$2:$C1918=C1919,row($C$2:$C1918),0)))) ,1),0),0))"),"")</f>
        <v/>
      </c>
      <c r="M1919" s="148" t="str">
        <f t="shared" si="1"/>
        <v/>
      </c>
      <c r="N1919" s="147" t="str">
        <f t="shared" si="2"/>
        <v/>
      </c>
      <c r="O1919" s="147" t="str">
        <f t="shared" si="21"/>
        <v/>
      </c>
      <c r="P1919" s="147" t="str">
        <f>IFERROR(__xludf.DUMMYFUNCTION("if(C1919="""","""",iferror(if(row()&lt;&gt;2,INDEX(arrayformula(filter($Q$2:$Q1918,$C$2:$C1918&lt;&gt;"""",row($C$2:$C1918)=max(if($C$2:$C1918=C1919,row($C$2:$C1918),0)))) ,1),0),0))"),"")</f>
        <v/>
      </c>
      <c r="Q1919" s="147" t="str">
        <f t="shared" si="22"/>
        <v/>
      </c>
      <c r="R1919" s="147" t="str">
        <f t="shared" si="23"/>
        <v/>
      </c>
      <c r="S1919" s="147" t="str">
        <f t="shared" si="24"/>
        <v/>
      </c>
      <c r="T1919" s="147" t="str">
        <f t="shared" si="7"/>
        <v/>
      </c>
      <c r="U1919" s="150" t="str">
        <f t="shared" si="8"/>
        <v/>
      </c>
      <c r="V1919" s="151" t="str">
        <f>IFERROR(VLOOKUP(C1919,Ativos!$A$1:$G2000,5,),)</f>
        <v/>
      </c>
    </row>
    <row r="1920" ht="21.0" customHeight="1">
      <c r="A1920" s="152"/>
      <c r="B1920" s="160"/>
      <c r="C1920" s="153"/>
      <c r="D1920" s="154"/>
      <c r="E1920" s="139"/>
      <c r="F1920" s="139"/>
      <c r="G1920" s="139"/>
      <c r="H1920" s="135"/>
      <c r="I1920" s="141"/>
      <c r="J1920" s="147" t="str">
        <f>IFERROR(__xludf.DUMMYFUNCTION("IF(ISBLANK(A1920),IFERROR(1/0),IF(COUNT(FILTER(F:F,A:A=A1920))&gt;1,TRUNC(N1920*F1920/SUM(FILTER(N:N,A:A=A1920)),3),F1920))"),"")</f>
        <v/>
      </c>
      <c r="K1920" s="147" t="str">
        <f>IFERROR(__xludf.DUMMYFUNCTION("IF(ISBLANK(A1920),IFERROR(1/0),IF(COUNT(FILTER(G:G,((A:A=A1920)*(B:B=""V""))))&gt;1,TRUNC(N1920*G1920/SUM(FILTER(N:N,((A:A=A1920)*(B:B=""V"")))),3),G1920))"),"")</f>
        <v/>
      </c>
      <c r="L1920" s="148" t="str">
        <f>IFERROR(__xludf.DUMMYFUNCTION("if($C1920="""","""",iferror(if(row()&lt;&gt;2,INDEX(arrayformula(filter($M$2:$M1919,$C$2:$C1919&lt;&gt;"""",row($C$2:$C1919)=max(if($C$2:$C1919=C1920,row($C$2:$C1919),0)))) ,1),0),0))"),"")</f>
        <v/>
      </c>
      <c r="M1920" s="148" t="str">
        <f t="shared" si="1"/>
        <v/>
      </c>
      <c r="N1920" s="147" t="str">
        <f t="shared" si="2"/>
        <v/>
      </c>
      <c r="O1920" s="147" t="str">
        <f t="shared" si="21"/>
        <v/>
      </c>
      <c r="P1920" s="147" t="str">
        <f>IFERROR(__xludf.DUMMYFUNCTION("if(C1920="""","""",iferror(if(row()&lt;&gt;2,INDEX(arrayformula(filter($Q$2:$Q1919,$C$2:$C1919&lt;&gt;"""",row($C$2:$C1919)=max(if($C$2:$C1919=C1920,row($C$2:$C1919),0)))) ,1),0),0))"),"")</f>
        <v/>
      </c>
      <c r="Q1920" s="147" t="str">
        <f t="shared" si="22"/>
        <v/>
      </c>
      <c r="R1920" s="147" t="str">
        <f t="shared" si="23"/>
        <v/>
      </c>
      <c r="S1920" s="147" t="str">
        <f t="shared" si="24"/>
        <v/>
      </c>
      <c r="T1920" s="147" t="str">
        <f t="shared" si="7"/>
        <v/>
      </c>
      <c r="U1920" s="150" t="str">
        <f t="shared" si="8"/>
        <v/>
      </c>
      <c r="V1920" s="151" t="str">
        <f>IFERROR(VLOOKUP(C1920,Ativos!$A$1:$G2000,5,),)</f>
        <v/>
      </c>
    </row>
    <row r="1921" ht="21.0" customHeight="1">
      <c r="A1921" s="152"/>
      <c r="B1921" s="160"/>
      <c r="C1921" s="153"/>
      <c r="D1921" s="154"/>
      <c r="E1921" s="139"/>
      <c r="F1921" s="139"/>
      <c r="G1921" s="139"/>
      <c r="H1921" s="135"/>
      <c r="I1921" s="141"/>
      <c r="J1921" s="147" t="str">
        <f>IFERROR(__xludf.DUMMYFUNCTION("IF(ISBLANK(A1921),IFERROR(1/0),IF(COUNT(FILTER(F:F,A:A=A1921))&gt;1,TRUNC(N1921*F1921/SUM(FILTER(N:N,A:A=A1921)),3),F1921))"),"")</f>
        <v/>
      </c>
      <c r="K1921" s="147" t="str">
        <f>IFERROR(__xludf.DUMMYFUNCTION("IF(ISBLANK(A1921),IFERROR(1/0),IF(COUNT(FILTER(G:G,((A:A=A1921)*(B:B=""V""))))&gt;1,TRUNC(N1921*G1921/SUM(FILTER(N:N,((A:A=A1921)*(B:B=""V"")))),3),G1921))"),"")</f>
        <v/>
      </c>
      <c r="L1921" s="148" t="str">
        <f>IFERROR(__xludf.DUMMYFUNCTION("if($C1921="""","""",iferror(if(row()&lt;&gt;2,INDEX(arrayformula(filter($M$2:$M1920,$C$2:$C1920&lt;&gt;"""",row($C$2:$C1920)=max(if($C$2:$C1920=C1921,row($C$2:$C1920),0)))) ,1),0),0))"),"")</f>
        <v/>
      </c>
      <c r="M1921" s="148" t="str">
        <f t="shared" si="1"/>
        <v/>
      </c>
      <c r="N1921" s="147" t="str">
        <f t="shared" si="2"/>
        <v/>
      </c>
      <c r="O1921" s="147" t="str">
        <f t="shared" si="21"/>
        <v/>
      </c>
      <c r="P1921" s="147" t="str">
        <f>IFERROR(__xludf.DUMMYFUNCTION("if(C1921="""","""",iferror(if(row()&lt;&gt;2,INDEX(arrayformula(filter($Q$2:$Q1920,$C$2:$C1920&lt;&gt;"""",row($C$2:$C1920)=max(if($C$2:$C1920=C1921,row($C$2:$C1920),0)))) ,1),0),0))"),"")</f>
        <v/>
      </c>
      <c r="Q1921" s="147" t="str">
        <f t="shared" si="22"/>
        <v/>
      </c>
      <c r="R1921" s="147" t="str">
        <f t="shared" si="23"/>
        <v/>
      </c>
      <c r="S1921" s="147" t="str">
        <f t="shared" si="24"/>
        <v/>
      </c>
      <c r="T1921" s="147" t="str">
        <f t="shared" si="7"/>
        <v/>
      </c>
      <c r="U1921" s="150" t="str">
        <f t="shared" si="8"/>
        <v/>
      </c>
      <c r="V1921" s="151" t="str">
        <f>IFERROR(VLOOKUP(C1921,Ativos!$A$1:$G2000,5,),)</f>
        <v/>
      </c>
    </row>
    <row r="1922" ht="21.0" customHeight="1">
      <c r="A1922" s="152"/>
      <c r="B1922" s="160"/>
      <c r="C1922" s="153"/>
      <c r="D1922" s="154"/>
      <c r="E1922" s="139"/>
      <c r="F1922" s="139"/>
      <c r="G1922" s="139"/>
      <c r="H1922" s="135"/>
      <c r="I1922" s="141"/>
      <c r="J1922" s="147" t="str">
        <f>IFERROR(__xludf.DUMMYFUNCTION("IF(ISBLANK(A1922),IFERROR(1/0),IF(COUNT(FILTER(F:F,A:A=A1922))&gt;1,TRUNC(N1922*F1922/SUM(FILTER(N:N,A:A=A1922)),3),F1922))"),"")</f>
        <v/>
      </c>
      <c r="K1922" s="147" t="str">
        <f>IFERROR(__xludf.DUMMYFUNCTION("IF(ISBLANK(A1922),IFERROR(1/0),IF(COUNT(FILTER(G:G,((A:A=A1922)*(B:B=""V""))))&gt;1,TRUNC(N1922*G1922/SUM(FILTER(N:N,((A:A=A1922)*(B:B=""V"")))),3),G1922))"),"")</f>
        <v/>
      </c>
      <c r="L1922" s="148" t="str">
        <f>IFERROR(__xludf.DUMMYFUNCTION("if($C1922="""","""",iferror(if(row()&lt;&gt;2,INDEX(arrayformula(filter($M$2:$M1921,$C$2:$C1921&lt;&gt;"""",row($C$2:$C1921)=max(if($C$2:$C1921=C1922,row($C$2:$C1921),0)))) ,1),0),0))"),"")</f>
        <v/>
      </c>
      <c r="M1922" s="148" t="str">
        <f t="shared" si="1"/>
        <v/>
      </c>
      <c r="N1922" s="147" t="str">
        <f t="shared" si="2"/>
        <v/>
      </c>
      <c r="O1922" s="147" t="str">
        <f t="shared" si="21"/>
        <v/>
      </c>
      <c r="P1922" s="147" t="str">
        <f>IFERROR(__xludf.DUMMYFUNCTION("if(C1922="""","""",iferror(if(row()&lt;&gt;2,INDEX(arrayformula(filter($Q$2:$Q1921,$C$2:$C1921&lt;&gt;"""",row($C$2:$C1921)=max(if($C$2:$C1921=C1922,row($C$2:$C1921),0)))) ,1),0),0))"),"")</f>
        <v/>
      </c>
      <c r="Q1922" s="147" t="str">
        <f t="shared" si="22"/>
        <v/>
      </c>
      <c r="R1922" s="147" t="str">
        <f t="shared" si="23"/>
        <v/>
      </c>
      <c r="S1922" s="147" t="str">
        <f t="shared" si="24"/>
        <v/>
      </c>
      <c r="T1922" s="147" t="str">
        <f t="shared" si="7"/>
        <v/>
      </c>
      <c r="U1922" s="150" t="str">
        <f t="shared" si="8"/>
        <v/>
      </c>
      <c r="V1922" s="151" t="str">
        <f>IFERROR(VLOOKUP(C1922,Ativos!$A$1:$G2000,5,),)</f>
        <v/>
      </c>
    </row>
    <row r="1923" ht="21.0" customHeight="1">
      <c r="A1923" s="152"/>
      <c r="B1923" s="160"/>
      <c r="C1923" s="153"/>
      <c r="D1923" s="154"/>
      <c r="E1923" s="139"/>
      <c r="F1923" s="139"/>
      <c r="G1923" s="139"/>
      <c r="H1923" s="135"/>
      <c r="I1923" s="141"/>
      <c r="J1923" s="147" t="str">
        <f>IFERROR(__xludf.DUMMYFUNCTION("IF(ISBLANK(A1923),IFERROR(1/0),IF(COUNT(FILTER(F:F,A:A=A1923))&gt;1,TRUNC(N1923*F1923/SUM(FILTER(N:N,A:A=A1923)),3),F1923))"),"")</f>
        <v/>
      </c>
      <c r="K1923" s="147" t="str">
        <f>IFERROR(__xludf.DUMMYFUNCTION("IF(ISBLANK(A1923),IFERROR(1/0),IF(COUNT(FILTER(G:G,((A:A=A1923)*(B:B=""V""))))&gt;1,TRUNC(N1923*G1923/SUM(FILTER(N:N,((A:A=A1923)*(B:B=""V"")))),3),G1923))"),"")</f>
        <v/>
      </c>
      <c r="L1923" s="148" t="str">
        <f>IFERROR(__xludf.DUMMYFUNCTION("if($C1923="""","""",iferror(if(row()&lt;&gt;2,INDEX(arrayformula(filter($M$2:$M1922,$C$2:$C1922&lt;&gt;"""",row($C$2:$C1922)=max(if($C$2:$C1922=C1923,row($C$2:$C1922),0)))) ,1),0),0))"),"")</f>
        <v/>
      </c>
      <c r="M1923" s="148" t="str">
        <f t="shared" si="1"/>
        <v/>
      </c>
      <c r="N1923" s="147" t="str">
        <f t="shared" si="2"/>
        <v/>
      </c>
      <c r="O1923" s="147" t="str">
        <f t="shared" si="21"/>
        <v/>
      </c>
      <c r="P1923" s="147" t="str">
        <f>IFERROR(__xludf.DUMMYFUNCTION("if(C1923="""","""",iferror(if(row()&lt;&gt;2,INDEX(arrayformula(filter($Q$2:$Q1922,$C$2:$C1922&lt;&gt;"""",row($C$2:$C1922)=max(if($C$2:$C1922=C1923,row($C$2:$C1922),0)))) ,1),0),0))"),"")</f>
        <v/>
      </c>
      <c r="Q1923" s="147" t="str">
        <f t="shared" si="22"/>
        <v/>
      </c>
      <c r="R1923" s="147" t="str">
        <f t="shared" si="23"/>
        <v/>
      </c>
      <c r="S1923" s="147" t="str">
        <f t="shared" si="24"/>
        <v/>
      </c>
      <c r="T1923" s="147" t="str">
        <f t="shared" si="7"/>
        <v/>
      </c>
      <c r="U1923" s="150" t="str">
        <f t="shared" si="8"/>
        <v/>
      </c>
      <c r="V1923" s="151" t="str">
        <f>IFERROR(VLOOKUP(C1923,Ativos!$A$1:$G2000,5,),)</f>
        <v/>
      </c>
    </row>
    <row r="1924" ht="21.0" customHeight="1">
      <c r="A1924" s="152"/>
      <c r="B1924" s="160"/>
      <c r="C1924" s="153"/>
      <c r="D1924" s="154"/>
      <c r="E1924" s="139"/>
      <c r="F1924" s="139"/>
      <c r="G1924" s="139"/>
      <c r="H1924" s="135"/>
      <c r="I1924" s="141"/>
      <c r="J1924" s="147" t="str">
        <f>IFERROR(__xludf.DUMMYFUNCTION("IF(ISBLANK(A1924),IFERROR(1/0),IF(COUNT(FILTER(F:F,A:A=A1924))&gt;1,TRUNC(N1924*F1924/SUM(FILTER(N:N,A:A=A1924)),3),F1924))"),"")</f>
        <v/>
      </c>
      <c r="K1924" s="147" t="str">
        <f>IFERROR(__xludf.DUMMYFUNCTION("IF(ISBLANK(A1924),IFERROR(1/0),IF(COUNT(FILTER(G:G,((A:A=A1924)*(B:B=""V""))))&gt;1,TRUNC(N1924*G1924/SUM(FILTER(N:N,((A:A=A1924)*(B:B=""V"")))),3),G1924))"),"")</f>
        <v/>
      </c>
      <c r="L1924" s="148" t="str">
        <f>IFERROR(__xludf.DUMMYFUNCTION("if($C1924="""","""",iferror(if(row()&lt;&gt;2,INDEX(arrayformula(filter($M$2:$M1923,$C$2:$C1923&lt;&gt;"""",row($C$2:$C1923)=max(if($C$2:$C1923=C1924,row($C$2:$C1923),0)))) ,1),0),0))"),"")</f>
        <v/>
      </c>
      <c r="M1924" s="148" t="str">
        <f t="shared" si="1"/>
        <v/>
      </c>
      <c r="N1924" s="147" t="str">
        <f t="shared" si="2"/>
        <v/>
      </c>
      <c r="O1924" s="147" t="str">
        <f t="shared" si="21"/>
        <v/>
      </c>
      <c r="P1924" s="147" t="str">
        <f>IFERROR(__xludf.DUMMYFUNCTION("if(C1924="""","""",iferror(if(row()&lt;&gt;2,INDEX(arrayformula(filter($Q$2:$Q1923,$C$2:$C1923&lt;&gt;"""",row($C$2:$C1923)=max(if($C$2:$C1923=C1924,row($C$2:$C1923),0)))) ,1),0),0))"),"")</f>
        <v/>
      </c>
      <c r="Q1924" s="147" t="str">
        <f t="shared" si="22"/>
        <v/>
      </c>
      <c r="R1924" s="147" t="str">
        <f t="shared" si="23"/>
        <v/>
      </c>
      <c r="S1924" s="147" t="str">
        <f t="shared" si="24"/>
        <v/>
      </c>
      <c r="T1924" s="147" t="str">
        <f t="shared" si="7"/>
        <v/>
      </c>
      <c r="U1924" s="150" t="str">
        <f t="shared" si="8"/>
        <v/>
      </c>
      <c r="V1924" s="151" t="str">
        <f>IFERROR(VLOOKUP(C1924,Ativos!$A$1:$G2000,5,),)</f>
        <v/>
      </c>
    </row>
    <row r="1925" ht="21.0" customHeight="1">
      <c r="A1925" s="152"/>
      <c r="B1925" s="160"/>
      <c r="C1925" s="153"/>
      <c r="D1925" s="154"/>
      <c r="E1925" s="139"/>
      <c r="F1925" s="139"/>
      <c r="G1925" s="139"/>
      <c r="H1925" s="135"/>
      <c r="I1925" s="141"/>
      <c r="J1925" s="147" t="str">
        <f>IFERROR(__xludf.DUMMYFUNCTION("IF(ISBLANK(A1925),IFERROR(1/0),IF(COUNT(FILTER(F:F,A:A=A1925))&gt;1,TRUNC(N1925*F1925/SUM(FILTER(N:N,A:A=A1925)),3),F1925))"),"")</f>
        <v/>
      </c>
      <c r="K1925" s="147" t="str">
        <f>IFERROR(__xludf.DUMMYFUNCTION("IF(ISBLANK(A1925),IFERROR(1/0),IF(COUNT(FILTER(G:G,((A:A=A1925)*(B:B=""V""))))&gt;1,TRUNC(N1925*G1925/SUM(FILTER(N:N,((A:A=A1925)*(B:B=""V"")))),3),G1925))"),"")</f>
        <v/>
      </c>
      <c r="L1925" s="148" t="str">
        <f>IFERROR(__xludf.DUMMYFUNCTION("if($C1925="""","""",iferror(if(row()&lt;&gt;2,INDEX(arrayformula(filter($M$2:$M1924,$C$2:$C1924&lt;&gt;"""",row($C$2:$C1924)=max(if($C$2:$C1924=C1925,row($C$2:$C1924),0)))) ,1),0),0))"),"")</f>
        <v/>
      </c>
      <c r="M1925" s="148" t="str">
        <f t="shared" si="1"/>
        <v/>
      </c>
      <c r="N1925" s="147" t="str">
        <f t="shared" si="2"/>
        <v/>
      </c>
      <c r="O1925" s="147" t="str">
        <f t="shared" si="21"/>
        <v/>
      </c>
      <c r="P1925" s="147" t="str">
        <f>IFERROR(__xludf.DUMMYFUNCTION("if(C1925="""","""",iferror(if(row()&lt;&gt;2,INDEX(arrayformula(filter($Q$2:$Q1924,$C$2:$C1924&lt;&gt;"""",row($C$2:$C1924)=max(if($C$2:$C1924=C1925,row($C$2:$C1924),0)))) ,1),0),0))"),"")</f>
        <v/>
      </c>
      <c r="Q1925" s="147" t="str">
        <f t="shared" si="22"/>
        <v/>
      </c>
      <c r="R1925" s="147" t="str">
        <f t="shared" si="23"/>
        <v/>
      </c>
      <c r="S1925" s="147" t="str">
        <f t="shared" si="24"/>
        <v/>
      </c>
      <c r="T1925" s="147" t="str">
        <f t="shared" si="7"/>
        <v/>
      </c>
      <c r="U1925" s="150" t="str">
        <f t="shared" si="8"/>
        <v/>
      </c>
      <c r="V1925" s="151" t="str">
        <f>IFERROR(VLOOKUP(C1925,Ativos!$A$1:$G2000,5,),)</f>
        <v/>
      </c>
    </row>
    <row r="1926" ht="21.0" customHeight="1">
      <c r="A1926" s="152"/>
      <c r="B1926" s="160"/>
      <c r="C1926" s="153"/>
      <c r="D1926" s="154"/>
      <c r="E1926" s="139"/>
      <c r="F1926" s="139"/>
      <c r="G1926" s="139"/>
      <c r="H1926" s="135"/>
      <c r="I1926" s="141"/>
      <c r="J1926" s="147" t="str">
        <f>IFERROR(__xludf.DUMMYFUNCTION("IF(ISBLANK(A1926),IFERROR(1/0),IF(COUNT(FILTER(F:F,A:A=A1926))&gt;1,TRUNC(N1926*F1926/SUM(FILTER(N:N,A:A=A1926)),3),F1926))"),"")</f>
        <v/>
      </c>
      <c r="K1926" s="147" t="str">
        <f>IFERROR(__xludf.DUMMYFUNCTION("IF(ISBLANK(A1926),IFERROR(1/0),IF(COUNT(FILTER(G:G,((A:A=A1926)*(B:B=""V""))))&gt;1,TRUNC(N1926*G1926/SUM(FILTER(N:N,((A:A=A1926)*(B:B=""V"")))),3),G1926))"),"")</f>
        <v/>
      </c>
      <c r="L1926" s="148" t="str">
        <f>IFERROR(__xludf.DUMMYFUNCTION("if($C1926="""","""",iferror(if(row()&lt;&gt;2,INDEX(arrayformula(filter($M$2:$M1925,$C$2:$C1925&lt;&gt;"""",row($C$2:$C1925)=max(if($C$2:$C1925=C1926,row($C$2:$C1925),0)))) ,1),0),0))"),"")</f>
        <v/>
      </c>
      <c r="M1926" s="148" t="str">
        <f t="shared" si="1"/>
        <v/>
      </c>
      <c r="N1926" s="147" t="str">
        <f t="shared" si="2"/>
        <v/>
      </c>
      <c r="O1926" s="147" t="str">
        <f t="shared" si="21"/>
        <v/>
      </c>
      <c r="P1926" s="147" t="str">
        <f>IFERROR(__xludf.DUMMYFUNCTION("if(C1926="""","""",iferror(if(row()&lt;&gt;2,INDEX(arrayformula(filter($Q$2:$Q1925,$C$2:$C1925&lt;&gt;"""",row($C$2:$C1925)=max(if($C$2:$C1925=C1926,row($C$2:$C1925),0)))) ,1),0),0))"),"")</f>
        <v/>
      </c>
      <c r="Q1926" s="147" t="str">
        <f t="shared" si="22"/>
        <v/>
      </c>
      <c r="R1926" s="147" t="str">
        <f t="shared" si="23"/>
        <v/>
      </c>
      <c r="S1926" s="147" t="str">
        <f t="shared" si="24"/>
        <v/>
      </c>
      <c r="T1926" s="147" t="str">
        <f t="shared" si="7"/>
        <v/>
      </c>
      <c r="U1926" s="150" t="str">
        <f t="shared" si="8"/>
        <v/>
      </c>
      <c r="V1926" s="151" t="str">
        <f>IFERROR(VLOOKUP(C1926,Ativos!$A$1:$G2000,5,),)</f>
        <v/>
      </c>
    </row>
    <row r="1927" ht="21.0" customHeight="1">
      <c r="A1927" s="152"/>
      <c r="B1927" s="160"/>
      <c r="C1927" s="153"/>
      <c r="D1927" s="154"/>
      <c r="E1927" s="139"/>
      <c r="F1927" s="139"/>
      <c r="G1927" s="139"/>
      <c r="H1927" s="135"/>
      <c r="I1927" s="141"/>
      <c r="J1927" s="147" t="str">
        <f>IFERROR(__xludf.DUMMYFUNCTION("IF(ISBLANK(A1927),IFERROR(1/0),IF(COUNT(FILTER(F:F,A:A=A1927))&gt;1,TRUNC(N1927*F1927/SUM(FILTER(N:N,A:A=A1927)),3),F1927))"),"")</f>
        <v/>
      </c>
      <c r="K1927" s="147" t="str">
        <f>IFERROR(__xludf.DUMMYFUNCTION("IF(ISBLANK(A1927),IFERROR(1/0),IF(COUNT(FILTER(G:G,((A:A=A1927)*(B:B=""V""))))&gt;1,TRUNC(N1927*G1927/SUM(FILTER(N:N,((A:A=A1927)*(B:B=""V"")))),3),G1927))"),"")</f>
        <v/>
      </c>
      <c r="L1927" s="148" t="str">
        <f>IFERROR(__xludf.DUMMYFUNCTION("if($C1927="""","""",iferror(if(row()&lt;&gt;2,INDEX(arrayformula(filter($M$2:$M1926,$C$2:$C1926&lt;&gt;"""",row($C$2:$C1926)=max(if($C$2:$C1926=C1927,row($C$2:$C1926),0)))) ,1),0),0))"),"")</f>
        <v/>
      </c>
      <c r="M1927" s="148" t="str">
        <f t="shared" si="1"/>
        <v/>
      </c>
      <c r="N1927" s="147" t="str">
        <f t="shared" si="2"/>
        <v/>
      </c>
      <c r="O1927" s="147" t="str">
        <f t="shared" si="21"/>
        <v/>
      </c>
      <c r="P1927" s="147" t="str">
        <f>IFERROR(__xludf.DUMMYFUNCTION("if(C1927="""","""",iferror(if(row()&lt;&gt;2,INDEX(arrayformula(filter($Q$2:$Q1926,$C$2:$C1926&lt;&gt;"""",row($C$2:$C1926)=max(if($C$2:$C1926=C1927,row($C$2:$C1926),0)))) ,1),0),0))"),"")</f>
        <v/>
      </c>
      <c r="Q1927" s="147" t="str">
        <f t="shared" si="22"/>
        <v/>
      </c>
      <c r="R1927" s="147" t="str">
        <f t="shared" si="23"/>
        <v/>
      </c>
      <c r="S1927" s="147" t="str">
        <f t="shared" si="24"/>
        <v/>
      </c>
      <c r="T1927" s="147" t="str">
        <f t="shared" si="7"/>
        <v/>
      </c>
      <c r="U1927" s="150" t="str">
        <f t="shared" si="8"/>
        <v/>
      </c>
      <c r="V1927" s="151" t="str">
        <f>IFERROR(VLOOKUP(C1927,Ativos!$A$1:$G2000,5,),)</f>
        <v/>
      </c>
    </row>
    <row r="1928" ht="21.0" customHeight="1">
      <c r="A1928" s="152"/>
      <c r="B1928" s="160"/>
      <c r="C1928" s="153"/>
      <c r="D1928" s="154"/>
      <c r="E1928" s="139"/>
      <c r="F1928" s="139"/>
      <c r="G1928" s="139"/>
      <c r="H1928" s="135"/>
      <c r="I1928" s="141"/>
      <c r="J1928" s="147" t="str">
        <f>IFERROR(__xludf.DUMMYFUNCTION("IF(ISBLANK(A1928),IFERROR(1/0),IF(COUNT(FILTER(F:F,A:A=A1928))&gt;1,TRUNC(N1928*F1928/SUM(FILTER(N:N,A:A=A1928)),3),F1928))"),"")</f>
        <v/>
      </c>
      <c r="K1928" s="147" t="str">
        <f>IFERROR(__xludf.DUMMYFUNCTION("IF(ISBLANK(A1928),IFERROR(1/0),IF(COUNT(FILTER(G:G,((A:A=A1928)*(B:B=""V""))))&gt;1,TRUNC(N1928*G1928/SUM(FILTER(N:N,((A:A=A1928)*(B:B=""V"")))),3),G1928))"),"")</f>
        <v/>
      </c>
      <c r="L1928" s="148" t="str">
        <f>IFERROR(__xludf.DUMMYFUNCTION("if($C1928="""","""",iferror(if(row()&lt;&gt;2,INDEX(arrayformula(filter($M$2:$M1927,$C$2:$C1927&lt;&gt;"""",row($C$2:$C1927)=max(if($C$2:$C1927=C1928,row($C$2:$C1927),0)))) ,1),0),0))"),"")</f>
        <v/>
      </c>
      <c r="M1928" s="148" t="str">
        <f t="shared" si="1"/>
        <v/>
      </c>
      <c r="N1928" s="147" t="str">
        <f t="shared" si="2"/>
        <v/>
      </c>
      <c r="O1928" s="147" t="str">
        <f t="shared" si="21"/>
        <v/>
      </c>
      <c r="P1928" s="147" t="str">
        <f>IFERROR(__xludf.DUMMYFUNCTION("if(C1928="""","""",iferror(if(row()&lt;&gt;2,INDEX(arrayformula(filter($Q$2:$Q1927,$C$2:$C1927&lt;&gt;"""",row($C$2:$C1927)=max(if($C$2:$C1927=C1928,row($C$2:$C1927),0)))) ,1),0),0))"),"")</f>
        <v/>
      </c>
      <c r="Q1928" s="147" t="str">
        <f t="shared" si="22"/>
        <v/>
      </c>
      <c r="R1928" s="147" t="str">
        <f t="shared" si="23"/>
        <v/>
      </c>
      <c r="S1928" s="147" t="str">
        <f t="shared" si="24"/>
        <v/>
      </c>
      <c r="T1928" s="147" t="str">
        <f t="shared" si="7"/>
        <v/>
      </c>
      <c r="U1928" s="150" t="str">
        <f t="shared" si="8"/>
        <v/>
      </c>
      <c r="V1928" s="151" t="str">
        <f>IFERROR(VLOOKUP(C1928,Ativos!$A$1:$G2000,5,),)</f>
        <v/>
      </c>
    </row>
    <row r="1929" ht="21.0" customHeight="1">
      <c r="A1929" s="152"/>
      <c r="B1929" s="160"/>
      <c r="C1929" s="153"/>
      <c r="D1929" s="154"/>
      <c r="E1929" s="139"/>
      <c r="F1929" s="139"/>
      <c r="G1929" s="139"/>
      <c r="H1929" s="135"/>
      <c r="I1929" s="141"/>
      <c r="J1929" s="147" t="str">
        <f>IFERROR(__xludf.DUMMYFUNCTION("IF(ISBLANK(A1929),IFERROR(1/0),IF(COUNT(FILTER(F:F,A:A=A1929))&gt;1,TRUNC(N1929*F1929/SUM(FILTER(N:N,A:A=A1929)),3),F1929))"),"")</f>
        <v/>
      </c>
      <c r="K1929" s="147" t="str">
        <f>IFERROR(__xludf.DUMMYFUNCTION("IF(ISBLANK(A1929),IFERROR(1/0),IF(COUNT(FILTER(G:G,((A:A=A1929)*(B:B=""V""))))&gt;1,TRUNC(N1929*G1929/SUM(FILTER(N:N,((A:A=A1929)*(B:B=""V"")))),3),G1929))"),"")</f>
        <v/>
      </c>
      <c r="L1929" s="148" t="str">
        <f>IFERROR(__xludf.DUMMYFUNCTION("if($C1929="""","""",iferror(if(row()&lt;&gt;2,INDEX(arrayformula(filter($M$2:$M1928,$C$2:$C1928&lt;&gt;"""",row($C$2:$C1928)=max(if($C$2:$C1928=C1929,row($C$2:$C1928),0)))) ,1),0),0))"),"")</f>
        <v/>
      </c>
      <c r="M1929" s="148" t="str">
        <f t="shared" si="1"/>
        <v/>
      </c>
      <c r="N1929" s="147" t="str">
        <f t="shared" si="2"/>
        <v/>
      </c>
      <c r="O1929" s="147" t="str">
        <f t="shared" si="21"/>
        <v/>
      </c>
      <c r="P1929" s="147" t="str">
        <f>IFERROR(__xludf.DUMMYFUNCTION("if(C1929="""","""",iferror(if(row()&lt;&gt;2,INDEX(arrayformula(filter($Q$2:$Q1928,$C$2:$C1928&lt;&gt;"""",row($C$2:$C1928)=max(if($C$2:$C1928=C1929,row($C$2:$C1928),0)))) ,1),0),0))"),"")</f>
        <v/>
      </c>
      <c r="Q1929" s="147" t="str">
        <f t="shared" si="22"/>
        <v/>
      </c>
      <c r="R1929" s="147" t="str">
        <f t="shared" si="23"/>
        <v/>
      </c>
      <c r="S1929" s="147" t="str">
        <f t="shared" si="24"/>
        <v/>
      </c>
      <c r="T1929" s="147" t="str">
        <f t="shared" si="7"/>
        <v/>
      </c>
      <c r="U1929" s="150" t="str">
        <f t="shared" si="8"/>
        <v/>
      </c>
      <c r="V1929" s="151" t="str">
        <f>IFERROR(VLOOKUP(C1929,Ativos!$A$1:$G2000,5,),)</f>
        <v/>
      </c>
    </row>
    <row r="1930" ht="21.0" customHeight="1">
      <c r="A1930" s="152"/>
      <c r="B1930" s="160"/>
      <c r="C1930" s="153"/>
      <c r="D1930" s="154"/>
      <c r="E1930" s="139"/>
      <c r="F1930" s="139"/>
      <c r="G1930" s="139"/>
      <c r="H1930" s="135"/>
      <c r="I1930" s="141"/>
      <c r="J1930" s="147" t="str">
        <f>IFERROR(__xludf.DUMMYFUNCTION("IF(ISBLANK(A1930),IFERROR(1/0),IF(COUNT(FILTER(F:F,A:A=A1930))&gt;1,TRUNC(N1930*F1930/SUM(FILTER(N:N,A:A=A1930)),3),F1930))"),"")</f>
        <v/>
      </c>
      <c r="K1930" s="147" t="str">
        <f>IFERROR(__xludf.DUMMYFUNCTION("IF(ISBLANK(A1930),IFERROR(1/0),IF(COUNT(FILTER(G:G,((A:A=A1930)*(B:B=""V""))))&gt;1,TRUNC(N1930*G1930/SUM(FILTER(N:N,((A:A=A1930)*(B:B=""V"")))),3),G1930))"),"")</f>
        <v/>
      </c>
      <c r="L1930" s="148" t="str">
        <f>IFERROR(__xludf.DUMMYFUNCTION("if($C1930="""","""",iferror(if(row()&lt;&gt;2,INDEX(arrayformula(filter($M$2:$M1929,$C$2:$C1929&lt;&gt;"""",row($C$2:$C1929)=max(if($C$2:$C1929=C1930,row($C$2:$C1929),0)))) ,1),0),0))"),"")</f>
        <v/>
      </c>
      <c r="M1930" s="148" t="str">
        <f t="shared" si="1"/>
        <v/>
      </c>
      <c r="N1930" s="147" t="str">
        <f t="shared" si="2"/>
        <v/>
      </c>
      <c r="O1930" s="147" t="str">
        <f t="shared" si="21"/>
        <v/>
      </c>
      <c r="P1930" s="147" t="str">
        <f>IFERROR(__xludf.DUMMYFUNCTION("if(C1930="""","""",iferror(if(row()&lt;&gt;2,INDEX(arrayformula(filter($Q$2:$Q1929,$C$2:$C1929&lt;&gt;"""",row($C$2:$C1929)=max(if($C$2:$C1929=C1930,row($C$2:$C1929),0)))) ,1),0),0))"),"")</f>
        <v/>
      </c>
      <c r="Q1930" s="147" t="str">
        <f t="shared" si="22"/>
        <v/>
      </c>
      <c r="R1930" s="147" t="str">
        <f t="shared" si="23"/>
        <v/>
      </c>
      <c r="S1930" s="147" t="str">
        <f t="shared" si="24"/>
        <v/>
      </c>
      <c r="T1930" s="147" t="str">
        <f t="shared" si="7"/>
        <v/>
      </c>
      <c r="U1930" s="150" t="str">
        <f t="shared" si="8"/>
        <v/>
      </c>
      <c r="V1930" s="151" t="str">
        <f>IFERROR(VLOOKUP(C1930,Ativos!$A$1:$G2000,5,),)</f>
        <v/>
      </c>
    </row>
    <row r="1931" ht="21.0" customHeight="1">
      <c r="A1931" s="152"/>
      <c r="B1931" s="160"/>
      <c r="C1931" s="153"/>
      <c r="D1931" s="154"/>
      <c r="E1931" s="139"/>
      <c r="F1931" s="139"/>
      <c r="G1931" s="139"/>
      <c r="H1931" s="135"/>
      <c r="I1931" s="141"/>
      <c r="J1931" s="147" t="str">
        <f>IFERROR(__xludf.DUMMYFUNCTION("IF(ISBLANK(A1931),IFERROR(1/0),IF(COUNT(FILTER(F:F,A:A=A1931))&gt;1,TRUNC(N1931*F1931/SUM(FILTER(N:N,A:A=A1931)),3),F1931))"),"")</f>
        <v/>
      </c>
      <c r="K1931" s="147" t="str">
        <f>IFERROR(__xludf.DUMMYFUNCTION("IF(ISBLANK(A1931),IFERROR(1/0),IF(COUNT(FILTER(G:G,((A:A=A1931)*(B:B=""V""))))&gt;1,TRUNC(N1931*G1931/SUM(FILTER(N:N,((A:A=A1931)*(B:B=""V"")))),3),G1931))"),"")</f>
        <v/>
      </c>
      <c r="L1931" s="148" t="str">
        <f>IFERROR(__xludf.DUMMYFUNCTION("if($C1931="""","""",iferror(if(row()&lt;&gt;2,INDEX(arrayformula(filter($M$2:$M1930,$C$2:$C1930&lt;&gt;"""",row($C$2:$C1930)=max(if($C$2:$C1930=C1931,row($C$2:$C1930),0)))) ,1),0),0))"),"")</f>
        <v/>
      </c>
      <c r="M1931" s="148" t="str">
        <f t="shared" si="1"/>
        <v/>
      </c>
      <c r="N1931" s="147" t="str">
        <f t="shared" si="2"/>
        <v/>
      </c>
      <c r="O1931" s="147" t="str">
        <f t="shared" si="21"/>
        <v/>
      </c>
      <c r="P1931" s="147" t="str">
        <f>IFERROR(__xludf.DUMMYFUNCTION("if(C1931="""","""",iferror(if(row()&lt;&gt;2,INDEX(arrayformula(filter($Q$2:$Q1930,$C$2:$C1930&lt;&gt;"""",row($C$2:$C1930)=max(if($C$2:$C1930=C1931,row($C$2:$C1930),0)))) ,1),0),0))"),"")</f>
        <v/>
      </c>
      <c r="Q1931" s="147" t="str">
        <f t="shared" si="22"/>
        <v/>
      </c>
      <c r="R1931" s="147" t="str">
        <f t="shared" si="23"/>
        <v/>
      </c>
      <c r="S1931" s="147" t="str">
        <f t="shared" si="24"/>
        <v/>
      </c>
      <c r="T1931" s="147" t="str">
        <f t="shared" si="7"/>
        <v/>
      </c>
      <c r="U1931" s="150" t="str">
        <f t="shared" si="8"/>
        <v/>
      </c>
      <c r="V1931" s="151" t="str">
        <f>IFERROR(VLOOKUP(C1931,Ativos!$A$1:$G2000,5,),)</f>
        <v/>
      </c>
    </row>
    <row r="1932" ht="21.0" customHeight="1">
      <c r="A1932" s="152"/>
      <c r="B1932" s="160"/>
      <c r="C1932" s="153"/>
      <c r="D1932" s="154"/>
      <c r="E1932" s="139"/>
      <c r="F1932" s="139"/>
      <c r="G1932" s="139"/>
      <c r="H1932" s="135"/>
      <c r="I1932" s="141"/>
      <c r="J1932" s="147" t="str">
        <f>IFERROR(__xludf.DUMMYFUNCTION("IF(ISBLANK(A1932),IFERROR(1/0),IF(COUNT(FILTER(F:F,A:A=A1932))&gt;1,TRUNC(N1932*F1932/SUM(FILTER(N:N,A:A=A1932)),3),F1932))"),"")</f>
        <v/>
      </c>
      <c r="K1932" s="147" t="str">
        <f>IFERROR(__xludf.DUMMYFUNCTION("IF(ISBLANK(A1932),IFERROR(1/0),IF(COUNT(FILTER(G:G,((A:A=A1932)*(B:B=""V""))))&gt;1,TRUNC(N1932*G1932/SUM(FILTER(N:N,((A:A=A1932)*(B:B=""V"")))),3),G1932))"),"")</f>
        <v/>
      </c>
      <c r="L1932" s="148" t="str">
        <f>IFERROR(__xludf.DUMMYFUNCTION("if($C1932="""","""",iferror(if(row()&lt;&gt;2,INDEX(arrayformula(filter($M$2:$M1931,$C$2:$C1931&lt;&gt;"""",row($C$2:$C1931)=max(if($C$2:$C1931=C1932,row($C$2:$C1931),0)))) ,1),0),0))"),"")</f>
        <v/>
      </c>
      <c r="M1932" s="148" t="str">
        <f t="shared" si="1"/>
        <v/>
      </c>
      <c r="N1932" s="147" t="str">
        <f t="shared" si="2"/>
        <v/>
      </c>
      <c r="O1932" s="147" t="str">
        <f t="shared" si="21"/>
        <v/>
      </c>
      <c r="P1932" s="147" t="str">
        <f>IFERROR(__xludf.DUMMYFUNCTION("if(C1932="""","""",iferror(if(row()&lt;&gt;2,INDEX(arrayformula(filter($Q$2:$Q1931,$C$2:$C1931&lt;&gt;"""",row($C$2:$C1931)=max(if($C$2:$C1931=C1932,row($C$2:$C1931),0)))) ,1),0),0))"),"")</f>
        <v/>
      </c>
      <c r="Q1932" s="147" t="str">
        <f t="shared" si="22"/>
        <v/>
      </c>
      <c r="R1932" s="147" t="str">
        <f t="shared" si="23"/>
        <v/>
      </c>
      <c r="S1932" s="147" t="str">
        <f t="shared" si="24"/>
        <v/>
      </c>
      <c r="T1932" s="147" t="str">
        <f t="shared" si="7"/>
        <v/>
      </c>
      <c r="U1932" s="150" t="str">
        <f t="shared" si="8"/>
        <v/>
      </c>
      <c r="V1932" s="151" t="str">
        <f>IFERROR(VLOOKUP(C1932,Ativos!$A$1:$G2000,5,),)</f>
        <v/>
      </c>
    </row>
    <row r="1933" ht="21.0" customHeight="1">
      <c r="A1933" s="152"/>
      <c r="B1933" s="160"/>
      <c r="C1933" s="153"/>
      <c r="D1933" s="154"/>
      <c r="E1933" s="139"/>
      <c r="F1933" s="139"/>
      <c r="G1933" s="139"/>
      <c r="H1933" s="135"/>
      <c r="I1933" s="141"/>
      <c r="J1933" s="147" t="str">
        <f>IFERROR(__xludf.DUMMYFUNCTION("IF(ISBLANK(A1933),IFERROR(1/0),IF(COUNT(FILTER(F:F,A:A=A1933))&gt;1,TRUNC(N1933*F1933/SUM(FILTER(N:N,A:A=A1933)),3),F1933))"),"")</f>
        <v/>
      </c>
      <c r="K1933" s="147" t="str">
        <f>IFERROR(__xludf.DUMMYFUNCTION("IF(ISBLANK(A1933),IFERROR(1/0),IF(COUNT(FILTER(G:G,((A:A=A1933)*(B:B=""V""))))&gt;1,TRUNC(N1933*G1933/SUM(FILTER(N:N,((A:A=A1933)*(B:B=""V"")))),3),G1933))"),"")</f>
        <v/>
      </c>
      <c r="L1933" s="148" t="str">
        <f>IFERROR(__xludf.DUMMYFUNCTION("if($C1933="""","""",iferror(if(row()&lt;&gt;2,INDEX(arrayformula(filter($M$2:$M1932,$C$2:$C1932&lt;&gt;"""",row($C$2:$C1932)=max(if($C$2:$C1932=C1933,row($C$2:$C1932),0)))) ,1),0),0))"),"")</f>
        <v/>
      </c>
      <c r="M1933" s="148" t="str">
        <f t="shared" si="1"/>
        <v/>
      </c>
      <c r="N1933" s="147" t="str">
        <f t="shared" si="2"/>
        <v/>
      </c>
      <c r="O1933" s="147" t="str">
        <f t="shared" si="21"/>
        <v/>
      </c>
      <c r="P1933" s="147" t="str">
        <f>IFERROR(__xludf.DUMMYFUNCTION("if(C1933="""","""",iferror(if(row()&lt;&gt;2,INDEX(arrayformula(filter($Q$2:$Q1932,$C$2:$C1932&lt;&gt;"""",row($C$2:$C1932)=max(if($C$2:$C1932=C1933,row($C$2:$C1932),0)))) ,1),0),0))"),"")</f>
        <v/>
      </c>
      <c r="Q1933" s="147" t="str">
        <f t="shared" si="22"/>
        <v/>
      </c>
      <c r="R1933" s="147" t="str">
        <f t="shared" si="23"/>
        <v/>
      </c>
      <c r="S1933" s="147" t="str">
        <f t="shared" si="24"/>
        <v/>
      </c>
      <c r="T1933" s="147" t="str">
        <f t="shared" si="7"/>
        <v/>
      </c>
      <c r="U1933" s="150" t="str">
        <f t="shared" si="8"/>
        <v/>
      </c>
      <c r="V1933" s="151" t="str">
        <f>IFERROR(VLOOKUP(C1933,Ativos!$A$1:$G2000,5,),)</f>
        <v/>
      </c>
    </row>
    <row r="1934" ht="21.0" customHeight="1">
      <c r="A1934" s="152"/>
      <c r="B1934" s="160"/>
      <c r="C1934" s="153"/>
      <c r="D1934" s="154"/>
      <c r="E1934" s="139"/>
      <c r="F1934" s="139"/>
      <c r="G1934" s="139"/>
      <c r="H1934" s="135"/>
      <c r="I1934" s="141"/>
      <c r="J1934" s="147" t="str">
        <f>IFERROR(__xludf.DUMMYFUNCTION("IF(ISBLANK(A1934),IFERROR(1/0),IF(COUNT(FILTER(F:F,A:A=A1934))&gt;1,TRUNC(N1934*F1934/SUM(FILTER(N:N,A:A=A1934)),3),F1934))"),"")</f>
        <v/>
      </c>
      <c r="K1934" s="147" t="str">
        <f>IFERROR(__xludf.DUMMYFUNCTION("IF(ISBLANK(A1934),IFERROR(1/0),IF(COUNT(FILTER(G:G,((A:A=A1934)*(B:B=""V""))))&gt;1,TRUNC(N1934*G1934/SUM(FILTER(N:N,((A:A=A1934)*(B:B=""V"")))),3),G1934))"),"")</f>
        <v/>
      </c>
      <c r="L1934" s="148" t="str">
        <f>IFERROR(__xludf.DUMMYFUNCTION("if($C1934="""","""",iferror(if(row()&lt;&gt;2,INDEX(arrayformula(filter($M$2:$M1933,$C$2:$C1933&lt;&gt;"""",row($C$2:$C1933)=max(if($C$2:$C1933=C1934,row($C$2:$C1933),0)))) ,1),0),0))"),"")</f>
        <v/>
      </c>
      <c r="M1934" s="148" t="str">
        <f t="shared" si="1"/>
        <v/>
      </c>
      <c r="N1934" s="147" t="str">
        <f t="shared" si="2"/>
        <v/>
      </c>
      <c r="O1934" s="147" t="str">
        <f t="shared" si="21"/>
        <v/>
      </c>
      <c r="P1934" s="147" t="str">
        <f>IFERROR(__xludf.DUMMYFUNCTION("if(C1934="""","""",iferror(if(row()&lt;&gt;2,INDEX(arrayformula(filter($Q$2:$Q1933,$C$2:$C1933&lt;&gt;"""",row($C$2:$C1933)=max(if($C$2:$C1933=C1934,row($C$2:$C1933),0)))) ,1),0),0))"),"")</f>
        <v/>
      </c>
      <c r="Q1934" s="147" t="str">
        <f t="shared" si="22"/>
        <v/>
      </c>
      <c r="R1934" s="147" t="str">
        <f t="shared" si="23"/>
        <v/>
      </c>
      <c r="S1934" s="147" t="str">
        <f t="shared" si="24"/>
        <v/>
      </c>
      <c r="T1934" s="147" t="str">
        <f t="shared" si="7"/>
        <v/>
      </c>
      <c r="U1934" s="150" t="str">
        <f t="shared" si="8"/>
        <v/>
      </c>
      <c r="V1934" s="151" t="str">
        <f>IFERROR(VLOOKUP(C1934,Ativos!$A$1:$G2000,5,),)</f>
        <v/>
      </c>
    </row>
    <row r="1935" ht="21.0" customHeight="1">
      <c r="A1935" s="152"/>
      <c r="B1935" s="160"/>
      <c r="C1935" s="153"/>
      <c r="D1935" s="154"/>
      <c r="E1935" s="139"/>
      <c r="F1935" s="139"/>
      <c r="G1935" s="139"/>
      <c r="H1935" s="135"/>
      <c r="I1935" s="141"/>
      <c r="J1935" s="147" t="str">
        <f>IFERROR(__xludf.DUMMYFUNCTION("IF(ISBLANK(A1935),IFERROR(1/0),IF(COUNT(FILTER(F:F,A:A=A1935))&gt;1,TRUNC(N1935*F1935/SUM(FILTER(N:N,A:A=A1935)),3),F1935))"),"")</f>
        <v/>
      </c>
      <c r="K1935" s="147" t="str">
        <f>IFERROR(__xludf.DUMMYFUNCTION("IF(ISBLANK(A1935),IFERROR(1/0),IF(COUNT(FILTER(G:G,((A:A=A1935)*(B:B=""V""))))&gt;1,TRUNC(N1935*G1935/SUM(FILTER(N:N,((A:A=A1935)*(B:B=""V"")))),3),G1935))"),"")</f>
        <v/>
      </c>
      <c r="L1935" s="148" t="str">
        <f>IFERROR(__xludf.DUMMYFUNCTION("if($C1935="""","""",iferror(if(row()&lt;&gt;2,INDEX(arrayformula(filter($M$2:$M1934,$C$2:$C1934&lt;&gt;"""",row($C$2:$C1934)=max(if($C$2:$C1934=C1935,row($C$2:$C1934),0)))) ,1),0),0))"),"")</f>
        <v/>
      </c>
      <c r="M1935" s="148" t="str">
        <f t="shared" si="1"/>
        <v/>
      </c>
      <c r="N1935" s="147" t="str">
        <f t="shared" si="2"/>
        <v/>
      </c>
      <c r="O1935" s="147" t="str">
        <f t="shared" si="21"/>
        <v/>
      </c>
      <c r="P1935" s="147" t="str">
        <f>IFERROR(__xludf.DUMMYFUNCTION("if(C1935="""","""",iferror(if(row()&lt;&gt;2,INDEX(arrayformula(filter($Q$2:$Q1934,$C$2:$C1934&lt;&gt;"""",row($C$2:$C1934)=max(if($C$2:$C1934=C1935,row($C$2:$C1934),0)))) ,1),0),0))"),"")</f>
        <v/>
      </c>
      <c r="Q1935" s="147" t="str">
        <f t="shared" si="22"/>
        <v/>
      </c>
      <c r="R1935" s="147" t="str">
        <f t="shared" si="23"/>
        <v/>
      </c>
      <c r="S1935" s="147" t="str">
        <f t="shared" si="24"/>
        <v/>
      </c>
      <c r="T1935" s="147" t="str">
        <f t="shared" si="7"/>
        <v/>
      </c>
      <c r="U1935" s="150" t="str">
        <f t="shared" si="8"/>
        <v/>
      </c>
      <c r="V1935" s="151" t="str">
        <f>IFERROR(VLOOKUP(C1935,Ativos!$A$1:$G2000,5,),)</f>
        <v/>
      </c>
    </row>
    <row r="1936" ht="21.0" customHeight="1">
      <c r="A1936" s="152"/>
      <c r="B1936" s="160"/>
      <c r="C1936" s="153"/>
      <c r="D1936" s="154"/>
      <c r="E1936" s="139"/>
      <c r="F1936" s="139"/>
      <c r="G1936" s="139"/>
      <c r="H1936" s="135"/>
      <c r="I1936" s="141"/>
      <c r="J1936" s="147" t="str">
        <f>IFERROR(__xludf.DUMMYFUNCTION("IF(ISBLANK(A1936),IFERROR(1/0),IF(COUNT(FILTER(F:F,A:A=A1936))&gt;1,TRUNC(N1936*F1936/SUM(FILTER(N:N,A:A=A1936)),3),F1936))"),"")</f>
        <v/>
      </c>
      <c r="K1936" s="147" t="str">
        <f>IFERROR(__xludf.DUMMYFUNCTION("IF(ISBLANK(A1936),IFERROR(1/0),IF(COUNT(FILTER(G:G,((A:A=A1936)*(B:B=""V""))))&gt;1,TRUNC(N1936*G1936/SUM(FILTER(N:N,((A:A=A1936)*(B:B=""V"")))),3),G1936))"),"")</f>
        <v/>
      </c>
      <c r="L1936" s="148" t="str">
        <f>IFERROR(__xludf.DUMMYFUNCTION("if($C1936="""","""",iferror(if(row()&lt;&gt;2,INDEX(arrayformula(filter($M$2:$M1935,$C$2:$C1935&lt;&gt;"""",row($C$2:$C1935)=max(if($C$2:$C1935=C1936,row($C$2:$C1935),0)))) ,1),0),0))"),"")</f>
        <v/>
      </c>
      <c r="M1936" s="148" t="str">
        <f t="shared" si="1"/>
        <v/>
      </c>
      <c r="N1936" s="147" t="str">
        <f t="shared" si="2"/>
        <v/>
      </c>
      <c r="O1936" s="147" t="str">
        <f t="shared" si="21"/>
        <v/>
      </c>
      <c r="P1936" s="147" t="str">
        <f>IFERROR(__xludf.DUMMYFUNCTION("if(C1936="""","""",iferror(if(row()&lt;&gt;2,INDEX(arrayformula(filter($Q$2:$Q1935,$C$2:$C1935&lt;&gt;"""",row($C$2:$C1935)=max(if($C$2:$C1935=C1936,row($C$2:$C1935),0)))) ,1),0),0))"),"")</f>
        <v/>
      </c>
      <c r="Q1936" s="147" t="str">
        <f t="shared" si="22"/>
        <v/>
      </c>
      <c r="R1936" s="147" t="str">
        <f t="shared" si="23"/>
        <v/>
      </c>
      <c r="S1936" s="147" t="str">
        <f t="shared" si="24"/>
        <v/>
      </c>
      <c r="T1936" s="147" t="str">
        <f t="shared" si="7"/>
        <v/>
      </c>
      <c r="U1936" s="150" t="str">
        <f t="shared" si="8"/>
        <v/>
      </c>
      <c r="V1936" s="151" t="str">
        <f>IFERROR(VLOOKUP(C1936,Ativos!$A$1:$G2000,5,),)</f>
        <v/>
      </c>
    </row>
    <row r="1937" ht="21.0" customHeight="1">
      <c r="A1937" s="152"/>
      <c r="B1937" s="160"/>
      <c r="C1937" s="153"/>
      <c r="D1937" s="154"/>
      <c r="E1937" s="139"/>
      <c r="F1937" s="139"/>
      <c r="G1937" s="139"/>
      <c r="H1937" s="135"/>
      <c r="I1937" s="141"/>
      <c r="J1937" s="147" t="str">
        <f>IFERROR(__xludf.DUMMYFUNCTION("IF(ISBLANK(A1937),IFERROR(1/0),IF(COUNT(FILTER(F:F,A:A=A1937))&gt;1,TRUNC(N1937*F1937/SUM(FILTER(N:N,A:A=A1937)),3),F1937))"),"")</f>
        <v/>
      </c>
      <c r="K1937" s="147" t="str">
        <f>IFERROR(__xludf.DUMMYFUNCTION("IF(ISBLANK(A1937),IFERROR(1/0),IF(COUNT(FILTER(G:G,((A:A=A1937)*(B:B=""V""))))&gt;1,TRUNC(N1937*G1937/SUM(FILTER(N:N,((A:A=A1937)*(B:B=""V"")))),3),G1937))"),"")</f>
        <v/>
      </c>
      <c r="L1937" s="148" t="str">
        <f>IFERROR(__xludf.DUMMYFUNCTION("if($C1937="""","""",iferror(if(row()&lt;&gt;2,INDEX(arrayformula(filter($M$2:$M1936,$C$2:$C1936&lt;&gt;"""",row($C$2:$C1936)=max(if($C$2:$C1936=C1937,row($C$2:$C1936),0)))) ,1),0),0))"),"")</f>
        <v/>
      </c>
      <c r="M1937" s="148" t="str">
        <f t="shared" si="1"/>
        <v/>
      </c>
      <c r="N1937" s="147" t="str">
        <f t="shared" si="2"/>
        <v/>
      </c>
      <c r="O1937" s="147" t="str">
        <f t="shared" si="21"/>
        <v/>
      </c>
      <c r="P1937" s="147" t="str">
        <f>IFERROR(__xludf.DUMMYFUNCTION("if(C1937="""","""",iferror(if(row()&lt;&gt;2,INDEX(arrayformula(filter($Q$2:$Q1936,$C$2:$C1936&lt;&gt;"""",row($C$2:$C1936)=max(if($C$2:$C1936=C1937,row($C$2:$C1936),0)))) ,1),0),0))"),"")</f>
        <v/>
      </c>
      <c r="Q1937" s="147" t="str">
        <f t="shared" si="22"/>
        <v/>
      </c>
      <c r="R1937" s="147" t="str">
        <f t="shared" si="23"/>
        <v/>
      </c>
      <c r="S1937" s="147" t="str">
        <f t="shared" si="24"/>
        <v/>
      </c>
      <c r="T1937" s="147" t="str">
        <f t="shared" si="7"/>
        <v/>
      </c>
      <c r="U1937" s="150" t="str">
        <f t="shared" si="8"/>
        <v/>
      </c>
      <c r="V1937" s="151" t="str">
        <f>IFERROR(VLOOKUP(C1937,Ativos!$A$1:$G2000,5,),)</f>
        <v/>
      </c>
    </row>
    <row r="1938" ht="21.0" customHeight="1">
      <c r="A1938" s="152"/>
      <c r="B1938" s="160"/>
      <c r="C1938" s="153"/>
      <c r="D1938" s="154"/>
      <c r="E1938" s="139"/>
      <c r="F1938" s="139"/>
      <c r="G1938" s="139"/>
      <c r="H1938" s="135"/>
      <c r="I1938" s="141"/>
      <c r="J1938" s="147" t="str">
        <f>IFERROR(__xludf.DUMMYFUNCTION("IF(ISBLANK(A1938),IFERROR(1/0),IF(COUNT(FILTER(F:F,A:A=A1938))&gt;1,TRUNC(N1938*F1938/SUM(FILTER(N:N,A:A=A1938)),3),F1938))"),"")</f>
        <v/>
      </c>
      <c r="K1938" s="147" t="str">
        <f>IFERROR(__xludf.DUMMYFUNCTION("IF(ISBLANK(A1938),IFERROR(1/0),IF(COUNT(FILTER(G:G,((A:A=A1938)*(B:B=""V""))))&gt;1,TRUNC(N1938*G1938/SUM(FILTER(N:N,((A:A=A1938)*(B:B=""V"")))),3),G1938))"),"")</f>
        <v/>
      </c>
      <c r="L1938" s="148" t="str">
        <f>IFERROR(__xludf.DUMMYFUNCTION("if($C1938="""","""",iferror(if(row()&lt;&gt;2,INDEX(arrayformula(filter($M$2:$M1937,$C$2:$C1937&lt;&gt;"""",row($C$2:$C1937)=max(if($C$2:$C1937=C1938,row($C$2:$C1937),0)))) ,1),0),0))"),"")</f>
        <v/>
      </c>
      <c r="M1938" s="148" t="str">
        <f t="shared" si="1"/>
        <v/>
      </c>
      <c r="N1938" s="147" t="str">
        <f t="shared" si="2"/>
        <v/>
      </c>
      <c r="O1938" s="147" t="str">
        <f t="shared" si="21"/>
        <v/>
      </c>
      <c r="P1938" s="147" t="str">
        <f>IFERROR(__xludf.DUMMYFUNCTION("if(C1938="""","""",iferror(if(row()&lt;&gt;2,INDEX(arrayformula(filter($Q$2:$Q1937,$C$2:$C1937&lt;&gt;"""",row($C$2:$C1937)=max(if($C$2:$C1937=C1938,row($C$2:$C1937),0)))) ,1),0),0))"),"")</f>
        <v/>
      </c>
      <c r="Q1938" s="147" t="str">
        <f t="shared" si="22"/>
        <v/>
      </c>
      <c r="R1938" s="147" t="str">
        <f t="shared" si="23"/>
        <v/>
      </c>
      <c r="S1938" s="147" t="str">
        <f t="shared" si="24"/>
        <v/>
      </c>
      <c r="T1938" s="147" t="str">
        <f t="shared" si="7"/>
        <v/>
      </c>
      <c r="U1938" s="150" t="str">
        <f t="shared" si="8"/>
        <v/>
      </c>
      <c r="V1938" s="151" t="str">
        <f>IFERROR(VLOOKUP(C1938,Ativos!$A$1:$G2000,5,),)</f>
        <v/>
      </c>
    </row>
    <row r="1939" ht="21.0" customHeight="1">
      <c r="A1939" s="152"/>
      <c r="B1939" s="160"/>
      <c r="C1939" s="153"/>
      <c r="D1939" s="154"/>
      <c r="E1939" s="139"/>
      <c r="F1939" s="139"/>
      <c r="G1939" s="139"/>
      <c r="H1939" s="135"/>
      <c r="I1939" s="141"/>
      <c r="J1939" s="147" t="str">
        <f>IFERROR(__xludf.DUMMYFUNCTION("IF(ISBLANK(A1939),IFERROR(1/0),IF(COUNT(FILTER(F:F,A:A=A1939))&gt;1,TRUNC(N1939*F1939/SUM(FILTER(N:N,A:A=A1939)),3),F1939))"),"")</f>
        <v/>
      </c>
      <c r="K1939" s="147" t="str">
        <f>IFERROR(__xludf.DUMMYFUNCTION("IF(ISBLANK(A1939),IFERROR(1/0),IF(COUNT(FILTER(G:G,((A:A=A1939)*(B:B=""V""))))&gt;1,TRUNC(N1939*G1939/SUM(FILTER(N:N,((A:A=A1939)*(B:B=""V"")))),3),G1939))"),"")</f>
        <v/>
      </c>
      <c r="L1939" s="148" t="str">
        <f>IFERROR(__xludf.DUMMYFUNCTION("if($C1939="""","""",iferror(if(row()&lt;&gt;2,INDEX(arrayformula(filter($M$2:$M1938,$C$2:$C1938&lt;&gt;"""",row($C$2:$C1938)=max(if($C$2:$C1938=C1939,row($C$2:$C1938),0)))) ,1),0),0))"),"")</f>
        <v/>
      </c>
      <c r="M1939" s="148" t="str">
        <f t="shared" si="1"/>
        <v/>
      </c>
      <c r="N1939" s="147" t="str">
        <f t="shared" si="2"/>
        <v/>
      </c>
      <c r="O1939" s="147" t="str">
        <f t="shared" si="21"/>
        <v/>
      </c>
      <c r="P1939" s="147" t="str">
        <f>IFERROR(__xludf.DUMMYFUNCTION("if(C1939="""","""",iferror(if(row()&lt;&gt;2,INDEX(arrayformula(filter($Q$2:$Q1938,$C$2:$C1938&lt;&gt;"""",row($C$2:$C1938)=max(if($C$2:$C1938=C1939,row($C$2:$C1938),0)))) ,1),0),0))"),"")</f>
        <v/>
      </c>
      <c r="Q1939" s="147" t="str">
        <f t="shared" si="22"/>
        <v/>
      </c>
      <c r="R1939" s="147" t="str">
        <f t="shared" si="23"/>
        <v/>
      </c>
      <c r="S1939" s="147" t="str">
        <f t="shared" si="24"/>
        <v/>
      </c>
      <c r="T1939" s="147" t="str">
        <f t="shared" si="7"/>
        <v/>
      </c>
      <c r="U1939" s="150" t="str">
        <f t="shared" si="8"/>
        <v/>
      </c>
      <c r="V1939" s="151" t="str">
        <f>IFERROR(VLOOKUP(C1939,Ativos!$A$1:$G2000,5,),)</f>
        <v/>
      </c>
    </row>
    <row r="1940" ht="21.0" customHeight="1">
      <c r="A1940" s="152"/>
      <c r="B1940" s="160"/>
      <c r="C1940" s="153"/>
      <c r="D1940" s="154"/>
      <c r="E1940" s="139"/>
      <c r="F1940" s="139"/>
      <c r="G1940" s="139"/>
      <c r="H1940" s="135"/>
      <c r="I1940" s="141"/>
      <c r="J1940" s="147" t="str">
        <f>IFERROR(__xludf.DUMMYFUNCTION("IF(ISBLANK(A1940),IFERROR(1/0),IF(COUNT(FILTER(F:F,A:A=A1940))&gt;1,TRUNC(N1940*F1940/SUM(FILTER(N:N,A:A=A1940)),3),F1940))"),"")</f>
        <v/>
      </c>
      <c r="K1940" s="147" t="str">
        <f>IFERROR(__xludf.DUMMYFUNCTION("IF(ISBLANK(A1940),IFERROR(1/0),IF(COUNT(FILTER(G:G,((A:A=A1940)*(B:B=""V""))))&gt;1,TRUNC(N1940*G1940/SUM(FILTER(N:N,((A:A=A1940)*(B:B=""V"")))),3),G1940))"),"")</f>
        <v/>
      </c>
      <c r="L1940" s="148" t="str">
        <f>IFERROR(__xludf.DUMMYFUNCTION("if($C1940="""","""",iferror(if(row()&lt;&gt;2,INDEX(arrayformula(filter($M$2:$M1939,$C$2:$C1939&lt;&gt;"""",row($C$2:$C1939)=max(if($C$2:$C1939=C1940,row($C$2:$C1939),0)))) ,1),0),0))"),"")</f>
        <v/>
      </c>
      <c r="M1940" s="148" t="str">
        <f t="shared" si="1"/>
        <v/>
      </c>
      <c r="N1940" s="147" t="str">
        <f t="shared" si="2"/>
        <v/>
      </c>
      <c r="O1940" s="147" t="str">
        <f t="shared" si="21"/>
        <v/>
      </c>
      <c r="P1940" s="147" t="str">
        <f>IFERROR(__xludf.DUMMYFUNCTION("if(C1940="""","""",iferror(if(row()&lt;&gt;2,INDEX(arrayformula(filter($Q$2:$Q1939,$C$2:$C1939&lt;&gt;"""",row($C$2:$C1939)=max(if($C$2:$C1939=C1940,row($C$2:$C1939),0)))) ,1),0),0))"),"")</f>
        <v/>
      </c>
      <c r="Q1940" s="147" t="str">
        <f t="shared" si="22"/>
        <v/>
      </c>
      <c r="R1940" s="147" t="str">
        <f t="shared" si="23"/>
        <v/>
      </c>
      <c r="S1940" s="147" t="str">
        <f t="shared" si="24"/>
        <v/>
      </c>
      <c r="T1940" s="147" t="str">
        <f t="shared" si="7"/>
        <v/>
      </c>
      <c r="U1940" s="150" t="str">
        <f t="shared" si="8"/>
        <v/>
      </c>
      <c r="V1940" s="151" t="str">
        <f>IFERROR(VLOOKUP(C1940,Ativos!$A$1:$G2000,5,),)</f>
        <v/>
      </c>
    </row>
    <row r="1941" ht="21.0" customHeight="1">
      <c r="A1941" s="152"/>
      <c r="B1941" s="160"/>
      <c r="C1941" s="153"/>
      <c r="D1941" s="154"/>
      <c r="E1941" s="139"/>
      <c r="F1941" s="139"/>
      <c r="G1941" s="139"/>
      <c r="H1941" s="135"/>
      <c r="I1941" s="141"/>
      <c r="J1941" s="147" t="str">
        <f>IFERROR(__xludf.DUMMYFUNCTION("IF(ISBLANK(A1941),IFERROR(1/0),IF(COUNT(FILTER(F:F,A:A=A1941))&gt;1,TRUNC(N1941*F1941/SUM(FILTER(N:N,A:A=A1941)),3),F1941))"),"")</f>
        <v/>
      </c>
      <c r="K1941" s="147" t="str">
        <f>IFERROR(__xludf.DUMMYFUNCTION("IF(ISBLANK(A1941),IFERROR(1/0),IF(COUNT(FILTER(G:G,((A:A=A1941)*(B:B=""V""))))&gt;1,TRUNC(N1941*G1941/SUM(FILTER(N:N,((A:A=A1941)*(B:B=""V"")))),3),G1941))"),"")</f>
        <v/>
      </c>
      <c r="L1941" s="148" t="str">
        <f>IFERROR(__xludf.DUMMYFUNCTION("if($C1941="""","""",iferror(if(row()&lt;&gt;2,INDEX(arrayformula(filter($M$2:$M1940,$C$2:$C1940&lt;&gt;"""",row($C$2:$C1940)=max(if($C$2:$C1940=C1941,row($C$2:$C1940),0)))) ,1),0),0))"),"")</f>
        <v/>
      </c>
      <c r="M1941" s="148" t="str">
        <f t="shared" si="1"/>
        <v/>
      </c>
      <c r="N1941" s="147" t="str">
        <f t="shared" si="2"/>
        <v/>
      </c>
      <c r="O1941" s="147" t="str">
        <f t="shared" si="21"/>
        <v/>
      </c>
      <c r="P1941" s="147" t="str">
        <f>IFERROR(__xludf.DUMMYFUNCTION("if(C1941="""","""",iferror(if(row()&lt;&gt;2,INDEX(arrayformula(filter($Q$2:$Q1940,$C$2:$C1940&lt;&gt;"""",row($C$2:$C1940)=max(if($C$2:$C1940=C1941,row($C$2:$C1940),0)))) ,1),0),0))"),"")</f>
        <v/>
      </c>
      <c r="Q1941" s="147" t="str">
        <f t="shared" si="22"/>
        <v/>
      </c>
      <c r="R1941" s="147" t="str">
        <f t="shared" si="23"/>
        <v/>
      </c>
      <c r="S1941" s="147" t="str">
        <f t="shared" si="24"/>
        <v/>
      </c>
      <c r="T1941" s="147" t="str">
        <f t="shared" si="7"/>
        <v/>
      </c>
      <c r="U1941" s="150" t="str">
        <f t="shared" si="8"/>
        <v/>
      </c>
      <c r="V1941" s="151" t="str">
        <f>IFERROR(VLOOKUP(C1941,Ativos!$A$1:$G2000,5,),)</f>
        <v/>
      </c>
    </row>
    <row r="1942" ht="21.0" customHeight="1">
      <c r="A1942" s="152"/>
      <c r="B1942" s="160"/>
      <c r="C1942" s="153"/>
      <c r="D1942" s="154"/>
      <c r="E1942" s="139"/>
      <c r="F1942" s="139"/>
      <c r="G1942" s="139"/>
      <c r="H1942" s="135"/>
      <c r="I1942" s="141"/>
      <c r="J1942" s="147" t="str">
        <f>IFERROR(__xludf.DUMMYFUNCTION("IF(ISBLANK(A1942),IFERROR(1/0),IF(COUNT(FILTER(F:F,A:A=A1942))&gt;1,TRUNC(N1942*F1942/SUM(FILTER(N:N,A:A=A1942)),3),F1942))"),"")</f>
        <v/>
      </c>
      <c r="K1942" s="147" t="str">
        <f>IFERROR(__xludf.DUMMYFUNCTION("IF(ISBLANK(A1942),IFERROR(1/0),IF(COUNT(FILTER(G:G,((A:A=A1942)*(B:B=""V""))))&gt;1,TRUNC(N1942*G1942/SUM(FILTER(N:N,((A:A=A1942)*(B:B=""V"")))),3),G1942))"),"")</f>
        <v/>
      </c>
      <c r="L1942" s="148" t="str">
        <f>IFERROR(__xludf.DUMMYFUNCTION("if($C1942="""","""",iferror(if(row()&lt;&gt;2,INDEX(arrayformula(filter($M$2:$M1941,$C$2:$C1941&lt;&gt;"""",row($C$2:$C1941)=max(if($C$2:$C1941=C1942,row($C$2:$C1941),0)))) ,1),0),0))"),"")</f>
        <v/>
      </c>
      <c r="M1942" s="148" t="str">
        <f t="shared" si="1"/>
        <v/>
      </c>
      <c r="N1942" s="147" t="str">
        <f t="shared" si="2"/>
        <v/>
      </c>
      <c r="O1942" s="147" t="str">
        <f t="shared" si="21"/>
        <v/>
      </c>
      <c r="P1942" s="147" t="str">
        <f>IFERROR(__xludf.DUMMYFUNCTION("if(C1942="""","""",iferror(if(row()&lt;&gt;2,INDEX(arrayformula(filter($Q$2:$Q1941,$C$2:$C1941&lt;&gt;"""",row($C$2:$C1941)=max(if($C$2:$C1941=C1942,row($C$2:$C1941),0)))) ,1),0),0))"),"")</f>
        <v/>
      </c>
      <c r="Q1942" s="147" t="str">
        <f t="shared" si="22"/>
        <v/>
      </c>
      <c r="R1942" s="147" t="str">
        <f t="shared" si="23"/>
        <v/>
      </c>
      <c r="S1942" s="147" t="str">
        <f t="shared" si="24"/>
        <v/>
      </c>
      <c r="T1942" s="147" t="str">
        <f t="shared" si="7"/>
        <v/>
      </c>
      <c r="U1942" s="150" t="str">
        <f t="shared" si="8"/>
        <v/>
      </c>
      <c r="V1942" s="151" t="str">
        <f>IFERROR(VLOOKUP(C1942,Ativos!$A$1:$G2000,5,),)</f>
        <v/>
      </c>
    </row>
    <row r="1943" ht="21.0" customHeight="1">
      <c r="A1943" s="152"/>
      <c r="B1943" s="160"/>
      <c r="C1943" s="153"/>
      <c r="D1943" s="154"/>
      <c r="E1943" s="139"/>
      <c r="F1943" s="139"/>
      <c r="G1943" s="139"/>
      <c r="H1943" s="135"/>
      <c r="I1943" s="141"/>
      <c r="J1943" s="147" t="str">
        <f>IFERROR(__xludf.DUMMYFUNCTION("IF(ISBLANK(A1943),IFERROR(1/0),IF(COUNT(FILTER(F:F,A:A=A1943))&gt;1,TRUNC(N1943*F1943/SUM(FILTER(N:N,A:A=A1943)),3),F1943))"),"")</f>
        <v/>
      </c>
      <c r="K1943" s="147" t="str">
        <f>IFERROR(__xludf.DUMMYFUNCTION("IF(ISBLANK(A1943),IFERROR(1/0),IF(COUNT(FILTER(G:G,((A:A=A1943)*(B:B=""V""))))&gt;1,TRUNC(N1943*G1943/SUM(FILTER(N:N,((A:A=A1943)*(B:B=""V"")))),3),G1943))"),"")</f>
        <v/>
      </c>
      <c r="L1943" s="148" t="str">
        <f>IFERROR(__xludf.DUMMYFUNCTION("if($C1943="""","""",iferror(if(row()&lt;&gt;2,INDEX(arrayformula(filter($M$2:$M1942,$C$2:$C1942&lt;&gt;"""",row($C$2:$C1942)=max(if($C$2:$C1942=C1943,row($C$2:$C1942),0)))) ,1),0),0))"),"")</f>
        <v/>
      </c>
      <c r="M1943" s="148" t="str">
        <f t="shared" si="1"/>
        <v/>
      </c>
      <c r="N1943" s="147" t="str">
        <f t="shared" si="2"/>
        <v/>
      </c>
      <c r="O1943" s="147" t="str">
        <f t="shared" si="21"/>
        <v/>
      </c>
      <c r="P1943" s="147" t="str">
        <f>IFERROR(__xludf.DUMMYFUNCTION("if(C1943="""","""",iferror(if(row()&lt;&gt;2,INDEX(arrayformula(filter($Q$2:$Q1942,$C$2:$C1942&lt;&gt;"""",row($C$2:$C1942)=max(if($C$2:$C1942=C1943,row($C$2:$C1942),0)))) ,1),0),0))"),"")</f>
        <v/>
      </c>
      <c r="Q1943" s="147" t="str">
        <f t="shared" si="22"/>
        <v/>
      </c>
      <c r="R1943" s="147" t="str">
        <f t="shared" si="23"/>
        <v/>
      </c>
      <c r="S1943" s="147" t="str">
        <f t="shared" si="24"/>
        <v/>
      </c>
      <c r="T1943" s="147" t="str">
        <f t="shared" si="7"/>
        <v/>
      </c>
      <c r="U1943" s="150" t="str">
        <f t="shared" si="8"/>
        <v/>
      </c>
      <c r="V1943" s="151" t="str">
        <f>IFERROR(VLOOKUP(C1943,Ativos!$A$1:$G2000,5,),)</f>
        <v/>
      </c>
    </row>
    <row r="1944" ht="21.0" customHeight="1">
      <c r="A1944" s="152"/>
      <c r="B1944" s="160"/>
      <c r="C1944" s="153"/>
      <c r="D1944" s="154"/>
      <c r="E1944" s="139"/>
      <c r="F1944" s="139"/>
      <c r="G1944" s="139"/>
      <c r="H1944" s="135"/>
      <c r="I1944" s="141"/>
      <c r="J1944" s="147" t="str">
        <f>IFERROR(__xludf.DUMMYFUNCTION("IF(ISBLANK(A1944),IFERROR(1/0),IF(COUNT(FILTER(F:F,A:A=A1944))&gt;1,TRUNC(N1944*F1944/SUM(FILTER(N:N,A:A=A1944)),3),F1944))"),"")</f>
        <v/>
      </c>
      <c r="K1944" s="147" t="str">
        <f>IFERROR(__xludf.DUMMYFUNCTION("IF(ISBLANK(A1944),IFERROR(1/0),IF(COUNT(FILTER(G:G,((A:A=A1944)*(B:B=""V""))))&gt;1,TRUNC(N1944*G1944/SUM(FILTER(N:N,((A:A=A1944)*(B:B=""V"")))),3),G1944))"),"")</f>
        <v/>
      </c>
      <c r="L1944" s="148" t="str">
        <f>IFERROR(__xludf.DUMMYFUNCTION("if($C1944="""","""",iferror(if(row()&lt;&gt;2,INDEX(arrayformula(filter($M$2:$M1943,$C$2:$C1943&lt;&gt;"""",row($C$2:$C1943)=max(if($C$2:$C1943=C1944,row($C$2:$C1943),0)))) ,1),0),0))"),"")</f>
        <v/>
      </c>
      <c r="M1944" s="148" t="str">
        <f t="shared" si="1"/>
        <v/>
      </c>
      <c r="N1944" s="147" t="str">
        <f t="shared" si="2"/>
        <v/>
      </c>
      <c r="O1944" s="147" t="str">
        <f t="shared" si="21"/>
        <v/>
      </c>
      <c r="P1944" s="147" t="str">
        <f>IFERROR(__xludf.DUMMYFUNCTION("if(C1944="""","""",iferror(if(row()&lt;&gt;2,INDEX(arrayformula(filter($Q$2:$Q1943,$C$2:$C1943&lt;&gt;"""",row($C$2:$C1943)=max(if($C$2:$C1943=C1944,row($C$2:$C1943),0)))) ,1),0),0))"),"")</f>
        <v/>
      </c>
      <c r="Q1944" s="147" t="str">
        <f t="shared" si="22"/>
        <v/>
      </c>
      <c r="R1944" s="147" t="str">
        <f t="shared" si="23"/>
        <v/>
      </c>
      <c r="S1944" s="147" t="str">
        <f t="shared" si="24"/>
        <v/>
      </c>
      <c r="T1944" s="147" t="str">
        <f t="shared" si="7"/>
        <v/>
      </c>
      <c r="U1944" s="150" t="str">
        <f t="shared" si="8"/>
        <v/>
      </c>
      <c r="V1944" s="151" t="str">
        <f>IFERROR(VLOOKUP(C1944,Ativos!$A$1:$G2000,5,),)</f>
        <v/>
      </c>
    </row>
    <row r="1945" ht="21.0" customHeight="1">
      <c r="A1945" s="152"/>
      <c r="B1945" s="160"/>
      <c r="C1945" s="153"/>
      <c r="D1945" s="154"/>
      <c r="E1945" s="139"/>
      <c r="F1945" s="139"/>
      <c r="G1945" s="139"/>
      <c r="H1945" s="135"/>
      <c r="I1945" s="141"/>
      <c r="J1945" s="147" t="str">
        <f>IFERROR(__xludf.DUMMYFUNCTION("IF(ISBLANK(A1945),IFERROR(1/0),IF(COUNT(FILTER(F:F,A:A=A1945))&gt;1,TRUNC(N1945*F1945/SUM(FILTER(N:N,A:A=A1945)),3),F1945))"),"")</f>
        <v/>
      </c>
      <c r="K1945" s="147" t="str">
        <f>IFERROR(__xludf.DUMMYFUNCTION("IF(ISBLANK(A1945),IFERROR(1/0),IF(COUNT(FILTER(G:G,((A:A=A1945)*(B:B=""V""))))&gt;1,TRUNC(N1945*G1945/SUM(FILTER(N:N,((A:A=A1945)*(B:B=""V"")))),3),G1945))"),"")</f>
        <v/>
      </c>
      <c r="L1945" s="148" t="str">
        <f>IFERROR(__xludf.DUMMYFUNCTION("if($C1945="""","""",iferror(if(row()&lt;&gt;2,INDEX(arrayformula(filter($M$2:$M1944,$C$2:$C1944&lt;&gt;"""",row($C$2:$C1944)=max(if($C$2:$C1944=C1945,row($C$2:$C1944),0)))) ,1),0),0))"),"")</f>
        <v/>
      </c>
      <c r="M1945" s="148" t="str">
        <f t="shared" si="1"/>
        <v/>
      </c>
      <c r="N1945" s="147" t="str">
        <f t="shared" si="2"/>
        <v/>
      </c>
      <c r="O1945" s="147" t="str">
        <f t="shared" si="21"/>
        <v/>
      </c>
      <c r="P1945" s="147" t="str">
        <f>IFERROR(__xludf.DUMMYFUNCTION("if(C1945="""","""",iferror(if(row()&lt;&gt;2,INDEX(arrayformula(filter($Q$2:$Q1944,$C$2:$C1944&lt;&gt;"""",row($C$2:$C1944)=max(if($C$2:$C1944=C1945,row($C$2:$C1944),0)))) ,1),0),0))"),"")</f>
        <v/>
      </c>
      <c r="Q1945" s="147" t="str">
        <f t="shared" si="22"/>
        <v/>
      </c>
      <c r="R1945" s="147" t="str">
        <f t="shared" si="23"/>
        <v/>
      </c>
      <c r="S1945" s="147" t="str">
        <f t="shared" si="24"/>
        <v/>
      </c>
      <c r="T1945" s="147" t="str">
        <f t="shared" si="7"/>
        <v/>
      </c>
      <c r="U1945" s="150" t="str">
        <f t="shared" si="8"/>
        <v/>
      </c>
      <c r="V1945" s="151" t="str">
        <f>IFERROR(VLOOKUP(C1945,Ativos!$A$1:$G2000,5,),)</f>
        <v/>
      </c>
    </row>
    <row r="1946" ht="21.0" customHeight="1">
      <c r="A1946" s="152"/>
      <c r="B1946" s="160"/>
      <c r="C1946" s="153"/>
      <c r="D1946" s="154"/>
      <c r="E1946" s="139"/>
      <c r="F1946" s="139"/>
      <c r="G1946" s="139"/>
      <c r="H1946" s="135"/>
      <c r="I1946" s="141"/>
      <c r="J1946" s="147" t="str">
        <f>IFERROR(__xludf.DUMMYFUNCTION("IF(ISBLANK(A1946),IFERROR(1/0),IF(COUNT(FILTER(F:F,A:A=A1946))&gt;1,TRUNC(N1946*F1946/SUM(FILTER(N:N,A:A=A1946)),3),F1946))"),"")</f>
        <v/>
      </c>
      <c r="K1946" s="147" t="str">
        <f>IFERROR(__xludf.DUMMYFUNCTION("IF(ISBLANK(A1946),IFERROR(1/0),IF(COUNT(FILTER(G:G,((A:A=A1946)*(B:B=""V""))))&gt;1,TRUNC(N1946*G1946/SUM(FILTER(N:N,((A:A=A1946)*(B:B=""V"")))),3),G1946))"),"")</f>
        <v/>
      </c>
      <c r="L1946" s="148" t="str">
        <f>IFERROR(__xludf.DUMMYFUNCTION("if($C1946="""","""",iferror(if(row()&lt;&gt;2,INDEX(arrayformula(filter($M$2:$M1945,$C$2:$C1945&lt;&gt;"""",row($C$2:$C1945)=max(if($C$2:$C1945=C1946,row($C$2:$C1945),0)))) ,1),0),0))"),"")</f>
        <v/>
      </c>
      <c r="M1946" s="148" t="str">
        <f t="shared" si="1"/>
        <v/>
      </c>
      <c r="N1946" s="147" t="str">
        <f t="shared" si="2"/>
        <v/>
      </c>
      <c r="O1946" s="147" t="str">
        <f t="shared" si="21"/>
        <v/>
      </c>
      <c r="P1946" s="147" t="str">
        <f>IFERROR(__xludf.DUMMYFUNCTION("if(C1946="""","""",iferror(if(row()&lt;&gt;2,INDEX(arrayformula(filter($Q$2:$Q1945,$C$2:$C1945&lt;&gt;"""",row($C$2:$C1945)=max(if($C$2:$C1945=C1946,row($C$2:$C1945),0)))) ,1),0),0))"),"")</f>
        <v/>
      </c>
      <c r="Q1946" s="147" t="str">
        <f t="shared" si="22"/>
        <v/>
      </c>
      <c r="R1946" s="147" t="str">
        <f t="shared" si="23"/>
        <v/>
      </c>
      <c r="S1946" s="147" t="str">
        <f t="shared" si="24"/>
        <v/>
      </c>
      <c r="T1946" s="147" t="str">
        <f t="shared" si="7"/>
        <v/>
      </c>
      <c r="U1946" s="150" t="str">
        <f t="shared" si="8"/>
        <v/>
      </c>
      <c r="V1946" s="151" t="str">
        <f>IFERROR(VLOOKUP(C1946,Ativos!$A$1:$G2000,5,),)</f>
        <v/>
      </c>
    </row>
    <row r="1947" ht="21.0" customHeight="1">
      <c r="A1947" s="152"/>
      <c r="B1947" s="160"/>
      <c r="C1947" s="153"/>
      <c r="D1947" s="154"/>
      <c r="E1947" s="139"/>
      <c r="F1947" s="139"/>
      <c r="G1947" s="139"/>
      <c r="H1947" s="135"/>
      <c r="I1947" s="141"/>
      <c r="J1947" s="147" t="str">
        <f>IFERROR(__xludf.DUMMYFUNCTION("IF(ISBLANK(A1947),IFERROR(1/0),IF(COUNT(FILTER(F:F,A:A=A1947))&gt;1,TRUNC(N1947*F1947/SUM(FILTER(N:N,A:A=A1947)),3),F1947))"),"")</f>
        <v/>
      </c>
      <c r="K1947" s="147" t="str">
        <f>IFERROR(__xludf.DUMMYFUNCTION("IF(ISBLANK(A1947),IFERROR(1/0),IF(COUNT(FILTER(G:G,((A:A=A1947)*(B:B=""V""))))&gt;1,TRUNC(N1947*G1947/SUM(FILTER(N:N,((A:A=A1947)*(B:B=""V"")))),3),G1947))"),"")</f>
        <v/>
      </c>
      <c r="L1947" s="148" t="str">
        <f>IFERROR(__xludf.DUMMYFUNCTION("if($C1947="""","""",iferror(if(row()&lt;&gt;2,INDEX(arrayformula(filter($M$2:$M1946,$C$2:$C1946&lt;&gt;"""",row($C$2:$C1946)=max(if($C$2:$C1946=C1947,row($C$2:$C1946),0)))) ,1),0),0))"),"")</f>
        <v/>
      </c>
      <c r="M1947" s="148" t="str">
        <f t="shared" si="1"/>
        <v/>
      </c>
      <c r="N1947" s="147" t="str">
        <f t="shared" si="2"/>
        <v/>
      </c>
      <c r="O1947" s="147" t="str">
        <f t="shared" si="21"/>
        <v/>
      </c>
      <c r="P1947" s="147" t="str">
        <f>IFERROR(__xludf.DUMMYFUNCTION("if(C1947="""","""",iferror(if(row()&lt;&gt;2,INDEX(arrayformula(filter($Q$2:$Q1946,$C$2:$C1946&lt;&gt;"""",row($C$2:$C1946)=max(if($C$2:$C1946=C1947,row($C$2:$C1946),0)))) ,1),0),0))"),"")</f>
        <v/>
      </c>
      <c r="Q1947" s="147" t="str">
        <f t="shared" si="22"/>
        <v/>
      </c>
      <c r="R1947" s="147" t="str">
        <f t="shared" si="23"/>
        <v/>
      </c>
      <c r="S1947" s="147" t="str">
        <f t="shared" si="24"/>
        <v/>
      </c>
      <c r="T1947" s="147" t="str">
        <f t="shared" si="7"/>
        <v/>
      </c>
      <c r="U1947" s="150" t="str">
        <f t="shared" si="8"/>
        <v/>
      </c>
      <c r="V1947" s="151" t="str">
        <f>IFERROR(VLOOKUP(C1947,Ativos!$A$1:$G2000,5,),)</f>
        <v/>
      </c>
    </row>
    <row r="1948" ht="21.0" customHeight="1">
      <c r="A1948" s="152"/>
      <c r="B1948" s="160"/>
      <c r="C1948" s="153"/>
      <c r="D1948" s="154"/>
      <c r="E1948" s="139"/>
      <c r="F1948" s="139"/>
      <c r="G1948" s="139"/>
      <c r="H1948" s="135"/>
      <c r="I1948" s="141"/>
      <c r="J1948" s="147" t="str">
        <f>IFERROR(__xludf.DUMMYFUNCTION("IF(ISBLANK(A1948),IFERROR(1/0),IF(COUNT(FILTER(F:F,A:A=A1948))&gt;1,TRUNC(N1948*F1948/SUM(FILTER(N:N,A:A=A1948)),3),F1948))"),"")</f>
        <v/>
      </c>
      <c r="K1948" s="147" t="str">
        <f>IFERROR(__xludf.DUMMYFUNCTION("IF(ISBLANK(A1948),IFERROR(1/0),IF(COUNT(FILTER(G:G,((A:A=A1948)*(B:B=""V""))))&gt;1,TRUNC(N1948*G1948/SUM(FILTER(N:N,((A:A=A1948)*(B:B=""V"")))),3),G1948))"),"")</f>
        <v/>
      </c>
      <c r="L1948" s="148" t="str">
        <f>IFERROR(__xludf.DUMMYFUNCTION("if($C1948="""","""",iferror(if(row()&lt;&gt;2,INDEX(arrayformula(filter($M$2:$M1947,$C$2:$C1947&lt;&gt;"""",row($C$2:$C1947)=max(if($C$2:$C1947=C1948,row($C$2:$C1947),0)))) ,1),0),0))"),"")</f>
        <v/>
      </c>
      <c r="M1948" s="148" t="str">
        <f t="shared" si="1"/>
        <v/>
      </c>
      <c r="N1948" s="147" t="str">
        <f t="shared" si="2"/>
        <v/>
      </c>
      <c r="O1948" s="147" t="str">
        <f t="shared" si="21"/>
        <v/>
      </c>
      <c r="P1948" s="147" t="str">
        <f>IFERROR(__xludf.DUMMYFUNCTION("if(C1948="""","""",iferror(if(row()&lt;&gt;2,INDEX(arrayformula(filter($Q$2:$Q1947,$C$2:$C1947&lt;&gt;"""",row($C$2:$C1947)=max(if($C$2:$C1947=C1948,row($C$2:$C1947),0)))) ,1),0),0))"),"")</f>
        <v/>
      </c>
      <c r="Q1948" s="147" t="str">
        <f t="shared" si="22"/>
        <v/>
      </c>
      <c r="R1948" s="147" t="str">
        <f t="shared" si="23"/>
        <v/>
      </c>
      <c r="S1948" s="147" t="str">
        <f t="shared" si="24"/>
        <v/>
      </c>
      <c r="T1948" s="147" t="str">
        <f t="shared" si="7"/>
        <v/>
      </c>
      <c r="U1948" s="150" t="str">
        <f t="shared" si="8"/>
        <v/>
      </c>
      <c r="V1948" s="151" t="str">
        <f>IFERROR(VLOOKUP(C1948,Ativos!$A$1:$G2000,5,),)</f>
        <v/>
      </c>
    </row>
    <row r="1949" ht="21.0" customHeight="1">
      <c r="A1949" s="152"/>
      <c r="B1949" s="160"/>
      <c r="C1949" s="153"/>
      <c r="D1949" s="154"/>
      <c r="E1949" s="139"/>
      <c r="F1949" s="139"/>
      <c r="G1949" s="139"/>
      <c r="H1949" s="135"/>
      <c r="I1949" s="141"/>
      <c r="J1949" s="147" t="str">
        <f>IFERROR(__xludf.DUMMYFUNCTION("IF(ISBLANK(A1949),IFERROR(1/0),IF(COUNT(FILTER(F:F,A:A=A1949))&gt;1,TRUNC(N1949*F1949/SUM(FILTER(N:N,A:A=A1949)),3),F1949))"),"")</f>
        <v/>
      </c>
      <c r="K1949" s="147" t="str">
        <f>IFERROR(__xludf.DUMMYFUNCTION("IF(ISBLANK(A1949),IFERROR(1/0),IF(COUNT(FILTER(G:G,((A:A=A1949)*(B:B=""V""))))&gt;1,TRUNC(N1949*G1949/SUM(FILTER(N:N,((A:A=A1949)*(B:B=""V"")))),3),G1949))"),"")</f>
        <v/>
      </c>
      <c r="L1949" s="148" t="str">
        <f>IFERROR(__xludf.DUMMYFUNCTION("if($C1949="""","""",iferror(if(row()&lt;&gt;2,INDEX(arrayformula(filter($M$2:$M1948,$C$2:$C1948&lt;&gt;"""",row($C$2:$C1948)=max(if($C$2:$C1948=C1949,row($C$2:$C1948),0)))) ,1),0),0))"),"")</f>
        <v/>
      </c>
      <c r="M1949" s="148" t="str">
        <f t="shared" si="1"/>
        <v/>
      </c>
      <c r="N1949" s="147" t="str">
        <f t="shared" si="2"/>
        <v/>
      </c>
      <c r="O1949" s="147" t="str">
        <f t="shared" si="21"/>
        <v/>
      </c>
      <c r="P1949" s="147" t="str">
        <f>IFERROR(__xludf.DUMMYFUNCTION("if(C1949="""","""",iferror(if(row()&lt;&gt;2,INDEX(arrayformula(filter($Q$2:$Q1948,$C$2:$C1948&lt;&gt;"""",row($C$2:$C1948)=max(if($C$2:$C1948=C1949,row($C$2:$C1948),0)))) ,1),0),0))"),"")</f>
        <v/>
      </c>
      <c r="Q1949" s="147" t="str">
        <f t="shared" si="22"/>
        <v/>
      </c>
      <c r="R1949" s="147" t="str">
        <f t="shared" si="23"/>
        <v/>
      </c>
      <c r="S1949" s="147" t="str">
        <f t="shared" si="24"/>
        <v/>
      </c>
      <c r="T1949" s="147" t="str">
        <f t="shared" si="7"/>
        <v/>
      </c>
      <c r="U1949" s="150" t="str">
        <f t="shared" si="8"/>
        <v/>
      </c>
      <c r="V1949" s="151" t="str">
        <f>IFERROR(VLOOKUP(C1949,Ativos!$A$1:$G2000,5,),)</f>
        <v/>
      </c>
    </row>
    <row r="1950" ht="21.0" customHeight="1">
      <c r="A1950" s="152"/>
      <c r="B1950" s="160"/>
      <c r="C1950" s="153"/>
      <c r="D1950" s="154"/>
      <c r="E1950" s="139"/>
      <c r="F1950" s="139"/>
      <c r="G1950" s="139"/>
      <c r="H1950" s="135"/>
      <c r="I1950" s="141"/>
      <c r="J1950" s="147" t="str">
        <f>IFERROR(__xludf.DUMMYFUNCTION("IF(ISBLANK(A1950),IFERROR(1/0),IF(COUNT(FILTER(F:F,A:A=A1950))&gt;1,TRUNC(N1950*F1950/SUM(FILTER(N:N,A:A=A1950)),3),F1950))"),"")</f>
        <v/>
      </c>
      <c r="K1950" s="147" t="str">
        <f>IFERROR(__xludf.DUMMYFUNCTION("IF(ISBLANK(A1950),IFERROR(1/0),IF(COUNT(FILTER(G:G,((A:A=A1950)*(B:B=""V""))))&gt;1,TRUNC(N1950*G1950/SUM(FILTER(N:N,((A:A=A1950)*(B:B=""V"")))),3),G1950))"),"")</f>
        <v/>
      </c>
      <c r="L1950" s="148" t="str">
        <f>IFERROR(__xludf.DUMMYFUNCTION("if($C1950="""","""",iferror(if(row()&lt;&gt;2,INDEX(arrayformula(filter($M$2:$M1949,$C$2:$C1949&lt;&gt;"""",row($C$2:$C1949)=max(if($C$2:$C1949=C1950,row($C$2:$C1949),0)))) ,1),0),0))"),"")</f>
        <v/>
      </c>
      <c r="M1950" s="148" t="str">
        <f t="shared" si="1"/>
        <v/>
      </c>
      <c r="N1950" s="147" t="str">
        <f t="shared" si="2"/>
        <v/>
      </c>
      <c r="O1950" s="147" t="str">
        <f t="shared" si="21"/>
        <v/>
      </c>
      <c r="P1950" s="147" t="str">
        <f>IFERROR(__xludf.DUMMYFUNCTION("if(C1950="""","""",iferror(if(row()&lt;&gt;2,INDEX(arrayformula(filter($Q$2:$Q1949,$C$2:$C1949&lt;&gt;"""",row($C$2:$C1949)=max(if($C$2:$C1949=C1950,row($C$2:$C1949),0)))) ,1),0),0))"),"")</f>
        <v/>
      </c>
      <c r="Q1950" s="147" t="str">
        <f t="shared" si="22"/>
        <v/>
      </c>
      <c r="R1950" s="147" t="str">
        <f t="shared" si="23"/>
        <v/>
      </c>
      <c r="S1950" s="147" t="str">
        <f t="shared" si="24"/>
        <v/>
      </c>
      <c r="T1950" s="147" t="str">
        <f t="shared" si="7"/>
        <v/>
      </c>
      <c r="U1950" s="150" t="str">
        <f t="shared" si="8"/>
        <v/>
      </c>
      <c r="V1950" s="151" t="str">
        <f>IFERROR(VLOOKUP(C1950,Ativos!$A$1:$G2000,5,),)</f>
        <v/>
      </c>
    </row>
    <row r="1951" ht="21.0" customHeight="1">
      <c r="A1951" s="152"/>
      <c r="B1951" s="160"/>
      <c r="C1951" s="153"/>
      <c r="D1951" s="154"/>
      <c r="E1951" s="139"/>
      <c r="F1951" s="139"/>
      <c r="G1951" s="139"/>
      <c r="H1951" s="135"/>
      <c r="I1951" s="141"/>
      <c r="J1951" s="147" t="str">
        <f>IFERROR(__xludf.DUMMYFUNCTION("IF(ISBLANK(A1951),IFERROR(1/0),IF(COUNT(FILTER(F:F,A:A=A1951))&gt;1,TRUNC(N1951*F1951/SUM(FILTER(N:N,A:A=A1951)),3),F1951))"),"")</f>
        <v/>
      </c>
      <c r="K1951" s="147" t="str">
        <f>IFERROR(__xludf.DUMMYFUNCTION("IF(ISBLANK(A1951),IFERROR(1/0),IF(COUNT(FILTER(G:G,((A:A=A1951)*(B:B=""V""))))&gt;1,TRUNC(N1951*G1951/SUM(FILTER(N:N,((A:A=A1951)*(B:B=""V"")))),3),G1951))"),"")</f>
        <v/>
      </c>
      <c r="L1951" s="148" t="str">
        <f>IFERROR(__xludf.DUMMYFUNCTION("if($C1951="""","""",iferror(if(row()&lt;&gt;2,INDEX(arrayformula(filter($M$2:$M1950,$C$2:$C1950&lt;&gt;"""",row($C$2:$C1950)=max(if($C$2:$C1950=C1951,row($C$2:$C1950),0)))) ,1),0),0))"),"")</f>
        <v/>
      </c>
      <c r="M1951" s="148" t="str">
        <f t="shared" si="1"/>
        <v/>
      </c>
      <c r="N1951" s="147" t="str">
        <f t="shared" si="2"/>
        <v/>
      </c>
      <c r="O1951" s="147" t="str">
        <f t="shared" si="21"/>
        <v/>
      </c>
      <c r="P1951" s="147" t="str">
        <f>IFERROR(__xludf.DUMMYFUNCTION("if(C1951="""","""",iferror(if(row()&lt;&gt;2,INDEX(arrayformula(filter($Q$2:$Q1950,$C$2:$C1950&lt;&gt;"""",row($C$2:$C1950)=max(if($C$2:$C1950=C1951,row($C$2:$C1950),0)))) ,1),0),0))"),"")</f>
        <v/>
      </c>
      <c r="Q1951" s="147" t="str">
        <f t="shared" si="22"/>
        <v/>
      </c>
      <c r="R1951" s="147" t="str">
        <f t="shared" si="23"/>
        <v/>
      </c>
      <c r="S1951" s="147" t="str">
        <f t="shared" si="24"/>
        <v/>
      </c>
      <c r="T1951" s="147" t="str">
        <f t="shared" si="7"/>
        <v/>
      </c>
      <c r="U1951" s="150" t="str">
        <f t="shared" si="8"/>
        <v/>
      </c>
      <c r="V1951" s="151" t="str">
        <f>IFERROR(VLOOKUP(C1951,Ativos!$A$1:$G2000,5,),)</f>
        <v/>
      </c>
    </row>
    <row r="1952" ht="21.0" customHeight="1">
      <c r="A1952" s="152"/>
      <c r="B1952" s="160"/>
      <c r="C1952" s="153"/>
      <c r="D1952" s="154"/>
      <c r="E1952" s="139"/>
      <c r="F1952" s="139"/>
      <c r="G1952" s="139"/>
      <c r="H1952" s="135"/>
      <c r="I1952" s="141"/>
      <c r="J1952" s="147" t="str">
        <f>IFERROR(__xludf.DUMMYFUNCTION("IF(ISBLANK(A1952),IFERROR(1/0),IF(COUNT(FILTER(F:F,A:A=A1952))&gt;1,TRUNC(N1952*F1952/SUM(FILTER(N:N,A:A=A1952)),3),F1952))"),"")</f>
        <v/>
      </c>
      <c r="K1952" s="147" t="str">
        <f>IFERROR(__xludf.DUMMYFUNCTION("IF(ISBLANK(A1952),IFERROR(1/0),IF(COUNT(FILTER(G:G,((A:A=A1952)*(B:B=""V""))))&gt;1,TRUNC(N1952*G1952/SUM(FILTER(N:N,((A:A=A1952)*(B:B=""V"")))),3),G1952))"),"")</f>
        <v/>
      </c>
      <c r="L1952" s="148" t="str">
        <f>IFERROR(__xludf.DUMMYFUNCTION("if($C1952="""","""",iferror(if(row()&lt;&gt;2,INDEX(arrayformula(filter($M$2:$M1951,$C$2:$C1951&lt;&gt;"""",row($C$2:$C1951)=max(if($C$2:$C1951=C1952,row($C$2:$C1951),0)))) ,1),0),0))"),"")</f>
        <v/>
      </c>
      <c r="M1952" s="148" t="str">
        <f t="shared" si="1"/>
        <v/>
      </c>
      <c r="N1952" s="147" t="str">
        <f t="shared" si="2"/>
        <v/>
      </c>
      <c r="O1952" s="147" t="str">
        <f t="shared" si="21"/>
        <v/>
      </c>
      <c r="P1952" s="147" t="str">
        <f>IFERROR(__xludf.DUMMYFUNCTION("if(C1952="""","""",iferror(if(row()&lt;&gt;2,INDEX(arrayformula(filter($Q$2:$Q1951,$C$2:$C1951&lt;&gt;"""",row($C$2:$C1951)=max(if($C$2:$C1951=C1952,row($C$2:$C1951),0)))) ,1),0),0))"),"")</f>
        <v/>
      </c>
      <c r="Q1952" s="147" t="str">
        <f t="shared" si="22"/>
        <v/>
      </c>
      <c r="R1952" s="147" t="str">
        <f t="shared" si="23"/>
        <v/>
      </c>
      <c r="S1952" s="147" t="str">
        <f t="shared" si="24"/>
        <v/>
      </c>
      <c r="T1952" s="147" t="str">
        <f t="shared" si="7"/>
        <v/>
      </c>
      <c r="U1952" s="150" t="str">
        <f t="shared" si="8"/>
        <v/>
      </c>
      <c r="V1952" s="151" t="str">
        <f>IFERROR(VLOOKUP(C1952,Ativos!$A$1:$G2000,5,),)</f>
        <v/>
      </c>
    </row>
    <row r="1953" ht="21.0" customHeight="1">
      <c r="A1953" s="152"/>
      <c r="B1953" s="160"/>
      <c r="C1953" s="153"/>
      <c r="D1953" s="154"/>
      <c r="E1953" s="139"/>
      <c r="F1953" s="139"/>
      <c r="G1953" s="139"/>
      <c r="H1953" s="135"/>
      <c r="I1953" s="141"/>
      <c r="J1953" s="147" t="str">
        <f>IFERROR(__xludf.DUMMYFUNCTION("IF(ISBLANK(A1953),IFERROR(1/0),IF(COUNT(FILTER(F:F,A:A=A1953))&gt;1,TRUNC(N1953*F1953/SUM(FILTER(N:N,A:A=A1953)),3),F1953))"),"")</f>
        <v/>
      </c>
      <c r="K1953" s="147" t="str">
        <f>IFERROR(__xludf.DUMMYFUNCTION("IF(ISBLANK(A1953),IFERROR(1/0),IF(COUNT(FILTER(G:G,((A:A=A1953)*(B:B=""V""))))&gt;1,TRUNC(N1953*G1953/SUM(FILTER(N:N,((A:A=A1953)*(B:B=""V"")))),3),G1953))"),"")</f>
        <v/>
      </c>
      <c r="L1953" s="148" t="str">
        <f>IFERROR(__xludf.DUMMYFUNCTION("if($C1953="""","""",iferror(if(row()&lt;&gt;2,INDEX(arrayformula(filter($M$2:$M1952,$C$2:$C1952&lt;&gt;"""",row($C$2:$C1952)=max(if($C$2:$C1952=C1953,row($C$2:$C1952),0)))) ,1),0),0))"),"")</f>
        <v/>
      </c>
      <c r="M1953" s="148" t="str">
        <f t="shared" si="1"/>
        <v/>
      </c>
      <c r="N1953" s="147" t="str">
        <f t="shared" si="2"/>
        <v/>
      </c>
      <c r="O1953" s="147" t="str">
        <f t="shared" si="21"/>
        <v/>
      </c>
      <c r="P1953" s="147" t="str">
        <f>IFERROR(__xludf.DUMMYFUNCTION("if(C1953="""","""",iferror(if(row()&lt;&gt;2,INDEX(arrayformula(filter($Q$2:$Q1952,$C$2:$C1952&lt;&gt;"""",row($C$2:$C1952)=max(if($C$2:$C1952=C1953,row($C$2:$C1952),0)))) ,1),0),0))"),"")</f>
        <v/>
      </c>
      <c r="Q1953" s="147" t="str">
        <f t="shared" si="22"/>
        <v/>
      </c>
      <c r="R1953" s="147" t="str">
        <f t="shared" si="23"/>
        <v/>
      </c>
      <c r="S1953" s="147" t="str">
        <f t="shared" si="24"/>
        <v/>
      </c>
      <c r="T1953" s="147" t="str">
        <f t="shared" si="7"/>
        <v/>
      </c>
      <c r="U1953" s="150" t="str">
        <f t="shared" si="8"/>
        <v/>
      </c>
      <c r="V1953" s="151" t="str">
        <f>IFERROR(VLOOKUP(C1953,Ativos!$A$1:$G2000,5,),)</f>
        <v/>
      </c>
    </row>
    <row r="1954" ht="21.0" customHeight="1">
      <c r="A1954" s="152"/>
      <c r="B1954" s="160"/>
      <c r="C1954" s="153"/>
      <c r="D1954" s="154"/>
      <c r="E1954" s="139"/>
      <c r="F1954" s="139"/>
      <c r="G1954" s="139"/>
      <c r="H1954" s="135"/>
      <c r="I1954" s="141"/>
      <c r="J1954" s="147" t="str">
        <f>IFERROR(__xludf.DUMMYFUNCTION("IF(ISBLANK(A1954),IFERROR(1/0),IF(COUNT(FILTER(F:F,A:A=A1954))&gt;1,TRUNC(N1954*F1954/SUM(FILTER(N:N,A:A=A1954)),3),F1954))"),"")</f>
        <v/>
      </c>
      <c r="K1954" s="147" t="str">
        <f>IFERROR(__xludf.DUMMYFUNCTION("IF(ISBLANK(A1954),IFERROR(1/0),IF(COUNT(FILTER(G:G,((A:A=A1954)*(B:B=""V""))))&gt;1,TRUNC(N1954*G1954/SUM(FILTER(N:N,((A:A=A1954)*(B:B=""V"")))),3),G1954))"),"")</f>
        <v/>
      </c>
      <c r="L1954" s="148" t="str">
        <f>IFERROR(__xludf.DUMMYFUNCTION("if($C1954="""","""",iferror(if(row()&lt;&gt;2,INDEX(arrayformula(filter($M$2:$M1953,$C$2:$C1953&lt;&gt;"""",row($C$2:$C1953)=max(if($C$2:$C1953=C1954,row($C$2:$C1953),0)))) ,1),0),0))"),"")</f>
        <v/>
      </c>
      <c r="M1954" s="148" t="str">
        <f t="shared" si="1"/>
        <v/>
      </c>
      <c r="N1954" s="147" t="str">
        <f t="shared" si="2"/>
        <v/>
      </c>
      <c r="O1954" s="147" t="str">
        <f t="shared" si="21"/>
        <v/>
      </c>
      <c r="P1954" s="147" t="str">
        <f>IFERROR(__xludf.DUMMYFUNCTION("if(C1954="""","""",iferror(if(row()&lt;&gt;2,INDEX(arrayformula(filter($Q$2:$Q1953,$C$2:$C1953&lt;&gt;"""",row($C$2:$C1953)=max(if($C$2:$C1953=C1954,row($C$2:$C1953),0)))) ,1),0),0))"),"")</f>
        <v/>
      </c>
      <c r="Q1954" s="147" t="str">
        <f t="shared" si="22"/>
        <v/>
      </c>
      <c r="R1954" s="147" t="str">
        <f t="shared" si="23"/>
        <v/>
      </c>
      <c r="S1954" s="147" t="str">
        <f t="shared" si="24"/>
        <v/>
      </c>
      <c r="T1954" s="147" t="str">
        <f t="shared" si="7"/>
        <v/>
      </c>
      <c r="U1954" s="150" t="str">
        <f t="shared" si="8"/>
        <v/>
      </c>
      <c r="V1954" s="151" t="str">
        <f>IFERROR(VLOOKUP(C1954,Ativos!$A$1:$G2000,5,),)</f>
        <v/>
      </c>
    </row>
    <row r="1955" ht="21.0" customHeight="1">
      <c r="A1955" s="152"/>
      <c r="B1955" s="160"/>
      <c r="C1955" s="153"/>
      <c r="D1955" s="154"/>
      <c r="E1955" s="139"/>
      <c r="F1955" s="139"/>
      <c r="G1955" s="139"/>
      <c r="H1955" s="135"/>
      <c r="I1955" s="141"/>
      <c r="J1955" s="147" t="str">
        <f>IFERROR(__xludf.DUMMYFUNCTION("IF(ISBLANK(A1955),IFERROR(1/0),IF(COUNT(FILTER(F:F,A:A=A1955))&gt;1,TRUNC(N1955*F1955/SUM(FILTER(N:N,A:A=A1955)),3),F1955))"),"")</f>
        <v/>
      </c>
      <c r="K1955" s="147" t="str">
        <f>IFERROR(__xludf.DUMMYFUNCTION("IF(ISBLANK(A1955),IFERROR(1/0),IF(COUNT(FILTER(G:G,((A:A=A1955)*(B:B=""V""))))&gt;1,TRUNC(N1955*G1955/SUM(FILTER(N:N,((A:A=A1955)*(B:B=""V"")))),3),G1955))"),"")</f>
        <v/>
      </c>
      <c r="L1955" s="148" t="str">
        <f>IFERROR(__xludf.DUMMYFUNCTION("if($C1955="""","""",iferror(if(row()&lt;&gt;2,INDEX(arrayformula(filter($M$2:$M1954,$C$2:$C1954&lt;&gt;"""",row($C$2:$C1954)=max(if($C$2:$C1954=C1955,row($C$2:$C1954),0)))) ,1),0),0))"),"")</f>
        <v/>
      </c>
      <c r="M1955" s="148" t="str">
        <f t="shared" si="1"/>
        <v/>
      </c>
      <c r="N1955" s="147" t="str">
        <f t="shared" si="2"/>
        <v/>
      </c>
      <c r="O1955" s="147" t="str">
        <f t="shared" si="21"/>
        <v/>
      </c>
      <c r="P1955" s="147" t="str">
        <f>IFERROR(__xludf.DUMMYFUNCTION("if(C1955="""","""",iferror(if(row()&lt;&gt;2,INDEX(arrayformula(filter($Q$2:$Q1954,$C$2:$C1954&lt;&gt;"""",row($C$2:$C1954)=max(if($C$2:$C1954=C1955,row($C$2:$C1954),0)))) ,1),0),0))"),"")</f>
        <v/>
      </c>
      <c r="Q1955" s="147" t="str">
        <f t="shared" si="22"/>
        <v/>
      </c>
      <c r="R1955" s="147" t="str">
        <f t="shared" si="23"/>
        <v/>
      </c>
      <c r="S1955" s="147" t="str">
        <f t="shared" si="24"/>
        <v/>
      </c>
      <c r="T1955" s="147" t="str">
        <f t="shared" si="7"/>
        <v/>
      </c>
      <c r="U1955" s="150" t="str">
        <f t="shared" si="8"/>
        <v/>
      </c>
      <c r="V1955" s="151" t="str">
        <f>IFERROR(VLOOKUP(C1955,Ativos!$A$1:$G2000,5,),)</f>
        <v/>
      </c>
    </row>
    <row r="1956" ht="21.0" customHeight="1">
      <c r="A1956" s="152"/>
      <c r="B1956" s="160"/>
      <c r="C1956" s="153"/>
      <c r="D1956" s="154"/>
      <c r="E1956" s="139"/>
      <c r="F1956" s="139"/>
      <c r="G1956" s="139"/>
      <c r="H1956" s="135"/>
      <c r="I1956" s="141"/>
      <c r="J1956" s="147" t="str">
        <f>IFERROR(__xludf.DUMMYFUNCTION("IF(ISBLANK(A1956),IFERROR(1/0),IF(COUNT(FILTER(F:F,A:A=A1956))&gt;1,TRUNC(N1956*F1956/SUM(FILTER(N:N,A:A=A1956)),3),F1956))"),"")</f>
        <v/>
      </c>
      <c r="K1956" s="147" t="str">
        <f>IFERROR(__xludf.DUMMYFUNCTION("IF(ISBLANK(A1956),IFERROR(1/0),IF(COUNT(FILTER(G:G,((A:A=A1956)*(B:B=""V""))))&gt;1,TRUNC(N1956*G1956/SUM(FILTER(N:N,((A:A=A1956)*(B:B=""V"")))),3),G1956))"),"")</f>
        <v/>
      </c>
      <c r="L1956" s="148" t="str">
        <f>IFERROR(__xludf.DUMMYFUNCTION("if($C1956="""","""",iferror(if(row()&lt;&gt;2,INDEX(arrayformula(filter($M$2:$M1955,$C$2:$C1955&lt;&gt;"""",row($C$2:$C1955)=max(if($C$2:$C1955=C1956,row($C$2:$C1955),0)))) ,1),0),0))"),"")</f>
        <v/>
      </c>
      <c r="M1956" s="148" t="str">
        <f t="shared" si="1"/>
        <v/>
      </c>
      <c r="N1956" s="147" t="str">
        <f t="shared" si="2"/>
        <v/>
      </c>
      <c r="O1956" s="147" t="str">
        <f t="shared" si="21"/>
        <v/>
      </c>
      <c r="P1956" s="147" t="str">
        <f>IFERROR(__xludf.DUMMYFUNCTION("if(C1956="""","""",iferror(if(row()&lt;&gt;2,INDEX(arrayformula(filter($Q$2:$Q1955,$C$2:$C1955&lt;&gt;"""",row($C$2:$C1955)=max(if($C$2:$C1955=C1956,row($C$2:$C1955),0)))) ,1),0),0))"),"")</f>
        <v/>
      </c>
      <c r="Q1956" s="147" t="str">
        <f t="shared" si="22"/>
        <v/>
      </c>
      <c r="R1956" s="147" t="str">
        <f t="shared" si="23"/>
        <v/>
      </c>
      <c r="S1956" s="147" t="str">
        <f t="shared" si="24"/>
        <v/>
      </c>
      <c r="T1956" s="147" t="str">
        <f t="shared" si="7"/>
        <v/>
      </c>
      <c r="U1956" s="150" t="str">
        <f t="shared" si="8"/>
        <v/>
      </c>
      <c r="V1956" s="151" t="str">
        <f>IFERROR(VLOOKUP(C1956,Ativos!$A$1:$G2000,5,),)</f>
        <v/>
      </c>
    </row>
    <row r="1957" ht="21.0" customHeight="1">
      <c r="A1957" s="152"/>
      <c r="B1957" s="160"/>
      <c r="C1957" s="153"/>
      <c r="D1957" s="154"/>
      <c r="E1957" s="139"/>
      <c r="F1957" s="139"/>
      <c r="G1957" s="139"/>
      <c r="H1957" s="135"/>
      <c r="I1957" s="141"/>
      <c r="J1957" s="147" t="str">
        <f>IFERROR(__xludf.DUMMYFUNCTION("IF(ISBLANK(A1957),IFERROR(1/0),IF(COUNT(FILTER(F:F,A:A=A1957))&gt;1,TRUNC(N1957*F1957/SUM(FILTER(N:N,A:A=A1957)),3),F1957))"),"")</f>
        <v/>
      </c>
      <c r="K1957" s="147" t="str">
        <f>IFERROR(__xludf.DUMMYFUNCTION("IF(ISBLANK(A1957),IFERROR(1/0),IF(COUNT(FILTER(G:G,((A:A=A1957)*(B:B=""V""))))&gt;1,TRUNC(N1957*G1957/SUM(FILTER(N:N,((A:A=A1957)*(B:B=""V"")))),3),G1957))"),"")</f>
        <v/>
      </c>
      <c r="L1957" s="148" t="str">
        <f>IFERROR(__xludf.DUMMYFUNCTION("if($C1957="""","""",iferror(if(row()&lt;&gt;2,INDEX(arrayformula(filter($M$2:$M1956,$C$2:$C1956&lt;&gt;"""",row($C$2:$C1956)=max(if($C$2:$C1956=C1957,row($C$2:$C1956),0)))) ,1),0),0))"),"")</f>
        <v/>
      </c>
      <c r="M1957" s="148" t="str">
        <f t="shared" si="1"/>
        <v/>
      </c>
      <c r="N1957" s="147" t="str">
        <f t="shared" si="2"/>
        <v/>
      </c>
      <c r="O1957" s="147" t="str">
        <f t="shared" si="21"/>
        <v/>
      </c>
      <c r="P1957" s="147" t="str">
        <f>IFERROR(__xludf.DUMMYFUNCTION("if(C1957="""","""",iferror(if(row()&lt;&gt;2,INDEX(arrayformula(filter($Q$2:$Q1956,$C$2:$C1956&lt;&gt;"""",row($C$2:$C1956)=max(if($C$2:$C1956=C1957,row($C$2:$C1956),0)))) ,1),0),0))"),"")</f>
        <v/>
      </c>
      <c r="Q1957" s="147" t="str">
        <f t="shared" si="22"/>
        <v/>
      </c>
      <c r="R1957" s="147" t="str">
        <f t="shared" si="23"/>
        <v/>
      </c>
      <c r="S1957" s="147" t="str">
        <f t="shared" si="24"/>
        <v/>
      </c>
      <c r="T1957" s="147" t="str">
        <f t="shared" si="7"/>
        <v/>
      </c>
      <c r="U1957" s="150" t="str">
        <f t="shared" si="8"/>
        <v/>
      </c>
      <c r="V1957" s="151" t="str">
        <f>IFERROR(VLOOKUP(C1957,Ativos!$A$1:$G2000,5,),)</f>
        <v/>
      </c>
    </row>
    <row r="1958" ht="21.0" customHeight="1">
      <c r="A1958" s="152"/>
      <c r="B1958" s="160"/>
      <c r="C1958" s="153"/>
      <c r="D1958" s="154"/>
      <c r="E1958" s="139"/>
      <c r="F1958" s="139"/>
      <c r="G1958" s="139"/>
      <c r="H1958" s="135"/>
      <c r="I1958" s="141"/>
      <c r="J1958" s="147" t="str">
        <f>IFERROR(__xludf.DUMMYFUNCTION("IF(ISBLANK(A1958),IFERROR(1/0),IF(COUNT(FILTER(F:F,A:A=A1958))&gt;1,TRUNC(N1958*F1958/SUM(FILTER(N:N,A:A=A1958)),3),F1958))"),"")</f>
        <v/>
      </c>
      <c r="K1958" s="147" t="str">
        <f>IFERROR(__xludf.DUMMYFUNCTION("IF(ISBLANK(A1958),IFERROR(1/0),IF(COUNT(FILTER(G:G,((A:A=A1958)*(B:B=""V""))))&gt;1,TRUNC(N1958*G1958/SUM(FILTER(N:N,((A:A=A1958)*(B:B=""V"")))),3),G1958))"),"")</f>
        <v/>
      </c>
      <c r="L1958" s="148" t="str">
        <f>IFERROR(__xludf.DUMMYFUNCTION("if($C1958="""","""",iferror(if(row()&lt;&gt;2,INDEX(arrayformula(filter($M$2:$M1957,$C$2:$C1957&lt;&gt;"""",row($C$2:$C1957)=max(if($C$2:$C1957=C1958,row($C$2:$C1957),0)))) ,1),0),0))"),"")</f>
        <v/>
      </c>
      <c r="M1958" s="148" t="str">
        <f t="shared" si="1"/>
        <v/>
      </c>
      <c r="N1958" s="147" t="str">
        <f t="shared" si="2"/>
        <v/>
      </c>
      <c r="O1958" s="147" t="str">
        <f t="shared" si="21"/>
        <v/>
      </c>
      <c r="P1958" s="147" t="str">
        <f>IFERROR(__xludf.DUMMYFUNCTION("if(C1958="""","""",iferror(if(row()&lt;&gt;2,INDEX(arrayformula(filter($Q$2:$Q1957,$C$2:$C1957&lt;&gt;"""",row($C$2:$C1957)=max(if($C$2:$C1957=C1958,row($C$2:$C1957),0)))) ,1),0),0))"),"")</f>
        <v/>
      </c>
      <c r="Q1958" s="147" t="str">
        <f t="shared" si="22"/>
        <v/>
      </c>
      <c r="R1958" s="147" t="str">
        <f t="shared" si="23"/>
        <v/>
      </c>
      <c r="S1958" s="147" t="str">
        <f t="shared" si="24"/>
        <v/>
      </c>
      <c r="T1958" s="147" t="str">
        <f t="shared" si="7"/>
        <v/>
      </c>
      <c r="U1958" s="150" t="str">
        <f t="shared" si="8"/>
        <v/>
      </c>
      <c r="V1958" s="151" t="str">
        <f>IFERROR(VLOOKUP(C1958,Ativos!$A$1:$G2000,5,),)</f>
        <v/>
      </c>
    </row>
    <row r="1959" ht="21.0" customHeight="1">
      <c r="A1959" s="152"/>
      <c r="B1959" s="160"/>
      <c r="C1959" s="153"/>
      <c r="D1959" s="154"/>
      <c r="E1959" s="139"/>
      <c r="F1959" s="139"/>
      <c r="G1959" s="139"/>
      <c r="H1959" s="135"/>
      <c r="I1959" s="141"/>
      <c r="J1959" s="147" t="str">
        <f>IFERROR(__xludf.DUMMYFUNCTION("IF(ISBLANK(A1959),IFERROR(1/0),IF(COUNT(FILTER(F:F,A:A=A1959))&gt;1,TRUNC(N1959*F1959/SUM(FILTER(N:N,A:A=A1959)),3),F1959))"),"")</f>
        <v/>
      </c>
      <c r="K1959" s="147" t="str">
        <f>IFERROR(__xludf.DUMMYFUNCTION("IF(ISBLANK(A1959),IFERROR(1/0),IF(COUNT(FILTER(G:G,((A:A=A1959)*(B:B=""V""))))&gt;1,TRUNC(N1959*G1959/SUM(FILTER(N:N,((A:A=A1959)*(B:B=""V"")))),3),G1959))"),"")</f>
        <v/>
      </c>
      <c r="L1959" s="148" t="str">
        <f>IFERROR(__xludf.DUMMYFUNCTION("if($C1959="""","""",iferror(if(row()&lt;&gt;2,INDEX(arrayformula(filter($M$2:$M1958,$C$2:$C1958&lt;&gt;"""",row($C$2:$C1958)=max(if($C$2:$C1958=C1959,row($C$2:$C1958),0)))) ,1),0),0))"),"")</f>
        <v/>
      </c>
      <c r="M1959" s="148" t="str">
        <f t="shared" si="1"/>
        <v/>
      </c>
      <c r="N1959" s="147" t="str">
        <f t="shared" si="2"/>
        <v/>
      </c>
      <c r="O1959" s="147" t="str">
        <f t="shared" si="21"/>
        <v/>
      </c>
      <c r="P1959" s="147" t="str">
        <f>IFERROR(__xludf.DUMMYFUNCTION("if(C1959="""","""",iferror(if(row()&lt;&gt;2,INDEX(arrayformula(filter($Q$2:$Q1958,$C$2:$C1958&lt;&gt;"""",row($C$2:$C1958)=max(if($C$2:$C1958=C1959,row($C$2:$C1958),0)))) ,1),0),0))"),"")</f>
        <v/>
      </c>
      <c r="Q1959" s="147" t="str">
        <f t="shared" si="22"/>
        <v/>
      </c>
      <c r="R1959" s="147" t="str">
        <f t="shared" si="23"/>
        <v/>
      </c>
      <c r="S1959" s="147" t="str">
        <f t="shared" si="24"/>
        <v/>
      </c>
      <c r="T1959" s="147" t="str">
        <f t="shared" si="7"/>
        <v/>
      </c>
      <c r="U1959" s="150" t="str">
        <f t="shared" si="8"/>
        <v/>
      </c>
      <c r="V1959" s="151" t="str">
        <f>IFERROR(VLOOKUP(C1959,Ativos!$A$1:$G2000,5,),)</f>
        <v/>
      </c>
    </row>
    <row r="1960" ht="21.0" customHeight="1">
      <c r="A1960" s="152"/>
      <c r="B1960" s="160"/>
      <c r="C1960" s="153"/>
      <c r="D1960" s="154"/>
      <c r="E1960" s="139"/>
      <c r="F1960" s="139"/>
      <c r="G1960" s="139"/>
      <c r="H1960" s="135"/>
      <c r="I1960" s="141"/>
      <c r="J1960" s="147" t="str">
        <f>IFERROR(__xludf.DUMMYFUNCTION("IF(ISBLANK(A1960),IFERROR(1/0),IF(COUNT(FILTER(F:F,A:A=A1960))&gt;1,TRUNC(N1960*F1960/SUM(FILTER(N:N,A:A=A1960)),3),F1960))"),"")</f>
        <v/>
      </c>
      <c r="K1960" s="147" t="str">
        <f>IFERROR(__xludf.DUMMYFUNCTION("IF(ISBLANK(A1960),IFERROR(1/0),IF(COUNT(FILTER(G:G,((A:A=A1960)*(B:B=""V""))))&gt;1,TRUNC(N1960*G1960/SUM(FILTER(N:N,((A:A=A1960)*(B:B=""V"")))),3),G1960))"),"")</f>
        <v/>
      </c>
      <c r="L1960" s="148" t="str">
        <f>IFERROR(__xludf.DUMMYFUNCTION("if($C1960="""","""",iferror(if(row()&lt;&gt;2,INDEX(arrayformula(filter($M$2:$M1959,$C$2:$C1959&lt;&gt;"""",row($C$2:$C1959)=max(if($C$2:$C1959=C1960,row($C$2:$C1959),0)))) ,1),0),0))"),"")</f>
        <v/>
      </c>
      <c r="M1960" s="148" t="str">
        <f t="shared" si="1"/>
        <v/>
      </c>
      <c r="N1960" s="147" t="str">
        <f t="shared" si="2"/>
        <v/>
      </c>
      <c r="O1960" s="147" t="str">
        <f t="shared" si="21"/>
        <v/>
      </c>
      <c r="P1960" s="147" t="str">
        <f>IFERROR(__xludf.DUMMYFUNCTION("if(C1960="""","""",iferror(if(row()&lt;&gt;2,INDEX(arrayformula(filter($Q$2:$Q1959,$C$2:$C1959&lt;&gt;"""",row($C$2:$C1959)=max(if($C$2:$C1959=C1960,row($C$2:$C1959),0)))) ,1),0),0))"),"")</f>
        <v/>
      </c>
      <c r="Q1960" s="147" t="str">
        <f t="shared" si="22"/>
        <v/>
      </c>
      <c r="R1960" s="147" t="str">
        <f t="shared" si="23"/>
        <v/>
      </c>
      <c r="S1960" s="147" t="str">
        <f t="shared" si="24"/>
        <v/>
      </c>
      <c r="T1960" s="147" t="str">
        <f t="shared" si="7"/>
        <v/>
      </c>
      <c r="U1960" s="150" t="str">
        <f t="shared" si="8"/>
        <v/>
      </c>
      <c r="V1960" s="151" t="str">
        <f>IFERROR(VLOOKUP(C1960,Ativos!$A$1:$G2000,5,),)</f>
        <v/>
      </c>
    </row>
    <row r="1961" ht="21.0" customHeight="1">
      <c r="A1961" s="152"/>
      <c r="B1961" s="160"/>
      <c r="C1961" s="153"/>
      <c r="D1961" s="154"/>
      <c r="E1961" s="139"/>
      <c r="F1961" s="139"/>
      <c r="G1961" s="139"/>
      <c r="H1961" s="135"/>
      <c r="I1961" s="141"/>
      <c r="J1961" s="147" t="str">
        <f>IFERROR(__xludf.DUMMYFUNCTION("IF(ISBLANK(A1961),IFERROR(1/0),IF(COUNT(FILTER(F:F,A:A=A1961))&gt;1,TRUNC(N1961*F1961/SUM(FILTER(N:N,A:A=A1961)),3),F1961))"),"")</f>
        <v/>
      </c>
      <c r="K1961" s="147" t="str">
        <f>IFERROR(__xludf.DUMMYFUNCTION("IF(ISBLANK(A1961),IFERROR(1/0),IF(COUNT(FILTER(G:G,((A:A=A1961)*(B:B=""V""))))&gt;1,TRUNC(N1961*G1961/SUM(FILTER(N:N,((A:A=A1961)*(B:B=""V"")))),3),G1961))"),"")</f>
        <v/>
      </c>
      <c r="L1961" s="148" t="str">
        <f>IFERROR(__xludf.DUMMYFUNCTION("if($C1961="""","""",iferror(if(row()&lt;&gt;2,INDEX(arrayformula(filter($M$2:$M1960,$C$2:$C1960&lt;&gt;"""",row($C$2:$C1960)=max(if($C$2:$C1960=C1961,row($C$2:$C1960),0)))) ,1),0),0))"),"")</f>
        <v/>
      </c>
      <c r="M1961" s="148" t="str">
        <f t="shared" si="1"/>
        <v/>
      </c>
      <c r="N1961" s="147" t="str">
        <f t="shared" si="2"/>
        <v/>
      </c>
      <c r="O1961" s="147" t="str">
        <f t="shared" si="21"/>
        <v/>
      </c>
      <c r="P1961" s="147" t="str">
        <f>IFERROR(__xludf.DUMMYFUNCTION("if(C1961="""","""",iferror(if(row()&lt;&gt;2,INDEX(arrayformula(filter($Q$2:$Q1960,$C$2:$C1960&lt;&gt;"""",row($C$2:$C1960)=max(if($C$2:$C1960=C1961,row($C$2:$C1960),0)))) ,1),0),0))"),"")</f>
        <v/>
      </c>
      <c r="Q1961" s="147" t="str">
        <f t="shared" si="22"/>
        <v/>
      </c>
      <c r="R1961" s="147" t="str">
        <f t="shared" si="23"/>
        <v/>
      </c>
      <c r="S1961" s="147" t="str">
        <f t="shared" si="24"/>
        <v/>
      </c>
      <c r="T1961" s="147" t="str">
        <f t="shared" si="7"/>
        <v/>
      </c>
      <c r="U1961" s="150" t="str">
        <f t="shared" si="8"/>
        <v/>
      </c>
      <c r="V1961" s="151" t="str">
        <f>IFERROR(VLOOKUP(C1961,Ativos!$A$1:$G2000,5,),)</f>
        <v/>
      </c>
    </row>
    <row r="1962" ht="21.0" customHeight="1">
      <c r="A1962" s="152"/>
      <c r="B1962" s="160"/>
      <c r="C1962" s="153"/>
      <c r="D1962" s="154"/>
      <c r="E1962" s="139"/>
      <c r="F1962" s="139"/>
      <c r="G1962" s="139"/>
      <c r="H1962" s="135"/>
      <c r="I1962" s="141"/>
      <c r="J1962" s="147" t="str">
        <f>IFERROR(__xludf.DUMMYFUNCTION("IF(ISBLANK(A1962),IFERROR(1/0),IF(COUNT(FILTER(F:F,A:A=A1962))&gt;1,TRUNC(N1962*F1962/SUM(FILTER(N:N,A:A=A1962)),3),F1962))"),"")</f>
        <v/>
      </c>
      <c r="K1962" s="147" t="str">
        <f>IFERROR(__xludf.DUMMYFUNCTION("IF(ISBLANK(A1962),IFERROR(1/0),IF(COUNT(FILTER(G:G,((A:A=A1962)*(B:B=""V""))))&gt;1,TRUNC(N1962*G1962/SUM(FILTER(N:N,((A:A=A1962)*(B:B=""V"")))),3),G1962))"),"")</f>
        <v/>
      </c>
      <c r="L1962" s="148" t="str">
        <f>IFERROR(__xludf.DUMMYFUNCTION("if($C1962="""","""",iferror(if(row()&lt;&gt;2,INDEX(arrayformula(filter($M$2:$M1961,$C$2:$C1961&lt;&gt;"""",row($C$2:$C1961)=max(if($C$2:$C1961=C1962,row($C$2:$C1961),0)))) ,1),0),0))"),"")</f>
        <v/>
      </c>
      <c r="M1962" s="148" t="str">
        <f t="shared" si="1"/>
        <v/>
      </c>
      <c r="N1962" s="147" t="str">
        <f t="shared" si="2"/>
        <v/>
      </c>
      <c r="O1962" s="147" t="str">
        <f t="shared" si="21"/>
        <v/>
      </c>
      <c r="P1962" s="147" t="str">
        <f>IFERROR(__xludf.DUMMYFUNCTION("if(C1962="""","""",iferror(if(row()&lt;&gt;2,INDEX(arrayformula(filter($Q$2:$Q1961,$C$2:$C1961&lt;&gt;"""",row($C$2:$C1961)=max(if($C$2:$C1961=C1962,row($C$2:$C1961),0)))) ,1),0),0))"),"")</f>
        <v/>
      </c>
      <c r="Q1962" s="147" t="str">
        <f t="shared" si="22"/>
        <v/>
      </c>
      <c r="R1962" s="147" t="str">
        <f t="shared" si="23"/>
        <v/>
      </c>
      <c r="S1962" s="147" t="str">
        <f t="shared" si="24"/>
        <v/>
      </c>
      <c r="T1962" s="147" t="str">
        <f t="shared" si="7"/>
        <v/>
      </c>
      <c r="U1962" s="150" t="str">
        <f t="shared" si="8"/>
        <v/>
      </c>
      <c r="V1962" s="151" t="str">
        <f>IFERROR(VLOOKUP(C1962,Ativos!$A$1:$G2000,5,),)</f>
        <v/>
      </c>
    </row>
    <row r="1963" ht="21.0" customHeight="1">
      <c r="A1963" s="152"/>
      <c r="B1963" s="160"/>
      <c r="C1963" s="153"/>
      <c r="D1963" s="154"/>
      <c r="E1963" s="139"/>
      <c r="F1963" s="139"/>
      <c r="G1963" s="139"/>
      <c r="H1963" s="135"/>
      <c r="I1963" s="141"/>
      <c r="J1963" s="147" t="str">
        <f>IFERROR(__xludf.DUMMYFUNCTION("IF(ISBLANK(A1963),IFERROR(1/0),IF(COUNT(FILTER(F:F,A:A=A1963))&gt;1,TRUNC(N1963*F1963/SUM(FILTER(N:N,A:A=A1963)),3),F1963))"),"")</f>
        <v/>
      </c>
      <c r="K1963" s="147" t="str">
        <f>IFERROR(__xludf.DUMMYFUNCTION("IF(ISBLANK(A1963),IFERROR(1/0),IF(COUNT(FILTER(G:G,((A:A=A1963)*(B:B=""V""))))&gt;1,TRUNC(N1963*G1963/SUM(FILTER(N:N,((A:A=A1963)*(B:B=""V"")))),3),G1963))"),"")</f>
        <v/>
      </c>
      <c r="L1963" s="148" t="str">
        <f>IFERROR(__xludf.DUMMYFUNCTION("if($C1963="""","""",iferror(if(row()&lt;&gt;2,INDEX(arrayformula(filter($M$2:$M1962,$C$2:$C1962&lt;&gt;"""",row($C$2:$C1962)=max(if($C$2:$C1962=C1963,row($C$2:$C1962),0)))) ,1),0),0))"),"")</f>
        <v/>
      </c>
      <c r="M1963" s="148" t="str">
        <f t="shared" si="1"/>
        <v/>
      </c>
      <c r="N1963" s="147" t="str">
        <f t="shared" si="2"/>
        <v/>
      </c>
      <c r="O1963" s="147" t="str">
        <f t="shared" si="21"/>
        <v/>
      </c>
      <c r="P1963" s="147" t="str">
        <f>IFERROR(__xludf.DUMMYFUNCTION("if(C1963="""","""",iferror(if(row()&lt;&gt;2,INDEX(arrayformula(filter($Q$2:$Q1962,$C$2:$C1962&lt;&gt;"""",row($C$2:$C1962)=max(if($C$2:$C1962=C1963,row($C$2:$C1962),0)))) ,1),0),0))"),"")</f>
        <v/>
      </c>
      <c r="Q1963" s="147" t="str">
        <f t="shared" si="22"/>
        <v/>
      </c>
      <c r="R1963" s="147" t="str">
        <f t="shared" si="23"/>
        <v/>
      </c>
      <c r="S1963" s="147" t="str">
        <f t="shared" si="24"/>
        <v/>
      </c>
      <c r="T1963" s="147" t="str">
        <f t="shared" si="7"/>
        <v/>
      </c>
      <c r="U1963" s="150" t="str">
        <f t="shared" si="8"/>
        <v/>
      </c>
      <c r="V1963" s="151" t="str">
        <f>IFERROR(VLOOKUP(C1963,Ativos!$A$1:$G2000,5,),)</f>
        <v/>
      </c>
    </row>
    <row r="1964" ht="21.0" customHeight="1">
      <c r="A1964" s="152"/>
      <c r="B1964" s="160"/>
      <c r="C1964" s="153"/>
      <c r="D1964" s="154"/>
      <c r="E1964" s="139"/>
      <c r="F1964" s="139"/>
      <c r="G1964" s="139"/>
      <c r="H1964" s="135"/>
      <c r="I1964" s="141"/>
      <c r="J1964" s="147" t="str">
        <f>IFERROR(__xludf.DUMMYFUNCTION("IF(ISBLANK(A1964),IFERROR(1/0),IF(COUNT(FILTER(F:F,A:A=A1964))&gt;1,TRUNC(N1964*F1964/SUM(FILTER(N:N,A:A=A1964)),3),F1964))"),"")</f>
        <v/>
      </c>
      <c r="K1964" s="147" t="str">
        <f>IFERROR(__xludf.DUMMYFUNCTION("IF(ISBLANK(A1964),IFERROR(1/0),IF(COUNT(FILTER(G:G,((A:A=A1964)*(B:B=""V""))))&gt;1,TRUNC(N1964*G1964/SUM(FILTER(N:N,((A:A=A1964)*(B:B=""V"")))),3),G1964))"),"")</f>
        <v/>
      </c>
      <c r="L1964" s="148" t="str">
        <f>IFERROR(__xludf.DUMMYFUNCTION("if($C1964="""","""",iferror(if(row()&lt;&gt;2,INDEX(arrayformula(filter($M$2:$M1963,$C$2:$C1963&lt;&gt;"""",row($C$2:$C1963)=max(if($C$2:$C1963=C1964,row($C$2:$C1963),0)))) ,1),0),0))"),"")</f>
        <v/>
      </c>
      <c r="M1964" s="148" t="str">
        <f t="shared" si="1"/>
        <v/>
      </c>
      <c r="N1964" s="147" t="str">
        <f t="shared" si="2"/>
        <v/>
      </c>
      <c r="O1964" s="147" t="str">
        <f t="shared" si="21"/>
        <v/>
      </c>
      <c r="P1964" s="147" t="str">
        <f>IFERROR(__xludf.DUMMYFUNCTION("if(C1964="""","""",iferror(if(row()&lt;&gt;2,INDEX(arrayformula(filter($Q$2:$Q1963,$C$2:$C1963&lt;&gt;"""",row($C$2:$C1963)=max(if($C$2:$C1963=C1964,row($C$2:$C1963),0)))) ,1),0),0))"),"")</f>
        <v/>
      </c>
      <c r="Q1964" s="147" t="str">
        <f t="shared" si="22"/>
        <v/>
      </c>
      <c r="R1964" s="147" t="str">
        <f t="shared" si="23"/>
        <v/>
      </c>
      <c r="S1964" s="147" t="str">
        <f t="shared" si="24"/>
        <v/>
      </c>
      <c r="T1964" s="147" t="str">
        <f t="shared" si="7"/>
        <v/>
      </c>
      <c r="U1964" s="150" t="str">
        <f t="shared" si="8"/>
        <v/>
      </c>
      <c r="V1964" s="151" t="str">
        <f>IFERROR(VLOOKUP(C1964,Ativos!$A$1:$G2000,5,),)</f>
        <v/>
      </c>
    </row>
    <row r="1965" ht="21.0" customHeight="1">
      <c r="A1965" s="152"/>
      <c r="B1965" s="160"/>
      <c r="C1965" s="153"/>
      <c r="D1965" s="154"/>
      <c r="E1965" s="139"/>
      <c r="F1965" s="139"/>
      <c r="G1965" s="139"/>
      <c r="H1965" s="135"/>
      <c r="I1965" s="141"/>
      <c r="J1965" s="147" t="str">
        <f>IFERROR(__xludf.DUMMYFUNCTION("IF(ISBLANK(A1965),IFERROR(1/0),IF(COUNT(FILTER(F:F,A:A=A1965))&gt;1,TRUNC(N1965*F1965/SUM(FILTER(N:N,A:A=A1965)),3),F1965))"),"")</f>
        <v/>
      </c>
      <c r="K1965" s="147" t="str">
        <f>IFERROR(__xludf.DUMMYFUNCTION("IF(ISBLANK(A1965),IFERROR(1/0),IF(COUNT(FILTER(G:G,((A:A=A1965)*(B:B=""V""))))&gt;1,TRUNC(N1965*G1965/SUM(FILTER(N:N,((A:A=A1965)*(B:B=""V"")))),3),G1965))"),"")</f>
        <v/>
      </c>
      <c r="L1965" s="148" t="str">
        <f>IFERROR(__xludf.DUMMYFUNCTION("if($C1965="""","""",iferror(if(row()&lt;&gt;2,INDEX(arrayformula(filter($M$2:$M1964,$C$2:$C1964&lt;&gt;"""",row($C$2:$C1964)=max(if($C$2:$C1964=C1965,row($C$2:$C1964),0)))) ,1),0),0))"),"")</f>
        <v/>
      </c>
      <c r="M1965" s="148" t="str">
        <f t="shared" si="1"/>
        <v/>
      </c>
      <c r="N1965" s="147" t="str">
        <f t="shared" si="2"/>
        <v/>
      </c>
      <c r="O1965" s="147" t="str">
        <f t="shared" si="21"/>
        <v/>
      </c>
      <c r="P1965" s="147" t="str">
        <f>IFERROR(__xludf.DUMMYFUNCTION("if(C1965="""","""",iferror(if(row()&lt;&gt;2,INDEX(arrayformula(filter($Q$2:$Q1964,$C$2:$C1964&lt;&gt;"""",row($C$2:$C1964)=max(if($C$2:$C1964=C1965,row($C$2:$C1964),0)))) ,1),0),0))"),"")</f>
        <v/>
      </c>
      <c r="Q1965" s="147" t="str">
        <f t="shared" si="22"/>
        <v/>
      </c>
      <c r="R1965" s="147" t="str">
        <f t="shared" si="23"/>
        <v/>
      </c>
      <c r="S1965" s="147" t="str">
        <f t="shared" si="24"/>
        <v/>
      </c>
      <c r="T1965" s="147" t="str">
        <f t="shared" si="7"/>
        <v/>
      </c>
      <c r="U1965" s="150" t="str">
        <f t="shared" si="8"/>
        <v/>
      </c>
      <c r="V1965" s="151" t="str">
        <f>IFERROR(VLOOKUP(C1965,Ativos!$A$1:$G2000,5,),)</f>
        <v/>
      </c>
    </row>
    <row r="1966" ht="21.0" customHeight="1">
      <c r="A1966" s="152"/>
      <c r="B1966" s="160"/>
      <c r="C1966" s="153"/>
      <c r="D1966" s="154"/>
      <c r="E1966" s="139"/>
      <c r="F1966" s="139"/>
      <c r="G1966" s="139"/>
      <c r="H1966" s="135"/>
      <c r="I1966" s="141"/>
      <c r="J1966" s="147" t="str">
        <f>IFERROR(__xludf.DUMMYFUNCTION("IF(ISBLANK(A1966),IFERROR(1/0),IF(COUNT(FILTER(F:F,A:A=A1966))&gt;1,TRUNC(N1966*F1966/SUM(FILTER(N:N,A:A=A1966)),3),F1966))"),"")</f>
        <v/>
      </c>
      <c r="K1966" s="147" t="str">
        <f>IFERROR(__xludf.DUMMYFUNCTION("IF(ISBLANK(A1966),IFERROR(1/0),IF(COUNT(FILTER(G:G,((A:A=A1966)*(B:B=""V""))))&gt;1,TRUNC(N1966*G1966/SUM(FILTER(N:N,((A:A=A1966)*(B:B=""V"")))),3),G1966))"),"")</f>
        <v/>
      </c>
      <c r="L1966" s="148" t="str">
        <f>IFERROR(__xludf.DUMMYFUNCTION("if($C1966="""","""",iferror(if(row()&lt;&gt;2,INDEX(arrayformula(filter($M$2:$M1965,$C$2:$C1965&lt;&gt;"""",row($C$2:$C1965)=max(if($C$2:$C1965=C1966,row($C$2:$C1965),0)))) ,1),0),0))"),"")</f>
        <v/>
      </c>
      <c r="M1966" s="148" t="str">
        <f t="shared" si="1"/>
        <v/>
      </c>
      <c r="N1966" s="147" t="str">
        <f t="shared" si="2"/>
        <v/>
      </c>
      <c r="O1966" s="147" t="str">
        <f t="shared" si="21"/>
        <v/>
      </c>
      <c r="P1966" s="147" t="str">
        <f>IFERROR(__xludf.DUMMYFUNCTION("if(C1966="""","""",iferror(if(row()&lt;&gt;2,INDEX(arrayformula(filter($Q$2:$Q1965,$C$2:$C1965&lt;&gt;"""",row($C$2:$C1965)=max(if($C$2:$C1965=C1966,row($C$2:$C1965),0)))) ,1),0),0))"),"")</f>
        <v/>
      </c>
      <c r="Q1966" s="147" t="str">
        <f t="shared" si="22"/>
        <v/>
      </c>
      <c r="R1966" s="147" t="str">
        <f t="shared" si="23"/>
        <v/>
      </c>
      <c r="S1966" s="147" t="str">
        <f t="shared" si="24"/>
        <v/>
      </c>
      <c r="T1966" s="147" t="str">
        <f t="shared" si="7"/>
        <v/>
      </c>
      <c r="U1966" s="150" t="str">
        <f t="shared" si="8"/>
        <v/>
      </c>
      <c r="V1966" s="151" t="str">
        <f>IFERROR(VLOOKUP(C1966,Ativos!$A$1:$G2000,5,),)</f>
        <v/>
      </c>
    </row>
    <row r="1967" ht="21.0" customHeight="1">
      <c r="A1967" s="152"/>
      <c r="B1967" s="160"/>
      <c r="C1967" s="153"/>
      <c r="D1967" s="154"/>
      <c r="E1967" s="139"/>
      <c r="F1967" s="139"/>
      <c r="G1967" s="139"/>
      <c r="H1967" s="135"/>
      <c r="I1967" s="141"/>
      <c r="J1967" s="147" t="str">
        <f>IFERROR(__xludf.DUMMYFUNCTION("IF(ISBLANK(A1967),IFERROR(1/0),IF(COUNT(FILTER(F:F,A:A=A1967))&gt;1,TRUNC(N1967*F1967/SUM(FILTER(N:N,A:A=A1967)),3),F1967))"),"")</f>
        <v/>
      </c>
      <c r="K1967" s="147" t="str">
        <f>IFERROR(__xludf.DUMMYFUNCTION("IF(ISBLANK(A1967),IFERROR(1/0),IF(COUNT(FILTER(G:G,((A:A=A1967)*(B:B=""V""))))&gt;1,TRUNC(N1967*G1967/SUM(FILTER(N:N,((A:A=A1967)*(B:B=""V"")))),3),G1967))"),"")</f>
        <v/>
      </c>
      <c r="L1967" s="148" t="str">
        <f>IFERROR(__xludf.DUMMYFUNCTION("if($C1967="""","""",iferror(if(row()&lt;&gt;2,INDEX(arrayformula(filter($M$2:$M1966,$C$2:$C1966&lt;&gt;"""",row($C$2:$C1966)=max(if($C$2:$C1966=C1967,row($C$2:$C1966),0)))) ,1),0),0))"),"")</f>
        <v/>
      </c>
      <c r="M1967" s="148" t="str">
        <f t="shared" si="1"/>
        <v/>
      </c>
      <c r="N1967" s="147" t="str">
        <f t="shared" si="2"/>
        <v/>
      </c>
      <c r="O1967" s="147" t="str">
        <f t="shared" si="21"/>
        <v/>
      </c>
      <c r="P1967" s="147" t="str">
        <f>IFERROR(__xludf.DUMMYFUNCTION("if(C1967="""","""",iferror(if(row()&lt;&gt;2,INDEX(arrayformula(filter($Q$2:$Q1966,$C$2:$C1966&lt;&gt;"""",row($C$2:$C1966)=max(if($C$2:$C1966=C1967,row($C$2:$C1966),0)))) ,1),0),0))"),"")</f>
        <v/>
      </c>
      <c r="Q1967" s="147" t="str">
        <f t="shared" si="22"/>
        <v/>
      </c>
      <c r="R1967" s="147" t="str">
        <f t="shared" si="23"/>
        <v/>
      </c>
      <c r="S1967" s="147" t="str">
        <f t="shared" si="24"/>
        <v/>
      </c>
      <c r="T1967" s="147" t="str">
        <f t="shared" si="7"/>
        <v/>
      </c>
      <c r="U1967" s="150" t="str">
        <f t="shared" si="8"/>
        <v/>
      </c>
      <c r="V1967" s="151" t="str">
        <f>IFERROR(VLOOKUP(C1967,Ativos!$A$1:$G2000,5,),)</f>
        <v/>
      </c>
    </row>
    <row r="1968" ht="21.0" customHeight="1">
      <c r="A1968" s="152"/>
      <c r="B1968" s="160"/>
      <c r="C1968" s="153"/>
      <c r="D1968" s="154"/>
      <c r="E1968" s="139"/>
      <c r="F1968" s="139"/>
      <c r="G1968" s="139"/>
      <c r="H1968" s="135"/>
      <c r="I1968" s="141"/>
      <c r="J1968" s="147" t="str">
        <f>IFERROR(__xludf.DUMMYFUNCTION("IF(ISBLANK(A1968),IFERROR(1/0),IF(COUNT(FILTER(F:F,A:A=A1968))&gt;1,TRUNC(N1968*F1968/SUM(FILTER(N:N,A:A=A1968)),3),F1968))"),"")</f>
        <v/>
      </c>
      <c r="K1968" s="147" t="str">
        <f>IFERROR(__xludf.DUMMYFUNCTION("IF(ISBLANK(A1968),IFERROR(1/0),IF(COUNT(FILTER(G:G,((A:A=A1968)*(B:B=""V""))))&gt;1,TRUNC(N1968*G1968/SUM(FILTER(N:N,((A:A=A1968)*(B:B=""V"")))),3),G1968))"),"")</f>
        <v/>
      </c>
      <c r="L1968" s="148" t="str">
        <f>IFERROR(__xludf.DUMMYFUNCTION("if($C1968="""","""",iferror(if(row()&lt;&gt;2,INDEX(arrayformula(filter($M$2:$M1967,$C$2:$C1967&lt;&gt;"""",row($C$2:$C1967)=max(if($C$2:$C1967=C1968,row($C$2:$C1967),0)))) ,1),0),0))"),"")</f>
        <v/>
      </c>
      <c r="M1968" s="148" t="str">
        <f t="shared" si="1"/>
        <v/>
      </c>
      <c r="N1968" s="147" t="str">
        <f t="shared" si="2"/>
        <v/>
      </c>
      <c r="O1968" s="147" t="str">
        <f t="shared" si="21"/>
        <v/>
      </c>
      <c r="P1968" s="147" t="str">
        <f>IFERROR(__xludf.DUMMYFUNCTION("if(C1968="""","""",iferror(if(row()&lt;&gt;2,INDEX(arrayformula(filter($Q$2:$Q1967,$C$2:$C1967&lt;&gt;"""",row($C$2:$C1967)=max(if($C$2:$C1967=C1968,row($C$2:$C1967),0)))) ,1),0),0))"),"")</f>
        <v/>
      </c>
      <c r="Q1968" s="147" t="str">
        <f t="shared" si="22"/>
        <v/>
      </c>
      <c r="R1968" s="147" t="str">
        <f t="shared" si="23"/>
        <v/>
      </c>
      <c r="S1968" s="147" t="str">
        <f t="shared" si="24"/>
        <v/>
      </c>
      <c r="T1968" s="147" t="str">
        <f t="shared" si="7"/>
        <v/>
      </c>
      <c r="U1968" s="150" t="str">
        <f t="shared" si="8"/>
        <v/>
      </c>
      <c r="V1968" s="151" t="str">
        <f>IFERROR(VLOOKUP(C1968,Ativos!$A$1:$G2000,5,),)</f>
        <v/>
      </c>
    </row>
    <row r="1969" ht="21.0" customHeight="1">
      <c r="A1969" s="152"/>
      <c r="B1969" s="160"/>
      <c r="C1969" s="153"/>
      <c r="D1969" s="154"/>
      <c r="E1969" s="139"/>
      <c r="F1969" s="139"/>
      <c r="G1969" s="139"/>
      <c r="H1969" s="135"/>
      <c r="I1969" s="141"/>
      <c r="J1969" s="147" t="str">
        <f>IFERROR(__xludf.DUMMYFUNCTION("IF(ISBLANK(A1969),IFERROR(1/0),IF(COUNT(FILTER(F:F,A:A=A1969))&gt;1,TRUNC(N1969*F1969/SUM(FILTER(N:N,A:A=A1969)),3),F1969))"),"")</f>
        <v/>
      </c>
      <c r="K1969" s="147" t="str">
        <f>IFERROR(__xludf.DUMMYFUNCTION("IF(ISBLANK(A1969),IFERROR(1/0),IF(COUNT(FILTER(G:G,((A:A=A1969)*(B:B=""V""))))&gt;1,TRUNC(N1969*G1969/SUM(FILTER(N:N,((A:A=A1969)*(B:B=""V"")))),3),G1969))"),"")</f>
        <v/>
      </c>
      <c r="L1969" s="148" t="str">
        <f>IFERROR(__xludf.DUMMYFUNCTION("if($C1969="""","""",iferror(if(row()&lt;&gt;2,INDEX(arrayformula(filter($M$2:$M1968,$C$2:$C1968&lt;&gt;"""",row($C$2:$C1968)=max(if($C$2:$C1968=C1969,row($C$2:$C1968),0)))) ,1),0),0))"),"")</f>
        <v/>
      </c>
      <c r="M1969" s="148" t="str">
        <f t="shared" si="1"/>
        <v/>
      </c>
      <c r="N1969" s="147" t="str">
        <f t="shared" si="2"/>
        <v/>
      </c>
      <c r="O1969" s="147" t="str">
        <f t="shared" si="21"/>
        <v/>
      </c>
      <c r="P1969" s="147" t="str">
        <f>IFERROR(__xludf.DUMMYFUNCTION("if(C1969="""","""",iferror(if(row()&lt;&gt;2,INDEX(arrayformula(filter($Q$2:$Q1968,$C$2:$C1968&lt;&gt;"""",row($C$2:$C1968)=max(if($C$2:$C1968=C1969,row($C$2:$C1968),0)))) ,1),0),0))"),"")</f>
        <v/>
      </c>
      <c r="Q1969" s="147" t="str">
        <f t="shared" si="22"/>
        <v/>
      </c>
      <c r="R1969" s="147" t="str">
        <f t="shared" si="23"/>
        <v/>
      </c>
      <c r="S1969" s="147" t="str">
        <f t="shared" si="24"/>
        <v/>
      </c>
      <c r="T1969" s="147" t="str">
        <f t="shared" si="7"/>
        <v/>
      </c>
      <c r="U1969" s="150" t="str">
        <f t="shared" si="8"/>
        <v/>
      </c>
      <c r="V1969" s="151" t="str">
        <f>IFERROR(VLOOKUP(C1969,Ativos!$A$1:$G2000,5,),)</f>
        <v/>
      </c>
    </row>
    <row r="1970" ht="21.0" customHeight="1">
      <c r="A1970" s="152"/>
      <c r="B1970" s="160"/>
      <c r="C1970" s="153"/>
      <c r="D1970" s="154"/>
      <c r="E1970" s="139"/>
      <c r="F1970" s="139"/>
      <c r="G1970" s="139"/>
      <c r="H1970" s="135"/>
      <c r="I1970" s="141"/>
      <c r="J1970" s="147" t="str">
        <f>IFERROR(__xludf.DUMMYFUNCTION("IF(ISBLANK(A1970),IFERROR(1/0),IF(COUNT(FILTER(F:F,A:A=A1970))&gt;1,TRUNC(N1970*F1970/SUM(FILTER(N:N,A:A=A1970)),3),F1970))"),"")</f>
        <v/>
      </c>
      <c r="K1970" s="147" t="str">
        <f>IFERROR(__xludf.DUMMYFUNCTION("IF(ISBLANK(A1970),IFERROR(1/0),IF(COUNT(FILTER(G:G,((A:A=A1970)*(B:B=""V""))))&gt;1,TRUNC(N1970*G1970/SUM(FILTER(N:N,((A:A=A1970)*(B:B=""V"")))),3),G1970))"),"")</f>
        <v/>
      </c>
      <c r="L1970" s="148" t="str">
        <f>IFERROR(__xludf.DUMMYFUNCTION("if($C1970="""","""",iferror(if(row()&lt;&gt;2,INDEX(arrayformula(filter($M$2:$M1969,$C$2:$C1969&lt;&gt;"""",row($C$2:$C1969)=max(if($C$2:$C1969=C1970,row($C$2:$C1969),0)))) ,1),0),0))"),"")</f>
        <v/>
      </c>
      <c r="M1970" s="148" t="str">
        <f t="shared" si="1"/>
        <v/>
      </c>
      <c r="N1970" s="147" t="str">
        <f t="shared" si="2"/>
        <v/>
      </c>
      <c r="O1970" s="147" t="str">
        <f t="shared" si="21"/>
        <v/>
      </c>
      <c r="P1970" s="147" t="str">
        <f>IFERROR(__xludf.DUMMYFUNCTION("if(C1970="""","""",iferror(if(row()&lt;&gt;2,INDEX(arrayformula(filter($Q$2:$Q1969,$C$2:$C1969&lt;&gt;"""",row($C$2:$C1969)=max(if($C$2:$C1969=C1970,row($C$2:$C1969),0)))) ,1),0),0))"),"")</f>
        <v/>
      </c>
      <c r="Q1970" s="147" t="str">
        <f t="shared" si="22"/>
        <v/>
      </c>
      <c r="R1970" s="147" t="str">
        <f t="shared" si="23"/>
        <v/>
      </c>
      <c r="S1970" s="147" t="str">
        <f t="shared" si="24"/>
        <v/>
      </c>
      <c r="T1970" s="147" t="str">
        <f t="shared" si="7"/>
        <v/>
      </c>
      <c r="U1970" s="150" t="str">
        <f t="shared" si="8"/>
        <v/>
      </c>
      <c r="V1970" s="151" t="str">
        <f>IFERROR(VLOOKUP(C1970,Ativos!$A$1:$G2000,5,),)</f>
        <v/>
      </c>
    </row>
    <row r="1971" ht="21.0" customHeight="1">
      <c r="A1971" s="152"/>
      <c r="B1971" s="160"/>
      <c r="C1971" s="153"/>
      <c r="D1971" s="154"/>
      <c r="E1971" s="139"/>
      <c r="F1971" s="139"/>
      <c r="G1971" s="139"/>
      <c r="H1971" s="135"/>
      <c r="I1971" s="141"/>
      <c r="J1971" s="147" t="str">
        <f>IFERROR(__xludf.DUMMYFUNCTION("IF(ISBLANK(A1971),IFERROR(1/0),IF(COUNT(FILTER(F:F,A:A=A1971))&gt;1,TRUNC(N1971*F1971/SUM(FILTER(N:N,A:A=A1971)),3),F1971))"),"")</f>
        <v/>
      </c>
      <c r="K1971" s="147" t="str">
        <f>IFERROR(__xludf.DUMMYFUNCTION("IF(ISBLANK(A1971),IFERROR(1/0),IF(COUNT(FILTER(G:G,((A:A=A1971)*(B:B=""V""))))&gt;1,TRUNC(N1971*G1971/SUM(FILTER(N:N,((A:A=A1971)*(B:B=""V"")))),3),G1971))"),"")</f>
        <v/>
      </c>
      <c r="L1971" s="148" t="str">
        <f>IFERROR(__xludf.DUMMYFUNCTION("if($C1971="""","""",iferror(if(row()&lt;&gt;2,INDEX(arrayformula(filter($M$2:$M1970,$C$2:$C1970&lt;&gt;"""",row($C$2:$C1970)=max(if($C$2:$C1970=C1971,row($C$2:$C1970),0)))) ,1),0),0))"),"")</f>
        <v/>
      </c>
      <c r="M1971" s="148" t="str">
        <f t="shared" si="1"/>
        <v/>
      </c>
      <c r="N1971" s="147" t="str">
        <f t="shared" si="2"/>
        <v/>
      </c>
      <c r="O1971" s="147" t="str">
        <f t="shared" si="21"/>
        <v/>
      </c>
      <c r="P1971" s="147" t="str">
        <f>IFERROR(__xludf.DUMMYFUNCTION("if(C1971="""","""",iferror(if(row()&lt;&gt;2,INDEX(arrayformula(filter($Q$2:$Q1970,$C$2:$C1970&lt;&gt;"""",row($C$2:$C1970)=max(if($C$2:$C1970=C1971,row($C$2:$C1970),0)))) ,1),0),0))"),"")</f>
        <v/>
      </c>
      <c r="Q1971" s="147" t="str">
        <f t="shared" si="22"/>
        <v/>
      </c>
      <c r="R1971" s="147" t="str">
        <f t="shared" si="23"/>
        <v/>
      </c>
      <c r="S1971" s="147" t="str">
        <f t="shared" si="24"/>
        <v/>
      </c>
      <c r="T1971" s="147" t="str">
        <f t="shared" si="7"/>
        <v/>
      </c>
      <c r="U1971" s="150" t="str">
        <f t="shared" si="8"/>
        <v/>
      </c>
      <c r="V1971" s="151" t="str">
        <f>IFERROR(VLOOKUP(C1971,Ativos!$A$1:$G2000,5,),)</f>
        <v/>
      </c>
    </row>
    <row r="1972" ht="21.0" customHeight="1">
      <c r="A1972" s="152"/>
      <c r="B1972" s="160"/>
      <c r="C1972" s="153"/>
      <c r="D1972" s="154"/>
      <c r="E1972" s="139"/>
      <c r="F1972" s="139"/>
      <c r="G1972" s="139"/>
      <c r="H1972" s="135"/>
      <c r="I1972" s="141"/>
      <c r="J1972" s="147" t="str">
        <f>IFERROR(__xludf.DUMMYFUNCTION("IF(ISBLANK(A1972),IFERROR(1/0),IF(COUNT(FILTER(F:F,A:A=A1972))&gt;1,TRUNC(N1972*F1972/SUM(FILTER(N:N,A:A=A1972)),3),F1972))"),"")</f>
        <v/>
      </c>
      <c r="K1972" s="147" t="str">
        <f>IFERROR(__xludf.DUMMYFUNCTION("IF(ISBLANK(A1972),IFERROR(1/0),IF(COUNT(FILTER(G:G,((A:A=A1972)*(B:B=""V""))))&gt;1,TRUNC(N1972*G1972/SUM(FILTER(N:N,((A:A=A1972)*(B:B=""V"")))),3),G1972))"),"")</f>
        <v/>
      </c>
      <c r="L1972" s="148" t="str">
        <f>IFERROR(__xludf.DUMMYFUNCTION("if($C1972="""","""",iferror(if(row()&lt;&gt;2,INDEX(arrayformula(filter($M$2:$M1971,$C$2:$C1971&lt;&gt;"""",row($C$2:$C1971)=max(if($C$2:$C1971=C1972,row($C$2:$C1971),0)))) ,1),0),0))"),"")</f>
        <v/>
      </c>
      <c r="M1972" s="148" t="str">
        <f t="shared" si="1"/>
        <v/>
      </c>
      <c r="N1972" s="147" t="str">
        <f t="shared" si="2"/>
        <v/>
      </c>
      <c r="O1972" s="147" t="str">
        <f t="shared" si="21"/>
        <v/>
      </c>
      <c r="P1972" s="147" t="str">
        <f>IFERROR(__xludf.DUMMYFUNCTION("if(C1972="""","""",iferror(if(row()&lt;&gt;2,INDEX(arrayformula(filter($Q$2:$Q1971,$C$2:$C1971&lt;&gt;"""",row($C$2:$C1971)=max(if($C$2:$C1971=C1972,row($C$2:$C1971),0)))) ,1),0),0))"),"")</f>
        <v/>
      </c>
      <c r="Q1972" s="147" t="str">
        <f t="shared" si="22"/>
        <v/>
      </c>
      <c r="R1972" s="147" t="str">
        <f t="shared" si="23"/>
        <v/>
      </c>
      <c r="S1972" s="147" t="str">
        <f t="shared" si="24"/>
        <v/>
      </c>
      <c r="T1972" s="147" t="str">
        <f t="shared" si="7"/>
        <v/>
      </c>
      <c r="U1972" s="150" t="str">
        <f t="shared" si="8"/>
        <v/>
      </c>
      <c r="V1972" s="151" t="str">
        <f>IFERROR(VLOOKUP(C1972,Ativos!$A$1:$G2000,5,),)</f>
        <v/>
      </c>
    </row>
    <row r="1973" ht="21.0" customHeight="1">
      <c r="A1973" s="152"/>
      <c r="B1973" s="160"/>
      <c r="C1973" s="153"/>
      <c r="D1973" s="154"/>
      <c r="E1973" s="139"/>
      <c r="F1973" s="139"/>
      <c r="G1973" s="139"/>
      <c r="H1973" s="135"/>
      <c r="I1973" s="141"/>
      <c r="J1973" s="147" t="str">
        <f>IFERROR(__xludf.DUMMYFUNCTION("IF(ISBLANK(A1973),IFERROR(1/0),IF(COUNT(FILTER(F:F,A:A=A1973))&gt;1,TRUNC(N1973*F1973/SUM(FILTER(N:N,A:A=A1973)),3),F1973))"),"")</f>
        <v/>
      </c>
      <c r="K1973" s="147" t="str">
        <f>IFERROR(__xludf.DUMMYFUNCTION("IF(ISBLANK(A1973),IFERROR(1/0),IF(COUNT(FILTER(G:G,((A:A=A1973)*(B:B=""V""))))&gt;1,TRUNC(N1973*G1973/SUM(FILTER(N:N,((A:A=A1973)*(B:B=""V"")))),3),G1973))"),"")</f>
        <v/>
      </c>
      <c r="L1973" s="148" t="str">
        <f>IFERROR(__xludf.DUMMYFUNCTION("if($C1973="""","""",iferror(if(row()&lt;&gt;2,INDEX(arrayformula(filter($M$2:$M1972,$C$2:$C1972&lt;&gt;"""",row($C$2:$C1972)=max(if($C$2:$C1972=C1973,row($C$2:$C1972),0)))) ,1),0),0))"),"")</f>
        <v/>
      </c>
      <c r="M1973" s="148" t="str">
        <f t="shared" si="1"/>
        <v/>
      </c>
      <c r="N1973" s="147" t="str">
        <f t="shared" si="2"/>
        <v/>
      </c>
      <c r="O1973" s="147" t="str">
        <f t="shared" si="21"/>
        <v/>
      </c>
      <c r="P1973" s="147" t="str">
        <f>IFERROR(__xludf.DUMMYFUNCTION("if(C1973="""","""",iferror(if(row()&lt;&gt;2,INDEX(arrayformula(filter($Q$2:$Q1972,$C$2:$C1972&lt;&gt;"""",row($C$2:$C1972)=max(if($C$2:$C1972=C1973,row($C$2:$C1972),0)))) ,1),0),0))"),"")</f>
        <v/>
      </c>
      <c r="Q1973" s="147" t="str">
        <f t="shared" si="22"/>
        <v/>
      </c>
      <c r="R1973" s="147" t="str">
        <f t="shared" si="23"/>
        <v/>
      </c>
      <c r="S1973" s="147" t="str">
        <f t="shared" si="24"/>
        <v/>
      </c>
      <c r="T1973" s="147" t="str">
        <f t="shared" si="7"/>
        <v/>
      </c>
      <c r="U1973" s="150" t="str">
        <f t="shared" si="8"/>
        <v/>
      </c>
      <c r="V1973" s="151" t="str">
        <f>IFERROR(VLOOKUP(C1973,Ativos!$A$1:$G2000,5,),)</f>
        <v/>
      </c>
    </row>
    <row r="1974" ht="21.0" customHeight="1">
      <c r="A1974" s="152"/>
      <c r="B1974" s="160"/>
      <c r="C1974" s="153"/>
      <c r="D1974" s="154"/>
      <c r="E1974" s="139"/>
      <c r="F1974" s="139"/>
      <c r="G1974" s="139"/>
      <c r="H1974" s="135"/>
      <c r="I1974" s="141"/>
      <c r="J1974" s="147" t="str">
        <f>IFERROR(__xludf.DUMMYFUNCTION("IF(ISBLANK(A1974),IFERROR(1/0),IF(COUNT(FILTER(F:F,A:A=A1974))&gt;1,TRUNC(N1974*F1974/SUM(FILTER(N:N,A:A=A1974)),3),F1974))"),"")</f>
        <v/>
      </c>
      <c r="K1974" s="147" t="str">
        <f>IFERROR(__xludf.DUMMYFUNCTION("IF(ISBLANK(A1974),IFERROR(1/0),IF(COUNT(FILTER(G:G,((A:A=A1974)*(B:B=""V""))))&gt;1,TRUNC(N1974*G1974/SUM(FILTER(N:N,((A:A=A1974)*(B:B=""V"")))),3),G1974))"),"")</f>
        <v/>
      </c>
      <c r="L1974" s="148" t="str">
        <f>IFERROR(__xludf.DUMMYFUNCTION("if($C1974="""","""",iferror(if(row()&lt;&gt;2,INDEX(arrayformula(filter($M$2:$M1973,$C$2:$C1973&lt;&gt;"""",row($C$2:$C1973)=max(if($C$2:$C1973=C1974,row($C$2:$C1973),0)))) ,1),0),0))"),"")</f>
        <v/>
      </c>
      <c r="M1974" s="148" t="str">
        <f t="shared" si="1"/>
        <v/>
      </c>
      <c r="N1974" s="147" t="str">
        <f t="shared" si="2"/>
        <v/>
      </c>
      <c r="O1974" s="147" t="str">
        <f t="shared" si="21"/>
        <v/>
      </c>
      <c r="P1974" s="147" t="str">
        <f>IFERROR(__xludf.DUMMYFUNCTION("if(C1974="""","""",iferror(if(row()&lt;&gt;2,INDEX(arrayformula(filter($Q$2:$Q1973,$C$2:$C1973&lt;&gt;"""",row($C$2:$C1973)=max(if($C$2:$C1973=C1974,row($C$2:$C1973),0)))) ,1),0),0))"),"")</f>
        <v/>
      </c>
      <c r="Q1974" s="147" t="str">
        <f t="shared" si="22"/>
        <v/>
      </c>
      <c r="R1974" s="147" t="str">
        <f t="shared" si="23"/>
        <v/>
      </c>
      <c r="S1974" s="147" t="str">
        <f t="shared" si="24"/>
        <v/>
      </c>
      <c r="T1974" s="147" t="str">
        <f t="shared" si="7"/>
        <v/>
      </c>
      <c r="U1974" s="150" t="str">
        <f t="shared" si="8"/>
        <v/>
      </c>
      <c r="V1974" s="151" t="str">
        <f>IFERROR(VLOOKUP(C1974,Ativos!$A$1:$G2000,5,),)</f>
        <v/>
      </c>
    </row>
    <row r="1975" ht="21.0" customHeight="1">
      <c r="A1975" s="152"/>
      <c r="B1975" s="160"/>
      <c r="C1975" s="153"/>
      <c r="D1975" s="154"/>
      <c r="E1975" s="139"/>
      <c r="F1975" s="139"/>
      <c r="G1975" s="139"/>
      <c r="H1975" s="135"/>
      <c r="I1975" s="141"/>
      <c r="J1975" s="147" t="str">
        <f>IFERROR(__xludf.DUMMYFUNCTION("IF(ISBLANK(A1975),IFERROR(1/0),IF(COUNT(FILTER(F:F,A:A=A1975))&gt;1,TRUNC(N1975*F1975/SUM(FILTER(N:N,A:A=A1975)),3),F1975))"),"")</f>
        <v/>
      </c>
      <c r="K1975" s="147" t="str">
        <f>IFERROR(__xludf.DUMMYFUNCTION("IF(ISBLANK(A1975),IFERROR(1/0),IF(COUNT(FILTER(G:G,((A:A=A1975)*(B:B=""V""))))&gt;1,TRUNC(N1975*G1975/SUM(FILTER(N:N,((A:A=A1975)*(B:B=""V"")))),3),G1975))"),"")</f>
        <v/>
      </c>
      <c r="L1975" s="148" t="str">
        <f>IFERROR(__xludf.DUMMYFUNCTION("if($C1975="""","""",iferror(if(row()&lt;&gt;2,INDEX(arrayformula(filter($M$2:$M1974,$C$2:$C1974&lt;&gt;"""",row($C$2:$C1974)=max(if($C$2:$C1974=C1975,row($C$2:$C1974),0)))) ,1),0),0))"),"")</f>
        <v/>
      </c>
      <c r="M1975" s="148" t="str">
        <f t="shared" si="1"/>
        <v/>
      </c>
      <c r="N1975" s="147" t="str">
        <f t="shared" si="2"/>
        <v/>
      </c>
      <c r="O1975" s="147" t="str">
        <f t="shared" si="21"/>
        <v/>
      </c>
      <c r="P1975" s="147" t="str">
        <f>IFERROR(__xludf.DUMMYFUNCTION("if(C1975="""","""",iferror(if(row()&lt;&gt;2,INDEX(arrayformula(filter($Q$2:$Q1974,$C$2:$C1974&lt;&gt;"""",row($C$2:$C1974)=max(if($C$2:$C1974=C1975,row($C$2:$C1974),0)))) ,1),0),0))"),"")</f>
        <v/>
      </c>
      <c r="Q1975" s="147" t="str">
        <f t="shared" si="22"/>
        <v/>
      </c>
      <c r="R1975" s="147" t="str">
        <f t="shared" si="23"/>
        <v/>
      </c>
      <c r="S1975" s="147" t="str">
        <f t="shared" si="24"/>
        <v/>
      </c>
      <c r="T1975" s="147" t="str">
        <f t="shared" si="7"/>
        <v/>
      </c>
      <c r="U1975" s="150" t="str">
        <f t="shared" si="8"/>
        <v/>
      </c>
      <c r="V1975" s="151" t="str">
        <f>IFERROR(VLOOKUP(C1975,Ativos!$A$1:$G2000,5,),)</f>
        <v/>
      </c>
    </row>
    <row r="1976" ht="21.0" customHeight="1">
      <c r="A1976" s="152"/>
      <c r="B1976" s="160"/>
      <c r="C1976" s="153"/>
      <c r="D1976" s="154"/>
      <c r="E1976" s="139"/>
      <c r="F1976" s="139"/>
      <c r="G1976" s="139"/>
      <c r="H1976" s="135"/>
      <c r="I1976" s="141"/>
      <c r="J1976" s="147" t="str">
        <f>IFERROR(__xludf.DUMMYFUNCTION("IF(ISBLANK(A1976),IFERROR(1/0),IF(COUNT(FILTER(F:F,A:A=A1976))&gt;1,TRUNC(N1976*F1976/SUM(FILTER(N:N,A:A=A1976)),3),F1976))"),"")</f>
        <v/>
      </c>
      <c r="K1976" s="147" t="str">
        <f>IFERROR(__xludf.DUMMYFUNCTION("IF(ISBLANK(A1976),IFERROR(1/0),IF(COUNT(FILTER(G:G,((A:A=A1976)*(B:B=""V""))))&gt;1,TRUNC(N1976*G1976/SUM(FILTER(N:N,((A:A=A1976)*(B:B=""V"")))),3),G1976))"),"")</f>
        <v/>
      </c>
      <c r="L1976" s="148" t="str">
        <f>IFERROR(__xludf.DUMMYFUNCTION("if($C1976="""","""",iferror(if(row()&lt;&gt;2,INDEX(arrayformula(filter($M$2:$M1975,$C$2:$C1975&lt;&gt;"""",row($C$2:$C1975)=max(if($C$2:$C1975=C1976,row($C$2:$C1975),0)))) ,1),0),0))"),"")</f>
        <v/>
      </c>
      <c r="M1976" s="148" t="str">
        <f t="shared" si="1"/>
        <v/>
      </c>
      <c r="N1976" s="147" t="str">
        <f t="shared" si="2"/>
        <v/>
      </c>
      <c r="O1976" s="147" t="str">
        <f t="shared" si="21"/>
        <v/>
      </c>
      <c r="P1976" s="147" t="str">
        <f>IFERROR(__xludf.DUMMYFUNCTION("if(C1976="""","""",iferror(if(row()&lt;&gt;2,INDEX(arrayformula(filter($Q$2:$Q1975,$C$2:$C1975&lt;&gt;"""",row($C$2:$C1975)=max(if($C$2:$C1975=C1976,row($C$2:$C1975),0)))) ,1),0),0))"),"")</f>
        <v/>
      </c>
      <c r="Q1976" s="147" t="str">
        <f t="shared" si="22"/>
        <v/>
      </c>
      <c r="R1976" s="147" t="str">
        <f t="shared" si="23"/>
        <v/>
      </c>
      <c r="S1976" s="147" t="str">
        <f t="shared" si="24"/>
        <v/>
      </c>
      <c r="T1976" s="147" t="str">
        <f t="shared" si="7"/>
        <v/>
      </c>
      <c r="U1976" s="150" t="str">
        <f t="shared" si="8"/>
        <v/>
      </c>
      <c r="V1976" s="151" t="str">
        <f>IFERROR(VLOOKUP(C1976,Ativos!$A$1:$G2000,5,),)</f>
        <v/>
      </c>
    </row>
    <row r="1977" ht="21.0" customHeight="1">
      <c r="A1977" s="152"/>
      <c r="B1977" s="160"/>
      <c r="C1977" s="153"/>
      <c r="D1977" s="154"/>
      <c r="E1977" s="139"/>
      <c r="F1977" s="139"/>
      <c r="G1977" s="139"/>
      <c r="H1977" s="135"/>
      <c r="I1977" s="141"/>
      <c r="J1977" s="147" t="str">
        <f>IFERROR(__xludf.DUMMYFUNCTION("IF(ISBLANK(A1977),IFERROR(1/0),IF(COUNT(FILTER(F:F,A:A=A1977))&gt;1,TRUNC(N1977*F1977/SUM(FILTER(N:N,A:A=A1977)),3),F1977))"),"")</f>
        <v/>
      </c>
      <c r="K1977" s="147" t="str">
        <f>IFERROR(__xludf.DUMMYFUNCTION("IF(ISBLANK(A1977),IFERROR(1/0),IF(COUNT(FILTER(G:G,((A:A=A1977)*(B:B=""V""))))&gt;1,TRUNC(N1977*G1977/SUM(FILTER(N:N,((A:A=A1977)*(B:B=""V"")))),3),G1977))"),"")</f>
        <v/>
      </c>
      <c r="L1977" s="148" t="str">
        <f>IFERROR(__xludf.DUMMYFUNCTION("if($C1977="""","""",iferror(if(row()&lt;&gt;2,INDEX(arrayformula(filter($M$2:$M1976,$C$2:$C1976&lt;&gt;"""",row($C$2:$C1976)=max(if($C$2:$C1976=C1977,row($C$2:$C1976),0)))) ,1),0),0))"),"")</f>
        <v/>
      </c>
      <c r="M1977" s="148" t="str">
        <f t="shared" si="1"/>
        <v/>
      </c>
      <c r="N1977" s="147" t="str">
        <f t="shared" si="2"/>
        <v/>
      </c>
      <c r="O1977" s="147" t="str">
        <f t="shared" si="21"/>
        <v/>
      </c>
      <c r="P1977" s="147" t="str">
        <f>IFERROR(__xludf.DUMMYFUNCTION("if(C1977="""","""",iferror(if(row()&lt;&gt;2,INDEX(arrayformula(filter($Q$2:$Q1976,$C$2:$C1976&lt;&gt;"""",row($C$2:$C1976)=max(if($C$2:$C1976=C1977,row($C$2:$C1976),0)))) ,1),0),0))"),"")</f>
        <v/>
      </c>
      <c r="Q1977" s="147" t="str">
        <f t="shared" si="22"/>
        <v/>
      </c>
      <c r="R1977" s="147" t="str">
        <f t="shared" si="23"/>
        <v/>
      </c>
      <c r="S1977" s="147" t="str">
        <f t="shared" si="24"/>
        <v/>
      </c>
      <c r="T1977" s="147" t="str">
        <f t="shared" si="7"/>
        <v/>
      </c>
      <c r="U1977" s="150" t="str">
        <f t="shared" si="8"/>
        <v/>
      </c>
      <c r="V1977" s="151" t="str">
        <f>IFERROR(VLOOKUP(C1977,Ativos!$A$1:$G2000,5,),)</f>
        <v/>
      </c>
    </row>
    <row r="1978" ht="21.0" customHeight="1">
      <c r="A1978" s="152"/>
      <c r="B1978" s="160"/>
      <c r="C1978" s="153"/>
      <c r="D1978" s="154"/>
      <c r="E1978" s="139"/>
      <c r="F1978" s="139"/>
      <c r="G1978" s="139"/>
      <c r="H1978" s="135"/>
      <c r="I1978" s="141"/>
      <c r="J1978" s="147" t="str">
        <f>IFERROR(__xludf.DUMMYFUNCTION("IF(ISBLANK(A1978),IFERROR(1/0),IF(COUNT(FILTER(F:F,A:A=A1978))&gt;1,TRUNC(N1978*F1978/SUM(FILTER(N:N,A:A=A1978)),3),F1978))"),"")</f>
        <v/>
      </c>
      <c r="K1978" s="147" t="str">
        <f>IFERROR(__xludf.DUMMYFUNCTION("IF(ISBLANK(A1978),IFERROR(1/0),IF(COUNT(FILTER(G:G,((A:A=A1978)*(B:B=""V""))))&gt;1,TRUNC(N1978*G1978/SUM(FILTER(N:N,((A:A=A1978)*(B:B=""V"")))),3),G1978))"),"")</f>
        <v/>
      </c>
      <c r="L1978" s="148" t="str">
        <f>IFERROR(__xludf.DUMMYFUNCTION("if($C1978="""","""",iferror(if(row()&lt;&gt;2,INDEX(arrayformula(filter($M$2:$M1977,$C$2:$C1977&lt;&gt;"""",row($C$2:$C1977)=max(if($C$2:$C1977=C1978,row($C$2:$C1977),0)))) ,1),0),0))"),"")</f>
        <v/>
      </c>
      <c r="M1978" s="148" t="str">
        <f t="shared" si="1"/>
        <v/>
      </c>
      <c r="N1978" s="147" t="str">
        <f t="shared" si="2"/>
        <v/>
      </c>
      <c r="O1978" s="147" t="str">
        <f t="shared" si="21"/>
        <v/>
      </c>
      <c r="P1978" s="147" t="str">
        <f>IFERROR(__xludf.DUMMYFUNCTION("if(C1978="""","""",iferror(if(row()&lt;&gt;2,INDEX(arrayformula(filter($Q$2:$Q1977,$C$2:$C1977&lt;&gt;"""",row($C$2:$C1977)=max(if($C$2:$C1977=C1978,row($C$2:$C1977),0)))) ,1),0),0))"),"")</f>
        <v/>
      </c>
      <c r="Q1978" s="147" t="str">
        <f t="shared" si="22"/>
        <v/>
      </c>
      <c r="R1978" s="147" t="str">
        <f t="shared" si="23"/>
        <v/>
      </c>
      <c r="S1978" s="147" t="str">
        <f t="shared" si="24"/>
        <v/>
      </c>
      <c r="T1978" s="147" t="str">
        <f t="shared" si="7"/>
        <v/>
      </c>
      <c r="U1978" s="150" t="str">
        <f t="shared" si="8"/>
        <v/>
      </c>
      <c r="V1978" s="151" t="str">
        <f>IFERROR(VLOOKUP(C1978,Ativos!$A$1:$G2000,5,),)</f>
        <v/>
      </c>
    </row>
    <row r="1979" ht="21.0" customHeight="1">
      <c r="A1979" s="152"/>
      <c r="B1979" s="160"/>
      <c r="C1979" s="153"/>
      <c r="D1979" s="154"/>
      <c r="E1979" s="139"/>
      <c r="F1979" s="139"/>
      <c r="G1979" s="139"/>
      <c r="H1979" s="135"/>
      <c r="I1979" s="141"/>
      <c r="J1979" s="147" t="str">
        <f>IFERROR(__xludf.DUMMYFUNCTION("IF(ISBLANK(A1979),IFERROR(1/0),IF(COUNT(FILTER(F:F,A:A=A1979))&gt;1,TRUNC(N1979*F1979/SUM(FILTER(N:N,A:A=A1979)),3),F1979))"),"")</f>
        <v/>
      </c>
      <c r="K1979" s="147" t="str">
        <f>IFERROR(__xludf.DUMMYFUNCTION("IF(ISBLANK(A1979),IFERROR(1/0),IF(COUNT(FILTER(G:G,((A:A=A1979)*(B:B=""V""))))&gt;1,TRUNC(N1979*G1979/SUM(FILTER(N:N,((A:A=A1979)*(B:B=""V"")))),3),G1979))"),"")</f>
        <v/>
      </c>
      <c r="L1979" s="148" t="str">
        <f>IFERROR(__xludf.DUMMYFUNCTION("if($C1979="""","""",iferror(if(row()&lt;&gt;2,INDEX(arrayformula(filter($M$2:$M1978,$C$2:$C1978&lt;&gt;"""",row($C$2:$C1978)=max(if($C$2:$C1978=C1979,row($C$2:$C1978),0)))) ,1),0),0))"),"")</f>
        <v/>
      </c>
      <c r="M1979" s="148" t="str">
        <f t="shared" si="1"/>
        <v/>
      </c>
      <c r="N1979" s="147" t="str">
        <f t="shared" si="2"/>
        <v/>
      </c>
      <c r="O1979" s="147" t="str">
        <f t="shared" si="21"/>
        <v/>
      </c>
      <c r="P1979" s="147" t="str">
        <f>IFERROR(__xludf.DUMMYFUNCTION("if(C1979="""","""",iferror(if(row()&lt;&gt;2,INDEX(arrayformula(filter($Q$2:$Q1978,$C$2:$C1978&lt;&gt;"""",row($C$2:$C1978)=max(if($C$2:$C1978=C1979,row($C$2:$C1978),0)))) ,1),0),0))"),"")</f>
        <v/>
      </c>
      <c r="Q1979" s="147" t="str">
        <f t="shared" si="22"/>
        <v/>
      </c>
      <c r="R1979" s="147" t="str">
        <f t="shared" si="23"/>
        <v/>
      </c>
      <c r="S1979" s="147" t="str">
        <f t="shared" si="24"/>
        <v/>
      </c>
      <c r="T1979" s="147" t="str">
        <f t="shared" si="7"/>
        <v/>
      </c>
      <c r="U1979" s="150" t="str">
        <f t="shared" si="8"/>
        <v/>
      </c>
      <c r="V1979" s="151" t="str">
        <f>IFERROR(VLOOKUP(C1979,Ativos!$A$1:$G2000,5,),)</f>
        <v/>
      </c>
    </row>
    <row r="1980" ht="21.0" customHeight="1">
      <c r="A1980" s="152"/>
      <c r="B1980" s="160"/>
      <c r="C1980" s="153"/>
      <c r="D1980" s="154"/>
      <c r="E1980" s="139"/>
      <c r="F1980" s="139"/>
      <c r="G1980" s="139"/>
      <c r="H1980" s="135"/>
      <c r="I1980" s="141"/>
      <c r="J1980" s="147" t="str">
        <f>IFERROR(__xludf.DUMMYFUNCTION("IF(ISBLANK(A1980),IFERROR(1/0),IF(COUNT(FILTER(F:F,A:A=A1980))&gt;1,TRUNC(N1980*F1980/SUM(FILTER(N:N,A:A=A1980)),3),F1980))"),"")</f>
        <v/>
      </c>
      <c r="K1980" s="147" t="str">
        <f>IFERROR(__xludf.DUMMYFUNCTION("IF(ISBLANK(A1980),IFERROR(1/0),IF(COUNT(FILTER(G:G,((A:A=A1980)*(B:B=""V""))))&gt;1,TRUNC(N1980*G1980/SUM(FILTER(N:N,((A:A=A1980)*(B:B=""V"")))),3),G1980))"),"")</f>
        <v/>
      </c>
      <c r="L1980" s="148" t="str">
        <f>IFERROR(__xludf.DUMMYFUNCTION("if($C1980="""","""",iferror(if(row()&lt;&gt;2,INDEX(arrayformula(filter($M$2:$M1979,$C$2:$C1979&lt;&gt;"""",row($C$2:$C1979)=max(if($C$2:$C1979=C1980,row($C$2:$C1979),0)))) ,1),0),0))"),"")</f>
        <v/>
      </c>
      <c r="M1980" s="148" t="str">
        <f t="shared" si="1"/>
        <v/>
      </c>
      <c r="N1980" s="147" t="str">
        <f t="shared" si="2"/>
        <v/>
      </c>
      <c r="O1980" s="147" t="str">
        <f t="shared" si="21"/>
        <v/>
      </c>
      <c r="P1980" s="147" t="str">
        <f>IFERROR(__xludf.DUMMYFUNCTION("if(C1980="""","""",iferror(if(row()&lt;&gt;2,INDEX(arrayformula(filter($Q$2:$Q1979,$C$2:$C1979&lt;&gt;"""",row($C$2:$C1979)=max(if($C$2:$C1979=C1980,row($C$2:$C1979),0)))) ,1),0),0))"),"")</f>
        <v/>
      </c>
      <c r="Q1980" s="147" t="str">
        <f t="shared" si="22"/>
        <v/>
      </c>
      <c r="R1980" s="147" t="str">
        <f t="shared" si="23"/>
        <v/>
      </c>
      <c r="S1980" s="147" t="str">
        <f t="shared" si="24"/>
        <v/>
      </c>
      <c r="T1980" s="147" t="str">
        <f t="shared" si="7"/>
        <v/>
      </c>
      <c r="U1980" s="150" t="str">
        <f t="shared" si="8"/>
        <v/>
      </c>
      <c r="V1980" s="151" t="str">
        <f>IFERROR(VLOOKUP(C1980,Ativos!$A$1:$G2000,5,),)</f>
        <v/>
      </c>
    </row>
    <row r="1981" ht="21.0" customHeight="1">
      <c r="A1981" s="152"/>
      <c r="B1981" s="160"/>
      <c r="C1981" s="153"/>
      <c r="D1981" s="154"/>
      <c r="E1981" s="139"/>
      <c r="F1981" s="139"/>
      <c r="G1981" s="139"/>
      <c r="H1981" s="135"/>
      <c r="I1981" s="141"/>
      <c r="J1981" s="147" t="str">
        <f>IFERROR(__xludf.DUMMYFUNCTION("IF(ISBLANK(A1981),IFERROR(1/0),IF(COUNT(FILTER(F:F,A:A=A1981))&gt;1,TRUNC(N1981*F1981/SUM(FILTER(N:N,A:A=A1981)),3),F1981))"),"")</f>
        <v/>
      </c>
      <c r="K1981" s="147" t="str">
        <f>IFERROR(__xludf.DUMMYFUNCTION("IF(ISBLANK(A1981),IFERROR(1/0),IF(COUNT(FILTER(G:G,((A:A=A1981)*(B:B=""V""))))&gt;1,TRUNC(N1981*G1981/SUM(FILTER(N:N,((A:A=A1981)*(B:B=""V"")))),3),G1981))"),"")</f>
        <v/>
      </c>
      <c r="L1981" s="148" t="str">
        <f>IFERROR(__xludf.DUMMYFUNCTION("if($C1981="""","""",iferror(if(row()&lt;&gt;2,INDEX(arrayformula(filter($M$2:$M1980,$C$2:$C1980&lt;&gt;"""",row($C$2:$C1980)=max(if($C$2:$C1980=C1981,row($C$2:$C1980),0)))) ,1),0),0))"),"")</f>
        <v/>
      </c>
      <c r="M1981" s="148" t="str">
        <f t="shared" si="1"/>
        <v/>
      </c>
      <c r="N1981" s="147" t="str">
        <f t="shared" si="2"/>
        <v/>
      </c>
      <c r="O1981" s="147" t="str">
        <f t="shared" si="21"/>
        <v/>
      </c>
      <c r="P1981" s="147" t="str">
        <f>IFERROR(__xludf.DUMMYFUNCTION("if(C1981="""","""",iferror(if(row()&lt;&gt;2,INDEX(arrayformula(filter($Q$2:$Q1980,$C$2:$C1980&lt;&gt;"""",row($C$2:$C1980)=max(if($C$2:$C1980=C1981,row($C$2:$C1980),0)))) ,1),0),0))"),"")</f>
        <v/>
      </c>
      <c r="Q1981" s="147" t="str">
        <f t="shared" si="22"/>
        <v/>
      </c>
      <c r="R1981" s="147" t="str">
        <f t="shared" si="23"/>
        <v/>
      </c>
      <c r="S1981" s="147" t="str">
        <f t="shared" si="24"/>
        <v/>
      </c>
      <c r="T1981" s="147" t="str">
        <f t="shared" si="7"/>
        <v/>
      </c>
      <c r="U1981" s="150" t="str">
        <f t="shared" si="8"/>
        <v/>
      </c>
      <c r="V1981" s="151" t="str">
        <f>IFERROR(VLOOKUP(C1981,Ativos!$A$1:$G2000,5,),)</f>
        <v/>
      </c>
    </row>
    <row r="1982" ht="21.0" customHeight="1">
      <c r="A1982" s="152"/>
      <c r="B1982" s="160"/>
      <c r="C1982" s="153"/>
      <c r="D1982" s="154"/>
      <c r="E1982" s="139"/>
      <c r="F1982" s="139"/>
      <c r="G1982" s="139"/>
      <c r="H1982" s="135"/>
      <c r="I1982" s="141"/>
      <c r="J1982" s="147" t="str">
        <f>IFERROR(__xludf.DUMMYFUNCTION("IF(ISBLANK(A1982),IFERROR(1/0),IF(COUNT(FILTER(F:F,A:A=A1982))&gt;1,TRUNC(N1982*F1982/SUM(FILTER(N:N,A:A=A1982)),3),F1982))"),"")</f>
        <v/>
      </c>
      <c r="K1982" s="147" t="str">
        <f>IFERROR(__xludf.DUMMYFUNCTION("IF(ISBLANK(A1982),IFERROR(1/0),IF(COUNT(FILTER(G:G,((A:A=A1982)*(B:B=""V""))))&gt;1,TRUNC(N1982*G1982/SUM(FILTER(N:N,((A:A=A1982)*(B:B=""V"")))),3),G1982))"),"")</f>
        <v/>
      </c>
      <c r="L1982" s="148" t="str">
        <f>IFERROR(__xludf.DUMMYFUNCTION("if($C1982="""","""",iferror(if(row()&lt;&gt;2,INDEX(arrayformula(filter($M$2:$M1981,$C$2:$C1981&lt;&gt;"""",row($C$2:$C1981)=max(if($C$2:$C1981=C1982,row($C$2:$C1981),0)))) ,1),0),0))"),"")</f>
        <v/>
      </c>
      <c r="M1982" s="148" t="str">
        <f t="shared" si="1"/>
        <v/>
      </c>
      <c r="N1982" s="147" t="str">
        <f t="shared" si="2"/>
        <v/>
      </c>
      <c r="O1982" s="147" t="str">
        <f t="shared" si="21"/>
        <v/>
      </c>
      <c r="P1982" s="147" t="str">
        <f>IFERROR(__xludf.DUMMYFUNCTION("if(C1982="""","""",iferror(if(row()&lt;&gt;2,INDEX(arrayformula(filter($Q$2:$Q1981,$C$2:$C1981&lt;&gt;"""",row($C$2:$C1981)=max(if($C$2:$C1981=C1982,row($C$2:$C1981),0)))) ,1),0),0))"),"")</f>
        <v/>
      </c>
      <c r="Q1982" s="147" t="str">
        <f t="shared" si="22"/>
        <v/>
      </c>
      <c r="R1982" s="147" t="str">
        <f t="shared" si="23"/>
        <v/>
      </c>
      <c r="S1982" s="147" t="str">
        <f t="shared" si="24"/>
        <v/>
      </c>
      <c r="T1982" s="147" t="str">
        <f t="shared" si="7"/>
        <v/>
      </c>
      <c r="U1982" s="150" t="str">
        <f t="shared" si="8"/>
        <v/>
      </c>
      <c r="V1982" s="151" t="str">
        <f>IFERROR(VLOOKUP(C1982,Ativos!$A$1:$G2000,5,),)</f>
        <v/>
      </c>
    </row>
    <row r="1983" ht="21.0" customHeight="1">
      <c r="A1983" s="152"/>
      <c r="B1983" s="160"/>
      <c r="C1983" s="153"/>
      <c r="D1983" s="154"/>
      <c r="E1983" s="139"/>
      <c r="F1983" s="139"/>
      <c r="G1983" s="139"/>
      <c r="H1983" s="135"/>
      <c r="I1983" s="141"/>
      <c r="J1983" s="147" t="str">
        <f>IFERROR(__xludf.DUMMYFUNCTION("IF(ISBLANK(A1983),IFERROR(1/0),IF(COUNT(FILTER(F:F,A:A=A1983))&gt;1,TRUNC(N1983*F1983/SUM(FILTER(N:N,A:A=A1983)),3),F1983))"),"")</f>
        <v/>
      </c>
      <c r="K1983" s="147" t="str">
        <f>IFERROR(__xludf.DUMMYFUNCTION("IF(ISBLANK(A1983),IFERROR(1/0),IF(COUNT(FILTER(G:G,((A:A=A1983)*(B:B=""V""))))&gt;1,TRUNC(N1983*G1983/SUM(FILTER(N:N,((A:A=A1983)*(B:B=""V"")))),3),G1983))"),"")</f>
        <v/>
      </c>
      <c r="L1983" s="148" t="str">
        <f>IFERROR(__xludf.DUMMYFUNCTION("if($C1983="""","""",iferror(if(row()&lt;&gt;2,INDEX(arrayformula(filter($M$2:$M1982,$C$2:$C1982&lt;&gt;"""",row($C$2:$C1982)=max(if($C$2:$C1982=C1983,row($C$2:$C1982),0)))) ,1),0),0))"),"")</f>
        <v/>
      </c>
      <c r="M1983" s="148" t="str">
        <f t="shared" si="1"/>
        <v/>
      </c>
      <c r="N1983" s="147" t="str">
        <f t="shared" si="2"/>
        <v/>
      </c>
      <c r="O1983" s="147" t="str">
        <f t="shared" si="21"/>
        <v/>
      </c>
      <c r="P1983" s="147" t="str">
        <f>IFERROR(__xludf.DUMMYFUNCTION("if(C1983="""","""",iferror(if(row()&lt;&gt;2,INDEX(arrayformula(filter($Q$2:$Q1982,$C$2:$C1982&lt;&gt;"""",row($C$2:$C1982)=max(if($C$2:$C1982=C1983,row($C$2:$C1982),0)))) ,1),0),0))"),"")</f>
        <v/>
      </c>
      <c r="Q1983" s="147" t="str">
        <f t="shared" si="22"/>
        <v/>
      </c>
      <c r="R1983" s="147" t="str">
        <f t="shared" si="23"/>
        <v/>
      </c>
      <c r="S1983" s="147" t="str">
        <f t="shared" si="24"/>
        <v/>
      </c>
      <c r="T1983" s="147" t="str">
        <f t="shared" si="7"/>
        <v/>
      </c>
      <c r="U1983" s="150" t="str">
        <f t="shared" si="8"/>
        <v/>
      </c>
      <c r="V1983" s="151" t="str">
        <f>IFERROR(VLOOKUP(C1983,Ativos!$A$1:$G2000,5,),)</f>
        <v/>
      </c>
    </row>
    <row r="1984" ht="21.0" customHeight="1">
      <c r="A1984" s="152"/>
      <c r="B1984" s="160"/>
      <c r="C1984" s="153"/>
      <c r="D1984" s="154"/>
      <c r="E1984" s="139"/>
      <c r="F1984" s="139"/>
      <c r="G1984" s="139"/>
      <c r="H1984" s="135"/>
      <c r="I1984" s="141"/>
      <c r="J1984" s="147" t="str">
        <f>IFERROR(__xludf.DUMMYFUNCTION("IF(ISBLANK(A1984),IFERROR(1/0),IF(COUNT(FILTER(F:F,A:A=A1984))&gt;1,TRUNC(N1984*F1984/SUM(FILTER(N:N,A:A=A1984)),3),F1984))"),"")</f>
        <v/>
      </c>
      <c r="K1984" s="147" t="str">
        <f>IFERROR(__xludf.DUMMYFUNCTION("IF(ISBLANK(A1984),IFERROR(1/0),IF(COUNT(FILTER(G:G,((A:A=A1984)*(B:B=""V""))))&gt;1,TRUNC(N1984*G1984/SUM(FILTER(N:N,((A:A=A1984)*(B:B=""V"")))),3),G1984))"),"")</f>
        <v/>
      </c>
      <c r="L1984" s="148" t="str">
        <f>IFERROR(__xludf.DUMMYFUNCTION("if($C1984="""","""",iferror(if(row()&lt;&gt;2,INDEX(arrayformula(filter($M$2:$M1983,$C$2:$C1983&lt;&gt;"""",row($C$2:$C1983)=max(if($C$2:$C1983=C1984,row($C$2:$C1983),0)))) ,1),0),0))"),"")</f>
        <v/>
      </c>
      <c r="M1984" s="148" t="str">
        <f t="shared" si="1"/>
        <v/>
      </c>
      <c r="N1984" s="147" t="str">
        <f t="shared" si="2"/>
        <v/>
      </c>
      <c r="O1984" s="147" t="str">
        <f t="shared" si="21"/>
        <v/>
      </c>
      <c r="P1984" s="147" t="str">
        <f>IFERROR(__xludf.DUMMYFUNCTION("if(C1984="""","""",iferror(if(row()&lt;&gt;2,INDEX(arrayformula(filter($Q$2:$Q1983,$C$2:$C1983&lt;&gt;"""",row($C$2:$C1983)=max(if($C$2:$C1983=C1984,row($C$2:$C1983),0)))) ,1),0),0))"),"")</f>
        <v/>
      </c>
      <c r="Q1984" s="147" t="str">
        <f t="shared" si="22"/>
        <v/>
      </c>
      <c r="R1984" s="147" t="str">
        <f t="shared" si="23"/>
        <v/>
      </c>
      <c r="S1984" s="147" t="str">
        <f t="shared" si="24"/>
        <v/>
      </c>
      <c r="T1984" s="147" t="str">
        <f t="shared" si="7"/>
        <v/>
      </c>
      <c r="U1984" s="150" t="str">
        <f t="shared" si="8"/>
        <v/>
      </c>
      <c r="V1984" s="151" t="str">
        <f>IFERROR(VLOOKUP(C1984,Ativos!$A$1:$G2000,5,),)</f>
        <v/>
      </c>
    </row>
    <row r="1985" ht="21.0" customHeight="1">
      <c r="A1985" s="152"/>
      <c r="B1985" s="160"/>
      <c r="C1985" s="153"/>
      <c r="D1985" s="154"/>
      <c r="E1985" s="139"/>
      <c r="F1985" s="139"/>
      <c r="G1985" s="139"/>
      <c r="H1985" s="135"/>
      <c r="I1985" s="141"/>
      <c r="J1985" s="147" t="str">
        <f>IFERROR(__xludf.DUMMYFUNCTION("IF(ISBLANK(A1985),IFERROR(1/0),IF(COUNT(FILTER(F:F,A:A=A1985))&gt;1,TRUNC(N1985*F1985/SUM(FILTER(N:N,A:A=A1985)),3),F1985))"),"")</f>
        <v/>
      </c>
      <c r="K1985" s="147" t="str">
        <f>IFERROR(__xludf.DUMMYFUNCTION("IF(ISBLANK(A1985),IFERROR(1/0),IF(COUNT(FILTER(G:G,((A:A=A1985)*(B:B=""V""))))&gt;1,TRUNC(N1985*G1985/SUM(FILTER(N:N,((A:A=A1985)*(B:B=""V"")))),3),G1985))"),"")</f>
        <v/>
      </c>
      <c r="L1985" s="148" t="str">
        <f>IFERROR(__xludf.DUMMYFUNCTION("if($C1985="""","""",iferror(if(row()&lt;&gt;2,INDEX(arrayformula(filter($M$2:$M1984,$C$2:$C1984&lt;&gt;"""",row($C$2:$C1984)=max(if($C$2:$C1984=C1985,row($C$2:$C1984),0)))) ,1),0),0))"),"")</f>
        <v/>
      </c>
      <c r="M1985" s="148" t="str">
        <f t="shared" si="1"/>
        <v/>
      </c>
      <c r="N1985" s="147" t="str">
        <f t="shared" si="2"/>
        <v/>
      </c>
      <c r="O1985" s="147" t="str">
        <f t="shared" si="21"/>
        <v/>
      </c>
      <c r="P1985" s="147" t="str">
        <f>IFERROR(__xludf.DUMMYFUNCTION("if(C1985="""","""",iferror(if(row()&lt;&gt;2,INDEX(arrayformula(filter($Q$2:$Q1984,$C$2:$C1984&lt;&gt;"""",row($C$2:$C1984)=max(if($C$2:$C1984=C1985,row($C$2:$C1984),0)))) ,1),0),0))"),"")</f>
        <v/>
      </c>
      <c r="Q1985" s="147" t="str">
        <f t="shared" si="22"/>
        <v/>
      </c>
      <c r="R1985" s="147" t="str">
        <f t="shared" si="23"/>
        <v/>
      </c>
      <c r="S1985" s="147" t="str">
        <f t="shared" si="24"/>
        <v/>
      </c>
      <c r="T1985" s="147" t="str">
        <f t="shared" si="7"/>
        <v/>
      </c>
      <c r="U1985" s="150" t="str">
        <f t="shared" si="8"/>
        <v/>
      </c>
      <c r="V1985" s="151" t="str">
        <f>IFERROR(VLOOKUP(C1985,Ativos!$A$1:$G2000,5,),)</f>
        <v/>
      </c>
    </row>
    <row r="1986" ht="21.0" customHeight="1">
      <c r="A1986" s="152"/>
      <c r="B1986" s="160"/>
      <c r="C1986" s="153"/>
      <c r="D1986" s="154"/>
      <c r="E1986" s="139"/>
      <c r="F1986" s="139"/>
      <c r="G1986" s="139"/>
      <c r="H1986" s="135"/>
      <c r="I1986" s="141"/>
      <c r="J1986" s="147" t="str">
        <f>IFERROR(__xludf.DUMMYFUNCTION("IF(ISBLANK(A1986),IFERROR(1/0),IF(COUNT(FILTER(F:F,A:A=A1986))&gt;1,TRUNC(N1986*F1986/SUM(FILTER(N:N,A:A=A1986)),3),F1986))"),"")</f>
        <v/>
      </c>
      <c r="K1986" s="147" t="str">
        <f>IFERROR(__xludf.DUMMYFUNCTION("IF(ISBLANK(A1986),IFERROR(1/0),IF(COUNT(FILTER(G:G,((A:A=A1986)*(B:B=""V""))))&gt;1,TRUNC(N1986*G1986/SUM(FILTER(N:N,((A:A=A1986)*(B:B=""V"")))),3),G1986))"),"")</f>
        <v/>
      </c>
      <c r="L1986" s="148" t="str">
        <f>IFERROR(__xludf.DUMMYFUNCTION("if($C1986="""","""",iferror(if(row()&lt;&gt;2,INDEX(arrayformula(filter($M$2:$M1985,$C$2:$C1985&lt;&gt;"""",row($C$2:$C1985)=max(if($C$2:$C1985=C1986,row($C$2:$C1985),0)))) ,1),0),0))"),"")</f>
        <v/>
      </c>
      <c r="M1986" s="148" t="str">
        <f t="shared" si="1"/>
        <v/>
      </c>
      <c r="N1986" s="147" t="str">
        <f t="shared" si="2"/>
        <v/>
      </c>
      <c r="O1986" s="147" t="str">
        <f t="shared" si="21"/>
        <v/>
      </c>
      <c r="P1986" s="147" t="str">
        <f>IFERROR(__xludf.DUMMYFUNCTION("if(C1986="""","""",iferror(if(row()&lt;&gt;2,INDEX(arrayformula(filter($Q$2:$Q1985,$C$2:$C1985&lt;&gt;"""",row($C$2:$C1985)=max(if($C$2:$C1985=C1986,row($C$2:$C1985),0)))) ,1),0),0))"),"")</f>
        <v/>
      </c>
      <c r="Q1986" s="147" t="str">
        <f t="shared" si="22"/>
        <v/>
      </c>
      <c r="R1986" s="147" t="str">
        <f t="shared" si="23"/>
        <v/>
      </c>
      <c r="S1986" s="147" t="str">
        <f t="shared" si="24"/>
        <v/>
      </c>
      <c r="T1986" s="147" t="str">
        <f t="shared" si="7"/>
        <v/>
      </c>
      <c r="U1986" s="150" t="str">
        <f t="shared" si="8"/>
        <v/>
      </c>
      <c r="V1986" s="151" t="str">
        <f>IFERROR(VLOOKUP(C1986,Ativos!$A$1:$G2000,5,),)</f>
        <v/>
      </c>
    </row>
    <row r="1987" ht="21.0" customHeight="1">
      <c r="A1987" s="152"/>
      <c r="B1987" s="160"/>
      <c r="C1987" s="153"/>
      <c r="D1987" s="154"/>
      <c r="E1987" s="139"/>
      <c r="F1987" s="139"/>
      <c r="G1987" s="139"/>
      <c r="H1987" s="135"/>
      <c r="I1987" s="141"/>
      <c r="J1987" s="147" t="str">
        <f>IFERROR(__xludf.DUMMYFUNCTION("IF(ISBLANK(A1987),IFERROR(1/0),IF(COUNT(FILTER(F:F,A:A=A1987))&gt;1,TRUNC(N1987*F1987/SUM(FILTER(N:N,A:A=A1987)),3),F1987))"),"")</f>
        <v/>
      </c>
      <c r="K1987" s="147" t="str">
        <f>IFERROR(__xludf.DUMMYFUNCTION("IF(ISBLANK(A1987),IFERROR(1/0),IF(COUNT(FILTER(G:G,((A:A=A1987)*(B:B=""V""))))&gt;1,TRUNC(N1987*G1987/SUM(FILTER(N:N,((A:A=A1987)*(B:B=""V"")))),3),G1987))"),"")</f>
        <v/>
      </c>
      <c r="L1987" s="148" t="str">
        <f>IFERROR(__xludf.DUMMYFUNCTION("if($C1987="""","""",iferror(if(row()&lt;&gt;2,INDEX(arrayformula(filter($M$2:$M1986,$C$2:$C1986&lt;&gt;"""",row($C$2:$C1986)=max(if($C$2:$C1986=C1987,row($C$2:$C1986),0)))) ,1),0),0))"),"")</f>
        <v/>
      </c>
      <c r="M1987" s="148" t="str">
        <f t="shared" si="1"/>
        <v/>
      </c>
      <c r="N1987" s="147" t="str">
        <f t="shared" si="2"/>
        <v/>
      </c>
      <c r="O1987" s="147" t="str">
        <f t="shared" si="21"/>
        <v/>
      </c>
      <c r="P1987" s="147" t="str">
        <f>IFERROR(__xludf.DUMMYFUNCTION("if(C1987="""","""",iferror(if(row()&lt;&gt;2,INDEX(arrayformula(filter($Q$2:$Q1986,$C$2:$C1986&lt;&gt;"""",row($C$2:$C1986)=max(if($C$2:$C1986=C1987,row($C$2:$C1986),0)))) ,1),0),0))"),"")</f>
        <v/>
      </c>
      <c r="Q1987" s="147" t="str">
        <f t="shared" si="22"/>
        <v/>
      </c>
      <c r="R1987" s="147" t="str">
        <f t="shared" si="23"/>
        <v/>
      </c>
      <c r="S1987" s="147" t="str">
        <f t="shared" si="24"/>
        <v/>
      </c>
      <c r="T1987" s="147" t="str">
        <f t="shared" si="7"/>
        <v/>
      </c>
      <c r="U1987" s="150" t="str">
        <f t="shared" si="8"/>
        <v/>
      </c>
      <c r="V1987" s="151" t="str">
        <f>IFERROR(VLOOKUP(C1987,Ativos!$A$1:$G2000,5,),)</f>
        <v/>
      </c>
    </row>
    <row r="1988" ht="21.0" customHeight="1">
      <c r="A1988" s="152"/>
      <c r="B1988" s="160"/>
      <c r="C1988" s="153"/>
      <c r="D1988" s="154"/>
      <c r="E1988" s="139"/>
      <c r="F1988" s="139"/>
      <c r="G1988" s="139"/>
      <c r="H1988" s="135"/>
      <c r="I1988" s="141"/>
      <c r="J1988" s="147" t="str">
        <f>IFERROR(__xludf.DUMMYFUNCTION("IF(ISBLANK(A1988),IFERROR(1/0),IF(COUNT(FILTER(F:F,A:A=A1988))&gt;1,TRUNC(N1988*F1988/SUM(FILTER(N:N,A:A=A1988)),3),F1988))"),"")</f>
        <v/>
      </c>
      <c r="K1988" s="147" t="str">
        <f>IFERROR(__xludf.DUMMYFUNCTION("IF(ISBLANK(A1988),IFERROR(1/0),IF(COUNT(FILTER(G:G,((A:A=A1988)*(B:B=""V""))))&gt;1,TRUNC(N1988*G1988/SUM(FILTER(N:N,((A:A=A1988)*(B:B=""V"")))),3),G1988))"),"")</f>
        <v/>
      </c>
      <c r="L1988" s="148" t="str">
        <f>IFERROR(__xludf.DUMMYFUNCTION("if($C1988="""","""",iferror(if(row()&lt;&gt;2,INDEX(arrayformula(filter($M$2:$M1987,$C$2:$C1987&lt;&gt;"""",row($C$2:$C1987)=max(if($C$2:$C1987=C1988,row($C$2:$C1987),0)))) ,1),0),0))"),"")</f>
        <v/>
      </c>
      <c r="M1988" s="148" t="str">
        <f t="shared" si="1"/>
        <v/>
      </c>
      <c r="N1988" s="147" t="str">
        <f t="shared" si="2"/>
        <v/>
      </c>
      <c r="O1988" s="147" t="str">
        <f t="shared" si="21"/>
        <v/>
      </c>
      <c r="P1988" s="147" t="str">
        <f>IFERROR(__xludf.DUMMYFUNCTION("if(C1988="""","""",iferror(if(row()&lt;&gt;2,INDEX(arrayformula(filter($Q$2:$Q1987,$C$2:$C1987&lt;&gt;"""",row($C$2:$C1987)=max(if($C$2:$C1987=C1988,row($C$2:$C1987),0)))) ,1),0),0))"),"")</f>
        <v/>
      </c>
      <c r="Q1988" s="147" t="str">
        <f t="shared" si="22"/>
        <v/>
      </c>
      <c r="R1988" s="147" t="str">
        <f t="shared" si="23"/>
        <v/>
      </c>
      <c r="S1988" s="147" t="str">
        <f t="shared" si="24"/>
        <v/>
      </c>
      <c r="T1988" s="147" t="str">
        <f t="shared" si="7"/>
        <v/>
      </c>
      <c r="U1988" s="150" t="str">
        <f t="shared" si="8"/>
        <v/>
      </c>
      <c r="V1988" s="151" t="str">
        <f>IFERROR(VLOOKUP(C1988,Ativos!$A$1:$G2000,5,),)</f>
        <v/>
      </c>
    </row>
    <row r="1989" ht="21.0" customHeight="1">
      <c r="A1989" s="152"/>
      <c r="B1989" s="160"/>
      <c r="C1989" s="153"/>
      <c r="D1989" s="154"/>
      <c r="E1989" s="139"/>
      <c r="F1989" s="139"/>
      <c r="G1989" s="139"/>
      <c r="H1989" s="135"/>
      <c r="I1989" s="141"/>
      <c r="J1989" s="147" t="str">
        <f>IFERROR(__xludf.DUMMYFUNCTION("IF(ISBLANK(A1989),IFERROR(1/0),IF(COUNT(FILTER(F:F,A:A=A1989))&gt;1,TRUNC(N1989*F1989/SUM(FILTER(N:N,A:A=A1989)),3),F1989))"),"")</f>
        <v/>
      </c>
      <c r="K1989" s="147" t="str">
        <f>IFERROR(__xludf.DUMMYFUNCTION("IF(ISBLANK(A1989),IFERROR(1/0),IF(COUNT(FILTER(G:G,((A:A=A1989)*(B:B=""V""))))&gt;1,TRUNC(N1989*G1989/SUM(FILTER(N:N,((A:A=A1989)*(B:B=""V"")))),3),G1989))"),"")</f>
        <v/>
      </c>
      <c r="L1989" s="148" t="str">
        <f>IFERROR(__xludf.DUMMYFUNCTION("if($C1989="""","""",iferror(if(row()&lt;&gt;2,INDEX(arrayformula(filter($M$2:$M1988,$C$2:$C1988&lt;&gt;"""",row($C$2:$C1988)=max(if($C$2:$C1988=C1989,row($C$2:$C1988),0)))) ,1),0),0))"),"")</f>
        <v/>
      </c>
      <c r="M1989" s="148" t="str">
        <f t="shared" si="1"/>
        <v/>
      </c>
      <c r="N1989" s="147" t="str">
        <f t="shared" si="2"/>
        <v/>
      </c>
      <c r="O1989" s="147" t="str">
        <f t="shared" si="21"/>
        <v/>
      </c>
      <c r="P1989" s="147" t="str">
        <f>IFERROR(__xludf.DUMMYFUNCTION("if(C1989="""","""",iferror(if(row()&lt;&gt;2,INDEX(arrayformula(filter($Q$2:$Q1988,$C$2:$C1988&lt;&gt;"""",row($C$2:$C1988)=max(if($C$2:$C1988=C1989,row($C$2:$C1988),0)))) ,1),0),0))"),"")</f>
        <v/>
      </c>
      <c r="Q1989" s="147" t="str">
        <f t="shared" si="22"/>
        <v/>
      </c>
      <c r="R1989" s="147" t="str">
        <f t="shared" si="23"/>
        <v/>
      </c>
      <c r="S1989" s="147" t="str">
        <f t="shared" si="24"/>
        <v/>
      </c>
      <c r="T1989" s="147" t="str">
        <f t="shared" si="7"/>
        <v/>
      </c>
      <c r="U1989" s="150" t="str">
        <f t="shared" si="8"/>
        <v/>
      </c>
      <c r="V1989" s="151" t="str">
        <f>IFERROR(VLOOKUP(C1989,Ativos!$A$1:$G2000,5,),)</f>
        <v/>
      </c>
    </row>
    <row r="1990" ht="21.0" customHeight="1">
      <c r="A1990" s="152"/>
      <c r="B1990" s="160"/>
      <c r="C1990" s="153"/>
      <c r="D1990" s="154"/>
      <c r="E1990" s="139"/>
      <c r="F1990" s="139"/>
      <c r="G1990" s="139"/>
      <c r="H1990" s="135"/>
      <c r="I1990" s="141"/>
      <c r="J1990" s="147" t="str">
        <f>IFERROR(__xludf.DUMMYFUNCTION("IF(ISBLANK(A1990),IFERROR(1/0),IF(COUNT(FILTER(F:F,A:A=A1990))&gt;1,TRUNC(N1990*F1990/SUM(FILTER(N:N,A:A=A1990)),3),F1990))"),"")</f>
        <v/>
      </c>
      <c r="K1990" s="147" t="str">
        <f>IFERROR(__xludf.DUMMYFUNCTION("IF(ISBLANK(A1990),IFERROR(1/0),IF(COUNT(FILTER(G:G,((A:A=A1990)*(B:B=""V""))))&gt;1,TRUNC(N1990*G1990/SUM(FILTER(N:N,((A:A=A1990)*(B:B=""V"")))),3),G1990))"),"")</f>
        <v/>
      </c>
      <c r="L1990" s="148" t="str">
        <f>IFERROR(__xludf.DUMMYFUNCTION("if($C1990="""","""",iferror(if(row()&lt;&gt;2,INDEX(arrayformula(filter($M$2:$M1989,$C$2:$C1989&lt;&gt;"""",row($C$2:$C1989)=max(if($C$2:$C1989=C1990,row($C$2:$C1989),0)))) ,1),0),0))"),"")</f>
        <v/>
      </c>
      <c r="M1990" s="148" t="str">
        <f t="shared" si="1"/>
        <v/>
      </c>
      <c r="N1990" s="147" t="str">
        <f t="shared" si="2"/>
        <v/>
      </c>
      <c r="O1990" s="147" t="str">
        <f t="shared" si="21"/>
        <v/>
      </c>
      <c r="P1990" s="147" t="str">
        <f>IFERROR(__xludf.DUMMYFUNCTION("if(C1990="""","""",iferror(if(row()&lt;&gt;2,INDEX(arrayformula(filter($Q$2:$Q1989,$C$2:$C1989&lt;&gt;"""",row($C$2:$C1989)=max(if($C$2:$C1989=C1990,row($C$2:$C1989),0)))) ,1),0),0))"),"")</f>
        <v/>
      </c>
      <c r="Q1990" s="147" t="str">
        <f t="shared" si="22"/>
        <v/>
      </c>
      <c r="R1990" s="147" t="str">
        <f t="shared" si="23"/>
        <v/>
      </c>
      <c r="S1990" s="147" t="str">
        <f t="shared" si="24"/>
        <v/>
      </c>
      <c r="T1990" s="147" t="str">
        <f t="shared" si="7"/>
        <v/>
      </c>
      <c r="U1990" s="150" t="str">
        <f t="shared" si="8"/>
        <v/>
      </c>
      <c r="V1990" s="151" t="str">
        <f>IFERROR(VLOOKUP(C1990,Ativos!$A$1:$G2000,5,),)</f>
        <v/>
      </c>
    </row>
    <row r="1991" ht="21.0" customHeight="1">
      <c r="A1991" s="152"/>
      <c r="B1991" s="160"/>
      <c r="C1991" s="153"/>
      <c r="D1991" s="154"/>
      <c r="E1991" s="139"/>
      <c r="F1991" s="139"/>
      <c r="G1991" s="139"/>
      <c r="H1991" s="135"/>
      <c r="I1991" s="141"/>
      <c r="J1991" s="147" t="str">
        <f>IFERROR(__xludf.DUMMYFUNCTION("IF(ISBLANK(A1991),IFERROR(1/0),IF(COUNT(FILTER(F:F,A:A=A1991))&gt;1,TRUNC(N1991*F1991/SUM(FILTER(N:N,A:A=A1991)),3),F1991))"),"")</f>
        <v/>
      </c>
      <c r="K1991" s="147" t="str">
        <f>IFERROR(__xludf.DUMMYFUNCTION("IF(ISBLANK(A1991),IFERROR(1/0),IF(COUNT(FILTER(G:G,((A:A=A1991)*(B:B=""V""))))&gt;1,TRUNC(N1991*G1991/SUM(FILTER(N:N,((A:A=A1991)*(B:B=""V"")))),3),G1991))"),"")</f>
        <v/>
      </c>
      <c r="L1991" s="148" t="str">
        <f>IFERROR(__xludf.DUMMYFUNCTION("if($C1991="""","""",iferror(if(row()&lt;&gt;2,INDEX(arrayformula(filter($M$2:$M1990,$C$2:$C1990&lt;&gt;"""",row($C$2:$C1990)=max(if($C$2:$C1990=C1991,row($C$2:$C1990),0)))) ,1),0),0))"),"")</f>
        <v/>
      </c>
      <c r="M1991" s="148" t="str">
        <f t="shared" si="1"/>
        <v/>
      </c>
      <c r="N1991" s="147" t="str">
        <f t="shared" si="2"/>
        <v/>
      </c>
      <c r="O1991" s="147" t="str">
        <f t="shared" si="21"/>
        <v/>
      </c>
      <c r="P1991" s="147" t="str">
        <f>IFERROR(__xludf.DUMMYFUNCTION("if(C1991="""","""",iferror(if(row()&lt;&gt;2,INDEX(arrayformula(filter($Q$2:$Q1990,$C$2:$C1990&lt;&gt;"""",row($C$2:$C1990)=max(if($C$2:$C1990=C1991,row($C$2:$C1990),0)))) ,1),0),0))"),"")</f>
        <v/>
      </c>
      <c r="Q1991" s="147" t="str">
        <f t="shared" si="22"/>
        <v/>
      </c>
      <c r="R1991" s="147" t="str">
        <f t="shared" si="23"/>
        <v/>
      </c>
      <c r="S1991" s="147" t="str">
        <f t="shared" si="24"/>
        <v/>
      </c>
      <c r="T1991" s="147" t="str">
        <f t="shared" si="7"/>
        <v/>
      </c>
      <c r="U1991" s="150" t="str">
        <f t="shared" si="8"/>
        <v/>
      </c>
      <c r="V1991" s="151" t="str">
        <f>IFERROR(VLOOKUP(C1991,Ativos!$A$1:$G2000,5,),)</f>
        <v/>
      </c>
    </row>
    <row r="1992" ht="21.0" customHeight="1">
      <c r="A1992" s="152"/>
      <c r="B1992" s="160"/>
      <c r="C1992" s="153"/>
      <c r="D1992" s="154"/>
      <c r="E1992" s="139"/>
      <c r="F1992" s="139"/>
      <c r="G1992" s="139"/>
      <c r="H1992" s="135"/>
      <c r="I1992" s="141"/>
      <c r="J1992" s="147" t="str">
        <f>IFERROR(__xludf.DUMMYFUNCTION("IF(ISBLANK(A1992),IFERROR(1/0),IF(COUNT(FILTER(F:F,A:A=A1992))&gt;1,TRUNC(N1992*F1992/SUM(FILTER(N:N,A:A=A1992)),3),F1992))"),"")</f>
        <v/>
      </c>
      <c r="K1992" s="147" t="str">
        <f>IFERROR(__xludf.DUMMYFUNCTION("IF(ISBLANK(A1992),IFERROR(1/0),IF(COUNT(FILTER(G:G,((A:A=A1992)*(B:B=""V""))))&gt;1,TRUNC(N1992*G1992/SUM(FILTER(N:N,((A:A=A1992)*(B:B=""V"")))),3),G1992))"),"")</f>
        <v/>
      </c>
      <c r="L1992" s="148" t="str">
        <f>IFERROR(__xludf.DUMMYFUNCTION("if($C1992="""","""",iferror(if(row()&lt;&gt;2,INDEX(arrayformula(filter($M$2:$M1991,$C$2:$C1991&lt;&gt;"""",row($C$2:$C1991)=max(if($C$2:$C1991=C1992,row($C$2:$C1991),0)))) ,1),0),0))"),"")</f>
        <v/>
      </c>
      <c r="M1992" s="148" t="str">
        <f t="shared" si="1"/>
        <v/>
      </c>
      <c r="N1992" s="147" t="str">
        <f t="shared" si="2"/>
        <v/>
      </c>
      <c r="O1992" s="147" t="str">
        <f t="shared" si="21"/>
        <v/>
      </c>
      <c r="P1992" s="147" t="str">
        <f>IFERROR(__xludf.DUMMYFUNCTION("if(C1992="""","""",iferror(if(row()&lt;&gt;2,INDEX(arrayformula(filter($Q$2:$Q1991,$C$2:$C1991&lt;&gt;"""",row($C$2:$C1991)=max(if($C$2:$C1991=C1992,row($C$2:$C1991),0)))) ,1),0),0))"),"")</f>
        <v/>
      </c>
      <c r="Q1992" s="147" t="str">
        <f t="shared" si="22"/>
        <v/>
      </c>
      <c r="R1992" s="147" t="str">
        <f t="shared" si="23"/>
        <v/>
      </c>
      <c r="S1992" s="147" t="str">
        <f t="shared" si="24"/>
        <v/>
      </c>
      <c r="T1992" s="147" t="str">
        <f t="shared" si="7"/>
        <v/>
      </c>
      <c r="U1992" s="150" t="str">
        <f t="shared" si="8"/>
        <v/>
      </c>
      <c r="V1992" s="151" t="str">
        <f>IFERROR(VLOOKUP(C1992,Ativos!$A$1:$G2000,5,),)</f>
        <v/>
      </c>
    </row>
    <row r="1993" ht="21.0" customHeight="1">
      <c r="A1993" s="152"/>
      <c r="B1993" s="160"/>
      <c r="C1993" s="153"/>
      <c r="D1993" s="154"/>
      <c r="E1993" s="139"/>
      <c r="F1993" s="139"/>
      <c r="G1993" s="139"/>
      <c r="H1993" s="135"/>
      <c r="I1993" s="141"/>
      <c r="J1993" s="147" t="str">
        <f>IFERROR(__xludf.DUMMYFUNCTION("IF(ISBLANK(A1993),IFERROR(1/0),IF(COUNT(FILTER(F:F,A:A=A1993))&gt;1,TRUNC(N1993*F1993/SUM(FILTER(N:N,A:A=A1993)),3),F1993))"),"")</f>
        <v/>
      </c>
      <c r="K1993" s="147" t="str">
        <f>IFERROR(__xludf.DUMMYFUNCTION("IF(ISBLANK(A1993),IFERROR(1/0),IF(COUNT(FILTER(G:G,((A:A=A1993)*(B:B=""V""))))&gt;1,TRUNC(N1993*G1993/SUM(FILTER(N:N,((A:A=A1993)*(B:B=""V"")))),3),G1993))"),"")</f>
        <v/>
      </c>
      <c r="L1993" s="148" t="str">
        <f>IFERROR(__xludf.DUMMYFUNCTION("if($C1993="""","""",iferror(if(row()&lt;&gt;2,INDEX(arrayformula(filter($M$2:$M1992,$C$2:$C1992&lt;&gt;"""",row($C$2:$C1992)=max(if($C$2:$C1992=C1993,row($C$2:$C1992),0)))) ,1),0),0))"),"")</f>
        <v/>
      </c>
      <c r="M1993" s="148" t="str">
        <f t="shared" si="1"/>
        <v/>
      </c>
      <c r="N1993" s="147" t="str">
        <f t="shared" si="2"/>
        <v/>
      </c>
      <c r="O1993" s="147" t="str">
        <f t="shared" si="21"/>
        <v/>
      </c>
      <c r="P1993" s="147" t="str">
        <f>IFERROR(__xludf.DUMMYFUNCTION("if(C1993="""","""",iferror(if(row()&lt;&gt;2,INDEX(arrayformula(filter($Q$2:$Q1992,$C$2:$C1992&lt;&gt;"""",row($C$2:$C1992)=max(if($C$2:$C1992=C1993,row($C$2:$C1992),0)))) ,1),0),0))"),"")</f>
        <v/>
      </c>
      <c r="Q1993" s="147" t="str">
        <f t="shared" si="22"/>
        <v/>
      </c>
      <c r="R1993" s="147" t="str">
        <f t="shared" si="23"/>
        <v/>
      </c>
      <c r="S1993" s="147" t="str">
        <f t="shared" si="24"/>
        <v/>
      </c>
      <c r="T1993" s="147" t="str">
        <f t="shared" si="7"/>
        <v/>
      </c>
      <c r="U1993" s="150" t="str">
        <f t="shared" si="8"/>
        <v/>
      </c>
      <c r="V1993" s="151" t="str">
        <f>IFERROR(VLOOKUP(C1993,Ativos!$A$1:$G2000,5,),)</f>
        <v/>
      </c>
    </row>
    <row r="1994" ht="21.0" customHeight="1">
      <c r="A1994" s="152"/>
      <c r="B1994" s="160"/>
      <c r="C1994" s="153"/>
      <c r="D1994" s="154"/>
      <c r="E1994" s="139"/>
      <c r="F1994" s="139"/>
      <c r="G1994" s="139"/>
      <c r="H1994" s="135"/>
      <c r="I1994" s="141"/>
      <c r="J1994" s="147" t="str">
        <f>IFERROR(__xludf.DUMMYFUNCTION("IF(ISBLANK(A1994),IFERROR(1/0),IF(COUNT(FILTER(F:F,A:A=A1994))&gt;1,TRUNC(N1994*F1994/SUM(FILTER(N:N,A:A=A1994)),3),F1994))"),"")</f>
        <v/>
      </c>
      <c r="K1994" s="147" t="str">
        <f>IFERROR(__xludf.DUMMYFUNCTION("IF(ISBLANK(A1994),IFERROR(1/0),IF(COUNT(FILTER(G:G,((A:A=A1994)*(B:B=""V""))))&gt;1,TRUNC(N1994*G1994/SUM(FILTER(N:N,((A:A=A1994)*(B:B=""V"")))),3),G1994))"),"")</f>
        <v/>
      </c>
      <c r="L1994" s="148" t="str">
        <f>IFERROR(__xludf.DUMMYFUNCTION("if($C1994="""","""",iferror(if(row()&lt;&gt;2,INDEX(arrayformula(filter($M$2:$M1993,$C$2:$C1993&lt;&gt;"""",row($C$2:$C1993)=max(if($C$2:$C1993=C1994,row($C$2:$C1993),0)))) ,1),0),0))"),"")</f>
        <v/>
      </c>
      <c r="M1994" s="148" t="str">
        <f t="shared" si="1"/>
        <v/>
      </c>
      <c r="N1994" s="147" t="str">
        <f t="shared" si="2"/>
        <v/>
      </c>
      <c r="O1994" s="147" t="str">
        <f t="shared" si="21"/>
        <v/>
      </c>
      <c r="P1994" s="147" t="str">
        <f>IFERROR(__xludf.DUMMYFUNCTION("if(C1994="""","""",iferror(if(row()&lt;&gt;2,INDEX(arrayformula(filter($Q$2:$Q1993,$C$2:$C1993&lt;&gt;"""",row($C$2:$C1993)=max(if($C$2:$C1993=C1994,row($C$2:$C1993),0)))) ,1),0),0))"),"")</f>
        <v/>
      </c>
      <c r="Q1994" s="147" t="str">
        <f t="shared" si="22"/>
        <v/>
      </c>
      <c r="R1994" s="147" t="str">
        <f t="shared" si="23"/>
        <v/>
      </c>
      <c r="S1994" s="147" t="str">
        <f t="shared" si="24"/>
        <v/>
      </c>
      <c r="T1994" s="147" t="str">
        <f t="shared" si="7"/>
        <v/>
      </c>
      <c r="U1994" s="150" t="str">
        <f t="shared" si="8"/>
        <v/>
      </c>
      <c r="V1994" s="151" t="str">
        <f>IFERROR(VLOOKUP(C1994,Ativos!$A$1:$G2000,5,),)</f>
        <v/>
      </c>
    </row>
    <row r="1995" ht="21.0" customHeight="1">
      <c r="A1995" s="152"/>
      <c r="B1995" s="160"/>
      <c r="C1995" s="153"/>
      <c r="D1995" s="154"/>
      <c r="E1995" s="139"/>
      <c r="F1995" s="139"/>
      <c r="G1995" s="139"/>
      <c r="H1995" s="135"/>
      <c r="I1995" s="141"/>
      <c r="J1995" s="147" t="str">
        <f>IFERROR(__xludf.DUMMYFUNCTION("IF(ISBLANK(A1995),IFERROR(1/0),IF(COUNT(FILTER(F:F,A:A=A1995))&gt;1,TRUNC(N1995*F1995/SUM(FILTER(N:N,A:A=A1995)),3),F1995))"),"")</f>
        <v/>
      </c>
      <c r="K1995" s="147" t="str">
        <f>IFERROR(__xludf.DUMMYFUNCTION("IF(ISBLANK(A1995),IFERROR(1/0),IF(COUNT(FILTER(G:G,((A:A=A1995)*(B:B=""V""))))&gt;1,TRUNC(N1995*G1995/SUM(FILTER(N:N,((A:A=A1995)*(B:B=""V"")))),3),G1995))"),"")</f>
        <v/>
      </c>
      <c r="L1995" s="148" t="str">
        <f>IFERROR(__xludf.DUMMYFUNCTION("if($C1995="""","""",iferror(if(row()&lt;&gt;2,INDEX(arrayformula(filter($M$2:$M1994,$C$2:$C1994&lt;&gt;"""",row($C$2:$C1994)=max(if($C$2:$C1994=C1995,row($C$2:$C1994),0)))) ,1),0),0))"),"")</f>
        <v/>
      </c>
      <c r="M1995" s="148" t="str">
        <f t="shared" si="1"/>
        <v/>
      </c>
      <c r="N1995" s="147" t="str">
        <f t="shared" si="2"/>
        <v/>
      </c>
      <c r="O1995" s="147" t="str">
        <f t="shared" si="21"/>
        <v/>
      </c>
      <c r="P1995" s="147" t="str">
        <f>IFERROR(__xludf.DUMMYFUNCTION("if(C1995="""","""",iferror(if(row()&lt;&gt;2,INDEX(arrayformula(filter($Q$2:$Q1994,$C$2:$C1994&lt;&gt;"""",row($C$2:$C1994)=max(if($C$2:$C1994=C1995,row($C$2:$C1994),0)))) ,1),0),0))"),"")</f>
        <v/>
      </c>
      <c r="Q1995" s="147" t="str">
        <f t="shared" si="22"/>
        <v/>
      </c>
      <c r="R1995" s="147" t="str">
        <f t="shared" si="23"/>
        <v/>
      </c>
      <c r="S1995" s="147" t="str">
        <f t="shared" si="24"/>
        <v/>
      </c>
      <c r="T1995" s="147" t="str">
        <f t="shared" si="7"/>
        <v/>
      </c>
      <c r="U1995" s="150" t="str">
        <f t="shared" si="8"/>
        <v/>
      </c>
      <c r="V1995" s="151" t="str">
        <f>IFERROR(VLOOKUP(C1995,Ativos!$A$1:$G2000,5,),)</f>
        <v/>
      </c>
    </row>
    <row r="1996" ht="21.0" customHeight="1">
      <c r="A1996" s="152"/>
      <c r="B1996" s="160"/>
      <c r="C1996" s="153"/>
      <c r="D1996" s="154"/>
      <c r="E1996" s="139"/>
      <c r="F1996" s="139"/>
      <c r="G1996" s="139"/>
      <c r="H1996" s="135"/>
      <c r="I1996" s="141"/>
      <c r="J1996" s="147" t="str">
        <f>IFERROR(__xludf.DUMMYFUNCTION("IF(ISBLANK(A1996),IFERROR(1/0),IF(COUNT(FILTER(F:F,A:A=A1996))&gt;1,TRUNC(N1996*F1996/SUM(FILTER(N:N,A:A=A1996)),3),F1996))"),"")</f>
        <v/>
      </c>
      <c r="K1996" s="147" t="str">
        <f>IFERROR(__xludf.DUMMYFUNCTION("IF(ISBLANK(A1996),IFERROR(1/0),IF(COUNT(FILTER(G:G,((A:A=A1996)*(B:B=""V""))))&gt;1,TRUNC(N1996*G1996/SUM(FILTER(N:N,((A:A=A1996)*(B:B=""V"")))),3),G1996))"),"")</f>
        <v/>
      </c>
      <c r="L1996" s="148" t="str">
        <f>IFERROR(__xludf.DUMMYFUNCTION("if($C1996="""","""",iferror(if(row()&lt;&gt;2,INDEX(arrayformula(filter($M$2:$M1995,$C$2:$C1995&lt;&gt;"""",row($C$2:$C1995)=max(if($C$2:$C1995=C1996,row($C$2:$C1995),0)))) ,1),0),0))"),"")</f>
        <v/>
      </c>
      <c r="M1996" s="148" t="str">
        <f t="shared" si="1"/>
        <v/>
      </c>
      <c r="N1996" s="147" t="str">
        <f t="shared" si="2"/>
        <v/>
      </c>
      <c r="O1996" s="147" t="str">
        <f t="shared" si="21"/>
        <v/>
      </c>
      <c r="P1996" s="147" t="str">
        <f>IFERROR(__xludf.DUMMYFUNCTION("if(C1996="""","""",iferror(if(row()&lt;&gt;2,INDEX(arrayformula(filter($Q$2:$Q1995,$C$2:$C1995&lt;&gt;"""",row($C$2:$C1995)=max(if($C$2:$C1995=C1996,row($C$2:$C1995),0)))) ,1),0),0))"),"")</f>
        <v/>
      </c>
      <c r="Q1996" s="147" t="str">
        <f t="shared" si="22"/>
        <v/>
      </c>
      <c r="R1996" s="147" t="str">
        <f t="shared" si="23"/>
        <v/>
      </c>
      <c r="S1996" s="147" t="str">
        <f t="shared" si="24"/>
        <v/>
      </c>
      <c r="T1996" s="147" t="str">
        <f t="shared" si="7"/>
        <v/>
      </c>
      <c r="U1996" s="150" t="str">
        <f t="shared" si="8"/>
        <v/>
      </c>
      <c r="V1996" s="151" t="str">
        <f>IFERROR(VLOOKUP(C1996,Ativos!$A$1:$G2000,5,),)</f>
        <v/>
      </c>
    </row>
    <row r="1997" ht="21.0" customHeight="1">
      <c r="A1997" s="152"/>
      <c r="B1997" s="160"/>
      <c r="C1997" s="153"/>
      <c r="D1997" s="154"/>
      <c r="E1997" s="139"/>
      <c r="F1997" s="139"/>
      <c r="G1997" s="139"/>
      <c r="H1997" s="135"/>
      <c r="I1997" s="141"/>
      <c r="J1997" s="147" t="str">
        <f>IFERROR(__xludf.DUMMYFUNCTION("IF(ISBLANK(A1997),IFERROR(1/0),IF(COUNT(FILTER(F:F,A:A=A1997))&gt;1,TRUNC(N1997*F1997/SUM(FILTER(N:N,A:A=A1997)),3),F1997))"),"")</f>
        <v/>
      </c>
      <c r="K1997" s="147" t="str">
        <f>IFERROR(__xludf.DUMMYFUNCTION("IF(ISBLANK(A1997),IFERROR(1/0),IF(COUNT(FILTER(G:G,((A:A=A1997)*(B:B=""V""))))&gt;1,TRUNC(N1997*G1997/SUM(FILTER(N:N,((A:A=A1997)*(B:B=""V"")))),3),G1997))"),"")</f>
        <v/>
      </c>
      <c r="L1997" s="148" t="str">
        <f>IFERROR(__xludf.DUMMYFUNCTION("if($C1997="""","""",iferror(if(row()&lt;&gt;2,INDEX(arrayformula(filter($M$2:$M1996,$C$2:$C1996&lt;&gt;"""",row($C$2:$C1996)=max(if($C$2:$C1996=C1997,row($C$2:$C1996),0)))) ,1),0),0))"),"")</f>
        <v/>
      </c>
      <c r="M1997" s="148" t="str">
        <f t="shared" si="1"/>
        <v/>
      </c>
      <c r="N1997" s="147" t="str">
        <f t="shared" si="2"/>
        <v/>
      </c>
      <c r="O1997" s="147" t="str">
        <f t="shared" si="21"/>
        <v/>
      </c>
      <c r="P1997" s="147" t="str">
        <f>IFERROR(__xludf.DUMMYFUNCTION("if(C1997="""","""",iferror(if(row()&lt;&gt;2,INDEX(arrayformula(filter($Q$2:$Q1996,$C$2:$C1996&lt;&gt;"""",row($C$2:$C1996)=max(if($C$2:$C1996=C1997,row($C$2:$C1996),0)))) ,1),0),0))"),"")</f>
        <v/>
      </c>
      <c r="Q1997" s="147" t="str">
        <f t="shared" si="22"/>
        <v/>
      </c>
      <c r="R1997" s="147" t="str">
        <f t="shared" si="23"/>
        <v/>
      </c>
      <c r="S1997" s="147" t="str">
        <f t="shared" si="24"/>
        <v/>
      </c>
      <c r="T1997" s="147" t="str">
        <f t="shared" si="7"/>
        <v/>
      </c>
      <c r="U1997" s="150" t="str">
        <f t="shared" si="8"/>
        <v/>
      </c>
      <c r="V1997" s="151" t="str">
        <f>IFERROR(VLOOKUP(C1997,Ativos!$A$1:$G2000,5,),)</f>
        <v/>
      </c>
    </row>
    <row r="1998" ht="21.0" customHeight="1">
      <c r="A1998" s="152"/>
      <c r="B1998" s="160"/>
      <c r="C1998" s="153"/>
      <c r="D1998" s="154"/>
      <c r="E1998" s="139"/>
      <c r="F1998" s="139"/>
      <c r="G1998" s="139"/>
      <c r="H1998" s="135"/>
      <c r="I1998" s="141"/>
      <c r="J1998" s="147" t="str">
        <f>IFERROR(__xludf.DUMMYFUNCTION("IF(ISBLANK(A1998),IFERROR(1/0),IF(COUNT(FILTER(F:F,A:A=A1998))&gt;1,TRUNC(N1998*F1998/SUM(FILTER(N:N,A:A=A1998)),3),F1998))"),"")</f>
        <v/>
      </c>
      <c r="K1998" s="147" t="str">
        <f>IFERROR(__xludf.DUMMYFUNCTION("IF(ISBLANK(A1998),IFERROR(1/0),IF(COUNT(FILTER(G:G,((A:A=A1998)*(B:B=""V""))))&gt;1,TRUNC(N1998*G1998/SUM(FILTER(N:N,((A:A=A1998)*(B:B=""V"")))),3),G1998))"),"")</f>
        <v/>
      </c>
      <c r="L1998" s="148" t="str">
        <f>IFERROR(__xludf.DUMMYFUNCTION("if($C1998="""","""",iferror(if(row()&lt;&gt;2,INDEX(arrayformula(filter($M$2:$M1997,$C$2:$C1997&lt;&gt;"""",row($C$2:$C1997)=max(if($C$2:$C1997=C1998,row($C$2:$C1997),0)))) ,1),0),0))"),"")</f>
        <v/>
      </c>
      <c r="M1998" s="148" t="str">
        <f t="shared" si="1"/>
        <v/>
      </c>
      <c r="N1998" s="147" t="str">
        <f t="shared" si="2"/>
        <v/>
      </c>
      <c r="O1998" s="147" t="str">
        <f t="shared" si="21"/>
        <v/>
      </c>
      <c r="P1998" s="147" t="str">
        <f>IFERROR(__xludf.DUMMYFUNCTION("if(C1998="""","""",iferror(if(row()&lt;&gt;2,INDEX(arrayformula(filter($Q$2:$Q1997,$C$2:$C1997&lt;&gt;"""",row($C$2:$C1997)=max(if($C$2:$C1997=C1998,row($C$2:$C1997),0)))) ,1),0),0))"),"")</f>
        <v/>
      </c>
      <c r="Q1998" s="147" t="str">
        <f t="shared" si="22"/>
        <v/>
      </c>
      <c r="R1998" s="147" t="str">
        <f t="shared" si="23"/>
        <v/>
      </c>
      <c r="S1998" s="147" t="str">
        <f t="shared" si="24"/>
        <v/>
      </c>
      <c r="T1998" s="147" t="str">
        <f t="shared" si="7"/>
        <v/>
      </c>
      <c r="U1998" s="150" t="str">
        <f t="shared" si="8"/>
        <v/>
      </c>
      <c r="V1998" s="151" t="str">
        <f>IFERROR(VLOOKUP(C1998,Ativos!$A$1:$G2000,5,),)</f>
        <v/>
      </c>
    </row>
    <row r="1999" ht="21.0" customHeight="1">
      <c r="A1999" s="152"/>
      <c r="B1999" s="160"/>
      <c r="C1999" s="153"/>
      <c r="D1999" s="154"/>
      <c r="E1999" s="139"/>
      <c r="F1999" s="139"/>
      <c r="G1999" s="139"/>
      <c r="H1999" s="135"/>
      <c r="I1999" s="141"/>
      <c r="J1999" s="147" t="str">
        <f>IFERROR(__xludf.DUMMYFUNCTION("IF(ISBLANK(A1999),IFERROR(1/0),IF(COUNT(FILTER(F:F,A:A=A1999))&gt;1,TRUNC(N1999*F1999/SUM(FILTER(N:N,A:A=A1999)),3),F1999))"),"")</f>
        <v/>
      </c>
      <c r="K1999" s="147" t="str">
        <f>IFERROR(__xludf.DUMMYFUNCTION("IF(ISBLANK(A1999),IFERROR(1/0),IF(COUNT(FILTER(G:G,((A:A=A1999)*(B:B=""V""))))&gt;1,TRUNC(N1999*G1999/SUM(FILTER(N:N,((A:A=A1999)*(B:B=""V"")))),3),G1999))"),"")</f>
        <v/>
      </c>
      <c r="L1999" s="148" t="str">
        <f>IFERROR(__xludf.DUMMYFUNCTION("if($C1999="""","""",iferror(if(row()&lt;&gt;2,INDEX(arrayformula(filter($M$2:$M1998,$C$2:$C1998&lt;&gt;"""",row($C$2:$C1998)=max(if($C$2:$C1998=C1999,row($C$2:$C1998),0)))) ,1),0),0))"),"")</f>
        <v/>
      </c>
      <c r="M1999" s="148" t="str">
        <f t="shared" si="1"/>
        <v/>
      </c>
      <c r="N1999" s="147" t="str">
        <f t="shared" si="2"/>
        <v/>
      </c>
      <c r="O1999" s="147" t="str">
        <f t="shared" si="21"/>
        <v/>
      </c>
      <c r="P1999" s="147" t="str">
        <f>IFERROR(__xludf.DUMMYFUNCTION("if(C1999="""","""",iferror(if(row()&lt;&gt;2,INDEX(arrayformula(filter($Q$2:$Q1998,$C$2:$C1998&lt;&gt;"""",row($C$2:$C1998)=max(if($C$2:$C1998=C1999,row($C$2:$C1998),0)))) ,1),0),0))"),"")</f>
        <v/>
      </c>
      <c r="Q1999" s="147" t="str">
        <f t="shared" si="22"/>
        <v/>
      </c>
      <c r="R1999" s="147" t="str">
        <f t="shared" si="23"/>
        <v/>
      </c>
      <c r="S1999" s="147" t="str">
        <f t="shared" si="24"/>
        <v/>
      </c>
      <c r="T1999" s="147" t="str">
        <f t="shared" si="7"/>
        <v/>
      </c>
      <c r="U1999" s="150" t="str">
        <f t="shared" si="8"/>
        <v/>
      </c>
      <c r="V1999" s="151" t="str">
        <f>IFERROR(VLOOKUP(C1999,Ativos!$A$1:$G2000,5,),)</f>
        <v/>
      </c>
    </row>
    <row r="2000" ht="21.0" customHeight="1">
      <c r="A2000" s="152"/>
      <c r="B2000" s="160"/>
      <c r="C2000" s="153"/>
      <c r="D2000" s="154"/>
      <c r="E2000" s="139"/>
      <c r="F2000" s="139"/>
      <c r="G2000" s="139"/>
      <c r="H2000" s="135"/>
      <c r="I2000" s="141"/>
      <c r="J2000" s="147" t="str">
        <f>IFERROR(__xludf.DUMMYFUNCTION("IF(ISBLANK(A2000),IFERROR(1/0),IF(COUNT(FILTER(F:F,A:A=A2000))&gt;1,TRUNC(N2000*F2000/SUM(FILTER(N:N,A:A=A2000)),3),F2000))"),"")</f>
        <v/>
      </c>
      <c r="K2000" s="147" t="str">
        <f>IFERROR(__xludf.DUMMYFUNCTION("IF(ISBLANK(A2000),IFERROR(1/0),IF(COUNT(FILTER(G:G,((A:A=A2000)*(B:B=""V""))))&gt;1,TRUNC(N2000*G2000/SUM(FILTER(N:N,((A:A=A2000)*(B:B=""V"")))),3),G2000))"),"")</f>
        <v/>
      </c>
      <c r="L2000" s="148" t="str">
        <f>IFERROR(__xludf.DUMMYFUNCTION("if($C2000="""","""",iferror(if(row()&lt;&gt;2,INDEX(arrayformula(filter($M$2:$M1999,$C$2:$C1999&lt;&gt;"""",row($C$2:$C1999)=max(if($C$2:$C1999=C2000,row($C$2:$C1999),0)))) ,1),0),0))"),"")</f>
        <v/>
      </c>
      <c r="M2000" s="148" t="str">
        <f t="shared" si="1"/>
        <v/>
      </c>
      <c r="N2000" s="147" t="str">
        <f t="shared" si="2"/>
        <v/>
      </c>
      <c r="O2000" s="147" t="str">
        <f t="shared" si="21"/>
        <v/>
      </c>
      <c r="P2000" s="147" t="str">
        <f>IFERROR(__xludf.DUMMYFUNCTION("if(C2000="""","""",iferror(if(row()&lt;&gt;2,INDEX(arrayformula(filter($Q$2:$Q1999,$C$2:$C1999&lt;&gt;"""",row($C$2:$C1999)=max(if($C$2:$C1999=C2000,row($C$2:$C1999),0)))) ,1),0),0))"),"")</f>
        <v/>
      </c>
      <c r="Q2000" s="147" t="str">
        <f t="shared" si="22"/>
        <v/>
      </c>
      <c r="R2000" s="147" t="str">
        <f t="shared" si="23"/>
        <v/>
      </c>
      <c r="S2000" s="147" t="str">
        <f t="shared" si="24"/>
        <v/>
      </c>
      <c r="T2000" s="147" t="str">
        <f t="shared" si="7"/>
        <v/>
      </c>
      <c r="U2000" s="150" t="str">
        <f t="shared" si="8"/>
        <v/>
      </c>
      <c r="V2000" s="151" t="str">
        <f>IFERROR(VLOOKUP(C2000,Ativos!$A$1:$G2000,5,),)</f>
        <v/>
      </c>
    </row>
  </sheetData>
  <conditionalFormatting sqref="B2:B2000">
    <cfRule type="cellIs" dxfId="12" priority="1" operator="equal">
      <formula>"C"</formula>
    </cfRule>
  </conditionalFormatting>
  <conditionalFormatting sqref="B2:B2000">
    <cfRule type="cellIs" dxfId="2" priority="2" operator="equal">
      <formula>"V"</formula>
    </cfRule>
  </conditionalFormatting>
  <conditionalFormatting sqref="B2:B2000">
    <cfRule type="cellIs" dxfId="3" priority="3" operator="equal">
      <formula>"B"</formula>
    </cfRule>
  </conditionalFormatting>
  <conditionalFormatting sqref="B2:B2000">
    <cfRule type="cellIs" dxfId="13" priority="4" operator="equal">
      <formula>"S"</formula>
    </cfRule>
  </conditionalFormatting>
  <conditionalFormatting sqref="T1:U2000 V1">
    <cfRule type="cellIs" dxfId="14" priority="5" operator="greaterThan">
      <formula>0</formula>
    </cfRule>
  </conditionalFormatting>
  <conditionalFormatting sqref="T1:U2000 V1">
    <cfRule type="cellIs" dxfId="15" priority="6" operator="lessThan">
      <formula>0</formula>
    </cfRule>
  </conditionalFormatting>
  <conditionalFormatting sqref="B2:B2000">
    <cfRule type="cellIs" dxfId="16" priority="7" operator="equal">
      <formula>"A"</formula>
    </cfRule>
  </conditionalFormatting>
  <conditionalFormatting sqref="B2:B2000">
    <cfRule type="cellIs" dxfId="17" priority="8" operator="equal">
      <formula>"AT"</formula>
    </cfRule>
  </conditionalFormatting>
  <dataValidations>
    <dataValidation type="list" allowBlank="1" showErrorMessage="1" sqref="I2:I2000">
      <formula1>Data!$M$2:$M2000</formula1>
    </dataValidation>
    <dataValidation type="list" allowBlank="1" showInputMessage="1" showErrorMessage="1" prompt="Selecione uma operação." sqref="B2:B2000">
      <formula1>"C,V,B,A,S,AT"</formula1>
    </dataValidation>
    <dataValidation type="list" allowBlank="1" showInputMessage="1" showErrorMessage="1" prompt="Insira uma operação apenas de ativos cadastrados na aba DadosAtivos." sqref="C2:C2000">
      <formula1>Data!$J$2:J2000</formula1>
    </dataValidation>
  </dataValidation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1C232"/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0.71"/>
    <col customWidth="1" min="2" max="2" width="5.0"/>
    <col customWidth="1" min="3" max="3" width="9.71"/>
    <col customWidth="1" min="4" max="4" width="12.86"/>
    <col customWidth="1" min="5" max="5" width="10.43"/>
    <col customWidth="1" min="6" max="6" width="11.43"/>
    <col customWidth="1" min="7" max="8" width="15.0"/>
    <col customWidth="1" min="9" max="12" width="14.29"/>
    <col customWidth="1" min="13" max="13" width="12.29"/>
    <col customWidth="1" min="14" max="14" width="14.29"/>
    <col customWidth="1" min="15" max="15" width="16.29"/>
    <col customWidth="1" min="16" max="16" width="10.29"/>
    <col customWidth="1" min="17" max="17" width="7.29"/>
  </cols>
  <sheetData>
    <row r="1">
      <c r="A1" s="129" t="s">
        <v>9</v>
      </c>
      <c r="B1" s="129" t="s">
        <v>148</v>
      </c>
      <c r="C1" s="130" t="s">
        <v>23</v>
      </c>
      <c r="D1" s="161" t="s">
        <v>13</v>
      </c>
      <c r="E1" s="132" t="s">
        <v>168</v>
      </c>
      <c r="F1" s="132" t="s">
        <v>143</v>
      </c>
      <c r="G1" s="132" t="s">
        <v>169</v>
      </c>
      <c r="H1" s="132" t="s">
        <v>156</v>
      </c>
      <c r="I1" s="132" t="s">
        <v>157</v>
      </c>
      <c r="J1" s="132" t="s">
        <v>158</v>
      </c>
      <c r="K1" s="132" t="s">
        <v>159</v>
      </c>
      <c r="L1" s="132" t="s">
        <v>160</v>
      </c>
      <c r="M1" s="132" t="s">
        <v>161</v>
      </c>
      <c r="N1" s="132" t="s">
        <v>162</v>
      </c>
      <c r="O1" s="132" t="s">
        <v>163</v>
      </c>
      <c r="P1" s="132" t="s">
        <v>164</v>
      </c>
      <c r="Q1" s="132" t="s">
        <v>60</v>
      </c>
    </row>
    <row r="2" ht="21.0" customHeight="1">
      <c r="A2" s="162">
        <v>43831.0</v>
      </c>
      <c r="B2" s="163" t="s">
        <v>165</v>
      </c>
      <c r="C2" s="164" t="s">
        <v>46</v>
      </c>
      <c r="D2" s="165">
        <v>5.581E-4</v>
      </c>
      <c r="E2" s="166">
        <v>316236.19</v>
      </c>
      <c r="F2" s="167" t="s">
        <v>140</v>
      </c>
      <c r="G2" s="168">
        <f>IFERROR(__xludf.DUMMYFUNCTION("if($C2="""","""",iferror(if(row()&lt;&gt;2,INDEX(arrayformula(filter($H1:$H$2,$C1:$C$2&lt;&gt;"""",row($C1:$C$2)=max(if($C1:$C$2=C2,row($C1:$C$2),0)))) ,1),0),0))"),0.0)</f>
        <v>0</v>
      </c>
      <c r="H2" s="168">
        <f>if(C2="","",IFS(B2="C",G2+D2,B2="B",G2+D2,B2="A",G2,B2="V",G2-D2,B2="S",G2,B2="AT",G2-D2))</f>
        <v>0.0005581</v>
      </c>
      <c r="I2" s="142">
        <f t="shared" ref="I2:I2000" si="1">IFS(C2="","",B2="C",E2*D2,B2="V",E2*D2,B2="A",E2,B2="B",E2*D2,B2="AT",E2*D2)</f>
        <v>176.4914176</v>
      </c>
      <c r="J2" s="142">
        <f t="shared" ref="J2:J16" si="2">IF(ISBLANK(A2),IFERROR(1/0),IFS(B2="C",I2,B2="V",I2,B2="A",I2,B2="B",I2,B2="AT",I2))</f>
        <v>176.4914176</v>
      </c>
      <c r="K2" s="142">
        <f>IFERROR(__xludf.DUMMYFUNCTION("if(C2="""","""",iferror(if(row()&lt;&gt;2,INDEX(arrayformula(filter($L1:$L$2,$C1:$C$2&lt;&gt;"""",row($C1:$C$2)=max(if($C1:$C$2=C2,row($C1:$C$2),0)))) ,1),0),0))"),0.0)</f>
        <v>0</v>
      </c>
      <c r="L2" s="142">
        <f t="shared" ref="L2:L16" si="3">if(C2="","",if(B2="C",K2+J2,if(B2="V",if(K2&lt;=0,"Erro. s/ qtde.",K2-N2),if(B2="AT",if(K2&lt;=0,"Erro. s/ qtde.",K2-N2),if(B2="B",K2+J2,if(B2="A",K2-J2,if(B2="S",K2,"Error")))))))</f>
        <v>176.4914176</v>
      </c>
      <c r="M2" s="144">
        <f t="shared" ref="M2:M16" si="4">IFERROR(IF(H2=0,0,L2/H2),)</f>
        <v>316236.19</v>
      </c>
      <c r="N2" s="142" t="str">
        <f t="shared" ref="N2:N16" si="5">if(C2="","",if(B2="V",if(G2=0,0,D2/G2*K2),""))</f>
        <v/>
      </c>
      <c r="O2" s="142" t="str">
        <f t="shared" ref="O2:O2000" si="6">if(C2="","",if(B2="V",J2-N2,""))</f>
        <v/>
      </c>
      <c r="P2" s="145" t="str">
        <f t="shared" ref="P2:P2000" si="7">if(C2="","",if(B2="V",(J2-N2)/N2,""))</f>
        <v/>
      </c>
      <c r="Q2" s="146" t="str">
        <f>IFERROR(VLOOKUP(C2,Ativos!$A$1:$G2000,5,),)</f>
        <v>CRIPTO</v>
      </c>
    </row>
    <row r="3" ht="21.0" customHeight="1">
      <c r="A3" s="152">
        <v>43862.0</v>
      </c>
      <c r="B3" s="135" t="s">
        <v>165</v>
      </c>
      <c r="C3" s="153" t="s">
        <v>46</v>
      </c>
      <c r="D3" s="169">
        <v>5.3087E-4</v>
      </c>
      <c r="E3" s="139">
        <v>323877.83</v>
      </c>
      <c r="F3" s="141" t="s">
        <v>140</v>
      </c>
      <c r="G3" s="170">
        <f>IFERROR(__xludf.DUMMYFUNCTION("if($C3="""","""",iferror(if(row()&lt;&gt;2,INDEX(arrayformula(filter($H$2:$H2,$C$2:$C2&lt;&gt;"""",row($C$2:$C2)=max(if($C$2:$C2=C3,row($C$2:$C2),0)))) ,1),0),0))"),5.581E-4)</f>
        <v>0.0005581</v>
      </c>
      <c r="H3" s="170">
        <f t="shared" ref="H3:H2000" si="8">if(C3="","",IFS(B3="C",G3+D3,B3="B",G3+D3,B3="A",G3,B3="V",G3-D3,B3="S",G3*#REF!,B3="AT",G3-D3))</f>
        <v>0.00108897</v>
      </c>
      <c r="I3" s="147">
        <f t="shared" si="1"/>
        <v>171.9370236</v>
      </c>
      <c r="J3" s="147">
        <f t="shared" si="2"/>
        <v>171.9370236</v>
      </c>
      <c r="K3" s="147">
        <f>IFERROR(__xludf.DUMMYFUNCTION("if(C3="""","""",iferror(if(row()&lt;&gt;2,INDEX(arrayformula(filter($L2:$L$2,$C2:$C$2&lt;&gt;"""",row($C2:$C$2)=max(if($C2:$C$2=C3,row($C2:$C$2),0)))) ,1),0),0))"),176.491417639)</f>
        <v>176.4914176</v>
      </c>
      <c r="L3" s="147">
        <f t="shared" si="3"/>
        <v>348.4284413</v>
      </c>
      <c r="M3" s="149">
        <f t="shared" si="4"/>
        <v>319961.4693</v>
      </c>
      <c r="N3" s="147" t="str">
        <f t="shared" si="5"/>
        <v/>
      </c>
      <c r="O3" s="147" t="str">
        <f t="shared" si="6"/>
        <v/>
      </c>
      <c r="P3" s="150" t="str">
        <f t="shared" si="7"/>
        <v/>
      </c>
      <c r="Q3" s="151" t="str">
        <f>IFERROR(VLOOKUP(C3,Ativos!$A$1:$G2000,5,),)</f>
        <v>CRIPTO</v>
      </c>
    </row>
    <row r="4" ht="21.0" customHeight="1">
      <c r="A4" s="152">
        <v>43891.0</v>
      </c>
      <c r="B4" s="135" t="s">
        <v>165</v>
      </c>
      <c r="C4" s="153" t="s">
        <v>46</v>
      </c>
      <c r="D4" s="169">
        <v>0.0041543</v>
      </c>
      <c r="E4" s="139">
        <v>324039.74</v>
      </c>
      <c r="F4" s="141" t="s">
        <v>140</v>
      </c>
      <c r="G4" s="170">
        <f>IFERROR(__xludf.DUMMYFUNCTION("if($C4="""","""",iferror(if(row()&lt;&gt;2,INDEX(arrayformula(filter($H$2:$H3,$C$2:$C3&lt;&gt;"""",row($C$2:$C3)=max(if($C$2:$C3=C4,row($C$2:$C3),0)))) ,1),0),0))"),0.0010889699999999999)</f>
        <v>0.00108897</v>
      </c>
      <c r="H4" s="170">
        <f t="shared" si="8"/>
        <v>0.00524327</v>
      </c>
      <c r="I4" s="147">
        <f t="shared" si="1"/>
        <v>1346.158292</v>
      </c>
      <c r="J4" s="147">
        <f t="shared" si="2"/>
        <v>1346.158292</v>
      </c>
      <c r="K4" s="147">
        <f>IFERROR(__xludf.DUMMYFUNCTION("if(C4="""","""",iferror(if(row()&lt;&gt;2,INDEX(arrayformula(filter($L$2:$L3,$C$2:$C3&lt;&gt;"""",row($C$2:$C3)=max(if($C$2:$C3=C4,row($C$2:$C3),0)))) ,1),0),0))"),348.4284412511)</f>
        <v>348.4284413</v>
      </c>
      <c r="L4" s="147">
        <f t="shared" si="3"/>
        <v>1694.586733</v>
      </c>
      <c r="M4" s="149">
        <f t="shared" si="4"/>
        <v>323192.7277</v>
      </c>
      <c r="N4" s="147" t="str">
        <f t="shared" si="5"/>
        <v/>
      </c>
      <c r="O4" s="147" t="str">
        <f t="shared" si="6"/>
        <v/>
      </c>
      <c r="P4" s="150" t="str">
        <f t="shared" si="7"/>
        <v/>
      </c>
      <c r="Q4" s="151" t="str">
        <f>IFERROR(VLOOKUP(C4,Ativos!$A$1:$G2000,5,),)</f>
        <v>CRIPTO</v>
      </c>
    </row>
    <row r="5" ht="21.0" customHeight="1">
      <c r="A5" s="152">
        <v>43922.0</v>
      </c>
      <c r="B5" s="135" t="s">
        <v>165</v>
      </c>
      <c r="C5" s="153" t="s">
        <v>46</v>
      </c>
      <c r="D5" s="169">
        <v>9.0561E-4</v>
      </c>
      <c r="E5" s="139">
        <v>332768.05</v>
      </c>
      <c r="F5" s="141" t="s">
        <v>140</v>
      </c>
      <c r="G5" s="170">
        <f>IFERROR(__xludf.DUMMYFUNCTION("if($C5="""","""",iferror(if(row()&lt;&gt;2,INDEX(arrayformula(filter($H$2:$H4,$C$2:$C4&lt;&gt;"""",row($C$2:$C4)=max(if($C$2:$C4=C5,row($C$2:$C4),0)))) ,1),0),0))"),0.0052432699999999995)</f>
        <v>0.00524327</v>
      </c>
      <c r="H5" s="170">
        <f t="shared" si="8"/>
        <v>0.00614888</v>
      </c>
      <c r="I5" s="147">
        <f t="shared" si="1"/>
        <v>301.3580738</v>
      </c>
      <c r="J5" s="147">
        <f t="shared" si="2"/>
        <v>301.3580738</v>
      </c>
      <c r="K5" s="147">
        <f>IFERROR(__xludf.DUMMYFUNCTION("if(C5="""","""",iferror(if(row()&lt;&gt;2,INDEX(arrayformula(filter($L$2:$L4,$C$2:$C4&lt;&gt;"""",row($C$2:$C4)=max(if($C$2:$C4=C5,row($C$2:$C4),0)))) ,1),0),0))"),1694.5867331331)</f>
        <v>1694.586733</v>
      </c>
      <c r="L5" s="147">
        <f t="shared" si="3"/>
        <v>1995.944807</v>
      </c>
      <c r="M5" s="149">
        <f t="shared" si="4"/>
        <v>324602.9857</v>
      </c>
      <c r="N5" s="147" t="str">
        <f t="shared" si="5"/>
        <v/>
      </c>
      <c r="O5" s="147" t="str">
        <f t="shared" si="6"/>
        <v/>
      </c>
      <c r="P5" s="150" t="str">
        <f t="shared" si="7"/>
        <v/>
      </c>
      <c r="Q5" s="151" t="str">
        <f>IFERROR(VLOOKUP(C5,Ativos!$A$1:$G2000,5,),)</f>
        <v>CRIPTO</v>
      </c>
    </row>
    <row r="6" ht="21.0" customHeight="1">
      <c r="A6" s="152">
        <v>43952.0</v>
      </c>
      <c r="B6" s="135" t="s">
        <v>165</v>
      </c>
      <c r="C6" s="153" t="s">
        <v>46</v>
      </c>
      <c r="D6" s="169">
        <v>0.0051856</v>
      </c>
      <c r="E6" s="139">
        <v>275100.0</v>
      </c>
      <c r="F6" s="141" t="s">
        <v>140</v>
      </c>
      <c r="G6" s="170">
        <f>IFERROR(__xludf.DUMMYFUNCTION("if($C6="""","""",iferror(if(row()&lt;&gt;2,INDEX(arrayformula(filter($H$2:$H5,$C$2:$C5&lt;&gt;"""",row($C$2:$C5)=max(if($C$2:$C5=C6,row($C$2:$C5),0)))) ,1),0),0))"),0.00614888)</f>
        <v>0.00614888</v>
      </c>
      <c r="H6" s="170">
        <f t="shared" si="8"/>
        <v>0.01133448</v>
      </c>
      <c r="I6" s="147">
        <f t="shared" si="1"/>
        <v>1426.55856</v>
      </c>
      <c r="J6" s="147">
        <f t="shared" si="2"/>
        <v>1426.55856</v>
      </c>
      <c r="K6" s="147">
        <f>IFERROR(__xludf.DUMMYFUNCTION("if(C6="""","""",iferror(if(row()&lt;&gt;2,INDEX(arrayformula(filter($L$2:$L5,$C$2:$C5&lt;&gt;"""",row($C$2:$C5)=max(if($C$2:$C5=C6,row($C$2:$C5),0)))) ,1),0),0))"),1995.9448068936001)</f>
        <v>1995.944807</v>
      </c>
      <c r="L6" s="147">
        <f t="shared" si="3"/>
        <v>3422.503367</v>
      </c>
      <c r="M6" s="149">
        <f t="shared" si="4"/>
        <v>301955.0405</v>
      </c>
      <c r="N6" s="147" t="str">
        <f t="shared" si="5"/>
        <v/>
      </c>
      <c r="O6" s="147" t="str">
        <f t="shared" si="6"/>
        <v/>
      </c>
      <c r="P6" s="150" t="str">
        <f t="shared" si="7"/>
        <v/>
      </c>
      <c r="Q6" s="151" t="str">
        <f>IFERROR(VLOOKUP(C6,Ativos!$A$1:$G2000,5,),)</f>
        <v>CRIPTO</v>
      </c>
    </row>
    <row r="7" ht="21.0" customHeight="1">
      <c r="A7" s="152">
        <v>43983.0</v>
      </c>
      <c r="B7" s="135" t="s">
        <v>165</v>
      </c>
      <c r="C7" s="153" t="s">
        <v>46</v>
      </c>
      <c r="D7" s="169">
        <v>8.6411E-4</v>
      </c>
      <c r="E7" s="139">
        <v>309694.94</v>
      </c>
      <c r="F7" s="141" t="s">
        <v>140</v>
      </c>
      <c r="G7" s="170">
        <f>IFERROR(__xludf.DUMMYFUNCTION("if($C7="""","""",iferror(if(row()&lt;&gt;2,INDEX(arrayformula(filter($H$2:$H6,$C$2:$C6&lt;&gt;"""",row($C$2:$C6)=max(if($C$2:$C6=C7,row($C$2:$C6),0)))) ,1),0),0))"),0.011334480000000001)</f>
        <v>0.01133448</v>
      </c>
      <c r="H7" s="170">
        <f t="shared" si="8"/>
        <v>0.01219859</v>
      </c>
      <c r="I7" s="147">
        <f t="shared" si="1"/>
        <v>267.6104946</v>
      </c>
      <c r="J7" s="147">
        <f t="shared" si="2"/>
        <v>267.6104946</v>
      </c>
      <c r="K7" s="147">
        <f>IFERROR(__xludf.DUMMYFUNCTION("if(C7="""","""",iferror(if(row()&lt;&gt;2,INDEX(arrayformula(filter($L$2:$L6,$C$2:$C6&lt;&gt;"""",row($C$2:$C6)=max(if($C$2:$C6=C7,row($C$2:$C6),0)))) ,1),0),0))"),3422.5033668936003)</f>
        <v>3422.503367</v>
      </c>
      <c r="L7" s="147">
        <f t="shared" si="3"/>
        <v>3690.113861</v>
      </c>
      <c r="M7" s="149">
        <f t="shared" si="4"/>
        <v>302503.3108</v>
      </c>
      <c r="N7" s="147" t="str">
        <f t="shared" si="5"/>
        <v/>
      </c>
      <c r="O7" s="147" t="str">
        <f t="shared" si="6"/>
        <v/>
      </c>
      <c r="P7" s="150" t="str">
        <f t="shared" si="7"/>
        <v/>
      </c>
      <c r="Q7" s="151" t="str">
        <f>IFERROR(VLOOKUP(C7,Ativos!$A$1:$G2000,5,),)</f>
        <v>CRIPTO</v>
      </c>
    </row>
    <row r="8" ht="21.0" customHeight="1">
      <c r="A8" s="152">
        <v>44013.0</v>
      </c>
      <c r="B8" s="135" t="s">
        <v>165</v>
      </c>
      <c r="C8" s="153" t="s">
        <v>46</v>
      </c>
      <c r="D8" s="169">
        <v>9.7417E-4</v>
      </c>
      <c r="E8" s="139">
        <v>268000.0</v>
      </c>
      <c r="F8" s="141" t="s">
        <v>140</v>
      </c>
      <c r="G8" s="170">
        <f>IFERROR(__xludf.DUMMYFUNCTION("if($C8="""","""",iferror(if(row()&lt;&gt;2,INDEX(arrayformula(filter($H$2:$H7,$C$2:$C7&lt;&gt;"""",row($C$2:$C7)=max(if($C$2:$C7=C8,row($C$2:$C7),0)))) ,1),0),0))"),0.01219859)</f>
        <v>0.01219859</v>
      </c>
      <c r="H8" s="170">
        <f t="shared" si="8"/>
        <v>0.01317276</v>
      </c>
      <c r="I8" s="147">
        <f t="shared" si="1"/>
        <v>261.07756</v>
      </c>
      <c r="J8" s="147">
        <f t="shared" si="2"/>
        <v>261.07756</v>
      </c>
      <c r="K8" s="147">
        <f>IFERROR(__xludf.DUMMYFUNCTION("if(C8="""","""",iferror(if(row()&lt;&gt;2,INDEX(arrayformula(filter($L$2:$L7,$C$2:$C7&lt;&gt;"""",row($C$2:$C7)=max(if($C$2:$C7=C8,row($C$2:$C7),0)))) ,1),0),0))"),3690.1138614970005)</f>
        <v>3690.113861</v>
      </c>
      <c r="L8" s="147">
        <f t="shared" si="3"/>
        <v>3951.191421</v>
      </c>
      <c r="M8" s="149">
        <f t="shared" si="4"/>
        <v>299951.6746</v>
      </c>
      <c r="N8" s="147" t="str">
        <f t="shared" si="5"/>
        <v/>
      </c>
      <c r="O8" s="147" t="str">
        <f t="shared" si="6"/>
        <v/>
      </c>
      <c r="P8" s="150" t="str">
        <f t="shared" si="7"/>
        <v/>
      </c>
      <c r="Q8" s="151" t="str">
        <f>IFERROR(VLOOKUP(C8,Ativos!$A$1:$G2000,5,),)</f>
        <v>CRIPTO</v>
      </c>
    </row>
    <row r="9" ht="21.0" customHeight="1">
      <c r="A9" s="152">
        <v>44013.0</v>
      </c>
      <c r="B9" s="135" t="s">
        <v>165</v>
      </c>
      <c r="C9" s="153" t="s">
        <v>46</v>
      </c>
      <c r="D9" s="169">
        <v>0.00125289</v>
      </c>
      <c r="E9" s="139">
        <v>205239.47</v>
      </c>
      <c r="F9" s="141" t="s">
        <v>140</v>
      </c>
      <c r="G9" s="170">
        <f>IFERROR(__xludf.DUMMYFUNCTION("if($C9="""","""",iferror(if(row()&lt;&gt;2,INDEX(arrayformula(filter($H$2:$H8,$C$2:$C8&lt;&gt;"""",row($C$2:$C8)=max(if($C$2:$C8=C9,row($C$2:$C8),0)))) ,1),0),0))"),0.01317276)</f>
        <v>0.01317276</v>
      </c>
      <c r="H9" s="170">
        <f t="shared" si="8"/>
        <v>0.01442565</v>
      </c>
      <c r="I9" s="147">
        <f t="shared" si="1"/>
        <v>257.1424796</v>
      </c>
      <c r="J9" s="147">
        <f t="shared" si="2"/>
        <v>257.1424796</v>
      </c>
      <c r="K9" s="147">
        <f>IFERROR(__xludf.DUMMYFUNCTION("if(C9="""","""",iferror(if(row()&lt;&gt;2,INDEX(arrayformula(filter($L$2:$L8,$C$2:$C8&lt;&gt;"""",row($C$2:$C8)=max(if($C$2:$C8=C9,row($C$2:$C8),0)))) ,1),0),0))"),3951.1914214970006)</f>
        <v>3951.191421</v>
      </c>
      <c r="L9" s="147">
        <f t="shared" si="3"/>
        <v>4208.333901</v>
      </c>
      <c r="M9" s="149">
        <f t="shared" si="4"/>
        <v>291725.7733</v>
      </c>
      <c r="N9" s="147" t="str">
        <f t="shared" si="5"/>
        <v/>
      </c>
      <c r="O9" s="147" t="str">
        <f t="shared" si="6"/>
        <v/>
      </c>
      <c r="P9" s="150" t="str">
        <f t="shared" si="7"/>
        <v/>
      </c>
      <c r="Q9" s="151" t="str">
        <f>IFERROR(VLOOKUP(C9,Ativos!$A$1:$G2000,5,),)</f>
        <v>CRIPTO</v>
      </c>
    </row>
    <row r="10" ht="21.0" customHeight="1">
      <c r="A10" s="152">
        <v>44044.0</v>
      </c>
      <c r="B10" s="135" t="s">
        <v>165</v>
      </c>
      <c r="C10" s="153" t="s">
        <v>49</v>
      </c>
      <c r="D10" s="169">
        <v>0.02328461</v>
      </c>
      <c r="E10" s="139">
        <v>14633.9</v>
      </c>
      <c r="F10" s="141" t="s">
        <v>140</v>
      </c>
      <c r="G10" s="170">
        <f>IFERROR(__xludf.DUMMYFUNCTION("if($C10="""","""",iferror(if(row()&lt;&gt;2,INDEX(arrayformula(filter($H$2:$H9,$C$2:$C9&lt;&gt;"""",row($C$2:$C9)=max(if($C$2:$C9=C10,row($C$2:$C9),0)))) ,1),0),0))"),0.0)</f>
        <v>0</v>
      </c>
      <c r="H10" s="170">
        <f t="shared" si="8"/>
        <v>0.02328461</v>
      </c>
      <c r="I10" s="147">
        <f t="shared" si="1"/>
        <v>340.7446543</v>
      </c>
      <c r="J10" s="147">
        <f t="shared" si="2"/>
        <v>340.7446543</v>
      </c>
      <c r="K10" s="147">
        <f>IFERROR(__xludf.DUMMYFUNCTION("if(C10="""","""",iferror(if(row()&lt;&gt;2,INDEX(arrayformula(filter($L$2:$L9,$C$2:$C9&lt;&gt;"""",row($C$2:$C9)=max(if($C$2:$C9=C10,row($C$2:$C9),0)))) ,1),0),0))"),0.0)</f>
        <v>0</v>
      </c>
      <c r="L10" s="147">
        <f t="shared" si="3"/>
        <v>340.7446543</v>
      </c>
      <c r="M10" s="149">
        <f t="shared" si="4"/>
        <v>14633.9</v>
      </c>
      <c r="N10" s="147" t="str">
        <f t="shared" si="5"/>
        <v/>
      </c>
      <c r="O10" s="147" t="str">
        <f t="shared" si="6"/>
        <v/>
      </c>
      <c r="P10" s="150" t="str">
        <f t="shared" si="7"/>
        <v/>
      </c>
      <c r="Q10" s="151" t="str">
        <f>IFERROR(VLOOKUP(C10,Ativos!$A$1:$G2000,5,),)</f>
        <v>CRIPTO</v>
      </c>
    </row>
    <row r="11" ht="21.0" customHeight="1">
      <c r="A11" s="152">
        <v>44044.0</v>
      </c>
      <c r="B11" s="135" t="s">
        <v>165</v>
      </c>
      <c r="C11" s="153" t="s">
        <v>46</v>
      </c>
      <c r="D11" s="169">
        <v>0.00536471</v>
      </c>
      <c r="E11" s="139">
        <v>164499.95</v>
      </c>
      <c r="F11" s="141" t="s">
        <v>140</v>
      </c>
      <c r="G11" s="170">
        <f>IFERROR(__xludf.DUMMYFUNCTION("if($C11="""","""",iferror(if(row()&lt;&gt;2,INDEX(arrayformula(filter($H$2:$H10,$C$2:$C10&lt;&gt;"""",row($C$2:$C10)=max(if($C$2:$C10=C11,row($C$2:$C10),0)))) ,1),0),0))"),0.01442565)</f>
        <v>0.01442565</v>
      </c>
      <c r="H11" s="170">
        <f t="shared" si="8"/>
        <v>0.01979036</v>
      </c>
      <c r="I11" s="147">
        <f t="shared" si="1"/>
        <v>882.4945268</v>
      </c>
      <c r="J11" s="147">
        <f t="shared" si="2"/>
        <v>882.4945268</v>
      </c>
      <c r="K11" s="147">
        <f>IFERROR(__xludf.DUMMYFUNCTION("if(C11="""","""",iferror(if(row()&lt;&gt;2,INDEX(arrayformula(filter($L$2:$L10,$C$2:$C10&lt;&gt;"""",row($C$2:$C10)=max(if($C$2:$C10=C11,row($C$2:$C10),0)))) ,1),0),0))"),4208.333901065301)</f>
        <v>4208.333901</v>
      </c>
      <c r="L11" s="147">
        <f t="shared" si="3"/>
        <v>5090.828428</v>
      </c>
      <c r="M11" s="149">
        <f t="shared" si="4"/>
        <v>257237.7879</v>
      </c>
      <c r="N11" s="147" t="str">
        <f t="shared" si="5"/>
        <v/>
      </c>
      <c r="O11" s="147" t="str">
        <f t="shared" si="6"/>
        <v/>
      </c>
      <c r="P11" s="150" t="str">
        <f t="shared" si="7"/>
        <v/>
      </c>
      <c r="Q11" s="151" t="str">
        <f>IFERROR(VLOOKUP(C11,Ativos!$A$1:$G2000,5,),)</f>
        <v>CRIPTO</v>
      </c>
    </row>
    <row r="12" ht="21.0" customHeight="1">
      <c r="A12" s="152">
        <v>44075.0</v>
      </c>
      <c r="B12" s="135" t="s">
        <v>165</v>
      </c>
      <c r="C12" s="153" t="s">
        <v>49</v>
      </c>
      <c r="D12" s="169">
        <v>0.00911374</v>
      </c>
      <c r="E12" s="139">
        <v>9881.5</v>
      </c>
      <c r="F12" s="141" t="s">
        <v>140</v>
      </c>
      <c r="G12" s="170">
        <f>IFERROR(__xludf.DUMMYFUNCTION("if($C12="""","""",iferror(if(row()&lt;&gt;2,INDEX(arrayformula(filter($H$2:$H11,$C$2:$C11&lt;&gt;"""",row($C$2:$C11)=max(if($C$2:$C11=C12,row($C$2:$C11),0)))) ,1),0),0))"),0.02328461)</f>
        <v>0.02328461</v>
      </c>
      <c r="H12" s="170">
        <f t="shared" si="8"/>
        <v>0.03239835</v>
      </c>
      <c r="I12" s="147">
        <f t="shared" si="1"/>
        <v>90.05742181</v>
      </c>
      <c r="J12" s="147">
        <f t="shared" si="2"/>
        <v>90.05742181</v>
      </c>
      <c r="K12" s="147">
        <f>IFERROR(__xludf.DUMMYFUNCTION("if(C12="""","""",iferror(if(row()&lt;&gt;2,INDEX(arrayformula(filter($L$2:$L11,$C$2:$C11&lt;&gt;"""",row($C$2:$C11)=max(if($C$2:$C11=C12,row($C$2:$C11),0)))) ,1),0),0))"),340.744654279)</f>
        <v>340.7446543</v>
      </c>
      <c r="L12" s="147">
        <f t="shared" si="3"/>
        <v>430.8020761</v>
      </c>
      <c r="M12" s="149">
        <f t="shared" si="4"/>
        <v>13297.03754</v>
      </c>
      <c r="N12" s="147" t="str">
        <f t="shared" si="5"/>
        <v/>
      </c>
      <c r="O12" s="147" t="str">
        <f t="shared" si="6"/>
        <v/>
      </c>
      <c r="P12" s="150" t="str">
        <f t="shared" si="7"/>
        <v/>
      </c>
      <c r="Q12" s="151" t="str">
        <f>IFERROR(VLOOKUP(C12,Ativos!$A$1:$G2000,5,),)</f>
        <v>CRIPTO</v>
      </c>
    </row>
    <row r="13" ht="21.0" customHeight="1">
      <c r="A13" s="152">
        <v>44105.0</v>
      </c>
      <c r="B13" s="135" t="s">
        <v>165</v>
      </c>
      <c r="C13" s="153" t="s">
        <v>46</v>
      </c>
      <c r="D13" s="169">
        <v>9.0177E-4</v>
      </c>
      <c r="E13" s="139">
        <v>247805.61</v>
      </c>
      <c r="F13" s="141" t="s">
        <v>140</v>
      </c>
      <c r="G13" s="170">
        <f>IFERROR(__xludf.DUMMYFUNCTION("if($C13="""","""",iferror(if(row()&lt;&gt;2,INDEX(arrayformula(filter($H$2:$H12,$C$2:$C12&lt;&gt;"""",row($C$2:$C12)=max(if($C$2:$C12=C13,row($C$2:$C12),0)))) ,1),0),0))"),0.01979036)</f>
        <v>0.01979036</v>
      </c>
      <c r="H13" s="170">
        <f t="shared" si="8"/>
        <v>0.02069213</v>
      </c>
      <c r="I13" s="147">
        <f t="shared" si="1"/>
        <v>223.4636649</v>
      </c>
      <c r="J13" s="147">
        <f t="shared" si="2"/>
        <v>223.4636649</v>
      </c>
      <c r="K13" s="147">
        <f>IFERROR(__xludf.DUMMYFUNCTION("if(C13="""","""",iferror(if(row()&lt;&gt;2,INDEX(arrayformula(filter($L$2:$L12,$C$2:$C12&lt;&gt;"""",row($C$2:$C12)=max(if($C$2:$C12=C13,row($C$2:$C12),0)))) ,1),0),0))"),5090.828427829801)</f>
        <v>5090.828428</v>
      </c>
      <c r="L13" s="147">
        <f t="shared" si="3"/>
        <v>5314.292093</v>
      </c>
      <c r="M13" s="149">
        <f t="shared" si="4"/>
        <v>256826.7304</v>
      </c>
      <c r="N13" s="147" t="str">
        <f t="shared" si="5"/>
        <v/>
      </c>
      <c r="O13" s="147" t="str">
        <f t="shared" si="6"/>
        <v/>
      </c>
      <c r="P13" s="150" t="str">
        <f t="shared" si="7"/>
        <v/>
      </c>
      <c r="Q13" s="151" t="str">
        <f>IFERROR(VLOOKUP(C13,Ativos!$A$1:$G2000,5,),)</f>
        <v>CRIPTO</v>
      </c>
    </row>
    <row r="14" ht="21.0" customHeight="1">
      <c r="A14" s="152">
        <v>44136.0</v>
      </c>
      <c r="B14" s="135" t="s">
        <v>165</v>
      </c>
      <c r="C14" s="153" t="s">
        <v>49</v>
      </c>
      <c r="D14" s="169">
        <v>0.02272754</v>
      </c>
      <c r="E14" s="139">
        <v>18331.5</v>
      </c>
      <c r="F14" s="141" t="s">
        <v>140</v>
      </c>
      <c r="G14" s="170">
        <f>IFERROR(__xludf.DUMMYFUNCTION("if($C14="""","""",iferror(if(row()&lt;&gt;2,INDEX(arrayformula(filter($H$2:$H13,$C$2:$C13&lt;&gt;"""",row($C$2:$C13)=max(if($C$2:$C13=C14,row($C$2:$C13),0)))) ,1),0),0))"),0.03239835)</f>
        <v>0.03239835</v>
      </c>
      <c r="H14" s="170">
        <f t="shared" si="8"/>
        <v>0.05512589</v>
      </c>
      <c r="I14" s="147">
        <f t="shared" si="1"/>
        <v>416.6298995</v>
      </c>
      <c r="J14" s="147">
        <f t="shared" si="2"/>
        <v>416.6298995</v>
      </c>
      <c r="K14" s="147">
        <f>IFERROR(__xludf.DUMMYFUNCTION("if(C14="""","""",iferror(if(row()&lt;&gt;2,INDEX(arrayformula(filter($L$2:$L13,$C$2:$C13&lt;&gt;"""",row($C$2:$C13)=max(if($C$2:$C13=C14,row($C$2:$C13),0)))) ,1),0),0))"),430.80207608899997)</f>
        <v>430.8020761</v>
      </c>
      <c r="L14" s="147">
        <f t="shared" si="3"/>
        <v>847.4319756</v>
      </c>
      <c r="M14" s="149">
        <f t="shared" si="4"/>
        <v>15372.66746</v>
      </c>
      <c r="N14" s="147" t="str">
        <f t="shared" si="5"/>
        <v/>
      </c>
      <c r="O14" s="147" t="str">
        <f t="shared" si="6"/>
        <v/>
      </c>
      <c r="P14" s="150" t="str">
        <f t="shared" si="7"/>
        <v/>
      </c>
      <c r="Q14" s="151" t="str">
        <f>IFERROR(VLOOKUP(C14,Ativos!$A$1:$G2000,5,),)</f>
        <v>CRIPTO</v>
      </c>
    </row>
    <row r="15" ht="21.0" customHeight="1">
      <c r="A15" s="152">
        <v>44166.0</v>
      </c>
      <c r="B15" s="135" t="s">
        <v>165</v>
      </c>
      <c r="C15" s="153" t="s">
        <v>46</v>
      </c>
      <c r="D15" s="169">
        <v>0.00118104</v>
      </c>
      <c r="E15" s="139">
        <v>331441.07</v>
      </c>
      <c r="F15" s="141" t="s">
        <v>140</v>
      </c>
      <c r="G15" s="170">
        <f>IFERROR(__xludf.DUMMYFUNCTION("if($C15="""","""",iferror(if(row()&lt;&gt;2,INDEX(arrayformula(filter($H$2:$H14,$C$2:$C14&lt;&gt;"""",row($C$2:$C14)=max(if($C$2:$C14=C15,row($C$2:$C14),0)))) ,1),0),0))"),0.02069213)</f>
        <v>0.02069213</v>
      </c>
      <c r="H15" s="170">
        <f t="shared" si="8"/>
        <v>0.02187317</v>
      </c>
      <c r="I15" s="147">
        <f t="shared" si="1"/>
        <v>391.4451613</v>
      </c>
      <c r="J15" s="147">
        <f t="shared" si="2"/>
        <v>391.4451613</v>
      </c>
      <c r="K15" s="147">
        <f>IFERROR(__xludf.DUMMYFUNCTION("if(C15="""","""",iferror(if(row()&lt;&gt;2,INDEX(arrayformula(filter($L$2:$L14,$C$2:$C14&lt;&gt;"""",row($C$2:$C14)=max(if($C$2:$C14=C15,row($C$2:$C14),0)))) ,1),0),0))"),5314.2920927595005)</f>
        <v>5314.292093</v>
      </c>
      <c r="L15" s="147">
        <f t="shared" si="3"/>
        <v>5705.737254</v>
      </c>
      <c r="M15" s="149">
        <f t="shared" si="4"/>
        <v>260855.5255</v>
      </c>
      <c r="N15" s="147" t="str">
        <f t="shared" si="5"/>
        <v/>
      </c>
      <c r="O15" s="147" t="str">
        <f t="shared" si="6"/>
        <v/>
      </c>
      <c r="P15" s="150" t="str">
        <f t="shared" si="7"/>
        <v/>
      </c>
      <c r="Q15" s="151" t="str">
        <f>IFERROR(VLOOKUP(C15,Ativos!$A$1:$G2000,5,),)</f>
        <v>CRIPTO</v>
      </c>
    </row>
    <row r="16" ht="21.0" customHeight="1">
      <c r="A16" s="152">
        <v>44166.0</v>
      </c>
      <c r="B16" s="135" t="s">
        <v>165</v>
      </c>
      <c r="C16" s="153" t="s">
        <v>49</v>
      </c>
      <c r="D16" s="169">
        <v>0.02175559</v>
      </c>
      <c r="E16" s="139">
        <v>22784.25</v>
      </c>
      <c r="F16" s="141" t="s">
        <v>140</v>
      </c>
      <c r="G16" s="170">
        <f>IFERROR(__xludf.DUMMYFUNCTION("if($C16="""","""",iferror(if(row()&lt;&gt;2,INDEX(arrayformula(filter($H$2:$H15,$C$2:$C15&lt;&gt;"""",row($C$2:$C15)=max(if($C$2:$C15=C16,row($C$2:$C15),0)))) ,1),0),0))"),0.05512589)</f>
        <v>0.05512589</v>
      </c>
      <c r="H16" s="170">
        <f t="shared" si="8"/>
        <v>0.07688148</v>
      </c>
      <c r="I16" s="147">
        <f t="shared" si="1"/>
        <v>495.6848015</v>
      </c>
      <c r="J16" s="147">
        <f t="shared" si="2"/>
        <v>495.6848015</v>
      </c>
      <c r="K16" s="147">
        <f>IFERROR(__xludf.DUMMYFUNCTION("if(C16="""","""",iferror(if(row()&lt;&gt;2,INDEX(arrayformula(filter($L$2:$L15,$C$2:$C15&lt;&gt;"""",row($C$2:$C15)=max(if($C$2:$C15=C16,row($C$2:$C15),0)))) ,1),0),0))"),847.431975599)</f>
        <v>847.4319756</v>
      </c>
      <c r="L16" s="147">
        <f t="shared" si="3"/>
        <v>1343.116777</v>
      </c>
      <c r="M16" s="149">
        <f t="shared" si="4"/>
        <v>17469.96516</v>
      </c>
      <c r="N16" s="147" t="str">
        <f t="shared" si="5"/>
        <v/>
      </c>
      <c r="O16" s="147" t="str">
        <f t="shared" si="6"/>
        <v/>
      </c>
      <c r="P16" s="150" t="str">
        <f t="shared" si="7"/>
        <v/>
      </c>
      <c r="Q16" s="151" t="str">
        <f>IFERROR(VLOOKUP(C16,Ativos!$A$1:$G2000,5,),)</f>
        <v>CRIPTO</v>
      </c>
    </row>
    <row r="17" ht="21.0" customHeight="1">
      <c r="A17" s="152"/>
      <c r="B17" s="135"/>
      <c r="C17" s="153"/>
      <c r="D17" s="169"/>
      <c r="E17" s="139"/>
      <c r="F17" s="141"/>
      <c r="G17" s="170" t="str">
        <f>IFERROR(__xludf.DUMMYFUNCTION("if($C17="""","""",iferror(if(row()&lt;&gt;2,INDEX(arrayformula(filter($H$2:$H16,$C$2:$C16&lt;&gt;"""",row($C$2:$C16)=max(if($C$2:$C16=C17,row($C$2:$C16),0)))) ,1),0),0))"),"")</f>
        <v/>
      </c>
      <c r="H17" s="170" t="str">
        <f t="shared" si="8"/>
        <v/>
      </c>
      <c r="I17" s="147" t="str">
        <f t="shared" si="1"/>
        <v/>
      </c>
      <c r="J17" s="147" t="str">
        <f t="shared" ref="J17:J18" si="9">IF(ISBLANK(A17),IFERROR(1/0),IFS(B17="C",I17,B17="V",I17,B17="A",I17,B17="B",I17,B17="AT",I17))</f>
        <v/>
      </c>
      <c r="K17" s="147" t="str">
        <f>IFERROR(__xludf.DUMMYFUNCTION("if(C17="""","""",iferror(if(row()&lt;&gt;2,INDEX(arrayformula(filter($L$2:$L16,$C$2:$C16&lt;&gt;"""",row($C$2:$C16)=max(if($C$2:$C16=C17,row($C$2:$C16),0)))) ,1),0),0))"),"")</f>
        <v/>
      </c>
      <c r="L17" s="147" t="str">
        <f t="shared" ref="L17:L18" si="10">if(C17="","",if(B17="C",K17+J17,if(B17="V",if(K17&lt;=0,"Erro. s/ qtde.",K17-N17),if(B17="AT",if(K17&lt;=0,"Erro. s/ qtde.",K17-N17),if(B17="B",K17+J17,if(B17="A",K17-J17,if(B17="S",K17,"Error")))))))</f>
        <v/>
      </c>
      <c r="M17" s="149" t="str">
        <f t="shared" ref="M17:M18" si="11">IFERROR(IF(H17=0,0,L17/H17),)</f>
        <v/>
      </c>
      <c r="N17" s="147" t="str">
        <f t="shared" ref="N17:N18" si="12">if(C17="","",if(B17="V",if(G17=0,0,D17/G17*K17),""))</f>
        <v/>
      </c>
      <c r="O17" s="147" t="str">
        <f t="shared" si="6"/>
        <v/>
      </c>
      <c r="P17" s="150" t="str">
        <f t="shared" si="7"/>
        <v/>
      </c>
      <c r="Q17" s="151" t="str">
        <f>IFERROR(VLOOKUP(C17,Ativos!$A$1:$G2000,5,),)</f>
        <v/>
      </c>
    </row>
    <row r="18" ht="21.0" customHeight="1">
      <c r="A18" s="152"/>
      <c r="B18" s="135"/>
      <c r="C18" s="153"/>
      <c r="D18" s="169"/>
      <c r="E18" s="139"/>
      <c r="F18" s="141"/>
      <c r="G18" s="170" t="str">
        <f>IFERROR(__xludf.DUMMYFUNCTION("if($C18="""","""",iferror(if(row()&lt;&gt;2,INDEX(arrayformula(filter($H$2:$H17,$C$2:$C17&lt;&gt;"""",row($C$2:$C17)=max(if($C$2:$C17=C18,row($C$2:$C17),0)))) ,1),0),0))"),"")</f>
        <v/>
      </c>
      <c r="H18" s="170" t="str">
        <f t="shared" si="8"/>
        <v/>
      </c>
      <c r="I18" s="147" t="str">
        <f t="shared" si="1"/>
        <v/>
      </c>
      <c r="J18" s="147" t="str">
        <f t="shared" si="9"/>
        <v/>
      </c>
      <c r="K18" s="147" t="str">
        <f>IFERROR(__xludf.DUMMYFUNCTION("if(C18="""","""",iferror(if(row()&lt;&gt;2,INDEX(arrayformula(filter($L$2:$L17,$C$2:$C17&lt;&gt;"""",row($C$2:$C17)=max(if($C$2:$C17=C18,row($C$2:$C17),0)))) ,1),0),0))"),"")</f>
        <v/>
      </c>
      <c r="L18" s="147" t="str">
        <f t="shared" si="10"/>
        <v/>
      </c>
      <c r="M18" s="149" t="str">
        <f t="shared" si="11"/>
        <v/>
      </c>
      <c r="N18" s="147" t="str">
        <f t="shared" si="12"/>
        <v/>
      </c>
      <c r="O18" s="147" t="str">
        <f t="shared" si="6"/>
        <v/>
      </c>
      <c r="P18" s="150" t="str">
        <f t="shared" si="7"/>
        <v/>
      </c>
      <c r="Q18" s="151" t="str">
        <f>IFERROR(VLOOKUP(C18,Ativos!$A$1:$G2000,5,),)</f>
        <v/>
      </c>
    </row>
    <row r="19" ht="21.0" customHeight="1">
      <c r="A19" s="152"/>
      <c r="B19" s="135"/>
      <c r="C19" s="153"/>
      <c r="D19" s="169"/>
      <c r="E19" s="139"/>
      <c r="F19" s="141"/>
      <c r="G19" s="170" t="str">
        <f>IFERROR(__xludf.DUMMYFUNCTION("if($C19="""","""",iferror(if(row()&lt;&gt;2,INDEX(arrayformula(filter($H$2:$H18,$C$2:$C18&lt;&gt;"""",row($C$2:$C18)=max(if($C$2:$C18=C19,row($C$2:$C18),0)))) ,1),0),0))"),"")</f>
        <v/>
      </c>
      <c r="H19" s="170" t="str">
        <f t="shared" si="8"/>
        <v/>
      </c>
      <c r="I19" s="147" t="str">
        <f t="shared" si="1"/>
        <v/>
      </c>
      <c r="J19" s="147" t="str">
        <f t="shared" ref="J19:J2000" si="13">IF(ISBLANK(A19),IFERROR(1/0),IFS(B19="C",I19,B19="V",I19,B19="A",I19,B19="B",I19,B19="AT",I19))</f>
        <v/>
      </c>
      <c r="K19" s="147" t="str">
        <f>IFERROR(__xludf.DUMMYFUNCTION("if(C19="""","""",iferror(if(row()&lt;&gt;2,INDEX(arrayformula(filter($L$2:$L18,$C$2:$C18&lt;&gt;"""",row($C$2:$C18)=max(if($C$2:$C18=C19,row($C$2:$C18),0)))) ,1),0),0))"),"")</f>
        <v/>
      </c>
      <c r="L19" s="147" t="str">
        <f t="shared" ref="L19:L2000" si="14">if(C19="","",if(B19="C",K19+J19,if(B19="V",if(K19&lt;=0,"Erro. s/ qtde.",K19-N19),if(B19="AT",if(K19&lt;=0,"Erro. s/ qtde.",K19-N19),if(B19="B",K19+J19,if(B19="A",K19-J19,if(B19="S",K19,"Error")))))))</f>
        <v/>
      </c>
      <c r="M19" s="149" t="str">
        <f t="shared" ref="M19:M2000" si="15">IFERROR(IF(H19=0,0,L19/H19),)</f>
        <v/>
      </c>
      <c r="N19" s="147" t="str">
        <f t="shared" ref="N19:N2000" si="16">if(C19="","",if(B19="V",if(G19=0,0,D19/G19*K19),""))</f>
        <v/>
      </c>
      <c r="O19" s="147" t="str">
        <f t="shared" si="6"/>
        <v/>
      </c>
      <c r="P19" s="150" t="str">
        <f t="shared" si="7"/>
        <v/>
      </c>
      <c r="Q19" s="151" t="str">
        <f>IFERROR(VLOOKUP(C19,Ativos!$A$1:$G2000,5,),)</f>
        <v/>
      </c>
    </row>
    <row r="20" ht="21.0" customHeight="1">
      <c r="A20" s="152"/>
      <c r="B20" s="135"/>
      <c r="C20" s="153"/>
      <c r="D20" s="169"/>
      <c r="E20" s="139"/>
      <c r="F20" s="141"/>
      <c r="G20" s="170" t="str">
        <f>IFERROR(__xludf.DUMMYFUNCTION("if($C20="""","""",iferror(if(row()&lt;&gt;2,INDEX(arrayformula(filter($H$2:$H19,$C$2:$C19&lt;&gt;"""",row($C$2:$C19)=max(if($C$2:$C19=C20,row($C$2:$C19),0)))) ,1),0),0))"),"")</f>
        <v/>
      </c>
      <c r="H20" s="170" t="str">
        <f t="shared" si="8"/>
        <v/>
      </c>
      <c r="I20" s="147" t="str">
        <f t="shared" si="1"/>
        <v/>
      </c>
      <c r="J20" s="147" t="str">
        <f t="shared" si="13"/>
        <v/>
      </c>
      <c r="K20" s="147" t="str">
        <f>IFERROR(__xludf.DUMMYFUNCTION("if(C20="""","""",iferror(if(row()&lt;&gt;2,INDEX(arrayformula(filter($L$2:$L19,$C$2:$C19&lt;&gt;"""",row($C$2:$C19)=max(if($C$2:$C19=C20,row($C$2:$C19),0)))) ,1),0),0))"),"")</f>
        <v/>
      </c>
      <c r="L20" s="147" t="str">
        <f t="shared" si="14"/>
        <v/>
      </c>
      <c r="M20" s="149" t="str">
        <f t="shared" si="15"/>
        <v/>
      </c>
      <c r="N20" s="147" t="str">
        <f t="shared" si="16"/>
        <v/>
      </c>
      <c r="O20" s="147" t="str">
        <f t="shared" si="6"/>
        <v/>
      </c>
      <c r="P20" s="150" t="str">
        <f t="shared" si="7"/>
        <v/>
      </c>
      <c r="Q20" s="151" t="str">
        <f>IFERROR(VLOOKUP(C20,Ativos!$A$1:$G2000,5,),)</f>
        <v/>
      </c>
    </row>
    <row r="21" ht="21.0" customHeight="1">
      <c r="A21" s="134"/>
      <c r="B21" s="135"/>
      <c r="C21" s="136"/>
      <c r="D21" s="171"/>
      <c r="E21" s="138"/>
      <c r="F21" s="141"/>
      <c r="G21" s="170" t="str">
        <f>IFERROR(__xludf.DUMMYFUNCTION("if($C21="""","""",iferror(if(row()&lt;&gt;2,INDEX(arrayformula(filter($H$2:$H20,$C$2:$C20&lt;&gt;"""",row($C$2:$C20)=max(if($C$2:$C20=C21,row($C$2:$C20),0)))) ,1),0),0))"),"")</f>
        <v/>
      </c>
      <c r="H21" s="170" t="str">
        <f t="shared" si="8"/>
        <v/>
      </c>
      <c r="I21" s="147" t="str">
        <f t="shared" si="1"/>
        <v/>
      </c>
      <c r="J21" s="147" t="str">
        <f t="shared" si="13"/>
        <v/>
      </c>
      <c r="K21" s="147" t="str">
        <f>IFERROR(__xludf.DUMMYFUNCTION("if(C21="""","""",iferror(if(row()&lt;&gt;2,INDEX(arrayformula(filter($L$2:$L20,$C$2:$C20&lt;&gt;"""",row($C$2:$C20)=max(if($C$2:$C20=C21,row($C$2:$C20),0)))) ,1),0),0))"),"")</f>
        <v/>
      </c>
      <c r="L21" s="147" t="str">
        <f t="shared" si="14"/>
        <v/>
      </c>
      <c r="M21" s="149" t="str">
        <f t="shared" si="15"/>
        <v/>
      </c>
      <c r="N21" s="147" t="str">
        <f t="shared" si="16"/>
        <v/>
      </c>
      <c r="O21" s="147" t="str">
        <f t="shared" si="6"/>
        <v/>
      </c>
      <c r="P21" s="150" t="str">
        <f t="shared" si="7"/>
        <v/>
      </c>
      <c r="Q21" s="151" t="str">
        <f>IFERROR(VLOOKUP(C21,Ativos!$A$1:$G2000,5,),)</f>
        <v/>
      </c>
    </row>
    <row r="22" ht="21.0" customHeight="1">
      <c r="A22" s="134"/>
      <c r="B22" s="135"/>
      <c r="C22" s="136"/>
      <c r="D22" s="171"/>
      <c r="E22" s="138"/>
      <c r="F22" s="141"/>
      <c r="G22" s="170" t="str">
        <f>IFERROR(__xludf.DUMMYFUNCTION("if($C22="""","""",iferror(if(row()&lt;&gt;2,INDEX(arrayformula(filter($H$2:$H21,$C$2:$C21&lt;&gt;"""",row($C$2:$C21)=max(if($C$2:$C21=C22,row($C$2:$C21),0)))) ,1),0),0))"),"")</f>
        <v/>
      </c>
      <c r="H22" s="170" t="str">
        <f t="shared" si="8"/>
        <v/>
      </c>
      <c r="I22" s="147" t="str">
        <f t="shared" si="1"/>
        <v/>
      </c>
      <c r="J22" s="147" t="str">
        <f t="shared" si="13"/>
        <v/>
      </c>
      <c r="K22" s="147" t="str">
        <f>IFERROR(__xludf.DUMMYFUNCTION("if(C22="""","""",iferror(if(row()&lt;&gt;2,INDEX(arrayformula(filter($L$2:$L21,$C$2:$C21&lt;&gt;"""",row($C$2:$C21)=max(if($C$2:$C21=C22,row($C$2:$C21),0)))) ,1),0),0))"),"")</f>
        <v/>
      </c>
      <c r="L22" s="147" t="str">
        <f t="shared" si="14"/>
        <v/>
      </c>
      <c r="M22" s="149" t="str">
        <f t="shared" si="15"/>
        <v/>
      </c>
      <c r="N22" s="147" t="str">
        <f t="shared" si="16"/>
        <v/>
      </c>
      <c r="O22" s="147" t="str">
        <f t="shared" si="6"/>
        <v/>
      </c>
      <c r="P22" s="150" t="str">
        <f t="shared" si="7"/>
        <v/>
      </c>
      <c r="Q22" s="151" t="str">
        <f>IFERROR(VLOOKUP(C22,Ativos!$A$1:$G2000,5,),)</f>
        <v/>
      </c>
    </row>
    <row r="23" ht="21.0" customHeight="1">
      <c r="A23" s="134"/>
      <c r="B23" s="135"/>
      <c r="C23" s="136"/>
      <c r="D23" s="171"/>
      <c r="E23" s="138"/>
      <c r="F23" s="141"/>
      <c r="G23" s="170" t="str">
        <f>IFERROR(__xludf.DUMMYFUNCTION("if($C23="""","""",iferror(if(row()&lt;&gt;2,INDEX(arrayformula(filter($H$2:$H22,$C$2:$C22&lt;&gt;"""",row($C$2:$C22)=max(if($C$2:$C22=C23,row($C$2:$C22),0)))) ,1),0),0))"),"")</f>
        <v/>
      </c>
      <c r="H23" s="170" t="str">
        <f t="shared" si="8"/>
        <v/>
      </c>
      <c r="I23" s="147" t="str">
        <f t="shared" si="1"/>
        <v/>
      </c>
      <c r="J23" s="147" t="str">
        <f t="shared" si="13"/>
        <v/>
      </c>
      <c r="K23" s="147" t="str">
        <f>IFERROR(__xludf.DUMMYFUNCTION("if(C23="""","""",iferror(if(row()&lt;&gt;2,INDEX(arrayformula(filter($L$2:$L22,$C$2:$C22&lt;&gt;"""",row($C$2:$C22)=max(if($C$2:$C22=C23,row($C$2:$C22),0)))) ,1),0),0))"),"")</f>
        <v/>
      </c>
      <c r="L23" s="147" t="str">
        <f t="shared" si="14"/>
        <v/>
      </c>
      <c r="M23" s="149" t="str">
        <f t="shared" si="15"/>
        <v/>
      </c>
      <c r="N23" s="147" t="str">
        <f t="shared" si="16"/>
        <v/>
      </c>
      <c r="O23" s="147" t="str">
        <f t="shared" si="6"/>
        <v/>
      </c>
      <c r="P23" s="150" t="str">
        <f t="shared" si="7"/>
        <v/>
      </c>
      <c r="Q23" s="151" t="str">
        <f>IFERROR(VLOOKUP(C23,Ativos!$A$1:$G2000,5,),)</f>
        <v/>
      </c>
    </row>
    <row r="24" ht="21.0" customHeight="1">
      <c r="A24" s="134"/>
      <c r="B24" s="135"/>
      <c r="C24" s="136"/>
      <c r="D24" s="171"/>
      <c r="E24" s="138"/>
      <c r="F24" s="141"/>
      <c r="G24" s="170" t="str">
        <f>IFERROR(__xludf.DUMMYFUNCTION("if($C24="""","""",iferror(if(row()&lt;&gt;2,INDEX(arrayformula(filter($H$2:$H23,$C$2:$C23&lt;&gt;"""",row($C$2:$C23)=max(if($C$2:$C23=C24,row($C$2:$C23),0)))) ,1),0),0))"),"")</f>
        <v/>
      </c>
      <c r="H24" s="170" t="str">
        <f t="shared" si="8"/>
        <v/>
      </c>
      <c r="I24" s="147" t="str">
        <f t="shared" si="1"/>
        <v/>
      </c>
      <c r="J24" s="147" t="str">
        <f t="shared" si="13"/>
        <v/>
      </c>
      <c r="K24" s="147" t="str">
        <f>IFERROR(__xludf.DUMMYFUNCTION("if(C24="""","""",iferror(if(row()&lt;&gt;2,INDEX(arrayformula(filter($L$2:$L23,$C$2:$C23&lt;&gt;"""",row($C$2:$C23)=max(if($C$2:$C23=C24,row($C$2:$C23),0)))) ,1),0),0))"),"")</f>
        <v/>
      </c>
      <c r="L24" s="147" t="str">
        <f t="shared" si="14"/>
        <v/>
      </c>
      <c r="M24" s="149" t="str">
        <f t="shared" si="15"/>
        <v/>
      </c>
      <c r="N24" s="147" t="str">
        <f t="shared" si="16"/>
        <v/>
      </c>
      <c r="O24" s="147" t="str">
        <f t="shared" si="6"/>
        <v/>
      </c>
      <c r="P24" s="150" t="str">
        <f t="shared" si="7"/>
        <v/>
      </c>
      <c r="Q24" s="151" t="str">
        <f>IFERROR(VLOOKUP(C24,Ativos!$A$1:$G2000,5,),)</f>
        <v/>
      </c>
    </row>
    <row r="25" ht="21.0" customHeight="1">
      <c r="A25" s="134"/>
      <c r="B25" s="135"/>
      <c r="C25" s="136"/>
      <c r="D25" s="171"/>
      <c r="E25" s="138"/>
      <c r="F25" s="141"/>
      <c r="G25" s="170" t="str">
        <f>IFERROR(__xludf.DUMMYFUNCTION("if($C25="""","""",iferror(if(row()&lt;&gt;2,INDEX(arrayformula(filter($H$2:$H24,$C$2:$C24&lt;&gt;"""",row($C$2:$C24)=max(if($C$2:$C24=C25,row($C$2:$C24),0)))) ,1),0),0))"),"")</f>
        <v/>
      </c>
      <c r="H25" s="170" t="str">
        <f t="shared" si="8"/>
        <v/>
      </c>
      <c r="I25" s="147" t="str">
        <f t="shared" si="1"/>
        <v/>
      </c>
      <c r="J25" s="147" t="str">
        <f t="shared" si="13"/>
        <v/>
      </c>
      <c r="K25" s="147" t="str">
        <f>IFERROR(__xludf.DUMMYFUNCTION("if(C25="""","""",iferror(if(row()&lt;&gt;2,INDEX(arrayformula(filter($L$2:$L24,$C$2:$C24&lt;&gt;"""",row($C$2:$C24)=max(if($C$2:$C24=C25,row($C$2:$C24),0)))) ,1),0),0))"),"")</f>
        <v/>
      </c>
      <c r="L25" s="147" t="str">
        <f t="shared" si="14"/>
        <v/>
      </c>
      <c r="M25" s="149" t="str">
        <f t="shared" si="15"/>
        <v/>
      </c>
      <c r="N25" s="147" t="str">
        <f t="shared" si="16"/>
        <v/>
      </c>
      <c r="O25" s="147" t="str">
        <f t="shared" si="6"/>
        <v/>
      </c>
      <c r="P25" s="150" t="str">
        <f t="shared" si="7"/>
        <v/>
      </c>
      <c r="Q25" s="151" t="str">
        <f>IFERROR(VLOOKUP(C25,Ativos!$A$1:$G2000,5,),)</f>
        <v/>
      </c>
    </row>
    <row r="26" ht="21.0" customHeight="1">
      <c r="A26" s="134"/>
      <c r="B26" s="135"/>
      <c r="C26" s="136"/>
      <c r="D26" s="171"/>
      <c r="E26" s="138"/>
      <c r="F26" s="141"/>
      <c r="G26" s="170" t="str">
        <f>IFERROR(__xludf.DUMMYFUNCTION("if($C26="""","""",iferror(if(row()&lt;&gt;2,INDEX(arrayformula(filter($H$2:$H25,$C$2:$C25&lt;&gt;"""",row($C$2:$C25)=max(if($C$2:$C25=C26,row($C$2:$C25),0)))) ,1),0),0))"),"")</f>
        <v/>
      </c>
      <c r="H26" s="170" t="str">
        <f t="shared" si="8"/>
        <v/>
      </c>
      <c r="I26" s="147" t="str">
        <f t="shared" si="1"/>
        <v/>
      </c>
      <c r="J26" s="147" t="str">
        <f t="shared" si="13"/>
        <v/>
      </c>
      <c r="K26" s="147" t="str">
        <f>IFERROR(__xludf.DUMMYFUNCTION("if(C26="""","""",iferror(if(row()&lt;&gt;2,INDEX(arrayformula(filter($L$2:$L25,$C$2:$C25&lt;&gt;"""",row($C$2:$C25)=max(if($C$2:$C25=C26,row($C$2:$C25),0)))) ,1),0),0))"),"")</f>
        <v/>
      </c>
      <c r="L26" s="147" t="str">
        <f t="shared" si="14"/>
        <v/>
      </c>
      <c r="M26" s="149" t="str">
        <f t="shared" si="15"/>
        <v/>
      </c>
      <c r="N26" s="147" t="str">
        <f t="shared" si="16"/>
        <v/>
      </c>
      <c r="O26" s="147" t="str">
        <f t="shared" si="6"/>
        <v/>
      </c>
      <c r="P26" s="150" t="str">
        <f t="shared" si="7"/>
        <v/>
      </c>
      <c r="Q26" s="151" t="str">
        <f>IFERROR(VLOOKUP(C26,Ativos!$A$1:$G2000,5,),)</f>
        <v/>
      </c>
    </row>
    <row r="27" ht="21.0" customHeight="1">
      <c r="A27" s="134"/>
      <c r="B27" s="135"/>
      <c r="C27" s="136"/>
      <c r="D27" s="171"/>
      <c r="E27" s="138"/>
      <c r="F27" s="141"/>
      <c r="G27" s="170" t="str">
        <f>IFERROR(__xludf.DUMMYFUNCTION("if($C27="""","""",iferror(if(row()&lt;&gt;2,INDEX(arrayformula(filter($H$2:$H26,$C$2:$C26&lt;&gt;"""",row($C$2:$C26)=max(if($C$2:$C26=C27,row($C$2:$C26),0)))) ,1),0),0))"),"")</f>
        <v/>
      </c>
      <c r="H27" s="170" t="str">
        <f t="shared" si="8"/>
        <v/>
      </c>
      <c r="I27" s="147" t="str">
        <f t="shared" si="1"/>
        <v/>
      </c>
      <c r="J27" s="147" t="str">
        <f t="shared" si="13"/>
        <v/>
      </c>
      <c r="K27" s="147" t="str">
        <f>IFERROR(__xludf.DUMMYFUNCTION("if(C27="""","""",iferror(if(row()&lt;&gt;2,INDEX(arrayformula(filter($L$2:$L26,$C$2:$C26&lt;&gt;"""",row($C$2:$C26)=max(if($C$2:$C26=C27,row($C$2:$C26),0)))) ,1),0),0))"),"")</f>
        <v/>
      </c>
      <c r="L27" s="147" t="str">
        <f t="shared" si="14"/>
        <v/>
      </c>
      <c r="M27" s="149" t="str">
        <f t="shared" si="15"/>
        <v/>
      </c>
      <c r="N27" s="147" t="str">
        <f t="shared" si="16"/>
        <v/>
      </c>
      <c r="O27" s="147" t="str">
        <f t="shared" si="6"/>
        <v/>
      </c>
      <c r="P27" s="150" t="str">
        <f t="shared" si="7"/>
        <v/>
      </c>
      <c r="Q27" s="151" t="str">
        <f>IFERROR(VLOOKUP(C27,Ativos!$A$1:$G2000,5,),)</f>
        <v/>
      </c>
    </row>
    <row r="28" ht="21.0" customHeight="1">
      <c r="A28" s="134"/>
      <c r="B28" s="135"/>
      <c r="C28" s="136"/>
      <c r="D28" s="171"/>
      <c r="E28" s="138"/>
      <c r="F28" s="141"/>
      <c r="G28" s="170" t="str">
        <f>IFERROR(__xludf.DUMMYFUNCTION("if($C28="""","""",iferror(if(row()&lt;&gt;2,INDEX(arrayformula(filter($H$2:$H27,$C$2:$C27&lt;&gt;"""",row($C$2:$C27)=max(if($C$2:$C27=C28,row($C$2:$C27),0)))) ,1),0),0))"),"")</f>
        <v/>
      </c>
      <c r="H28" s="170" t="str">
        <f t="shared" si="8"/>
        <v/>
      </c>
      <c r="I28" s="147" t="str">
        <f t="shared" si="1"/>
        <v/>
      </c>
      <c r="J28" s="147" t="str">
        <f t="shared" si="13"/>
        <v/>
      </c>
      <c r="K28" s="147" t="str">
        <f>IFERROR(__xludf.DUMMYFUNCTION("if(C28="""","""",iferror(if(row()&lt;&gt;2,INDEX(arrayformula(filter($L$2:$L27,$C$2:$C27&lt;&gt;"""",row($C$2:$C27)=max(if($C$2:$C27=C28,row($C$2:$C27),0)))) ,1),0),0))"),"")</f>
        <v/>
      </c>
      <c r="L28" s="147" t="str">
        <f t="shared" si="14"/>
        <v/>
      </c>
      <c r="M28" s="149" t="str">
        <f t="shared" si="15"/>
        <v/>
      </c>
      <c r="N28" s="147" t="str">
        <f t="shared" si="16"/>
        <v/>
      </c>
      <c r="O28" s="147" t="str">
        <f t="shared" si="6"/>
        <v/>
      </c>
      <c r="P28" s="150" t="str">
        <f t="shared" si="7"/>
        <v/>
      </c>
      <c r="Q28" s="151" t="str">
        <f>IFERROR(VLOOKUP(C28,Ativos!$A$1:$G2000,5,),)</f>
        <v/>
      </c>
    </row>
    <row r="29" ht="21.0" customHeight="1">
      <c r="A29" s="134"/>
      <c r="B29" s="135"/>
      <c r="C29" s="136"/>
      <c r="D29" s="171"/>
      <c r="E29" s="138"/>
      <c r="F29" s="141"/>
      <c r="G29" s="170" t="str">
        <f>IFERROR(__xludf.DUMMYFUNCTION("if($C29="""","""",iferror(if(row()&lt;&gt;2,INDEX(arrayformula(filter($H$2:$H28,$C$2:$C28&lt;&gt;"""",row($C$2:$C28)=max(if($C$2:$C28=C29,row($C$2:$C28),0)))) ,1),0),0))"),"")</f>
        <v/>
      </c>
      <c r="H29" s="170" t="str">
        <f t="shared" si="8"/>
        <v/>
      </c>
      <c r="I29" s="147" t="str">
        <f t="shared" si="1"/>
        <v/>
      </c>
      <c r="J29" s="147" t="str">
        <f t="shared" si="13"/>
        <v/>
      </c>
      <c r="K29" s="147" t="str">
        <f>IFERROR(__xludf.DUMMYFUNCTION("if(C29="""","""",iferror(if(row()&lt;&gt;2,INDEX(arrayformula(filter($L$2:$L28,$C$2:$C28&lt;&gt;"""",row($C$2:$C28)=max(if($C$2:$C28=C29,row($C$2:$C28),0)))) ,1),0),0))"),"")</f>
        <v/>
      </c>
      <c r="L29" s="147" t="str">
        <f t="shared" si="14"/>
        <v/>
      </c>
      <c r="M29" s="149" t="str">
        <f t="shared" si="15"/>
        <v/>
      </c>
      <c r="N29" s="147" t="str">
        <f t="shared" si="16"/>
        <v/>
      </c>
      <c r="O29" s="147" t="str">
        <f t="shared" si="6"/>
        <v/>
      </c>
      <c r="P29" s="150" t="str">
        <f t="shared" si="7"/>
        <v/>
      </c>
      <c r="Q29" s="151" t="str">
        <f>IFERROR(VLOOKUP(C29,Ativos!$A$1:$G2000,5,),)</f>
        <v/>
      </c>
    </row>
    <row r="30" ht="21.0" customHeight="1">
      <c r="A30" s="134"/>
      <c r="B30" s="135"/>
      <c r="C30" s="136"/>
      <c r="D30" s="171"/>
      <c r="E30" s="138"/>
      <c r="F30" s="141"/>
      <c r="G30" s="170" t="str">
        <f>IFERROR(__xludf.DUMMYFUNCTION("if($C30="""","""",iferror(if(row()&lt;&gt;2,INDEX(arrayformula(filter($H$2:$H29,$C$2:$C29&lt;&gt;"""",row($C$2:$C29)=max(if($C$2:$C29=C30,row($C$2:$C29),0)))) ,1),0),0))"),"")</f>
        <v/>
      </c>
      <c r="H30" s="170" t="str">
        <f t="shared" si="8"/>
        <v/>
      </c>
      <c r="I30" s="147" t="str">
        <f t="shared" si="1"/>
        <v/>
      </c>
      <c r="J30" s="147" t="str">
        <f t="shared" si="13"/>
        <v/>
      </c>
      <c r="K30" s="147" t="str">
        <f>IFERROR(__xludf.DUMMYFUNCTION("if(C30="""","""",iferror(if(row()&lt;&gt;2,INDEX(arrayformula(filter($L$2:$L29,$C$2:$C29&lt;&gt;"""",row($C$2:$C29)=max(if($C$2:$C29=C30,row($C$2:$C29),0)))) ,1),0),0))"),"")</f>
        <v/>
      </c>
      <c r="L30" s="147" t="str">
        <f t="shared" si="14"/>
        <v/>
      </c>
      <c r="M30" s="149" t="str">
        <f t="shared" si="15"/>
        <v/>
      </c>
      <c r="N30" s="147" t="str">
        <f t="shared" si="16"/>
        <v/>
      </c>
      <c r="O30" s="147" t="str">
        <f t="shared" si="6"/>
        <v/>
      </c>
      <c r="P30" s="150" t="str">
        <f t="shared" si="7"/>
        <v/>
      </c>
      <c r="Q30" s="151" t="str">
        <f>IFERROR(VLOOKUP(C30,Ativos!$A$1:$G2000,5,),)</f>
        <v/>
      </c>
    </row>
    <row r="31" ht="21.0" customHeight="1">
      <c r="A31" s="134"/>
      <c r="B31" s="135"/>
      <c r="C31" s="136"/>
      <c r="D31" s="171"/>
      <c r="E31" s="138"/>
      <c r="F31" s="141"/>
      <c r="G31" s="170" t="str">
        <f>IFERROR(__xludf.DUMMYFUNCTION("if($C31="""","""",iferror(if(row()&lt;&gt;2,INDEX(arrayformula(filter($H$2:$H30,$C$2:$C30&lt;&gt;"""",row($C$2:$C30)=max(if($C$2:$C30=C31,row($C$2:$C30),0)))) ,1),0),0))"),"")</f>
        <v/>
      </c>
      <c r="H31" s="170" t="str">
        <f t="shared" si="8"/>
        <v/>
      </c>
      <c r="I31" s="147" t="str">
        <f t="shared" si="1"/>
        <v/>
      </c>
      <c r="J31" s="147" t="str">
        <f t="shared" si="13"/>
        <v/>
      </c>
      <c r="K31" s="147" t="str">
        <f>IFERROR(__xludf.DUMMYFUNCTION("if(C31="""","""",iferror(if(row()&lt;&gt;2,INDEX(arrayformula(filter($L$2:$L30,$C$2:$C30&lt;&gt;"""",row($C$2:$C30)=max(if($C$2:$C30=C31,row($C$2:$C30),0)))) ,1),0),0))"),"")</f>
        <v/>
      </c>
      <c r="L31" s="147" t="str">
        <f t="shared" si="14"/>
        <v/>
      </c>
      <c r="M31" s="149" t="str">
        <f t="shared" si="15"/>
        <v/>
      </c>
      <c r="N31" s="147" t="str">
        <f t="shared" si="16"/>
        <v/>
      </c>
      <c r="O31" s="147" t="str">
        <f t="shared" si="6"/>
        <v/>
      </c>
      <c r="P31" s="150" t="str">
        <f t="shared" si="7"/>
        <v/>
      </c>
      <c r="Q31" s="151" t="str">
        <f>IFERROR(VLOOKUP(C31,Ativos!$A$1:$G2000,5,),)</f>
        <v/>
      </c>
    </row>
    <row r="32" ht="21.0" customHeight="1">
      <c r="A32" s="134"/>
      <c r="B32" s="135"/>
      <c r="C32" s="136"/>
      <c r="D32" s="171"/>
      <c r="E32" s="138"/>
      <c r="F32" s="141"/>
      <c r="G32" s="170" t="str">
        <f>IFERROR(__xludf.DUMMYFUNCTION("if($C32="""","""",iferror(if(row()&lt;&gt;2,INDEX(arrayformula(filter($H$2:$H31,$C$2:$C31&lt;&gt;"""",row($C$2:$C31)=max(if($C$2:$C31=C32,row($C$2:$C31),0)))) ,1),0),0))"),"")</f>
        <v/>
      </c>
      <c r="H32" s="170" t="str">
        <f t="shared" si="8"/>
        <v/>
      </c>
      <c r="I32" s="147" t="str">
        <f t="shared" si="1"/>
        <v/>
      </c>
      <c r="J32" s="147" t="str">
        <f t="shared" si="13"/>
        <v/>
      </c>
      <c r="K32" s="147" t="str">
        <f>IFERROR(__xludf.DUMMYFUNCTION("if(C32="""","""",iferror(if(row()&lt;&gt;2,INDEX(arrayformula(filter($L$2:$L31,$C$2:$C31&lt;&gt;"""",row($C$2:$C31)=max(if($C$2:$C31=C32,row($C$2:$C31),0)))) ,1),0),0))"),"")</f>
        <v/>
      </c>
      <c r="L32" s="147" t="str">
        <f t="shared" si="14"/>
        <v/>
      </c>
      <c r="M32" s="149" t="str">
        <f t="shared" si="15"/>
        <v/>
      </c>
      <c r="N32" s="147" t="str">
        <f t="shared" si="16"/>
        <v/>
      </c>
      <c r="O32" s="147" t="str">
        <f t="shared" si="6"/>
        <v/>
      </c>
      <c r="P32" s="150" t="str">
        <f t="shared" si="7"/>
        <v/>
      </c>
      <c r="Q32" s="151" t="str">
        <f>IFERROR(VLOOKUP(C32,Ativos!$A$1:$G2000,5,),)</f>
        <v/>
      </c>
    </row>
    <row r="33" ht="21.0" customHeight="1">
      <c r="A33" s="134"/>
      <c r="B33" s="135"/>
      <c r="C33" s="136"/>
      <c r="D33" s="171"/>
      <c r="E33" s="138"/>
      <c r="F33" s="141"/>
      <c r="G33" s="170" t="str">
        <f>IFERROR(__xludf.DUMMYFUNCTION("if($C33="""","""",iferror(if(row()&lt;&gt;2,INDEX(arrayformula(filter($H$2:$H32,$C$2:$C32&lt;&gt;"""",row($C$2:$C32)=max(if($C$2:$C32=C33,row($C$2:$C32),0)))) ,1),0),0))"),"")</f>
        <v/>
      </c>
      <c r="H33" s="170" t="str">
        <f t="shared" si="8"/>
        <v/>
      </c>
      <c r="I33" s="147" t="str">
        <f t="shared" si="1"/>
        <v/>
      </c>
      <c r="J33" s="147" t="str">
        <f t="shared" si="13"/>
        <v/>
      </c>
      <c r="K33" s="147" t="str">
        <f>IFERROR(__xludf.DUMMYFUNCTION("if(C33="""","""",iferror(if(row()&lt;&gt;2,INDEX(arrayformula(filter($L$2:$L32,$C$2:$C32&lt;&gt;"""",row($C$2:$C32)=max(if($C$2:$C32=C33,row($C$2:$C32),0)))) ,1),0),0))"),"")</f>
        <v/>
      </c>
      <c r="L33" s="147" t="str">
        <f t="shared" si="14"/>
        <v/>
      </c>
      <c r="M33" s="149" t="str">
        <f t="shared" si="15"/>
        <v/>
      </c>
      <c r="N33" s="147" t="str">
        <f t="shared" si="16"/>
        <v/>
      </c>
      <c r="O33" s="147" t="str">
        <f t="shared" si="6"/>
        <v/>
      </c>
      <c r="P33" s="150" t="str">
        <f t="shared" si="7"/>
        <v/>
      </c>
      <c r="Q33" s="151" t="str">
        <f>IFERROR(VLOOKUP(C33,Ativos!$A$1:$G2000,5,),)</f>
        <v/>
      </c>
    </row>
    <row r="34" ht="21.0" customHeight="1">
      <c r="A34" s="134"/>
      <c r="B34" s="135"/>
      <c r="C34" s="136"/>
      <c r="D34" s="171"/>
      <c r="E34" s="138"/>
      <c r="F34" s="141"/>
      <c r="G34" s="170" t="str">
        <f>IFERROR(__xludf.DUMMYFUNCTION("if($C34="""","""",iferror(if(row()&lt;&gt;2,INDEX(arrayformula(filter($H$2:$H33,$C$2:$C33&lt;&gt;"""",row($C$2:$C33)=max(if($C$2:$C33=C34,row($C$2:$C33),0)))) ,1),0),0))"),"")</f>
        <v/>
      </c>
      <c r="H34" s="170" t="str">
        <f t="shared" si="8"/>
        <v/>
      </c>
      <c r="I34" s="147" t="str">
        <f t="shared" si="1"/>
        <v/>
      </c>
      <c r="J34" s="147" t="str">
        <f t="shared" si="13"/>
        <v/>
      </c>
      <c r="K34" s="147" t="str">
        <f>IFERROR(__xludf.DUMMYFUNCTION("if(C34="""","""",iferror(if(row()&lt;&gt;2,INDEX(arrayformula(filter($L$2:$L33,$C$2:$C33&lt;&gt;"""",row($C$2:$C33)=max(if($C$2:$C33=C34,row($C$2:$C33),0)))) ,1),0),0))"),"")</f>
        <v/>
      </c>
      <c r="L34" s="147" t="str">
        <f t="shared" si="14"/>
        <v/>
      </c>
      <c r="M34" s="149" t="str">
        <f t="shared" si="15"/>
        <v/>
      </c>
      <c r="N34" s="147" t="str">
        <f t="shared" si="16"/>
        <v/>
      </c>
      <c r="O34" s="147" t="str">
        <f t="shared" si="6"/>
        <v/>
      </c>
      <c r="P34" s="150" t="str">
        <f t="shared" si="7"/>
        <v/>
      </c>
      <c r="Q34" s="151" t="str">
        <f>IFERROR(VLOOKUP(C34,Ativos!$A$1:$G2000,5,),)</f>
        <v/>
      </c>
    </row>
    <row r="35" ht="21.0" customHeight="1">
      <c r="A35" s="134"/>
      <c r="B35" s="135"/>
      <c r="C35" s="136"/>
      <c r="D35" s="171"/>
      <c r="E35" s="138"/>
      <c r="F35" s="141"/>
      <c r="G35" s="170" t="str">
        <f>IFERROR(__xludf.DUMMYFUNCTION("if($C35="""","""",iferror(if(row()&lt;&gt;2,INDEX(arrayformula(filter($H$2:$H34,$C$2:$C34&lt;&gt;"""",row($C$2:$C34)=max(if($C$2:$C34=C35,row($C$2:$C34),0)))) ,1),0),0))"),"")</f>
        <v/>
      </c>
      <c r="H35" s="170" t="str">
        <f t="shared" si="8"/>
        <v/>
      </c>
      <c r="I35" s="147" t="str">
        <f t="shared" si="1"/>
        <v/>
      </c>
      <c r="J35" s="147" t="str">
        <f t="shared" si="13"/>
        <v/>
      </c>
      <c r="K35" s="147" t="str">
        <f>IFERROR(__xludf.DUMMYFUNCTION("if(C35="""","""",iferror(if(row()&lt;&gt;2,INDEX(arrayformula(filter($L$2:$L34,$C$2:$C34&lt;&gt;"""",row($C$2:$C34)=max(if($C$2:$C34=C35,row($C$2:$C34),0)))) ,1),0),0))"),"")</f>
        <v/>
      </c>
      <c r="L35" s="147" t="str">
        <f t="shared" si="14"/>
        <v/>
      </c>
      <c r="M35" s="149" t="str">
        <f t="shared" si="15"/>
        <v/>
      </c>
      <c r="N35" s="147" t="str">
        <f t="shared" si="16"/>
        <v/>
      </c>
      <c r="O35" s="147" t="str">
        <f t="shared" si="6"/>
        <v/>
      </c>
      <c r="P35" s="150" t="str">
        <f t="shared" si="7"/>
        <v/>
      </c>
      <c r="Q35" s="151" t="str">
        <f>IFERROR(VLOOKUP(C35,Ativos!$A$1:$G2000,5,),)</f>
        <v/>
      </c>
    </row>
    <row r="36" ht="21.0" customHeight="1">
      <c r="A36" s="134"/>
      <c r="B36" s="135"/>
      <c r="C36" s="136"/>
      <c r="D36" s="171"/>
      <c r="E36" s="138"/>
      <c r="F36" s="141"/>
      <c r="G36" s="170" t="str">
        <f>IFERROR(__xludf.DUMMYFUNCTION("if($C36="""","""",iferror(if(row()&lt;&gt;2,INDEX(arrayformula(filter($H$2:$H35,$C$2:$C35&lt;&gt;"""",row($C$2:$C35)=max(if($C$2:$C35=C36,row($C$2:$C35),0)))) ,1),0),0))"),"")</f>
        <v/>
      </c>
      <c r="H36" s="170" t="str">
        <f t="shared" si="8"/>
        <v/>
      </c>
      <c r="I36" s="147" t="str">
        <f t="shared" si="1"/>
        <v/>
      </c>
      <c r="J36" s="147" t="str">
        <f t="shared" si="13"/>
        <v/>
      </c>
      <c r="K36" s="147" t="str">
        <f>IFERROR(__xludf.DUMMYFUNCTION("if(C36="""","""",iferror(if(row()&lt;&gt;2,INDEX(arrayformula(filter($L$2:$L35,$C$2:$C35&lt;&gt;"""",row($C$2:$C35)=max(if($C$2:$C35=C36,row($C$2:$C35),0)))) ,1),0),0))"),"")</f>
        <v/>
      </c>
      <c r="L36" s="147" t="str">
        <f t="shared" si="14"/>
        <v/>
      </c>
      <c r="M36" s="149" t="str">
        <f t="shared" si="15"/>
        <v/>
      </c>
      <c r="N36" s="147" t="str">
        <f t="shared" si="16"/>
        <v/>
      </c>
      <c r="O36" s="147" t="str">
        <f t="shared" si="6"/>
        <v/>
      </c>
      <c r="P36" s="150" t="str">
        <f t="shared" si="7"/>
        <v/>
      </c>
      <c r="Q36" s="151" t="str">
        <f>IFERROR(VLOOKUP(C36,Ativos!$A$1:$G2000,5,),)</f>
        <v/>
      </c>
    </row>
    <row r="37" ht="21.0" customHeight="1">
      <c r="A37" s="134"/>
      <c r="B37" s="135"/>
      <c r="C37" s="136"/>
      <c r="D37" s="171"/>
      <c r="E37" s="138"/>
      <c r="F37" s="141"/>
      <c r="G37" s="170" t="str">
        <f>IFERROR(__xludf.DUMMYFUNCTION("if($C37="""","""",iferror(if(row()&lt;&gt;2,INDEX(arrayformula(filter($H$2:$H36,$C$2:$C36&lt;&gt;"""",row($C$2:$C36)=max(if($C$2:$C36=C37,row($C$2:$C36),0)))) ,1),0),0))"),"")</f>
        <v/>
      </c>
      <c r="H37" s="170" t="str">
        <f t="shared" si="8"/>
        <v/>
      </c>
      <c r="I37" s="147" t="str">
        <f t="shared" si="1"/>
        <v/>
      </c>
      <c r="J37" s="147" t="str">
        <f t="shared" si="13"/>
        <v/>
      </c>
      <c r="K37" s="147" t="str">
        <f>IFERROR(__xludf.DUMMYFUNCTION("if(C37="""","""",iferror(if(row()&lt;&gt;2,INDEX(arrayformula(filter($L$2:$L36,$C$2:$C36&lt;&gt;"""",row($C$2:$C36)=max(if($C$2:$C36=C37,row($C$2:$C36),0)))) ,1),0),0))"),"")</f>
        <v/>
      </c>
      <c r="L37" s="147" t="str">
        <f t="shared" si="14"/>
        <v/>
      </c>
      <c r="M37" s="149" t="str">
        <f t="shared" si="15"/>
        <v/>
      </c>
      <c r="N37" s="147" t="str">
        <f t="shared" si="16"/>
        <v/>
      </c>
      <c r="O37" s="147" t="str">
        <f t="shared" si="6"/>
        <v/>
      </c>
      <c r="P37" s="150" t="str">
        <f t="shared" si="7"/>
        <v/>
      </c>
      <c r="Q37" s="151" t="str">
        <f>IFERROR(VLOOKUP(C37,Ativos!$A$1:$G2000,5,),)</f>
        <v/>
      </c>
    </row>
    <row r="38" ht="21.0" customHeight="1">
      <c r="A38" s="134"/>
      <c r="B38" s="135"/>
      <c r="C38" s="136"/>
      <c r="D38" s="171"/>
      <c r="E38" s="138"/>
      <c r="F38" s="141"/>
      <c r="G38" s="170" t="str">
        <f>IFERROR(__xludf.DUMMYFUNCTION("if($C38="""","""",iferror(if(row()&lt;&gt;2,INDEX(arrayformula(filter($H$2:$H37,$C$2:$C37&lt;&gt;"""",row($C$2:$C37)=max(if($C$2:$C37=C38,row($C$2:$C37),0)))) ,1),0),0))"),"")</f>
        <v/>
      </c>
      <c r="H38" s="170" t="str">
        <f t="shared" si="8"/>
        <v/>
      </c>
      <c r="I38" s="147" t="str">
        <f t="shared" si="1"/>
        <v/>
      </c>
      <c r="J38" s="147" t="str">
        <f t="shared" si="13"/>
        <v/>
      </c>
      <c r="K38" s="147" t="str">
        <f>IFERROR(__xludf.DUMMYFUNCTION("if(C38="""","""",iferror(if(row()&lt;&gt;2,INDEX(arrayformula(filter($L$2:$L37,$C$2:$C37&lt;&gt;"""",row($C$2:$C37)=max(if($C$2:$C37=C38,row($C$2:$C37),0)))) ,1),0),0))"),"")</f>
        <v/>
      </c>
      <c r="L38" s="147" t="str">
        <f t="shared" si="14"/>
        <v/>
      </c>
      <c r="M38" s="149" t="str">
        <f t="shared" si="15"/>
        <v/>
      </c>
      <c r="N38" s="147" t="str">
        <f t="shared" si="16"/>
        <v/>
      </c>
      <c r="O38" s="147" t="str">
        <f t="shared" si="6"/>
        <v/>
      </c>
      <c r="P38" s="150" t="str">
        <f t="shared" si="7"/>
        <v/>
      </c>
      <c r="Q38" s="151" t="str">
        <f>IFERROR(VLOOKUP(C38,Ativos!$A$1:$G2000,5,),)</f>
        <v/>
      </c>
    </row>
    <row r="39" ht="21.0" customHeight="1">
      <c r="A39" s="134"/>
      <c r="B39" s="135"/>
      <c r="C39" s="136"/>
      <c r="D39" s="171"/>
      <c r="E39" s="138"/>
      <c r="F39" s="141"/>
      <c r="G39" s="170" t="str">
        <f>IFERROR(__xludf.DUMMYFUNCTION("if($C39="""","""",iferror(if(row()&lt;&gt;2,INDEX(arrayformula(filter($H$2:$H38,$C$2:$C38&lt;&gt;"""",row($C$2:$C38)=max(if($C$2:$C38=C39,row($C$2:$C38),0)))) ,1),0),0))"),"")</f>
        <v/>
      </c>
      <c r="H39" s="170" t="str">
        <f t="shared" si="8"/>
        <v/>
      </c>
      <c r="I39" s="147" t="str">
        <f t="shared" si="1"/>
        <v/>
      </c>
      <c r="J39" s="147" t="str">
        <f t="shared" si="13"/>
        <v/>
      </c>
      <c r="K39" s="147" t="str">
        <f>IFERROR(__xludf.DUMMYFUNCTION("if(C39="""","""",iferror(if(row()&lt;&gt;2,INDEX(arrayformula(filter($L$2:$L38,$C$2:$C38&lt;&gt;"""",row($C$2:$C38)=max(if($C$2:$C38=C39,row($C$2:$C38),0)))) ,1),0),0))"),"")</f>
        <v/>
      </c>
      <c r="L39" s="147" t="str">
        <f t="shared" si="14"/>
        <v/>
      </c>
      <c r="M39" s="149" t="str">
        <f t="shared" si="15"/>
        <v/>
      </c>
      <c r="N39" s="147" t="str">
        <f t="shared" si="16"/>
        <v/>
      </c>
      <c r="O39" s="147" t="str">
        <f t="shared" si="6"/>
        <v/>
      </c>
      <c r="P39" s="150" t="str">
        <f t="shared" si="7"/>
        <v/>
      </c>
      <c r="Q39" s="151" t="str">
        <f>IFERROR(VLOOKUP(C39,Ativos!$A$1:$G2000,5,),)</f>
        <v/>
      </c>
    </row>
    <row r="40" ht="21.0" customHeight="1">
      <c r="A40" s="134"/>
      <c r="B40" s="135"/>
      <c r="C40" s="136"/>
      <c r="D40" s="171"/>
      <c r="E40" s="138"/>
      <c r="F40" s="141"/>
      <c r="G40" s="170" t="str">
        <f>IFERROR(__xludf.DUMMYFUNCTION("if($C40="""","""",iferror(if(row()&lt;&gt;2,INDEX(arrayformula(filter($H$2:$H39,$C$2:$C39&lt;&gt;"""",row($C$2:$C39)=max(if($C$2:$C39=C40,row($C$2:$C39),0)))) ,1),0),0))"),"")</f>
        <v/>
      </c>
      <c r="H40" s="170" t="str">
        <f t="shared" si="8"/>
        <v/>
      </c>
      <c r="I40" s="147" t="str">
        <f t="shared" si="1"/>
        <v/>
      </c>
      <c r="J40" s="147" t="str">
        <f t="shared" si="13"/>
        <v/>
      </c>
      <c r="K40" s="147" t="str">
        <f>IFERROR(__xludf.DUMMYFUNCTION("if(C40="""","""",iferror(if(row()&lt;&gt;2,INDEX(arrayformula(filter($L$2:$L39,$C$2:$C39&lt;&gt;"""",row($C$2:$C39)=max(if($C$2:$C39=C40,row($C$2:$C39),0)))) ,1),0),0))"),"")</f>
        <v/>
      </c>
      <c r="L40" s="147" t="str">
        <f t="shared" si="14"/>
        <v/>
      </c>
      <c r="M40" s="149" t="str">
        <f t="shared" si="15"/>
        <v/>
      </c>
      <c r="N40" s="147" t="str">
        <f t="shared" si="16"/>
        <v/>
      </c>
      <c r="O40" s="147" t="str">
        <f t="shared" si="6"/>
        <v/>
      </c>
      <c r="P40" s="150" t="str">
        <f t="shared" si="7"/>
        <v/>
      </c>
      <c r="Q40" s="151" t="str">
        <f>IFERROR(VLOOKUP(C40,Ativos!$A$1:$G2000,5,),)</f>
        <v/>
      </c>
    </row>
    <row r="41" ht="21.0" customHeight="1">
      <c r="A41" s="134"/>
      <c r="B41" s="135"/>
      <c r="C41" s="136"/>
      <c r="D41" s="171"/>
      <c r="E41" s="138"/>
      <c r="F41" s="141"/>
      <c r="G41" s="170" t="str">
        <f>IFERROR(__xludf.DUMMYFUNCTION("if($C41="""","""",iferror(if(row()&lt;&gt;2,INDEX(arrayformula(filter($H$2:$H40,$C$2:$C40&lt;&gt;"""",row($C$2:$C40)=max(if($C$2:$C40=C41,row($C$2:$C40),0)))) ,1),0),0))"),"")</f>
        <v/>
      </c>
      <c r="H41" s="170" t="str">
        <f t="shared" si="8"/>
        <v/>
      </c>
      <c r="I41" s="147" t="str">
        <f t="shared" si="1"/>
        <v/>
      </c>
      <c r="J41" s="147" t="str">
        <f t="shared" si="13"/>
        <v/>
      </c>
      <c r="K41" s="147" t="str">
        <f>IFERROR(__xludf.DUMMYFUNCTION("if(C41="""","""",iferror(if(row()&lt;&gt;2,INDEX(arrayformula(filter($L$2:$L40,$C$2:$C40&lt;&gt;"""",row($C$2:$C40)=max(if($C$2:$C40=C41,row($C$2:$C40),0)))) ,1),0),0))"),"")</f>
        <v/>
      </c>
      <c r="L41" s="147" t="str">
        <f t="shared" si="14"/>
        <v/>
      </c>
      <c r="M41" s="149" t="str">
        <f t="shared" si="15"/>
        <v/>
      </c>
      <c r="N41" s="147" t="str">
        <f t="shared" si="16"/>
        <v/>
      </c>
      <c r="O41" s="147" t="str">
        <f t="shared" si="6"/>
        <v/>
      </c>
      <c r="P41" s="150" t="str">
        <f t="shared" si="7"/>
        <v/>
      </c>
      <c r="Q41" s="151" t="str">
        <f>IFERROR(VLOOKUP(C41,Ativos!$A$1:$G2000,5,),)</f>
        <v/>
      </c>
    </row>
    <row r="42" ht="21.0" customHeight="1">
      <c r="A42" s="134"/>
      <c r="B42" s="135"/>
      <c r="C42" s="136"/>
      <c r="D42" s="171"/>
      <c r="E42" s="138"/>
      <c r="F42" s="141"/>
      <c r="G42" s="170" t="str">
        <f>IFERROR(__xludf.DUMMYFUNCTION("if($C42="""","""",iferror(if(row()&lt;&gt;2,INDEX(arrayformula(filter($H$2:$H41,$C$2:$C41&lt;&gt;"""",row($C$2:$C41)=max(if($C$2:$C41=C42,row($C$2:$C41),0)))) ,1),0),0))"),"")</f>
        <v/>
      </c>
      <c r="H42" s="170" t="str">
        <f t="shared" si="8"/>
        <v/>
      </c>
      <c r="I42" s="147" t="str">
        <f t="shared" si="1"/>
        <v/>
      </c>
      <c r="J42" s="147" t="str">
        <f t="shared" si="13"/>
        <v/>
      </c>
      <c r="K42" s="147" t="str">
        <f>IFERROR(__xludf.DUMMYFUNCTION("if(C42="""","""",iferror(if(row()&lt;&gt;2,INDEX(arrayformula(filter($L$2:$L41,$C$2:$C41&lt;&gt;"""",row($C$2:$C41)=max(if($C$2:$C41=C42,row($C$2:$C41),0)))) ,1),0),0))"),"")</f>
        <v/>
      </c>
      <c r="L42" s="147" t="str">
        <f t="shared" si="14"/>
        <v/>
      </c>
      <c r="M42" s="149" t="str">
        <f t="shared" si="15"/>
        <v/>
      </c>
      <c r="N42" s="147" t="str">
        <f t="shared" si="16"/>
        <v/>
      </c>
      <c r="O42" s="147" t="str">
        <f t="shared" si="6"/>
        <v/>
      </c>
      <c r="P42" s="150" t="str">
        <f t="shared" si="7"/>
        <v/>
      </c>
      <c r="Q42" s="151" t="str">
        <f>IFERROR(VLOOKUP(C42,Ativos!$A$1:$G2000,5,),)</f>
        <v/>
      </c>
    </row>
    <row r="43" ht="21.0" customHeight="1">
      <c r="A43" s="134"/>
      <c r="B43" s="135"/>
      <c r="C43" s="136"/>
      <c r="D43" s="171"/>
      <c r="E43" s="138"/>
      <c r="F43" s="141"/>
      <c r="G43" s="170" t="str">
        <f>IFERROR(__xludf.DUMMYFUNCTION("if($C43="""","""",iferror(if(row()&lt;&gt;2,INDEX(arrayformula(filter($H$2:$H42,$C$2:$C42&lt;&gt;"""",row($C$2:$C42)=max(if($C$2:$C42=C43,row($C$2:$C42),0)))) ,1),0),0))"),"")</f>
        <v/>
      </c>
      <c r="H43" s="170" t="str">
        <f t="shared" si="8"/>
        <v/>
      </c>
      <c r="I43" s="147" t="str">
        <f t="shared" si="1"/>
        <v/>
      </c>
      <c r="J43" s="147" t="str">
        <f t="shared" si="13"/>
        <v/>
      </c>
      <c r="K43" s="147" t="str">
        <f>IFERROR(__xludf.DUMMYFUNCTION("if(C43="""","""",iferror(if(row()&lt;&gt;2,INDEX(arrayformula(filter($L$2:$L42,$C$2:$C42&lt;&gt;"""",row($C$2:$C42)=max(if($C$2:$C42=C43,row($C$2:$C42),0)))) ,1),0),0))"),"")</f>
        <v/>
      </c>
      <c r="L43" s="147" t="str">
        <f t="shared" si="14"/>
        <v/>
      </c>
      <c r="M43" s="149" t="str">
        <f t="shared" si="15"/>
        <v/>
      </c>
      <c r="N43" s="147" t="str">
        <f t="shared" si="16"/>
        <v/>
      </c>
      <c r="O43" s="147" t="str">
        <f t="shared" si="6"/>
        <v/>
      </c>
      <c r="P43" s="150" t="str">
        <f t="shared" si="7"/>
        <v/>
      </c>
      <c r="Q43" s="151" t="str">
        <f>IFERROR(VLOOKUP(C43,Ativos!$A$1:$G2000,5,),)</f>
        <v/>
      </c>
    </row>
    <row r="44" ht="21.0" customHeight="1">
      <c r="A44" s="134"/>
      <c r="B44" s="135"/>
      <c r="C44" s="136"/>
      <c r="D44" s="171"/>
      <c r="E44" s="138"/>
      <c r="F44" s="141"/>
      <c r="G44" s="170" t="str">
        <f>IFERROR(__xludf.DUMMYFUNCTION("if($C44="""","""",iferror(if(row()&lt;&gt;2,INDEX(arrayformula(filter($H$2:$H43,$C$2:$C43&lt;&gt;"""",row($C$2:$C43)=max(if($C$2:$C43=C44,row($C$2:$C43),0)))) ,1),0),0))"),"")</f>
        <v/>
      </c>
      <c r="H44" s="170" t="str">
        <f t="shared" si="8"/>
        <v/>
      </c>
      <c r="I44" s="147" t="str">
        <f t="shared" si="1"/>
        <v/>
      </c>
      <c r="J44" s="147" t="str">
        <f t="shared" si="13"/>
        <v/>
      </c>
      <c r="K44" s="147" t="str">
        <f>IFERROR(__xludf.DUMMYFUNCTION("if(C44="""","""",iferror(if(row()&lt;&gt;2,INDEX(arrayformula(filter($L$2:$L43,$C$2:$C43&lt;&gt;"""",row($C$2:$C43)=max(if($C$2:$C43=C44,row($C$2:$C43),0)))) ,1),0),0))"),"")</f>
        <v/>
      </c>
      <c r="L44" s="147" t="str">
        <f t="shared" si="14"/>
        <v/>
      </c>
      <c r="M44" s="149" t="str">
        <f t="shared" si="15"/>
        <v/>
      </c>
      <c r="N44" s="147" t="str">
        <f t="shared" si="16"/>
        <v/>
      </c>
      <c r="O44" s="147" t="str">
        <f t="shared" si="6"/>
        <v/>
      </c>
      <c r="P44" s="150" t="str">
        <f t="shared" si="7"/>
        <v/>
      </c>
      <c r="Q44" s="151" t="str">
        <f>IFERROR(VLOOKUP(C44,Ativos!$A$1:$G2000,5,),)</f>
        <v/>
      </c>
    </row>
    <row r="45" ht="21.0" customHeight="1">
      <c r="A45" s="134"/>
      <c r="B45" s="135"/>
      <c r="C45" s="136"/>
      <c r="D45" s="171"/>
      <c r="E45" s="138"/>
      <c r="F45" s="141"/>
      <c r="G45" s="170" t="str">
        <f>IFERROR(__xludf.DUMMYFUNCTION("if($C45="""","""",iferror(if(row()&lt;&gt;2,INDEX(arrayformula(filter($H$2:$H44,$C$2:$C44&lt;&gt;"""",row($C$2:$C44)=max(if($C$2:$C44=C45,row($C$2:$C44),0)))) ,1),0),0))"),"")</f>
        <v/>
      </c>
      <c r="H45" s="170" t="str">
        <f t="shared" si="8"/>
        <v/>
      </c>
      <c r="I45" s="147" t="str">
        <f t="shared" si="1"/>
        <v/>
      </c>
      <c r="J45" s="147" t="str">
        <f t="shared" si="13"/>
        <v/>
      </c>
      <c r="K45" s="147" t="str">
        <f>IFERROR(__xludf.DUMMYFUNCTION("if(C45="""","""",iferror(if(row()&lt;&gt;2,INDEX(arrayformula(filter($L$2:$L44,$C$2:$C44&lt;&gt;"""",row($C$2:$C44)=max(if($C$2:$C44=C45,row($C$2:$C44),0)))) ,1),0),0))"),"")</f>
        <v/>
      </c>
      <c r="L45" s="147" t="str">
        <f t="shared" si="14"/>
        <v/>
      </c>
      <c r="M45" s="149" t="str">
        <f t="shared" si="15"/>
        <v/>
      </c>
      <c r="N45" s="147" t="str">
        <f t="shared" si="16"/>
        <v/>
      </c>
      <c r="O45" s="147" t="str">
        <f t="shared" si="6"/>
        <v/>
      </c>
      <c r="P45" s="150" t="str">
        <f t="shared" si="7"/>
        <v/>
      </c>
      <c r="Q45" s="151" t="str">
        <f>IFERROR(VLOOKUP(C45,Ativos!$A$1:$G2000,5,),)</f>
        <v/>
      </c>
    </row>
    <row r="46" ht="21.0" customHeight="1">
      <c r="A46" s="134"/>
      <c r="B46" s="135"/>
      <c r="C46" s="136"/>
      <c r="D46" s="171"/>
      <c r="E46" s="138"/>
      <c r="F46" s="141"/>
      <c r="G46" s="170" t="str">
        <f>IFERROR(__xludf.DUMMYFUNCTION("if($C46="""","""",iferror(if(row()&lt;&gt;2,INDEX(arrayformula(filter($H$2:$H45,$C$2:$C45&lt;&gt;"""",row($C$2:$C45)=max(if($C$2:$C45=C46,row($C$2:$C45),0)))) ,1),0),0))"),"")</f>
        <v/>
      </c>
      <c r="H46" s="170" t="str">
        <f t="shared" si="8"/>
        <v/>
      </c>
      <c r="I46" s="147" t="str">
        <f t="shared" si="1"/>
        <v/>
      </c>
      <c r="J46" s="147" t="str">
        <f t="shared" si="13"/>
        <v/>
      </c>
      <c r="K46" s="147" t="str">
        <f>IFERROR(__xludf.DUMMYFUNCTION("if(C46="""","""",iferror(if(row()&lt;&gt;2,INDEX(arrayformula(filter($L$2:$L45,$C$2:$C45&lt;&gt;"""",row($C$2:$C45)=max(if($C$2:$C45=C46,row($C$2:$C45),0)))) ,1),0),0))"),"")</f>
        <v/>
      </c>
      <c r="L46" s="147" t="str">
        <f t="shared" si="14"/>
        <v/>
      </c>
      <c r="M46" s="149" t="str">
        <f t="shared" si="15"/>
        <v/>
      </c>
      <c r="N46" s="147" t="str">
        <f t="shared" si="16"/>
        <v/>
      </c>
      <c r="O46" s="147" t="str">
        <f t="shared" si="6"/>
        <v/>
      </c>
      <c r="P46" s="150" t="str">
        <f t="shared" si="7"/>
        <v/>
      </c>
      <c r="Q46" s="151" t="str">
        <f>IFERROR(VLOOKUP(C46,Ativos!$A$1:$G2000,5,),)</f>
        <v/>
      </c>
    </row>
    <row r="47" ht="21.0" customHeight="1">
      <c r="A47" s="134"/>
      <c r="B47" s="135"/>
      <c r="C47" s="136"/>
      <c r="D47" s="171"/>
      <c r="E47" s="138"/>
      <c r="F47" s="141"/>
      <c r="G47" s="170" t="str">
        <f>IFERROR(__xludf.DUMMYFUNCTION("if($C47="""","""",iferror(if(row()&lt;&gt;2,INDEX(arrayformula(filter($H$2:$H46,$C$2:$C46&lt;&gt;"""",row($C$2:$C46)=max(if($C$2:$C46=C47,row($C$2:$C46),0)))) ,1),0),0))"),"")</f>
        <v/>
      </c>
      <c r="H47" s="170" t="str">
        <f t="shared" si="8"/>
        <v/>
      </c>
      <c r="I47" s="147" t="str">
        <f t="shared" si="1"/>
        <v/>
      </c>
      <c r="J47" s="147" t="str">
        <f t="shared" si="13"/>
        <v/>
      </c>
      <c r="K47" s="147" t="str">
        <f>IFERROR(__xludf.DUMMYFUNCTION("if(C47="""","""",iferror(if(row()&lt;&gt;2,INDEX(arrayformula(filter($L$2:$L46,$C$2:$C46&lt;&gt;"""",row($C$2:$C46)=max(if($C$2:$C46=C47,row($C$2:$C46),0)))) ,1),0),0))"),"")</f>
        <v/>
      </c>
      <c r="L47" s="147" t="str">
        <f t="shared" si="14"/>
        <v/>
      </c>
      <c r="M47" s="149" t="str">
        <f t="shared" si="15"/>
        <v/>
      </c>
      <c r="N47" s="147" t="str">
        <f t="shared" si="16"/>
        <v/>
      </c>
      <c r="O47" s="147" t="str">
        <f t="shared" si="6"/>
        <v/>
      </c>
      <c r="P47" s="150" t="str">
        <f t="shared" si="7"/>
        <v/>
      </c>
      <c r="Q47" s="151" t="str">
        <f>IFERROR(VLOOKUP(C47,Ativos!$A$1:$G2000,5,),)</f>
        <v/>
      </c>
    </row>
    <row r="48" ht="21.0" customHeight="1">
      <c r="A48" s="134"/>
      <c r="B48" s="135"/>
      <c r="C48" s="136"/>
      <c r="D48" s="171"/>
      <c r="E48" s="138"/>
      <c r="F48" s="141"/>
      <c r="G48" s="170" t="str">
        <f>IFERROR(__xludf.DUMMYFUNCTION("if($C48="""","""",iferror(if(row()&lt;&gt;2,INDEX(arrayformula(filter($H$2:$H47,$C$2:$C47&lt;&gt;"""",row($C$2:$C47)=max(if($C$2:$C47=C48,row($C$2:$C47),0)))) ,1),0),0))"),"")</f>
        <v/>
      </c>
      <c r="H48" s="170" t="str">
        <f t="shared" si="8"/>
        <v/>
      </c>
      <c r="I48" s="147" t="str">
        <f t="shared" si="1"/>
        <v/>
      </c>
      <c r="J48" s="147" t="str">
        <f t="shared" si="13"/>
        <v/>
      </c>
      <c r="K48" s="147" t="str">
        <f>IFERROR(__xludf.DUMMYFUNCTION("if(C48="""","""",iferror(if(row()&lt;&gt;2,INDEX(arrayformula(filter($L$2:$L47,$C$2:$C47&lt;&gt;"""",row($C$2:$C47)=max(if($C$2:$C47=C48,row($C$2:$C47),0)))) ,1),0),0))"),"")</f>
        <v/>
      </c>
      <c r="L48" s="147" t="str">
        <f t="shared" si="14"/>
        <v/>
      </c>
      <c r="M48" s="149" t="str">
        <f t="shared" si="15"/>
        <v/>
      </c>
      <c r="N48" s="147" t="str">
        <f t="shared" si="16"/>
        <v/>
      </c>
      <c r="O48" s="147" t="str">
        <f t="shared" si="6"/>
        <v/>
      </c>
      <c r="P48" s="150" t="str">
        <f t="shared" si="7"/>
        <v/>
      </c>
      <c r="Q48" s="151" t="str">
        <f>IFERROR(VLOOKUP(C48,Ativos!$A$1:$G2000,5,),)</f>
        <v/>
      </c>
    </row>
    <row r="49" ht="21.0" customHeight="1">
      <c r="A49" s="152"/>
      <c r="B49" s="135"/>
      <c r="C49" s="153"/>
      <c r="D49" s="169"/>
      <c r="E49" s="139"/>
      <c r="F49" s="141"/>
      <c r="G49" s="170" t="str">
        <f>IFERROR(__xludf.DUMMYFUNCTION("if($C49="""","""",iferror(if(row()&lt;&gt;2,INDEX(arrayformula(filter($H$2:$H48,$C$2:$C48&lt;&gt;"""",row($C$2:$C48)=max(if($C$2:$C48=C49,row($C$2:$C48),0)))) ,1),0),0))"),"")</f>
        <v/>
      </c>
      <c r="H49" s="170" t="str">
        <f t="shared" si="8"/>
        <v/>
      </c>
      <c r="I49" s="147" t="str">
        <f t="shared" si="1"/>
        <v/>
      </c>
      <c r="J49" s="147" t="str">
        <f t="shared" si="13"/>
        <v/>
      </c>
      <c r="K49" s="147" t="str">
        <f>IFERROR(__xludf.DUMMYFUNCTION("if(C49="""","""",iferror(if(row()&lt;&gt;2,INDEX(arrayformula(filter($L$2:$L48,$C$2:$C48&lt;&gt;"""",row($C$2:$C48)=max(if($C$2:$C48=C49,row($C$2:$C48),0)))) ,1),0),0))"),"")</f>
        <v/>
      </c>
      <c r="L49" s="147" t="str">
        <f t="shared" si="14"/>
        <v/>
      </c>
      <c r="M49" s="149" t="str">
        <f t="shared" si="15"/>
        <v/>
      </c>
      <c r="N49" s="147" t="str">
        <f t="shared" si="16"/>
        <v/>
      </c>
      <c r="O49" s="147" t="str">
        <f t="shared" si="6"/>
        <v/>
      </c>
      <c r="P49" s="150" t="str">
        <f t="shared" si="7"/>
        <v/>
      </c>
      <c r="Q49" s="151" t="str">
        <f>IFERROR(VLOOKUP(C49,Ativos!$A$1:$G2000,5,),)</f>
        <v/>
      </c>
    </row>
    <row r="50" ht="21.0" customHeight="1">
      <c r="A50" s="152"/>
      <c r="B50" s="135"/>
      <c r="C50" s="155"/>
      <c r="D50" s="169"/>
      <c r="E50" s="139"/>
      <c r="F50" s="141"/>
      <c r="G50" s="170" t="str">
        <f>IFERROR(__xludf.DUMMYFUNCTION("if($C50="""","""",iferror(if(row()&lt;&gt;2,INDEX(arrayformula(filter($H$2:$H49,$C$2:$C49&lt;&gt;"""",row($C$2:$C49)=max(if($C$2:$C49=C50,row($C$2:$C49),0)))) ,1),0),0))"),"")</f>
        <v/>
      </c>
      <c r="H50" s="170" t="str">
        <f t="shared" si="8"/>
        <v/>
      </c>
      <c r="I50" s="147" t="str">
        <f t="shared" si="1"/>
        <v/>
      </c>
      <c r="J50" s="147" t="str">
        <f t="shared" si="13"/>
        <v/>
      </c>
      <c r="K50" s="147" t="str">
        <f>IFERROR(__xludf.DUMMYFUNCTION("if(C50="""","""",iferror(if(row()&lt;&gt;2,INDEX(arrayformula(filter($L$2:$L49,$C$2:$C49&lt;&gt;"""",row($C$2:$C49)=max(if($C$2:$C49=C50,row($C$2:$C49),0)))) ,1),0),0))"),"")</f>
        <v/>
      </c>
      <c r="L50" s="147" t="str">
        <f t="shared" si="14"/>
        <v/>
      </c>
      <c r="M50" s="149" t="str">
        <f t="shared" si="15"/>
        <v/>
      </c>
      <c r="N50" s="147" t="str">
        <f t="shared" si="16"/>
        <v/>
      </c>
      <c r="O50" s="147" t="str">
        <f t="shared" si="6"/>
        <v/>
      </c>
      <c r="P50" s="150" t="str">
        <f t="shared" si="7"/>
        <v/>
      </c>
      <c r="Q50" s="151" t="str">
        <f>IFERROR(VLOOKUP(C50,Ativos!$A$1:$G2000,5,),)</f>
        <v/>
      </c>
    </row>
    <row r="51" ht="21.0" customHeight="1">
      <c r="A51" s="152"/>
      <c r="B51" s="135"/>
      <c r="C51" s="155"/>
      <c r="D51" s="169"/>
      <c r="E51" s="139"/>
      <c r="F51" s="141"/>
      <c r="G51" s="170" t="str">
        <f>IFERROR(__xludf.DUMMYFUNCTION("if($C51="""","""",iferror(if(row()&lt;&gt;2,INDEX(arrayformula(filter($H$2:$H50,$C$2:$C50&lt;&gt;"""",row($C$2:$C50)=max(if($C$2:$C50=C51,row($C$2:$C50),0)))) ,1),0),0))"),"")</f>
        <v/>
      </c>
      <c r="H51" s="170" t="str">
        <f t="shared" si="8"/>
        <v/>
      </c>
      <c r="I51" s="147" t="str">
        <f t="shared" si="1"/>
        <v/>
      </c>
      <c r="J51" s="147" t="str">
        <f t="shared" si="13"/>
        <v/>
      </c>
      <c r="K51" s="147" t="str">
        <f>IFERROR(__xludf.DUMMYFUNCTION("if(C51="""","""",iferror(if(row()&lt;&gt;2,INDEX(arrayformula(filter($L$2:$L50,$C$2:$C50&lt;&gt;"""",row($C$2:$C50)=max(if($C$2:$C50=C51,row($C$2:$C50),0)))) ,1),0),0))"),"")</f>
        <v/>
      </c>
      <c r="L51" s="147" t="str">
        <f t="shared" si="14"/>
        <v/>
      </c>
      <c r="M51" s="149" t="str">
        <f t="shared" si="15"/>
        <v/>
      </c>
      <c r="N51" s="147" t="str">
        <f t="shared" si="16"/>
        <v/>
      </c>
      <c r="O51" s="147" t="str">
        <f t="shared" si="6"/>
        <v/>
      </c>
      <c r="P51" s="150" t="str">
        <f t="shared" si="7"/>
        <v/>
      </c>
      <c r="Q51" s="151" t="str">
        <f>IFERROR(VLOOKUP(C51,Ativos!$A$1:$G2000,5,),)</f>
        <v/>
      </c>
    </row>
    <row r="52" ht="21.0" customHeight="1">
      <c r="A52" s="156"/>
      <c r="B52" s="135"/>
      <c r="C52" s="155"/>
      <c r="D52" s="172"/>
      <c r="E52" s="157"/>
      <c r="F52" s="141"/>
      <c r="G52" s="170" t="str">
        <f>IFERROR(__xludf.DUMMYFUNCTION("if($C52="""","""",iferror(if(row()&lt;&gt;2,INDEX(arrayformula(filter($H$2:$H51,$C$2:$C51&lt;&gt;"""",row($C$2:$C51)=max(if($C$2:$C51=C52,row($C$2:$C51),0)))) ,1),0),0))"),"")</f>
        <v/>
      </c>
      <c r="H52" s="170" t="str">
        <f t="shared" si="8"/>
        <v/>
      </c>
      <c r="I52" s="147" t="str">
        <f t="shared" si="1"/>
        <v/>
      </c>
      <c r="J52" s="147" t="str">
        <f t="shared" si="13"/>
        <v/>
      </c>
      <c r="K52" s="147" t="str">
        <f>IFERROR(__xludf.DUMMYFUNCTION("if(C52="""","""",iferror(if(row()&lt;&gt;2,INDEX(arrayformula(filter($L$2:$L51,$C$2:$C51&lt;&gt;"""",row($C$2:$C51)=max(if($C$2:$C51=C52,row($C$2:$C51),0)))) ,1),0),0))"),"")</f>
        <v/>
      </c>
      <c r="L52" s="147" t="str">
        <f t="shared" si="14"/>
        <v/>
      </c>
      <c r="M52" s="149" t="str">
        <f t="shared" si="15"/>
        <v/>
      </c>
      <c r="N52" s="147" t="str">
        <f t="shared" si="16"/>
        <v/>
      </c>
      <c r="O52" s="147" t="str">
        <f t="shared" si="6"/>
        <v/>
      </c>
      <c r="P52" s="150" t="str">
        <f t="shared" si="7"/>
        <v/>
      </c>
      <c r="Q52" s="151" t="str">
        <f>IFERROR(VLOOKUP(C52,Ativos!$A$1:$G2000,5,),)</f>
        <v/>
      </c>
    </row>
    <row r="53" ht="21.0" customHeight="1">
      <c r="A53" s="152"/>
      <c r="B53" s="135"/>
      <c r="C53" s="153"/>
      <c r="D53" s="169"/>
      <c r="E53" s="139"/>
      <c r="F53" s="141"/>
      <c r="G53" s="170" t="str">
        <f>IFERROR(__xludf.DUMMYFUNCTION("if($C53="""","""",iferror(if(row()&lt;&gt;2,INDEX(arrayformula(filter($H$2:$H52,$C$2:$C52&lt;&gt;"""",row($C$2:$C52)=max(if($C$2:$C52=C53,row($C$2:$C52),0)))) ,1),0),0))"),"")</f>
        <v/>
      </c>
      <c r="H53" s="170" t="str">
        <f t="shared" si="8"/>
        <v/>
      </c>
      <c r="I53" s="147" t="str">
        <f t="shared" si="1"/>
        <v/>
      </c>
      <c r="J53" s="147" t="str">
        <f t="shared" si="13"/>
        <v/>
      </c>
      <c r="K53" s="147" t="str">
        <f>IFERROR(__xludf.DUMMYFUNCTION("if(C53="""","""",iferror(if(row()&lt;&gt;2,INDEX(arrayformula(filter($L$2:$L52,$C$2:$C52&lt;&gt;"""",row($C$2:$C52)=max(if($C$2:$C52=C53,row($C$2:$C52),0)))) ,1),0),0))"),"")</f>
        <v/>
      </c>
      <c r="L53" s="147" t="str">
        <f t="shared" si="14"/>
        <v/>
      </c>
      <c r="M53" s="149" t="str">
        <f t="shared" si="15"/>
        <v/>
      </c>
      <c r="N53" s="147" t="str">
        <f t="shared" si="16"/>
        <v/>
      </c>
      <c r="O53" s="147" t="str">
        <f t="shared" si="6"/>
        <v/>
      </c>
      <c r="P53" s="150" t="str">
        <f t="shared" si="7"/>
        <v/>
      </c>
      <c r="Q53" s="151" t="str">
        <f>IFERROR(VLOOKUP(C53,Ativos!$A$1:$G2000,5,),)</f>
        <v/>
      </c>
    </row>
    <row r="54" ht="21.0" customHeight="1">
      <c r="A54" s="152"/>
      <c r="B54" s="135"/>
      <c r="C54" s="153"/>
      <c r="D54" s="169"/>
      <c r="E54" s="139"/>
      <c r="F54" s="141"/>
      <c r="G54" s="170" t="str">
        <f>IFERROR(__xludf.DUMMYFUNCTION("if($C54="""","""",iferror(if(row()&lt;&gt;2,INDEX(arrayformula(filter($H$2:$H53,$C$2:$C53&lt;&gt;"""",row($C$2:$C53)=max(if($C$2:$C53=C54,row($C$2:$C53),0)))) ,1),0),0))"),"")</f>
        <v/>
      </c>
      <c r="H54" s="170" t="str">
        <f t="shared" si="8"/>
        <v/>
      </c>
      <c r="I54" s="147" t="str">
        <f t="shared" si="1"/>
        <v/>
      </c>
      <c r="J54" s="147" t="str">
        <f t="shared" si="13"/>
        <v/>
      </c>
      <c r="K54" s="147" t="str">
        <f>IFERROR(__xludf.DUMMYFUNCTION("if(C54="""","""",iferror(if(row()&lt;&gt;2,INDEX(arrayformula(filter($L$2:$L53,$C$2:$C53&lt;&gt;"""",row($C$2:$C53)=max(if($C$2:$C53=C54,row($C$2:$C53),0)))) ,1),0),0))"),"")</f>
        <v/>
      </c>
      <c r="L54" s="147" t="str">
        <f t="shared" si="14"/>
        <v/>
      </c>
      <c r="M54" s="149" t="str">
        <f t="shared" si="15"/>
        <v/>
      </c>
      <c r="N54" s="147" t="str">
        <f t="shared" si="16"/>
        <v/>
      </c>
      <c r="O54" s="147" t="str">
        <f t="shared" si="6"/>
        <v/>
      </c>
      <c r="P54" s="150" t="str">
        <f t="shared" si="7"/>
        <v/>
      </c>
      <c r="Q54" s="151" t="str">
        <f>IFERROR(VLOOKUP(C54,Ativos!$A$1:$G2000,5,),)</f>
        <v/>
      </c>
    </row>
    <row r="55" ht="21.0" customHeight="1">
      <c r="A55" s="152"/>
      <c r="B55" s="135"/>
      <c r="C55" s="155"/>
      <c r="D55" s="169"/>
      <c r="E55" s="139"/>
      <c r="F55" s="141"/>
      <c r="G55" s="170" t="str">
        <f>IFERROR(__xludf.DUMMYFUNCTION("if($C55="""","""",iferror(if(row()&lt;&gt;2,INDEX(arrayformula(filter($H$2:$H54,$C$2:$C54&lt;&gt;"""",row($C$2:$C54)=max(if($C$2:$C54=C55,row($C$2:$C54),0)))) ,1),0),0))"),"")</f>
        <v/>
      </c>
      <c r="H55" s="170" t="str">
        <f t="shared" si="8"/>
        <v/>
      </c>
      <c r="I55" s="147" t="str">
        <f t="shared" si="1"/>
        <v/>
      </c>
      <c r="J55" s="147" t="str">
        <f t="shared" si="13"/>
        <v/>
      </c>
      <c r="K55" s="147" t="str">
        <f>IFERROR(__xludf.DUMMYFUNCTION("if(C55="""","""",iferror(if(row()&lt;&gt;2,INDEX(arrayformula(filter($L$2:$L54,$C$2:$C54&lt;&gt;"""",row($C$2:$C54)=max(if($C$2:$C54=C55,row($C$2:$C54),0)))) ,1),0),0))"),"")</f>
        <v/>
      </c>
      <c r="L55" s="147" t="str">
        <f t="shared" si="14"/>
        <v/>
      </c>
      <c r="M55" s="149" t="str">
        <f t="shared" si="15"/>
        <v/>
      </c>
      <c r="N55" s="147" t="str">
        <f t="shared" si="16"/>
        <v/>
      </c>
      <c r="O55" s="147" t="str">
        <f t="shared" si="6"/>
        <v/>
      </c>
      <c r="P55" s="150" t="str">
        <f t="shared" si="7"/>
        <v/>
      </c>
      <c r="Q55" s="151" t="str">
        <f>IFERROR(VLOOKUP(C55,Ativos!$A$1:$G2000,5,),)</f>
        <v/>
      </c>
    </row>
    <row r="56" ht="21.0" customHeight="1">
      <c r="A56" s="156"/>
      <c r="B56" s="135"/>
      <c r="C56" s="155"/>
      <c r="D56" s="172"/>
      <c r="E56" s="157"/>
      <c r="F56" s="141"/>
      <c r="G56" s="170" t="str">
        <f>IFERROR(__xludf.DUMMYFUNCTION("if($C56="""","""",iferror(if(row()&lt;&gt;2,INDEX(arrayformula(filter($H$2:$H55,$C$2:$C55&lt;&gt;"""",row($C$2:$C55)=max(if($C$2:$C55=C56,row($C$2:$C55),0)))) ,1),0),0))"),"")</f>
        <v/>
      </c>
      <c r="H56" s="170" t="str">
        <f t="shared" si="8"/>
        <v/>
      </c>
      <c r="I56" s="147" t="str">
        <f t="shared" si="1"/>
        <v/>
      </c>
      <c r="J56" s="147" t="str">
        <f t="shared" si="13"/>
        <v/>
      </c>
      <c r="K56" s="147" t="str">
        <f>IFERROR(__xludf.DUMMYFUNCTION("if(C56="""","""",iferror(if(row()&lt;&gt;2,INDEX(arrayformula(filter($L$2:$L55,$C$2:$C55&lt;&gt;"""",row($C$2:$C55)=max(if($C$2:$C55=C56,row($C$2:$C55),0)))) ,1),0),0))"),"")</f>
        <v/>
      </c>
      <c r="L56" s="147" t="str">
        <f t="shared" si="14"/>
        <v/>
      </c>
      <c r="M56" s="149" t="str">
        <f t="shared" si="15"/>
        <v/>
      </c>
      <c r="N56" s="147" t="str">
        <f t="shared" si="16"/>
        <v/>
      </c>
      <c r="O56" s="147" t="str">
        <f t="shared" si="6"/>
        <v/>
      </c>
      <c r="P56" s="150" t="str">
        <f t="shared" si="7"/>
        <v/>
      </c>
      <c r="Q56" s="151" t="str">
        <f>IFERROR(VLOOKUP(C56,Ativos!$A$1:$G2000,5,),)</f>
        <v/>
      </c>
    </row>
    <row r="57" ht="21.0" customHeight="1">
      <c r="A57" s="152"/>
      <c r="B57" s="135"/>
      <c r="C57" s="153"/>
      <c r="D57" s="169"/>
      <c r="E57" s="139"/>
      <c r="F57" s="141"/>
      <c r="G57" s="170" t="str">
        <f>IFERROR(__xludf.DUMMYFUNCTION("if($C57="""","""",iferror(if(row()&lt;&gt;2,INDEX(arrayformula(filter($H$2:$H56,$C$2:$C56&lt;&gt;"""",row($C$2:$C56)=max(if($C$2:$C56=C57,row($C$2:$C56),0)))) ,1),0),0))"),"")</f>
        <v/>
      </c>
      <c r="H57" s="170" t="str">
        <f t="shared" si="8"/>
        <v/>
      </c>
      <c r="I57" s="147" t="str">
        <f t="shared" si="1"/>
        <v/>
      </c>
      <c r="J57" s="147" t="str">
        <f t="shared" si="13"/>
        <v/>
      </c>
      <c r="K57" s="147" t="str">
        <f>IFERROR(__xludf.DUMMYFUNCTION("if(C57="""","""",iferror(if(row()&lt;&gt;2,INDEX(arrayformula(filter($L$2:$L56,$C$2:$C56&lt;&gt;"""",row($C$2:$C56)=max(if($C$2:$C56=C57,row($C$2:$C56),0)))) ,1),0),0))"),"")</f>
        <v/>
      </c>
      <c r="L57" s="147" t="str">
        <f t="shared" si="14"/>
        <v/>
      </c>
      <c r="M57" s="149" t="str">
        <f t="shared" si="15"/>
        <v/>
      </c>
      <c r="N57" s="147" t="str">
        <f t="shared" si="16"/>
        <v/>
      </c>
      <c r="O57" s="147" t="str">
        <f t="shared" si="6"/>
        <v/>
      </c>
      <c r="P57" s="150" t="str">
        <f t="shared" si="7"/>
        <v/>
      </c>
      <c r="Q57" s="151" t="str">
        <f>IFERROR(VLOOKUP(C57,Ativos!$A$1:$G2000,5,),)</f>
        <v/>
      </c>
    </row>
    <row r="58" ht="21.0" customHeight="1">
      <c r="A58" s="152"/>
      <c r="B58" s="135"/>
      <c r="C58" s="153"/>
      <c r="D58" s="169"/>
      <c r="E58" s="139"/>
      <c r="F58" s="141"/>
      <c r="G58" s="170" t="str">
        <f>IFERROR(__xludf.DUMMYFUNCTION("if($C58="""","""",iferror(if(row()&lt;&gt;2,INDEX(arrayformula(filter($H$2:$H57,$C$2:$C57&lt;&gt;"""",row($C$2:$C57)=max(if($C$2:$C57=C58,row($C$2:$C57),0)))) ,1),0),0))"),"")</f>
        <v/>
      </c>
      <c r="H58" s="170" t="str">
        <f t="shared" si="8"/>
        <v/>
      </c>
      <c r="I58" s="147" t="str">
        <f t="shared" si="1"/>
        <v/>
      </c>
      <c r="J58" s="147" t="str">
        <f t="shared" si="13"/>
        <v/>
      </c>
      <c r="K58" s="147" t="str">
        <f>IFERROR(__xludf.DUMMYFUNCTION("if(C58="""","""",iferror(if(row()&lt;&gt;2,INDEX(arrayformula(filter($L$2:$L57,$C$2:$C57&lt;&gt;"""",row($C$2:$C57)=max(if($C$2:$C57=C58,row($C$2:$C57),0)))) ,1),0),0))"),"")</f>
        <v/>
      </c>
      <c r="L58" s="147" t="str">
        <f t="shared" si="14"/>
        <v/>
      </c>
      <c r="M58" s="149" t="str">
        <f t="shared" si="15"/>
        <v/>
      </c>
      <c r="N58" s="147" t="str">
        <f t="shared" si="16"/>
        <v/>
      </c>
      <c r="O58" s="147" t="str">
        <f t="shared" si="6"/>
        <v/>
      </c>
      <c r="P58" s="150" t="str">
        <f t="shared" si="7"/>
        <v/>
      </c>
      <c r="Q58" s="151" t="str">
        <f>IFERROR(VLOOKUP(C58,Ativos!$A$1:$G2000,5,),)</f>
        <v/>
      </c>
    </row>
    <row r="59" ht="21.0" customHeight="1">
      <c r="A59" s="152"/>
      <c r="B59" s="135"/>
      <c r="C59" s="155"/>
      <c r="D59" s="169"/>
      <c r="E59" s="139"/>
      <c r="F59" s="141"/>
      <c r="G59" s="170" t="str">
        <f>IFERROR(__xludf.DUMMYFUNCTION("if($C59="""","""",iferror(if(row()&lt;&gt;2,INDEX(arrayformula(filter($H$2:$H58,$C$2:$C58&lt;&gt;"""",row($C$2:$C58)=max(if($C$2:$C58=C59,row($C$2:$C58),0)))) ,1),0),0))"),"")</f>
        <v/>
      </c>
      <c r="H59" s="170" t="str">
        <f t="shared" si="8"/>
        <v/>
      </c>
      <c r="I59" s="147" t="str">
        <f t="shared" si="1"/>
        <v/>
      </c>
      <c r="J59" s="147" t="str">
        <f t="shared" si="13"/>
        <v/>
      </c>
      <c r="K59" s="147" t="str">
        <f>IFERROR(__xludf.DUMMYFUNCTION("if(C59="""","""",iferror(if(row()&lt;&gt;2,INDEX(arrayformula(filter($L$2:$L58,$C$2:$C58&lt;&gt;"""",row($C$2:$C58)=max(if($C$2:$C58=C59,row($C$2:$C58),0)))) ,1),0),0))"),"")</f>
        <v/>
      </c>
      <c r="L59" s="147" t="str">
        <f t="shared" si="14"/>
        <v/>
      </c>
      <c r="M59" s="149" t="str">
        <f t="shared" si="15"/>
        <v/>
      </c>
      <c r="N59" s="147" t="str">
        <f t="shared" si="16"/>
        <v/>
      </c>
      <c r="O59" s="147" t="str">
        <f t="shared" si="6"/>
        <v/>
      </c>
      <c r="P59" s="150" t="str">
        <f t="shared" si="7"/>
        <v/>
      </c>
      <c r="Q59" s="151" t="str">
        <f>IFERROR(VLOOKUP(C59,Ativos!$A$1:$G2000,5,),)</f>
        <v/>
      </c>
    </row>
    <row r="60" ht="21.0" customHeight="1">
      <c r="A60" s="156"/>
      <c r="B60" s="135"/>
      <c r="C60" s="155"/>
      <c r="D60" s="172"/>
      <c r="E60" s="157"/>
      <c r="F60" s="141"/>
      <c r="G60" s="170" t="str">
        <f>IFERROR(__xludf.DUMMYFUNCTION("if($C60="""","""",iferror(if(row()&lt;&gt;2,INDEX(arrayformula(filter($H$2:$H59,$C$2:$C59&lt;&gt;"""",row($C$2:$C59)=max(if($C$2:$C59=C60,row($C$2:$C59),0)))) ,1),0),0))"),"")</f>
        <v/>
      </c>
      <c r="H60" s="170" t="str">
        <f t="shared" si="8"/>
        <v/>
      </c>
      <c r="I60" s="147" t="str">
        <f t="shared" si="1"/>
        <v/>
      </c>
      <c r="J60" s="147" t="str">
        <f t="shared" si="13"/>
        <v/>
      </c>
      <c r="K60" s="147" t="str">
        <f>IFERROR(__xludf.DUMMYFUNCTION("if(C60="""","""",iferror(if(row()&lt;&gt;2,INDEX(arrayformula(filter($L$2:$L59,$C$2:$C59&lt;&gt;"""",row($C$2:$C59)=max(if($C$2:$C59=C60,row($C$2:$C59),0)))) ,1),0),0))"),"")</f>
        <v/>
      </c>
      <c r="L60" s="147" t="str">
        <f t="shared" si="14"/>
        <v/>
      </c>
      <c r="M60" s="149" t="str">
        <f t="shared" si="15"/>
        <v/>
      </c>
      <c r="N60" s="147" t="str">
        <f t="shared" si="16"/>
        <v/>
      </c>
      <c r="O60" s="147" t="str">
        <f t="shared" si="6"/>
        <v/>
      </c>
      <c r="P60" s="150" t="str">
        <f t="shared" si="7"/>
        <v/>
      </c>
      <c r="Q60" s="151" t="str">
        <f>IFERROR(VLOOKUP(C60,Ativos!$A$1:$G2000,5,),)</f>
        <v/>
      </c>
    </row>
    <row r="61" ht="21.0" customHeight="1">
      <c r="A61" s="152"/>
      <c r="B61" s="135"/>
      <c r="C61" s="153"/>
      <c r="D61" s="169"/>
      <c r="E61" s="139"/>
      <c r="F61" s="141"/>
      <c r="G61" s="170" t="str">
        <f>IFERROR(__xludf.DUMMYFUNCTION("if($C61="""","""",iferror(if(row()&lt;&gt;2,INDEX(arrayformula(filter($H$2:$H60,$C$2:$C60&lt;&gt;"""",row($C$2:$C60)=max(if($C$2:$C60=C61,row($C$2:$C60),0)))) ,1),0),0))"),"")</f>
        <v/>
      </c>
      <c r="H61" s="170" t="str">
        <f t="shared" si="8"/>
        <v/>
      </c>
      <c r="I61" s="147" t="str">
        <f t="shared" si="1"/>
        <v/>
      </c>
      <c r="J61" s="147" t="str">
        <f t="shared" si="13"/>
        <v/>
      </c>
      <c r="K61" s="147" t="str">
        <f>IFERROR(__xludf.DUMMYFUNCTION("if(C61="""","""",iferror(if(row()&lt;&gt;2,INDEX(arrayformula(filter($L$2:$L60,$C$2:$C60&lt;&gt;"""",row($C$2:$C60)=max(if($C$2:$C60=C61,row($C$2:$C60),0)))) ,1),0),0))"),"")</f>
        <v/>
      </c>
      <c r="L61" s="147" t="str">
        <f t="shared" si="14"/>
        <v/>
      </c>
      <c r="M61" s="149" t="str">
        <f t="shared" si="15"/>
        <v/>
      </c>
      <c r="N61" s="147" t="str">
        <f t="shared" si="16"/>
        <v/>
      </c>
      <c r="O61" s="147" t="str">
        <f t="shared" si="6"/>
        <v/>
      </c>
      <c r="P61" s="150" t="str">
        <f t="shared" si="7"/>
        <v/>
      </c>
      <c r="Q61" s="151" t="str">
        <f>IFERROR(VLOOKUP(C61,Ativos!$A$1:$G2000,5,),)</f>
        <v/>
      </c>
    </row>
    <row r="62" ht="21.0" customHeight="1">
      <c r="A62" s="152"/>
      <c r="B62" s="135"/>
      <c r="C62" s="153"/>
      <c r="D62" s="169"/>
      <c r="E62" s="139"/>
      <c r="F62" s="141"/>
      <c r="G62" s="170" t="str">
        <f>IFERROR(__xludf.DUMMYFUNCTION("if($C62="""","""",iferror(if(row()&lt;&gt;2,INDEX(arrayformula(filter($H$2:$H61,$C$2:$C61&lt;&gt;"""",row($C$2:$C61)=max(if($C$2:$C61=C62,row($C$2:$C61),0)))) ,1),0),0))"),"")</f>
        <v/>
      </c>
      <c r="H62" s="170" t="str">
        <f t="shared" si="8"/>
        <v/>
      </c>
      <c r="I62" s="147" t="str">
        <f t="shared" si="1"/>
        <v/>
      </c>
      <c r="J62" s="147" t="str">
        <f t="shared" si="13"/>
        <v/>
      </c>
      <c r="K62" s="147" t="str">
        <f>IFERROR(__xludf.DUMMYFUNCTION("if(C62="""","""",iferror(if(row()&lt;&gt;2,INDEX(arrayformula(filter($L$2:$L61,$C$2:$C61&lt;&gt;"""",row($C$2:$C61)=max(if($C$2:$C61=C62,row($C$2:$C61),0)))) ,1),0),0))"),"")</f>
        <v/>
      </c>
      <c r="L62" s="147" t="str">
        <f t="shared" si="14"/>
        <v/>
      </c>
      <c r="M62" s="149" t="str">
        <f t="shared" si="15"/>
        <v/>
      </c>
      <c r="N62" s="147" t="str">
        <f t="shared" si="16"/>
        <v/>
      </c>
      <c r="O62" s="147" t="str">
        <f t="shared" si="6"/>
        <v/>
      </c>
      <c r="P62" s="150" t="str">
        <f t="shared" si="7"/>
        <v/>
      </c>
      <c r="Q62" s="151" t="str">
        <f>IFERROR(VLOOKUP(C62,Ativos!$A$1:$G2000,5,),)</f>
        <v/>
      </c>
    </row>
    <row r="63" ht="21.0" customHeight="1">
      <c r="A63" s="152"/>
      <c r="B63" s="135"/>
      <c r="C63" s="155"/>
      <c r="D63" s="169"/>
      <c r="E63" s="139"/>
      <c r="F63" s="141"/>
      <c r="G63" s="170" t="str">
        <f>IFERROR(__xludf.DUMMYFUNCTION("if($C63="""","""",iferror(if(row()&lt;&gt;2,INDEX(arrayformula(filter($H$2:$H62,$C$2:$C62&lt;&gt;"""",row($C$2:$C62)=max(if($C$2:$C62=C63,row($C$2:$C62),0)))) ,1),0),0))"),"")</f>
        <v/>
      </c>
      <c r="H63" s="170" t="str">
        <f t="shared" si="8"/>
        <v/>
      </c>
      <c r="I63" s="147" t="str">
        <f t="shared" si="1"/>
        <v/>
      </c>
      <c r="J63" s="147" t="str">
        <f t="shared" si="13"/>
        <v/>
      </c>
      <c r="K63" s="147" t="str">
        <f>IFERROR(__xludf.DUMMYFUNCTION("if(C63="""","""",iferror(if(row()&lt;&gt;2,INDEX(arrayformula(filter($L$2:$L62,$C$2:$C62&lt;&gt;"""",row($C$2:$C62)=max(if($C$2:$C62=C63,row($C$2:$C62),0)))) ,1),0),0))"),"")</f>
        <v/>
      </c>
      <c r="L63" s="147" t="str">
        <f t="shared" si="14"/>
        <v/>
      </c>
      <c r="M63" s="149" t="str">
        <f t="shared" si="15"/>
        <v/>
      </c>
      <c r="N63" s="147" t="str">
        <f t="shared" si="16"/>
        <v/>
      </c>
      <c r="O63" s="147" t="str">
        <f t="shared" si="6"/>
        <v/>
      </c>
      <c r="P63" s="150" t="str">
        <f t="shared" si="7"/>
        <v/>
      </c>
      <c r="Q63" s="151" t="str">
        <f>IFERROR(VLOOKUP(C63,Ativos!$A$1:$G2000,5,),)</f>
        <v/>
      </c>
    </row>
    <row r="64" ht="21.0" customHeight="1">
      <c r="A64" s="156"/>
      <c r="B64" s="135"/>
      <c r="C64" s="155"/>
      <c r="D64" s="172"/>
      <c r="E64" s="157"/>
      <c r="F64" s="141"/>
      <c r="G64" s="170" t="str">
        <f>IFERROR(__xludf.DUMMYFUNCTION("if($C64="""","""",iferror(if(row()&lt;&gt;2,INDEX(arrayformula(filter($H$2:$H63,$C$2:$C63&lt;&gt;"""",row($C$2:$C63)=max(if($C$2:$C63=C64,row($C$2:$C63),0)))) ,1),0),0))"),"")</f>
        <v/>
      </c>
      <c r="H64" s="170" t="str">
        <f t="shared" si="8"/>
        <v/>
      </c>
      <c r="I64" s="147" t="str">
        <f t="shared" si="1"/>
        <v/>
      </c>
      <c r="J64" s="147" t="str">
        <f t="shared" si="13"/>
        <v/>
      </c>
      <c r="K64" s="147" t="str">
        <f>IFERROR(__xludf.DUMMYFUNCTION("if(C64="""","""",iferror(if(row()&lt;&gt;2,INDEX(arrayformula(filter($L$2:$L63,$C$2:$C63&lt;&gt;"""",row($C$2:$C63)=max(if($C$2:$C63=C64,row($C$2:$C63),0)))) ,1),0),0))"),"")</f>
        <v/>
      </c>
      <c r="L64" s="147" t="str">
        <f t="shared" si="14"/>
        <v/>
      </c>
      <c r="M64" s="149" t="str">
        <f t="shared" si="15"/>
        <v/>
      </c>
      <c r="N64" s="147" t="str">
        <f t="shared" si="16"/>
        <v/>
      </c>
      <c r="O64" s="147" t="str">
        <f t="shared" si="6"/>
        <v/>
      </c>
      <c r="P64" s="150" t="str">
        <f t="shared" si="7"/>
        <v/>
      </c>
      <c r="Q64" s="151" t="str">
        <f>IFERROR(VLOOKUP(C64,Ativos!$A$1:$G2000,5,),)</f>
        <v/>
      </c>
    </row>
    <row r="65" ht="21.0" customHeight="1">
      <c r="A65" s="152"/>
      <c r="B65" s="135"/>
      <c r="C65" s="153"/>
      <c r="D65" s="169"/>
      <c r="E65" s="139"/>
      <c r="F65" s="141"/>
      <c r="G65" s="170" t="str">
        <f>IFERROR(__xludf.DUMMYFUNCTION("if($C65="""","""",iferror(if(row()&lt;&gt;2,INDEX(arrayformula(filter($H$2:$H64,$C$2:$C64&lt;&gt;"""",row($C$2:$C64)=max(if($C$2:$C64=C65,row($C$2:$C64),0)))) ,1),0),0))"),"")</f>
        <v/>
      </c>
      <c r="H65" s="170" t="str">
        <f t="shared" si="8"/>
        <v/>
      </c>
      <c r="I65" s="147" t="str">
        <f t="shared" si="1"/>
        <v/>
      </c>
      <c r="J65" s="147" t="str">
        <f t="shared" si="13"/>
        <v/>
      </c>
      <c r="K65" s="147" t="str">
        <f>IFERROR(__xludf.DUMMYFUNCTION("if(C65="""","""",iferror(if(row()&lt;&gt;2,INDEX(arrayformula(filter($L$2:$L64,$C$2:$C64&lt;&gt;"""",row($C$2:$C64)=max(if($C$2:$C64=C65,row($C$2:$C64),0)))) ,1),0),0))"),"")</f>
        <v/>
      </c>
      <c r="L65" s="147" t="str">
        <f t="shared" si="14"/>
        <v/>
      </c>
      <c r="M65" s="149" t="str">
        <f t="shared" si="15"/>
        <v/>
      </c>
      <c r="N65" s="147" t="str">
        <f t="shared" si="16"/>
        <v/>
      </c>
      <c r="O65" s="147" t="str">
        <f t="shared" si="6"/>
        <v/>
      </c>
      <c r="P65" s="150" t="str">
        <f t="shared" si="7"/>
        <v/>
      </c>
      <c r="Q65" s="151" t="str">
        <f>IFERROR(VLOOKUP(C65,Ativos!$A$1:$G2000,5,),)</f>
        <v/>
      </c>
    </row>
    <row r="66" ht="21.0" customHeight="1">
      <c r="A66" s="152"/>
      <c r="B66" s="135"/>
      <c r="C66" s="153"/>
      <c r="D66" s="169"/>
      <c r="E66" s="139"/>
      <c r="F66" s="141"/>
      <c r="G66" s="170" t="str">
        <f>IFERROR(__xludf.DUMMYFUNCTION("if($C66="""","""",iferror(if(row()&lt;&gt;2,INDEX(arrayformula(filter($H$2:$H65,$C$2:$C65&lt;&gt;"""",row($C$2:$C65)=max(if($C$2:$C65=C66,row($C$2:$C65),0)))) ,1),0),0))"),"")</f>
        <v/>
      </c>
      <c r="H66" s="170" t="str">
        <f t="shared" si="8"/>
        <v/>
      </c>
      <c r="I66" s="147" t="str">
        <f t="shared" si="1"/>
        <v/>
      </c>
      <c r="J66" s="147" t="str">
        <f t="shared" si="13"/>
        <v/>
      </c>
      <c r="K66" s="147" t="str">
        <f>IFERROR(__xludf.DUMMYFUNCTION("if(C66="""","""",iferror(if(row()&lt;&gt;2,INDEX(arrayformula(filter($L$2:$L65,$C$2:$C65&lt;&gt;"""",row($C$2:$C65)=max(if($C$2:$C65=C66,row($C$2:$C65),0)))) ,1),0),0))"),"")</f>
        <v/>
      </c>
      <c r="L66" s="147" t="str">
        <f t="shared" si="14"/>
        <v/>
      </c>
      <c r="M66" s="149" t="str">
        <f t="shared" si="15"/>
        <v/>
      </c>
      <c r="N66" s="147" t="str">
        <f t="shared" si="16"/>
        <v/>
      </c>
      <c r="O66" s="147" t="str">
        <f t="shared" si="6"/>
        <v/>
      </c>
      <c r="P66" s="150" t="str">
        <f t="shared" si="7"/>
        <v/>
      </c>
      <c r="Q66" s="151" t="str">
        <f>IFERROR(VLOOKUP(C66,Ativos!$A$1:$G2000,5,),)</f>
        <v/>
      </c>
    </row>
    <row r="67" ht="21.0" customHeight="1">
      <c r="A67" s="156"/>
      <c r="B67" s="135"/>
      <c r="C67" s="155"/>
      <c r="D67" s="172"/>
      <c r="E67" s="157"/>
      <c r="F67" s="141"/>
      <c r="G67" s="170" t="str">
        <f>IFERROR(__xludf.DUMMYFUNCTION("if($C67="""","""",iferror(if(row()&lt;&gt;2,INDEX(arrayformula(filter($H$2:$H66,$C$2:$C66&lt;&gt;"""",row($C$2:$C66)=max(if($C$2:$C66=C67,row($C$2:$C66),0)))) ,1),0),0))"),"")</f>
        <v/>
      </c>
      <c r="H67" s="170" t="str">
        <f t="shared" si="8"/>
        <v/>
      </c>
      <c r="I67" s="147" t="str">
        <f t="shared" si="1"/>
        <v/>
      </c>
      <c r="J67" s="147" t="str">
        <f t="shared" si="13"/>
        <v/>
      </c>
      <c r="K67" s="147" t="str">
        <f>IFERROR(__xludf.DUMMYFUNCTION("if(C67="""","""",iferror(if(row()&lt;&gt;2,INDEX(arrayformula(filter($L$2:$L66,$C$2:$C66&lt;&gt;"""",row($C$2:$C66)=max(if($C$2:$C66=C67,row($C$2:$C66),0)))) ,1),0),0))"),"")</f>
        <v/>
      </c>
      <c r="L67" s="147" t="str">
        <f t="shared" si="14"/>
        <v/>
      </c>
      <c r="M67" s="149" t="str">
        <f t="shared" si="15"/>
        <v/>
      </c>
      <c r="N67" s="147" t="str">
        <f t="shared" si="16"/>
        <v/>
      </c>
      <c r="O67" s="147" t="str">
        <f t="shared" si="6"/>
        <v/>
      </c>
      <c r="P67" s="150" t="str">
        <f t="shared" si="7"/>
        <v/>
      </c>
      <c r="Q67" s="151" t="str">
        <f>IFERROR(VLOOKUP(C67,Ativos!$A$1:$G2000,5,),)</f>
        <v/>
      </c>
    </row>
    <row r="68" ht="21.0" customHeight="1">
      <c r="A68" s="156"/>
      <c r="B68" s="135"/>
      <c r="C68" s="155"/>
      <c r="D68" s="172"/>
      <c r="E68" s="157"/>
      <c r="F68" s="141"/>
      <c r="G68" s="170" t="str">
        <f>IFERROR(__xludf.DUMMYFUNCTION("if($C68="""","""",iferror(if(row()&lt;&gt;2,INDEX(arrayformula(filter($H$2:$H67,$C$2:$C67&lt;&gt;"""",row($C$2:$C67)=max(if($C$2:$C67=C68,row($C$2:$C67),0)))) ,1),0),0))"),"")</f>
        <v/>
      </c>
      <c r="H68" s="170" t="str">
        <f t="shared" si="8"/>
        <v/>
      </c>
      <c r="I68" s="147" t="str">
        <f t="shared" si="1"/>
        <v/>
      </c>
      <c r="J68" s="147" t="str">
        <f t="shared" si="13"/>
        <v/>
      </c>
      <c r="K68" s="147" t="str">
        <f>IFERROR(__xludf.DUMMYFUNCTION("if(C68="""","""",iferror(if(row()&lt;&gt;2,INDEX(arrayformula(filter($L$2:$L67,$C$2:$C67&lt;&gt;"""",row($C$2:$C67)=max(if($C$2:$C67=C68,row($C$2:$C67),0)))) ,1),0),0))"),"")</f>
        <v/>
      </c>
      <c r="L68" s="147" t="str">
        <f t="shared" si="14"/>
        <v/>
      </c>
      <c r="M68" s="149" t="str">
        <f t="shared" si="15"/>
        <v/>
      </c>
      <c r="N68" s="147" t="str">
        <f t="shared" si="16"/>
        <v/>
      </c>
      <c r="O68" s="147" t="str">
        <f t="shared" si="6"/>
        <v/>
      </c>
      <c r="P68" s="150" t="str">
        <f t="shared" si="7"/>
        <v/>
      </c>
      <c r="Q68" s="151" t="str">
        <f>IFERROR(VLOOKUP(C68,Ativos!$A$1:$G2000,5,),)</f>
        <v/>
      </c>
    </row>
    <row r="69" ht="21.0" customHeight="1">
      <c r="A69" s="152"/>
      <c r="B69" s="135"/>
      <c r="C69" s="153"/>
      <c r="D69" s="169"/>
      <c r="E69" s="139"/>
      <c r="F69" s="141"/>
      <c r="G69" s="170" t="str">
        <f>IFERROR(__xludf.DUMMYFUNCTION("if($C69="""","""",iferror(if(row()&lt;&gt;2,INDEX(arrayformula(filter($H$2:$H68,$C$2:$C68&lt;&gt;"""",row($C$2:$C68)=max(if($C$2:$C68=C69,row($C$2:$C68),0)))) ,1),0),0))"),"")</f>
        <v/>
      </c>
      <c r="H69" s="170" t="str">
        <f t="shared" si="8"/>
        <v/>
      </c>
      <c r="I69" s="147" t="str">
        <f t="shared" si="1"/>
        <v/>
      </c>
      <c r="J69" s="147" t="str">
        <f t="shared" si="13"/>
        <v/>
      </c>
      <c r="K69" s="147" t="str">
        <f>IFERROR(__xludf.DUMMYFUNCTION("if(C69="""","""",iferror(if(row()&lt;&gt;2,INDEX(arrayformula(filter($L$2:$L68,$C$2:$C68&lt;&gt;"""",row($C$2:$C68)=max(if($C$2:$C68=C69,row($C$2:$C68),0)))) ,1),0),0))"),"")</f>
        <v/>
      </c>
      <c r="L69" s="147" t="str">
        <f t="shared" si="14"/>
        <v/>
      </c>
      <c r="M69" s="149" t="str">
        <f t="shared" si="15"/>
        <v/>
      </c>
      <c r="N69" s="147" t="str">
        <f t="shared" si="16"/>
        <v/>
      </c>
      <c r="O69" s="147" t="str">
        <f t="shared" si="6"/>
        <v/>
      </c>
      <c r="P69" s="150" t="str">
        <f t="shared" si="7"/>
        <v/>
      </c>
      <c r="Q69" s="151" t="str">
        <f>IFERROR(VLOOKUP(C69,Ativos!$A$1:$G2000,5,),)</f>
        <v/>
      </c>
    </row>
    <row r="70" ht="21.0" customHeight="1">
      <c r="A70" s="152"/>
      <c r="B70" s="135"/>
      <c r="C70" s="153"/>
      <c r="D70" s="169"/>
      <c r="E70" s="139"/>
      <c r="F70" s="141"/>
      <c r="G70" s="170" t="str">
        <f>IFERROR(__xludf.DUMMYFUNCTION("if($C70="""","""",iferror(if(row()&lt;&gt;2,INDEX(arrayformula(filter($H$2:$H69,$C$2:$C69&lt;&gt;"""",row($C$2:$C69)=max(if($C$2:$C69=C70,row($C$2:$C69),0)))) ,1),0),0))"),"")</f>
        <v/>
      </c>
      <c r="H70" s="170" t="str">
        <f t="shared" si="8"/>
        <v/>
      </c>
      <c r="I70" s="147" t="str">
        <f t="shared" si="1"/>
        <v/>
      </c>
      <c r="J70" s="147" t="str">
        <f t="shared" si="13"/>
        <v/>
      </c>
      <c r="K70" s="147" t="str">
        <f>IFERROR(__xludf.DUMMYFUNCTION("if(C70="""","""",iferror(if(row()&lt;&gt;2,INDEX(arrayformula(filter($L$2:$L69,$C$2:$C69&lt;&gt;"""",row($C$2:$C69)=max(if($C$2:$C69=C70,row($C$2:$C69),0)))) ,1),0),0))"),"")</f>
        <v/>
      </c>
      <c r="L70" s="147" t="str">
        <f t="shared" si="14"/>
        <v/>
      </c>
      <c r="M70" s="149" t="str">
        <f t="shared" si="15"/>
        <v/>
      </c>
      <c r="N70" s="147" t="str">
        <f t="shared" si="16"/>
        <v/>
      </c>
      <c r="O70" s="147" t="str">
        <f t="shared" si="6"/>
        <v/>
      </c>
      <c r="P70" s="150" t="str">
        <f t="shared" si="7"/>
        <v/>
      </c>
      <c r="Q70" s="151" t="str">
        <f>IFERROR(VLOOKUP(C70,Ativos!$A$1:$G2000,5,),)</f>
        <v/>
      </c>
    </row>
    <row r="71" ht="21.0" customHeight="1">
      <c r="A71" s="152"/>
      <c r="B71" s="135"/>
      <c r="C71" s="155"/>
      <c r="D71" s="169"/>
      <c r="E71" s="139"/>
      <c r="F71" s="141"/>
      <c r="G71" s="170" t="str">
        <f>IFERROR(__xludf.DUMMYFUNCTION("if($C71="""","""",iferror(if(row()&lt;&gt;2,INDEX(arrayformula(filter($H$2:$H70,$C$2:$C70&lt;&gt;"""",row($C$2:$C70)=max(if($C$2:$C70=C71,row($C$2:$C70),0)))) ,1),0),0))"),"")</f>
        <v/>
      </c>
      <c r="H71" s="170" t="str">
        <f t="shared" si="8"/>
        <v/>
      </c>
      <c r="I71" s="147" t="str">
        <f t="shared" si="1"/>
        <v/>
      </c>
      <c r="J71" s="147" t="str">
        <f t="shared" si="13"/>
        <v/>
      </c>
      <c r="K71" s="147" t="str">
        <f>IFERROR(__xludf.DUMMYFUNCTION("if(C71="""","""",iferror(if(row()&lt;&gt;2,INDEX(arrayformula(filter($L$2:$L70,$C$2:$C70&lt;&gt;"""",row($C$2:$C70)=max(if($C$2:$C70=C71,row($C$2:$C70),0)))) ,1),0),0))"),"")</f>
        <v/>
      </c>
      <c r="L71" s="147" t="str">
        <f t="shared" si="14"/>
        <v/>
      </c>
      <c r="M71" s="149" t="str">
        <f t="shared" si="15"/>
        <v/>
      </c>
      <c r="N71" s="147" t="str">
        <f t="shared" si="16"/>
        <v/>
      </c>
      <c r="O71" s="147" t="str">
        <f t="shared" si="6"/>
        <v/>
      </c>
      <c r="P71" s="150" t="str">
        <f t="shared" si="7"/>
        <v/>
      </c>
      <c r="Q71" s="151" t="str">
        <f>IFERROR(VLOOKUP(C71,Ativos!$A$1:$G2000,5,),)</f>
        <v/>
      </c>
    </row>
    <row r="72" ht="21.0" customHeight="1">
      <c r="A72" s="156"/>
      <c r="B72" s="135"/>
      <c r="C72" s="155"/>
      <c r="D72" s="172"/>
      <c r="E72" s="157"/>
      <c r="F72" s="141"/>
      <c r="G72" s="170" t="str">
        <f>IFERROR(__xludf.DUMMYFUNCTION("if($C72="""","""",iferror(if(row()&lt;&gt;2,INDEX(arrayformula(filter($H$2:$H71,$C$2:$C71&lt;&gt;"""",row($C$2:$C71)=max(if($C$2:$C71=C72,row($C$2:$C71),0)))) ,1),0),0))"),"")</f>
        <v/>
      </c>
      <c r="H72" s="170" t="str">
        <f t="shared" si="8"/>
        <v/>
      </c>
      <c r="I72" s="147" t="str">
        <f t="shared" si="1"/>
        <v/>
      </c>
      <c r="J72" s="147" t="str">
        <f t="shared" si="13"/>
        <v/>
      </c>
      <c r="K72" s="147" t="str">
        <f>IFERROR(__xludf.DUMMYFUNCTION("if(C72="""","""",iferror(if(row()&lt;&gt;2,INDEX(arrayformula(filter($L$2:$L71,$C$2:$C71&lt;&gt;"""",row($C$2:$C71)=max(if($C$2:$C71=C72,row($C$2:$C71),0)))) ,1),0),0))"),"")</f>
        <v/>
      </c>
      <c r="L72" s="147" t="str">
        <f t="shared" si="14"/>
        <v/>
      </c>
      <c r="M72" s="149" t="str">
        <f t="shared" si="15"/>
        <v/>
      </c>
      <c r="N72" s="147" t="str">
        <f t="shared" si="16"/>
        <v/>
      </c>
      <c r="O72" s="147" t="str">
        <f t="shared" si="6"/>
        <v/>
      </c>
      <c r="P72" s="150" t="str">
        <f t="shared" si="7"/>
        <v/>
      </c>
      <c r="Q72" s="151" t="str">
        <f>IFERROR(VLOOKUP(C72,Ativos!$A$1:$G2000,5,),)</f>
        <v/>
      </c>
    </row>
    <row r="73" ht="21.0" customHeight="1">
      <c r="A73" s="152"/>
      <c r="B73" s="135"/>
      <c r="C73" s="153"/>
      <c r="D73" s="169"/>
      <c r="E73" s="139"/>
      <c r="F73" s="141"/>
      <c r="G73" s="170" t="str">
        <f>IFERROR(__xludf.DUMMYFUNCTION("if($C73="""","""",iferror(if(row()&lt;&gt;2,INDEX(arrayformula(filter($H$2:$H72,$C$2:$C72&lt;&gt;"""",row($C$2:$C72)=max(if($C$2:$C72=C73,row($C$2:$C72),0)))) ,1),0),0))"),"")</f>
        <v/>
      </c>
      <c r="H73" s="170" t="str">
        <f t="shared" si="8"/>
        <v/>
      </c>
      <c r="I73" s="147" t="str">
        <f t="shared" si="1"/>
        <v/>
      </c>
      <c r="J73" s="147" t="str">
        <f t="shared" si="13"/>
        <v/>
      </c>
      <c r="K73" s="147" t="str">
        <f>IFERROR(__xludf.DUMMYFUNCTION("if(C73="""","""",iferror(if(row()&lt;&gt;2,INDEX(arrayformula(filter($L$2:$L72,$C$2:$C72&lt;&gt;"""",row($C$2:$C72)=max(if($C$2:$C72=C73,row($C$2:$C72),0)))) ,1),0),0))"),"")</f>
        <v/>
      </c>
      <c r="L73" s="147" t="str">
        <f t="shared" si="14"/>
        <v/>
      </c>
      <c r="M73" s="149" t="str">
        <f t="shared" si="15"/>
        <v/>
      </c>
      <c r="N73" s="147" t="str">
        <f t="shared" si="16"/>
        <v/>
      </c>
      <c r="O73" s="147" t="str">
        <f t="shared" si="6"/>
        <v/>
      </c>
      <c r="P73" s="150" t="str">
        <f t="shared" si="7"/>
        <v/>
      </c>
      <c r="Q73" s="151" t="str">
        <f>IFERROR(VLOOKUP(C73,Ativos!$A$1:$G2000,5,),)</f>
        <v/>
      </c>
    </row>
    <row r="74" ht="21.0" customHeight="1">
      <c r="A74" s="152"/>
      <c r="B74" s="135"/>
      <c r="C74" s="153"/>
      <c r="D74" s="169"/>
      <c r="E74" s="139"/>
      <c r="F74" s="141"/>
      <c r="G74" s="170" t="str">
        <f>IFERROR(__xludf.DUMMYFUNCTION("if($C74="""","""",iferror(if(row()&lt;&gt;2,INDEX(arrayformula(filter($H$2:$H73,$C$2:$C73&lt;&gt;"""",row($C$2:$C73)=max(if($C$2:$C73=C74,row($C$2:$C73),0)))) ,1),0),0))"),"")</f>
        <v/>
      </c>
      <c r="H74" s="170" t="str">
        <f t="shared" si="8"/>
        <v/>
      </c>
      <c r="I74" s="147" t="str">
        <f t="shared" si="1"/>
        <v/>
      </c>
      <c r="J74" s="147" t="str">
        <f t="shared" si="13"/>
        <v/>
      </c>
      <c r="K74" s="147" t="str">
        <f>IFERROR(__xludf.DUMMYFUNCTION("if(C74="""","""",iferror(if(row()&lt;&gt;2,INDEX(arrayformula(filter($L$2:$L73,$C$2:$C73&lt;&gt;"""",row($C$2:$C73)=max(if($C$2:$C73=C74,row($C$2:$C73),0)))) ,1),0),0))"),"")</f>
        <v/>
      </c>
      <c r="L74" s="147" t="str">
        <f t="shared" si="14"/>
        <v/>
      </c>
      <c r="M74" s="149" t="str">
        <f t="shared" si="15"/>
        <v/>
      </c>
      <c r="N74" s="147" t="str">
        <f t="shared" si="16"/>
        <v/>
      </c>
      <c r="O74" s="147" t="str">
        <f t="shared" si="6"/>
        <v/>
      </c>
      <c r="P74" s="150" t="str">
        <f t="shared" si="7"/>
        <v/>
      </c>
      <c r="Q74" s="151" t="str">
        <f>IFERROR(VLOOKUP(C74,Ativos!$A$1:$G2000,5,),)</f>
        <v/>
      </c>
    </row>
    <row r="75" ht="21.0" customHeight="1">
      <c r="A75" s="152"/>
      <c r="B75" s="135"/>
      <c r="C75" s="153"/>
      <c r="D75" s="169"/>
      <c r="E75" s="139"/>
      <c r="F75" s="141"/>
      <c r="G75" s="170" t="str">
        <f>IFERROR(__xludf.DUMMYFUNCTION("if($C75="""","""",iferror(if(row()&lt;&gt;2,INDEX(arrayformula(filter($H$2:$H74,$C$2:$C74&lt;&gt;"""",row($C$2:$C74)=max(if($C$2:$C74=C75,row($C$2:$C74),0)))) ,1),0),0))"),"")</f>
        <v/>
      </c>
      <c r="H75" s="170" t="str">
        <f t="shared" si="8"/>
        <v/>
      </c>
      <c r="I75" s="147" t="str">
        <f t="shared" si="1"/>
        <v/>
      </c>
      <c r="J75" s="147" t="str">
        <f t="shared" si="13"/>
        <v/>
      </c>
      <c r="K75" s="147" t="str">
        <f>IFERROR(__xludf.DUMMYFUNCTION("if(C75="""","""",iferror(if(row()&lt;&gt;2,INDEX(arrayformula(filter($L$2:$L74,$C$2:$C74&lt;&gt;"""",row($C$2:$C74)=max(if($C$2:$C74=C75,row($C$2:$C74),0)))) ,1),0),0))"),"")</f>
        <v/>
      </c>
      <c r="L75" s="147" t="str">
        <f t="shared" si="14"/>
        <v/>
      </c>
      <c r="M75" s="149" t="str">
        <f t="shared" si="15"/>
        <v/>
      </c>
      <c r="N75" s="147" t="str">
        <f t="shared" si="16"/>
        <v/>
      </c>
      <c r="O75" s="147" t="str">
        <f t="shared" si="6"/>
        <v/>
      </c>
      <c r="P75" s="150" t="str">
        <f t="shared" si="7"/>
        <v/>
      </c>
      <c r="Q75" s="151" t="str">
        <f>IFERROR(VLOOKUP(C75,Ativos!$A$1:$G2000,5,),)</f>
        <v/>
      </c>
    </row>
    <row r="76" ht="21.0" customHeight="1">
      <c r="A76" s="152"/>
      <c r="B76" s="135"/>
      <c r="C76" s="153"/>
      <c r="D76" s="169"/>
      <c r="E76" s="139"/>
      <c r="F76" s="141"/>
      <c r="G76" s="170" t="str">
        <f>IFERROR(__xludf.DUMMYFUNCTION("if($C76="""","""",iferror(if(row()&lt;&gt;2,INDEX(arrayformula(filter($H$2:$H75,$C$2:$C75&lt;&gt;"""",row($C$2:$C75)=max(if($C$2:$C75=C76,row($C$2:$C75),0)))) ,1),0),0))"),"")</f>
        <v/>
      </c>
      <c r="H76" s="170" t="str">
        <f t="shared" si="8"/>
        <v/>
      </c>
      <c r="I76" s="147" t="str">
        <f t="shared" si="1"/>
        <v/>
      </c>
      <c r="J76" s="147" t="str">
        <f t="shared" si="13"/>
        <v/>
      </c>
      <c r="K76" s="147" t="str">
        <f>IFERROR(__xludf.DUMMYFUNCTION("if(C76="""","""",iferror(if(row()&lt;&gt;2,INDEX(arrayformula(filter($L$2:$L75,$C$2:$C75&lt;&gt;"""",row($C$2:$C75)=max(if($C$2:$C75=C76,row($C$2:$C75),0)))) ,1),0),0))"),"")</f>
        <v/>
      </c>
      <c r="L76" s="147" t="str">
        <f t="shared" si="14"/>
        <v/>
      </c>
      <c r="M76" s="149" t="str">
        <f t="shared" si="15"/>
        <v/>
      </c>
      <c r="N76" s="147" t="str">
        <f t="shared" si="16"/>
        <v/>
      </c>
      <c r="O76" s="147" t="str">
        <f t="shared" si="6"/>
        <v/>
      </c>
      <c r="P76" s="150" t="str">
        <f t="shared" si="7"/>
        <v/>
      </c>
      <c r="Q76" s="151" t="str">
        <f>IFERROR(VLOOKUP(C76,Ativos!$A$1:$G2000,5,),)</f>
        <v/>
      </c>
    </row>
    <row r="77" ht="21.0" customHeight="1">
      <c r="A77" s="152"/>
      <c r="B77" s="135"/>
      <c r="C77" s="153"/>
      <c r="D77" s="169"/>
      <c r="E77" s="139"/>
      <c r="F77" s="141"/>
      <c r="G77" s="170" t="str">
        <f>IFERROR(__xludf.DUMMYFUNCTION("if($C77="""","""",iferror(if(row()&lt;&gt;2,INDEX(arrayformula(filter($H$2:$H76,$C$2:$C76&lt;&gt;"""",row($C$2:$C76)=max(if($C$2:$C76=C77,row($C$2:$C76),0)))) ,1),0),0))"),"")</f>
        <v/>
      </c>
      <c r="H77" s="170" t="str">
        <f t="shared" si="8"/>
        <v/>
      </c>
      <c r="I77" s="147" t="str">
        <f t="shared" si="1"/>
        <v/>
      </c>
      <c r="J77" s="147" t="str">
        <f t="shared" si="13"/>
        <v/>
      </c>
      <c r="K77" s="147" t="str">
        <f>IFERROR(__xludf.DUMMYFUNCTION("if(C77="""","""",iferror(if(row()&lt;&gt;2,INDEX(arrayformula(filter($L$2:$L76,$C$2:$C76&lt;&gt;"""",row($C$2:$C76)=max(if($C$2:$C76=C77,row($C$2:$C76),0)))) ,1),0),0))"),"")</f>
        <v/>
      </c>
      <c r="L77" s="147" t="str">
        <f t="shared" si="14"/>
        <v/>
      </c>
      <c r="M77" s="149" t="str">
        <f t="shared" si="15"/>
        <v/>
      </c>
      <c r="N77" s="147" t="str">
        <f t="shared" si="16"/>
        <v/>
      </c>
      <c r="O77" s="147" t="str">
        <f t="shared" si="6"/>
        <v/>
      </c>
      <c r="P77" s="150" t="str">
        <f t="shared" si="7"/>
        <v/>
      </c>
      <c r="Q77" s="151" t="str">
        <f>IFERROR(VLOOKUP(C77,Ativos!$A$1:$G2000,5,),)</f>
        <v/>
      </c>
    </row>
    <row r="78" ht="21.0" customHeight="1">
      <c r="A78" s="152"/>
      <c r="B78" s="135"/>
      <c r="C78" s="153"/>
      <c r="D78" s="169"/>
      <c r="E78" s="139"/>
      <c r="F78" s="141"/>
      <c r="G78" s="170" t="str">
        <f>IFERROR(__xludf.DUMMYFUNCTION("if($C78="""","""",iferror(if(row()&lt;&gt;2,INDEX(arrayformula(filter($H$2:$H77,$C$2:$C77&lt;&gt;"""",row($C$2:$C77)=max(if($C$2:$C77=C78,row($C$2:$C77),0)))) ,1),0),0))"),"")</f>
        <v/>
      </c>
      <c r="H78" s="170" t="str">
        <f t="shared" si="8"/>
        <v/>
      </c>
      <c r="I78" s="147" t="str">
        <f t="shared" si="1"/>
        <v/>
      </c>
      <c r="J78" s="147" t="str">
        <f t="shared" si="13"/>
        <v/>
      </c>
      <c r="K78" s="147" t="str">
        <f>IFERROR(__xludf.DUMMYFUNCTION("if(C78="""","""",iferror(if(row()&lt;&gt;2,INDEX(arrayformula(filter($L$2:$L77,$C$2:$C77&lt;&gt;"""",row($C$2:$C77)=max(if($C$2:$C77=C78,row($C$2:$C77),0)))) ,1),0),0))"),"")</f>
        <v/>
      </c>
      <c r="L78" s="147" t="str">
        <f t="shared" si="14"/>
        <v/>
      </c>
      <c r="M78" s="149" t="str">
        <f t="shared" si="15"/>
        <v/>
      </c>
      <c r="N78" s="147" t="str">
        <f t="shared" si="16"/>
        <v/>
      </c>
      <c r="O78" s="147" t="str">
        <f t="shared" si="6"/>
        <v/>
      </c>
      <c r="P78" s="150" t="str">
        <f t="shared" si="7"/>
        <v/>
      </c>
      <c r="Q78" s="151" t="str">
        <f>IFERROR(VLOOKUP(C78,Ativos!$A$1:$G2000,5,),)</f>
        <v/>
      </c>
    </row>
    <row r="79" ht="21.0" customHeight="1">
      <c r="A79" s="152"/>
      <c r="B79" s="135"/>
      <c r="C79" s="153"/>
      <c r="D79" s="169"/>
      <c r="E79" s="139"/>
      <c r="F79" s="141"/>
      <c r="G79" s="170" t="str">
        <f>IFERROR(__xludf.DUMMYFUNCTION("if($C79="""","""",iferror(if(row()&lt;&gt;2,INDEX(arrayformula(filter($H$2:$H78,$C$2:$C78&lt;&gt;"""",row($C$2:$C78)=max(if($C$2:$C78=C79,row($C$2:$C78),0)))) ,1),0),0))"),"")</f>
        <v/>
      </c>
      <c r="H79" s="170" t="str">
        <f t="shared" si="8"/>
        <v/>
      </c>
      <c r="I79" s="147" t="str">
        <f t="shared" si="1"/>
        <v/>
      </c>
      <c r="J79" s="147" t="str">
        <f t="shared" si="13"/>
        <v/>
      </c>
      <c r="K79" s="147" t="str">
        <f>IFERROR(__xludf.DUMMYFUNCTION("if(C79="""","""",iferror(if(row()&lt;&gt;2,INDEX(arrayformula(filter($L$2:$L78,$C$2:$C78&lt;&gt;"""",row($C$2:$C78)=max(if($C$2:$C78=C79,row($C$2:$C78),0)))) ,1),0),0))"),"")</f>
        <v/>
      </c>
      <c r="L79" s="147" t="str">
        <f t="shared" si="14"/>
        <v/>
      </c>
      <c r="M79" s="149" t="str">
        <f t="shared" si="15"/>
        <v/>
      </c>
      <c r="N79" s="147" t="str">
        <f t="shared" si="16"/>
        <v/>
      </c>
      <c r="O79" s="147" t="str">
        <f t="shared" si="6"/>
        <v/>
      </c>
      <c r="P79" s="150" t="str">
        <f t="shared" si="7"/>
        <v/>
      </c>
      <c r="Q79" s="151" t="str">
        <f>IFERROR(VLOOKUP(C79,Ativos!$A$1:$G2000,5,),)</f>
        <v/>
      </c>
    </row>
    <row r="80" ht="21.0" customHeight="1">
      <c r="A80" s="152"/>
      <c r="B80" s="135"/>
      <c r="C80" s="153"/>
      <c r="D80" s="169"/>
      <c r="E80" s="139"/>
      <c r="F80" s="141"/>
      <c r="G80" s="170" t="str">
        <f>IFERROR(__xludf.DUMMYFUNCTION("if($C80="""","""",iferror(if(row()&lt;&gt;2,INDEX(arrayformula(filter($H$2:$H79,$C$2:$C79&lt;&gt;"""",row($C$2:$C79)=max(if($C$2:$C79=C80,row($C$2:$C79),0)))) ,1),0),0))"),"")</f>
        <v/>
      </c>
      <c r="H80" s="170" t="str">
        <f t="shared" si="8"/>
        <v/>
      </c>
      <c r="I80" s="147" t="str">
        <f t="shared" si="1"/>
        <v/>
      </c>
      <c r="J80" s="147" t="str">
        <f t="shared" si="13"/>
        <v/>
      </c>
      <c r="K80" s="147" t="str">
        <f>IFERROR(__xludf.DUMMYFUNCTION("if(C80="""","""",iferror(if(row()&lt;&gt;2,INDEX(arrayformula(filter($L$2:$L79,$C$2:$C79&lt;&gt;"""",row($C$2:$C79)=max(if($C$2:$C79=C80,row($C$2:$C79),0)))) ,1),0),0))"),"")</f>
        <v/>
      </c>
      <c r="L80" s="147" t="str">
        <f t="shared" si="14"/>
        <v/>
      </c>
      <c r="M80" s="149" t="str">
        <f t="shared" si="15"/>
        <v/>
      </c>
      <c r="N80" s="147" t="str">
        <f t="shared" si="16"/>
        <v/>
      </c>
      <c r="O80" s="147" t="str">
        <f t="shared" si="6"/>
        <v/>
      </c>
      <c r="P80" s="150" t="str">
        <f t="shared" si="7"/>
        <v/>
      </c>
      <c r="Q80" s="151" t="str">
        <f>IFERROR(VLOOKUP(C80,Ativos!$A$1:$G2000,5,),)</f>
        <v/>
      </c>
    </row>
    <row r="81" ht="21.0" customHeight="1">
      <c r="A81" s="152"/>
      <c r="B81" s="135"/>
      <c r="C81" s="153"/>
      <c r="D81" s="169"/>
      <c r="E81" s="139"/>
      <c r="F81" s="141"/>
      <c r="G81" s="170" t="str">
        <f>IFERROR(__xludf.DUMMYFUNCTION("if($C81="""","""",iferror(if(row()&lt;&gt;2,INDEX(arrayformula(filter($H$2:$H80,$C$2:$C80&lt;&gt;"""",row($C$2:$C80)=max(if($C$2:$C80=C81,row($C$2:$C80),0)))) ,1),0),0))"),"")</f>
        <v/>
      </c>
      <c r="H81" s="170" t="str">
        <f t="shared" si="8"/>
        <v/>
      </c>
      <c r="I81" s="147" t="str">
        <f t="shared" si="1"/>
        <v/>
      </c>
      <c r="J81" s="147" t="str">
        <f t="shared" si="13"/>
        <v/>
      </c>
      <c r="K81" s="147" t="str">
        <f>IFERROR(__xludf.DUMMYFUNCTION("if(C81="""","""",iferror(if(row()&lt;&gt;2,INDEX(arrayformula(filter($L$2:$L80,$C$2:$C80&lt;&gt;"""",row($C$2:$C80)=max(if($C$2:$C80=C81,row($C$2:$C80),0)))) ,1),0),0))"),"")</f>
        <v/>
      </c>
      <c r="L81" s="147" t="str">
        <f t="shared" si="14"/>
        <v/>
      </c>
      <c r="M81" s="149" t="str">
        <f t="shared" si="15"/>
        <v/>
      </c>
      <c r="N81" s="147" t="str">
        <f t="shared" si="16"/>
        <v/>
      </c>
      <c r="O81" s="147" t="str">
        <f t="shared" si="6"/>
        <v/>
      </c>
      <c r="P81" s="150" t="str">
        <f t="shared" si="7"/>
        <v/>
      </c>
      <c r="Q81" s="151" t="str">
        <f>IFERROR(VLOOKUP(C81,Ativos!$A$1:$G2000,5,),)</f>
        <v/>
      </c>
    </row>
    <row r="82" ht="21.0" customHeight="1">
      <c r="A82" s="152"/>
      <c r="B82" s="135"/>
      <c r="C82" s="153"/>
      <c r="D82" s="169"/>
      <c r="E82" s="139"/>
      <c r="F82" s="141"/>
      <c r="G82" s="170" t="str">
        <f>IFERROR(__xludf.DUMMYFUNCTION("if($C82="""","""",iferror(if(row()&lt;&gt;2,INDEX(arrayformula(filter($H$2:$H81,$C$2:$C81&lt;&gt;"""",row($C$2:$C81)=max(if($C$2:$C81=C82,row($C$2:$C81),0)))) ,1),0),0))"),"")</f>
        <v/>
      </c>
      <c r="H82" s="170" t="str">
        <f t="shared" si="8"/>
        <v/>
      </c>
      <c r="I82" s="147" t="str">
        <f t="shared" si="1"/>
        <v/>
      </c>
      <c r="J82" s="147" t="str">
        <f t="shared" si="13"/>
        <v/>
      </c>
      <c r="K82" s="147" t="str">
        <f>IFERROR(__xludf.DUMMYFUNCTION("if(C82="""","""",iferror(if(row()&lt;&gt;2,INDEX(arrayformula(filter($L$2:$L81,$C$2:$C81&lt;&gt;"""",row($C$2:$C81)=max(if($C$2:$C81=C82,row($C$2:$C81),0)))) ,1),0),0))"),"")</f>
        <v/>
      </c>
      <c r="L82" s="147" t="str">
        <f t="shared" si="14"/>
        <v/>
      </c>
      <c r="M82" s="149" t="str">
        <f t="shared" si="15"/>
        <v/>
      </c>
      <c r="N82" s="147" t="str">
        <f t="shared" si="16"/>
        <v/>
      </c>
      <c r="O82" s="147" t="str">
        <f t="shared" si="6"/>
        <v/>
      </c>
      <c r="P82" s="150" t="str">
        <f t="shared" si="7"/>
        <v/>
      </c>
      <c r="Q82" s="151" t="str">
        <f>IFERROR(VLOOKUP(C82,Ativos!$A$1:$G2000,5,),)</f>
        <v/>
      </c>
    </row>
    <row r="83" ht="21.0" customHeight="1">
      <c r="A83" s="152"/>
      <c r="B83" s="135"/>
      <c r="C83" s="153"/>
      <c r="D83" s="169"/>
      <c r="E83" s="139"/>
      <c r="F83" s="141"/>
      <c r="G83" s="170" t="str">
        <f>IFERROR(__xludf.DUMMYFUNCTION("if($C83="""","""",iferror(if(row()&lt;&gt;2,INDEX(arrayformula(filter($H$2:$H82,$C$2:$C82&lt;&gt;"""",row($C$2:$C82)=max(if($C$2:$C82=C83,row($C$2:$C82),0)))) ,1),0),0))"),"")</f>
        <v/>
      </c>
      <c r="H83" s="170" t="str">
        <f t="shared" si="8"/>
        <v/>
      </c>
      <c r="I83" s="147" t="str">
        <f t="shared" si="1"/>
        <v/>
      </c>
      <c r="J83" s="147" t="str">
        <f t="shared" si="13"/>
        <v/>
      </c>
      <c r="K83" s="147" t="str">
        <f>IFERROR(__xludf.DUMMYFUNCTION("if(C83="""","""",iferror(if(row()&lt;&gt;2,INDEX(arrayformula(filter($L$2:$L82,$C$2:$C82&lt;&gt;"""",row($C$2:$C82)=max(if($C$2:$C82=C83,row($C$2:$C82),0)))) ,1),0),0))"),"")</f>
        <v/>
      </c>
      <c r="L83" s="147" t="str">
        <f t="shared" si="14"/>
        <v/>
      </c>
      <c r="M83" s="149" t="str">
        <f t="shared" si="15"/>
        <v/>
      </c>
      <c r="N83" s="147" t="str">
        <f t="shared" si="16"/>
        <v/>
      </c>
      <c r="O83" s="147" t="str">
        <f t="shared" si="6"/>
        <v/>
      </c>
      <c r="P83" s="150" t="str">
        <f t="shared" si="7"/>
        <v/>
      </c>
      <c r="Q83" s="151" t="str">
        <f>IFERROR(VLOOKUP(C83,Ativos!$A$1:$G2000,5,),)</f>
        <v/>
      </c>
    </row>
    <row r="84" ht="21.0" customHeight="1">
      <c r="A84" s="152"/>
      <c r="B84" s="135"/>
      <c r="C84" s="153"/>
      <c r="D84" s="169"/>
      <c r="E84" s="139"/>
      <c r="F84" s="141"/>
      <c r="G84" s="170" t="str">
        <f>IFERROR(__xludf.DUMMYFUNCTION("if($C84="""","""",iferror(if(row()&lt;&gt;2,INDEX(arrayformula(filter($H$2:$H83,$C$2:$C83&lt;&gt;"""",row($C$2:$C83)=max(if($C$2:$C83=C84,row($C$2:$C83),0)))) ,1),0),0))"),"")</f>
        <v/>
      </c>
      <c r="H84" s="170" t="str">
        <f t="shared" si="8"/>
        <v/>
      </c>
      <c r="I84" s="147" t="str">
        <f t="shared" si="1"/>
        <v/>
      </c>
      <c r="J84" s="147" t="str">
        <f t="shared" si="13"/>
        <v/>
      </c>
      <c r="K84" s="147" t="str">
        <f>IFERROR(__xludf.DUMMYFUNCTION("if(C84="""","""",iferror(if(row()&lt;&gt;2,INDEX(arrayformula(filter($L$2:$L83,$C$2:$C83&lt;&gt;"""",row($C$2:$C83)=max(if($C$2:$C83=C84,row($C$2:$C83),0)))) ,1),0),0))"),"")</f>
        <v/>
      </c>
      <c r="L84" s="147" t="str">
        <f t="shared" si="14"/>
        <v/>
      </c>
      <c r="M84" s="149" t="str">
        <f t="shared" si="15"/>
        <v/>
      </c>
      <c r="N84" s="147" t="str">
        <f t="shared" si="16"/>
        <v/>
      </c>
      <c r="O84" s="147" t="str">
        <f t="shared" si="6"/>
        <v/>
      </c>
      <c r="P84" s="150" t="str">
        <f t="shared" si="7"/>
        <v/>
      </c>
      <c r="Q84" s="151" t="str">
        <f>IFERROR(VLOOKUP(C84,Ativos!$A$1:$G2000,5,),)</f>
        <v/>
      </c>
    </row>
    <row r="85" ht="21.0" customHeight="1">
      <c r="A85" s="152"/>
      <c r="B85" s="135"/>
      <c r="C85" s="153"/>
      <c r="D85" s="169"/>
      <c r="E85" s="139"/>
      <c r="F85" s="141"/>
      <c r="G85" s="170" t="str">
        <f>IFERROR(__xludf.DUMMYFUNCTION("if($C85="""","""",iferror(if(row()&lt;&gt;2,INDEX(arrayformula(filter($H$2:$H84,$C$2:$C84&lt;&gt;"""",row($C$2:$C84)=max(if($C$2:$C84=C85,row($C$2:$C84),0)))) ,1),0),0))"),"")</f>
        <v/>
      </c>
      <c r="H85" s="170" t="str">
        <f t="shared" si="8"/>
        <v/>
      </c>
      <c r="I85" s="147" t="str">
        <f t="shared" si="1"/>
        <v/>
      </c>
      <c r="J85" s="147" t="str">
        <f t="shared" si="13"/>
        <v/>
      </c>
      <c r="K85" s="147" t="str">
        <f>IFERROR(__xludf.DUMMYFUNCTION("if(C85="""","""",iferror(if(row()&lt;&gt;2,INDEX(arrayformula(filter($L$2:$L84,$C$2:$C84&lt;&gt;"""",row($C$2:$C84)=max(if($C$2:$C84=C85,row($C$2:$C84),0)))) ,1),0),0))"),"")</f>
        <v/>
      </c>
      <c r="L85" s="147" t="str">
        <f t="shared" si="14"/>
        <v/>
      </c>
      <c r="M85" s="149" t="str">
        <f t="shared" si="15"/>
        <v/>
      </c>
      <c r="N85" s="147" t="str">
        <f t="shared" si="16"/>
        <v/>
      </c>
      <c r="O85" s="147" t="str">
        <f t="shared" si="6"/>
        <v/>
      </c>
      <c r="P85" s="150" t="str">
        <f t="shared" si="7"/>
        <v/>
      </c>
      <c r="Q85" s="151" t="str">
        <f>IFERROR(VLOOKUP(C85,Ativos!$A$1:$G2000,5,),)</f>
        <v/>
      </c>
    </row>
    <row r="86" ht="21.0" customHeight="1">
      <c r="A86" s="152"/>
      <c r="B86" s="135"/>
      <c r="C86" s="153"/>
      <c r="D86" s="169"/>
      <c r="E86" s="139"/>
      <c r="F86" s="141"/>
      <c r="G86" s="170" t="str">
        <f>IFERROR(__xludf.DUMMYFUNCTION("if($C86="""","""",iferror(if(row()&lt;&gt;2,INDEX(arrayformula(filter($H$2:$H85,$C$2:$C85&lt;&gt;"""",row($C$2:$C85)=max(if($C$2:$C85=C86,row($C$2:$C85),0)))) ,1),0),0))"),"")</f>
        <v/>
      </c>
      <c r="H86" s="170" t="str">
        <f t="shared" si="8"/>
        <v/>
      </c>
      <c r="I86" s="147" t="str">
        <f t="shared" si="1"/>
        <v/>
      </c>
      <c r="J86" s="147" t="str">
        <f t="shared" si="13"/>
        <v/>
      </c>
      <c r="K86" s="147" t="str">
        <f>IFERROR(__xludf.DUMMYFUNCTION("if(C86="""","""",iferror(if(row()&lt;&gt;2,INDEX(arrayformula(filter($L$2:$L85,$C$2:$C85&lt;&gt;"""",row($C$2:$C85)=max(if($C$2:$C85=C86,row($C$2:$C85),0)))) ,1),0),0))"),"")</f>
        <v/>
      </c>
      <c r="L86" s="147" t="str">
        <f t="shared" si="14"/>
        <v/>
      </c>
      <c r="M86" s="149" t="str">
        <f t="shared" si="15"/>
        <v/>
      </c>
      <c r="N86" s="147" t="str">
        <f t="shared" si="16"/>
        <v/>
      </c>
      <c r="O86" s="147" t="str">
        <f t="shared" si="6"/>
        <v/>
      </c>
      <c r="P86" s="150" t="str">
        <f t="shared" si="7"/>
        <v/>
      </c>
      <c r="Q86" s="151" t="str">
        <f>IFERROR(VLOOKUP(C86,Ativos!$A$1:$G2000,5,),)</f>
        <v/>
      </c>
    </row>
    <row r="87" ht="21.0" customHeight="1">
      <c r="A87" s="152"/>
      <c r="B87" s="135"/>
      <c r="C87" s="153"/>
      <c r="D87" s="169"/>
      <c r="E87" s="139"/>
      <c r="F87" s="141"/>
      <c r="G87" s="170" t="str">
        <f>IFERROR(__xludf.DUMMYFUNCTION("if($C87="""","""",iferror(if(row()&lt;&gt;2,INDEX(arrayformula(filter($H$2:$H86,$C$2:$C86&lt;&gt;"""",row($C$2:$C86)=max(if($C$2:$C86=C87,row($C$2:$C86),0)))) ,1),0),0))"),"")</f>
        <v/>
      </c>
      <c r="H87" s="170" t="str">
        <f t="shared" si="8"/>
        <v/>
      </c>
      <c r="I87" s="147" t="str">
        <f t="shared" si="1"/>
        <v/>
      </c>
      <c r="J87" s="147" t="str">
        <f t="shared" si="13"/>
        <v/>
      </c>
      <c r="K87" s="147" t="str">
        <f>IFERROR(__xludf.DUMMYFUNCTION("if(C87="""","""",iferror(if(row()&lt;&gt;2,INDEX(arrayformula(filter($L$2:$L86,$C$2:$C86&lt;&gt;"""",row($C$2:$C86)=max(if($C$2:$C86=C87,row($C$2:$C86),0)))) ,1),0),0))"),"")</f>
        <v/>
      </c>
      <c r="L87" s="147" t="str">
        <f t="shared" si="14"/>
        <v/>
      </c>
      <c r="M87" s="149" t="str">
        <f t="shared" si="15"/>
        <v/>
      </c>
      <c r="N87" s="147" t="str">
        <f t="shared" si="16"/>
        <v/>
      </c>
      <c r="O87" s="147" t="str">
        <f t="shared" si="6"/>
        <v/>
      </c>
      <c r="P87" s="150" t="str">
        <f t="shared" si="7"/>
        <v/>
      </c>
      <c r="Q87" s="151" t="str">
        <f>IFERROR(VLOOKUP(C87,Ativos!$A$1:$G2000,5,),)</f>
        <v/>
      </c>
    </row>
    <row r="88" ht="21.0" customHeight="1">
      <c r="A88" s="152"/>
      <c r="B88" s="135"/>
      <c r="C88" s="153"/>
      <c r="D88" s="169"/>
      <c r="E88" s="139"/>
      <c r="F88" s="141"/>
      <c r="G88" s="170" t="str">
        <f>IFERROR(__xludf.DUMMYFUNCTION("if($C88="""","""",iferror(if(row()&lt;&gt;2,INDEX(arrayformula(filter($H$2:$H87,$C$2:$C87&lt;&gt;"""",row($C$2:$C87)=max(if($C$2:$C87=C88,row($C$2:$C87),0)))) ,1),0),0))"),"")</f>
        <v/>
      </c>
      <c r="H88" s="170" t="str">
        <f t="shared" si="8"/>
        <v/>
      </c>
      <c r="I88" s="147" t="str">
        <f t="shared" si="1"/>
        <v/>
      </c>
      <c r="J88" s="147" t="str">
        <f t="shared" si="13"/>
        <v/>
      </c>
      <c r="K88" s="147" t="str">
        <f>IFERROR(__xludf.DUMMYFUNCTION("if(C88="""","""",iferror(if(row()&lt;&gt;2,INDEX(arrayformula(filter($L$2:$L87,$C$2:$C87&lt;&gt;"""",row($C$2:$C87)=max(if($C$2:$C87=C88,row($C$2:$C87),0)))) ,1),0),0))"),"")</f>
        <v/>
      </c>
      <c r="L88" s="147" t="str">
        <f t="shared" si="14"/>
        <v/>
      </c>
      <c r="M88" s="149" t="str">
        <f t="shared" si="15"/>
        <v/>
      </c>
      <c r="N88" s="147" t="str">
        <f t="shared" si="16"/>
        <v/>
      </c>
      <c r="O88" s="147" t="str">
        <f t="shared" si="6"/>
        <v/>
      </c>
      <c r="P88" s="150" t="str">
        <f t="shared" si="7"/>
        <v/>
      </c>
      <c r="Q88" s="151" t="str">
        <f>IFERROR(VLOOKUP(C88,Ativos!$A$1:$G2000,5,),)</f>
        <v/>
      </c>
    </row>
    <row r="89" ht="21.0" customHeight="1">
      <c r="A89" s="152"/>
      <c r="B89" s="135"/>
      <c r="C89" s="153"/>
      <c r="D89" s="169"/>
      <c r="E89" s="139"/>
      <c r="F89" s="141"/>
      <c r="G89" s="170" t="str">
        <f>IFERROR(__xludf.DUMMYFUNCTION("if($C89="""","""",iferror(if(row()&lt;&gt;2,INDEX(arrayformula(filter($H$2:$H88,$C$2:$C88&lt;&gt;"""",row($C$2:$C88)=max(if($C$2:$C88=C89,row($C$2:$C88),0)))) ,1),0),0))"),"")</f>
        <v/>
      </c>
      <c r="H89" s="170" t="str">
        <f t="shared" si="8"/>
        <v/>
      </c>
      <c r="I89" s="147" t="str">
        <f t="shared" si="1"/>
        <v/>
      </c>
      <c r="J89" s="147" t="str">
        <f t="shared" si="13"/>
        <v/>
      </c>
      <c r="K89" s="147" t="str">
        <f>IFERROR(__xludf.DUMMYFUNCTION("if(C89="""","""",iferror(if(row()&lt;&gt;2,INDEX(arrayformula(filter($L$2:$L88,$C$2:$C88&lt;&gt;"""",row($C$2:$C88)=max(if($C$2:$C88=C89,row($C$2:$C88),0)))) ,1),0),0))"),"")</f>
        <v/>
      </c>
      <c r="L89" s="147" t="str">
        <f t="shared" si="14"/>
        <v/>
      </c>
      <c r="M89" s="149" t="str">
        <f t="shared" si="15"/>
        <v/>
      </c>
      <c r="N89" s="147" t="str">
        <f t="shared" si="16"/>
        <v/>
      </c>
      <c r="O89" s="147" t="str">
        <f t="shared" si="6"/>
        <v/>
      </c>
      <c r="P89" s="150" t="str">
        <f t="shared" si="7"/>
        <v/>
      </c>
      <c r="Q89" s="151" t="str">
        <f>IFERROR(VLOOKUP(C89,Ativos!$A$1:$G2000,5,),)</f>
        <v/>
      </c>
    </row>
    <row r="90" ht="21.0" customHeight="1">
      <c r="A90" s="152"/>
      <c r="B90" s="135"/>
      <c r="C90" s="153"/>
      <c r="D90" s="169"/>
      <c r="E90" s="139"/>
      <c r="F90" s="141"/>
      <c r="G90" s="170" t="str">
        <f>IFERROR(__xludf.DUMMYFUNCTION("if($C90="""","""",iferror(if(row()&lt;&gt;2,INDEX(arrayformula(filter($H$2:$H89,$C$2:$C89&lt;&gt;"""",row($C$2:$C89)=max(if($C$2:$C89=C90,row($C$2:$C89),0)))) ,1),0),0))"),"")</f>
        <v/>
      </c>
      <c r="H90" s="170" t="str">
        <f t="shared" si="8"/>
        <v/>
      </c>
      <c r="I90" s="147" t="str">
        <f t="shared" si="1"/>
        <v/>
      </c>
      <c r="J90" s="147" t="str">
        <f t="shared" si="13"/>
        <v/>
      </c>
      <c r="K90" s="147" t="str">
        <f>IFERROR(__xludf.DUMMYFUNCTION("if(C90="""","""",iferror(if(row()&lt;&gt;2,INDEX(arrayformula(filter($L$2:$L89,$C$2:$C89&lt;&gt;"""",row($C$2:$C89)=max(if($C$2:$C89=C90,row($C$2:$C89),0)))) ,1),0),0))"),"")</f>
        <v/>
      </c>
      <c r="L90" s="147" t="str">
        <f t="shared" si="14"/>
        <v/>
      </c>
      <c r="M90" s="149" t="str">
        <f t="shared" si="15"/>
        <v/>
      </c>
      <c r="N90" s="147" t="str">
        <f t="shared" si="16"/>
        <v/>
      </c>
      <c r="O90" s="147" t="str">
        <f t="shared" si="6"/>
        <v/>
      </c>
      <c r="P90" s="150" t="str">
        <f t="shared" si="7"/>
        <v/>
      </c>
      <c r="Q90" s="151" t="str">
        <f>IFERROR(VLOOKUP(C90,Ativos!$A$1:$G2000,5,),)</f>
        <v/>
      </c>
    </row>
    <row r="91" ht="21.0" customHeight="1">
      <c r="A91" s="152"/>
      <c r="B91" s="135"/>
      <c r="C91" s="153"/>
      <c r="D91" s="169"/>
      <c r="E91" s="139"/>
      <c r="F91" s="141"/>
      <c r="G91" s="170" t="str">
        <f>IFERROR(__xludf.DUMMYFUNCTION("if($C91="""","""",iferror(if(row()&lt;&gt;2,INDEX(arrayformula(filter($H$2:$H90,$C$2:$C90&lt;&gt;"""",row($C$2:$C90)=max(if($C$2:$C90=C91,row($C$2:$C90),0)))) ,1),0),0))"),"")</f>
        <v/>
      </c>
      <c r="H91" s="170" t="str">
        <f t="shared" si="8"/>
        <v/>
      </c>
      <c r="I91" s="147" t="str">
        <f t="shared" si="1"/>
        <v/>
      </c>
      <c r="J91" s="147" t="str">
        <f t="shared" si="13"/>
        <v/>
      </c>
      <c r="K91" s="147" t="str">
        <f>IFERROR(__xludf.DUMMYFUNCTION("if(C91="""","""",iferror(if(row()&lt;&gt;2,INDEX(arrayformula(filter($L$2:$L90,$C$2:$C90&lt;&gt;"""",row($C$2:$C90)=max(if($C$2:$C90=C91,row($C$2:$C90),0)))) ,1),0),0))"),"")</f>
        <v/>
      </c>
      <c r="L91" s="147" t="str">
        <f t="shared" si="14"/>
        <v/>
      </c>
      <c r="M91" s="149" t="str">
        <f t="shared" si="15"/>
        <v/>
      </c>
      <c r="N91" s="147" t="str">
        <f t="shared" si="16"/>
        <v/>
      </c>
      <c r="O91" s="147" t="str">
        <f t="shared" si="6"/>
        <v/>
      </c>
      <c r="P91" s="150" t="str">
        <f t="shared" si="7"/>
        <v/>
      </c>
      <c r="Q91" s="151" t="str">
        <f>IFERROR(VLOOKUP(C91,Ativos!$A$1:$G2000,5,),)</f>
        <v/>
      </c>
    </row>
    <row r="92" ht="21.0" customHeight="1">
      <c r="A92" s="152"/>
      <c r="B92" s="135"/>
      <c r="C92" s="153"/>
      <c r="D92" s="169"/>
      <c r="E92" s="139"/>
      <c r="F92" s="141"/>
      <c r="G92" s="170" t="str">
        <f>IFERROR(__xludf.DUMMYFUNCTION("if($C92="""","""",iferror(if(row()&lt;&gt;2,INDEX(arrayformula(filter($H$2:$H91,$C$2:$C91&lt;&gt;"""",row($C$2:$C91)=max(if($C$2:$C91=C92,row($C$2:$C91),0)))) ,1),0),0))"),"")</f>
        <v/>
      </c>
      <c r="H92" s="170" t="str">
        <f t="shared" si="8"/>
        <v/>
      </c>
      <c r="I92" s="147" t="str">
        <f t="shared" si="1"/>
        <v/>
      </c>
      <c r="J92" s="147" t="str">
        <f t="shared" si="13"/>
        <v/>
      </c>
      <c r="K92" s="147" t="str">
        <f>IFERROR(__xludf.DUMMYFUNCTION("if(C92="""","""",iferror(if(row()&lt;&gt;2,INDEX(arrayformula(filter($L$2:$L91,$C$2:$C91&lt;&gt;"""",row($C$2:$C91)=max(if($C$2:$C91=C92,row($C$2:$C91),0)))) ,1),0),0))"),"")</f>
        <v/>
      </c>
      <c r="L92" s="147" t="str">
        <f t="shared" si="14"/>
        <v/>
      </c>
      <c r="M92" s="149" t="str">
        <f t="shared" si="15"/>
        <v/>
      </c>
      <c r="N92" s="147" t="str">
        <f t="shared" si="16"/>
        <v/>
      </c>
      <c r="O92" s="147" t="str">
        <f t="shared" si="6"/>
        <v/>
      </c>
      <c r="P92" s="150" t="str">
        <f t="shared" si="7"/>
        <v/>
      </c>
      <c r="Q92" s="151" t="str">
        <f>IFERROR(VLOOKUP(C92,Ativos!$A$1:$G2000,5,),)</f>
        <v/>
      </c>
    </row>
    <row r="93" ht="21.0" customHeight="1">
      <c r="A93" s="152"/>
      <c r="B93" s="135"/>
      <c r="C93" s="153"/>
      <c r="D93" s="169"/>
      <c r="E93" s="139"/>
      <c r="F93" s="141"/>
      <c r="G93" s="170" t="str">
        <f>IFERROR(__xludf.DUMMYFUNCTION("if($C93="""","""",iferror(if(row()&lt;&gt;2,INDEX(arrayformula(filter($H$2:$H92,$C$2:$C92&lt;&gt;"""",row($C$2:$C92)=max(if($C$2:$C92=C93,row($C$2:$C92),0)))) ,1),0),0))"),"")</f>
        <v/>
      </c>
      <c r="H93" s="170" t="str">
        <f t="shared" si="8"/>
        <v/>
      </c>
      <c r="I93" s="147" t="str">
        <f t="shared" si="1"/>
        <v/>
      </c>
      <c r="J93" s="147" t="str">
        <f t="shared" si="13"/>
        <v/>
      </c>
      <c r="K93" s="147" t="str">
        <f>IFERROR(__xludf.DUMMYFUNCTION("if(C93="""","""",iferror(if(row()&lt;&gt;2,INDEX(arrayformula(filter($L$2:$L92,$C$2:$C92&lt;&gt;"""",row($C$2:$C92)=max(if($C$2:$C92=C93,row($C$2:$C92),0)))) ,1),0),0))"),"")</f>
        <v/>
      </c>
      <c r="L93" s="147" t="str">
        <f t="shared" si="14"/>
        <v/>
      </c>
      <c r="M93" s="149" t="str">
        <f t="shared" si="15"/>
        <v/>
      </c>
      <c r="N93" s="147" t="str">
        <f t="shared" si="16"/>
        <v/>
      </c>
      <c r="O93" s="147" t="str">
        <f t="shared" si="6"/>
        <v/>
      </c>
      <c r="P93" s="150" t="str">
        <f t="shared" si="7"/>
        <v/>
      </c>
      <c r="Q93" s="151" t="str">
        <f>IFERROR(VLOOKUP(C93,Ativos!$A$1:$G2000,5,),)</f>
        <v/>
      </c>
    </row>
    <row r="94" ht="21.0" customHeight="1">
      <c r="A94" s="152"/>
      <c r="B94" s="135"/>
      <c r="C94" s="153"/>
      <c r="D94" s="169"/>
      <c r="E94" s="139"/>
      <c r="F94" s="141"/>
      <c r="G94" s="170" t="str">
        <f>IFERROR(__xludf.DUMMYFUNCTION("if($C94="""","""",iferror(if(row()&lt;&gt;2,INDEX(arrayformula(filter($H$2:$H93,$C$2:$C93&lt;&gt;"""",row($C$2:$C93)=max(if($C$2:$C93=C94,row($C$2:$C93),0)))) ,1),0),0))"),"")</f>
        <v/>
      </c>
      <c r="H94" s="170" t="str">
        <f t="shared" si="8"/>
        <v/>
      </c>
      <c r="I94" s="147" t="str">
        <f t="shared" si="1"/>
        <v/>
      </c>
      <c r="J94" s="147" t="str">
        <f t="shared" si="13"/>
        <v/>
      </c>
      <c r="K94" s="147" t="str">
        <f>IFERROR(__xludf.DUMMYFUNCTION("if(C94="""","""",iferror(if(row()&lt;&gt;2,INDEX(arrayformula(filter($L$2:$L93,$C$2:$C93&lt;&gt;"""",row($C$2:$C93)=max(if($C$2:$C93=C94,row($C$2:$C93),0)))) ,1),0),0))"),"")</f>
        <v/>
      </c>
      <c r="L94" s="147" t="str">
        <f t="shared" si="14"/>
        <v/>
      </c>
      <c r="M94" s="149" t="str">
        <f t="shared" si="15"/>
        <v/>
      </c>
      <c r="N94" s="147" t="str">
        <f t="shared" si="16"/>
        <v/>
      </c>
      <c r="O94" s="147" t="str">
        <f t="shared" si="6"/>
        <v/>
      </c>
      <c r="P94" s="150" t="str">
        <f t="shared" si="7"/>
        <v/>
      </c>
      <c r="Q94" s="151" t="str">
        <f>IFERROR(VLOOKUP(C94,Ativos!$A$1:$G2000,5,),)</f>
        <v/>
      </c>
    </row>
    <row r="95" ht="21.0" customHeight="1">
      <c r="A95" s="152"/>
      <c r="B95" s="135"/>
      <c r="C95" s="153"/>
      <c r="D95" s="169"/>
      <c r="E95" s="139"/>
      <c r="F95" s="141"/>
      <c r="G95" s="170" t="str">
        <f>IFERROR(__xludf.DUMMYFUNCTION("if($C95="""","""",iferror(if(row()&lt;&gt;2,INDEX(arrayformula(filter($H$2:$H94,$C$2:$C94&lt;&gt;"""",row($C$2:$C94)=max(if($C$2:$C94=C95,row($C$2:$C94),0)))) ,1),0),0))"),"")</f>
        <v/>
      </c>
      <c r="H95" s="170" t="str">
        <f t="shared" si="8"/>
        <v/>
      </c>
      <c r="I95" s="147" t="str">
        <f t="shared" si="1"/>
        <v/>
      </c>
      <c r="J95" s="147" t="str">
        <f t="shared" si="13"/>
        <v/>
      </c>
      <c r="K95" s="147" t="str">
        <f>IFERROR(__xludf.DUMMYFUNCTION("if(C95="""","""",iferror(if(row()&lt;&gt;2,INDEX(arrayformula(filter($L$2:$L94,$C$2:$C94&lt;&gt;"""",row($C$2:$C94)=max(if($C$2:$C94=C95,row($C$2:$C94),0)))) ,1),0),0))"),"")</f>
        <v/>
      </c>
      <c r="L95" s="147" t="str">
        <f t="shared" si="14"/>
        <v/>
      </c>
      <c r="M95" s="149" t="str">
        <f t="shared" si="15"/>
        <v/>
      </c>
      <c r="N95" s="147" t="str">
        <f t="shared" si="16"/>
        <v/>
      </c>
      <c r="O95" s="147" t="str">
        <f t="shared" si="6"/>
        <v/>
      </c>
      <c r="P95" s="150" t="str">
        <f t="shared" si="7"/>
        <v/>
      </c>
      <c r="Q95" s="151" t="str">
        <f>IFERROR(VLOOKUP(C95,Ativos!$A$1:$G2000,5,),)</f>
        <v/>
      </c>
    </row>
    <row r="96" ht="21.0" customHeight="1">
      <c r="A96" s="152"/>
      <c r="B96" s="135"/>
      <c r="C96" s="153"/>
      <c r="D96" s="169"/>
      <c r="E96" s="139"/>
      <c r="F96" s="141"/>
      <c r="G96" s="170" t="str">
        <f>IFERROR(__xludf.DUMMYFUNCTION("if($C96="""","""",iferror(if(row()&lt;&gt;2,INDEX(arrayformula(filter($H$2:$H95,$C$2:$C95&lt;&gt;"""",row($C$2:$C95)=max(if($C$2:$C95=C96,row($C$2:$C95),0)))) ,1),0),0))"),"")</f>
        <v/>
      </c>
      <c r="H96" s="170" t="str">
        <f t="shared" si="8"/>
        <v/>
      </c>
      <c r="I96" s="147" t="str">
        <f t="shared" si="1"/>
        <v/>
      </c>
      <c r="J96" s="147" t="str">
        <f t="shared" si="13"/>
        <v/>
      </c>
      <c r="K96" s="147" t="str">
        <f>IFERROR(__xludf.DUMMYFUNCTION("if(C96="""","""",iferror(if(row()&lt;&gt;2,INDEX(arrayformula(filter($L$2:$L95,$C$2:$C95&lt;&gt;"""",row($C$2:$C95)=max(if($C$2:$C95=C96,row($C$2:$C95),0)))) ,1),0),0))"),"")</f>
        <v/>
      </c>
      <c r="L96" s="147" t="str">
        <f t="shared" si="14"/>
        <v/>
      </c>
      <c r="M96" s="149" t="str">
        <f t="shared" si="15"/>
        <v/>
      </c>
      <c r="N96" s="147" t="str">
        <f t="shared" si="16"/>
        <v/>
      </c>
      <c r="O96" s="147" t="str">
        <f t="shared" si="6"/>
        <v/>
      </c>
      <c r="P96" s="150" t="str">
        <f t="shared" si="7"/>
        <v/>
      </c>
      <c r="Q96" s="151" t="str">
        <f>IFERROR(VLOOKUP(C96,Ativos!$A$1:$G2000,5,),)</f>
        <v/>
      </c>
    </row>
    <row r="97" ht="21.0" customHeight="1">
      <c r="A97" s="152"/>
      <c r="B97" s="135"/>
      <c r="C97" s="153"/>
      <c r="D97" s="169"/>
      <c r="E97" s="139"/>
      <c r="F97" s="141"/>
      <c r="G97" s="170" t="str">
        <f>IFERROR(__xludf.DUMMYFUNCTION("if($C97="""","""",iferror(if(row()&lt;&gt;2,INDEX(arrayformula(filter($H$2:$H96,$C$2:$C96&lt;&gt;"""",row($C$2:$C96)=max(if($C$2:$C96=C97,row($C$2:$C96),0)))) ,1),0),0))"),"")</f>
        <v/>
      </c>
      <c r="H97" s="170" t="str">
        <f t="shared" si="8"/>
        <v/>
      </c>
      <c r="I97" s="147" t="str">
        <f t="shared" si="1"/>
        <v/>
      </c>
      <c r="J97" s="147" t="str">
        <f t="shared" si="13"/>
        <v/>
      </c>
      <c r="K97" s="147" t="str">
        <f>IFERROR(__xludf.DUMMYFUNCTION("if(C97="""","""",iferror(if(row()&lt;&gt;2,INDEX(arrayformula(filter($L$2:$L96,$C$2:$C96&lt;&gt;"""",row($C$2:$C96)=max(if($C$2:$C96=C97,row($C$2:$C96),0)))) ,1),0),0))"),"")</f>
        <v/>
      </c>
      <c r="L97" s="147" t="str">
        <f t="shared" si="14"/>
        <v/>
      </c>
      <c r="M97" s="149" t="str">
        <f t="shared" si="15"/>
        <v/>
      </c>
      <c r="N97" s="147" t="str">
        <f t="shared" si="16"/>
        <v/>
      </c>
      <c r="O97" s="147" t="str">
        <f t="shared" si="6"/>
        <v/>
      </c>
      <c r="P97" s="150" t="str">
        <f t="shared" si="7"/>
        <v/>
      </c>
      <c r="Q97" s="151" t="str">
        <f>IFERROR(VLOOKUP(C97,Ativos!$A$1:$G2000,5,),)</f>
        <v/>
      </c>
    </row>
    <row r="98" ht="21.0" customHeight="1">
      <c r="A98" s="152"/>
      <c r="B98" s="135"/>
      <c r="C98" s="153"/>
      <c r="D98" s="169"/>
      <c r="E98" s="139"/>
      <c r="F98" s="141"/>
      <c r="G98" s="170" t="str">
        <f>IFERROR(__xludf.DUMMYFUNCTION("if($C98="""","""",iferror(if(row()&lt;&gt;2,INDEX(arrayformula(filter($H$2:$H97,$C$2:$C97&lt;&gt;"""",row($C$2:$C97)=max(if($C$2:$C97=C98,row($C$2:$C97),0)))) ,1),0),0))"),"")</f>
        <v/>
      </c>
      <c r="H98" s="170" t="str">
        <f t="shared" si="8"/>
        <v/>
      </c>
      <c r="I98" s="147" t="str">
        <f t="shared" si="1"/>
        <v/>
      </c>
      <c r="J98" s="147" t="str">
        <f t="shared" si="13"/>
        <v/>
      </c>
      <c r="K98" s="147" t="str">
        <f>IFERROR(__xludf.DUMMYFUNCTION("if(C98="""","""",iferror(if(row()&lt;&gt;2,INDEX(arrayformula(filter($L$2:$L97,$C$2:$C97&lt;&gt;"""",row($C$2:$C97)=max(if($C$2:$C97=C98,row($C$2:$C97),0)))) ,1),0),0))"),"")</f>
        <v/>
      </c>
      <c r="L98" s="147" t="str">
        <f t="shared" si="14"/>
        <v/>
      </c>
      <c r="M98" s="149" t="str">
        <f t="shared" si="15"/>
        <v/>
      </c>
      <c r="N98" s="147" t="str">
        <f t="shared" si="16"/>
        <v/>
      </c>
      <c r="O98" s="147" t="str">
        <f t="shared" si="6"/>
        <v/>
      </c>
      <c r="P98" s="150" t="str">
        <f t="shared" si="7"/>
        <v/>
      </c>
      <c r="Q98" s="151" t="str">
        <f>IFERROR(VLOOKUP(C98,Ativos!$A$1:$G2000,5,),)</f>
        <v/>
      </c>
    </row>
    <row r="99" ht="21.0" customHeight="1">
      <c r="A99" s="152"/>
      <c r="B99" s="135"/>
      <c r="C99" s="153"/>
      <c r="D99" s="169"/>
      <c r="E99" s="139"/>
      <c r="F99" s="141"/>
      <c r="G99" s="170" t="str">
        <f>IFERROR(__xludf.DUMMYFUNCTION("if($C99="""","""",iferror(if(row()&lt;&gt;2,INDEX(arrayformula(filter($H$2:$H98,$C$2:$C98&lt;&gt;"""",row($C$2:$C98)=max(if($C$2:$C98=C99,row($C$2:$C98),0)))) ,1),0),0))"),"")</f>
        <v/>
      </c>
      <c r="H99" s="170" t="str">
        <f t="shared" si="8"/>
        <v/>
      </c>
      <c r="I99" s="147" t="str">
        <f t="shared" si="1"/>
        <v/>
      </c>
      <c r="J99" s="147" t="str">
        <f t="shared" si="13"/>
        <v/>
      </c>
      <c r="K99" s="147" t="str">
        <f>IFERROR(__xludf.DUMMYFUNCTION("if(C99="""","""",iferror(if(row()&lt;&gt;2,INDEX(arrayformula(filter($L$2:$L98,$C$2:$C98&lt;&gt;"""",row($C$2:$C98)=max(if($C$2:$C98=C99,row($C$2:$C98),0)))) ,1),0),0))"),"")</f>
        <v/>
      </c>
      <c r="L99" s="147" t="str">
        <f t="shared" si="14"/>
        <v/>
      </c>
      <c r="M99" s="149" t="str">
        <f t="shared" si="15"/>
        <v/>
      </c>
      <c r="N99" s="147" t="str">
        <f t="shared" si="16"/>
        <v/>
      </c>
      <c r="O99" s="147" t="str">
        <f t="shared" si="6"/>
        <v/>
      </c>
      <c r="P99" s="150" t="str">
        <f t="shared" si="7"/>
        <v/>
      </c>
      <c r="Q99" s="151" t="str">
        <f>IFERROR(VLOOKUP(C99,Ativos!$A$1:$G2000,5,),)</f>
        <v/>
      </c>
    </row>
    <row r="100" ht="21.0" customHeight="1">
      <c r="A100" s="152"/>
      <c r="B100" s="135"/>
      <c r="C100" s="153"/>
      <c r="D100" s="169"/>
      <c r="E100" s="139"/>
      <c r="F100" s="141"/>
      <c r="G100" s="170" t="str">
        <f>IFERROR(__xludf.DUMMYFUNCTION("if($C100="""","""",iferror(if(row()&lt;&gt;2,INDEX(arrayformula(filter($H$2:$H99,$C$2:$C99&lt;&gt;"""",row($C$2:$C99)=max(if($C$2:$C99=C100,row($C$2:$C99),0)))) ,1),0),0))"),"")</f>
        <v/>
      </c>
      <c r="H100" s="170" t="str">
        <f t="shared" si="8"/>
        <v/>
      </c>
      <c r="I100" s="147" t="str">
        <f t="shared" si="1"/>
        <v/>
      </c>
      <c r="J100" s="147" t="str">
        <f t="shared" si="13"/>
        <v/>
      </c>
      <c r="K100" s="147" t="str">
        <f>IFERROR(__xludf.DUMMYFUNCTION("if(C100="""","""",iferror(if(row()&lt;&gt;2,INDEX(arrayformula(filter($L$2:$L99,$C$2:$C99&lt;&gt;"""",row($C$2:$C99)=max(if($C$2:$C99=C100,row($C$2:$C99),0)))) ,1),0),0))"),"")</f>
        <v/>
      </c>
      <c r="L100" s="147" t="str">
        <f t="shared" si="14"/>
        <v/>
      </c>
      <c r="M100" s="149" t="str">
        <f t="shared" si="15"/>
        <v/>
      </c>
      <c r="N100" s="147" t="str">
        <f t="shared" si="16"/>
        <v/>
      </c>
      <c r="O100" s="147" t="str">
        <f t="shared" si="6"/>
        <v/>
      </c>
      <c r="P100" s="150" t="str">
        <f t="shared" si="7"/>
        <v/>
      </c>
      <c r="Q100" s="151" t="str">
        <f>IFERROR(VLOOKUP(C100,Ativos!$A$1:$G2000,5,),)</f>
        <v/>
      </c>
    </row>
    <row r="101" ht="21.0" customHeight="1">
      <c r="A101" s="152"/>
      <c r="B101" s="135"/>
      <c r="C101" s="153"/>
      <c r="D101" s="169"/>
      <c r="E101" s="139"/>
      <c r="F101" s="141"/>
      <c r="G101" s="170" t="str">
        <f>IFERROR(__xludf.DUMMYFUNCTION("if($C101="""","""",iferror(if(row()&lt;&gt;2,INDEX(arrayformula(filter($H$2:$H100,$C$2:$C100&lt;&gt;"""",row($C$2:$C100)=max(if($C$2:$C100=C101,row($C$2:$C100),0)))) ,1),0),0))"),"")</f>
        <v/>
      </c>
      <c r="H101" s="170" t="str">
        <f t="shared" si="8"/>
        <v/>
      </c>
      <c r="I101" s="147" t="str">
        <f t="shared" si="1"/>
        <v/>
      </c>
      <c r="J101" s="147" t="str">
        <f t="shared" si="13"/>
        <v/>
      </c>
      <c r="K101" s="147" t="str">
        <f>IFERROR(__xludf.DUMMYFUNCTION("if(C101="""","""",iferror(if(row()&lt;&gt;2,INDEX(arrayformula(filter($L$2:$L100,$C$2:$C100&lt;&gt;"""",row($C$2:$C100)=max(if($C$2:$C100=C101,row($C$2:$C100),0)))) ,1),0),0))"),"")</f>
        <v/>
      </c>
      <c r="L101" s="147" t="str">
        <f t="shared" si="14"/>
        <v/>
      </c>
      <c r="M101" s="149" t="str">
        <f t="shared" si="15"/>
        <v/>
      </c>
      <c r="N101" s="147" t="str">
        <f t="shared" si="16"/>
        <v/>
      </c>
      <c r="O101" s="147" t="str">
        <f t="shared" si="6"/>
        <v/>
      </c>
      <c r="P101" s="150" t="str">
        <f t="shared" si="7"/>
        <v/>
      </c>
      <c r="Q101" s="151" t="str">
        <f>IFERROR(VLOOKUP(C101,Ativos!$A$1:$G2000,5,),)</f>
        <v/>
      </c>
    </row>
    <row r="102" ht="21.0" customHeight="1">
      <c r="A102" s="152"/>
      <c r="B102" s="135"/>
      <c r="C102" s="153"/>
      <c r="D102" s="169"/>
      <c r="E102" s="139"/>
      <c r="F102" s="141"/>
      <c r="G102" s="170" t="str">
        <f>IFERROR(__xludf.DUMMYFUNCTION("if($C102="""","""",iferror(if(row()&lt;&gt;2,INDEX(arrayformula(filter($H$2:$H101,$C$2:$C101&lt;&gt;"""",row($C$2:$C101)=max(if($C$2:$C101=C102,row($C$2:$C101),0)))) ,1),0),0))"),"")</f>
        <v/>
      </c>
      <c r="H102" s="170" t="str">
        <f t="shared" si="8"/>
        <v/>
      </c>
      <c r="I102" s="147" t="str">
        <f t="shared" si="1"/>
        <v/>
      </c>
      <c r="J102" s="147" t="str">
        <f t="shared" si="13"/>
        <v/>
      </c>
      <c r="K102" s="147" t="str">
        <f>IFERROR(__xludf.DUMMYFUNCTION("if(C102="""","""",iferror(if(row()&lt;&gt;2,INDEX(arrayformula(filter($L$2:$L101,$C$2:$C101&lt;&gt;"""",row($C$2:$C101)=max(if($C$2:$C101=C102,row($C$2:$C101),0)))) ,1),0),0))"),"")</f>
        <v/>
      </c>
      <c r="L102" s="147" t="str">
        <f t="shared" si="14"/>
        <v/>
      </c>
      <c r="M102" s="147" t="str">
        <f t="shared" si="15"/>
        <v/>
      </c>
      <c r="N102" s="147" t="str">
        <f t="shared" si="16"/>
        <v/>
      </c>
      <c r="O102" s="147" t="str">
        <f t="shared" si="6"/>
        <v/>
      </c>
      <c r="P102" s="150" t="str">
        <f t="shared" si="7"/>
        <v/>
      </c>
      <c r="Q102" s="151" t="str">
        <f>IFERROR(VLOOKUP(C102,Ativos!$A$1:$G2000,5,),)</f>
        <v/>
      </c>
    </row>
    <row r="103" ht="21.0" customHeight="1">
      <c r="A103" s="152"/>
      <c r="B103" s="135"/>
      <c r="C103" s="153"/>
      <c r="D103" s="169"/>
      <c r="E103" s="139"/>
      <c r="F103" s="141"/>
      <c r="G103" s="170" t="str">
        <f>IFERROR(__xludf.DUMMYFUNCTION("if($C103="""","""",iferror(if(row()&lt;&gt;2,INDEX(arrayformula(filter($H$2:$H102,$C$2:$C102&lt;&gt;"""",row($C$2:$C102)=max(if($C$2:$C102=C103,row($C$2:$C102),0)))) ,1),0),0))"),"")</f>
        <v/>
      </c>
      <c r="H103" s="170" t="str">
        <f t="shared" si="8"/>
        <v/>
      </c>
      <c r="I103" s="147" t="str">
        <f t="shared" si="1"/>
        <v/>
      </c>
      <c r="J103" s="147" t="str">
        <f t="shared" si="13"/>
        <v/>
      </c>
      <c r="K103" s="147" t="str">
        <f>IFERROR(__xludf.DUMMYFUNCTION("if(C103="""","""",iferror(if(row()&lt;&gt;2,INDEX(arrayformula(filter($L$2:$L102,$C$2:$C102&lt;&gt;"""",row($C$2:$C102)=max(if($C$2:$C102=C103,row($C$2:$C102),0)))) ,1),0),0))"),"")</f>
        <v/>
      </c>
      <c r="L103" s="147" t="str">
        <f t="shared" si="14"/>
        <v/>
      </c>
      <c r="M103" s="147" t="str">
        <f t="shared" si="15"/>
        <v/>
      </c>
      <c r="N103" s="147" t="str">
        <f t="shared" si="16"/>
        <v/>
      </c>
      <c r="O103" s="147" t="str">
        <f t="shared" si="6"/>
        <v/>
      </c>
      <c r="P103" s="150" t="str">
        <f t="shared" si="7"/>
        <v/>
      </c>
      <c r="Q103" s="151" t="str">
        <f>IFERROR(VLOOKUP(C103,Ativos!$A$1:$G2000,5,),)</f>
        <v/>
      </c>
    </row>
    <row r="104" ht="21.0" customHeight="1">
      <c r="A104" s="152"/>
      <c r="B104" s="135"/>
      <c r="C104" s="153"/>
      <c r="D104" s="169"/>
      <c r="E104" s="139"/>
      <c r="F104" s="141"/>
      <c r="G104" s="170" t="str">
        <f>IFERROR(__xludf.DUMMYFUNCTION("if($C104="""","""",iferror(if(row()&lt;&gt;2,INDEX(arrayformula(filter($H$2:$H103,$C$2:$C103&lt;&gt;"""",row($C$2:$C103)=max(if($C$2:$C103=C104,row($C$2:$C103),0)))) ,1),0),0))"),"")</f>
        <v/>
      </c>
      <c r="H104" s="170" t="str">
        <f t="shared" si="8"/>
        <v/>
      </c>
      <c r="I104" s="147" t="str">
        <f t="shared" si="1"/>
        <v/>
      </c>
      <c r="J104" s="147" t="str">
        <f t="shared" si="13"/>
        <v/>
      </c>
      <c r="K104" s="147" t="str">
        <f>IFERROR(__xludf.DUMMYFUNCTION("if(C104="""","""",iferror(if(row()&lt;&gt;2,INDEX(arrayformula(filter($L$2:$L103,$C$2:$C103&lt;&gt;"""",row($C$2:$C103)=max(if($C$2:$C103=C104,row($C$2:$C103),0)))) ,1),0),0))"),"")</f>
        <v/>
      </c>
      <c r="L104" s="147" t="str">
        <f t="shared" si="14"/>
        <v/>
      </c>
      <c r="M104" s="147" t="str">
        <f t="shared" si="15"/>
        <v/>
      </c>
      <c r="N104" s="147" t="str">
        <f t="shared" si="16"/>
        <v/>
      </c>
      <c r="O104" s="147" t="str">
        <f t="shared" si="6"/>
        <v/>
      </c>
      <c r="P104" s="150" t="str">
        <f t="shared" si="7"/>
        <v/>
      </c>
      <c r="Q104" s="151" t="str">
        <f>IFERROR(VLOOKUP(C104,Ativos!$A$1:$G2000,5,),)</f>
        <v/>
      </c>
    </row>
    <row r="105" ht="21.0" customHeight="1">
      <c r="A105" s="152"/>
      <c r="B105" s="135"/>
      <c r="C105" s="153"/>
      <c r="D105" s="169"/>
      <c r="E105" s="139"/>
      <c r="F105" s="141"/>
      <c r="G105" s="170" t="str">
        <f>IFERROR(__xludf.DUMMYFUNCTION("if($C105="""","""",iferror(if(row()&lt;&gt;2,INDEX(arrayformula(filter($H$2:$H104,$C$2:$C104&lt;&gt;"""",row($C$2:$C104)=max(if($C$2:$C104=C105,row($C$2:$C104),0)))) ,1),0),0))"),"")</f>
        <v/>
      </c>
      <c r="H105" s="170" t="str">
        <f t="shared" si="8"/>
        <v/>
      </c>
      <c r="I105" s="147" t="str">
        <f t="shared" si="1"/>
        <v/>
      </c>
      <c r="J105" s="147" t="str">
        <f t="shared" si="13"/>
        <v/>
      </c>
      <c r="K105" s="147" t="str">
        <f>IFERROR(__xludf.DUMMYFUNCTION("if(C105="""","""",iferror(if(row()&lt;&gt;2,INDEX(arrayformula(filter($L$2:$L104,$C$2:$C104&lt;&gt;"""",row($C$2:$C104)=max(if($C$2:$C104=C105,row($C$2:$C104),0)))) ,1),0),0))"),"")</f>
        <v/>
      </c>
      <c r="L105" s="147" t="str">
        <f t="shared" si="14"/>
        <v/>
      </c>
      <c r="M105" s="147" t="str">
        <f t="shared" si="15"/>
        <v/>
      </c>
      <c r="N105" s="147" t="str">
        <f t="shared" si="16"/>
        <v/>
      </c>
      <c r="O105" s="147" t="str">
        <f t="shared" si="6"/>
        <v/>
      </c>
      <c r="P105" s="150" t="str">
        <f t="shared" si="7"/>
        <v/>
      </c>
      <c r="Q105" s="151" t="str">
        <f>IFERROR(VLOOKUP(C105,Ativos!$A$1:$G2000,5,),)</f>
        <v/>
      </c>
    </row>
    <row r="106" ht="21.0" customHeight="1">
      <c r="A106" s="152"/>
      <c r="B106" s="135"/>
      <c r="C106" s="153"/>
      <c r="D106" s="169"/>
      <c r="E106" s="139"/>
      <c r="F106" s="141"/>
      <c r="G106" s="170" t="str">
        <f>IFERROR(__xludf.DUMMYFUNCTION("if($C106="""","""",iferror(if(row()&lt;&gt;2,INDEX(arrayformula(filter($H$2:$H105,$C$2:$C105&lt;&gt;"""",row($C$2:$C105)=max(if($C$2:$C105=C106,row($C$2:$C105),0)))) ,1),0),0))"),"")</f>
        <v/>
      </c>
      <c r="H106" s="170" t="str">
        <f t="shared" si="8"/>
        <v/>
      </c>
      <c r="I106" s="147" t="str">
        <f t="shared" si="1"/>
        <v/>
      </c>
      <c r="J106" s="147" t="str">
        <f t="shared" si="13"/>
        <v/>
      </c>
      <c r="K106" s="147" t="str">
        <f>IFERROR(__xludf.DUMMYFUNCTION("if(C106="""","""",iferror(if(row()&lt;&gt;2,INDEX(arrayformula(filter($L$2:$L105,$C$2:$C105&lt;&gt;"""",row($C$2:$C105)=max(if($C$2:$C105=C106,row($C$2:$C105),0)))) ,1),0),0))"),"")</f>
        <v/>
      </c>
      <c r="L106" s="147" t="str">
        <f t="shared" si="14"/>
        <v/>
      </c>
      <c r="M106" s="147" t="str">
        <f t="shared" si="15"/>
        <v/>
      </c>
      <c r="N106" s="147" t="str">
        <f t="shared" si="16"/>
        <v/>
      </c>
      <c r="O106" s="147" t="str">
        <f t="shared" si="6"/>
        <v/>
      </c>
      <c r="P106" s="150" t="str">
        <f t="shared" si="7"/>
        <v/>
      </c>
      <c r="Q106" s="151" t="str">
        <f>IFERROR(VLOOKUP(C106,Ativos!$A$1:$G2000,5,),)</f>
        <v/>
      </c>
    </row>
    <row r="107" ht="21.0" customHeight="1">
      <c r="A107" s="152"/>
      <c r="B107" s="135"/>
      <c r="C107" s="153"/>
      <c r="D107" s="169"/>
      <c r="E107" s="139"/>
      <c r="F107" s="141"/>
      <c r="G107" s="170" t="str">
        <f>IFERROR(__xludf.DUMMYFUNCTION("if($C107="""","""",iferror(if(row()&lt;&gt;2,INDEX(arrayformula(filter($H$2:$H106,$C$2:$C106&lt;&gt;"""",row($C$2:$C106)=max(if($C$2:$C106=C107,row($C$2:$C106),0)))) ,1),0),0))"),"")</f>
        <v/>
      </c>
      <c r="H107" s="170" t="str">
        <f t="shared" si="8"/>
        <v/>
      </c>
      <c r="I107" s="147" t="str">
        <f t="shared" si="1"/>
        <v/>
      </c>
      <c r="J107" s="147" t="str">
        <f t="shared" si="13"/>
        <v/>
      </c>
      <c r="K107" s="147" t="str">
        <f>IFERROR(__xludf.DUMMYFUNCTION("if(C107="""","""",iferror(if(row()&lt;&gt;2,INDEX(arrayformula(filter($L$2:$L106,$C$2:$C106&lt;&gt;"""",row($C$2:$C106)=max(if($C$2:$C106=C107,row($C$2:$C106),0)))) ,1),0),0))"),"")</f>
        <v/>
      </c>
      <c r="L107" s="147" t="str">
        <f t="shared" si="14"/>
        <v/>
      </c>
      <c r="M107" s="147" t="str">
        <f t="shared" si="15"/>
        <v/>
      </c>
      <c r="N107" s="147" t="str">
        <f t="shared" si="16"/>
        <v/>
      </c>
      <c r="O107" s="147" t="str">
        <f t="shared" si="6"/>
        <v/>
      </c>
      <c r="P107" s="150" t="str">
        <f t="shared" si="7"/>
        <v/>
      </c>
      <c r="Q107" s="151" t="str">
        <f>IFERROR(VLOOKUP(C107,Ativos!$A$1:$G2000,5,),)</f>
        <v/>
      </c>
    </row>
    <row r="108" ht="21.0" customHeight="1">
      <c r="A108" s="158"/>
      <c r="B108" s="135"/>
      <c r="C108" s="153"/>
      <c r="D108" s="169"/>
      <c r="E108" s="139"/>
      <c r="F108" s="141"/>
      <c r="G108" s="170" t="str">
        <f>IFERROR(__xludf.DUMMYFUNCTION("if($C108="""","""",iferror(if(row()&lt;&gt;2,INDEX(arrayformula(filter($H$2:$H107,$C$2:$C107&lt;&gt;"""",row($C$2:$C107)=max(if($C$2:$C107=C108,row($C$2:$C107),0)))) ,1),0),0))"),"")</f>
        <v/>
      </c>
      <c r="H108" s="170" t="str">
        <f t="shared" si="8"/>
        <v/>
      </c>
      <c r="I108" s="147" t="str">
        <f t="shared" si="1"/>
        <v/>
      </c>
      <c r="J108" s="147" t="str">
        <f t="shared" si="13"/>
        <v/>
      </c>
      <c r="K108" s="147" t="str">
        <f>IFERROR(__xludf.DUMMYFUNCTION("if(C108="""","""",iferror(if(row()&lt;&gt;2,INDEX(arrayformula(filter($L$2:$L107,$C$2:$C107&lt;&gt;"""",row($C$2:$C107)=max(if($C$2:$C107=C108,row($C$2:$C107),0)))) ,1),0),0))"),"")</f>
        <v/>
      </c>
      <c r="L108" s="147" t="str">
        <f t="shared" si="14"/>
        <v/>
      </c>
      <c r="M108" s="147" t="str">
        <f t="shared" si="15"/>
        <v/>
      </c>
      <c r="N108" s="147" t="str">
        <f t="shared" si="16"/>
        <v/>
      </c>
      <c r="O108" s="147" t="str">
        <f t="shared" si="6"/>
        <v/>
      </c>
      <c r="P108" s="150" t="str">
        <f t="shared" si="7"/>
        <v/>
      </c>
      <c r="Q108" s="151" t="str">
        <f>IFERROR(VLOOKUP(C108,Ativos!$A$1:$G2000,5,),)</f>
        <v/>
      </c>
    </row>
    <row r="109" ht="21.0" customHeight="1">
      <c r="A109" s="152"/>
      <c r="B109" s="135"/>
      <c r="C109" s="153"/>
      <c r="D109" s="169"/>
      <c r="E109" s="139"/>
      <c r="F109" s="141"/>
      <c r="G109" s="170" t="str">
        <f>IFERROR(__xludf.DUMMYFUNCTION("if($C109="""","""",iferror(if(row()&lt;&gt;2,INDEX(arrayformula(filter($H$2:$H108,$C$2:$C108&lt;&gt;"""",row($C$2:$C108)=max(if($C$2:$C108=C109,row($C$2:$C108),0)))) ,1),0),0))"),"")</f>
        <v/>
      </c>
      <c r="H109" s="170" t="str">
        <f t="shared" si="8"/>
        <v/>
      </c>
      <c r="I109" s="147" t="str">
        <f t="shared" si="1"/>
        <v/>
      </c>
      <c r="J109" s="147" t="str">
        <f t="shared" si="13"/>
        <v/>
      </c>
      <c r="K109" s="147" t="str">
        <f>IFERROR(__xludf.DUMMYFUNCTION("if(C109="""","""",iferror(if(row()&lt;&gt;2,INDEX(arrayformula(filter($L$2:$L108,$C$2:$C108&lt;&gt;"""",row($C$2:$C108)=max(if($C$2:$C108=C109,row($C$2:$C108),0)))) ,1),0),0))"),"")</f>
        <v/>
      </c>
      <c r="L109" s="147" t="str">
        <f t="shared" si="14"/>
        <v/>
      </c>
      <c r="M109" s="147" t="str">
        <f t="shared" si="15"/>
        <v/>
      </c>
      <c r="N109" s="147" t="str">
        <f t="shared" si="16"/>
        <v/>
      </c>
      <c r="O109" s="147" t="str">
        <f t="shared" si="6"/>
        <v/>
      </c>
      <c r="P109" s="150" t="str">
        <f t="shared" si="7"/>
        <v/>
      </c>
      <c r="Q109" s="151" t="str">
        <f>IFERROR(VLOOKUP(C109,Ativos!$A$1:$G2000,5,),)</f>
        <v/>
      </c>
    </row>
    <row r="110" ht="21.0" customHeight="1">
      <c r="A110" s="152"/>
      <c r="B110" s="135"/>
      <c r="C110" s="153"/>
      <c r="D110" s="169"/>
      <c r="E110" s="139"/>
      <c r="F110" s="141"/>
      <c r="G110" s="170" t="str">
        <f>IFERROR(__xludf.DUMMYFUNCTION("if($C110="""","""",iferror(if(row()&lt;&gt;2,INDEX(arrayformula(filter($H$2:$H109,$C$2:$C109&lt;&gt;"""",row($C$2:$C109)=max(if($C$2:$C109=C110,row($C$2:$C109),0)))) ,1),0),0))"),"")</f>
        <v/>
      </c>
      <c r="H110" s="170" t="str">
        <f t="shared" si="8"/>
        <v/>
      </c>
      <c r="I110" s="147" t="str">
        <f t="shared" si="1"/>
        <v/>
      </c>
      <c r="J110" s="147" t="str">
        <f t="shared" si="13"/>
        <v/>
      </c>
      <c r="K110" s="147" t="str">
        <f>IFERROR(__xludf.DUMMYFUNCTION("if(C110="""","""",iferror(if(row()&lt;&gt;2,INDEX(arrayformula(filter($L$2:$L109,$C$2:$C109&lt;&gt;"""",row($C$2:$C109)=max(if($C$2:$C109=C110,row($C$2:$C109),0)))) ,1),0),0))"),"")</f>
        <v/>
      </c>
      <c r="L110" s="147" t="str">
        <f t="shared" si="14"/>
        <v/>
      </c>
      <c r="M110" s="147" t="str">
        <f t="shared" si="15"/>
        <v/>
      </c>
      <c r="N110" s="147" t="str">
        <f t="shared" si="16"/>
        <v/>
      </c>
      <c r="O110" s="147" t="str">
        <f t="shared" si="6"/>
        <v/>
      </c>
      <c r="P110" s="150" t="str">
        <f t="shared" si="7"/>
        <v/>
      </c>
      <c r="Q110" s="151" t="str">
        <f>IFERROR(VLOOKUP(C110,Ativos!$A$1:$G2000,5,),)</f>
        <v/>
      </c>
    </row>
    <row r="111" ht="21.0" customHeight="1">
      <c r="A111" s="152"/>
      <c r="B111" s="135"/>
      <c r="C111" s="153"/>
      <c r="D111" s="169"/>
      <c r="E111" s="139"/>
      <c r="F111" s="141"/>
      <c r="G111" s="170" t="str">
        <f>IFERROR(__xludf.DUMMYFUNCTION("if($C111="""","""",iferror(if(row()&lt;&gt;2,INDEX(arrayformula(filter($H$2:$H110,$C$2:$C110&lt;&gt;"""",row($C$2:$C110)=max(if($C$2:$C110=C111,row($C$2:$C110),0)))) ,1),0),0))"),"")</f>
        <v/>
      </c>
      <c r="H111" s="170" t="str">
        <f t="shared" si="8"/>
        <v/>
      </c>
      <c r="I111" s="147" t="str">
        <f t="shared" si="1"/>
        <v/>
      </c>
      <c r="J111" s="147" t="str">
        <f t="shared" si="13"/>
        <v/>
      </c>
      <c r="K111" s="147" t="str">
        <f>IFERROR(__xludf.DUMMYFUNCTION("if(C111="""","""",iferror(if(row()&lt;&gt;2,INDEX(arrayformula(filter($L$2:$L110,$C$2:$C110&lt;&gt;"""",row($C$2:$C110)=max(if($C$2:$C110=C111,row($C$2:$C110),0)))) ,1),0),0))"),"")</f>
        <v/>
      </c>
      <c r="L111" s="147" t="str">
        <f t="shared" si="14"/>
        <v/>
      </c>
      <c r="M111" s="147" t="str">
        <f t="shared" si="15"/>
        <v/>
      </c>
      <c r="N111" s="147" t="str">
        <f t="shared" si="16"/>
        <v/>
      </c>
      <c r="O111" s="147" t="str">
        <f t="shared" si="6"/>
        <v/>
      </c>
      <c r="P111" s="150" t="str">
        <f t="shared" si="7"/>
        <v/>
      </c>
      <c r="Q111" s="151" t="str">
        <f>IFERROR(VLOOKUP(C111,Ativos!$A$1:$G2000,5,),)</f>
        <v/>
      </c>
    </row>
    <row r="112" ht="21.0" customHeight="1">
      <c r="A112" s="158"/>
      <c r="B112" s="135"/>
      <c r="C112" s="153"/>
      <c r="D112" s="169"/>
      <c r="E112" s="139"/>
      <c r="F112" s="141"/>
      <c r="G112" s="170" t="str">
        <f>IFERROR(__xludf.DUMMYFUNCTION("if($C112="""","""",iferror(if(row()&lt;&gt;2,INDEX(arrayformula(filter($H$2:$H111,$C$2:$C111&lt;&gt;"""",row($C$2:$C111)=max(if($C$2:$C111=C112,row($C$2:$C111),0)))) ,1),0),0))"),"")</f>
        <v/>
      </c>
      <c r="H112" s="170" t="str">
        <f t="shared" si="8"/>
        <v/>
      </c>
      <c r="I112" s="147" t="str">
        <f t="shared" si="1"/>
        <v/>
      </c>
      <c r="J112" s="147" t="str">
        <f t="shared" si="13"/>
        <v/>
      </c>
      <c r="K112" s="147" t="str">
        <f>IFERROR(__xludf.DUMMYFUNCTION("if(C112="""","""",iferror(if(row()&lt;&gt;2,INDEX(arrayformula(filter($L$2:$L111,$C$2:$C111&lt;&gt;"""",row($C$2:$C111)=max(if($C$2:$C111=C112,row($C$2:$C111),0)))) ,1),0),0))"),"")</f>
        <v/>
      </c>
      <c r="L112" s="147" t="str">
        <f t="shared" si="14"/>
        <v/>
      </c>
      <c r="M112" s="147" t="str">
        <f t="shared" si="15"/>
        <v/>
      </c>
      <c r="N112" s="147" t="str">
        <f t="shared" si="16"/>
        <v/>
      </c>
      <c r="O112" s="147" t="str">
        <f t="shared" si="6"/>
        <v/>
      </c>
      <c r="P112" s="150" t="str">
        <f t="shared" si="7"/>
        <v/>
      </c>
      <c r="Q112" s="151" t="str">
        <f>IFERROR(VLOOKUP(C112,Ativos!$A$1:$G2000,5,),)</f>
        <v/>
      </c>
    </row>
    <row r="113" ht="21.0" customHeight="1">
      <c r="A113" s="152"/>
      <c r="B113" s="135"/>
      <c r="C113" s="153"/>
      <c r="D113" s="169"/>
      <c r="E113" s="139"/>
      <c r="F113" s="141"/>
      <c r="G113" s="170" t="str">
        <f>IFERROR(__xludf.DUMMYFUNCTION("if($C113="""","""",iferror(if(row()&lt;&gt;2,INDEX(arrayformula(filter($H$2:$H112,$C$2:$C112&lt;&gt;"""",row($C$2:$C112)=max(if($C$2:$C112=C113,row($C$2:$C112),0)))) ,1),0),0))"),"")</f>
        <v/>
      </c>
      <c r="H113" s="170" t="str">
        <f t="shared" si="8"/>
        <v/>
      </c>
      <c r="I113" s="147" t="str">
        <f t="shared" si="1"/>
        <v/>
      </c>
      <c r="J113" s="147" t="str">
        <f t="shared" si="13"/>
        <v/>
      </c>
      <c r="K113" s="147" t="str">
        <f>IFERROR(__xludf.DUMMYFUNCTION("if(C113="""","""",iferror(if(row()&lt;&gt;2,INDEX(arrayformula(filter($L$2:$L112,$C$2:$C112&lt;&gt;"""",row($C$2:$C112)=max(if($C$2:$C112=C113,row($C$2:$C112),0)))) ,1),0),0))"),"")</f>
        <v/>
      </c>
      <c r="L113" s="147" t="str">
        <f t="shared" si="14"/>
        <v/>
      </c>
      <c r="M113" s="147" t="str">
        <f t="shared" si="15"/>
        <v/>
      </c>
      <c r="N113" s="147" t="str">
        <f t="shared" si="16"/>
        <v/>
      </c>
      <c r="O113" s="147" t="str">
        <f t="shared" si="6"/>
        <v/>
      </c>
      <c r="P113" s="150" t="str">
        <f t="shared" si="7"/>
        <v/>
      </c>
      <c r="Q113" s="151" t="str">
        <f>IFERROR(VLOOKUP(C113,Ativos!$A$1:$G2000,5,),)</f>
        <v/>
      </c>
    </row>
    <row r="114" ht="21.0" customHeight="1">
      <c r="A114" s="152"/>
      <c r="B114" s="135"/>
      <c r="C114" s="153"/>
      <c r="D114" s="169"/>
      <c r="E114" s="139"/>
      <c r="F114" s="141"/>
      <c r="G114" s="170" t="str">
        <f>IFERROR(__xludf.DUMMYFUNCTION("if($C114="""","""",iferror(if(row()&lt;&gt;2,INDEX(arrayformula(filter($H$2:$H113,$C$2:$C113&lt;&gt;"""",row($C$2:$C113)=max(if($C$2:$C113=C114,row($C$2:$C113),0)))) ,1),0),0))"),"")</f>
        <v/>
      </c>
      <c r="H114" s="170" t="str">
        <f t="shared" si="8"/>
        <v/>
      </c>
      <c r="I114" s="147" t="str">
        <f t="shared" si="1"/>
        <v/>
      </c>
      <c r="J114" s="147" t="str">
        <f t="shared" si="13"/>
        <v/>
      </c>
      <c r="K114" s="147" t="str">
        <f>IFERROR(__xludf.DUMMYFUNCTION("if(C114="""","""",iferror(if(row()&lt;&gt;2,INDEX(arrayformula(filter($L$2:$L113,$C$2:$C113&lt;&gt;"""",row($C$2:$C113)=max(if($C$2:$C113=C114,row($C$2:$C113),0)))) ,1),0),0))"),"")</f>
        <v/>
      </c>
      <c r="L114" s="147" t="str">
        <f t="shared" si="14"/>
        <v/>
      </c>
      <c r="M114" s="147" t="str">
        <f t="shared" si="15"/>
        <v/>
      </c>
      <c r="N114" s="147" t="str">
        <f t="shared" si="16"/>
        <v/>
      </c>
      <c r="O114" s="147" t="str">
        <f t="shared" si="6"/>
        <v/>
      </c>
      <c r="P114" s="150" t="str">
        <f t="shared" si="7"/>
        <v/>
      </c>
      <c r="Q114" s="151" t="str">
        <f>IFERROR(VLOOKUP(C114,Ativos!$A$1:$G2000,5,),)</f>
        <v/>
      </c>
    </row>
    <row r="115" ht="21.0" customHeight="1">
      <c r="A115" s="158"/>
      <c r="B115" s="135"/>
      <c r="C115" s="153"/>
      <c r="D115" s="169"/>
      <c r="E115" s="139"/>
      <c r="F115" s="141"/>
      <c r="G115" s="170" t="str">
        <f>IFERROR(__xludf.DUMMYFUNCTION("if($C115="""","""",iferror(if(row()&lt;&gt;2,INDEX(arrayformula(filter($H$2:$H114,$C$2:$C114&lt;&gt;"""",row($C$2:$C114)=max(if($C$2:$C114=C115,row($C$2:$C114),0)))) ,1),0),0))"),"")</f>
        <v/>
      </c>
      <c r="H115" s="170" t="str">
        <f t="shared" si="8"/>
        <v/>
      </c>
      <c r="I115" s="147" t="str">
        <f t="shared" si="1"/>
        <v/>
      </c>
      <c r="J115" s="147" t="str">
        <f t="shared" si="13"/>
        <v/>
      </c>
      <c r="K115" s="147" t="str">
        <f>IFERROR(__xludf.DUMMYFUNCTION("if(C115="""","""",iferror(if(row()&lt;&gt;2,INDEX(arrayformula(filter($L$2:$L114,$C$2:$C114&lt;&gt;"""",row($C$2:$C114)=max(if($C$2:$C114=C115,row($C$2:$C114),0)))) ,1),0),0))"),"")</f>
        <v/>
      </c>
      <c r="L115" s="147" t="str">
        <f t="shared" si="14"/>
        <v/>
      </c>
      <c r="M115" s="147" t="str">
        <f t="shared" si="15"/>
        <v/>
      </c>
      <c r="N115" s="147" t="str">
        <f t="shared" si="16"/>
        <v/>
      </c>
      <c r="O115" s="147" t="str">
        <f t="shared" si="6"/>
        <v/>
      </c>
      <c r="P115" s="150" t="str">
        <f t="shared" si="7"/>
        <v/>
      </c>
      <c r="Q115" s="151" t="str">
        <f>IFERROR(VLOOKUP(C115,Ativos!$A$1:$G2000,5,),)</f>
        <v/>
      </c>
    </row>
    <row r="116" ht="21.0" customHeight="1">
      <c r="A116" s="152"/>
      <c r="B116" s="135"/>
      <c r="C116" s="153"/>
      <c r="D116" s="169"/>
      <c r="E116" s="139"/>
      <c r="F116" s="141"/>
      <c r="G116" s="170" t="str">
        <f>IFERROR(__xludf.DUMMYFUNCTION("if($C116="""","""",iferror(if(row()&lt;&gt;2,INDEX(arrayformula(filter($H$2:$H115,$C$2:$C115&lt;&gt;"""",row($C$2:$C115)=max(if($C$2:$C115=C116,row($C$2:$C115),0)))) ,1),0),0))"),"")</f>
        <v/>
      </c>
      <c r="H116" s="170" t="str">
        <f t="shared" si="8"/>
        <v/>
      </c>
      <c r="I116" s="147" t="str">
        <f t="shared" si="1"/>
        <v/>
      </c>
      <c r="J116" s="147" t="str">
        <f t="shared" si="13"/>
        <v/>
      </c>
      <c r="K116" s="147" t="str">
        <f>IFERROR(__xludf.DUMMYFUNCTION("if(C116="""","""",iferror(if(row()&lt;&gt;2,INDEX(arrayformula(filter($L$2:$L115,$C$2:$C115&lt;&gt;"""",row($C$2:$C115)=max(if($C$2:$C115=C116,row($C$2:$C115),0)))) ,1),0),0))"),"")</f>
        <v/>
      </c>
      <c r="L116" s="147" t="str">
        <f t="shared" si="14"/>
        <v/>
      </c>
      <c r="M116" s="147" t="str">
        <f t="shared" si="15"/>
        <v/>
      </c>
      <c r="N116" s="147" t="str">
        <f t="shared" si="16"/>
        <v/>
      </c>
      <c r="O116" s="147" t="str">
        <f t="shared" si="6"/>
        <v/>
      </c>
      <c r="P116" s="150" t="str">
        <f t="shared" si="7"/>
        <v/>
      </c>
      <c r="Q116" s="151" t="str">
        <f>IFERROR(VLOOKUP(C116,Ativos!$A$1:$G2000,5,),)</f>
        <v/>
      </c>
    </row>
    <row r="117" ht="21.0" customHeight="1">
      <c r="A117" s="152"/>
      <c r="B117" s="135"/>
      <c r="C117" s="153"/>
      <c r="D117" s="169"/>
      <c r="E117" s="139"/>
      <c r="F117" s="141"/>
      <c r="G117" s="170" t="str">
        <f>IFERROR(__xludf.DUMMYFUNCTION("if($C117="""","""",iferror(if(row()&lt;&gt;2,INDEX(arrayformula(filter($H$2:$H116,$C$2:$C116&lt;&gt;"""",row($C$2:$C116)=max(if($C$2:$C116=C117,row($C$2:$C116),0)))) ,1),0),0))"),"")</f>
        <v/>
      </c>
      <c r="H117" s="170" t="str">
        <f t="shared" si="8"/>
        <v/>
      </c>
      <c r="I117" s="147" t="str">
        <f t="shared" si="1"/>
        <v/>
      </c>
      <c r="J117" s="147" t="str">
        <f t="shared" si="13"/>
        <v/>
      </c>
      <c r="K117" s="147" t="str">
        <f>IFERROR(__xludf.DUMMYFUNCTION("if(C117="""","""",iferror(if(row()&lt;&gt;2,INDEX(arrayformula(filter($L$2:$L116,$C$2:$C116&lt;&gt;"""",row($C$2:$C116)=max(if($C$2:$C116=C117,row($C$2:$C116),0)))) ,1),0),0))"),"")</f>
        <v/>
      </c>
      <c r="L117" s="147" t="str">
        <f t="shared" si="14"/>
        <v/>
      </c>
      <c r="M117" s="147" t="str">
        <f t="shared" si="15"/>
        <v/>
      </c>
      <c r="N117" s="147" t="str">
        <f t="shared" si="16"/>
        <v/>
      </c>
      <c r="O117" s="147" t="str">
        <f t="shared" si="6"/>
        <v/>
      </c>
      <c r="P117" s="150" t="str">
        <f t="shared" si="7"/>
        <v/>
      </c>
      <c r="Q117" s="151" t="str">
        <f>IFERROR(VLOOKUP(C117,Ativos!$A$1:$G2000,5,),)</f>
        <v/>
      </c>
    </row>
    <row r="118" ht="21.0" customHeight="1">
      <c r="A118" s="152"/>
      <c r="B118" s="135"/>
      <c r="C118" s="153"/>
      <c r="D118" s="169"/>
      <c r="E118" s="139"/>
      <c r="F118" s="141"/>
      <c r="G118" s="170" t="str">
        <f>IFERROR(__xludf.DUMMYFUNCTION("if($C118="""","""",iferror(if(row()&lt;&gt;2,INDEX(arrayformula(filter($H$2:$H117,$C$2:$C117&lt;&gt;"""",row($C$2:$C117)=max(if($C$2:$C117=C118,row($C$2:$C117),0)))) ,1),0),0))"),"")</f>
        <v/>
      </c>
      <c r="H118" s="170" t="str">
        <f t="shared" si="8"/>
        <v/>
      </c>
      <c r="I118" s="147" t="str">
        <f t="shared" si="1"/>
        <v/>
      </c>
      <c r="J118" s="147" t="str">
        <f t="shared" si="13"/>
        <v/>
      </c>
      <c r="K118" s="147" t="str">
        <f>IFERROR(__xludf.DUMMYFUNCTION("if(C118="""","""",iferror(if(row()&lt;&gt;2,INDEX(arrayformula(filter($L$2:$L117,$C$2:$C117&lt;&gt;"""",row($C$2:$C117)=max(if($C$2:$C117=C118,row($C$2:$C117),0)))) ,1),0),0))"),"")</f>
        <v/>
      </c>
      <c r="L118" s="147" t="str">
        <f t="shared" si="14"/>
        <v/>
      </c>
      <c r="M118" s="147" t="str">
        <f t="shared" si="15"/>
        <v/>
      </c>
      <c r="N118" s="147" t="str">
        <f t="shared" si="16"/>
        <v/>
      </c>
      <c r="O118" s="147" t="str">
        <f t="shared" si="6"/>
        <v/>
      </c>
      <c r="P118" s="150" t="str">
        <f t="shared" si="7"/>
        <v/>
      </c>
      <c r="Q118" s="151" t="str">
        <f>IFERROR(VLOOKUP(C118,Ativos!$A$1:$G2000,5,),)</f>
        <v/>
      </c>
    </row>
    <row r="119" ht="21.0" customHeight="1">
      <c r="A119" s="152"/>
      <c r="B119" s="135"/>
      <c r="C119" s="153"/>
      <c r="D119" s="169"/>
      <c r="E119" s="139"/>
      <c r="F119" s="141"/>
      <c r="G119" s="170" t="str">
        <f>IFERROR(__xludf.DUMMYFUNCTION("if($C119="""","""",iferror(if(row()&lt;&gt;2,INDEX(arrayformula(filter($H$2:$H118,$C$2:$C118&lt;&gt;"""",row($C$2:$C118)=max(if($C$2:$C118=C119,row($C$2:$C118),0)))) ,1),0),0))"),"")</f>
        <v/>
      </c>
      <c r="H119" s="170" t="str">
        <f t="shared" si="8"/>
        <v/>
      </c>
      <c r="I119" s="147" t="str">
        <f t="shared" si="1"/>
        <v/>
      </c>
      <c r="J119" s="147" t="str">
        <f t="shared" si="13"/>
        <v/>
      </c>
      <c r="K119" s="147" t="str">
        <f>IFERROR(__xludf.DUMMYFUNCTION("if(C119="""","""",iferror(if(row()&lt;&gt;2,INDEX(arrayformula(filter($L$2:$L118,$C$2:$C118&lt;&gt;"""",row($C$2:$C118)=max(if($C$2:$C118=C119,row($C$2:$C118),0)))) ,1),0),0))"),"")</f>
        <v/>
      </c>
      <c r="L119" s="147" t="str">
        <f t="shared" si="14"/>
        <v/>
      </c>
      <c r="M119" s="147" t="str">
        <f t="shared" si="15"/>
        <v/>
      </c>
      <c r="N119" s="147" t="str">
        <f t="shared" si="16"/>
        <v/>
      </c>
      <c r="O119" s="147" t="str">
        <f t="shared" si="6"/>
        <v/>
      </c>
      <c r="P119" s="150" t="str">
        <f t="shared" si="7"/>
        <v/>
      </c>
      <c r="Q119" s="151" t="str">
        <f>IFERROR(VLOOKUP(C119,Ativos!$A$1:$G2000,5,),)</f>
        <v/>
      </c>
    </row>
    <row r="120" ht="21.0" customHeight="1">
      <c r="A120" s="152"/>
      <c r="B120" s="135"/>
      <c r="C120" s="153"/>
      <c r="D120" s="169"/>
      <c r="E120" s="139"/>
      <c r="F120" s="141"/>
      <c r="G120" s="170" t="str">
        <f>IFERROR(__xludf.DUMMYFUNCTION("if($C120="""","""",iferror(if(row()&lt;&gt;2,INDEX(arrayformula(filter($H$2:$H119,$C$2:$C119&lt;&gt;"""",row($C$2:$C119)=max(if($C$2:$C119=C120,row($C$2:$C119),0)))) ,1),0),0))"),"")</f>
        <v/>
      </c>
      <c r="H120" s="170" t="str">
        <f t="shared" si="8"/>
        <v/>
      </c>
      <c r="I120" s="147" t="str">
        <f t="shared" si="1"/>
        <v/>
      </c>
      <c r="J120" s="147" t="str">
        <f t="shared" si="13"/>
        <v/>
      </c>
      <c r="K120" s="147" t="str">
        <f>IFERROR(__xludf.DUMMYFUNCTION("if(C120="""","""",iferror(if(row()&lt;&gt;2,INDEX(arrayformula(filter($L$2:$L119,$C$2:$C119&lt;&gt;"""",row($C$2:$C119)=max(if($C$2:$C119=C120,row($C$2:$C119),0)))) ,1),0),0))"),"")</f>
        <v/>
      </c>
      <c r="L120" s="147" t="str">
        <f t="shared" si="14"/>
        <v/>
      </c>
      <c r="M120" s="147" t="str">
        <f t="shared" si="15"/>
        <v/>
      </c>
      <c r="N120" s="147" t="str">
        <f t="shared" si="16"/>
        <v/>
      </c>
      <c r="O120" s="147" t="str">
        <f t="shared" si="6"/>
        <v/>
      </c>
      <c r="P120" s="150" t="str">
        <f t="shared" si="7"/>
        <v/>
      </c>
      <c r="Q120" s="151" t="str">
        <f>IFERROR(VLOOKUP(C120,Ativos!$A$1:$G2000,5,),)</f>
        <v/>
      </c>
    </row>
    <row r="121" ht="21.0" customHeight="1">
      <c r="A121" s="152"/>
      <c r="B121" s="160"/>
      <c r="C121" s="153"/>
      <c r="D121" s="169"/>
      <c r="E121" s="139"/>
      <c r="F121" s="141"/>
      <c r="G121" s="170" t="str">
        <f>IFERROR(__xludf.DUMMYFUNCTION("if($C121="""","""",iferror(if(row()&lt;&gt;2,INDEX(arrayformula(filter($H$2:$H120,$C$2:$C120&lt;&gt;"""",row($C$2:$C120)=max(if($C$2:$C120=C121,row($C$2:$C120),0)))) ,1),0),0))"),"")</f>
        <v/>
      </c>
      <c r="H121" s="170" t="str">
        <f t="shared" si="8"/>
        <v/>
      </c>
      <c r="I121" s="147" t="str">
        <f t="shared" si="1"/>
        <v/>
      </c>
      <c r="J121" s="147" t="str">
        <f t="shared" si="13"/>
        <v/>
      </c>
      <c r="K121" s="147" t="str">
        <f>IFERROR(__xludf.DUMMYFUNCTION("if(C121="""","""",iferror(if(row()&lt;&gt;2,INDEX(arrayformula(filter($L$2:$L120,$C$2:$C120&lt;&gt;"""",row($C$2:$C120)=max(if($C$2:$C120=C121,row($C$2:$C120),0)))) ,1),0),0))"),"")</f>
        <v/>
      </c>
      <c r="L121" s="147" t="str">
        <f t="shared" si="14"/>
        <v/>
      </c>
      <c r="M121" s="147" t="str">
        <f t="shared" si="15"/>
        <v/>
      </c>
      <c r="N121" s="147" t="str">
        <f t="shared" si="16"/>
        <v/>
      </c>
      <c r="O121" s="147" t="str">
        <f t="shared" si="6"/>
        <v/>
      </c>
      <c r="P121" s="150" t="str">
        <f t="shared" si="7"/>
        <v/>
      </c>
      <c r="Q121" s="151" t="str">
        <f>IFERROR(VLOOKUP(C121,Ativos!$A$1:$G2000,5,),)</f>
        <v/>
      </c>
    </row>
    <row r="122" ht="21.0" customHeight="1">
      <c r="A122" s="152"/>
      <c r="B122" s="160"/>
      <c r="C122" s="153"/>
      <c r="D122" s="169"/>
      <c r="E122" s="139"/>
      <c r="F122" s="141"/>
      <c r="G122" s="170" t="str">
        <f>IFERROR(__xludf.DUMMYFUNCTION("if($C122="""","""",iferror(if(row()&lt;&gt;2,INDEX(arrayformula(filter($H$2:$H121,$C$2:$C121&lt;&gt;"""",row($C$2:$C121)=max(if($C$2:$C121=C122,row($C$2:$C121),0)))) ,1),0),0))"),"")</f>
        <v/>
      </c>
      <c r="H122" s="170" t="str">
        <f t="shared" si="8"/>
        <v/>
      </c>
      <c r="I122" s="147" t="str">
        <f t="shared" si="1"/>
        <v/>
      </c>
      <c r="J122" s="147" t="str">
        <f t="shared" si="13"/>
        <v/>
      </c>
      <c r="K122" s="147" t="str">
        <f>IFERROR(__xludf.DUMMYFUNCTION("if(C122="""","""",iferror(if(row()&lt;&gt;2,INDEX(arrayformula(filter($L$2:$L121,$C$2:$C121&lt;&gt;"""",row($C$2:$C121)=max(if($C$2:$C121=C122,row($C$2:$C121),0)))) ,1),0),0))"),"")</f>
        <v/>
      </c>
      <c r="L122" s="147" t="str">
        <f t="shared" si="14"/>
        <v/>
      </c>
      <c r="M122" s="147" t="str">
        <f t="shared" si="15"/>
        <v/>
      </c>
      <c r="N122" s="147" t="str">
        <f t="shared" si="16"/>
        <v/>
      </c>
      <c r="O122" s="147" t="str">
        <f t="shared" si="6"/>
        <v/>
      </c>
      <c r="P122" s="150" t="str">
        <f t="shared" si="7"/>
        <v/>
      </c>
      <c r="Q122" s="151" t="str">
        <f>IFERROR(VLOOKUP(C122,Ativos!$A$1:$G2000,5,),)</f>
        <v/>
      </c>
    </row>
    <row r="123" ht="21.0" customHeight="1">
      <c r="A123" s="152"/>
      <c r="B123" s="160"/>
      <c r="C123" s="153"/>
      <c r="D123" s="169"/>
      <c r="E123" s="139"/>
      <c r="F123" s="141"/>
      <c r="G123" s="170" t="str">
        <f>IFERROR(__xludf.DUMMYFUNCTION("if($C123="""","""",iferror(if(row()&lt;&gt;2,INDEX(arrayformula(filter($H$2:$H122,$C$2:$C122&lt;&gt;"""",row($C$2:$C122)=max(if($C$2:$C122=C123,row($C$2:$C122),0)))) ,1),0),0))"),"")</f>
        <v/>
      </c>
      <c r="H123" s="170" t="str">
        <f t="shared" si="8"/>
        <v/>
      </c>
      <c r="I123" s="147" t="str">
        <f t="shared" si="1"/>
        <v/>
      </c>
      <c r="J123" s="147" t="str">
        <f t="shared" si="13"/>
        <v/>
      </c>
      <c r="K123" s="147" t="str">
        <f>IFERROR(__xludf.DUMMYFUNCTION("if(C123="""","""",iferror(if(row()&lt;&gt;2,INDEX(arrayformula(filter($L$2:$L122,$C$2:$C122&lt;&gt;"""",row($C$2:$C122)=max(if($C$2:$C122=C123,row($C$2:$C122),0)))) ,1),0),0))"),"")</f>
        <v/>
      </c>
      <c r="L123" s="147" t="str">
        <f t="shared" si="14"/>
        <v/>
      </c>
      <c r="M123" s="147" t="str">
        <f t="shared" si="15"/>
        <v/>
      </c>
      <c r="N123" s="147" t="str">
        <f t="shared" si="16"/>
        <v/>
      </c>
      <c r="O123" s="147" t="str">
        <f t="shared" si="6"/>
        <v/>
      </c>
      <c r="P123" s="150" t="str">
        <f t="shared" si="7"/>
        <v/>
      </c>
      <c r="Q123" s="151" t="str">
        <f>IFERROR(VLOOKUP(C123,Ativos!$A$1:$G2000,5,),)</f>
        <v/>
      </c>
    </row>
    <row r="124" ht="21.0" customHeight="1">
      <c r="A124" s="152"/>
      <c r="B124" s="160"/>
      <c r="C124" s="153"/>
      <c r="D124" s="169"/>
      <c r="E124" s="139"/>
      <c r="F124" s="141"/>
      <c r="G124" s="170" t="str">
        <f>IFERROR(__xludf.DUMMYFUNCTION("if($C124="""","""",iferror(if(row()&lt;&gt;2,INDEX(arrayformula(filter($H$2:$H123,$C$2:$C123&lt;&gt;"""",row($C$2:$C123)=max(if($C$2:$C123=C124,row($C$2:$C123),0)))) ,1),0),0))"),"")</f>
        <v/>
      </c>
      <c r="H124" s="170" t="str">
        <f t="shared" si="8"/>
        <v/>
      </c>
      <c r="I124" s="147" t="str">
        <f t="shared" si="1"/>
        <v/>
      </c>
      <c r="J124" s="147" t="str">
        <f t="shared" si="13"/>
        <v/>
      </c>
      <c r="K124" s="147" t="str">
        <f>IFERROR(__xludf.DUMMYFUNCTION("if(C124="""","""",iferror(if(row()&lt;&gt;2,INDEX(arrayformula(filter($L$2:$L123,$C$2:$C123&lt;&gt;"""",row($C$2:$C123)=max(if($C$2:$C123=C124,row($C$2:$C123),0)))) ,1),0),0))"),"")</f>
        <v/>
      </c>
      <c r="L124" s="147" t="str">
        <f t="shared" si="14"/>
        <v/>
      </c>
      <c r="M124" s="147" t="str">
        <f t="shared" si="15"/>
        <v/>
      </c>
      <c r="N124" s="147" t="str">
        <f t="shared" si="16"/>
        <v/>
      </c>
      <c r="O124" s="147" t="str">
        <f t="shared" si="6"/>
        <v/>
      </c>
      <c r="P124" s="150" t="str">
        <f t="shared" si="7"/>
        <v/>
      </c>
      <c r="Q124" s="151" t="str">
        <f>IFERROR(VLOOKUP(C124,Ativos!$A$1:$G2000,5,),)</f>
        <v/>
      </c>
    </row>
    <row r="125" ht="21.0" customHeight="1">
      <c r="A125" s="152"/>
      <c r="B125" s="160"/>
      <c r="C125" s="153"/>
      <c r="D125" s="169"/>
      <c r="E125" s="139"/>
      <c r="F125" s="141"/>
      <c r="G125" s="170" t="str">
        <f>IFERROR(__xludf.DUMMYFUNCTION("if($C125="""","""",iferror(if(row()&lt;&gt;2,INDEX(arrayformula(filter($H$2:$H124,$C$2:$C124&lt;&gt;"""",row($C$2:$C124)=max(if($C$2:$C124=C125,row($C$2:$C124),0)))) ,1),0),0))"),"")</f>
        <v/>
      </c>
      <c r="H125" s="170" t="str">
        <f t="shared" si="8"/>
        <v/>
      </c>
      <c r="I125" s="147" t="str">
        <f t="shared" si="1"/>
        <v/>
      </c>
      <c r="J125" s="147" t="str">
        <f t="shared" si="13"/>
        <v/>
      </c>
      <c r="K125" s="147" t="str">
        <f>IFERROR(__xludf.DUMMYFUNCTION("if(C125="""","""",iferror(if(row()&lt;&gt;2,INDEX(arrayformula(filter($L$2:$L124,$C$2:$C124&lt;&gt;"""",row($C$2:$C124)=max(if($C$2:$C124=C125,row($C$2:$C124),0)))) ,1),0),0))"),"")</f>
        <v/>
      </c>
      <c r="L125" s="147" t="str">
        <f t="shared" si="14"/>
        <v/>
      </c>
      <c r="M125" s="147" t="str">
        <f t="shared" si="15"/>
        <v/>
      </c>
      <c r="N125" s="147" t="str">
        <f t="shared" si="16"/>
        <v/>
      </c>
      <c r="O125" s="147" t="str">
        <f t="shared" si="6"/>
        <v/>
      </c>
      <c r="P125" s="150" t="str">
        <f t="shared" si="7"/>
        <v/>
      </c>
      <c r="Q125" s="151" t="str">
        <f>IFERROR(VLOOKUP(C125,Ativos!$A$1:$G2000,5,),)</f>
        <v/>
      </c>
    </row>
    <row r="126" ht="21.0" customHeight="1">
      <c r="A126" s="152"/>
      <c r="B126" s="160"/>
      <c r="C126" s="153"/>
      <c r="D126" s="169"/>
      <c r="E126" s="139"/>
      <c r="F126" s="141"/>
      <c r="G126" s="170" t="str">
        <f>IFERROR(__xludf.DUMMYFUNCTION("if($C126="""","""",iferror(if(row()&lt;&gt;2,INDEX(arrayformula(filter($H$2:$H125,$C$2:$C125&lt;&gt;"""",row($C$2:$C125)=max(if($C$2:$C125=C126,row($C$2:$C125),0)))) ,1),0),0))"),"")</f>
        <v/>
      </c>
      <c r="H126" s="170" t="str">
        <f t="shared" si="8"/>
        <v/>
      </c>
      <c r="I126" s="147" t="str">
        <f t="shared" si="1"/>
        <v/>
      </c>
      <c r="J126" s="147" t="str">
        <f t="shared" si="13"/>
        <v/>
      </c>
      <c r="K126" s="147" t="str">
        <f>IFERROR(__xludf.DUMMYFUNCTION("if(C126="""","""",iferror(if(row()&lt;&gt;2,INDEX(arrayformula(filter($L$2:$L125,$C$2:$C125&lt;&gt;"""",row($C$2:$C125)=max(if($C$2:$C125=C126,row($C$2:$C125),0)))) ,1),0),0))"),"")</f>
        <v/>
      </c>
      <c r="L126" s="147" t="str">
        <f t="shared" si="14"/>
        <v/>
      </c>
      <c r="M126" s="147" t="str">
        <f t="shared" si="15"/>
        <v/>
      </c>
      <c r="N126" s="147" t="str">
        <f t="shared" si="16"/>
        <v/>
      </c>
      <c r="O126" s="147" t="str">
        <f t="shared" si="6"/>
        <v/>
      </c>
      <c r="P126" s="150" t="str">
        <f t="shared" si="7"/>
        <v/>
      </c>
      <c r="Q126" s="151" t="str">
        <f>IFERROR(VLOOKUP(C126,Ativos!$A$1:$G2000,5,),)</f>
        <v/>
      </c>
    </row>
    <row r="127" ht="21.0" customHeight="1">
      <c r="A127" s="152"/>
      <c r="B127" s="160"/>
      <c r="C127" s="153"/>
      <c r="D127" s="169"/>
      <c r="E127" s="139"/>
      <c r="F127" s="141"/>
      <c r="G127" s="170" t="str">
        <f>IFERROR(__xludf.DUMMYFUNCTION("if($C127="""","""",iferror(if(row()&lt;&gt;2,INDEX(arrayformula(filter($H$2:$H126,$C$2:$C126&lt;&gt;"""",row($C$2:$C126)=max(if($C$2:$C126=C127,row($C$2:$C126),0)))) ,1),0),0))"),"")</f>
        <v/>
      </c>
      <c r="H127" s="170" t="str">
        <f t="shared" si="8"/>
        <v/>
      </c>
      <c r="I127" s="147" t="str">
        <f t="shared" si="1"/>
        <v/>
      </c>
      <c r="J127" s="147" t="str">
        <f t="shared" si="13"/>
        <v/>
      </c>
      <c r="K127" s="147" t="str">
        <f>IFERROR(__xludf.DUMMYFUNCTION("if(C127="""","""",iferror(if(row()&lt;&gt;2,INDEX(arrayformula(filter($L$2:$L126,$C$2:$C126&lt;&gt;"""",row($C$2:$C126)=max(if($C$2:$C126=C127,row($C$2:$C126),0)))) ,1),0),0))"),"")</f>
        <v/>
      </c>
      <c r="L127" s="147" t="str">
        <f t="shared" si="14"/>
        <v/>
      </c>
      <c r="M127" s="147" t="str">
        <f t="shared" si="15"/>
        <v/>
      </c>
      <c r="N127" s="147" t="str">
        <f t="shared" si="16"/>
        <v/>
      </c>
      <c r="O127" s="147" t="str">
        <f t="shared" si="6"/>
        <v/>
      </c>
      <c r="P127" s="150" t="str">
        <f t="shared" si="7"/>
        <v/>
      </c>
      <c r="Q127" s="151" t="str">
        <f>IFERROR(VLOOKUP(C127,Ativos!$A$1:$G2000,5,),)</f>
        <v/>
      </c>
    </row>
    <row r="128" ht="21.0" customHeight="1">
      <c r="A128" s="152"/>
      <c r="B128" s="160"/>
      <c r="C128" s="153"/>
      <c r="D128" s="169"/>
      <c r="E128" s="139"/>
      <c r="F128" s="141"/>
      <c r="G128" s="170" t="str">
        <f>IFERROR(__xludf.DUMMYFUNCTION("if($C128="""","""",iferror(if(row()&lt;&gt;2,INDEX(arrayformula(filter($H$2:$H127,$C$2:$C127&lt;&gt;"""",row($C$2:$C127)=max(if($C$2:$C127=C128,row($C$2:$C127),0)))) ,1),0),0))"),"")</f>
        <v/>
      </c>
      <c r="H128" s="170" t="str">
        <f t="shared" si="8"/>
        <v/>
      </c>
      <c r="I128" s="147" t="str">
        <f t="shared" si="1"/>
        <v/>
      </c>
      <c r="J128" s="147" t="str">
        <f t="shared" si="13"/>
        <v/>
      </c>
      <c r="K128" s="147" t="str">
        <f>IFERROR(__xludf.DUMMYFUNCTION("if(C128="""","""",iferror(if(row()&lt;&gt;2,INDEX(arrayformula(filter($L$2:$L127,$C$2:$C127&lt;&gt;"""",row($C$2:$C127)=max(if($C$2:$C127=C128,row($C$2:$C127),0)))) ,1),0),0))"),"")</f>
        <v/>
      </c>
      <c r="L128" s="147" t="str">
        <f t="shared" si="14"/>
        <v/>
      </c>
      <c r="M128" s="147" t="str">
        <f t="shared" si="15"/>
        <v/>
      </c>
      <c r="N128" s="147" t="str">
        <f t="shared" si="16"/>
        <v/>
      </c>
      <c r="O128" s="147" t="str">
        <f t="shared" si="6"/>
        <v/>
      </c>
      <c r="P128" s="150" t="str">
        <f t="shared" si="7"/>
        <v/>
      </c>
      <c r="Q128" s="151" t="str">
        <f>IFERROR(VLOOKUP(C128,Ativos!$A$1:$G2000,5,),)</f>
        <v/>
      </c>
    </row>
    <row r="129" ht="21.0" customHeight="1">
      <c r="A129" s="152"/>
      <c r="B129" s="160"/>
      <c r="C129" s="153"/>
      <c r="D129" s="169"/>
      <c r="E129" s="139"/>
      <c r="F129" s="141"/>
      <c r="G129" s="170" t="str">
        <f>IFERROR(__xludf.DUMMYFUNCTION("if($C129="""","""",iferror(if(row()&lt;&gt;2,INDEX(arrayformula(filter($H$2:$H128,$C$2:$C128&lt;&gt;"""",row($C$2:$C128)=max(if($C$2:$C128=C129,row($C$2:$C128),0)))) ,1),0),0))"),"")</f>
        <v/>
      </c>
      <c r="H129" s="170" t="str">
        <f t="shared" si="8"/>
        <v/>
      </c>
      <c r="I129" s="147" t="str">
        <f t="shared" si="1"/>
        <v/>
      </c>
      <c r="J129" s="147" t="str">
        <f t="shared" si="13"/>
        <v/>
      </c>
      <c r="K129" s="147" t="str">
        <f>IFERROR(__xludf.DUMMYFUNCTION("if(C129="""","""",iferror(if(row()&lt;&gt;2,INDEX(arrayformula(filter($L$2:$L128,$C$2:$C128&lt;&gt;"""",row($C$2:$C128)=max(if($C$2:$C128=C129,row($C$2:$C128),0)))) ,1),0),0))"),"")</f>
        <v/>
      </c>
      <c r="L129" s="147" t="str">
        <f t="shared" si="14"/>
        <v/>
      </c>
      <c r="M129" s="147" t="str">
        <f t="shared" si="15"/>
        <v/>
      </c>
      <c r="N129" s="147" t="str">
        <f t="shared" si="16"/>
        <v/>
      </c>
      <c r="O129" s="147" t="str">
        <f t="shared" si="6"/>
        <v/>
      </c>
      <c r="P129" s="150" t="str">
        <f t="shared" si="7"/>
        <v/>
      </c>
      <c r="Q129" s="151" t="str">
        <f>IFERROR(VLOOKUP(C129,Ativos!$A$1:$G2000,5,),)</f>
        <v/>
      </c>
    </row>
    <row r="130" ht="21.0" customHeight="1">
      <c r="A130" s="152"/>
      <c r="B130" s="160"/>
      <c r="C130" s="153"/>
      <c r="D130" s="169"/>
      <c r="E130" s="139"/>
      <c r="F130" s="141"/>
      <c r="G130" s="170" t="str">
        <f>IFERROR(__xludf.DUMMYFUNCTION("if($C130="""","""",iferror(if(row()&lt;&gt;2,INDEX(arrayformula(filter($H$2:$H129,$C$2:$C129&lt;&gt;"""",row($C$2:$C129)=max(if($C$2:$C129=C130,row($C$2:$C129),0)))) ,1),0),0))"),"")</f>
        <v/>
      </c>
      <c r="H130" s="170" t="str">
        <f t="shared" si="8"/>
        <v/>
      </c>
      <c r="I130" s="147" t="str">
        <f t="shared" si="1"/>
        <v/>
      </c>
      <c r="J130" s="147" t="str">
        <f t="shared" si="13"/>
        <v/>
      </c>
      <c r="K130" s="147" t="str">
        <f>IFERROR(__xludf.DUMMYFUNCTION("if(C130="""","""",iferror(if(row()&lt;&gt;2,INDEX(arrayformula(filter($L$2:$L129,$C$2:$C129&lt;&gt;"""",row($C$2:$C129)=max(if($C$2:$C129=C130,row($C$2:$C129),0)))) ,1),0),0))"),"")</f>
        <v/>
      </c>
      <c r="L130" s="147" t="str">
        <f t="shared" si="14"/>
        <v/>
      </c>
      <c r="M130" s="147" t="str">
        <f t="shared" si="15"/>
        <v/>
      </c>
      <c r="N130" s="147" t="str">
        <f t="shared" si="16"/>
        <v/>
      </c>
      <c r="O130" s="147" t="str">
        <f t="shared" si="6"/>
        <v/>
      </c>
      <c r="P130" s="150" t="str">
        <f t="shared" si="7"/>
        <v/>
      </c>
      <c r="Q130" s="151" t="str">
        <f>IFERROR(VLOOKUP(C130,Ativos!$A$1:$G2000,5,),)</f>
        <v/>
      </c>
    </row>
    <row r="131" ht="21.0" customHeight="1">
      <c r="A131" s="152"/>
      <c r="B131" s="160"/>
      <c r="C131" s="153"/>
      <c r="D131" s="169"/>
      <c r="E131" s="139"/>
      <c r="F131" s="141"/>
      <c r="G131" s="170" t="str">
        <f>IFERROR(__xludf.DUMMYFUNCTION("if($C131="""","""",iferror(if(row()&lt;&gt;2,INDEX(arrayformula(filter($H$2:$H130,$C$2:$C130&lt;&gt;"""",row($C$2:$C130)=max(if($C$2:$C130=C131,row($C$2:$C130),0)))) ,1),0),0))"),"")</f>
        <v/>
      </c>
      <c r="H131" s="170" t="str">
        <f t="shared" si="8"/>
        <v/>
      </c>
      <c r="I131" s="147" t="str">
        <f t="shared" si="1"/>
        <v/>
      </c>
      <c r="J131" s="147" t="str">
        <f t="shared" si="13"/>
        <v/>
      </c>
      <c r="K131" s="147" t="str">
        <f>IFERROR(__xludf.DUMMYFUNCTION("if(C131="""","""",iferror(if(row()&lt;&gt;2,INDEX(arrayformula(filter($L$2:$L130,$C$2:$C130&lt;&gt;"""",row($C$2:$C130)=max(if($C$2:$C130=C131,row($C$2:$C130),0)))) ,1),0),0))"),"")</f>
        <v/>
      </c>
      <c r="L131" s="147" t="str">
        <f t="shared" si="14"/>
        <v/>
      </c>
      <c r="M131" s="147" t="str">
        <f t="shared" si="15"/>
        <v/>
      </c>
      <c r="N131" s="147" t="str">
        <f t="shared" si="16"/>
        <v/>
      </c>
      <c r="O131" s="147" t="str">
        <f t="shared" si="6"/>
        <v/>
      </c>
      <c r="P131" s="150" t="str">
        <f t="shared" si="7"/>
        <v/>
      </c>
      <c r="Q131" s="151" t="str">
        <f>IFERROR(VLOOKUP(C131,Ativos!$A$1:$G2000,5,),)</f>
        <v/>
      </c>
    </row>
    <row r="132" ht="21.0" customHeight="1">
      <c r="A132" s="152"/>
      <c r="B132" s="160"/>
      <c r="C132" s="153"/>
      <c r="D132" s="169"/>
      <c r="E132" s="139"/>
      <c r="F132" s="141"/>
      <c r="G132" s="170" t="str">
        <f>IFERROR(__xludf.DUMMYFUNCTION("if($C132="""","""",iferror(if(row()&lt;&gt;2,INDEX(arrayformula(filter($H$2:$H131,$C$2:$C131&lt;&gt;"""",row($C$2:$C131)=max(if($C$2:$C131=C132,row($C$2:$C131),0)))) ,1),0),0))"),"")</f>
        <v/>
      </c>
      <c r="H132" s="170" t="str">
        <f t="shared" si="8"/>
        <v/>
      </c>
      <c r="I132" s="147" t="str">
        <f t="shared" si="1"/>
        <v/>
      </c>
      <c r="J132" s="147" t="str">
        <f t="shared" si="13"/>
        <v/>
      </c>
      <c r="K132" s="147" t="str">
        <f>IFERROR(__xludf.DUMMYFUNCTION("if(C132="""","""",iferror(if(row()&lt;&gt;2,INDEX(arrayformula(filter($L$2:$L131,$C$2:$C131&lt;&gt;"""",row($C$2:$C131)=max(if($C$2:$C131=C132,row($C$2:$C131),0)))) ,1),0),0))"),"")</f>
        <v/>
      </c>
      <c r="L132" s="147" t="str">
        <f t="shared" si="14"/>
        <v/>
      </c>
      <c r="M132" s="147" t="str">
        <f t="shared" si="15"/>
        <v/>
      </c>
      <c r="N132" s="147" t="str">
        <f t="shared" si="16"/>
        <v/>
      </c>
      <c r="O132" s="147" t="str">
        <f t="shared" si="6"/>
        <v/>
      </c>
      <c r="P132" s="150" t="str">
        <f t="shared" si="7"/>
        <v/>
      </c>
      <c r="Q132" s="151" t="str">
        <f>IFERROR(VLOOKUP(C132,Ativos!$A$1:$G2000,5,),)</f>
        <v/>
      </c>
    </row>
    <row r="133" ht="21.0" customHeight="1">
      <c r="A133" s="152"/>
      <c r="B133" s="160"/>
      <c r="C133" s="153"/>
      <c r="D133" s="169"/>
      <c r="E133" s="139"/>
      <c r="F133" s="141"/>
      <c r="G133" s="170" t="str">
        <f>IFERROR(__xludf.DUMMYFUNCTION("if($C133="""","""",iferror(if(row()&lt;&gt;2,INDEX(arrayformula(filter($H$2:$H132,$C$2:$C132&lt;&gt;"""",row($C$2:$C132)=max(if($C$2:$C132=C133,row($C$2:$C132),0)))) ,1),0),0))"),"")</f>
        <v/>
      </c>
      <c r="H133" s="170" t="str">
        <f t="shared" si="8"/>
        <v/>
      </c>
      <c r="I133" s="147" t="str">
        <f t="shared" si="1"/>
        <v/>
      </c>
      <c r="J133" s="147" t="str">
        <f t="shared" si="13"/>
        <v/>
      </c>
      <c r="K133" s="147" t="str">
        <f>IFERROR(__xludf.DUMMYFUNCTION("if(C133="""","""",iferror(if(row()&lt;&gt;2,INDEX(arrayformula(filter($L$2:$L132,$C$2:$C132&lt;&gt;"""",row($C$2:$C132)=max(if($C$2:$C132=C133,row($C$2:$C132),0)))) ,1),0),0))"),"")</f>
        <v/>
      </c>
      <c r="L133" s="147" t="str">
        <f t="shared" si="14"/>
        <v/>
      </c>
      <c r="M133" s="147" t="str">
        <f t="shared" si="15"/>
        <v/>
      </c>
      <c r="N133" s="147" t="str">
        <f t="shared" si="16"/>
        <v/>
      </c>
      <c r="O133" s="147" t="str">
        <f t="shared" si="6"/>
        <v/>
      </c>
      <c r="P133" s="150" t="str">
        <f t="shared" si="7"/>
        <v/>
      </c>
      <c r="Q133" s="151" t="str">
        <f>IFERROR(VLOOKUP(C133,Ativos!$A$1:$G2000,5,),)</f>
        <v/>
      </c>
    </row>
    <row r="134" ht="21.0" customHeight="1">
      <c r="A134" s="152"/>
      <c r="B134" s="160"/>
      <c r="C134" s="153"/>
      <c r="D134" s="169"/>
      <c r="E134" s="139"/>
      <c r="F134" s="141"/>
      <c r="G134" s="170" t="str">
        <f>IFERROR(__xludf.DUMMYFUNCTION("if($C134="""","""",iferror(if(row()&lt;&gt;2,INDEX(arrayformula(filter($H$2:$H133,$C$2:$C133&lt;&gt;"""",row($C$2:$C133)=max(if($C$2:$C133=C134,row($C$2:$C133),0)))) ,1),0),0))"),"")</f>
        <v/>
      </c>
      <c r="H134" s="170" t="str">
        <f t="shared" si="8"/>
        <v/>
      </c>
      <c r="I134" s="147" t="str">
        <f t="shared" si="1"/>
        <v/>
      </c>
      <c r="J134" s="147" t="str">
        <f t="shared" si="13"/>
        <v/>
      </c>
      <c r="K134" s="147" t="str">
        <f>IFERROR(__xludf.DUMMYFUNCTION("if(C134="""","""",iferror(if(row()&lt;&gt;2,INDEX(arrayformula(filter($L$2:$L133,$C$2:$C133&lt;&gt;"""",row($C$2:$C133)=max(if($C$2:$C133=C134,row($C$2:$C133),0)))) ,1),0),0))"),"")</f>
        <v/>
      </c>
      <c r="L134" s="147" t="str">
        <f t="shared" si="14"/>
        <v/>
      </c>
      <c r="M134" s="147" t="str">
        <f t="shared" si="15"/>
        <v/>
      </c>
      <c r="N134" s="147" t="str">
        <f t="shared" si="16"/>
        <v/>
      </c>
      <c r="O134" s="147" t="str">
        <f t="shared" si="6"/>
        <v/>
      </c>
      <c r="P134" s="150" t="str">
        <f t="shared" si="7"/>
        <v/>
      </c>
      <c r="Q134" s="151" t="str">
        <f>IFERROR(VLOOKUP(C134,Ativos!$A$1:$G2000,5,),)</f>
        <v/>
      </c>
    </row>
    <row r="135" ht="21.0" customHeight="1">
      <c r="A135" s="152"/>
      <c r="B135" s="160"/>
      <c r="C135" s="153"/>
      <c r="D135" s="169"/>
      <c r="E135" s="139"/>
      <c r="F135" s="141"/>
      <c r="G135" s="170" t="str">
        <f>IFERROR(__xludf.DUMMYFUNCTION("if($C135="""","""",iferror(if(row()&lt;&gt;2,INDEX(arrayformula(filter($H$2:$H134,$C$2:$C134&lt;&gt;"""",row($C$2:$C134)=max(if($C$2:$C134=C135,row($C$2:$C134),0)))) ,1),0),0))"),"")</f>
        <v/>
      </c>
      <c r="H135" s="170" t="str">
        <f t="shared" si="8"/>
        <v/>
      </c>
      <c r="I135" s="147" t="str">
        <f t="shared" si="1"/>
        <v/>
      </c>
      <c r="J135" s="147" t="str">
        <f t="shared" si="13"/>
        <v/>
      </c>
      <c r="K135" s="147" t="str">
        <f>IFERROR(__xludf.DUMMYFUNCTION("if(C135="""","""",iferror(if(row()&lt;&gt;2,INDEX(arrayformula(filter($L$2:$L134,$C$2:$C134&lt;&gt;"""",row($C$2:$C134)=max(if($C$2:$C134=C135,row($C$2:$C134),0)))) ,1),0),0))"),"")</f>
        <v/>
      </c>
      <c r="L135" s="147" t="str">
        <f t="shared" si="14"/>
        <v/>
      </c>
      <c r="M135" s="147" t="str">
        <f t="shared" si="15"/>
        <v/>
      </c>
      <c r="N135" s="147" t="str">
        <f t="shared" si="16"/>
        <v/>
      </c>
      <c r="O135" s="147" t="str">
        <f t="shared" si="6"/>
        <v/>
      </c>
      <c r="P135" s="150" t="str">
        <f t="shared" si="7"/>
        <v/>
      </c>
      <c r="Q135" s="151" t="str">
        <f>IFERROR(VLOOKUP(C135,Ativos!$A$1:$G2000,5,),)</f>
        <v/>
      </c>
    </row>
    <row r="136" ht="21.0" customHeight="1">
      <c r="A136" s="152"/>
      <c r="B136" s="160"/>
      <c r="C136" s="153"/>
      <c r="D136" s="169"/>
      <c r="E136" s="139"/>
      <c r="F136" s="141"/>
      <c r="G136" s="170" t="str">
        <f>IFERROR(__xludf.DUMMYFUNCTION("if($C136="""","""",iferror(if(row()&lt;&gt;2,INDEX(arrayformula(filter($H$2:$H135,$C$2:$C135&lt;&gt;"""",row($C$2:$C135)=max(if($C$2:$C135=C136,row($C$2:$C135),0)))) ,1),0),0))"),"")</f>
        <v/>
      </c>
      <c r="H136" s="170" t="str">
        <f t="shared" si="8"/>
        <v/>
      </c>
      <c r="I136" s="147" t="str">
        <f t="shared" si="1"/>
        <v/>
      </c>
      <c r="J136" s="147" t="str">
        <f t="shared" si="13"/>
        <v/>
      </c>
      <c r="K136" s="147" t="str">
        <f>IFERROR(__xludf.DUMMYFUNCTION("if(C136="""","""",iferror(if(row()&lt;&gt;2,INDEX(arrayformula(filter($L$2:$L135,$C$2:$C135&lt;&gt;"""",row($C$2:$C135)=max(if($C$2:$C135=C136,row($C$2:$C135),0)))) ,1),0),0))"),"")</f>
        <v/>
      </c>
      <c r="L136" s="147" t="str">
        <f t="shared" si="14"/>
        <v/>
      </c>
      <c r="M136" s="147" t="str">
        <f t="shared" si="15"/>
        <v/>
      </c>
      <c r="N136" s="147" t="str">
        <f t="shared" si="16"/>
        <v/>
      </c>
      <c r="O136" s="147" t="str">
        <f t="shared" si="6"/>
        <v/>
      </c>
      <c r="P136" s="150" t="str">
        <f t="shared" si="7"/>
        <v/>
      </c>
      <c r="Q136" s="151" t="str">
        <f>IFERROR(VLOOKUP(C136,Ativos!$A$1:$G2000,5,),)</f>
        <v/>
      </c>
    </row>
    <row r="137" ht="21.0" customHeight="1">
      <c r="A137" s="152"/>
      <c r="B137" s="160"/>
      <c r="C137" s="153"/>
      <c r="D137" s="169"/>
      <c r="E137" s="139"/>
      <c r="F137" s="141"/>
      <c r="G137" s="170" t="str">
        <f>IFERROR(__xludf.DUMMYFUNCTION("if($C137="""","""",iferror(if(row()&lt;&gt;2,INDEX(arrayformula(filter($H$2:$H136,$C$2:$C136&lt;&gt;"""",row($C$2:$C136)=max(if($C$2:$C136=C137,row($C$2:$C136),0)))) ,1),0),0))"),"")</f>
        <v/>
      </c>
      <c r="H137" s="170" t="str">
        <f t="shared" si="8"/>
        <v/>
      </c>
      <c r="I137" s="147" t="str">
        <f t="shared" si="1"/>
        <v/>
      </c>
      <c r="J137" s="147" t="str">
        <f t="shared" si="13"/>
        <v/>
      </c>
      <c r="K137" s="147" t="str">
        <f>IFERROR(__xludf.DUMMYFUNCTION("if(C137="""","""",iferror(if(row()&lt;&gt;2,INDEX(arrayformula(filter($L$2:$L136,$C$2:$C136&lt;&gt;"""",row($C$2:$C136)=max(if($C$2:$C136=C137,row($C$2:$C136),0)))) ,1),0),0))"),"")</f>
        <v/>
      </c>
      <c r="L137" s="147" t="str">
        <f t="shared" si="14"/>
        <v/>
      </c>
      <c r="M137" s="147" t="str">
        <f t="shared" si="15"/>
        <v/>
      </c>
      <c r="N137" s="147" t="str">
        <f t="shared" si="16"/>
        <v/>
      </c>
      <c r="O137" s="147" t="str">
        <f t="shared" si="6"/>
        <v/>
      </c>
      <c r="P137" s="150" t="str">
        <f t="shared" si="7"/>
        <v/>
      </c>
      <c r="Q137" s="151" t="str">
        <f>IFERROR(VLOOKUP(C137,Ativos!$A$1:$G2000,5,),)</f>
        <v/>
      </c>
    </row>
    <row r="138" ht="21.0" customHeight="1">
      <c r="A138" s="152"/>
      <c r="B138" s="160"/>
      <c r="C138" s="153"/>
      <c r="D138" s="169"/>
      <c r="E138" s="139"/>
      <c r="F138" s="141"/>
      <c r="G138" s="170" t="str">
        <f>IFERROR(__xludf.DUMMYFUNCTION("if($C138="""","""",iferror(if(row()&lt;&gt;2,INDEX(arrayformula(filter($H$2:$H137,$C$2:$C137&lt;&gt;"""",row($C$2:$C137)=max(if($C$2:$C137=C138,row($C$2:$C137),0)))) ,1),0),0))"),"")</f>
        <v/>
      </c>
      <c r="H138" s="170" t="str">
        <f t="shared" si="8"/>
        <v/>
      </c>
      <c r="I138" s="147" t="str">
        <f t="shared" si="1"/>
        <v/>
      </c>
      <c r="J138" s="147" t="str">
        <f t="shared" si="13"/>
        <v/>
      </c>
      <c r="K138" s="147" t="str">
        <f>IFERROR(__xludf.DUMMYFUNCTION("if(C138="""","""",iferror(if(row()&lt;&gt;2,INDEX(arrayformula(filter($L$2:$L137,$C$2:$C137&lt;&gt;"""",row($C$2:$C137)=max(if($C$2:$C137=C138,row($C$2:$C137),0)))) ,1),0),0))"),"")</f>
        <v/>
      </c>
      <c r="L138" s="147" t="str">
        <f t="shared" si="14"/>
        <v/>
      </c>
      <c r="M138" s="147" t="str">
        <f t="shared" si="15"/>
        <v/>
      </c>
      <c r="N138" s="147" t="str">
        <f t="shared" si="16"/>
        <v/>
      </c>
      <c r="O138" s="147" t="str">
        <f t="shared" si="6"/>
        <v/>
      </c>
      <c r="P138" s="150" t="str">
        <f t="shared" si="7"/>
        <v/>
      </c>
      <c r="Q138" s="151" t="str">
        <f>IFERROR(VLOOKUP(C138,Ativos!$A$1:$G2000,5,),)</f>
        <v/>
      </c>
    </row>
    <row r="139" ht="21.0" customHeight="1">
      <c r="A139" s="152"/>
      <c r="B139" s="160"/>
      <c r="C139" s="153"/>
      <c r="D139" s="169"/>
      <c r="E139" s="139"/>
      <c r="F139" s="141"/>
      <c r="G139" s="170" t="str">
        <f>IFERROR(__xludf.DUMMYFUNCTION("if($C139="""","""",iferror(if(row()&lt;&gt;2,INDEX(arrayformula(filter($H$2:$H138,$C$2:$C138&lt;&gt;"""",row($C$2:$C138)=max(if($C$2:$C138=C139,row($C$2:$C138),0)))) ,1),0),0))"),"")</f>
        <v/>
      </c>
      <c r="H139" s="170" t="str">
        <f t="shared" si="8"/>
        <v/>
      </c>
      <c r="I139" s="147" t="str">
        <f t="shared" si="1"/>
        <v/>
      </c>
      <c r="J139" s="147" t="str">
        <f t="shared" si="13"/>
        <v/>
      </c>
      <c r="K139" s="147" t="str">
        <f>IFERROR(__xludf.DUMMYFUNCTION("if(C139="""","""",iferror(if(row()&lt;&gt;2,INDEX(arrayformula(filter($L$2:$L138,$C$2:$C138&lt;&gt;"""",row($C$2:$C138)=max(if($C$2:$C138=C139,row($C$2:$C138),0)))) ,1),0),0))"),"")</f>
        <v/>
      </c>
      <c r="L139" s="147" t="str">
        <f t="shared" si="14"/>
        <v/>
      </c>
      <c r="M139" s="147" t="str">
        <f t="shared" si="15"/>
        <v/>
      </c>
      <c r="N139" s="147" t="str">
        <f t="shared" si="16"/>
        <v/>
      </c>
      <c r="O139" s="147" t="str">
        <f t="shared" si="6"/>
        <v/>
      </c>
      <c r="P139" s="150" t="str">
        <f t="shared" si="7"/>
        <v/>
      </c>
      <c r="Q139" s="151" t="str">
        <f>IFERROR(VLOOKUP(C139,Ativos!$A$1:$G2000,5,),)</f>
        <v/>
      </c>
    </row>
    <row r="140" ht="21.0" customHeight="1">
      <c r="A140" s="152"/>
      <c r="B140" s="160"/>
      <c r="C140" s="153"/>
      <c r="D140" s="169"/>
      <c r="E140" s="139"/>
      <c r="F140" s="141"/>
      <c r="G140" s="170" t="str">
        <f>IFERROR(__xludf.DUMMYFUNCTION("if($C140="""","""",iferror(if(row()&lt;&gt;2,INDEX(arrayformula(filter($H$2:$H139,$C$2:$C139&lt;&gt;"""",row($C$2:$C139)=max(if($C$2:$C139=C140,row($C$2:$C139),0)))) ,1),0),0))"),"")</f>
        <v/>
      </c>
      <c r="H140" s="170" t="str">
        <f t="shared" si="8"/>
        <v/>
      </c>
      <c r="I140" s="147" t="str">
        <f t="shared" si="1"/>
        <v/>
      </c>
      <c r="J140" s="147" t="str">
        <f t="shared" si="13"/>
        <v/>
      </c>
      <c r="K140" s="147" t="str">
        <f>IFERROR(__xludf.DUMMYFUNCTION("if(C140="""","""",iferror(if(row()&lt;&gt;2,INDEX(arrayformula(filter($L$2:$L139,$C$2:$C139&lt;&gt;"""",row($C$2:$C139)=max(if($C$2:$C139=C140,row($C$2:$C139),0)))) ,1),0),0))"),"")</f>
        <v/>
      </c>
      <c r="L140" s="147" t="str">
        <f t="shared" si="14"/>
        <v/>
      </c>
      <c r="M140" s="147" t="str">
        <f t="shared" si="15"/>
        <v/>
      </c>
      <c r="N140" s="147" t="str">
        <f t="shared" si="16"/>
        <v/>
      </c>
      <c r="O140" s="147" t="str">
        <f t="shared" si="6"/>
        <v/>
      </c>
      <c r="P140" s="150" t="str">
        <f t="shared" si="7"/>
        <v/>
      </c>
      <c r="Q140" s="151" t="str">
        <f>IFERROR(VLOOKUP(C140,Ativos!$A$1:$G2000,5,),)</f>
        <v/>
      </c>
    </row>
    <row r="141" ht="21.0" customHeight="1">
      <c r="A141" s="152"/>
      <c r="B141" s="160"/>
      <c r="C141" s="153"/>
      <c r="D141" s="169"/>
      <c r="E141" s="139"/>
      <c r="F141" s="141"/>
      <c r="G141" s="170" t="str">
        <f>IFERROR(__xludf.DUMMYFUNCTION("if($C141="""","""",iferror(if(row()&lt;&gt;2,INDEX(arrayformula(filter($H$2:$H140,$C$2:$C140&lt;&gt;"""",row($C$2:$C140)=max(if($C$2:$C140=C141,row($C$2:$C140),0)))) ,1),0),0))"),"")</f>
        <v/>
      </c>
      <c r="H141" s="170" t="str">
        <f t="shared" si="8"/>
        <v/>
      </c>
      <c r="I141" s="147" t="str">
        <f t="shared" si="1"/>
        <v/>
      </c>
      <c r="J141" s="147" t="str">
        <f t="shared" si="13"/>
        <v/>
      </c>
      <c r="K141" s="147" t="str">
        <f>IFERROR(__xludf.DUMMYFUNCTION("if(C141="""","""",iferror(if(row()&lt;&gt;2,INDEX(arrayformula(filter($L$2:$L140,$C$2:$C140&lt;&gt;"""",row($C$2:$C140)=max(if($C$2:$C140=C141,row($C$2:$C140),0)))) ,1),0),0))"),"")</f>
        <v/>
      </c>
      <c r="L141" s="147" t="str">
        <f t="shared" si="14"/>
        <v/>
      </c>
      <c r="M141" s="147" t="str">
        <f t="shared" si="15"/>
        <v/>
      </c>
      <c r="N141" s="147" t="str">
        <f t="shared" si="16"/>
        <v/>
      </c>
      <c r="O141" s="147" t="str">
        <f t="shared" si="6"/>
        <v/>
      </c>
      <c r="P141" s="150" t="str">
        <f t="shared" si="7"/>
        <v/>
      </c>
      <c r="Q141" s="151" t="str">
        <f>IFERROR(VLOOKUP(C141,Ativos!$A$1:$G2000,5,),)</f>
        <v/>
      </c>
    </row>
    <row r="142" ht="21.0" customHeight="1">
      <c r="A142" s="152"/>
      <c r="B142" s="160"/>
      <c r="C142" s="153"/>
      <c r="D142" s="169"/>
      <c r="E142" s="139"/>
      <c r="F142" s="141"/>
      <c r="G142" s="170" t="str">
        <f>IFERROR(__xludf.DUMMYFUNCTION("if($C142="""","""",iferror(if(row()&lt;&gt;2,INDEX(arrayformula(filter($H$2:$H141,$C$2:$C141&lt;&gt;"""",row($C$2:$C141)=max(if($C$2:$C141=C142,row($C$2:$C141),0)))) ,1),0),0))"),"")</f>
        <v/>
      </c>
      <c r="H142" s="170" t="str">
        <f t="shared" si="8"/>
        <v/>
      </c>
      <c r="I142" s="147" t="str">
        <f t="shared" si="1"/>
        <v/>
      </c>
      <c r="J142" s="147" t="str">
        <f t="shared" si="13"/>
        <v/>
      </c>
      <c r="K142" s="147" t="str">
        <f>IFERROR(__xludf.DUMMYFUNCTION("if(C142="""","""",iferror(if(row()&lt;&gt;2,INDEX(arrayformula(filter($L$2:$L141,$C$2:$C141&lt;&gt;"""",row($C$2:$C141)=max(if($C$2:$C141=C142,row($C$2:$C141),0)))) ,1),0),0))"),"")</f>
        <v/>
      </c>
      <c r="L142" s="147" t="str">
        <f t="shared" si="14"/>
        <v/>
      </c>
      <c r="M142" s="147" t="str">
        <f t="shared" si="15"/>
        <v/>
      </c>
      <c r="N142" s="147" t="str">
        <f t="shared" si="16"/>
        <v/>
      </c>
      <c r="O142" s="147" t="str">
        <f t="shared" si="6"/>
        <v/>
      </c>
      <c r="P142" s="150" t="str">
        <f t="shared" si="7"/>
        <v/>
      </c>
      <c r="Q142" s="151" t="str">
        <f>IFERROR(VLOOKUP(C142,Ativos!$A$1:$G2000,5,),)</f>
        <v/>
      </c>
    </row>
    <row r="143" ht="21.0" customHeight="1">
      <c r="A143" s="152"/>
      <c r="B143" s="160"/>
      <c r="C143" s="153"/>
      <c r="D143" s="169"/>
      <c r="E143" s="139"/>
      <c r="F143" s="141"/>
      <c r="G143" s="170" t="str">
        <f>IFERROR(__xludf.DUMMYFUNCTION("if($C143="""","""",iferror(if(row()&lt;&gt;2,INDEX(arrayformula(filter($H$2:$H142,$C$2:$C142&lt;&gt;"""",row($C$2:$C142)=max(if($C$2:$C142=C143,row($C$2:$C142),0)))) ,1),0),0))"),"")</f>
        <v/>
      </c>
      <c r="H143" s="170" t="str">
        <f t="shared" si="8"/>
        <v/>
      </c>
      <c r="I143" s="147" t="str">
        <f t="shared" si="1"/>
        <v/>
      </c>
      <c r="J143" s="147" t="str">
        <f t="shared" si="13"/>
        <v/>
      </c>
      <c r="K143" s="147" t="str">
        <f>IFERROR(__xludf.DUMMYFUNCTION("if(C143="""","""",iferror(if(row()&lt;&gt;2,INDEX(arrayformula(filter($L$2:$L142,$C$2:$C142&lt;&gt;"""",row($C$2:$C142)=max(if($C$2:$C142=C143,row($C$2:$C142),0)))) ,1),0),0))"),"")</f>
        <v/>
      </c>
      <c r="L143" s="147" t="str">
        <f t="shared" si="14"/>
        <v/>
      </c>
      <c r="M143" s="147" t="str">
        <f t="shared" si="15"/>
        <v/>
      </c>
      <c r="N143" s="147" t="str">
        <f t="shared" si="16"/>
        <v/>
      </c>
      <c r="O143" s="147" t="str">
        <f t="shared" si="6"/>
        <v/>
      </c>
      <c r="P143" s="150" t="str">
        <f t="shared" si="7"/>
        <v/>
      </c>
      <c r="Q143" s="151" t="str">
        <f>IFERROR(VLOOKUP(C143,Ativos!$A$1:$G2000,5,),)</f>
        <v/>
      </c>
    </row>
    <row r="144" ht="21.0" customHeight="1">
      <c r="A144" s="152"/>
      <c r="B144" s="160"/>
      <c r="C144" s="153"/>
      <c r="D144" s="169"/>
      <c r="E144" s="139"/>
      <c r="F144" s="141"/>
      <c r="G144" s="170" t="str">
        <f>IFERROR(__xludf.DUMMYFUNCTION("if($C144="""","""",iferror(if(row()&lt;&gt;2,INDEX(arrayformula(filter($H$2:$H143,$C$2:$C143&lt;&gt;"""",row($C$2:$C143)=max(if($C$2:$C143=C144,row($C$2:$C143),0)))) ,1),0),0))"),"")</f>
        <v/>
      </c>
      <c r="H144" s="170" t="str">
        <f t="shared" si="8"/>
        <v/>
      </c>
      <c r="I144" s="147" t="str">
        <f t="shared" si="1"/>
        <v/>
      </c>
      <c r="J144" s="147" t="str">
        <f t="shared" si="13"/>
        <v/>
      </c>
      <c r="K144" s="147" t="str">
        <f>IFERROR(__xludf.DUMMYFUNCTION("if(C144="""","""",iferror(if(row()&lt;&gt;2,INDEX(arrayformula(filter($L$2:$L143,$C$2:$C143&lt;&gt;"""",row($C$2:$C143)=max(if($C$2:$C143=C144,row($C$2:$C143),0)))) ,1),0),0))"),"")</f>
        <v/>
      </c>
      <c r="L144" s="147" t="str">
        <f t="shared" si="14"/>
        <v/>
      </c>
      <c r="M144" s="147" t="str">
        <f t="shared" si="15"/>
        <v/>
      </c>
      <c r="N144" s="147" t="str">
        <f t="shared" si="16"/>
        <v/>
      </c>
      <c r="O144" s="147" t="str">
        <f t="shared" si="6"/>
        <v/>
      </c>
      <c r="P144" s="150" t="str">
        <f t="shared" si="7"/>
        <v/>
      </c>
      <c r="Q144" s="151" t="str">
        <f>IFERROR(VLOOKUP(C144,Ativos!$A$1:$G2000,5,),)</f>
        <v/>
      </c>
    </row>
    <row r="145" ht="21.0" customHeight="1">
      <c r="A145" s="152"/>
      <c r="B145" s="160"/>
      <c r="C145" s="153"/>
      <c r="D145" s="169"/>
      <c r="E145" s="139"/>
      <c r="F145" s="141"/>
      <c r="G145" s="170" t="str">
        <f>IFERROR(__xludf.DUMMYFUNCTION("if($C145="""","""",iferror(if(row()&lt;&gt;2,INDEX(arrayformula(filter($H$2:$H144,$C$2:$C144&lt;&gt;"""",row($C$2:$C144)=max(if($C$2:$C144=C145,row($C$2:$C144),0)))) ,1),0),0))"),"")</f>
        <v/>
      </c>
      <c r="H145" s="170" t="str">
        <f t="shared" si="8"/>
        <v/>
      </c>
      <c r="I145" s="147" t="str">
        <f t="shared" si="1"/>
        <v/>
      </c>
      <c r="J145" s="147" t="str">
        <f t="shared" si="13"/>
        <v/>
      </c>
      <c r="K145" s="147" t="str">
        <f>IFERROR(__xludf.DUMMYFUNCTION("if(C145="""","""",iferror(if(row()&lt;&gt;2,INDEX(arrayformula(filter($L$2:$L144,$C$2:$C144&lt;&gt;"""",row($C$2:$C144)=max(if($C$2:$C144=C145,row($C$2:$C144),0)))) ,1),0),0))"),"")</f>
        <v/>
      </c>
      <c r="L145" s="147" t="str">
        <f t="shared" si="14"/>
        <v/>
      </c>
      <c r="M145" s="147" t="str">
        <f t="shared" si="15"/>
        <v/>
      </c>
      <c r="N145" s="147" t="str">
        <f t="shared" si="16"/>
        <v/>
      </c>
      <c r="O145" s="147" t="str">
        <f t="shared" si="6"/>
        <v/>
      </c>
      <c r="P145" s="150" t="str">
        <f t="shared" si="7"/>
        <v/>
      </c>
      <c r="Q145" s="151" t="str">
        <f>IFERROR(VLOOKUP(C145,Ativos!$A$1:$G2000,5,),)</f>
        <v/>
      </c>
    </row>
    <row r="146" ht="21.0" customHeight="1">
      <c r="A146" s="152"/>
      <c r="B146" s="160"/>
      <c r="C146" s="153"/>
      <c r="D146" s="169"/>
      <c r="E146" s="139"/>
      <c r="F146" s="141"/>
      <c r="G146" s="170" t="str">
        <f>IFERROR(__xludf.DUMMYFUNCTION("if($C146="""","""",iferror(if(row()&lt;&gt;2,INDEX(arrayformula(filter($H$2:$H145,$C$2:$C145&lt;&gt;"""",row($C$2:$C145)=max(if($C$2:$C145=C146,row($C$2:$C145),0)))) ,1),0),0))"),"")</f>
        <v/>
      </c>
      <c r="H146" s="170" t="str">
        <f t="shared" si="8"/>
        <v/>
      </c>
      <c r="I146" s="147" t="str">
        <f t="shared" si="1"/>
        <v/>
      </c>
      <c r="J146" s="147" t="str">
        <f t="shared" si="13"/>
        <v/>
      </c>
      <c r="K146" s="147" t="str">
        <f>IFERROR(__xludf.DUMMYFUNCTION("if(C146="""","""",iferror(if(row()&lt;&gt;2,INDEX(arrayformula(filter($L$2:$L145,$C$2:$C145&lt;&gt;"""",row($C$2:$C145)=max(if($C$2:$C145=C146,row($C$2:$C145),0)))) ,1),0),0))"),"")</f>
        <v/>
      </c>
      <c r="L146" s="147" t="str">
        <f t="shared" si="14"/>
        <v/>
      </c>
      <c r="M146" s="147" t="str">
        <f t="shared" si="15"/>
        <v/>
      </c>
      <c r="N146" s="147" t="str">
        <f t="shared" si="16"/>
        <v/>
      </c>
      <c r="O146" s="147" t="str">
        <f t="shared" si="6"/>
        <v/>
      </c>
      <c r="P146" s="150" t="str">
        <f t="shared" si="7"/>
        <v/>
      </c>
      <c r="Q146" s="151" t="str">
        <f>IFERROR(VLOOKUP(C146,Ativos!$A$1:$G2000,5,),)</f>
        <v/>
      </c>
    </row>
    <row r="147" ht="21.0" customHeight="1">
      <c r="A147" s="152"/>
      <c r="B147" s="160"/>
      <c r="C147" s="153"/>
      <c r="D147" s="169"/>
      <c r="E147" s="139"/>
      <c r="F147" s="141"/>
      <c r="G147" s="170" t="str">
        <f>IFERROR(__xludf.DUMMYFUNCTION("if($C147="""","""",iferror(if(row()&lt;&gt;2,INDEX(arrayformula(filter($H$2:$H146,$C$2:$C146&lt;&gt;"""",row($C$2:$C146)=max(if($C$2:$C146=C147,row($C$2:$C146),0)))) ,1),0),0))"),"")</f>
        <v/>
      </c>
      <c r="H147" s="170" t="str">
        <f t="shared" si="8"/>
        <v/>
      </c>
      <c r="I147" s="147" t="str">
        <f t="shared" si="1"/>
        <v/>
      </c>
      <c r="J147" s="147" t="str">
        <f t="shared" si="13"/>
        <v/>
      </c>
      <c r="K147" s="147" t="str">
        <f>IFERROR(__xludf.DUMMYFUNCTION("if(C147="""","""",iferror(if(row()&lt;&gt;2,INDEX(arrayformula(filter($L$2:$L146,$C$2:$C146&lt;&gt;"""",row($C$2:$C146)=max(if($C$2:$C146=C147,row($C$2:$C146),0)))) ,1),0),0))"),"")</f>
        <v/>
      </c>
      <c r="L147" s="147" t="str">
        <f t="shared" si="14"/>
        <v/>
      </c>
      <c r="M147" s="147" t="str">
        <f t="shared" si="15"/>
        <v/>
      </c>
      <c r="N147" s="147" t="str">
        <f t="shared" si="16"/>
        <v/>
      </c>
      <c r="O147" s="147" t="str">
        <f t="shared" si="6"/>
        <v/>
      </c>
      <c r="P147" s="150" t="str">
        <f t="shared" si="7"/>
        <v/>
      </c>
      <c r="Q147" s="151" t="str">
        <f>IFERROR(VLOOKUP(C147,Ativos!$A$1:$G2000,5,),)</f>
        <v/>
      </c>
    </row>
    <row r="148" ht="21.0" customHeight="1">
      <c r="A148" s="152"/>
      <c r="B148" s="160"/>
      <c r="C148" s="153"/>
      <c r="D148" s="169"/>
      <c r="E148" s="139"/>
      <c r="F148" s="141"/>
      <c r="G148" s="170" t="str">
        <f>IFERROR(__xludf.DUMMYFUNCTION("if($C148="""","""",iferror(if(row()&lt;&gt;2,INDEX(arrayformula(filter($H$2:$H147,$C$2:$C147&lt;&gt;"""",row($C$2:$C147)=max(if($C$2:$C147=C148,row($C$2:$C147),0)))) ,1),0),0))"),"")</f>
        <v/>
      </c>
      <c r="H148" s="170" t="str">
        <f t="shared" si="8"/>
        <v/>
      </c>
      <c r="I148" s="147" t="str">
        <f t="shared" si="1"/>
        <v/>
      </c>
      <c r="J148" s="147" t="str">
        <f t="shared" si="13"/>
        <v/>
      </c>
      <c r="K148" s="147" t="str">
        <f>IFERROR(__xludf.DUMMYFUNCTION("if(C148="""","""",iferror(if(row()&lt;&gt;2,INDEX(arrayformula(filter($L$2:$L147,$C$2:$C147&lt;&gt;"""",row($C$2:$C147)=max(if($C$2:$C147=C148,row($C$2:$C147),0)))) ,1),0),0))"),"")</f>
        <v/>
      </c>
      <c r="L148" s="147" t="str">
        <f t="shared" si="14"/>
        <v/>
      </c>
      <c r="M148" s="147" t="str">
        <f t="shared" si="15"/>
        <v/>
      </c>
      <c r="N148" s="147" t="str">
        <f t="shared" si="16"/>
        <v/>
      </c>
      <c r="O148" s="147" t="str">
        <f t="shared" si="6"/>
        <v/>
      </c>
      <c r="P148" s="150" t="str">
        <f t="shared" si="7"/>
        <v/>
      </c>
      <c r="Q148" s="151" t="str">
        <f>IFERROR(VLOOKUP(C148,Ativos!$A$1:$G2000,5,),)</f>
        <v/>
      </c>
    </row>
    <row r="149" ht="21.0" customHeight="1">
      <c r="A149" s="152"/>
      <c r="B149" s="160"/>
      <c r="C149" s="153"/>
      <c r="D149" s="169"/>
      <c r="E149" s="139"/>
      <c r="F149" s="141"/>
      <c r="G149" s="170" t="str">
        <f>IFERROR(__xludf.DUMMYFUNCTION("if($C149="""","""",iferror(if(row()&lt;&gt;2,INDEX(arrayformula(filter($H$2:$H148,$C$2:$C148&lt;&gt;"""",row($C$2:$C148)=max(if($C$2:$C148=C149,row($C$2:$C148),0)))) ,1),0),0))"),"")</f>
        <v/>
      </c>
      <c r="H149" s="170" t="str">
        <f t="shared" si="8"/>
        <v/>
      </c>
      <c r="I149" s="147" t="str">
        <f t="shared" si="1"/>
        <v/>
      </c>
      <c r="J149" s="147" t="str">
        <f t="shared" si="13"/>
        <v/>
      </c>
      <c r="K149" s="147" t="str">
        <f>IFERROR(__xludf.DUMMYFUNCTION("if(C149="""","""",iferror(if(row()&lt;&gt;2,INDEX(arrayformula(filter($L$2:$L148,$C$2:$C148&lt;&gt;"""",row($C$2:$C148)=max(if($C$2:$C148=C149,row($C$2:$C148),0)))) ,1),0),0))"),"")</f>
        <v/>
      </c>
      <c r="L149" s="147" t="str">
        <f t="shared" si="14"/>
        <v/>
      </c>
      <c r="M149" s="147" t="str">
        <f t="shared" si="15"/>
        <v/>
      </c>
      <c r="N149" s="147" t="str">
        <f t="shared" si="16"/>
        <v/>
      </c>
      <c r="O149" s="147" t="str">
        <f t="shared" si="6"/>
        <v/>
      </c>
      <c r="P149" s="150" t="str">
        <f t="shared" si="7"/>
        <v/>
      </c>
      <c r="Q149" s="151" t="str">
        <f>IFERROR(VLOOKUP(C149,Ativos!$A$1:$G2000,5,),)</f>
        <v/>
      </c>
    </row>
    <row r="150" ht="21.0" customHeight="1">
      <c r="A150" s="152"/>
      <c r="B150" s="160"/>
      <c r="C150" s="153"/>
      <c r="D150" s="169"/>
      <c r="E150" s="139"/>
      <c r="F150" s="141"/>
      <c r="G150" s="170" t="str">
        <f>IFERROR(__xludf.DUMMYFUNCTION("if($C150="""","""",iferror(if(row()&lt;&gt;2,INDEX(arrayformula(filter($H$2:$H149,$C$2:$C149&lt;&gt;"""",row($C$2:$C149)=max(if($C$2:$C149=C150,row($C$2:$C149),0)))) ,1),0),0))"),"")</f>
        <v/>
      </c>
      <c r="H150" s="170" t="str">
        <f t="shared" si="8"/>
        <v/>
      </c>
      <c r="I150" s="147" t="str">
        <f t="shared" si="1"/>
        <v/>
      </c>
      <c r="J150" s="147" t="str">
        <f t="shared" si="13"/>
        <v/>
      </c>
      <c r="K150" s="147" t="str">
        <f>IFERROR(__xludf.DUMMYFUNCTION("if(C150="""","""",iferror(if(row()&lt;&gt;2,INDEX(arrayformula(filter($L$2:$L149,$C$2:$C149&lt;&gt;"""",row($C$2:$C149)=max(if($C$2:$C149=C150,row($C$2:$C149),0)))) ,1),0),0))"),"")</f>
        <v/>
      </c>
      <c r="L150" s="147" t="str">
        <f t="shared" si="14"/>
        <v/>
      </c>
      <c r="M150" s="147" t="str">
        <f t="shared" si="15"/>
        <v/>
      </c>
      <c r="N150" s="147" t="str">
        <f t="shared" si="16"/>
        <v/>
      </c>
      <c r="O150" s="147" t="str">
        <f t="shared" si="6"/>
        <v/>
      </c>
      <c r="P150" s="150" t="str">
        <f t="shared" si="7"/>
        <v/>
      </c>
      <c r="Q150" s="151" t="str">
        <f>IFERROR(VLOOKUP(C150,Ativos!$A$1:$G2000,5,),)</f>
        <v/>
      </c>
    </row>
    <row r="151" ht="21.0" customHeight="1">
      <c r="A151" s="152"/>
      <c r="B151" s="160"/>
      <c r="C151" s="153"/>
      <c r="D151" s="169"/>
      <c r="E151" s="139"/>
      <c r="F151" s="141"/>
      <c r="G151" s="170" t="str">
        <f>IFERROR(__xludf.DUMMYFUNCTION("if($C151="""","""",iferror(if(row()&lt;&gt;2,INDEX(arrayformula(filter($H$2:$H150,$C$2:$C150&lt;&gt;"""",row($C$2:$C150)=max(if($C$2:$C150=C151,row($C$2:$C150),0)))) ,1),0),0))"),"")</f>
        <v/>
      </c>
      <c r="H151" s="170" t="str">
        <f t="shared" si="8"/>
        <v/>
      </c>
      <c r="I151" s="147" t="str">
        <f t="shared" si="1"/>
        <v/>
      </c>
      <c r="J151" s="147" t="str">
        <f t="shared" si="13"/>
        <v/>
      </c>
      <c r="K151" s="147" t="str">
        <f>IFERROR(__xludf.DUMMYFUNCTION("if(C151="""","""",iferror(if(row()&lt;&gt;2,INDEX(arrayformula(filter($L$2:$L150,$C$2:$C150&lt;&gt;"""",row($C$2:$C150)=max(if($C$2:$C150=C151,row($C$2:$C150),0)))) ,1),0),0))"),"")</f>
        <v/>
      </c>
      <c r="L151" s="147" t="str">
        <f t="shared" si="14"/>
        <v/>
      </c>
      <c r="M151" s="147" t="str">
        <f t="shared" si="15"/>
        <v/>
      </c>
      <c r="N151" s="147" t="str">
        <f t="shared" si="16"/>
        <v/>
      </c>
      <c r="O151" s="147" t="str">
        <f t="shared" si="6"/>
        <v/>
      </c>
      <c r="P151" s="150" t="str">
        <f t="shared" si="7"/>
        <v/>
      </c>
      <c r="Q151" s="151" t="str">
        <f>IFERROR(VLOOKUP(C151,Ativos!$A$1:$G2000,5,),)</f>
        <v/>
      </c>
    </row>
    <row r="152" ht="21.0" customHeight="1">
      <c r="A152" s="152"/>
      <c r="B152" s="160"/>
      <c r="C152" s="153"/>
      <c r="D152" s="169"/>
      <c r="E152" s="139"/>
      <c r="F152" s="141"/>
      <c r="G152" s="170" t="str">
        <f>IFERROR(__xludf.DUMMYFUNCTION("if($C152="""","""",iferror(if(row()&lt;&gt;2,INDEX(arrayformula(filter($H$2:$H151,$C$2:$C151&lt;&gt;"""",row($C$2:$C151)=max(if($C$2:$C151=C152,row($C$2:$C151),0)))) ,1),0),0))"),"")</f>
        <v/>
      </c>
      <c r="H152" s="170" t="str">
        <f t="shared" si="8"/>
        <v/>
      </c>
      <c r="I152" s="147" t="str">
        <f t="shared" si="1"/>
        <v/>
      </c>
      <c r="J152" s="147" t="str">
        <f t="shared" si="13"/>
        <v/>
      </c>
      <c r="K152" s="147" t="str">
        <f>IFERROR(__xludf.DUMMYFUNCTION("if(C152="""","""",iferror(if(row()&lt;&gt;2,INDEX(arrayformula(filter($L$2:$L151,$C$2:$C151&lt;&gt;"""",row($C$2:$C151)=max(if($C$2:$C151=C152,row($C$2:$C151),0)))) ,1),0),0))"),"")</f>
        <v/>
      </c>
      <c r="L152" s="147" t="str">
        <f t="shared" si="14"/>
        <v/>
      </c>
      <c r="M152" s="147" t="str">
        <f t="shared" si="15"/>
        <v/>
      </c>
      <c r="N152" s="147" t="str">
        <f t="shared" si="16"/>
        <v/>
      </c>
      <c r="O152" s="147" t="str">
        <f t="shared" si="6"/>
        <v/>
      </c>
      <c r="P152" s="150" t="str">
        <f t="shared" si="7"/>
        <v/>
      </c>
      <c r="Q152" s="151" t="str">
        <f>IFERROR(VLOOKUP(C152,Ativos!$A$1:$G2000,5,),)</f>
        <v/>
      </c>
    </row>
    <row r="153" ht="21.0" customHeight="1">
      <c r="A153" s="152"/>
      <c r="B153" s="160"/>
      <c r="C153" s="153"/>
      <c r="D153" s="169"/>
      <c r="E153" s="139"/>
      <c r="F153" s="141"/>
      <c r="G153" s="170" t="str">
        <f>IFERROR(__xludf.DUMMYFUNCTION("if($C153="""","""",iferror(if(row()&lt;&gt;2,INDEX(arrayformula(filter($H$2:$H152,$C$2:$C152&lt;&gt;"""",row($C$2:$C152)=max(if($C$2:$C152=C153,row($C$2:$C152),0)))) ,1),0),0))"),"")</f>
        <v/>
      </c>
      <c r="H153" s="170" t="str">
        <f t="shared" si="8"/>
        <v/>
      </c>
      <c r="I153" s="147" t="str">
        <f t="shared" si="1"/>
        <v/>
      </c>
      <c r="J153" s="147" t="str">
        <f t="shared" si="13"/>
        <v/>
      </c>
      <c r="K153" s="147" t="str">
        <f>IFERROR(__xludf.DUMMYFUNCTION("if(C153="""","""",iferror(if(row()&lt;&gt;2,INDEX(arrayformula(filter($L$2:$L152,$C$2:$C152&lt;&gt;"""",row($C$2:$C152)=max(if($C$2:$C152=C153,row($C$2:$C152),0)))) ,1),0),0))"),"")</f>
        <v/>
      </c>
      <c r="L153" s="147" t="str">
        <f t="shared" si="14"/>
        <v/>
      </c>
      <c r="M153" s="147" t="str">
        <f t="shared" si="15"/>
        <v/>
      </c>
      <c r="N153" s="147" t="str">
        <f t="shared" si="16"/>
        <v/>
      </c>
      <c r="O153" s="147" t="str">
        <f t="shared" si="6"/>
        <v/>
      </c>
      <c r="P153" s="150" t="str">
        <f t="shared" si="7"/>
        <v/>
      </c>
      <c r="Q153" s="151" t="str">
        <f>IFERROR(VLOOKUP(C153,Ativos!$A$1:$G2000,5,),)</f>
        <v/>
      </c>
    </row>
    <row r="154" ht="21.0" customHeight="1">
      <c r="A154" s="152"/>
      <c r="B154" s="160"/>
      <c r="C154" s="153"/>
      <c r="D154" s="169"/>
      <c r="E154" s="139"/>
      <c r="F154" s="141"/>
      <c r="G154" s="170" t="str">
        <f>IFERROR(__xludf.DUMMYFUNCTION("if($C154="""","""",iferror(if(row()&lt;&gt;2,INDEX(arrayformula(filter($H$2:$H153,$C$2:$C153&lt;&gt;"""",row($C$2:$C153)=max(if($C$2:$C153=C154,row($C$2:$C153),0)))) ,1),0),0))"),"")</f>
        <v/>
      </c>
      <c r="H154" s="170" t="str">
        <f t="shared" si="8"/>
        <v/>
      </c>
      <c r="I154" s="147" t="str">
        <f t="shared" si="1"/>
        <v/>
      </c>
      <c r="J154" s="147" t="str">
        <f t="shared" si="13"/>
        <v/>
      </c>
      <c r="K154" s="147" t="str">
        <f>IFERROR(__xludf.DUMMYFUNCTION("if(C154="""","""",iferror(if(row()&lt;&gt;2,INDEX(arrayformula(filter($L$2:$L153,$C$2:$C153&lt;&gt;"""",row($C$2:$C153)=max(if($C$2:$C153=C154,row($C$2:$C153),0)))) ,1),0),0))"),"")</f>
        <v/>
      </c>
      <c r="L154" s="147" t="str">
        <f t="shared" si="14"/>
        <v/>
      </c>
      <c r="M154" s="147" t="str">
        <f t="shared" si="15"/>
        <v/>
      </c>
      <c r="N154" s="147" t="str">
        <f t="shared" si="16"/>
        <v/>
      </c>
      <c r="O154" s="147" t="str">
        <f t="shared" si="6"/>
        <v/>
      </c>
      <c r="P154" s="150" t="str">
        <f t="shared" si="7"/>
        <v/>
      </c>
      <c r="Q154" s="151" t="str">
        <f>IFERROR(VLOOKUP(C154,Ativos!$A$1:$G2000,5,),)</f>
        <v/>
      </c>
    </row>
    <row r="155" ht="21.0" customHeight="1">
      <c r="A155" s="152"/>
      <c r="B155" s="160"/>
      <c r="C155" s="153"/>
      <c r="D155" s="169"/>
      <c r="E155" s="139"/>
      <c r="F155" s="141"/>
      <c r="G155" s="170" t="str">
        <f>IFERROR(__xludf.DUMMYFUNCTION("if($C155="""","""",iferror(if(row()&lt;&gt;2,INDEX(arrayformula(filter($H$2:$H154,$C$2:$C154&lt;&gt;"""",row($C$2:$C154)=max(if($C$2:$C154=C155,row($C$2:$C154),0)))) ,1),0),0))"),"")</f>
        <v/>
      </c>
      <c r="H155" s="170" t="str">
        <f t="shared" si="8"/>
        <v/>
      </c>
      <c r="I155" s="147" t="str">
        <f t="shared" si="1"/>
        <v/>
      </c>
      <c r="J155" s="147" t="str">
        <f t="shared" si="13"/>
        <v/>
      </c>
      <c r="K155" s="147" t="str">
        <f>IFERROR(__xludf.DUMMYFUNCTION("if(C155="""","""",iferror(if(row()&lt;&gt;2,INDEX(arrayformula(filter($L$2:$L154,$C$2:$C154&lt;&gt;"""",row($C$2:$C154)=max(if($C$2:$C154=C155,row($C$2:$C154),0)))) ,1),0),0))"),"")</f>
        <v/>
      </c>
      <c r="L155" s="147" t="str">
        <f t="shared" si="14"/>
        <v/>
      </c>
      <c r="M155" s="147" t="str">
        <f t="shared" si="15"/>
        <v/>
      </c>
      <c r="N155" s="147" t="str">
        <f t="shared" si="16"/>
        <v/>
      </c>
      <c r="O155" s="147" t="str">
        <f t="shared" si="6"/>
        <v/>
      </c>
      <c r="P155" s="150" t="str">
        <f t="shared" si="7"/>
        <v/>
      </c>
      <c r="Q155" s="151" t="str">
        <f>IFERROR(VLOOKUP(C155,Ativos!$A$1:$G2000,5,),)</f>
        <v/>
      </c>
    </row>
    <row r="156" ht="21.0" customHeight="1">
      <c r="A156" s="152"/>
      <c r="B156" s="160"/>
      <c r="C156" s="153"/>
      <c r="D156" s="169"/>
      <c r="E156" s="139"/>
      <c r="F156" s="141"/>
      <c r="G156" s="170" t="str">
        <f>IFERROR(__xludf.DUMMYFUNCTION("if($C156="""","""",iferror(if(row()&lt;&gt;2,INDEX(arrayformula(filter($H$2:$H155,$C$2:$C155&lt;&gt;"""",row($C$2:$C155)=max(if($C$2:$C155=C156,row($C$2:$C155),0)))) ,1),0),0))"),"")</f>
        <v/>
      </c>
      <c r="H156" s="170" t="str">
        <f t="shared" si="8"/>
        <v/>
      </c>
      <c r="I156" s="147" t="str">
        <f t="shared" si="1"/>
        <v/>
      </c>
      <c r="J156" s="147" t="str">
        <f t="shared" si="13"/>
        <v/>
      </c>
      <c r="K156" s="147" t="str">
        <f>IFERROR(__xludf.DUMMYFUNCTION("if(C156="""","""",iferror(if(row()&lt;&gt;2,INDEX(arrayformula(filter($L$2:$L155,$C$2:$C155&lt;&gt;"""",row($C$2:$C155)=max(if($C$2:$C155=C156,row($C$2:$C155),0)))) ,1),0),0))"),"")</f>
        <v/>
      </c>
      <c r="L156" s="147" t="str">
        <f t="shared" si="14"/>
        <v/>
      </c>
      <c r="M156" s="147" t="str">
        <f t="shared" si="15"/>
        <v/>
      </c>
      <c r="N156" s="147" t="str">
        <f t="shared" si="16"/>
        <v/>
      </c>
      <c r="O156" s="147" t="str">
        <f t="shared" si="6"/>
        <v/>
      </c>
      <c r="P156" s="150" t="str">
        <f t="shared" si="7"/>
        <v/>
      </c>
      <c r="Q156" s="151" t="str">
        <f>IFERROR(VLOOKUP(C156,Ativos!$A$1:$G2000,5,),)</f>
        <v/>
      </c>
    </row>
    <row r="157" ht="21.0" customHeight="1">
      <c r="A157" s="152"/>
      <c r="B157" s="160"/>
      <c r="C157" s="153"/>
      <c r="D157" s="169"/>
      <c r="E157" s="139"/>
      <c r="F157" s="141"/>
      <c r="G157" s="170" t="str">
        <f>IFERROR(__xludf.DUMMYFUNCTION("if($C157="""","""",iferror(if(row()&lt;&gt;2,INDEX(arrayformula(filter($H$2:$H156,$C$2:$C156&lt;&gt;"""",row($C$2:$C156)=max(if($C$2:$C156=C157,row($C$2:$C156),0)))) ,1),0),0))"),"")</f>
        <v/>
      </c>
      <c r="H157" s="170" t="str">
        <f t="shared" si="8"/>
        <v/>
      </c>
      <c r="I157" s="147" t="str">
        <f t="shared" si="1"/>
        <v/>
      </c>
      <c r="J157" s="147" t="str">
        <f t="shared" si="13"/>
        <v/>
      </c>
      <c r="K157" s="147" t="str">
        <f>IFERROR(__xludf.DUMMYFUNCTION("if(C157="""","""",iferror(if(row()&lt;&gt;2,INDEX(arrayformula(filter($L$2:$L156,$C$2:$C156&lt;&gt;"""",row($C$2:$C156)=max(if($C$2:$C156=C157,row($C$2:$C156),0)))) ,1),0),0))"),"")</f>
        <v/>
      </c>
      <c r="L157" s="147" t="str">
        <f t="shared" si="14"/>
        <v/>
      </c>
      <c r="M157" s="147" t="str">
        <f t="shared" si="15"/>
        <v/>
      </c>
      <c r="N157" s="147" t="str">
        <f t="shared" si="16"/>
        <v/>
      </c>
      <c r="O157" s="147" t="str">
        <f t="shared" si="6"/>
        <v/>
      </c>
      <c r="P157" s="150" t="str">
        <f t="shared" si="7"/>
        <v/>
      </c>
      <c r="Q157" s="151" t="str">
        <f>IFERROR(VLOOKUP(C157,Ativos!$A$1:$G2000,5,),)</f>
        <v/>
      </c>
    </row>
    <row r="158" ht="21.0" customHeight="1">
      <c r="A158" s="152"/>
      <c r="B158" s="160"/>
      <c r="C158" s="153"/>
      <c r="D158" s="169"/>
      <c r="E158" s="139"/>
      <c r="F158" s="141"/>
      <c r="G158" s="170" t="str">
        <f>IFERROR(__xludf.DUMMYFUNCTION("if($C158="""","""",iferror(if(row()&lt;&gt;2,INDEX(arrayformula(filter($H$2:$H157,$C$2:$C157&lt;&gt;"""",row($C$2:$C157)=max(if($C$2:$C157=C158,row($C$2:$C157),0)))) ,1),0),0))"),"")</f>
        <v/>
      </c>
      <c r="H158" s="170" t="str">
        <f t="shared" si="8"/>
        <v/>
      </c>
      <c r="I158" s="147" t="str">
        <f t="shared" si="1"/>
        <v/>
      </c>
      <c r="J158" s="147" t="str">
        <f t="shared" si="13"/>
        <v/>
      </c>
      <c r="K158" s="147" t="str">
        <f>IFERROR(__xludf.DUMMYFUNCTION("if(C158="""","""",iferror(if(row()&lt;&gt;2,INDEX(arrayformula(filter($L$2:$L157,$C$2:$C157&lt;&gt;"""",row($C$2:$C157)=max(if($C$2:$C157=C158,row($C$2:$C157),0)))) ,1),0),0))"),"")</f>
        <v/>
      </c>
      <c r="L158" s="147" t="str">
        <f t="shared" si="14"/>
        <v/>
      </c>
      <c r="M158" s="147" t="str">
        <f t="shared" si="15"/>
        <v/>
      </c>
      <c r="N158" s="147" t="str">
        <f t="shared" si="16"/>
        <v/>
      </c>
      <c r="O158" s="147" t="str">
        <f t="shared" si="6"/>
        <v/>
      </c>
      <c r="P158" s="150" t="str">
        <f t="shared" si="7"/>
        <v/>
      </c>
      <c r="Q158" s="151" t="str">
        <f>IFERROR(VLOOKUP(C158,Ativos!$A$1:$G2000,5,),)</f>
        <v/>
      </c>
    </row>
    <row r="159" ht="21.0" customHeight="1">
      <c r="A159" s="152"/>
      <c r="B159" s="160"/>
      <c r="C159" s="153"/>
      <c r="D159" s="169"/>
      <c r="E159" s="139"/>
      <c r="F159" s="141"/>
      <c r="G159" s="170" t="str">
        <f>IFERROR(__xludf.DUMMYFUNCTION("if($C159="""","""",iferror(if(row()&lt;&gt;2,INDEX(arrayformula(filter($H$2:$H158,$C$2:$C158&lt;&gt;"""",row($C$2:$C158)=max(if($C$2:$C158=C159,row($C$2:$C158),0)))) ,1),0),0))"),"")</f>
        <v/>
      </c>
      <c r="H159" s="170" t="str">
        <f t="shared" si="8"/>
        <v/>
      </c>
      <c r="I159" s="147" t="str">
        <f t="shared" si="1"/>
        <v/>
      </c>
      <c r="J159" s="147" t="str">
        <f t="shared" si="13"/>
        <v/>
      </c>
      <c r="K159" s="147" t="str">
        <f>IFERROR(__xludf.DUMMYFUNCTION("if(C159="""","""",iferror(if(row()&lt;&gt;2,INDEX(arrayformula(filter($L$2:$L158,$C$2:$C158&lt;&gt;"""",row($C$2:$C158)=max(if($C$2:$C158=C159,row($C$2:$C158),0)))) ,1),0),0))"),"")</f>
        <v/>
      </c>
      <c r="L159" s="147" t="str">
        <f t="shared" si="14"/>
        <v/>
      </c>
      <c r="M159" s="147" t="str">
        <f t="shared" si="15"/>
        <v/>
      </c>
      <c r="N159" s="147" t="str">
        <f t="shared" si="16"/>
        <v/>
      </c>
      <c r="O159" s="147" t="str">
        <f t="shared" si="6"/>
        <v/>
      </c>
      <c r="P159" s="150" t="str">
        <f t="shared" si="7"/>
        <v/>
      </c>
      <c r="Q159" s="151" t="str">
        <f>IFERROR(VLOOKUP(C159,Ativos!$A$1:$G2000,5,),)</f>
        <v/>
      </c>
    </row>
    <row r="160" ht="21.0" customHeight="1">
      <c r="A160" s="152"/>
      <c r="B160" s="160"/>
      <c r="C160" s="153"/>
      <c r="D160" s="169"/>
      <c r="E160" s="139"/>
      <c r="F160" s="141"/>
      <c r="G160" s="170" t="str">
        <f>IFERROR(__xludf.DUMMYFUNCTION("if($C160="""","""",iferror(if(row()&lt;&gt;2,INDEX(arrayformula(filter($H$2:$H159,$C$2:$C159&lt;&gt;"""",row($C$2:$C159)=max(if($C$2:$C159=C160,row($C$2:$C159),0)))) ,1),0),0))"),"")</f>
        <v/>
      </c>
      <c r="H160" s="170" t="str">
        <f t="shared" si="8"/>
        <v/>
      </c>
      <c r="I160" s="147" t="str">
        <f t="shared" si="1"/>
        <v/>
      </c>
      <c r="J160" s="147" t="str">
        <f t="shared" si="13"/>
        <v/>
      </c>
      <c r="K160" s="147" t="str">
        <f>IFERROR(__xludf.DUMMYFUNCTION("if(C160="""","""",iferror(if(row()&lt;&gt;2,INDEX(arrayformula(filter($L$2:$L159,$C$2:$C159&lt;&gt;"""",row($C$2:$C159)=max(if($C$2:$C159=C160,row($C$2:$C159),0)))) ,1),0),0))"),"")</f>
        <v/>
      </c>
      <c r="L160" s="147" t="str">
        <f t="shared" si="14"/>
        <v/>
      </c>
      <c r="M160" s="147" t="str">
        <f t="shared" si="15"/>
        <v/>
      </c>
      <c r="N160" s="147" t="str">
        <f t="shared" si="16"/>
        <v/>
      </c>
      <c r="O160" s="147" t="str">
        <f t="shared" si="6"/>
        <v/>
      </c>
      <c r="P160" s="150" t="str">
        <f t="shared" si="7"/>
        <v/>
      </c>
      <c r="Q160" s="151" t="str">
        <f>IFERROR(VLOOKUP(C160,Ativos!$A$1:$G2000,5,),)</f>
        <v/>
      </c>
    </row>
    <row r="161" ht="21.0" customHeight="1">
      <c r="A161" s="152"/>
      <c r="B161" s="160"/>
      <c r="C161" s="153"/>
      <c r="D161" s="169"/>
      <c r="E161" s="139"/>
      <c r="F161" s="141"/>
      <c r="G161" s="170" t="str">
        <f>IFERROR(__xludf.DUMMYFUNCTION("if($C161="""","""",iferror(if(row()&lt;&gt;2,INDEX(arrayformula(filter($H$2:$H160,$C$2:$C160&lt;&gt;"""",row($C$2:$C160)=max(if($C$2:$C160=C161,row($C$2:$C160),0)))) ,1),0),0))"),"")</f>
        <v/>
      </c>
      <c r="H161" s="170" t="str">
        <f t="shared" si="8"/>
        <v/>
      </c>
      <c r="I161" s="147" t="str">
        <f t="shared" si="1"/>
        <v/>
      </c>
      <c r="J161" s="147" t="str">
        <f t="shared" si="13"/>
        <v/>
      </c>
      <c r="K161" s="147" t="str">
        <f>IFERROR(__xludf.DUMMYFUNCTION("if(C161="""","""",iferror(if(row()&lt;&gt;2,INDEX(arrayformula(filter($L$2:$L160,$C$2:$C160&lt;&gt;"""",row($C$2:$C160)=max(if($C$2:$C160=C161,row($C$2:$C160),0)))) ,1),0),0))"),"")</f>
        <v/>
      </c>
      <c r="L161" s="147" t="str">
        <f t="shared" si="14"/>
        <v/>
      </c>
      <c r="M161" s="147" t="str">
        <f t="shared" si="15"/>
        <v/>
      </c>
      <c r="N161" s="147" t="str">
        <f t="shared" si="16"/>
        <v/>
      </c>
      <c r="O161" s="147" t="str">
        <f t="shared" si="6"/>
        <v/>
      </c>
      <c r="P161" s="150" t="str">
        <f t="shared" si="7"/>
        <v/>
      </c>
      <c r="Q161" s="151" t="str">
        <f>IFERROR(VLOOKUP(C161,Ativos!$A$1:$G2000,5,),)</f>
        <v/>
      </c>
    </row>
    <row r="162" ht="21.0" customHeight="1">
      <c r="A162" s="152"/>
      <c r="B162" s="160"/>
      <c r="C162" s="153"/>
      <c r="D162" s="169"/>
      <c r="E162" s="139"/>
      <c r="F162" s="141"/>
      <c r="G162" s="170" t="str">
        <f>IFERROR(__xludf.DUMMYFUNCTION("if($C162="""","""",iferror(if(row()&lt;&gt;2,INDEX(arrayformula(filter($H$2:$H161,$C$2:$C161&lt;&gt;"""",row($C$2:$C161)=max(if($C$2:$C161=C162,row($C$2:$C161),0)))) ,1),0),0))"),"")</f>
        <v/>
      </c>
      <c r="H162" s="170" t="str">
        <f t="shared" si="8"/>
        <v/>
      </c>
      <c r="I162" s="147" t="str">
        <f t="shared" si="1"/>
        <v/>
      </c>
      <c r="J162" s="147" t="str">
        <f t="shared" si="13"/>
        <v/>
      </c>
      <c r="K162" s="147" t="str">
        <f>IFERROR(__xludf.DUMMYFUNCTION("if(C162="""","""",iferror(if(row()&lt;&gt;2,INDEX(arrayformula(filter($L$2:$L161,$C$2:$C161&lt;&gt;"""",row($C$2:$C161)=max(if($C$2:$C161=C162,row($C$2:$C161),0)))) ,1),0),0))"),"")</f>
        <v/>
      </c>
      <c r="L162" s="147" t="str">
        <f t="shared" si="14"/>
        <v/>
      </c>
      <c r="M162" s="147" t="str">
        <f t="shared" si="15"/>
        <v/>
      </c>
      <c r="N162" s="147" t="str">
        <f t="shared" si="16"/>
        <v/>
      </c>
      <c r="O162" s="147" t="str">
        <f t="shared" si="6"/>
        <v/>
      </c>
      <c r="P162" s="150" t="str">
        <f t="shared" si="7"/>
        <v/>
      </c>
      <c r="Q162" s="151" t="str">
        <f>IFERROR(VLOOKUP(C162,Ativos!$A$1:$G2000,5,),)</f>
        <v/>
      </c>
    </row>
    <row r="163" ht="21.0" customHeight="1">
      <c r="A163" s="152"/>
      <c r="B163" s="160"/>
      <c r="C163" s="153"/>
      <c r="D163" s="169"/>
      <c r="E163" s="139"/>
      <c r="F163" s="141"/>
      <c r="G163" s="170" t="str">
        <f>IFERROR(__xludf.DUMMYFUNCTION("if($C163="""","""",iferror(if(row()&lt;&gt;2,INDEX(arrayformula(filter($H$2:$H162,$C$2:$C162&lt;&gt;"""",row($C$2:$C162)=max(if($C$2:$C162=C163,row($C$2:$C162),0)))) ,1),0),0))"),"")</f>
        <v/>
      </c>
      <c r="H163" s="170" t="str">
        <f t="shared" si="8"/>
        <v/>
      </c>
      <c r="I163" s="147" t="str">
        <f t="shared" si="1"/>
        <v/>
      </c>
      <c r="J163" s="147" t="str">
        <f t="shared" si="13"/>
        <v/>
      </c>
      <c r="K163" s="147" t="str">
        <f>IFERROR(__xludf.DUMMYFUNCTION("if(C163="""","""",iferror(if(row()&lt;&gt;2,INDEX(arrayformula(filter($L$2:$L162,$C$2:$C162&lt;&gt;"""",row($C$2:$C162)=max(if($C$2:$C162=C163,row($C$2:$C162),0)))) ,1),0),0))"),"")</f>
        <v/>
      </c>
      <c r="L163" s="147" t="str">
        <f t="shared" si="14"/>
        <v/>
      </c>
      <c r="M163" s="147" t="str">
        <f t="shared" si="15"/>
        <v/>
      </c>
      <c r="N163" s="147" t="str">
        <f t="shared" si="16"/>
        <v/>
      </c>
      <c r="O163" s="147" t="str">
        <f t="shared" si="6"/>
        <v/>
      </c>
      <c r="P163" s="150" t="str">
        <f t="shared" si="7"/>
        <v/>
      </c>
      <c r="Q163" s="151" t="str">
        <f>IFERROR(VLOOKUP(C163,Ativos!$A$1:$G2000,5,),)</f>
        <v/>
      </c>
    </row>
    <row r="164" ht="21.0" customHeight="1">
      <c r="A164" s="152"/>
      <c r="B164" s="160"/>
      <c r="C164" s="153"/>
      <c r="D164" s="169"/>
      <c r="E164" s="139"/>
      <c r="F164" s="141"/>
      <c r="G164" s="170" t="str">
        <f>IFERROR(__xludf.DUMMYFUNCTION("if($C164="""","""",iferror(if(row()&lt;&gt;2,INDEX(arrayformula(filter($H$2:$H163,$C$2:$C163&lt;&gt;"""",row($C$2:$C163)=max(if($C$2:$C163=C164,row($C$2:$C163),0)))) ,1),0),0))"),"")</f>
        <v/>
      </c>
      <c r="H164" s="170" t="str">
        <f t="shared" si="8"/>
        <v/>
      </c>
      <c r="I164" s="147" t="str">
        <f t="shared" si="1"/>
        <v/>
      </c>
      <c r="J164" s="147" t="str">
        <f t="shared" si="13"/>
        <v/>
      </c>
      <c r="K164" s="147" t="str">
        <f>IFERROR(__xludf.DUMMYFUNCTION("if(C164="""","""",iferror(if(row()&lt;&gt;2,INDEX(arrayformula(filter($L$2:$L163,$C$2:$C163&lt;&gt;"""",row($C$2:$C163)=max(if($C$2:$C163=C164,row($C$2:$C163),0)))) ,1),0),0))"),"")</f>
        <v/>
      </c>
      <c r="L164" s="147" t="str">
        <f t="shared" si="14"/>
        <v/>
      </c>
      <c r="M164" s="147" t="str">
        <f t="shared" si="15"/>
        <v/>
      </c>
      <c r="N164" s="147" t="str">
        <f t="shared" si="16"/>
        <v/>
      </c>
      <c r="O164" s="147" t="str">
        <f t="shared" si="6"/>
        <v/>
      </c>
      <c r="P164" s="150" t="str">
        <f t="shared" si="7"/>
        <v/>
      </c>
      <c r="Q164" s="151" t="str">
        <f>IFERROR(VLOOKUP(C164,Ativos!$A$1:$G2000,5,),)</f>
        <v/>
      </c>
    </row>
    <row r="165" ht="21.0" customHeight="1">
      <c r="A165" s="152"/>
      <c r="B165" s="160"/>
      <c r="C165" s="153"/>
      <c r="D165" s="169"/>
      <c r="E165" s="139"/>
      <c r="F165" s="141"/>
      <c r="G165" s="170" t="str">
        <f>IFERROR(__xludf.DUMMYFUNCTION("if($C165="""","""",iferror(if(row()&lt;&gt;2,INDEX(arrayformula(filter($H$2:$H164,$C$2:$C164&lt;&gt;"""",row($C$2:$C164)=max(if($C$2:$C164=C165,row($C$2:$C164),0)))) ,1),0),0))"),"")</f>
        <v/>
      </c>
      <c r="H165" s="170" t="str">
        <f t="shared" si="8"/>
        <v/>
      </c>
      <c r="I165" s="147" t="str">
        <f t="shared" si="1"/>
        <v/>
      </c>
      <c r="J165" s="147" t="str">
        <f t="shared" si="13"/>
        <v/>
      </c>
      <c r="K165" s="147" t="str">
        <f>IFERROR(__xludf.DUMMYFUNCTION("if(C165="""","""",iferror(if(row()&lt;&gt;2,INDEX(arrayformula(filter($L$2:$L164,$C$2:$C164&lt;&gt;"""",row($C$2:$C164)=max(if($C$2:$C164=C165,row($C$2:$C164),0)))) ,1),0),0))"),"")</f>
        <v/>
      </c>
      <c r="L165" s="147" t="str">
        <f t="shared" si="14"/>
        <v/>
      </c>
      <c r="M165" s="147" t="str">
        <f t="shared" si="15"/>
        <v/>
      </c>
      <c r="N165" s="147" t="str">
        <f t="shared" si="16"/>
        <v/>
      </c>
      <c r="O165" s="147" t="str">
        <f t="shared" si="6"/>
        <v/>
      </c>
      <c r="P165" s="150" t="str">
        <f t="shared" si="7"/>
        <v/>
      </c>
      <c r="Q165" s="151" t="str">
        <f>IFERROR(VLOOKUP(C165,Ativos!$A$1:$G2000,5,),)</f>
        <v/>
      </c>
    </row>
    <row r="166" ht="21.0" customHeight="1">
      <c r="A166" s="152"/>
      <c r="B166" s="160"/>
      <c r="C166" s="153"/>
      <c r="D166" s="169"/>
      <c r="E166" s="139"/>
      <c r="F166" s="141"/>
      <c r="G166" s="170" t="str">
        <f>IFERROR(__xludf.DUMMYFUNCTION("if($C166="""","""",iferror(if(row()&lt;&gt;2,INDEX(arrayformula(filter($H$2:$H165,$C$2:$C165&lt;&gt;"""",row($C$2:$C165)=max(if($C$2:$C165=C166,row($C$2:$C165),0)))) ,1),0),0))"),"")</f>
        <v/>
      </c>
      <c r="H166" s="170" t="str">
        <f t="shared" si="8"/>
        <v/>
      </c>
      <c r="I166" s="147" t="str">
        <f t="shared" si="1"/>
        <v/>
      </c>
      <c r="J166" s="147" t="str">
        <f t="shared" si="13"/>
        <v/>
      </c>
      <c r="K166" s="147" t="str">
        <f>IFERROR(__xludf.DUMMYFUNCTION("if(C166="""","""",iferror(if(row()&lt;&gt;2,INDEX(arrayformula(filter($L$2:$L165,$C$2:$C165&lt;&gt;"""",row($C$2:$C165)=max(if($C$2:$C165=C166,row($C$2:$C165),0)))) ,1),0),0))"),"")</f>
        <v/>
      </c>
      <c r="L166" s="147" t="str">
        <f t="shared" si="14"/>
        <v/>
      </c>
      <c r="M166" s="147" t="str">
        <f t="shared" si="15"/>
        <v/>
      </c>
      <c r="N166" s="147" t="str">
        <f t="shared" si="16"/>
        <v/>
      </c>
      <c r="O166" s="147" t="str">
        <f t="shared" si="6"/>
        <v/>
      </c>
      <c r="P166" s="150" t="str">
        <f t="shared" si="7"/>
        <v/>
      </c>
      <c r="Q166" s="151" t="str">
        <f>IFERROR(VLOOKUP(C166,Ativos!$A$1:$G2000,5,),)</f>
        <v/>
      </c>
    </row>
    <row r="167" ht="21.0" customHeight="1">
      <c r="A167" s="152"/>
      <c r="B167" s="160"/>
      <c r="C167" s="153"/>
      <c r="D167" s="169"/>
      <c r="E167" s="139"/>
      <c r="F167" s="141"/>
      <c r="G167" s="170" t="str">
        <f>IFERROR(__xludf.DUMMYFUNCTION("if($C167="""","""",iferror(if(row()&lt;&gt;2,INDEX(arrayformula(filter($H$2:$H166,$C$2:$C166&lt;&gt;"""",row($C$2:$C166)=max(if($C$2:$C166=C167,row($C$2:$C166),0)))) ,1),0),0))"),"")</f>
        <v/>
      </c>
      <c r="H167" s="170" t="str">
        <f t="shared" si="8"/>
        <v/>
      </c>
      <c r="I167" s="147" t="str">
        <f t="shared" si="1"/>
        <v/>
      </c>
      <c r="J167" s="147" t="str">
        <f t="shared" si="13"/>
        <v/>
      </c>
      <c r="K167" s="147" t="str">
        <f>IFERROR(__xludf.DUMMYFUNCTION("if(C167="""","""",iferror(if(row()&lt;&gt;2,INDEX(arrayformula(filter($L$2:$L166,$C$2:$C166&lt;&gt;"""",row($C$2:$C166)=max(if($C$2:$C166=C167,row($C$2:$C166),0)))) ,1),0),0))"),"")</f>
        <v/>
      </c>
      <c r="L167" s="147" t="str">
        <f t="shared" si="14"/>
        <v/>
      </c>
      <c r="M167" s="147" t="str">
        <f t="shared" si="15"/>
        <v/>
      </c>
      <c r="N167" s="147" t="str">
        <f t="shared" si="16"/>
        <v/>
      </c>
      <c r="O167" s="147" t="str">
        <f t="shared" si="6"/>
        <v/>
      </c>
      <c r="P167" s="150" t="str">
        <f t="shared" si="7"/>
        <v/>
      </c>
      <c r="Q167" s="151" t="str">
        <f>IFERROR(VLOOKUP(C167,Ativos!$A$1:$G2000,5,),)</f>
        <v/>
      </c>
    </row>
    <row r="168" ht="21.0" customHeight="1">
      <c r="A168" s="152"/>
      <c r="B168" s="160"/>
      <c r="C168" s="153"/>
      <c r="D168" s="169"/>
      <c r="E168" s="139"/>
      <c r="F168" s="141"/>
      <c r="G168" s="170" t="str">
        <f>IFERROR(__xludf.DUMMYFUNCTION("if($C168="""","""",iferror(if(row()&lt;&gt;2,INDEX(arrayformula(filter($H$2:$H167,$C$2:$C167&lt;&gt;"""",row($C$2:$C167)=max(if($C$2:$C167=C168,row($C$2:$C167),0)))) ,1),0),0))"),"")</f>
        <v/>
      </c>
      <c r="H168" s="170" t="str">
        <f t="shared" si="8"/>
        <v/>
      </c>
      <c r="I168" s="147" t="str">
        <f t="shared" si="1"/>
        <v/>
      </c>
      <c r="J168" s="147" t="str">
        <f t="shared" si="13"/>
        <v/>
      </c>
      <c r="K168" s="147" t="str">
        <f>IFERROR(__xludf.DUMMYFUNCTION("if(C168="""","""",iferror(if(row()&lt;&gt;2,INDEX(arrayformula(filter($L$2:$L167,$C$2:$C167&lt;&gt;"""",row($C$2:$C167)=max(if($C$2:$C167=C168,row($C$2:$C167),0)))) ,1),0),0))"),"")</f>
        <v/>
      </c>
      <c r="L168" s="147" t="str">
        <f t="shared" si="14"/>
        <v/>
      </c>
      <c r="M168" s="147" t="str">
        <f t="shared" si="15"/>
        <v/>
      </c>
      <c r="N168" s="147" t="str">
        <f t="shared" si="16"/>
        <v/>
      </c>
      <c r="O168" s="147" t="str">
        <f t="shared" si="6"/>
        <v/>
      </c>
      <c r="P168" s="150" t="str">
        <f t="shared" si="7"/>
        <v/>
      </c>
      <c r="Q168" s="151" t="str">
        <f>IFERROR(VLOOKUP(C168,Ativos!$A$1:$G2000,5,),)</f>
        <v/>
      </c>
    </row>
    <row r="169" ht="21.0" customHeight="1">
      <c r="A169" s="152"/>
      <c r="B169" s="160"/>
      <c r="C169" s="153"/>
      <c r="D169" s="169"/>
      <c r="E169" s="139"/>
      <c r="F169" s="141"/>
      <c r="G169" s="170" t="str">
        <f>IFERROR(__xludf.DUMMYFUNCTION("if($C169="""","""",iferror(if(row()&lt;&gt;2,INDEX(arrayformula(filter($H$2:$H168,$C$2:$C168&lt;&gt;"""",row($C$2:$C168)=max(if($C$2:$C168=C169,row($C$2:$C168),0)))) ,1),0),0))"),"")</f>
        <v/>
      </c>
      <c r="H169" s="170" t="str">
        <f t="shared" si="8"/>
        <v/>
      </c>
      <c r="I169" s="147" t="str">
        <f t="shared" si="1"/>
        <v/>
      </c>
      <c r="J169" s="147" t="str">
        <f t="shared" si="13"/>
        <v/>
      </c>
      <c r="K169" s="147" t="str">
        <f>IFERROR(__xludf.DUMMYFUNCTION("if(C169="""","""",iferror(if(row()&lt;&gt;2,INDEX(arrayformula(filter($L$2:$L168,$C$2:$C168&lt;&gt;"""",row($C$2:$C168)=max(if($C$2:$C168=C169,row($C$2:$C168),0)))) ,1),0),0))"),"")</f>
        <v/>
      </c>
      <c r="L169" s="147" t="str">
        <f t="shared" si="14"/>
        <v/>
      </c>
      <c r="M169" s="147" t="str">
        <f t="shared" si="15"/>
        <v/>
      </c>
      <c r="N169" s="147" t="str">
        <f t="shared" si="16"/>
        <v/>
      </c>
      <c r="O169" s="147" t="str">
        <f t="shared" si="6"/>
        <v/>
      </c>
      <c r="P169" s="150" t="str">
        <f t="shared" si="7"/>
        <v/>
      </c>
      <c r="Q169" s="151" t="str">
        <f>IFERROR(VLOOKUP(C169,Ativos!$A$1:$G2000,5,),)</f>
        <v/>
      </c>
    </row>
    <row r="170" ht="21.0" customHeight="1">
      <c r="A170" s="152"/>
      <c r="B170" s="160"/>
      <c r="C170" s="153"/>
      <c r="D170" s="169"/>
      <c r="E170" s="139"/>
      <c r="F170" s="141"/>
      <c r="G170" s="170" t="str">
        <f>IFERROR(__xludf.DUMMYFUNCTION("if($C170="""","""",iferror(if(row()&lt;&gt;2,INDEX(arrayformula(filter($H$2:$H169,$C$2:$C169&lt;&gt;"""",row($C$2:$C169)=max(if($C$2:$C169=C170,row($C$2:$C169),0)))) ,1),0),0))"),"")</f>
        <v/>
      </c>
      <c r="H170" s="170" t="str">
        <f t="shared" si="8"/>
        <v/>
      </c>
      <c r="I170" s="147" t="str">
        <f t="shared" si="1"/>
        <v/>
      </c>
      <c r="J170" s="147" t="str">
        <f t="shared" si="13"/>
        <v/>
      </c>
      <c r="K170" s="147" t="str">
        <f>IFERROR(__xludf.DUMMYFUNCTION("if(C170="""","""",iferror(if(row()&lt;&gt;2,INDEX(arrayformula(filter($L$2:$L169,$C$2:$C169&lt;&gt;"""",row($C$2:$C169)=max(if($C$2:$C169=C170,row($C$2:$C169),0)))) ,1),0),0))"),"")</f>
        <v/>
      </c>
      <c r="L170" s="147" t="str">
        <f t="shared" si="14"/>
        <v/>
      </c>
      <c r="M170" s="147" t="str">
        <f t="shared" si="15"/>
        <v/>
      </c>
      <c r="N170" s="147" t="str">
        <f t="shared" si="16"/>
        <v/>
      </c>
      <c r="O170" s="147" t="str">
        <f t="shared" si="6"/>
        <v/>
      </c>
      <c r="P170" s="150" t="str">
        <f t="shared" si="7"/>
        <v/>
      </c>
      <c r="Q170" s="151" t="str">
        <f>IFERROR(VLOOKUP(C170,Ativos!$A$1:$G2000,5,),)</f>
        <v/>
      </c>
    </row>
    <row r="171" ht="21.0" customHeight="1">
      <c r="A171" s="152"/>
      <c r="B171" s="160"/>
      <c r="C171" s="153"/>
      <c r="D171" s="169"/>
      <c r="E171" s="139"/>
      <c r="F171" s="141"/>
      <c r="G171" s="170" t="str">
        <f>IFERROR(__xludf.DUMMYFUNCTION("if($C171="""","""",iferror(if(row()&lt;&gt;2,INDEX(arrayformula(filter($H$2:$H170,$C$2:$C170&lt;&gt;"""",row($C$2:$C170)=max(if($C$2:$C170=C171,row($C$2:$C170),0)))) ,1),0),0))"),"")</f>
        <v/>
      </c>
      <c r="H171" s="170" t="str">
        <f t="shared" si="8"/>
        <v/>
      </c>
      <c r="I171" s="147" t="str">
        <f t="shared" si="1"/>
        <v/>
      </c>
      <c r="J171" s="147" t="str">
        <f t="shared" si="13"/>
        <v/>
      </c>
      <c r="K171" s="147" t="str">
        <f>IFERROR(__xludf.DUMMYFUNCTION("if(C171="""","""",iferror(if(row()&lt;&gt;2,INDEX(arrayformula(filter($L$2:$L170,$C$2:$C170&lt;&gt;"""",row($C$2:$C170)=max(if($C$2:$C170=C171,row($C$2:$C170),0)))) ,1),0),0))"),"")</f>
        <v/>
      </c>
      <c r="L171" s="147" t="str">
        <f t="shared" si="14"/>
        <v/>
      </c>
      <c r="M171" s="147" t="str">
        <f t="shared" si="15"/>
        <v/>
      </c>
      <c r="N171" s="147" t="str">
        <f t="shared" si="16"/>
        <v/>
      </c>
      <c r="O171" s="147" t="str">
        <f t="shared" si="6"/>
        <v/>
      </c>
      <c r="P171" s="150" t="str">
        <f t="shared" si="7"/>
        <v/>
      </c>
      <c r="Q171" s="151" t="str">
        <f>IFERROR(VLOOKUP(C171,Ativos!$A$1:$G2000,5,),)</f>
        <v/>
      </c>
    </row>
    <row r="172" ht="21.0" customHeight="1">
      <c r="A172" s="152"/>
      <c r="B172" s="160"/>
      <c r="C172" s="153"/>
      <c r="D172" s="169"/>
      <c r="E172" s="139"/>
      <c r="F172" s="141"/>
      <c r="G172" s="170" t="str">
        <f>IFERROR(__xludf.DUMMYFUNCTION("if($C172="""","""",iferror(if(row()&lt;&gt;2,INDEX(arrayformula(filter($H$2:$H171,$C$2:$C171&lt;&gt;"""",row($C$2:$C171)=max(if($C$2:$C171=C172,row($C$2:$C171),0)))) ,1),0),0))"),"")</f>
        <v/>
      </c>
      <c r="H172" s="170" t="str">
        <f t="shared" si="8"/>
        <v/>
      </c>
      <c r="I172" s="147" t="str">
        <f t="shared" si="1"/>
        <v/>
      </c>
      <c r="J172" s="147" t="str">
        <f t="shared" si="13"/>
        <v/>
      </c>
      <c r="K172" s="147" t="str">
        <f>IFERROR(__xludf.DUMMYFUNCTION("if(C172="""","""",iferror(if(row()&lt;&gt;2,INDEX(arrayformula(filter($L$2:$L171,$C$2:$C171&lt;&gt;"""",row($C$2:$C171)=max(if($C$2:$C171=C172,row($C$2:$C171),0)))) ,1),0),0))"),"")</f>
        <v/>
      </c>
      <c r="L172" s="147" t="str">
        <f t="shared" si="14"/>
        <v/>
      </c>
      <c r="M172" s="147" t="str">
        <f t="shared" si="15"/>
        <v/>
      </c>
      <c r="N172" s="147" t="str">
        <f t="shared" si="16"/>
        <v/>
      </c>
      <c r="O172" s="147" t="str">
        <f t="shared" si="6"/>
        <v/>
      </c>
      <c r="P172" s="150" t="str">
        <f t="shared" si="7"/>
        <v/>
      </c>
      <c r="Q172" s="151" t="str">
        <f>IFERROR(VLOOKUP(C172,Ativos!$A$1:$G2000,5,),)</f>
        <v/>
      </c>
    </row>
    <row r="173" ht="21.0" customHeight="1">
      <c r="A173" s="152"/>
      <c r="B173" s="160"/>
      <c r="C173" s="153"/>
      <c r="D173" s="169"/>
      <c r="E173" s="139"/>
      <c r="F173" s="141"/>
      <c r="G173" s="170" t="str">
        <f>IFERROR(__xludf.DUMMYFUNCTION("if($C173="""","""",iferror(if(row()&lt;&gt;2,INDEX(arrayformula(filter($H$2:$H172,$C$2:$C172&lt;&gt;"""",row($C$2:$C172)=max(if($C$2:$C172=C173,row($C$2:$C172),0)))) ,1),0),0))"),"")</f>
        <v/>
      </c>
      <c r="H173" s="170" t="str">
        <f t="shared" si="8"/>
        <v/>
      </c>
      <c r="I173" s="147" t="str">
        <f t="shared" si="1"/>
        <v/>
      </c>
      <c r="J173" s="147" t="str">
        <f t="shared" si="13"/>
        <v/>
      </c>
      <c r="K173" s="147" t="str">
        <f>IFERROR(__xludf.DUMMYFUNCTION("if(C173="""","""",iferror(if(row()&lt;&gt;2,INDEX(arrayformula(filter($L$2:$L172,$C$2:$C172&lt;&gt;"""",row($C$2:$C172)=max(if($C$2:$C172=C173,row($C$2:$C172),0)))) ,1),0),0))"),"")</f>
        <v/>
      </c>
      <c r="L173" s="147" t="str">
        <f t="shared" si="14"/>
        <v/>
      </c>
      <c r="M173" s="147" t="str">
        <f t="shared" si="15"/>
        <v/>
      </c>
      <c r="N173" s="147" t="str">
        <f t="shared" si="16"/>
        <v/>
      </c>
      <c r="O173" s="147" t="str">
        <f t="shared" si="6"/>
        <v/>
      </c>
      <c r="P173" s="150" t="str">
        <f t="shared" si="7"/>
        <v/>
      </c>
      <c r="Q173" s="151" t="str">
        <f>IFERROR(VLOOKUP(C173,Ativos!$A$1:$G2000,5,),)</f>
        <v/>
      </c>
    </row>
    <row r="174" ht="21.0" customHeight="1">
      <c r="A174" s="152"/>
      <c r="B174" s="160"/>
      <c r="C174" s="153"/>
      <c r="D174" s="169"/>
      <c r="E174" s="139"/>
      <c r="F174" s="141"/>
      <c r="G174" s="170" t="str">
        <f>IFERROR(__xludf.DUMMYFUNCTION("if($C174="""","""",iferror(if(row()&lt;&gt;2,INDEX(arrayformula(filter($H$2:$H173,$C$2:$C173&lt;&gt;"""",row($C$2:$C173)=max(if($C$2:$C173=C174,row($C$2:$C173),0)))) ,1),0),0))"),"")</f>
        <v/>
      </c>
      <c r="H174" s="170" t="str">
        <f t="shared" si="8"/>
        <v/>
      </c>
      <c r="I174" s="147" t="str">
        <f t="shared" si="1"/>
        <v/>
      </c>
      <c r="J174" s="147" t="str">
        <f t="shared" si="13"/>
        <v/>
      </c>
      <c r="K174" s="147" t="str">
        <f>IFERROR(__xludf.DUMMYFUNCTION("if(C174="""","""",iferror(if(row()&lt;&gt;2,INDEX(arrayformula(filter($L$2:$L173,$C$2:$C173&lt;&gt;"""",row($C$2:$C173)=max(if($C$2:$C173=C174,row($C$2:$C173),0)))) ,1),0),0))"),"")</f>
        <v/>
      </c>
      <c r="L174" s="147" t="str">
        <f t="shared" si="14"/>
        <v/>
      </c>
      <c r="M174" s="147" t="str">
        <f t="shared" si="15"/>
        <v/>
      </c>
      <c r="N174" s="147" t="str">
        <f t="shared" si="16"/>
        <v/>
      </c>
      <c r="O174" s="147" t="str">
        <f t="shared" si="6"/>
        <v/>
      </c>
      <c r="P174" s="150" t="str">
        <f t="shared" si="7"/>
        <v/>
      </c>
      <c r="Q174" s="151" t="str">
        <f>IFERROR(VLOOKUP(C174,Ativos!$A$1:$G2000,5,),)</f>
        <v/>
      </c>
    </row>
    <row r="175" ht="21.0" customHeight="1">
      <c r="A175" s="152"/>
      <c r="B175" s="160"/>
      <c r="C175" s="153"/>
      <c r="D175" s="169"/>
      <c r="E175" s="139"/>
      <c r="F175" s="141"/>
      <c r="G175" s="170" t="str">
        <f>IFERROR(__xludf.DUMMYFUNCTION("if($C175="""","""",iferror(if(row()&lt;&gt;2,INDEX(arrayformula(filter($H$2:$H174,$C$2:$C174&lt;&gt;"""",row($C$2:$C174)=max(if($C$2:$C174=C175,row($C$2:$C174),0)))) ,1),0),0))"),"")</f>
        <v/>
      </c>
      <c r="H175" s="170" t="str">
        <f t="shared" si="8"/>
        <v/>
      </c>
      <c r="I175" s="147" t="str">
        <f t="shared" si="1"/>
        <v/>
      </c>
      <c r="J175" s="147" t="str">
        <f t="shared" si="13"/>
        <v/>
      </c>
      <c r="K175" s="147" t="str">
        <f>IFERROR(__xludf.DUMMYFUNCTION("if(C175="""","""",iferror(if(row()&lt;&gt;2,INDEX(arrayformula(filter($L$2:$L174,$C$2:$C174&lt;&gt;"""",row($C$2:$C174)=max(if($C$2:$C174=C175,row($C$2:$C174),0)))) ,1),0),0))"),"")</f>
        <v/>
      </c>
      <c r="L175" s="147" t="str">
        <f t="shared" si="14"/>
        <v/>
      </c>
      <c r="M175" s="147" t="str">
        <f t="shared" si="15"/>
        <v/>
      </c>
      <c r="N175" s="147" t="str">
        <f t="shared" si="16"/>
        <v/>
      </c>
      <c r="O175" s="147" t="str">
        <f t="shared" si="6"/>
        <v/>
      </c>
      <c r="P175" s="150" t="str">
        <f t="shared" si="7"/>
        <v/>
      </c>
      <c r="Q175" s="151" t="str">
        <f>IFERROR(VLOOKUP(C175,Ativos!$A$1:$G2000,5,),)</f>
        <v/>
      </c>
    </row>
    <row r="176" ht="21.0" customHeight="1">
      <c r="A176" s="152"/>
      <c r="B176" s="160"/>
      <c r="C176" s="153"/>
      <c r="D176" s="169"/>
      <c r="E176" s="139"/>
      <c r="F176" s="141"/>
      <c r="G176" s="170" t="str">
        <f>IFERROR(__xludf.DUMMYFUNCTION("if($C176="""","""",iferror(if(row()&lt;&gt;2,INDEX(arrayformula(filter($H$2:$H175,$C$2:$C175&lt;&gt;"""",row($C$2:$C175)=max(if($C$2:$C175=C176,row($C$2:$C175),0)))) ,1),0),0))"),"")</f>
        <v/>
      </c>
      <c r="H176" s="170" t="str">
        <f t="shared" si="8"/>
        <v/>
      </c>
      <c r="I176" s="147" t="str">
        <f t="shared" si="1"/>
        <v/>
      </c>
      <c r="J176" s="147" t="str">
        <f t="shared" si="13"/>
        <v/>
      </c>
      <c r="K176" s="147" t="str">
        <f>IFERROR(__xludf.DUMMYFUNCTION("if(C176="""","""",iferror(if(row()&lt;&gt;2,INDEX(arrayformula(filter($L$2:$L175,$C$2:$C175&lt;&gt;"""",row($C$2:$C175)=max(if($C$2:$C175=C176,row($C$2:$C175),0)))) ,1),0),0))"),"")</f>
        <v/>
      </c>
      <c r="L176" s="147" t="str">
        <f t="shared" si="14"/>
        <v/>
      </c>
      <c r="M176" s="147" t="str">
        <f t="shared" si="15"/>
        <v/>
      </c>
      <c r="N176" s="147" t="str">
        <f t="shared" si="16"/>
        <v/>
      </c>
      <c r="O176" s="147" t="str">
        <f t="shared" si="6"/>
        <v/>
      </c>
      <c r="P176" s="150" t="str">
        <f t="shared" si="7"/>
        <v/>
      </c>
      <c r="Q176" s="151" t="str">
        <f>IFERROR(VLOOKUP(C176,Ativos!$A$1:$G2000,5,),)</f>
        <v/>
      </c>
    </row>
    <row r="177" ht="21.0" customHeight="1">
      <c r="A177" s="152"/>
      <c r="B177" s="160"/>
      <c r="C177" s="153"/>
      <c r="D177" s="169"/>
      <c r="E177" s="139"/>
      <c r="F177" s="141"/>
      <c r="G177" s="170" t="str">
        <f>IFERROR(__xludf.DUMMYFUNCTION("if($C177="""","""",iferror(if(row()&lt;&gt;2,INDEX(arrayformula(filter($H$2:$H176,$C$2:$C176&lt;&gt;"""",row($C$2:$C176)=max(if($C$2:$C176=C177,row($C$2:$C176),0)))) ,1),0),0))"),"")</f>
        <v/>
      </c>
      <c r="H177" s="170" t="str">
        <f t="shared" si="8"/>
        <v/>
      </c>
      <c r="I177" s="147" t="str">
        <f t="shared" si="1"/>
        <v/>
      </c>
      <c r="J177" s="147" t="str">
        <f t="shared" si="13"/>
        <v/>
      </c>
      <c r="K177" s="147" t="str">
        <f>IFERROR(__xludf.DUMMYFUNCTION("if(C177="""","""",iferror(if(row()&lt;&gt;2,INDEX(arrayformula(filter($L$2:$L176,$C$2:$C176&lt;&gt;"""",row($C$2:$C176)=max(if($C$2:$C176=C177,row($C$2:$C176),0)))) ,1),0),0))"),"")</f>
        <v/>
      </c>
      <c r="L177" s="147" t="str">
        <f t="shared" si="14"/>
        <v/>
      </c>
      <c r="M177" s="147" t="str">
        <f t="shared" si="15"/>
        <v/>
      </c>
      <c r="N177" s="147" t="str">
        <f t="shared" si="16"/>
        <v/>
      </c>
      <c r="O177" s="147" t="str">
        <f t="shared" si="6"/>
        <v/>
      </c>
      <c r="P177" s="150" t="str">
        <f t="shared" si="7"/>
        <v/>
      </c>
      <c r="Q177" s="151" t="str">
        <f>IFERROR(VLOOKUP(C177,Ativos!$A$1:$G2000,5,),)</f>
        <v/>
      </c>
    </row>
    <row r="178" ht="21.0" customHeight="1">
      <c r="A178" s="152"/>
      <c r="B178" s="160"/>
      <c r="C178" s="153"/>
      <c r="D178" s="169"/>
      <c r="E178" s="139"/>
      <c r="F178" s="141"/>
      <c r="G178" s="170" t="str">
        <f>IFERROR(__xludf.DUMMYFUNCTION("if($C178="""","""",iferror(if(row()&lt;&gt;2,INDEX(arrayformula(filter($H$2:$H177,$C$2:$C177&lt;&gt;"""",row($C$2:$C177)=max(if($C$2:$C177=C178,row($C$2:$C177),0)))) ,1),0),0))"),"")</f>
        <v/>
      </c>
      <c r="H178" s="170" t="str">
        <f t="shared" si="8"/>
        <v/>
      </c>
      <c r="I178" s="147" t="str">
        <f t="shared" si="1"/>
        <v/>
      </c>
      <c r="J178" s="147" t="str">
        <f t="shared" si="13"/>
        <v/>
      </c>
      <c r="K178" s="147" t="str">
        <f>IFERROR(__xludf.DUMMYFUNCTION("if(C178="""","""",iferror(if(row()&lt;&gt;2,INDEX(arrayformula(filter($L$2:$L177,$C$2:$C177&lt;&gt;"""",row($C$2:$C177)=max(if($C$2:$C177=C178,row($C$2:$C177),0)))) ,1),0),0))"),"")</f>
        <v/>
      </c>
      <c r="L178" s="147" t="str">
        <f t="shared" si="14"/>
        <v/>
      </c>
      <c r="M178" s="147" t="str">
        <f t="shared" si="15"/>
        <v/>
      </c>
      <c r="N178" s="147" t="str">
        <f t="shared" si="16"/>
        <v/>
      </c>
      <c r="O178" s="147" t="str">
        <f t="shared" si="6"/>
        <v/>
      </c>
      <c r="P178" s="150" t="str">
        <f t="shared" si="7"/>
        <v/>
      </c>
      <c r="Q178" s="151" t="str">
        <f>IFERROR(VLOOKUP(C178,Ativos!$A$1:$G2000,5,),)</f>
        <v/>
      </c>
    </row>
    <row r="179" ht="21.0" customHeight="1">
      <c r="A179" s="152"/>
      <c r="B179" s="160"/>
      <c r="C179" s="153"/>
      <c r="D179" s="169"/>
      <c r="E179" s="139"/>
      <c r="F179" s="141"/>
      <c r="G179" s="170" t="str">
        <f>IFERROR(__xludf.DUMMYFUNCTION("if($C179="""","""",iferror(if(row()&lt;&gt;2,INDEX(arrayformula(filter($H$2:$H178,$C$2:$C178&lt;&gt;"""",row($C$2:$C178)=max(if($C$2:$C178=C179,row($C$2:$C178),0)))) ,1),0),0))"),"")</f>
        <v/>
      </c>
      <c r="H179" s="170" t="str">
        <f t="shared" si="8"/>
        <v/>
      </c>
      <c r="I179" s="147" t="str">
        <f t="shared" si="1"/>
        <v/>
      </c>
      <c r="J179" s="147" t="str">
        <f t="shared" si="13"/>
        <v/>
      </c>
      <c r="K179" s="147" t="str">
        <f>IFERROR(__xludf.DUMMYFUNCTION("if(C179="""","""",iferror(if(row()&lt;&gt;2,INDEX(arrayformula(filter($L$2:$L178,$C$2:$C178&lt;&gt;"""",row($C$2:$C178)=max(if($C$2:$C178=C179,row($C$2:$C178),0)))) ,1),0),0))"),"")</f>
        <v/>
      </c>
      <c r="L179" s="147" t="str">
        <f t="shared" si="14"/>
        <v/>
      </c>
      <c r="M179" s="147" t="str">
        <f t="shared" si="15"/>
        <v/>
      </c>
      <c r="N179" s="147" t="str">
        <f t="shared" si="16"/>
        <v/>
      </c>
      <c r="O179" s="147" t="str">
        <f t="shared" si="6"/>
        <v/>
      </c>
      <c r="P179" s="150" t="str">
        <f t="shared" si="7"/>
        <v/>
      </c>
      <c r="Q179" s="151" t="str">
        <f>IFERROR(VLOOKUP(C179,Ativos!$A$1:$G2000,5,),)</f>
        <v/>
      </c>
    </row>
    <row r="180" ht="21.0" customHeight="1">
      <c r="A180" s="152"/>
      <c r="B180" s="160"/>
      <c r="C180" s="153"/>
      <c r="D180" s="169"/>
      <c r="E180" s="139"/>
      <c r="F180" s="141"/>
      <c r="G180" s="170" t="str">
        <f>IFERROR(__xludf.DUMMYFUNCTION("if($C180="""","""",iferror(if(row()&lt;&gt;2,INDEX(arrayformula(filter($H$2:$H179,$C$2:$C179&lt;&gt;"""",row($C$2:$C179)=max(if($C$2:$C179=C180,row($C$2:$C179),0)))) ,1),0),0))"),"")</f>
        <v/>
      </c>
      <c r="H180" s="170" t="str">
        <f t="shared" si="8"/>
        <v/>
      </c>
      <c r="I180" s="147" t="str">
        <f t="shared" si="1"/>
        <v/>
      </c>
      <c r="J180" s="147" t="str">
        <f t="shared" si="13"/>
        <v/>
      </c>
      <c r="K180" s="147" t="str">
        <f>IFERROR(__xludf.DUMMYFUNCTION("if(C180="""","""",iferror(if(row()&lt;&gt;2,INDEX(arrayformula(filter($L$2:$L179,$C$2:$C179&lt;&gt;"""",row($C$2:$C179)=max(if($C$2:$C179=C180,row($C$2:$C179),0)))) ,1),0),0))"),"")</f>
        <v/>
      </c>
      <c r="L180" s="147" t="str">
        <f t="shared" si="14"/>
        <v/>
      </c>
      <c r="M180" s="147" t="str">
        <f t="shared" si="15"/>
        <v/>
      </c>
      <c r="N180" s="147" t="str">
        <f t="shared" si="16"/>
        <v/>
      </c>
      <c r="O180" s="147" t="str">
        <f t="shared" si="6"/>
        <v/>
      </c>
      <c r="P180" s="150" t="str">
        <f t="shared" si="7"/>
        <v/>
      </c>
      <c r="Q180" s="151" t="str">
        <f>IFERROR(VLOOKUP(C180,Ativos!$A$1:$G2000,5,),)</f>
        <v/>
      </c>
    </row>
    <row r="181" ht="21.0" customHeight="1">
      <c r="A181" s="152"/>
      <c r="B181" s="160"/>
      <c r="C181" s="153"/>
      <c r="D181" s="169"/>
      <c r="E181" s="139"/>
      <c r="F181" s="141"/>
      <c r="G181" s="170" t="str">
        <f>IFERROR(__xludf.DUMMYFUNCTION("if($C181="""","""",iferror(if(row()&lt;&gt;2,INDEX(arrayformula(filter($H$2:$H180,$C$2:$C180&lt;&gt;"""",row($C$2:$C180)=max(if($C$2:$C180=C181,row($C$2:$C180),0)))) ,1),0),0))"),"")</f>
        <v/>
      </c>
      <c r="H181" s="170" t="str">
        <f t="shared" si="8"/>
        <v/>
      </c>
      <c r="I181" s="147" t="str">
        <f t="shared" si="1"/>
        <v/>
      </c>
      <c r="J181" s="147" t="str">
        <f t="shared" si="13"/>
        <v/>
      </c>
      <c r="K181" s="147" t="str">
        <f>IFERROR(__xludf.DUMMYFUNCTION("if(C181="""","""",iferror(if(row()&lt;&gt;2,INDEX(arrayformula(filter($L$2:$L180,$C$2:$C180&lt;&gt;"""",row($C$2:$C180)=max(if($C$2:$C180=C181,row($C$2:$C180),0)))) ,1),0),0))"),"")</f>
        <v/>
      </c>
      <c r="L181" s="147" t="str">
        <f t="shared" si="14"/>
        <v/>
      </c>
      <c r="M181" s="147" t="str">
        <f t="shared" si="15"/>
        <v/>
      </c>
      <c r="N181" s="147" t="str">
        <f t="shared" si="16"/>
        <v/>
      </c>
      <c r="O181" s="147" t="str">
        <f t="shared" si="6"/>
        <v/>
      </c>
      <c r="P181" s="150" t="str">
        <f t="shared" si="7"/>
        <v/>
      </c>
      <c r="Q181" s="151" t="str">
        <f>IFERROR(VLOOKUP(C181,Ativos!$A$1:$G2000,5,),)</f>
        <v/>
      </c>
    </row>
    <row r="182" ht="21.0" customHeight="1">
      <c r="A182" s="152"/>
      <c r="B182" s="160"/>
      <c r="C182" s="153"/>
      <c r="D182" s="169"/>
      <c r="E182" s="139"/>
      <c r="F182" s="141"/>
      <c r="G182" s="170" t="str">
        <f>IFERROR(__xludf.DUMMYFUNCTION("if($C182="""","""",iferror(if(row()&lt;&gt;2,INDEX(arrayformula(filter($H$2:$H181,$C$2:$C181&lt;&gt;"""",row($C$2:$C181)=max(if($C$2:$C181=C182,row($C$2:$C181),0)))) ,1),0),0))"),"")</f>
        <v/>
      </c>
      <c r="H182" s="170" t="str">
        <f t="shared" si="8"/>
        <v/>
      </c>
      <c r="I182" s="147" t="str">
        <f t="shared" si="1"/>
        <v/>
      </c>
      <c r="J182" s="147" t="str">
        <f t="shared" si="13"/>
        <v/>
      </c>
      <c r="K182" s="147" t="str">
        <f>IFERROR(__xludf.DUMMYFUNCTION("if(C182="""","""",iferror(if(row()&lt;&gt;2,INDEX(arrayformula(filter($L$2:$L181,$C$2:$C181&lt;&gt;"""",row($C$2:$C181)=max(if($C$2:$C181=C182,row($C$2:$C181),0)))) ,1),0),0))"),"")</f>
        <v/>
      </c>
      <c r="L182" s="147" t="str">
        <f t="shared" si="14"/>
        <v/>
      </c>
      <c r="M182" s="147" t="str">
        <f t="shared" si="15"/>
        <v/>
      </c>
      <c r="N182" s="147" t="str">
        <f t="shared" si="16"/>
        <v/>
      </c>
      <c r="O182" s="147" t="str">
        <f t="shared" si="6"/>
        <v/>
      </c>
      <c r="P182" s="150" t="str">
        <f t="shared" si="7"/>
        <v/>
      </c>
      <c r="Q182" s="151" t="str">
        <f>IFERROR(VLOOKUP(C182,Ativos!$A$1:$G2000,5,),)</f>
        <v/>
      </c>
    </row>
    <row r="183" ht="21.0" customHeight="1">
      <c r="A183" s="152"/>
      <c r="B183" s="160"/>
      <c r="C183" s="153"/>
      <c r="D183" s="169"/>
      <c r="E183" s="139"/>
      <c r="F183" s="141"/>
      <c r="G183" s="170" t="str">
        <f>IFERROR(__xludf.DUMMYFUNCTION("if($C183="""","""",iferror(if(row()&lt;&gt;2,INDEX(arrayformula(filter($H$2:$H182,$C$2:$C182&lt;&gt;"""",row($C$2:$C182)=max(if($C$2:$C182=C183,row($C$2:$C182),0)))) ,1),0),0))"),"")</f>
        <v/>
      </c>
      <c r="H183" s="170" t="str">
        <f t="shared" si="8"/>
        <v/>
      </c>
      <c r="I183" s="147" t="str">
        <f t="shared" si="1"/>
        <v/>
      </c>
      <c r="J183" s="147" t="str">
        <f t="shared" si="13"/>
        <v/>
      </c>
      <c r="K183" s="147" t="str">
        <f>IFERROR(__xludf.DUMMYFUNCTION("if(C183="""","""",iferror(if(row()&lt;&gt;2,INDEX(arrayformula(filter($L$2:$L182,$C$2:$C182&lt;&gt;"""",row($C$2:$C182)=max(if($C$2:$C182=C183,row($C$2:$C182),0)))) ,1),0),0))"),"")</f>
        <v/>
      </c>
      <c r="L183" s="147" t="str">
        <f t="shared" si="14"/>
        <v/>
      </c>
      <c r="M183" s="147" t="str">
        <f t="shared" si="15"/>
        <v/>
      </c>
      <c r="N183" s="147" t="str">
        <f t="shared" si="16"/>
        <v/>
      </c>
      <c r="O183" s="147" t="str">
        <f t="shared" si="6"/>
        <v/>
      </c>
      <c r="P183" s="150" t="str">
        <f t="shared" si="7"/>
        <v/>
      </c>
      <c r="Q183" s="151" t="str">
        <f>IFERROR(VLOOKUP(C183,Ativos!$A$1:$G2000,5,),)</f>
        <v/>
      </c>
    </row>
    <row r="184" ht="21.0" customHeight="1">
      <c r="A184" s="152"/>
      <c r="B184" s="160"/>
      <c r="C184" s="153"/>
      <c r="D184" s="169"/>
      <c r="E184" s="139"/>
      <c r="F184" s="141"/>
      <c r="G184" s="170" t="str">
        <f>IFERROR(__xludf.DUMMYFUNCTION("if($C184="""","""",iferror(if(row()&lt;&gt;2,INDEX(arrayformula(filter($H$2:$H183,$C$2:$C183&lt;&gt;"""",row($C$2:$C183)=max(if($C$2:$C183=C184,row($C$2:$C183),0)))) ,1),0),0))"),"")</f>
        <v/>
      </c>
      <c r="H184" s="170" t="str">
        <f t="shared" si="8"/>
        <v/>
      </c>
      <c r="I184" s="147" t="str">
        <f t="shared" si="1"/>
        <v/>
      </c>
      <c r="J184" s="147" t="str">
        <f t="shared" si="13"/>
        <v/>
      </c>
      <c r="K184" s="147" t="str">
        <f>IFERROR(__xludf.DUMMYFUNCTION("if(C184="""","""",iferror(if(row()&lt;&gt;2,INDEX(arrayformula(filter($L$2:$L183,$C$2:$C183&lt;&gt;"""",row($C$2:$C183)=max(if($C$2:$C183=C184,row($C$2:$C183),0)))) ,1),0),0))"),"")</f>
        <v/>
      </c>
      <c r="L184" s="147" t="str">
        <f t="shared" si="14"/>
        <v/>
      </c>
      <c r="M184" s="147" t="str">
        <f t="shared" si="15"/>
        <v/>
      </c>
      <c r="N184" s="147" t="str">
        <f t="shared" si="16"/>
        <v/>
      </c>
      <c r="O184" s="147" t="str">
        <f t="shared" si="6"/>
        <v/>
      </c>
      <c r="P184" s="150" t="str">
        <f t="shared" si="7"/>
        <v/>
      </c>
      <c r="Q184" s="151" t="str">
        <f>IFERROR(VLOOKUP(C184,Ativos!$A$1:$G2000,5,),)</f>
        <v/>
      </c>
    </row>
    <row r="185" ht="21.0" customHeight="1">
      <c r="A185" s="152"/>
      <c r="B185" s="160"/>
      <c r="C185" s="153"/>
      <c r="D185" s="169"/>
      <c r="E185" s="139"/>
      <c r="F185" s="141"/>
      <c r="G185" s="170" t="str">
        <f>IFERROR(__xludf.DUMMYFUNCTION("if($C185="""","""",iferror(if(row()&lt;&gt;2,INDEX(arrayformula(filter($H$2:$H184,$C$2:$C184&lt;&gt;"""",row($C$2:$C184)=max(if($C$2:$C184=C185,row($C$2:$C184),0)))) ,1),0),0))"),"")</f>
        <v/>
      </c>
      <c r="H185" s="170" t="str">
        <f t="shared" si="8"/>
        <v/>
      </c>
      <c r="I185" s="147" t="str">
        <f t="shared" si="1"/>
        <v/>
      </c>
      <c r="J185" s="147" t="str">
        <f t="shared" si="13"/>
        <v/>
      </c>
      <c r="K185" s="147" t="str">
        <f>IFERROR(__xludf.DUMMYFUNCTION("if(C185="""","""",iferror(if(row()&lt;&gt;2,INDEX(arrayformula(filter($L$2:$L184,$C$2:$C184&lt;&gt;"""",row($C$2:$C184)=max(if($C$2:$C184=C185,row($C$2:$C184),0)))) ,1),0),0))"),"")</f>
        <v/>
      </c>
      <c r="L185" s="147" t="str">
        <f t="shared" si="14"/>
        <v/>
      </c>
      <c r="M185" s="147" t="str">
        <f t="shared" si="15"/>
        <v/>
      </c>
      <c r="N185" s="147" t="str">
        <f t="shared" si="16"/>
        <v/>
      </c>
      <c r="O185" s="147" t="str">
        <f t="shared" si="6"/>
        <v/>
      </c>
      <c r="P185" s="150" t="str">
        <f t="shared" si="7"/>
        <v/>
      </c>
      <c r="Q185" s="151" t="str">
        <f>IFERROR(VLOOKUP(C185,Ativos!$A$1:$G2000,5,),)</f>
        <v/>
      </c>
    </row>
    <row r="186" ht="21.0" customHeight="1">
      <c r="A186" s="152"/>
      <c r="B186" s="160"/>
      <c r="C186" s="153"/>
      <c r="D186" s="169"/>
      <c r="E186" s="139"/>
      <c r="F186" s="141"/>
      <c r="G186" s="170" t="str">
        <f>IFERROR(__xludf.DUMMYFUNCTION("if($C186="""","""",iferror(if(row()&lt;&gt;2,INDEX(arrayformula(filter($H$2:$H185,$C$2:$C185&lt;&gt;"""",row($C$2:$C185)=max(if($C$2:$C185=C186,row($C$2:$C185),0)))) ,1),0),0))"),"")</f>
        <v/>
      </c>
      <c r="H186" s="170" t="str">
        <f t="shared" si="8"/>
        <v/>
      </c>
      <c r="I186" s="147" t="str">
        <f t="shared" si="1"/>
        <v/>
      </c>
      <c r="J186" s="147" t="str">
        <f t="shared" si="13"/>
        <v/>
      </c>
      <c r="K186" s="147" t="str">
        <f>IFERROR(__xludf.DUMMYFUNCTION("if(C186="""","""",iferror(if(row()&lt;&gt;2,INDEX(arrayformula(filter($L$2:$L185,$C$2:$C185&lt;&gt;"""",row($C$2:$C185)=max(if($C$2:$C185=C186,row($C$2:$C185),0)))) ,1),0),0))"),"")</f>
        <v/>
      </c>
      <c r="L186" s="147" t="str">
        <f t="shared" si="14"/>
        <v/>
      </c>
      <c r="M186" s="147" t="str">
        <f t="shared" si="15"/>
        <v/>
      </c>
      <c r="N186" s="147" t="str">
        <f t="shared" si="16"/>
        <v/>
      </c>
      <c r="O186" s="147" t="str">
        <f t="shared" si="6"/>
        <v/>
      </c>
      <c r="P186" s="150" t="str">
        <f t="shared" si="7"/>
        <v/>
      </c>
      <c r="Q186" s="151" t="str">
        <f>IFERROR(VLOOKUP(C186,Ativos!$A$1:$G2000,5,),)</f>
        <v/>
      </c>
    </row>
    <row r="187" ht="21.0" customHeight="1">
      <c r="A187" s="152"/>
      <c r="B187" s="160"/>
      <c r="C187" s="153"/>
      <c r="D187" s="169"/>
      <c r="E187" s="139"/>
      <c r="F187" s="141"/>
      <c r="G187" s="170" t="str">
        <f>IFERROR(__xludf.DUMMYFUNCTION("if($C187="""","""",iferror(if(row()&lt;&gt;2,INDEX(arrayformula(filter($H$2:$H186,$C$2:$C186&lt;&gt;"""",row($C$2:$C186)=max(if($C$2:$C186=C187,row($C$2:$C186),0)))) ,1),0),0))"),"")</f>
        <v/>
      </c>
      <c r="H187" s="170" t="str">
        <f t="shared" si="8"/>
        <v/>
      </c>
      <c r="I187" s="147" t="str">
        <f t="shared" si="1"/>
        <v/>
      </c>
      <c r="J187" s="147" t="str">
        <f t="shared" si="13"/>
        <v/>
      </c>
      <c r="K187" s="147" t="str">
        <f>IFERROR(__xludf.DUMMYFUNCTION("if(C187="""","""",iferror(if(row()&lt;&gt;2,INDEX(arrayformula(filter($L$2:$L186,$C$2:$C186&lt;&gt;"""",row($C$2:$C186)=max(if($C$2:$C186=C187,row($C$2:$C186),0)))) ,1),0),0))"),"")</f>
        <v/>
      </c>
      <c r="L187" s="147" t="str">
        <f t="shared" si="14"/>
        <v/>
      </c>
      <c r="M187" s="147" t="str">
        <f t="shared" si="15"/>
        <v/>
      </c>
      <c r="N187" s="147" t="str">
        <f t="shared" si="16"/>
        <v/>
      </c>
      <c r="O187" s="147" t="str">
        <f t="shared" si="6"/>
        <v/>
      </c>
      <c r="P187" s="150" t="str">
        <f t="shared" si="7"/>
        <v/>
      </c>
      <c r="Q187" s="151" t="str">
        <f>IFERROR(VLOOKUP(C187,Ativos!$A$1:$G2000,5,),)</f>
        <v/>
      </c>
    </row>
    <row r="188" ht="21.0" customHeight="1">
      <c r="A188" s="152"/>
      <c r="B188" s="160"/>
      <c r="C188" s="153"/>
      <c r="D188" s="169"/>
      <c r="E188" s="139"/>
      <c r="F188" s="141"/>
      <c r="G188" s="170" t="str">
        <f>IFERROR(__xludf.DUMMYFUNCTION("if($C188="""","""",iferror(if(row()&lt;&gt;2,INDEX(arrayformula(filter($H$2:$H187,$C$2:$C187&lt;&gt;"""",row($C$2:$C187)=max(if($C$2:$C187=C188,row($C$2:$C187),0)))) ,1),0),0))"),"")</f>
        <v/>
      </c>
      <c r="H188" s="170" t="str">
        <f t="shared" si="8"/>
        <v/>
      </c>
      <c r="I188" s="147" t="str">
        <f t="shared" si="1"/>
        <v/>
      </c>
      <c r="J188" s="147" t="str">
        <f t="shared" si="13"/>
        <v/>
      </c>
      <c r="K188" s="147" t="str">
        <f>IFERROR(__xludf.DUMMYFUNCTION("if(C188="""","""",iferror(if(row()&lt;&gt;2,INDEX(arrayformula(filter($L$2:$L187,$C$2:$C187&lt;&gt;"""",row($C$2:$C187)=max(if($C$2:$C187=C188,row($C$2:$C187),0)))) ,1),0),0))"),"")</f>
        <v/>
      </c>
      <c r="L188" s="147" t="str">
        <f t="shared" si="14"/>
        <v/>
      </c>
      <c r="M188" s="147" t="str">
        <f t="shared" si="15"/>
        <v/>
      </c>
      <c r="N188" s="147" t="str">
        <f t="shared" si="16"/>
        <v/>
      </c>
      <c r="O188" s="147" t="str">
        <f t="shared" si="6"/>
        <v/>
      </c>
      <c r="P188" s="150" t="str">
        <f t="shared" si="7"/>
        <v/>
      </c>
      <c r="Q188" s="151" t="str">
        <f>IFERROR(VLOOKUP(C188,Ativos!$A$1:$G2000,5,),)</f>
        <v/>
      </c>
    </row>
    <row r="189" ht="21.0" customHeight="1">
      <c r="A189" s="152"/>
      <c r="B189" s="160"/>
      <c r="C189" s="153"/>
      <c r="D189" s="169"/>
      <c r="E189" s="139"/>
      <c r="F189" s="141"/>
      <c r="G189" s="170" t="str">
        <f>IFERROR(__xludf.DUMMYFUNCTION("if($C189="""","""",iferror(if(row()&lt;&gt;2,INDEX(arrayformula(filter($H$2:$H188,$C$2:$C188&lt;&gt;"""",row($C$2:$C188)=max(if($C$2:$C188=C189,row($C$2:$C188),0)))) ,1),0),0))"),"")</f>
        <v/>
      </c>
      <c r="H189" s="170" t="str">
        <f t="shared" si="8"/>
        <v/>
      </c>
      <c r="I189" s="147" t="str">
        <f t="shared" si="1"/>
        <v/>
      </c>
      <c r="J189" s="147" t="str">
        <f t="shared" si="13"/>
        <v/>
      </c>
      <c r="K189" s="147" t="str">
        <f>IFERROR(__xludf.DUMMYFUNCTION("if(C189="""","""",iferror(if(row()&lt;&gt;2,INDEX(arrayformula(filter($L$2:$L188,$C$2:$C188&lt;&gt;"""",row($C$2:$C188)=max(if($C$2:$C188=C189,row($C$2:$C188),0)))) ,1),0),0))"),"")</f>
        <v/>
      </c>
      <c r="L189" s="147" t="str">
        <f t="shared" si="14"/>
        <v/>
      </c>
      <c r="M189" s="147" t="str">
        <f t="shared" si="15"/>
        <v/>
      </c>
      <c r="N189" s="147" t="str">
        <f t="shared" si="16"/>
        <v/>
      </c>
      <c r="O189" s="147" t="str">
        <f t="shared" si="6"/>
        <v/>
      </c>
      <c r="P189" s="150" t="str">
        <f t="shared" si="7"/>
        <v/>
      </c>
      <c r="Q189" s="151" t="str">
        <f>IFERROR(VLOOKUP(C189,Ativos!$A$1:$G2000,5,),)</f>
        <v/>
      </c>
    </row>
    <row r="190" ht="21.0" customHeight="1">
      <c r="A190" s="152"/>
      <c r="B190" s="160"/>
      <c r="C190" s="153"/>
      <c r="D190" s="169"/>
      <c r="E190" s="139"/>
      <c r="F190" s="141"/>
      <c r="G190" s="170" t="str">
        <f>IFERROR(__xludf.DUMMYFUNCTION("if($C190="""","""",iferror(if(row()&lt;&gt;2,INDEX(arrayformula(filter($H$2:$H189,$C$2:$C189&lt;&gt;"""",row($C$2:$C189)=max(if($C$2:$C189=C190,row($C$2:$C189),0)))) ,1),0),0))"),"")</f>
        <v/>
      </c>
      <c r="H190" s="170" t="str">
        <f t="shared" si="8"/>
        <v/>
      </c>
      <c r="I190" s="147" t="str">
        <f t="shared" si="1"/>
        <v/>
      </c>
      <c r="J190" s="147" t="str">
        <f t="shared" si="13"/>
        <v/>
      </c>
      <c r="K190" s="147" t="str">
        <f>IFERROR(__xludf.DUMMYFUNCTION("if(C190="""","""",iferror(if(row()&lt;&gt;2,INDEX(arrayformula(filter($L$2:$L189,$C$2:$C189&lt;&gt;"""",row($C$2:$C189)=max(if($C$2:$C189=C190,row($C$2:$C189),0)))) ,1),0),0))"),"")</f>
        <v/>
      </c>
      <c r="L190" s="147" t="str">
        <f t="shared" si="14"/>
        <v/>
      </c>
      <c r="M190" s="147" t="str">
        <f t="shared" si="15"/>
        <v/>
      </c>
      <c r="N190" s="147" t="str">
        <f t="shared" si="16"/>
        <v/>
      </c>
      <c r="O190" s="147" t="str">
        <f t="shared" si="6"/>
        <v/>
      </c>
      <c r="P190" s="150" t="str">
        <f t="shared" si="7"/>
        <v/>
      </c>
      <c r="Q190" s="151" t="str">
        <f>IFERROR(VLOOKUP(C190,Ativos!$A$1:$G2000,5,),)</f>
        <v/>
      </c>
    </row>
    <row r="191" ht="21.0" customHeight="1">
      <c r="A191" s="152"/>
      <c r="B191" s="160"/>
      <c r="C191" s="153"/>
      <c r="D191" s="169"/>
      <c r="E191" s="139"/>
      <c r="F191" s="141"/>
      <c r="G191" s="170" t="str">
        <f>IFERROR(__xludf.DUMMYFUNCTION("if($C191="""","""",iferror(if(row()&lt;&gt;2,INDEX(arrayformula(filter($H$2:$H190,$C$2:$C190&lt;&gt;"""",row($C$2:$C190)=max(if($C$2:$C190=C191,row($C$2:$C190),0)))) ,1),0),0))"),"")</f>
        <v/>
      </c>
      <c r="H191" s="170" t="str">
        <f t="shared" si="8"/>
        <v/>
      </c>
      <c r="I191" s="147" t="str">
        <f t="shared" si="1"/>
        <v/>
      </c>
      <c r="J191" s="147" t="str">
        <f t="shared" si="13"/>
        <v/>
      </c>
      <c r="K191" s="147" t="str">
        <f>IFERROR(__xludf.DUMMYFUNCTION("if(C191="""","""",iferror(if(row()&lt;&gt;2,INDEX(arrayformula(filter($L$2:$L190,$C$2:$C190&lt;&gt;"""",row($C$2:$C190)=max(if($C$2:$C190=C191,row($C$2:$C190),0)))) ,1),0),0))"),"")</f>
        <v/>
      </c>
      <c r="L191" s="147" t="str">
        <f t="shared" si="14"/>
        <v/>
      </c>
      <c r="M191" s="147" t="str">
        <f t="shared" si="15"/>
        <v/>
      </c>
      <c r="N191" s="147" t="str">
        <f t="shared" si="16"/>
        <v/>
      </c>
      <c r="O191" s="147" t="str">
        <f t="shared" si="6"/>
        <v/>
      </c>
      <c r="P191" s="150" t="str">
        <f t="shared" si="7"/>
        <v/>
      </c>
      <c r="Q191" s="151" t="str">
        <f>IFERROR(VLOOKUP(C191,Ativos!$A$1:$G2000,5,),)</f>
        <v/>
      </c>
    </row>
    <row r="192" ht="21.0" customHeight="1">
      <c r="A192" s="152"/>
      <c r="B192" s="160"/>
      <c r="C192" s="153"/>
      <c r="D192" s="169"/>
      <c r="E192" s="139"/>
      <c r="F192" s="141"/>
      <c r="G192" s="170" t="str">
        <f>IFERROR(__xludf.DUMMYFUNCTION("if($C192="""","""",iferror(if(row()&lt;&gt;2,INDEX(arrayformula(filter($H$2:$H191,$C$2:$C191&lt;&gt;"""",row($C$2:$C191)=max(if($C$2:$C191=C192,row($C$2:$C191),0)))) ,1),0),0))"),"")</f>
        <v/>
      </c>
      <c r="H192" s="170" t="str">
        <f t="shared" si="8"/>
        <v/>
      </c>
      <c r="I192" s="147" t="str">
        <f t="shared" si="1"/>
        <v/>
      </c>
      <c r="J192" s="147" t="str">
        <f t="shared" si="13"/>
        <v/>
      </c>
      <c r="K192" s="147" t="str">
        <f>IFERROR(__xludf.DUMMYFUNCTION("if(C192="""","""",iferror(if(row()&lt;&gt;2,INDEX(arrayformula(filter($L$2:$L191,$C$2:$C191&lt;&gt;"""",row($C$2:$C191)=max(if($C$2:$C191=C192,row($C$2:$C191),0)))) ,1),0),0))"),"")</f>
        <v/>
      </c>
      <c r="L192" s="147" t="str">
        <f t="shared" si="14"/>
        <v/>
      </c>
      <c r="M192" s="147" t="str">
        <f t="shared" si="15"/>
        <v/>
      </c>
      <c r="N192" s="147" t="str">
        <f t="shared" si="16"/>
        <v/>
      </c>
      <c r="O192" s="147" t="str">
        <f t="shared" si="6"/>
        <v/>
      </c>
      <c r="P192" s="150" t="str">
        <f t="shared" si="7"/>
        <v/>
      </c>
      <c r="Q192" s="151" t="str">
        <f>IFERROR(VLOOKUP(C192,Ativos!$A$1:$G2000,5,),)</f>
        <v/>
      </c>
    </row>
    <row r="193" ht="21.0" customHeight="1">
      <c r="A193" s="152"/>
      <c r="B193" s="160"/>
      <c r="C193" s="153"/>
      <c r="D193" s="169"/>
      <c r="E193" s="139"/>
      <c r="F193" s="141"/>
      <c r="G193" s="170" t="str">
        <f>IFERROR(__xludf.DUMMYFUNCTION("if($C193="""","""",iferror(if(row()&lt;&gt;2,INDEX(arrayformula(filter($H$2:$H192,$C$2:$C192&lt;&gt;"""",row($C$2:$C192)=max(if($C$2:$C192=C193,row($C$2:$C192),0)))) ,1),0),0))"),"")</f>
        <v/>
      </c>
      <c r="H193" s="170" t="str">
        <f t="shared" si="8"/>
        <v/>
      </c>
      <c r="I193" s="147" t="str">
        <f t="shared" si="1"/>
        <v/>
      </c>
      <c r="J193" s="147" t="str">
        <f t="shared" si="13"/>
        <v/>
      </c>
      <c r="K193" s="147" t="str">
        <f>IFERROR(__xludf.DUMMYFUNCTION("if(C193="""","""",iferror(if(row()&lt;&gt;2,INDEX(arrayformula(filter($L$2:$L192,$C$2:$C192&lt;&gt;"""",row($C$2:$C192)=max(if($C$2:$C192=C193,row($C$2:$C192),0)))) ,1),0),0))"),"")</f>
        <v/>
      </c>
      <c r="L193" s="147" t="str">
        <f t="shared" si="14"/>
        <v/>
      </c>
      <c r="M193" s="147" t="str">
        <f t="shared" si="15"/>
        <v/>
      </c>
      <c r="N193" s="147" t="str">
        <f t="shared" si="16"/>
        <v/>
      </c>
      <c r="O193" s="147" t="str">
        <f t="shared" si="6"/>
        <v/>
      </c>
      <c r="P193" s="150" t="str">
        <f t="shared" si="7"/>
        <v/>
      </c>
      <c r="Q193" s="151" t="str">
        <f>IFERROR(VLOOKUP(C193,Ativos!$A$1:$G2000,5,),)</f>
        <v/>
      </c>
    </row>
    <row r="194" ht="21.0" customHeight="1">
      <c r="A194" s="152"/>
      <c r="B194" s="160"/>
      <c r="C194" s="153"/>
      <c r="D194" s="169"/>
      <c r="E194" s="139"/>
      <c r="F194" s="141"/>
      <c r="G194" s="170" t="str">
        <f>IFERROR(__xludf.DUMMYFUNCTION("if($C194="""","""",iferror(if(row()&lt;&gt;2,INDEX(arrayformula(filter($H$2:$H193,$C$2:$C193&lt;&gt;"""",row($C$2:$C193)=max(if($C$2:$C193=C194,row($C$2:$C193),0)))) ,1),0),0))"),"")</f>
        <v/>
      </c>
      <c r="H194" s="170" t="str">
        <f t="shared" si="8"/>
        <v/>
      </c>
      <c r="I194" s="147" t="str">
        <f t="shared" si="1"/>
        <v/>
      </c>
      <c r="J194" s="147" t="str">
        <f t="shared" si="13"/>
        <v/>
      </c>
      <c r="K194" s="147" t="str">
        <f>IFERROR(__xludf.DUMMYFUNCTION("if(C194="""","""",iferror(if(row()&lt;&gt;2,INDEX(arrayformula(filter($L$2:$L193,$C$2:$C193&lt;&gt;"""",row($C$2:$C193)=max(if($C$2:$C193=C194,row($C$2:$C193),0)))) ,1),0),0))"),"")</f>
        <v/>
      </c>
      <c r="L194" s="147" t="str">
        <f t="shared" si="14"/>
        <v/>
      </c>
      <c r="M194" s="147" t="str">
        <f t="shared" si="15"/>
        <v/>
      </c>
      <c r="N194" s="147" t="str">
        <f t="shared" si="16"/>
        <v/>
      </c>
      <c r="O194" s="147" t="str">
        <f t="shared" si="6"/>
        <v/>
      </c>
      <c r="P194" s="150" t="str">
        <f t="shared" si="7"/>
        <v/>
      </c>
      <c r="Q194" s="151" t="str">
        <f>IFERROR(VLOOKUP(C194,Ativos!$A$1:$G2000,5,),)</f>
        <v/>
      </c>
    </row>
    <row r="195" ht="21.0" customHeight="1">
      <c r="A195" s="152"/>
      <c r="B195" s="160"/>
      <c r="C195" s="153"/>
      <c r="D195" s="169"/>
      <c r="E195" s="139"/>
      <c r="F195" s="141"/>
      <c r="G195" s="170" t="str">
        <f>IFERROR(__xludf.DUMMYFUNCTION("if($C195="""","""",iferror(if(row()&lt;&gt;2,INDEX(arrayformula(filter($H$2:$H194,$C$2:$C194&lt;&gt;"""",row($C$2:$C194)=max(if($C$2:$C194=C195,row($C$2:$C194),0)))) ,1),0),0))"),"")</f>
        <v/>
      </c>
      <c r="H195" s="170" t="str">
        <f t="shared" si="8"/>
        <v/>
      </c>
      <c r="I195" s="147" t="str">
        <f t="shared" si="1"/>
        <v/>
      </c>
      <c r="J195" s="147" t="str">
        <f t="shared" si="13"/>
        <v/>
      </c>
      <c r="K195" s="147" t="str">
        <f>IFERROR(__xludf.DUMMYFUNCTION("if(C195="""","""",iferror(if(row()&lt;&gt;2,INDEX(arrayformula(filter($L$2:$L194,$C$2:$C194&lt;&gt;"""",row($C$2:$C194)=max(if($C$2:$C194=C195,row($C$2:$C194),0)))) ,1),0),0))"),"")</f>
        <v/>
      </c>
      <c r="L195" s="147" t="str">
        <f t="shared" si="14"/>
        <v/>
      </c>
      <c r="M195" s="147" t="str">
        <f t="shared" si="15"/>
        <v/>
      </c>
      <c r="N195" s="147" t="str">
        <f t="shared" si="16"/>
        <v/>
      </c>
      <c r="O195" s="147" t="str">
        <f t="shared" si="6"/>
        <v/>
      </c>
      <c r="P195" s="150" t="str">
        <f t="shared" si="7"/>
        <v/>
      </c>
      <c r="Q195" s="151" t="str">
        <f>IFERROR(VLOOKUP(C195,Ativos!$A$1:$G2000,5,),)</f>
        <v/>
      </c>
    </row>
    <row r="196" ht="21.0" customHeight="1">
      <c r="A196" s="152"/>
      <c r="B196" s="160"/>
      <c r="C196" s="153"/>
      <c r="D196" s="169"/>
      <c r="E196" s="139"/>
      <c r="F196" s="141"/>
      <c r="G196" s="170" t="str">
        <f>IFERROR(__xludf.DUMMYFUNCTION("if($C196="""","""",iferror(if(row()&lt;&gt;2,INDEX(arrayformula(filter($H$2:$H195,$C$2:$C195&lt;&gt;"""",row($C$2:$C195)=max(if($C$2:$C195=C196,row($C$2:$C195),0)))) ,1),0),0))"),"")</f>
        <v/>
      </c>
      <c r="H196" s="170" t="str">
        <f t="shared" si="8"/>
        <v/>
      </c>
      <c r="I196" s="147" t="str">
        <f t="shared" si="1"/>
        <v/>
      </c>
      <c r="J196" s="147" t="str">
        <f t="shared" si="13"/>
        <v/>
      </c>
      <c r="K196" s="147" t="str">
        <f>IFERROR(__xludf.DUMMYFUNCTION("if(C196="""","""",iferror(if(row()&lt;&gt;2,INDEX(arrayformula(filter($L$2:$L195,$C$2:$C195&lt;&gt;"""",row($C$2:$C195)=max(if($C$2:$C195=C196,row($C$2:$C195),0)))) ,1),0),0))"),"")</f>
        <v/>
      </c>
      <c r="L196" s="147" t="str">
        <f t="shared" si="14"/>
        <v/>
      </c>
      <c r="M196" s="147" t="str">
        <f t="shared" si="15"/>
        <v/>
      </c>
      <c r="N196" s="147" t="str">
        <f t="shared" si="16"/>
        <v/>
      </c>
      <c r="O196" s="147" t="str">
        <f t="shared" si="6"/>
        <v/>
      </c>
      <c r="P196" s="150" t="str">
        <f t="shared" si="7"/>
        <v/>
      </c>
      <c r="Q196" s="151" t="str">
        <f>IFERROR(VLOOKUP(C196,Ativos!$A$1:$G2000,5,),)</f>
        <v/>
      </c>
    </row>
    <row r="197" ht="21.0" customHeight="1">
      <c r="A197" s="152"/>
      <c r="B197" s="160"/>
      <c r="C197" s="153"/>
      <c r="D197" s="169"/>
      <c r="E197" s="139"/>
      <c r="F197" s="141"/>
      <c r="G197" s="170" t="str">
        <f>IFERROR(__xludf.DUMMYFUNCTION("if($C197="""","""",iferror(if(row()&lt;&gt;2,INDEX(arrayformula(filter($H$2:$H196,$C$2:$C196&lt;&gt;"""",row($C$2:$C196)=max(if($C$2:$C196=C197,row($C$2:$C196),0)))) ,1),0),0))"),"")</f>
        <v/>
      </c>
      <c r="H197" s="170" t="str">
        <f t="shared" si="8"/>
        <v/>
      </c>
      <c r="I197" s="147" t="str">
        <f t="shared" si="1"/>
        <v/>
      </c>
      <c r="J197" s="147" t="str">
        <f t="shared" si="13"/>
        <v/>
      </c>
      <c r="K197" s="147" t="str">
        <f>IFERROR(__xludf.DUMMYFUNCTION("if(C197="""","""",iferror(if(row()&lt;&gt;2,INDEX(arrayformula(filter($L$2:$L196,$C$2:$C196&lt;&gt;"""",row($C$2:$C196)=max(if($C$2:$C196=C197,row($C$2:$C196),0)))) ,1),0),0))"),"")</f>
        <v/>
      </c>
      <c r="L197" s="147" t="str">
        <f t="shared" si="14"/>
        <v/>
      </c>
      <c r="M197" s="147" t="str">
        <f t="shared" si="15"/>
        <v/>
      </c>
      <c r="N197" s="147" t="str">
        <f t="shared" si="16"/>
        <v/>
      </c>
      <c r="O197" s="147" t="str">
        <f t="shared" si="6"/>
        <v/>
      </c>
      <c r="P197" s="150" t="str">
        <f t="shared" si="7"/>
        <v/>
      </c>
      <c r="Q197" s="151" t="str">
        <f>IFERROR(VLOOKUP(C197,Ativos!$A$1:$G2000,5,),)</f>
        <v/>
      </c>
    </row>
    <row r="198" ht="21.0" customHeight="1">
      <c r="A198" s="152"/>
      <c r="B198" s="160"/>
      <c r="C198" s="153"/>
      <c r="D198" s="169"/>
      <c r="E198" s="139"/>
      <c r="F198" s="141"/>
      <c r="G198" s="170" t="str">
        <f>IFERROR(__xludf.DUMMYFUNCTION("if($C198="""","""",iferror(if(row()&lt;&gt;2,INDEX(arrayformula(filter($H$2:$H197,$C$2:$C197&lt;&gt;"""",row($C$2:$C197)=max(if($C$2:$C197=C198,row($C$2:$C197),0)))) ,1),0),0))"),"")</f>
        <v/>
      </c>
      <c r="H198" s="170" t="str">
        <f t="shared" si="8"/>
        <v/>
      </c>
      <c r="I198" s="147" t="str">
        <f t="shared" si="1"/>
        <v/>
      </c>
      <c r="J198" s="147" t="str">
        <f t="shared" si="13"/>
        <v/>
      </c>
      <c r="K198" s="147" t="str">
        <f>IFERROR(__xludf.DUMMYFUNCTION("if(C198="""","""",iferror(if(row()&lt;&gt;2,INDEX(arrayformula(filter($L$2:$L197,$C$2:$C197&lt;&gt;"""",row($C$2:$C197)=max(if($C$2:$C197=C198,row($C$2:$C197),0)))) ,1),0),0))"),"")</f>
        <v/>
      </c>
      <c r="L198" s="147" t="str">
        <f t="shared" si="14"/>
        <v/>
      </c>
      <c r="M198" s="147" t="str">
        <f t="shared" si="15"/>
        <v/>
      </c>
      <c r="N198" s="147" t="str">
        <f t="shared" si="16"/>
        <v/>
      </c>
      <c r="O198" s="147" t="str">
        <f t="shared" si="6"/>
        <v/>
      </c>
      <c r="P198" s="150" t="str">
        <f t="shared" si="7"/>
        <v/>
      </c>
      <c r="Q198" s="151" t="str">
        <f>IFERROR(VLOOKUP(C198,Ativos!$A$1:$G2000,5,),)</f>
        <v/>
      </c>
    </row>
    <row r="199" ht="21.0" customHeight="1">
      <c r="A199" s="152"/>
      <c r="B199" s="160"/>
      <c r="C199" s="153"/>
      <c r="D199" s="169"/>
      <c r="E199" s="139"/>
      <c r="F199" s="141"/>
      <c r="G199" s="170" t="str">
        <f>IFERROR(__xludf.DUMMYFUNCTION("if($C199="""","""",iferror(if(row()&lt;&gt;2,INDEX(arrayformula(filter($H$2:$H198,$C$2:$C198&lt;&gt;"""",row($C$2:$C198)=max(if($C$2:$C198=C199,row($C$2:$C198),0)))) ,1),0),0))"),"")</f>
        <v/>
      </c>
      <c r="H199" s="170" t="str">
        <f t="shared" si="8"/>
        <v/>
      </c>
      <c r="I199" s="147" t="str">
        <f t="shared" si="1"/>
        <v/>
      </c>
      <c r="J199" s="147" t="str">
        <f t="shared" si="13"/>
        <v/>
      </c>
      <c r="K199" s="147" t="str">
        <f>IFERROR(__xludf.DUMMYFUNCTION("if(C199="""","""",iferror(if(row()&lt;&gt;2,INDEX(arrayformula(filter($L$2:$L198,$C$2:$C198&lt;&gt;"""",row($C$2:$C198)=max(if($C$2:$C198=C199,row($C$2:$C198),0)))) ,1),0),0))"),"")</f>
        <v/>
      </c>
      <c r="L199" s="147" t="str">
        <f t="shared" si="14"/>
        <v/>
      </c>
      <c r="M199" s="147" t="str">
        <f t="shared" si="15"/>
        <v/>
      </c>
      <c r="N199" s="147" t="str">
        <f t="shared" si="16"/>
        <v/>
      </c>
      <c r="O199" s="147" t="str">
        <f t="shared" si="6"/>
        <v/>
      </c>
      <c r="P199" s="150" t="str">
        <f t="shared" si="7"/>
        <v/>
      </c>
      <c r="Q199" s="151" t="str">
        <f>IFERROR(VLOOKUP(C199,Ativos!$A$1:$G2000,5,),)</f>
        <v/>
      </c>
    </row>
    <row r="200" ht="21.0" customHeight="1">
      <c r="A200" s="152"/>
      <c r="B200" s="160"/>
      <c r="C200" s="153"/>
      <c r="D200" s="169"/>
      <c r="E200" s="139"/>
      <c r="F200" s="141"/>
      <c r="G200" s="170" t="str">
        <f>IFERROR(__xludf.DUMMYFUNCTION("if($C200="""","""",iferror(if(row()&lt;&gt;2,INDEX(arrayformula(filter($H$2:$H199,$C$2:$C199&lt;&gt;"""",row($C$2:$C199)=max(if($C$2:$C199=C200,row($C$2:$C199),0)))) ,1),0),0))"),"")</f>
        <v/>
      </c>
      <c r="H200" s="170" t="str">
        <f t="shared" si="8"/>
        <v/>
      </c>
      <c r="I200" s="147" t="str">
        <f t="shared" si="1"/>
        <v/>
      </c>
      <c r="J200" s="147" t="str">
        <f t="shared" si="13"/>
        <v/>
      </c>
      <c r="K200" s="147" t="str">
        <f>IFERROR(__xludf.DUMMYFUNCTION("if(C200="""","""",iferror(if(row()&lt;&gt;2,INDEX(arrayformula(filter($L$2:$L199,$C$2:$C199&lt;&gt;"""",row($C$2:$C199)=max(if($C$2:$C199=C200,row($C$2:$C199),0)))) ,1),0),0))"),"")</f>
        <v/>
      </c>
      <c r="L200" s="147" t="str">
        <f t="shared" si="14"/>
        <v/>
      </c>
      <c r="M200" s="147" t="str">
        <f t="shared" si="15"/>
        <v/>
      </c>
      <c r="N200" s="147" t="str">
        <f t="shared" si="16"/>
        <v/>
      </c>
      <c r="O200" s="147" t="str">
        <f t="shared" si="6"/>
        <v/>
      </c>
      <c r="P200" s="150" t="str">
        <f t="shared" si="7"/>
        <v/>
      </c>
      <c r="Q200" s="151" t="str">
        <f>IFERROR(VLOOKUP(C200,Ativos!$A$1:$G2000,5,),)</f>
        <v/>
      </c>
    </row>
    <row r="201" ht="21.0" customHeight="1">
      <c r="A201" s="152"/>
      <c r="B201" s="160"/>
      <c r="C201" s="153"/>
      <c r="D201" s="169"/>
      <c r="E201" s="139"/>
      <c r="F201" s="141"/>
      <c r="G201" s="170" t="str">
        <f>IFERROR(__xludf.DUMMYFUNCTION("if($C201="""","""",iferror(if(row()&lt;&gt;2,INDEX(arrayformula(filter($H$2:$H200,$C$2:$C200&lt;&gt;"""",row($C$2:$C200)=max(if($C$2:$C200=C201,row($C$2:$C200),0)))) ,1),0),0))"),"")</f>
        <v/>
      </c>
      <c r="H201" s="170" t="str">
        <f t="shared" si="8"/>
        <v/>
      </c>
      <c r="I201" s="147" t="str">
        <f t="shared" si="1"/>
        <v/>
      </c>
      <c r="J201" s="147" t="str">
        <f t="shared" si="13"/>
        <v/>
      </c>
      <c r="K201" s="147" t="str">
        <f>IFERROR(__xludf.DUMMYFUNCTION("if(C201="""","""",iferror(if(row()&lt;&gt;2,INDEX(arrayformula(filter($L$2:$L200,$C$2:$C200&lt;&gt;"""",row($C$2:$C200)=max(if($C$2:$C200=C201,row($C$2:$C200),0)))) ,1),0),0))"),"")</f>
        <v/>
      </c>
      <c r="L201" s="147" t="str">
        <f t="shared" si="14"/>
        <v/>
      </c>
      <c r="M201" s="147" t="str">
        <f t="shared" si="15"/>
        <v/>
      </c>
      <c r="N201" s="147" t="str">
        <f t="shared" si="16"/>
        <v/>
      </c>
      <c r="O201" s="147" t="str">
        <f t="shared" si="6"/>
        <v/>
      </c>
      <c r="P201" s="150" t="str">
        <f t="shared" si="7"/>
        <v/>
      </c>
      <c r="Q201" s="151" t="str">
        <f>IFERROR(VLOOKUP(C201,Ativos!$A$1:$G2000,5,),)</f>
        <v/>
      </c>
    </row>
    <row r="202" ht="21.0" customHeight="1">
      <c r="A202" s="152"/>
      <c r="B202" s="160"/>
      <c r="C202" s="153"/>
      <c r="D202" s="169"/>
      <c r="E202" s="139"/>
      <c r="F202" s="141"/>
      <c r="G202" s="170" t="str">
        <f>IFERROR(__xludf.DUMMYFUNCTION("if($C202="""","""",iferror(if(row()&lt;&gt;2,INDEX(arrayformula(filter($H$2:$H201,$C$2:$C201&lt;&gt;"""",row($C$2:$C201)=max(if($C$2:$C201=C202,row($C$2:$C201),0)))) ,1),0),0))"),"")</f>
        <v/>
      </c>
      <c r="H202" s="170" t="str">
        <f t="shared" si="8"/>
        <v/>
      </c>
      <c r="I202" s="147" t="str">
        <f t="shared" si="1"/>
        <v/>
      </c>
      <c r="J202" s="147" t="str">
        <f t="shared" si="13"/>
        <v/>
      </c>
      <c r="K202" s="147" t="str">
        <f>IFERROR(__xludf.DUMMYFUNCTION("if(C202="""","""",iferror(if(row()&lt;&gt;2,INDEX(arrayformula(filter($L$2:$L201,$C$2:$C201&lt;&gt;"""",row($C$2:$C201)=max(if($C$2:$C201=C202,row($C$2:$C201),0)))) ,1),0),0))"),"")</f>
        <v/>
      </c>
      <c r="L202" s="147" t="str">
        <f t="shared" si="14"/>
        <v/>
      </c>
      <c r="M202" s="147" t="str">
        <f t="shared" si="15"/>
        <v/>
      </c>
      <c r="N202" s="147" t="str">
        <f t="shared" si="16"/>
        <v/>
      </c>
      <c r="O202" s="147" t="str">
        <f t="shared" si="6"/>
        <v/>
      </c>
      <c r="P202" s="150" t="str">
        <f t="shared" si="7"/>
        <v/>
      </c>
      <c r="Q202" s="151" t="str">
        <f>IFERROR(VLOOKUP(C202,Ativos!$A$1:$G2000,5,),)</f>
        <v/>
      </c>
    </row>
    <row r="203" ht="21.0" customHeight="1">
      <c r="A203" s="152"/>
      <c r="B203" s="160"/>
      <c r="C203" s="153"/>
      <c r="D203" s="169"/>
      <c r="E203" s="139"/>
      <c r="F203" s="141"/>
      <c r="G203" s="170" t="str">
        <f>IFERROR(__xludf.DUMMYFUNCTION("if($C203="""","""",iferror(if(row()&lt;&gt;2,INDEX(arrayformula(filter($H$2:$H202,$C$2:$C202&lt;&gt;"""",row($C$2:$C202)=max(if($C$2:$C202=C203,row($C$2:$C202),0)))) ,1),0),0))"),"")</f>
        <v/>
      </c>
      <c r="H203" s="170" t="str">
        <f t="shared" si="8"/>
        <v/>
      </c>
      <c r="I203" s="147" t="str">
        <f t="shared" si="1"/>
        <v/>
      </c>
      <c r="J203" s="147" t="str">
        <f t="shared" si="13"/>
        <v/>
      </c>
      <c r="K203" s="147" t="str">
        <f>IFERROR(__xludf.DUMMYFUNCTION("if(C203="""","""",iferror(if(row()&lt;&gt;2,INDEX(arrayformula(filter($L$2:$L202,$C$2:$C202&lt;&gt;"""",row($C$2:$C202)=max(if($C$2:$C202=C203,row($C$2:$C202),0)))) ,1),0),0))"),"")</f>
        <v/>
      </c>
      <c r="L203" s="147" t="str">
        <f t="shared" si="14"/>
        <v/>
      </c>
      <c r="M203" s="147" t="str">
        <f t="shared" si="15"/>
        <v/>
      </c>
      <c r="N203" s="147" t="str">
        <f t="shared" si="16"/>
        <v/>
      </c>
      <c r="O203" s="147" t="str">
        <f t="shared" si="6"/>
        <v/>
      </c>
      <c r="P203" s="150" t="str">
        <f t="shared" si="7"/>
        <v/>
      </c>
      <c r="Q203" s="151" t="str">
        <f>IFERROR(VLOOKUP(C203,Ativos!$A$1:$G2000,5,),)</f>
        <v/>
      </c>
    </row>
    <row r="204" ht="21.0" customHeight="1">
      <c r="A204" s="152"/>
      <c r="B204" s="160"/>
      <c r="C204" s="153"/>
      <c r="D204" s="169"/>
      <c r="E204" s="139"/>
      <c r="F204" s="141"/>
      <c r="G204" s="170" t="str">
        <f>IFERROR(__xludf.DUMMYFUNCTION("if($C204="""","""",iferror(if(row()&lt;&gt;2,INDEX(arrayformula(filter($H$2:$H203,$C$2:$C203&lt;&gt;"""",row($C$2:$C203)=max(if($C$2:$C203=C204,row($C$2:$C203),0)))) ,1),0),0))"),"")</f>
        <v/>
      </c>
      <c r="H204" s="170" t="str">
        <f t="shared" si="8"/>
        <v/>
      </c>
      <c r="I204" s="147" t="str">
        <f t="shared" si="1"/>
        <v/>
      </c>
      <c r="J204" s="147" t="str">
        <f t="shared" si="13"/>
        <v/>
      </c>
      <c r="K204" s="147" t="str">
        <f>IFERROR(__xludf.DUMMYFUNCTION("if(C204="""","""",iferror(if(row()&lt;&gt;2,INDEX(arrayformula(filter($L$2:$L203,$C$2:$C203&lt;&gt;"""",row($C$2:$C203)=max(if($C$2:$C203=C204,row($C$2:$C203),0)))) ,1),0),0))"),"")</f>
        <v/>
      </c>
      <c r="L204" s="147" t="str">
        <f t="shared" si="14"/>
        <v/>
      </c>
      <c r="M204" s="147" t="str">
        <f t="shared" si="15"/>
        <v/>
      </c>
      <c r="N204" s="147" t="str">
        <f t="shared" si="16"/>
        <v/>
      </c>
      <c r="O204" s="147" t="str">
        <f t="shared" si="6"/>
        <v/>
      </c>
      <c r="P204" s="150" t="str">
        <f t="shared" si="7"/>
        <v/>
      </c>
      <c r="Q204" s="151" t="str">
        <f>IFERROR(VLOOKUP(C204,Ativos!$A$1:$G2000,5,),)</f>
        <v/>
      </c>
    </row>
    <row r="205" ht="21.0" customHeight="1">
      <c r="A205" s="152"/>
      <c r="B205" s="160"/>
      <c r="C205" s="153"/>
      <c r="D205" s="169"/>
      <c r="E205" s="139"/>
      <c r="F205" s="141"/>
      <c r="G205" s="170" t="str">
        <f>IFERROR(__xludf.DUMMYFUNCTION("if($C205="""","""",iferror(if(row()&lt;&gt;2,INDEX(arrayformula(filter($H$2:$H204,$C$2:$C204&lt;&gt;"""",row($C$2:$C204)=max(if($C$2:$C204=C205,row($C$2:$C204),0)))) ,1),0),0))"),"")</f>
        <v/>
      </c>
      <c r="H205" s="170" t="str">
        <f t="shared" si="8"/>
        <v/>
      </c>
      <c r="I205" s="147" t="str">
        <f t="shared" si="1"/>
        <v/>
      </c>
      <c r="J205" s="147" t="str">
        <f t="shared" si="13"/>
        <v/>
      </c>
      <c r="K205" s="147" t="str">
        <f>IFERROR(__xludf.DUMMYFUNCTION("if(C205="""","""",iferror(if(row()&lt;&gt;2,INDEX(arrayformula(filter($L$2:$L204,$C$2:$C204&lt;&gt;"""",row($C$2:$C204)=max(if($C$2:$C204=C205,row($C$2:$C204),0)))) ,1),0),0))"),"")</f>
        <v/>
      </c>
      <c r="L205" s="147" t="str">
        <f t="shared" si="14"/>
        <v/>
      </c>
      <c r="M205" s="147" t="str">
        <f t="shared" si="15"/>
        <v/>
      </c>
      <c r="N205" s="147" t="str">
        <f t="shared" si="16"/>
        <v/>
      </c>
      <c r="O205" s="147" t="str">
        <f t="shared" si="6"/>
        <v/>
      </c>
      <c r="P205" s="150" t="str">
        <f t="shared" si="7"/>
        <v/>
      </c>
      <c r="Q205" s="151" t="str">
        <f>IFERROR(VLOOKUP(C205,Ativos!$A$1:$G2000,5,),)</f>
        <v/>
      </c>
    </row>
    <row r="206" ht="21.0" customHeight="1">
      <c r="A206" s="152"/>
      <c r="B206" s="160"/>
      <c r="C206" s="153"/>
      <c r="D206" s="169"/>
      <c r="E206" s="139"/>
      <c r="F206" s="141"/>
      <c r="G206" s="170" t="str">
        <f>IFERROR(__xludf.DUMMYFUNCTION("if($C206="""","""",iferror(if(row()&lt;&gt;2,INDEX(arrayformula(filter($H$2:$H205,$C$2:$C205&lt;&gt;"""",row($C$2:$C205)=max(if($C$2:$C205=C206,row($C$2:$C205),0)))) ,1),0),0))"),"")</f>
        <v/>
      </c>
      <c r="H206" s="170" t="str">
        <f t="shared" si="8"/>
        <v/>
      </c>
      <c r="I206" s="147" t="str">
        <f t="shared" si="1"/>
        <v/>
      </c>
      <c r="J206" s="147" t="str">
        <f t="shared" si="13"/>
        <v/>
      </c>
      <c r="K206" s="147" t="str">
        <f>IFERROR(__xludf.DUMMYFUNCTION("if(C206="""","""",iferror(if(row()&lt;&gt;2,INDEX(arrayformula(filter($L$2:$L205,$C$2:$C205&lt;&gt;"""",row($C$2:$C205)=max(if($C$2:$C205=C206,row($C$2:$C205),0)))) ,1),0),0))"),"")</f>
        <v/>
      </c>
      <c r="L206" s="147" t="str">
        <f t="shared" si="14"/>
        <v/>
      </c>
      <c r="M206" s="147" t="str">
        <f t="shared" si="15"/>
        <v/>
      </c>
      <c r="N206" s="147" t="str">
        <f t="shared" si="16"/>
        <v/>
      </c>
      <c r="O206" s="147" t="str">
        <f t="shared" si="6"/>
        <v/>
      </c>
      <c r="P206" s="150" t="str">
        <f t="shared" si="7"/>
        <v/>
      </c>
      <c r="Q206" s="151" t="str">
        <f>IFERROR(VLOOKUP(C206,Ativos!$A$1:$G2000,5,),)</f>
        <v/>
      </c>
    </row>
    <row r="207" ht="21.0" customHeight="1">
      <c r="A207" s="152"/>
      <c r="B207" s="160"/>
      <c r="C207" s="153"/>
      <c r="D207" s="169"/>
      <c r="E207" s="139"/>
      <c r="F207" s="141"/>
      <c r="G207" s="170" t="str">
        <f>IFERROR(__xludf.DUMMYFUNCTION("if($C207="""","""",iferror(if(row()&lt;&gt;2,INDEX(arrayformula(filter($H$2:$H206,$C$2:$C206&lt;&gt;"""",row($C$2:$C206)=max(if($C$2:$C206=C207,row($C$2:$C206),0)))) ,1),0),0))"),"")</f>
        <v/>
      </c>
      <c r="H207" s="170" t="str">
        <f t="shared" si="8"/>
        <v/>
      </c>
      <c r="I207" s="147" t="str">
        <f t="shared" si="1"/>
        <v/>
      </c>
      <c r="J207" s="147" t="str">
        <f t="shared" si="13"/>
        <v/>
      </c>
      <c r="K207" s="147" t="str">
        <f>IFERROR(__xludf.DUMMYFUNCTION("if(C207="""","""",iferror(if(row()&lt;&gt;2,INDEX(arrayformula(filter($L$2:$L206,$C$2:$C206&lt;&gt;"""",row($C$2:$C206)=max(if($C$2:$C206=C207,row($C$2:$C206),0)))) ,1),0),0))"),"")</f>
        <v/>
      </c>
      <c r="L207" s="147" t="str">
        <f t="shared" si="14"/>
        <v/>
      </c>
      <c r="M207" s="147" t="str">
        <f t="shared" si="15"/>
        <v/>
      </c>
      <c r="N207" s="147" t="str">
        <f t="shared" si="16"/>
        <v/>
      </c>
      <c r="O207" s="147" t="str">
        <f t="shared" si="6"/>
        <v/>
      </c>
      <c r="P207" s="150" t="str">
        <f t="shared" si="7"/>
        <v/>
      </c>
      <c r="Q207" s="151" t="str">
        <f>IFERROR(VLOOKUP(C207,Ativos!$A$1:$G2000,5,),)</f>
        <v/>
      </c>
    </row>
    <row r="208" ht="21.0" customHeight="1">
      <c r="A208" s="152"/>
      <c r="B208" s="160"/>
      <c r="C208" s="153"/>
      <c r="D208" s="169"/>
      <c r="E208" s="139"/>
      <c r="F208" s="141"/>
      <c r="G208" s="170" t="str">
        <f>IFERROR(__xludf.DUMMYFUNCTION("if($C208="""","""",iferror(if(row()&lt;&gt;2,INDEX(arrayformula(filter($H$2:$H207,$C$2:$C207&lt;&gt;"""",row($C$2:$C207)=max(if($C$2:$C207=C208,row($C$2:$C207),0)))) ,1),0),0))"),"")</f>
        <v/>
      </c>
      <c r="H208" s="170" t="str">
        <f t="shared" si="8"/>
        <v/>
      </c>
      <c r="I208" s="147" t="str">
        <f t="shared" si="1"/>
        <v/>
      </c>
      <c r="J208" s="147" t="str">
        <f t="shared" si="13"/>
        <v/>
      </c>
      <c r="K208" s="147" t="str">
        <f>IFERROR(__xludf.DUMMYFUNCTION("if(C208="""","""",iferror(if(row()&lt;&gt;2,INDEX(arrayformula(filter($L$2:$L207,$C$2:$C207&lt;&gt;"""",row($C$2:$C207)=max(if($C$2:$C207=C208,row($C$2:$C207),0)))) ,1),0),0))"),"")</f>
        <v/>
      </c>
      <c r="L208" s="147" t="str">
        <f t="shared" si="14"/>
        <v/>
      </c>
      <c r="M208" s="147" t="str">
        <f t="shared" si="15"/>
        <v/>
      </c>
      <c r="N208" s="147" t="str">
        <f t="shared" si="16"/>
        <v/>
      </c>
      <c r="O208" s="147" t="str">
        <f t="shared" si="6"/>
        <v/>
      </c>
      <c r="P208" s="150" t="str">
        <f t="shared" si="7"/>
        <v/>
      </c>
      <c r="Q208" s="151" t="str">
        <f>IFERROR(VLOOKUP(C208,Ativos!$A$1:$G2000,5,),)</f>
        <v/>
      </c>
    </row>
    <row r="209" ht="21.0" customHeight="1">
      <c r="A209" s="152"/>
      <c r="B209" s="160"/>
      <c r="C209" s="153"/>
      <c r="D209" s="169"/>
      <c r="E209" s="139"/>
      <c r="F209" s="141"/>
      <c r="G209" s="170" t="str">
        <f>IFERROR(__xludf.DUMMYFUNCTION("if($C209="""","""",iferror(if(row()&lt;&gt;2,INDEX(arrayformula(filter($H$2:$H208,$C$2:$C208&lt;&gt;"""",row($C$2:$C208)=max(if($C$2:$C208=C209,row($C$2:$C208),0)))) ,1),0),0))"),"")</f>
        <v/>
      </c>
      <c r="H209" s="170" t="str">
        <f t="shared" si="8"/>
        <v/>
      </c>
      <c r="I209" s="147" t="str">
        <f t="shared" si="1"/>
        <v/>
      </c>
      <c r="J209" s="147" t="str">
        <f t="shared" si="13"/>
        <v/>
      </c>
      <c r="K209" s="147" t="str">
        <f>IFERROR(__xludf.DUMMYFUNCTION("if(C209="""","""",iferror(if(row()&lt;&gt;2,INDEX(arrayformula(filter($L$2:$L208,$C$2:$C208&lt;&gt;"""",row($C$2:$C208)=max(if($C$2:$C208=C209,row($C$2:$C208),0)))) ,1),0),0))"),"")</f>
        <v/>
      </c>
      <c r="L209" s="147" t="str">
        <f t="shared" si="14"/>
        <v/>
      </c>
      <c r="M209" s="147" t="str">
        <f t="shared" si="15"/>
        <v/>
      </c>
      <c r="N209" s="147" t="str">
        <f t="shared" si="16"/>
        <v/>
      </c>
      <c r="O209" s="147" t="str">
        <f t="shared" si="6"/>
        <v/>
      </c>
      <c r="P209" s="150" t="str">
        <f t="shared" si="7"/>
        <v/>
      </c>
      <c r="Q209" s="151" t="str">
        <f>IFERROR(VLOOKUP(C209,Ativos!$A$1:$G2000,5,),)</f>
        <v/>
      </c>
    </row>
    <row r="210" ht="21.0" customHeight="1">
      <c r="A210" s="152"/>
      <c r="B210" s="160"/>
      <c r="C210" s="153"/>
      <c r="D210" s="169"/>
      <c r="E210" s="139"/>
      <c r="F210" s="141"/>
      <c r="G210" s="170" t="str">
        <f>IFERROR(__xludf.DUMMYFUNCTION("if($C210="""","""",iferror(if(row()&lt;&gt;2,INDEX(arrayformula(filter($H$2:$H209,$C$2:$C209&lt;&gt;"""",row($C$2:$C209)=max(if($C$2:$C209=C210,row($C$2:$C209),0)))) ,1),0),0))"),"")</f>
        <v/>
      </c>
      <c r="H210" s="170" t="str">
        <f t="shared" si="8"/>
        <v/>
      </c>
      <c r="I210" s="147" t="str">
        <f t="shared" si="1"/>
        <v/>
      </c>
      <c r="J210" s="147" t="str">
        <f t="shared" si="13"/>
        <v/>
      </c>
      <c r="K210" s="147" t="str">
        <f>IFERROR(__xludf.DUMMYFUNCTION("if(C210="""","""",iferror(if(row()&lt;&gt;2,INDEX(arrayformula(filter($L$2:$L209,$C$2:$C209&lt;&gt;"""",row($C$2:$C209)=max(if($C$2:$C209=C210,row($C$2:$C209),0)))) ,1),0),0))"),"")</f>
        <v/>
      </c>
      <c r="L210" s="147" t="str">
        <f t="shared" si="14"/>
        <v/>
      </c>
      <c r="M210" s="147" t="str">
        <f t="shared" si="15"/>
        <v/>
      </c>
      <c r="N210" s="147" t="str">
        <f t="shared" si="16"/>
        <v/>
      </c>
      <c r="O210" s="147" t="str">
        <f t="shared" si="6"/>
        <v/>
      </c>
      <c r="P210" s="150" t="str">
        <f t="shared" si="7"/>
        <v/>
      </c>
      <c r="Q210" s="151" t="str">
        <f>IFERROR(VLOOKUP(C210,Ativos!$A$1:$G2000,5,),)</f>
        <v/>
      </c>
    </row>
    <row r="211" ht="21.0" customHeight="1">
      <c r="A211" s="152"/>
      <c r="B211" s="160"/>
      <c r="C211" s="153"/>
      <c r="D211" s="169"/>
      <c r="E211" s="139"/>
      <c r="F211" s="141"/>
      <c r="G211" s="170" t="str">
        <f>IFERROR(__xludf.DUMMYFUNCTION("if($C211="""","""",iferror(if(row()&lt;&gt;2,INDEX(arrayformula(filter($H$2:$H210,$C$2:$C210&lt;&gt;"""",row($C$2:$C210)=max(if($C$2:$C210=C211,row($C$2:$C210),0)))) ,1),0),0))"),"")</f>
        <v/>
      </c>
      <c r="H211" s="170" t="str">
        <f t="shared" si="8"/>
        <v/>
      </c>
      <c r="I211" s="147" t="str">
        <f t="shared" si="1"/>
        <v/>
      </c>
      <c r="J211" s="147" t="str">
        <f t="shared" si="13"/>
        <v/>
      </c>
      <c r="K211" s="147" t="str">
        <f>IFERROR(__xludf.DUMMYFUNCTION("if(C211="""","""",iferror(if(row()&lt;&gt;2,INDEX(arrayformula(filter($L$2:$L210,$C$2:$C210&lt;&gt;"""",row($C$2:$C210)=max(if($C$2:$C210=C211,row($C$2:$C210),0)))) ,1),0),0))"),"")</f>
        <v/>
      </c>
      <c r="L211" s="147" t="str">
        <f t="shared" si="14"/>
        <v/>
      </c>
      <c r="M211" s="147" t="str">
        <f t="shared" si="15"/>
        <v/>
      </c>
      <c r="N211" s="147" t="str">
        <f t="shared" si="16"/>
        <v/>
      </c>
      <c r="O211" s="147" t="str">
        <f t="shared" si="6"/>
        <v/>
      </c>
      <c r="P211" s="150" t="str">
        <f t="shared" si="7"/>
        <v/>
      </c>
      <c r="Q211" s="151" t="str">
        <f>IFERROR(VLOOKUP(C211,Ativos!$A$1:$G2000,5,),)</f>
        <v/>
      </c>
    </row>
    <row r="212" ht="21.0" customHeight="1">
      <c r="A212" s="152"/>
      <c r="B212" s="160"/>
      <c r="C212" s="153"/>
      <c r="D212" s="169"/>
      <c r="E212" s="139"/>
      <c r="F212" s="141"/>
      <c r="G212" s="170" t="str">
        <f>IFERROR(__xludf.DUMMYFUNCTION("if($C212="""","""",iferror(if(row()&lt;&gt;2,INDEX(arrayformula(filter($H$2:$H211,$C$2:$C211&lt;&gt;"""",row($C$2:$C211)=max(if($C$2:$C211=C212,row($C$2:$C211),0)))) ,1),0),0))"),"")</f>
        <v/>
      </c>
      <c r="H212" s="170" t="str">
        <f t="shared" si="8"/>
        <v/>
      </c>
      <c r="I212" s="147" t="str">
        <f t="shared" si="1"/>
        <v/>
      </c>
      <c r="J212" s="147" t="str">
        <f t="shared" si="13"/>
        <v/>
      </c>
      <c r="K212" s="147" t="str">
        <f>IFERROR(__xludf.DUMMYFUNCTION("if(C212="""","""",iferror(if(row()&lt;&gt;2,INDEX(arrayformula(filter($L$2:$L211,$C$2:$C211&lt;&gt;"""",row($C$2:$C211)=max(if($C$2:$C211=C212,row($C$2:$C211),0)))) ,1),0),0))"),"")</f>
        <v/>
      </c>
      <c r="L212" s="147" t="str">
        <f t="shared" si="14"/>
        <v/>
      </c>
      <c r="M212" s="147" t="str">
        <f t="shared" si="15"/>
        <v/>
      </c>
      <c r="N212" s="147" t="str">
        <f t="shared" si="16"/>
        <v/>
      </c>
      <c r="O212" s="147" t="str">
        <f t="shared" si="6"/>
        <v/>
      </c>
      <c r="P212" s="150" t="str">
        <f t="shared" si="7"/>
        <v/>
      </c>
      <c r="Q212" s="151" t="str">
        <f>IFERROR(VLOOKUP(C212,Ativos!$A$1:$G2000,5,),)</f>
        <v/>
      </c>
    </row>
    <row r="213" ht="21.0" customHeight="1">
      <c r="A213" s="152"/>
      <c r="B213" s="160"/>
      <c r="C213" s="153"/>
      <c r="D213" s="169"/>
      <c r="E213" s="139"/>
      <c r="F213" s="141"/>
      <c r="G213" s="170" t="str">
        <f>IFERROR(__xludf.DUMMYFUNCTION("if($C213="""","""",iferror(if(row()&lt;&gt;2,INDEX(arrayformula(filter($H$2:$H212,$C$2:$C212&lt;&gt;"""",row($C$2:$C212)=max(if($C$2:$C212=C213,row($C$2:$C212),0)))) ,1),0),0))"),"")</f>
        <v/>
      </c>
      <c r="H213" s="170" t="str">
        <f t="shared" si="8"/>
        <v/>
      </c>
      <c r="I213" s="147" t="str">
        <f t="shared" si="1"/>
        <v/>
      </c>
      <c r="J213" s="147" t="str">
        <f t="shared" si="13"/>
        <v/>
      </c>
      <c r="K213" s="147" t="str">
        <f>IFERROR(__xludf.DUMMYFUNCTION("if(C213="""","""",iferror(if(row()&lt;&gt;2,INDEX(arrayformula(filter($L$2:$L212,$C$2:$C212&lt;&gt;"""",row($C$2:$C212)=max(if($C$2:$C212=C213,row($C$2:$C212),0)))) ,1),0),0))"),"")</f>
        <v/>
      </c>
      <c r="L213" s="147" t="str">
        <f t="shared" si="14"/>
        <v/>
      </c>
      <c r="M213" s="147" t="str">
        <f t="shared" si="15"/>
        <v/>
      </c>
      <c r="N213" s="147" t="str">
        <f t="shared" si="16"/>
        <v/>
      </c>
      <c r="O213" s="147" t="str">
        <f t="shared" si="6"/>
        <v/>
      </c>
      <c r="P213" s="150" t="str">
        <f t="shared" si="7"/>
        <v/>
      </c>
      <c r="Q213" s="151" t="str">
        <f>IFERROR(VLOOKUP(C213,Ativos!$A$1:$G2000,5,),)</f>
        <v/>
      </c>
    </row>
    <row r="214" ht="21.0" customHeight="1">
      <c r="A214" s="152"/>
      <c r="B214" s="160"/>
      <c r="C214" s="153"/>
      <c r="D214" s="169"/>
      <c r="E214" s="139"/>
      <c r="F214" s="141"/>
      <c r="G214" s="170" t="str">
        <f>IFERROR(__xludf.DUMMYFUNCTION("if($C214="""","""",iferror(if(row()&lt;&gt;2,INDEX(arrayformula(filter($H$2:$H213,$C$2:$C213&lt;&gt;"""",row($C$2:$C213)=max(if($C$2:$C213=C214,row($C$2:$C213),0)))) ,1),0),0))"),"")</f>
        <v/>
      </c>
      <c r="H214" s="170" t="str">
        <f t="shared" si="8"/>
        <v/>
      </c>
      <c r="I214" s="147" t="str">
        <f t="shared" si="1"/>
        <v/>
      </c>
      <c r="J214" s="147" t="str">
        <f t="shared" si="13"/>
        <v/>
      </c>
      <c r="K214" s="147" t="str">
        <f>IFERROR(__xludf.DUMMYFUNCTION("if(C214="""","""",iferror(if(row()&lt;&gt;2,INDEX(arrayformula(filter($L$2:$L213,$C$2:$C213&lt;&gt;"""",row($C$2:$C213)=max(if($C$2:$C213=C214,row($C$2:$C213),0)))) ,1),0),0))"),"")</f>
        <v/>
      </c>
      <c r="L214" s="147" t="str">
        <f t="shared" si="14"/>
        <v/>
      </c>
      <c r="M214" s="147" t="str">
        <f t="shared" si="15"/>
        <v/>
      </c>
      <c r="N214" s="147" t="str">
        <f t="shared" si="16"/>
        <v/>
      </c>
      <c r="O214" s="147" t="str">
        <f t="shared" si="6"/>
        <v/>
      </c>
      <c r="P214" s="150" t="str">
        <f t="shared" si="7"/>
        <v/>
      </c>
      <c r="Q214" s="151" t="str">
        <f>IFERROR(VLOOKUP(C214,Ativos!$A$1:$G2000,5,),)</f>
        <v/>
      </c>
    </row>
    <row r="215" ht="21.0" customHeight="1">
      <c r="A215" s="152"/>
      <c r="B215" s="160"/>
      <c r="C215" s="153"/>
      <c r="D215" s="169"/>
      <c r="E215" s="139"/>
      <c r="F215" s="141"/>
      <c r="G215" s="170" t="str">
        <f>IFERROR(__xludf.DUMMYFUNCTION("if($C215="""","""",iferror(if(row()&lt;&gt;2,INDEX(arrayformula(filter($H$2:$H214,$C$2:$C214&lt;&gt;"""",row($C$2:$C214)=max(if($C$2:$C214=C215,row($C$2:$C214),0)))) ,1),0),0))"),"")</f>
        <v/>
      </c>
      <c r="H215" s="170" t="str">
        <f t="shared" si="8"/>
        <v/>
      </c>
      <c r="I215" s="147" t="str">
        <f t="shared" si="1"/>
        <v/>
      </c>
      <c r="J215" s="147" t="str">
        <f t="shared" si="13"/>
        <v/>
      </c>
      <c r="K215" s="147" t="str">
        <f>IFERROR(__xludf.DUMMYFUNCTION("if(C215="""","""",iferror(if(row()&lt;&gt;2,INDEX(arrayformula(filter($L$2:$L214,$C$2:$C214&lt;&gt;"""",row($C$2:$C214)=max(if($C$2:$C214=C215,row($C$2:$C214),0)))) ,1),0),0))"),"")</f>
        <v/>
      </c>
      <c r="L215" s="147" t="str">
        <f t="shared" si="14"/>
        <v/>
      </c>
      <c r="M215" s="147" t="str">
        <f t="shared" si="15"/>
        <v/>
      </c>
      <c r="N215" s="147" t="str">
        <f t="shared" si="16"/>
        <v/>
      </c>
      <c r="O215" s="147" t="str">
        <f t="shared" si="6"/>
        <v/>
      </c>
      <c r="P215" s="150" t="str">
        <f t="shared" si="7"/>
        <v/>
      </c>
      <c r="Q215" s="151" t="str">
        <f>IFERROR(VLOOKUP(C215,Ativos!$A$1:$G2000,5,),)</f>
        <v/>
      </c>
    </row>
    <row r="216" ht="21.0" customHeight="1">
      <c r="A216" s="152"/>
      <c r="B216" s="160"/>
      <c r="C216" s="153"/>
      <c r="D216" s="169"/>
      <c r="E216" s="139"/>
      <c r="F216" s="141"/>
      <c r="G216" s="170" t="str">
        <f>IFERROR(__xludf.DUMMYFUNCTION("if($C216="""","""",iferror(if(row()&lt;&gt;2,INDEX(arrayformula(filter($H$2:$H215,$C$2:$C215&lt;&gt;"""",row($C$2:$C215)=max(if($C$2:$C215=C216,row($C$2:$C215),0)))) ,1),0),0))"),"")</f>
        <v/>
      </c>
      <c r="H216" s="170" t="str">
        <f t="shared" si="8"/>
        <v/>
      </c>
      <c r="I216" s="147" t="str">
        <f t="shared" si="1"/>
        <v/>
      </c>
      <c r="J216" s="147" t="str">
        <f t="shared" si="13"/>
        <v/>
      </c>
      <c r="K216" s="147" t="str">
        <f>IFERROR(__xludf.DUMMYFUNCTION("if(C216="""","""",iferror(if(row()&lt;&gt;2,INDEX(arrayformula(filter($L$2:$L215,$C$2:$C215&lt;&gt;"""",row($C$2:$C215)=max(if($C$2:$C215=C216,row($C$2:$C215),0)))) ,1),0),0))"),"")</f>
        <v/>
      </c>
      <c r="L216" s="147" t="str">
        <f t="shared" si="14"/>
        <v/>
      </c>
      <c r="M216" s="147" t="str">
        <f t="shared" si="15"/>
        <v/>
      </c>
      <c r="N216" s="147" t="str">
        <f t="shared" si="16"/>
        <v/>
      </c>
      <c r="O216" s="147" t="str">
        <f t="shared" si="6"/>
        <v/>
      </c>
      <c r="P216" s="150" t="str">
        <f t="shared" si="7"/>
        <v/>
      </c>
      <c r="Q216" s="151" t="str">
        <f>IFERROR(VLOOKUP(C216,Ativos!$A$1:$G2000,5,),)</f>
        <v/>
      </c>
    </row>
    <row r="217" ht="21.0" customHeight="1">
      <c r="A217" s="152"/>
      <c r="B217" s="160"/>
      <c r="C217" s="153"/>
      <c r="D217" s="169"/>
      <c r="E217" s="139"/>
      <c r="F217" s="141"/>
      <c r="G217" s="170" t="str">
        <f>IFERROR(__xludf.DUMMYFUNCTION("if($C217="""","""",iferror(if(row()&lt;&gt;2,INDEX(arrayformula(filter($H$2:$H216,$C$2:$C216&lt;&gt;"""",row($C$2:$C216)=max(if($C$2:$C216=C217,row($C$2:$C216),0)))) ,1),0),0))"),"")</f>
        <v/>
      </c>
      <c r="H217" s="170" t="str">
        <f t="shared" si="8"/>
        <v/>
      </c>
      <c r="I217" s="147" t="str">
        <f t="shared" si="1"/>
        <v/>
      </c>
      <c r="J217" s="147" t="str">
        <f t="shared" si="13"/>
        <v/>
      </c>
      <c r="K217" s="147" t="str">
        <f>IFERROR(__xludf.DUMMYFUNCTION("if(C217="""","""",iferror(if(row()&lt;&gt;2,INDEX(arrayformula(filter($L$2:$L216,$C$2:$C216&lt;&gt;"""",row($C$2:$C216)=max(if($C$2:$C216=C217,row($C$2:$C216),0)))) ,1),0),0))"),"")</f>
        <v/>
      </c>
      <c r="L217" s="147" t="str">
        <f t="shared" si="14"/>
        <v/>
      </c>
      <c r="M217" s="147" t="str">
        <f t="shared" si="15"/>
        <v/>
      </c>
      <c r="N217" s="147" t="str">
        <f t="shared" si="16"/>
        <v/>
      </c>
      <c r="O217" s="147" t="str">
        <f t="shared" si="6"/>
        <v/>
      </c>
      <c r="P217" s="150" t="str">
        <f t="shared" si="7"/>
        <v/>
      </c>
      <c r="Q217" s="151" t="str">
        <f>IFERROR(VLOOKUP(C217,Ativos!$A$1:$G2000,5,),)</f>
        <v/>
      </c>
    </row>
    <row r="218" ht="21.0" customHeight="1">
      <c r="A218" s="152"/>
      <c r="B218" s="160"/>
      <c r="C218" s="153"/>
      <c r="D218" s="169"/>
      <c r="E218" s="139"/>
      <c r="F218" s="141"/>
      <c r="G218" s="170" t="str">
        <f>IFERROR(__xludf.DUMMYFUNCTION("if($C218="""","""",iferror(if(row()&lt;&gt;2,INDEX(arrayformula(filter($H$2:$H217,$C$2:$C217&lt;&gt;"""",row($C$2:$C217)=max(if($C$2:$C217=C218,row($C$2:$C217),0)))) ,1),0),0))"),"")</f>
        <v/>
      </c>
      <c r="H218" s="170" t="str">
        <f t="shared" si="8"/>
        <v/>
      </c>
      <c r="I218" s="147" t="str">
        <f t="shared" si="1"/>
        <v/>
      </c>
      <c r="J218" s="147" t="str">
        <f t="shared" si="13"/>
        <v/>
      </c>
      <c r="K218" s="147" t="str">
        <f>IFERROR(__xludf.DUMMYFUNCTION("if(C218="""","""",iferror(if(row()&lt;&gt;2,INDEX(arrayformula(filter($L$2:$L217,$C$2:$C217&lt;&gt;"""",row($C$2:$C217)=max(if($C$2:$C217=C218,row($C$2:$C217),0)))) ,1),0),0))"),"")</f>
        <v/>
      </c>
      <c r="L218" s="147" t="str">
        <f t="shared" si="14"/>
        <v/>
      </c>
      <c r="M218" s="147" t="str">
        <f t="shared" si="15"/>
        <v/>
      </c>
      <c r="N218" s="147" t="str">
        <f t="shared" si="16"/>
        <v/>
      </c>
      <c r="O218" s="147" t="str">
        <f t="shared" si="6"/>
        <v/>
      </c>
      <c r="P218" s="150" t="str">
        <f t="shared" si="7"/>
        <v/>
      </c>
      <c r="Q218" s="151" t="str">
        <f>IFERROR(VLOOKUP(C218,Ativos!$A$1:$G2000,5,),)</f>
        <v/>
      </c>
    </row>
    <row r="219" ht="21.0" customHeight="1">
      <c r="A219" s="152"/>
      <c r="B219" s="160"/>
      <c r="C219" s="153"/>
      <c r="D219" s="169"/>
      <c r="E219" s="139"/>
      <c r="F219" s="141"/>
      <c r="G219" s="170" t="str">
        <f>IFERROR(__xludf.DUMMYFUNCTION("if($C219="""","""",iferror(if(row()&lt;&gt;2,INDEX(arrayformula(filter($H$2:$H218,$C$2:$C218&lt;&gt;"""",row($C$2:$C218)=max(if($C$2:$C218=C219,row($C$2:$C218),0)))) ,1),0),0))"),"")</f>
        <v/>
      </c>
      <c r="H219" s="170" t="str">
        <f t="shared" si="8"/>
        <v/>
      </c>
      <c r="I219" s="147" t="str">
        <f t="shared" si="1"/>
        <v/>
      </c>
      <c r="J219" s="147" t="str">
        <f t="shared" si="13"/>
        <v/>
      </c>
      <c r="K219" s="147" t="str">
        <f>IFERROR(__xludf.DUMMYFUNCTION("if(C219="""","""",iferror(if(row()&lt;&gt;2,INDEX(arrayformula(filter($L$2:$L218,$C$2:$C218&lt;&gt;"""",row($C$2:$C218)=max(if($C$2:$C218=C219,row($C$2:$C218),0)))) ,1),0),0))"),"")</f>
        <v/>
      </c>
      <c r="L219" s="147" t="str">
        <f t="shared" si="14"/>
        <v/>
      </c>
      <c r="M219" s="147" t="str">
        <f t="shared" si="15"/>
        <v/>
      </c>
      <c r="N219" s="147" t="str">
        <f t="shared" si="16"/>
        <v/>
      </c>
      <c r="O219" s="147" t="str">
        <f t="shared" si="6"/>
        <v/>
      </c>
      <c r="P219" s="150" t="str">
        <f t="shared" si="7"/>
        <v/>
      </c>
      <c r="Q219" s="151" t="str">
        <f>IFERROR(VLOOKUP(C219,Ativos!$A$1:$G2000,5,),)</f>
        <v/>
      </c>
    </row>
    <row r="220" ht="21.0" customHeight="1">
      <c r="A220" s="152"/>
      <c r="B220" s="160"/>
      <c r="C220" s="153"/>
      <c r="D220" s="169"/>
      <c r="E220" s="139"/>
      <c r="F220" s="141"/>
      <c r="G220" s="170" t="str">
        <f>IFERROR(__xludf.DUMMYFUNCTION("if($C220="""","""",iferror(if(row()&lt;&gt;2,INDEX(arrayformula(filter($H$2:$H219,$C$2:$C219&lt;&gt;"""",row($C$2:$C219)=max(if($C$2:$C219=C220,row($C$2:$C219),0)))) ,1),0),0))"),"")</f>
        <v/>
      </c>
      <c r="H220" s="170" t="str">
        <f t="shared" si="8"/>
        <v/>
      </c>
      <c r="I220" s="147" t="str">
        <f t="shared" si="1"/>
        <v/>
      </c>
      <c r="J220" s="147" t="str">
        <f t="shared" si="13"/>
        <v/>
      </c>
      <c r="K220" s="147" t="str">
        <f>IFERROR(__xludf.DUMMYFUNCTION("if(C220="""","""",iferror(if(row()&lt;&gt;2,INDEX(arrayformula(filter($L$2:$L219,$C$2:$C219&lt;&gt;"""",row($C$2:$C219)=max(if($C$2:$C219=C220,row($C$2:$C219),0)))) ,1),0),0))"),"")</f>
        <v/>
      </c>
      <c r="L220" s="147" t="str">
        <f t="shared" si="14"/>
        <v/>
      </c>
      <c r="M220" s="147" t="str">
        <f t="shared" si="15"/>
        <v/>
      </c>
      <c r="N220" s="147" t="str">
        <f t="shared" si="16"/>
        <v/>
      </c>
      <c r="O220" s="147" t="str">
        <f t="shared" si="6"/>
        <v/>
      </c>
      <c r="P220" s="150" t="str">
        <f t="shared" si="7"/>
        <v/>
      </c>
      <c r="Q220" s="151" t="str">
        <f>IFERROR(VLOOKUP(C220,Ativos!$A$1:$G2000,5,),)</f>
        <v/>
      </c>
    </row>
    <row r="221" ht="21.0" customHeight="1">
      <c r="A221" s="152"/>
      <c r="B221" s="160"/>
      <c r="C221" s="153"/>
      <c r="D221" s="169"/>
      <c r="E221" s="139"/>
      <c r="F221" s="141"/>
      <c r="G221" s="170" t="str">
        <f>IFERROR(__xludf.DUMMYFUNCTION("if($C221="""","""",iferror(if(row()&lt;&gt;2,INDEX(arrayformula(filter($H$2:$H220,$C$2:$C220&lt;&gt;"""",row($C$2:$C220)=max(if($C$2:$C220=C221,row($C$2:$C220),0)))) ,1),0),0))"),"")</f>
        <v/>
      </c>
      <c r="H221" s="170" t="str">
        <f t="shared" si="8"/>
        <v/>
      </c>
      <c r="I221" s="147" t="str">
        <f t="shared" si="1"/>
        <v/>
      </c>
      <c r="J221" s="147" t="str">
        <f t="shared" si="13"/>
        <v/>
      </c>
      <c r="K221" s="147" t="str">
        <f>IFERROR(__xludf.DUMMYFUNCTION("if(C221="""","""",iferror(if(row()&lt;&gt;2,INDEX(arrayformula(filter($L$2:$L220,$C$2:$C220&lt;&gt;"""",row($C$2:$C220)=max(if($C$2:$C220=C221,row($C$2:$C220),0)))) ,1),0),0))"),"")</f>
        <v/>
      </c>
      <c r="L221" s="147" t="str">
        <f t="shared" si="14"/>
        <v/>
      </c>
      <c r="M221" s="147" t="str">
        <f t="shared" si="15"/>
        <v/>
      </c>
      <c r="N221" s="147" t="str">
        <f t="shared" si="16"/>
        <v/>
      </c>
      <c r="O221" s="147" t="str">
        <f t="shared" si="6"/>
        <v/>
      </c>
      <c r="P221" s="150" t="str">
        <f t="shared" si="7"/>
        <v/>
      </c>
      <c r="Q221" s="151" t="str">
        <f>IFERROR(VLOOKUP(C221,Ativos!$A$1:$G2000,5,),)</f>
        <v/>
      </c>
    </row>
    <row r="222" ht="21.0" customHeight="1">
      <c r="A222" s="152"/>
      <c r="B222" s="160"/>
      <c r="C222" s="153"/>
      <c r="D222" s="169"/>
      <c r="E222" s="139"/>
      <c r="F222" s="141"/>
      <c r="G222" s="170" t="str">
        <f>IFERROR(__xludf.DUMMYFUNCTION("if($C222="""","""",iferror(if(row()&lt;&gt;2,INDEX(arrayformula(filter($H$2:$H221,$C$2:$C221&lt;&gt;"""",row($C$2:$C221)=max(if($C$2:$C221=C222,row($C$2:$C221),0)))) ,1),0),0))"),"")</f>
        <v/>
      </c>
      <c r="H222" s="170" t="str">
        <f t="shared" si="8"/>
        <v/>
      </c>
      <c r="I222" s="147" t="str">
        <f t="shared" si="1"/>
        <v/>
      </c>
      <c r="J222" s="147" t="str">
        <f t="shared" si="13"/>
        <v/>
      </c>
      <c r="K222" s="147" t="str">
        <f>IFERROR(__xludf.DUMMYFUNCTION("if(C222="""","""",iferror(if(row()&lt;&gt;2,INDEX(arrayformula(filter($L$2:$L221,$C$2:$C221&lt;&gt;"""",row($C$2:$C221)=max(if($C$2:$C221=C222,row($C$2:$C221),0)))) ,1),0),0))"),"")</f>
        <v/>
      </c>
      <c r="L222" s="147" t="str">
        <f t="shared" si="14"/>
        <v/>
      </c>
      <c r="M222" s="147" t="str">
        <f t="shared" si="15"/>
        <v/>
      </c>
      <c r="N222" s="147" t="str">
        <f t="shared" si="16"/>
        <v/>
      </c>
      <c r="O222" s="147" t="str">
        <f t="shared" si="6"/>
        <v/>
      </c>
      <c r="P222" s="150" t="str">
        <f t="shared" si="7"/>
        <v/>
      </c>
      <c r="Q222" s="151" t="str">
        <f>IFERROR(VLOOKUP(C222,Ativos!$A$1:$G2000,5,),)</f>
        <v/>
      </c>
    </row>
    <row r="223" ht="21.0" customHeight="1">
      <c r="A223" s="152"/>
      <c r="B223" s="160"/>
      <c r="C223" s="153"/>
      <c r="D223" s="169"/>
      <c r="E223" s="139"/>
      <c r="F223" s="141"/>
      <c r="G223" s="170" t="str">
        <f>IFERROR(__xludf.DUMMYFUNCTION("if($C223="""","""",iferror(if(row()&lt;&gt;2,INDEX(arrayformula(filter($H$2:$H222,$C$2:$C222&lt;&gt;"""",row($C$2:$C222)=max(if($C$2:$C222=C223,row($C$2:$C222),0)))) ,1),0),0))"),"")</f>
        <v/>
      </c>
      <c r="H223" s="170" t="str">
        <f t="shared" si="8"/>
        <v/>
      </c>
      <c r="I223" s="147" t="str">
        <f t="shared" si="1"/>
        <v/>
      </c>
      <c r="J223" s="147" t="str">
        <f t="shared" si="13"/>
        <v/>
      </c>
      <c r="K223" s="147" t="str">
        <f>IFERROR(__xludf.DUMMYFUNCTION("if(C223="""","""",iferror(if(row()&lt;&gt;2,INDEX(arrayformula(filter($L$2:$L222,$C$2:$C222&lt;&gt;"""",row($C$2:$C222)=max(if($C$2:$C222=C223,row($C$2:$C222),0)))) ,1),0),0))"),"")</f>
        <v/>
      </c>
      <c r="L223" s="147" t="str">
        <f t="shared" si="14"/>
        <v/>
      </c>
      <c r="M223" s="147" t="str">
        <f t="shared" si="15"/>
        <v/>
      </c>
      <c r="N223" s="147" t="str">
        <f t="shared" si="16"/>
        <v/>
      </c>
      <c r="O223" s="147" t="str">
        <f t="shared" si="6"/>
        <v/>
      </c>
      <c r="P223" s="150" t="str">
        <f t="shared" si="7"/>
        <v/>
      </c>
      <c r="Q223" s="151" t="str">
        <f>IFERROR(VLOOKUP(C223,Ativos!$A$1:$G2000,5,),)</f>
        <v/>
      </c>
    </row>
    <row r="224" ht="21.0" customHeight="1">
      <c r="A224" s="152"/>
      <c r="B224" s="160"/>
      <c r="C224" s="153"/>
      <c r="D224" s="169"/>
      <c r="E224" s="139"/>
      <c r="F224" s="141"/>
      <c r="G224" s="170" t="str">
        <f>IFERROR(__xludf.DUMMYFUNCTION("if($C224="""","""",iferror(if(row()&lt;&gt;2,INDEX(arrayformula(filter($H$2:$H223,$C$2:$C223&lt;&gt;"""",row($C$2:$C223)=max(if($C$2:$C223=C224,row($C$2:$C223),0)))) ,1),0),0))"),"")</f>
        <v/>
      </c>
      <c r="H224" s="170" t="str">
        <f t="shared" si="8"/>
        <v/>
      </c>
      <c r="I224" s="147" t="str">
        <f t="shared" si="1"/>
        <v/>
      </c>
      <c r="J224" s="147" t="str">
        <f t="shared" si="13"/>
        <v/>
      </c>
      <c r="K224" s="147" t="str">
        <f>IFERROR(__xludf.DUMMYFUNCTION("if(C224="""","""",iferror(if(row()&lt;&gt;2,INDEX(arrayformula(filter($L$2:$L223,$C$2:$C223&lt;&gt;"""",row($C$2:$C223)=max(if($C$2:$C223=C224,row($C$2:$C223),0)))) ,1),0),0))"),"")</f>
        <v/>
      </c>
      <c r="L224" s="147" t="str">
        <f t="shared" si="14"/>
        <v/>
      </c>
      <c r="M224" s="147" t="str">
        <f t="shared" si="15"/>
        <v/>
      </c>
      <c r="N224" s="147" t="str">
        <f t="shared" si="16"/>
        <v/>
      </c>
      <c r="O224" s="147" t="str">
        <f t="shared" si="6"/>
        <v/>
      </c>
      <c r="P224" s="150" t="str">
        <f t="shared" si="7"/>
        <v/>
      </c>
      <c r="Q224" s="151" t="str">
        <f>IFERROR(VLOOKUP(C224,Ativos!$A$1:$G2000,5,),)</f>
        <v/>
      </c>
    </row>
    <row r="225" ht="21.0" customHeight="1">
      <c r="A225" s="152"/>
      <c r="B225" s="160"/>
      <c r="C225" s="153"/>
      <c r="D225" s="169"/>
      <c r="E225" s="139"/>
      <c r="F225" s="141"/>
      <c r="G225" s="170" t="str">
        <f>IFERROR(__xludf.DUMMYFUNCTION("if($C225="""","""",iferror(if(row()&lt;&gt;2,INDEX(arrayformula(filter($H$2:$H224,$C$2:$C224&lt;&gt;"""",row($C$2:$C224)=max(if($C$2:$C224=C225,row($C$2:$C224),0)))) ,1),0),0))"),"")</f>
        <v/>
      </c>
      <c r="H225" s="170" t="str">
        <f t="shared" si="8"/>
        <v/>
      </c>
      <c r="I225" s="147" t="str">
        <f t="shared" si="1"/>
        <v/>
      </c>
      <c r="J225" s="147" t="str">
        <f t="shared" si="13"/>
        <v/>
      </c>
      <c r="K225" s="147" t="str">
        <f>IFERROR(__xludf.DUMMYFUNCTION("if(C225="""","""",iferror(if(row()&lt;&gt;2,INDEX(arrayformula(filter($L$2:$L224,$C$2:$C224&lt;&gt;"""",row($C$2:$C224)=max(if($C$2:$C224=C225,row($C$2:$C224),0)))) ,1),0),0))"),"")</f>
        <v/>
      </c>
      <c r="L225" s="147" t="str">
        <f t="shared" si="14"/>
        <v/>
      </c>
      <c r="M225" s="147" t="str">
        <f t="shared" si="15"/>
        <v/>
      </c>
      <c r="N225" s="147" t="str">
        <f t="shared" si="16"/>
        <v/>
      </c>
      <c r="O225" s="147" t="str">
        <f t="shared" si="6"/>
        <v/>
      </c>
      <c r="P225" s="150" t="str">
        <f t="shared" si="7"/>
        <v/>
      </c>
      <c r="Q225" s="151" t="str">
        <f>IFERROR(VLOOKUP(C225,Ativos!$A$1:$G2000,5,),)</f>
        <v/>
      </c>
    </row>
    <row r="226" ht="21.0" customHeight="1">
      <c r="A226" s="152"/>
      <c r="B226" s="160"/>
      <c r="C226" s="153"/>
      <c r="D226" s="169"/>
      <c r="E226" s="139"/>
      <c r="F226" s="141"/>
      <c r="G226" s="170" t="str">
        <f>IFERROR(__xludf.DUMMYFUNCTION("if($C226="""","""",iferror(if(row()&lt;&gt;2,INDEX(arrayformula(filter($H$2:$H225,$C$2:$C225&lt;&gt;"""",row($C$2:$C225)=max(if($C$2:$C225=C226,row($C$2:$C225),0)))) ,1),0),0))"),"")</f>
        <v/>
      </c>
      <c r="H226" s="170" t="str">
        <f t="shared" si="8"/>
        <v/>
      </c>
      <c r="I226" s="147" t="str">
        <f t="shared" si="1"/>
        <v/>
      </c>
      <c r="J226" s="147" t="str">
        <f t="shared" si="13"/>
        <v/>
      </c>
      <c r="K226" s="147" t="str">
        <f>IFERROR(__xludf.DUMMYFUNCTION("if(C226="""","""",iferror(if(row()&lt;&gt;2,INDEX(arrayformula(filter($L$2:$L225,$C$2:$C225&lt;&gt;"""",row($C$2:$C225)=max(if($C$2:$C225=C226,row($C$2:$C225),0)))) ,1),0),0))"),"")</f>
        <v/>
      </c>
      <c r="L226" s="147" t="str">
        <f t="shared" si="14"/>
        <v/>
      </c>
      <c r="M226" s="147" t="str">
        <f t="shared" si="15"/>
        <v/>
      </c>
      <c r="N226" s="147" t="str">
        <f t="shared" si="16"/>
        <v/>
      </c>
      <c r="O226" s="147" t="str">
        <f t="shared" si="6"/>
        <v/>
      </c>
      <c r="P226" s="150" t="str">
        <f t="shared" si="7"/>
        <v/>
      </c>
      <c r="Q226" s="151" t="str">
        <f>IFERROR(VLOOKUP(C226,Ativos!$A$1:$G2000,5,),)</f>
        <v/>
      </c>
    </row>
    <row r="227" ht="21.0" customHeight="1">
      <c r="A227" s="152"/>
      <c r="B227" s="160"/>
      <c r="C227" s="153"/>
      <c r="D227" s="169"/>
      <c r="E227" s="139"/>
      <c r="F227" s="141"/>
      <c r="G227" s="170" t="str">
        <f>IFERROR(__xludf.DUMMYFUNCTION("if($C227="""","""",iferror(if(row()&lt;&gt;2,INDEX(arrayformula(filter($H$2:$H226,$C$2:$C226&lt;&gt;"""",row($C$2:$C226)=max(if($C$2:$C226=C227,row($C$2:$C226),0)))) ,1),0),0))"),"")</f>
        <v/>
      </c>
      <c r="H227" s="170" t="str">
        <f t="shared" si="8"/>
        <v/>
      </c>
      <c r="I227" s="147" t="str">
        <f t="shared" si="1"/>
        <v/>
      </c>
      <c r="J227" s="147" t="str">
        <f t="shared" si="13"/>
        <v/>
      </c>
      <c r="K227" s="147" t="str">
        <f>IFERROR(__xludf.DUMMYFUNCTION("if(C227="""","""",iferror(if(row()&lt;&gt;2,INDEX(arrayformula(filter($L$2:$L226,$C$2:$C226&lt;&gt;"""",row($C$2:$C226)=max(if($C$2:$C226=C227,row($C$2:$C226),0)))) ,1),0),0))"),"")</f>
        <v/>
      </c>
      <c r="L227" s="147" t="str">
        <f t="shared" si="14"/>
        <v/>
      </c>
      <c r="M227" s="147" t="str">
        <f t="shared" si="15"/>
        <v/>
      </c>
      <c r="N227" s="147" t="str">
        <f t="shared" si="16"/>
        <v/>
      </c>
      <c r="O227" s="147" t="str">
        <f t="shared" si="6"/>
        <v/>
      </c>
      <c r="P227" s="150" t="str">
        <f t="shared" si="7"/>
        <v/>
      </c>
      <c r="Q227" s="151" t="str">
        <f>IFERROR(VLOOKUP(C227,Ativos!$A$1:$G2000,5,),)</f>
        <v/>
      </c>
    </row>
    <row r="228" ht="21.0" customHeight="1">
      <c r="A228" s="152"/>
      <c r="B228" s="160"/>
      <c r="C228" s="153"/>
      <c r="D228" s="169"/>
      <c r="E228" s="139"/>
      <c r="F228" s="141"/>
      <c r="G228" s="170" t="str">
        <f>IFERROR(__xludf.DUMMYFUNCTION("if($C228="""","""",iferror(if(row()&lt;&gt;2,INDEX(arrayformula(filter($H$2:$H227,$C$2:$C227&lt;&gt;"""",row($C$2:$C227)=max(if($C$2:$C227=C228,row($C$2:$C227),0)))) ,1),0),0))"),"")</f>
        <v/>
      </c>
      <c r="H228" s="170" t="str">
        <f t="shared" si="8"/>
        <v/>
      </c>
      <c r="I228" s="147" t="str">
        <f t="shared" si="1"/>
        <v/>
      </c>
      <c r="J228" s="147" t="str">
        <f t="shared" si="13"/>
        <v/>
      </c>
      <c r="K228" s="147" t="str">
        <f>IFERROR(__xludf.DUMMYFUNCTION("if(C228="""","""",iferror(if(row()&lt;&gt;2,INDEX(arrayformula(filter($L$2:$L227,$C$2:$C227&lt;&gt;"""",row($C$2:$C227)=max(if($C$2:$C227=C228,row($C$2:$C227),0)))) ,1),0),0))"),"")</f>
        <v/>
      </c>
      <c r="L228" s="147" t="str">
        <f t="shared" si="14"/>
        <v/>
      </c>
      <c r="M228" s="147" t="str">
        <f t="shared" si="15"/>
        <v/>
      </c>
      <c r="N228" s="147" t="str">
        <f t="shared" si="16"/>
        <v/>
      </c>
      <c r="O228" s="147" t="str">
        <f t="shared" si="6"/>
        <v/>
      </c>
      <c r="P228" s="150" t="str">
        <f t="shared" si="7"/>
        <v/>
      </c>
      <c r="Q228" s="151" t="str">
        <f>IFERROR(VLOOKUP(C228,Ativos!$A$1:$G2000,5,),)</f>
        <v/>
      </c>
    </row>
    <row r="229" ht="21.0" customHeight="1">
      <c r="A229" s="152"/>
      <c r="B229" s="160"/>
      <c r="C229" s="153"/>
      <c r="D229" s="169"/>
      <c r="E229" s="139"/>
      <c r="F229" s="141"/>
      <c r="G229" s="170" t="str">
        <f>IFERROR(__xludf.DUMMYFUNCTION("if($C229="""","""",iferror(if(row()&lt;&gt;2,INDEX(arrayformula(filter($H$2:$H228,$C$2:$C228&lt;&gt;"""",row($C$2:$C228)=max(if($C$2:$C228=C229,row($C$2:$C228),0)))) ,1),0),0))"),"")</f>
        <v/>
      </c>
      <c r="H229" s="170" t="str">
        <f t="shared" si="8"/>
        <v/>
      </c>
      <c r="I229" s="147" t="str">
        <f t="shared" si="1"/>
        <v/>
      </c>
      <c r="J229" s="147" t="str">
        <f t="shared" si="13"/>
        <v/>
      </c>
      <c r="K229" s="147" t="str">
        <f>IFERROR(__xludf.DUMMYFUNCTION("if(C229="""","""",iferror(if(row()&lt;&gt;2,INDEX(arrayformula(filter($L$2:$L228,$C$2:$C228&lt;&gt;"""",row($C$2:$C228)=max(if($C$2:$C228=C229,row($C$2:$C228),0)))) ,1),0),0))"),"")</f>
        <v/>
      </c>
      <c r="L229" s="147" t="str">
        <f t="shared" si="14"/>
        <v/>
      </c>
      <c r="M229" s="147" t="str">
        <f t="shared" si="15"/>
        <v/>
      </c>
      <c r="N229" s="147" t="str">
        <f t="shared" si="16"/>
        <v/>
      </c>
      <c r="O229" s="147" t="str">
        <f t="shared" si="6"/>
        <v/>
      </c>
      <c r="P229" s="150" t="str">
        <f t="shared" si="7"/>
        <v/>
      </c>
      <c r="Q229" s="151" t="str">
        <f>IFERROR(VLOOKUP(C229,Ativos!$A$1:$G2000,5,),)</f>
        <v/>
      </c>
    </row>
    <row r="230" ht="21.0" customHeight="1">
      <c r="A230" s="152"/>
      <c r="B230" s="160"/>
      <c r="C230" s="153"/>
      <c r="D230" s="169"/>
      <c r="E230" s="139"/>
      <c r="F230" s="141"/>
      <c r="G230" s="170" t="str">
        <f>IFERROR(__xludf.DUMMYFUNCTION("if($C230="""","""",iferror(if(row()&lt;&gt;2,INDEX(arrayformula(filter($H$2:$H229,$C$2:$C229&lt;&gt;"""",row($C$2:$C229)=max(if($C$2:$C229=C230,row($C$2:$C229),0)))) ,1),0),0))"),"")</f>
        <v/>
      </c>
      <c r="H230" s="170" t="str">
        <f t="shared" si="8"/>
        <v/>
      </c>
      <c r="I230" s="147" t="str">
        <f t="shared" si="1"/>
        <v/>
      </c>
      <c r="J230" s="147" t="str">
        <f t="shared" si="13"/>
        <v/>
      </c>
      <c r="K230" s="147" t="str">
        <f>IFERROR(__xludf.DUMMYFUNCTION("if(C230="""","""",iferror(if(row()&lt;&gt;2,INDEX(arrayformula(filter($L$2:$L229,$C$2:$C229&lt;&gt;"""",row($C$2:$C229)=max(if($C$2:$C229=C230,row($C$2:$C229),0)))) ,1),0),0))"),"")</f>
        <v/>
      </c>
      <c r="L230" s="147" t="str">
        <f t="shared" si="14"/>
        <v/>
      </c>
      <c r="M230" s="147" t="str">
        <f t="shared" si="15"/>
        <v/>
      </c>
      <c r="N230" s="147" t="str">
        <f t="shared" si="16"/>
        <v/>
      </c>
      <c r="O230" s="147" t="str">
        <f t="shared" si="6"/>
        <v/>
      </c>
      <c r="P230" s="150" t="str">
        <f t="shared" si="7"/>
        <v/>
      </c>
      <c r="Q230" s="151" t="str">
        <f>IFERROR(VLOOKUP(C230,Ativos!$A$1:$G2000,5,),)</f>
        <v/>
      </c>
    </row>
    <row r="231" ht="21.0" customHeight="1">
      <c r="A231" s="152"/>
      <c r="B231" s="160"/>
      <c r="C231" s="153"/>
      <c r="D231" s="169"/>
      <c r="E231" s="139"/>
      <c r="F231" s="141"/>
      <c r="G231" s="170" t="str">
        <f>IFERROR(__xludf.DUMMYFUNCTION("if($C231="""","""",iferror(if(row()&lt;&gt;2,INDEX(arrayformula(filter($H$2:$H230,$C$2:$C230&lt;&gt;"""",row($C$2:$C230)=max(if($C$2:$C230=C231,row($C$2:$C230),0)))) ,1),0),0))"),"")</f>
        <v/>
      </c>
      <c r="H231" s="170" t="str">
        <f t="shared" si="8"/>
        <v/>
      </c>
      <c r="I231" s="147" t="str">
        <f t="shared" si="1"/>
        <v/>
      </c>
      <c r="J231" s="147" t="str">
        <f t="shared" si="13"/>
        <v/>
      </c>
      <c r="K231" s="147" t="str">
        <f>IFERROR(__xludf.DUMMYFUNCTION("if(C231="""","""",iferror(if(row()&lt;&gt;2,INDEX(arrayformula(filter($L$2:$L230,$C$2:$C230&lt;&gt;"""",row($C$2:$C230)=max(if($C$2:$C230=C231,row($C$2:$C230),0)))) ,1),0),0))"),"")</f>
        <v/>
      </c>
      <c r="L231" s="147" t="str">
        <f t="shared" si="14"/>
        <v/>
      </c>
      <c r="M231" s="147" t="str">
        <f t="shared" si="15"/>
        <v/>
      </c>
      <c r="N231" s="147" t="str">
        <f t="shared" si="16"/>
        <v/>
      </c>
      <c r="O231" s="147" t="str">
        <f t="shared" si="6"/>
        <v/>
      </c>
      <c r="P231" s="150" t="str">
        <f t="shared" si="7"/>
        <v/>
      </c>
      <c r="Q231" s="151" t="str">
        <f>IFERROR(VLOOKUP(C231,Ativos!$A$1:$G2000,5,),)</f>
        <v/>
      </c>
    </row>
    <row r="232" ht="21.0" customHeight="1">
      <c r="A232" s="152"/>
      <c r="B232" s="160"/>
      <c r="C232" s="153"/>
      <c r="D232" s="169"/>
      <c r="E232" s="139"/>
      <c r="F232" s="141"/>
      <c r="G232" s="170" t="str">
        <f>IFERROR(__xludf.DUMMYFUNCTION("if($C232="""","""",iferror(if(row()&lt;&gt;2,INDEX(arrayformula(filter($H$2:$H231,$C$2:$C231&lt;&gt;"""",row($C$2:$C231)=max(if($C$2:$C231=C232,row($C$2:$C231),0)))) ,1),0),0))"),"")</f>
        <v/>
      </c>
      <c r="H232" s="170" t="str">
        <f t="shared" si="8"/>
        <v/>
      </c>
      <c r="I232" s="147" t="str">
        <f t="shared" si="1"/>
        <v/>
      </c>
      <c r="J232" s="147" t="str">
        <f t="shared" si="13"/>
        <v/>
      </c>
      <c r="K232" s="147" t="str">
        <f>IFERROR(__xludf.DUMMYFUNCTION("if(C232="""","""",iferror(if(row()&lt;&gt;2,INDEX(arrayformula(filter($L$2:$L231,$C$2:$C231&lt;&gt;"""",row($C$2:$C231)=max(if($C$2:$C231=C232,row($C$2:$C231),0)))) ,1),0),0))"),"")</f>
        <v/>
      </c>
      <c r="L232" s="147" t="str">
        <f t="shared" si="14"/>
        <v/>
      </c>
      <c r="M232" s="147" t="str">
        <f t="shared" si="15"/>
        <v/>
      </c>
      <c r="N232" s="147" t="str">
        <f t="shared" si="16"/>
        <v/>
      </c>
      <c r="O232" s="147" t="str">
        <f t="shared" si="6"/>
        <v/>
      </c>
      <c r="P232" s="150" t="str">
        <f t="shared" si="7"/>
        <v/>
      </c>
      <c r="Q232" s="151" t="str">
        <f>IFERROR(VLOOKUP(C232,Ativos!$A$1:$G2000,5,),)</f>
        <v/>
      </c>
    </row>
    <row r="233" ht="21.0" customHeight="1">
      <c r="A233" s="152"/>
      <c r="B233" s="160"/>
      <c r="C233" s="153"/>
      <c r="D233" s="169"/>
      <c r="E233" s="139"/>
      <c r="F233" s="141"/>
      <c r="G233" s="170" t="str">
        <f>IFERROR(__xludf.DUMMYFUNCTION("if($C233="""","""",iferror(if(row()&lt;&gt;2,INDEX(arrayformula(filter($H$2:$H232,$C$2:$C232&lt;&gt;"""",row($C$2:$C232)=max(if($C$2:$C232=C233,row($C$2:$C232),0)))) ,1),0),0))"),"")</f>
        <v/>
      </c>
      <c r="H233" s="170" t="str">
        <f t="shared" si="8"/>
        <v/>
      </c>
      <c r="I233" s="147" t="str">
        <f t="shared" si="1"/>
        <v/>
      </c>
      <c r="J233" s="147" t="str">
        <f t="shared" si="13"/>
        <v/>
      </c>
      <c r="K233" s="147" t="str">
        <f>IFERROR(__xludf.DUMMYFUNCTION("if(C233="""","""",iferror(if(row()&lt;&gt;2,INDEX(arrayformula(filter($L$2:$L232,$C$2:$C232&lt;&gt;"""",row($C$2:$C232)=max(if($C$2:$C232=C233,row($C$2:$C232),0)))) ,1),0),0))"),"")</f>
        <v/>
      </c>
      <c r="L233" s="147" t="str">
        <f t="shared" si="14"/>
        <v/>
      </c>
      <c r="M233" s="147" t="str">
        <f t="shared" si="15"/>
        <v/>
      </c>
      <c r="N233" s="147" t="str">
        <f t="shared" si="16"/>
        <v/>
      </c>
      <c r="O233" s="147" t="str">
        <f t="shared" si="6"/>
        <v/>
      </c>
      <c r="P233" s="150" t="str">
        <f t="shared" si="7"/>
        <v/>
      </c>
      <c r="Q233" s="151" t="str">
        <f>IFERROR(VLOOKUP(C233,Ativos!$A$1:$G2000,5,),)</f>
        <v/>
      </c>
    </row>
    <row r="234" ht="21.0" customHeight="1">
      <c r="A234" s="152"/>
      <c r="B234" s="160"/>
      <c r="C234" s="153"/>
      <c r="D234" s="169"/>
      <c r="E234" s="139"/>
      <c r="F234" s="141"/>
      <c r="G234" s="170" t="str">
        <f>IFERROR(__xludf.DUMMYFUNCTION("if($C234="""","""",iferror(if(row()&lt;&gt;2,INDEX(arrayformula(filter($H$2:$H233,$C$2:$C233&lt;&gt;"""",row($C$2:$C233)=max(if($C$2:$C233=C234,row($C$2:$C233),0)))) ,1),0),0))"),"")</f>
        <v/>
      </c>
      <c r="H234" s="170" t="str">
        <f t="shared" si="8"/>
        <v/>
      </c>
      <c r="I234" s="147" t="str">
        <f t="shared" si="1"/>
        <v/>
      </c>
      <c r="J234" s="147" t="str">
        <f t="shared" si="13"/>
        <v/>
      </c>
      <c r="K234" s="147" t="str">
        <f>IFERROR(__xludf.DUMMYFUNCTION("if(C234="""","""",iferror(if(row()&lt;&gt;2,INDEX(arrayformula(filter($L$2:$L233,$C$2:$C233&lt;&gt;"""",row($C$2:$C233)=max(if($C$2:$C233=C234,row($C$2:$C233),0)))) ,1),0),0))"),"")</f>
        <v/>
      </c>
      <c r="L234" s="147" t="str">
        <f t="shared" si="14"/>
        <v/>
      </c>
      <c r="M234" s="147" t="str">
        <f t="shared" si="15"/>
        <v/>
      </c>
      <c r="N234" s="147" t="str">
        <f t="shared" si="16"/>
        <v/>
      </c>
      <c r="O234" s="147" t="str">
        <f t="shared" si="6"/>
        <v/>
      </c>
      <c r="P234" s="150" t="str">
        <f t="shared" si="7"/>
        <v/>
      </c>
      <c r="Q234" s="151" t="str">
        <f>IFERROR(VLOOKUP(C234,Ativos!$A$1:$G2000,5,),)</f>
        <v/>
      </c>
    </row>
    <row r="235" ht="21.0" customHeight="1">
      <c r="A235" s="152"/>
      <c r="B235" s="160"/>
      <c r="C235" s="153"/>
      <c r="D235" s="169"/>
      <c r="E235" s="139"/>
      <c r="F235" s="141"/>
      <c r="G235" s="170" t="str">
        <f>IFERROR(__xludf.DUMMYFUNCTION("if($C235="""","""",iferror(if(row()&lt;&gt;2,INDEX(arrayformula(filter($H$2:$H234,$C$2:$C234&lt;&gt;"""",row($C$2:$C234)=max(if($C$2:$C234=C235,row($C$2:$C234),0)))) ,1),0),0))"),"")</f>
        <v/>
      </c>
      <c r="H235" s="170" t="str">
        <f t="shared" si="8"/>
        <v/>
      </c>
      <c r="I235" s="147" t="str">
        <f t="shared" si="1"/>
        <v/>
      </c>
      <c r="J235" s="147" t="str">
        <f t="shared" si="13"/>
        <v/>
      </c>
      <c r="K235" s="147" t="str">
        <f>IFERROR(__xludf.DUMMYFUNCTION("if(C235="""","""",iferror(if(row()&lt;&gt;2,INDEX(arrayformula(filter($L$2:$L234,$C$2:$C234&lt;&gt;"""",row($C$2:$C234)=max(if($C$2:$C234=C235,row($C$2:$C234),0)))) ,1),0),0))"),"")</f>
        <v/>
      </c>
      <c r="L235" s="147" t="str">
        <f t="shared" si="14"/>
        <v/>
      </c>
      <c r="M235" s="147" t="str">
        <f t="shared" si="15"/>
        <v/>
      </c>
      <c r="N235" s="147" t="str">
        <f t="shared" si="16"/>
        <v/>
      </c>
      <c r="O235" s="147" t="str">
        <f t="shared" si="6"/>
        <v/>
      </c>
      <c r="P235" s="150" t="str">
        <f t="shared" si="7"/>
        <v/>
      </c>
      <c r="Q235" s="151" t="str">
        <f>IFERROR(VLOOKUP(C235,Ativos!$A$1:$G2000,5,),)</f>
        <v/>
      </c>
    </row>
    <row r="236" ht="21.0" customHeight="1">
      <c r="A236" s="152"/>
      <c r="B236" s="160"/>
      <c r="C236" s="153"/>
      <c r="D236" s="169"/>
      <c r="E236" s="139"/>
      <c r="F236" s="141"/>
      <c r="G236" s="170" t="str">
        <f>IFERROR(__xludf.DUMMYFUNCTION("if($C236="""","""",iferror(if(row()&lt;&gt;2,INDEX(arrayformula(filter($H$2:$H235,$C$2:$C235&lt;&gt;"""",row($C$2:$C235)=max(if($C$2:$C235=C236,row($C$2:$C235),0)))) ,1),0),0))"),"")</f>
        <v/>
      </c>
      <c r="H236" s="170" t="str">
        <f t="shared" si="8"/>
        <v/>
      </c>
      <c r="I236" s="147" t="str">
        <f t="shared" si="1"/>
        <v/>
      </c>
      <c r="J236" s="147" t="str">
        <f t="shared" si="13"/>
        <v/>
      </c>
      <c r="K236" s="147" t="str">
        <f>IFERROR(__xludf.DUMMYFUNCTION("if(C236="""","""",iferror(if(row()&lt;&gt;2,INDEX(arrayformula(filter($L$2:$L235,$C$2:$C235&lt;&gt;"""",row($C$2:$C235)=max(if($C$2:$C235=C236,row($C$2:$C235),0)))) ,1),0),0))"),"")</f>
        <v/>
      </c>
      <c r="L236" s="147" t="str">
        <f t="shared" si="14"/>
        <v/>
      </c>
      <c r="M236" s="147" t="str">
        <f t="shared" si="15"/>
        <v/>
      </c>
      <c r="N236" s="147" t="str">
        <f t="shared" si="16"/>
        <v/>
      </c>
      <c r="O236" s="147" t="str">
        <f t="shared" si="6"/>
        <v/>
      </c>
      <c r="P236" s="150" t="str">
        <f t="shared" si="7"/>
        <v/>
      </c>
      <c r="Q236" s="151" t="str">
        <f>IFERROR(VLOOKUP(C236,Ativos!$A$1:$G2000,5,),)</f>
        <v/>
      </c>
    </row>
    <row r="237" ht="21.0" customHeight="1">
      <c r="A237" s="152"/>
      <c r="B237" s="160"/>
      <c r="C237" s="153"/>
      <c r="D237" s="169"/>
      <c r="E237" s="139"/>
      <c r="F237" s="141"/>
      <c r="G237" s="170" t="str">
        <f>IFERROR(__xludf.DUMMYFUNCTION("if($C237="""","""",iferror(if(row()&lt;&gt;2,INDEX(arrayformula(filter($H$2:$H236,$C$2:$C236&lt;&gt;"""",row($C$2:$C236)=max(if($C$2:$C236=C237,row($C$2:$C236),0)))) ,1),0),0))"),"")</f>
        <v/>
      </c>
      <c r="H237" s="170" t="str">
        <f t="shared" si="8"/>
        <v/>
      </c>
      <c r="I237" s="147" t="str">
        <f t="shared" si="1"/>
        <v/>
      </c>
      <c r="J237" s="147" t="str">
        <f t="shared" si="13"/>
        <v/>
      </c>
      <c r="K237" s="147" t="str">
        <f>IFERROR(__xludf.DUMMYFUNCTION("if(C237="""","""",iferror(if(row()&lt;&gt;2,INDEX(arrayformula(filter($L$2:$L236,$C$2:$C236&lt;&gt;"""",row($C$2:$C236)=max(if($C$2:$C236=C237,row($C$2:$C236),0)))) ,1),0),0))"),"")</f>
        <v/>
      </c>
      <c r="L237" s="147" t="str">
        <f t="shared" si="14"/>
        <v/>
      </c>
      <c r="M237" s="147" t="str">
        <f t="shared" si="15"/>
        <v/>
      </c>
      <c r="N237" s="147" t="str">
        <f t="shared" si="16"/>
        <v/>
      </c>
      <c r="O237" s="147" t="str">
        <f t="shared" si="6"/>
        <v/>
      </c>
      <c r="P237" s="150" t="str">
        <f t="shared" si="7"/>
        <v/>
      </c>
      <c r="Q237" s="151" t="str">
        <f>IFERROR(VLOOKUP(C237,Ativos!$A$1:$G2000,5,),)</f>
        <v/>
      </c>
    </row>
    <row r="238" ht="21.0" customHeight="1">
      <c r="A238" s="152"/>
      <c r="B238" s="160"/>
      <c r="C238" s="153"/>
      <c r="D238" s="169"/>
      <c r="E238" s="139"/>
      <c r="F238" s="141"/>
      <c r="G238" s="170" t="str">
        <f>IFERROR(__xludf.DUMMYFUNCTION("if($C238="""","""",iferror(if(row()&lt;&gt;2,INDEX(arrayformula(filter($H$2:$H237,$C$2:$C237&lt;&gt;"""",row($C$2:$C237)=max(if($C$2:$C237=C238,row($C$2:$C237),0)))) ,1),0),0))"),"")</f>
        <v/>
      </c>
      <c r="H238" s="170" t="str">
        <f t="shared" si="8"/>
        <v/>
      </c>
      <c r="I238" s="147" t="str">
        <f t="shared" si="1"/>
        <v/>
      </c>
      <c r="J238" s="147" t="str">
        <f t="shared" si="13"/>
        <v/>
      </c>
      <c r="K238" s="147" t="str">
        <f>IFERROR(__xludf.DUMMYFUNCTION("if(C238="""","""",iferror(if(row()&lt;&gt;2,INDEX(arrayformula(filter($L$2:$L237,$C$2:$C237&lt;&gt;"""",row($C$2:$C237)=max(if($C$2:$C237=C238,row($C$2:$C237),0)))) ,1),0),0))"),"")</f>
        <v/>
      </c>
      <c r="L238" s="147" t="str">
        <f t="shared" si="14"/>
        <v/>
      </c>
      <c r="M238" s="147" t="str">
        <f t="shared" si="15"/>
        <v/>
      </c>
      <c r="N238" s="147" t="str">
        <f t="shared" si="16"/>
        <v/>
      </c>
      <c r="O238" s="147" t="str">
        <f t="shared" si="6"/>
        <v/>
      </c>
      <c r="P238" s="150" t="str">
        <f t="shared" si="7"/>
        <v/>
      </c>
      <c r="Q238" s="151" t="str">
        <f>IFERROR(VLOOKUP(C238,Ativos!$A$1:$G2000,5,),)</f>
        <v/>
      </c>
    </row>
    <row r="239" ht="21.0" customHeight="1">
      <c r="A239" s="152"/>
      <c r="B239" s="160"/>
      <c r="C239" s="153"/>
      <c r="D239" s="169"/>
      <c r="E239" s="139"/>
      <c r="F239" s="141"/>
      <c r="G239" s="170" t="str">
        <f>IFERROR(__xludf.DUMMYFUNCTION("if($C239="""","""",iferror(if(row()&lt;&gt;2,INDEX(arrayformula(filter($H$2:$H238,$C$2:$C238&lt;&gt;"""",row($C$2:$C238)=max(if($C$2:$C238=C239,row($C$2:$C238),0)))) ,1),0),0))"),"")</f>
        <v/>
      </c>
      <c r="H239" s="170" t="str">
        <f t="shared" si="8"/>
        <v/>
      </c>
      <c r="I239" s="147" t="str">
        <f t="shared" si="1"/>
        <v/>
      </c>
      <c r="J239" s="147" t="str">
        <f t="shared" si="13"/>
        <v/>
      </c>
      <c r="K239" s="147" t="str">
        <f>IFERROR(__xludf.DUMMYFUNCTION("if(C239="""","""",iferror(if(row()&lt;&gt;2,INDEX(arrayformula(filter($L$2:$L238,$C$2:$C238&lt;&gt;"""",row($C$2:$C238)=max(if($C$2:$C238=C239,row($C$2:$C238),0)))) ,1),0),0))"),"")</f>
        <v/>
      </c>
      <c r="L239" s="147" t="str">
        <f t="shared" si="14"/>
        <v/>
      </c>
      <c r="M239" s="147" t="str">
        <f t="shared" si="15"/>
        <v/>
      </c>
      <c r="N239" s="147" t="str">
        <f t="shared" si="16"/>
        <v/>
      </c>
      <c r="O239" s="147" t="str">
        <f t="shared" si="6"/>
        <v/>
      </c>
      <c r="P239" s="150" t="str">
        <f t="shared" si="7"/>
        <v/>
      </c>
      <c r="Q239" s="151" t="str">
        <f>IFERROR(VLOOKUP(C239,Ativos!$A$1:$G2000,5,),)</f>
        <v/>
      </c>
    </row>
    <row r="240" ht="21.0" customHeight="1">
      <c r="A240" s="152"/>
      <c r="B240" s="160"/>
      <c r="C240" s="153"/>
      <c r="D240" s="169"/>
      <c r="E240" s="139"/>
      <c r="F240" s="141"/>
      <c r="G240" s="170" t="str">
        <f>IFERROR(__xludf.DUMMYFUNCTION("if($C240="""","""",iferror(if(row()&lt;&gt;2,INDEX(arrayformula(filter($H$2:$H239,$C$2:$C239&lt;&gt;"""",row($C$2:$C239)=max(if($C$2:$C239=C240,row($C$2:$C239),0)))) ,1),0),0))"),"")</f>
        <v/>
      </c>
      <c r="H240" s="170" t="str">
        <f t="shared" si="8"/>
        <v/>
      </c>
      <c r="I240" s="147" t="str">
        <f t="shared" si="1"/>
        <v/>
      </c>
      <c r="J240" s="147" t="str">
        <f t="shared" si="13"/>
        <v/>
      </c>
      <c r="K240" s="147" t="str">
        <f>IFERROR(__xludf.DUMMYFUNCTION("if(C240="""","""",iferror(if(row()&lt;&gt;2,INDEX(arrayformula(filter($L$2:$L239,$C$2:$C239&lt;&gt;"""",row($C$2:$C239)=max(if($C$2:$C239=C240,row($C$2:$C239),0)))) ,1),0),0))"),"")</f>
        <v/>
      </c>
      <c r="L240" s="147" t="str">
        <f t="shared" si="14"/>
        <v/>
      </c>
      <c r="M240" s="147" t="str">
        <f t="shared" si="15"/>
        <v/>
      </c>
      <c r="N240" s="147" t="str">
        <f t="shared" si="16"/>
        <v/>
      </c>
      <c r="O240" s="147" t="str">
        <f t="shared" si="6"/>
        <v/>
      </c>
      <c r="P240" s="150" t="str">
        <f t="shared" si="7"/>
        <v/>
      </c>
      <c r="Q240" s="151" t="str">
        <f>IFERROR(VLOOKUP(C240,Ativos!$A$1:$G2000,5,),)</f>
        <v/>
      </c>
    </row>
    <row r="241" ht="21.0" customHeight="1">
      <c r="A241" s="152"/>
      <c r="B241" s="160"/>
      <c r="C241" s="153"/>
      <c r="D241" s="169"/>
      <c r="E241" s="139"/>
      <c r="F241" s="141"/>
      <c r="G241" s="170" t="str">
        <f>IFERROR(__xludf.DUMMYFUNCTION("if($C241="""","""",iferror(if(row()&lt;&gt;2,INDEX(arrayformula(filter($H$2:$H240,$C$2:$C240&lt;&gt;"""",row($C$2:$C240)=max(if($C$2:$C240=C241,row($C$2:$C240),0)))) ,1),0),0))"),"")</f>
        <v/>
      </c>
      <c r="H241" s="170" t="str">
        <f t="shared" si="8"/>
        <v/>
      </c>
      <c r="I241" s="147" t="str">
        <f t="shared" si="1"/>
        <v/>
      </c>
      <c r="J241" s="147" t="str">
        <f t="shared" si="13"/>
        <v/>
      </c>
      <c r="K241" s="147" t="str">
        <f>IFERROR(__xludf.DUMMYFUNCTION("if(C241="""","""",iferror(if(row()&lt;&gt;2,INDEX(arrayformula(filter($L$2:$L240,$C$2:$C240&lt;&gt;"""",row($C$2:$C240)=max(if($C$2:$C240=C241,row($C$2:$C240),0)))) ,1),0),0))"),"")</f>
        <v/>
      </c>
      <c r="L241" s="147" t="str">
        <f t="shared" si="14"/>
        <v/>
      </c>
      <c r="M241" s="147" t="str">
        <f t="shared" si="15"/>
        <v/>
      </c>
      <c r="N241" s="147" t="str">
        <f t="shared" si="16"/>
        <v/>
      </c>
      <c r="O241" s="147" t="str">
        <f t="shared" si="6"/>
        <v/>
      </c>
      <c r="P241" s="150" t="str">
        <f t="shared" si="7"/>
        <v/>
      </c>
      <c r="Q241" s="151" t="str">
        <f>IFERROR(VLOOKUP(C241,Ativos!$A$1:$G2000,5,),)</f>
        <v/>
      </c>
    </row>
    <row r="242" ht="21.0" customHeight="1">
      <c r="A242" s="152"/>
      <c r="B242" s="160"/>
      <c r="C242" s="153"/>
      <c r="D242" s="169"/>
      <c r="E242" s="139"/>
      <c r="F242" s="141"/>
      <c r="G242" s="170" t="str">
        <f>IFERROR(__xludf.DUMMYFUNCTION("if($C242="""","""",iferror(if(row()&lt;&gt;2,INDEX(arrayformula(filter($H$2:$H241,$C$2:$C241&lt;&gt;"""",row($C$2:$C241)=max(if($C$2:$C241=C242,row($C$2:$C241),0)))) ,1),0),0))"),"")</f>
        <v/>
      </c>
      <c r="H242" s="170" t="str">
        <f t="shared" si="8"/>
        <v/>
      </c>
      <c r="I242" s="147" t="str">
        <f t="shared" si="1"/>
        <v/>
      </c>
      <c r="J242" s="147" t="str">
        <f t="shared" si="13"/>
        <v/>
      </c>
      <c r="K242" s="147" t="str">
        <f>IFERROR(__xludf.DUMMYFUNCTION("if(C242="""","""",iferror(if(row()&lt;&gt;2,INDEX(arrayformula(filter($L$2:$L241,$C$2:$C241&lt;&gt;"""",row($C$2:$C241)=max(if($C$2:$C241=C242,row($C$2:$C241),0)))) ,1),0),0))"),"")</f>
        <v/>
      </c>
      <c r="L242" s="147" t="str">
        <f t="shared" si="14"/>
        <v/>
      </c>
      <c r="M242" s="147" t="str">
        <f t="shared" si="15"/>
        <v/>
      </c>
      <c r="N242" s="147" t="str">
        <f t="shared" si="16"/>
        <v/>
      </c>
      <c r="O242" s="147" t="str">
        <f t="shared" si="6"/>
        <v/>
      </c>
      <c r="P242" s="150" t="str">
        <f t="shared" si="7"/>
        <v/>
      </c>
      <c r="Q242" s="151" t="str">
        <f>IFERROR(VLOOKUP(C242,Ativos!$A$1:$G2000,5,),)</f>
        <v/>
      </c>
    </row>
    <row r="243" ht="21.0" customHeight="1">
      <c r="A243" s="152"/>
      <c r="B243" s="160"/>
      <c r="C243" s="153"/>
      <c r="D243" s="169"/>
      <c r="E243" s="139"/>
      <c r="F243" s="141"/>
      <c r="G243" s="170" t="str">
        <f>IFERROR(__xludf.DUMMYFUNCTION("if($C243="""","""",iferror(if(row()&lt;&gt;2,INDEX(arrayformula(filter($H$2:$H242,$C$2:$C242&lt;&gt;"""",row($C$2:$C242)=max(if($C$2:$C242=C243,row($C$2:$C242),0)))) ,1),0),0))"),"")</f>
        <v/>
      </c>
      <c r="H243" s="170" t="str">
        <f t="shared" si="8"/>
        <v/>
      </c>
      <c r="I243" s="147" t="str">
        <f t="shared" si="1"/>
        <v/>
      </c>
      <c r="J243" s="147" t="str">
        <f t="shared" si="13"/>
        <v/>
      </c>
      <c r="K243" s="147" t="str">
        <f>IFERROR(__xludf.DUMMYFUNCTION("if(C243="""","""",iferror(if(row()&lt;&gt;2,INDEX(arrayformula(filter($L$2:$L242,$C$2:$C242&lt;&gt;"""",row($C$2:$C242)=max(if($C$2:$C242=C243,row($C$2:$C242),0)))) ,1),0),0))"),"")</f>
        <v/>
      </c>
      <c r="L243" s="147" t="str">
        <f t="shared" si="14"/>
        <v/>
      </c>
      <c r="M243" s="147" t="str">
        <f t="shared" si="15"/>
        <v/>
      </c>
      <c r="N243" s="147" t="str">
        <f t="shared" si="16"/>
        <v/>
      </c>
      <c r="O243" s="147" t="str">
        <f t="shared" si="6"/>
        <v/>
      </c>
      <c r="P243" s="150" t="str">
        <f t="shared" si="7"/>
        <v/>
      </c>
      <c r="Q243" s="151" t="str">
        <f>IFERROR(VLOOKUP(C243,Ativos!$A$1:$G2000,5,),)</f>
        <v/>
      </c>
    </row>
    <row r="244" ht="21.0" customHeight="1">
      <c r="A244" s="152"/>
      <c r="B244" s="160"/>
      <c r="C244" s="153"/>
      <c r="D244" s="169"/>
      <c r="E244" s="139"/>
      <c r="F244" s="141"/>
      <c r="G244" s="170" t="str">
        <f>IFERROR(__xludf.DUMMYFUNCTION("if($C244="""","""",iferror(if(row()&lt;&gt;2,INDEX(arrayformula(filter($H$2:$H243,$C$2:$C243&lt;&gt;"""",row($C$2:$C243)=max(if($C$2:$C243=C244,row($C$2:$C243),0)))) ,1),0),0))"),"")</f>
        <v/>
      </c>
      <c r="H244" s="170" t="str">
        <f t="shared" si="8"/>
        <v/>
      </c>
      <c r="I244" s="147" t="str">
        <f t="shared" si="1"/>
        <v/>
      </c>
      <c r="J244" s="147" t="str">
        <f t="shared" si="13"/>
        <v/>
      </c>
      <c r="K244" s="147" t="str">
        <f>IFERROR(__xludf.DUMMYFUNCTION("if(C244="""","""",iferror(if(row()&lt;&gt;2,INDEX(arrayformula(filter($L$2:$L243,$C$2:$C243&lt;&gt;"""",row($C$2:$C243)=max(if($C$2:$C243=C244,row($C$2:$C243),0)))) ,1),0),0))"),"")</f>
        <v/>
      </c>
      <c r="L244" s="147" t="str">
        <f t="shared" si="14"/>
        <v/>
      </c>
      <c r="M244" s="147" t="str">
        <f t="shared" si="15"/>
        <v/>
      </c>
      <c r="N244" s="147" t="str">
        <f t="shared" si="16"/>
        <v/>
      </c>
      <c r="O244" s="147" t="str">
        <f t="shared" si="6"/>
        <v/>
      </c>
      <c r="P244" s="150" t="str">
        <f t="shared" si="7"/>
        <v/>
      </c>
      <c r="Q244" s="151" t="str">
        <f>IFERROR(VLOOKUP(C244,Ativos!$A$1:$G2000,5,),)</f>
        <v/>
      </c>
    </row>
    <row r="245" ht="21.0" customHeight="1">
      <c r="A245" s="152"/>
      <c r="B245" s="160"/>
      <c r="C245" s="153"/>
      <c r="D245" s="169"/>
      <c r="E245" s="139"/>
      <c r="F245" s="141"/>
      <c r="G245" s="170" t="str">
        <f>IFERROR(__xludf.DUMMYFUNCTION("if($C245="""","""",iferror(if(row()&lt;&gt;2,INDEX(arrayformula(filter($H$2:$H244,$C$2:$C244&lt;&gt;"""",row($C$2:$C244)=max(if($C$2:$C244=C245,row($C$2:$C244),0)))) ,1),0),0))"),"")</f>
        <v/>
      </c>
      <c r="H245" s="170" t="str">
        <f t="shared" si="8"/>
        <v/>
      </c>
      <c r="I245" s="147" t="str">
        <f t="shared" si="1"/>
        <v/>
      </c>
      <c r="J245" s="147" t="str">
        <f t="shared" si="13"/>
        <v/>
      </c>
      <c r="K245" s="147" t="str">
        <f>IFERROR(__xludf.DUMMYFUNCTION("if(C245="""","""",iferror(if(row()&lt;&gt;2,INDEX(arrayformula(filter($L$2:$L244,$C$2:$C244&lt;&gt;"""",row($C$2:$C244)=max(if($C$2:$C244=C245,row($C$2:$C244),0)))) ,1),0),0))"),"")</f>
        <v/>
      </c>
      <c r="L245" s="147" t="str">
        <f t="shared" si="14"/>
        <v/>
      </c>
      <c r="M245" s="147" t="str">
        <f t="shared" si="15"/>
        <v/>
      </c>
      <c r="N245" s="147" t="str">
        <f t="shared" si="16"/>
        <v/>
      </c>
      <c r="O245" s="147" t="str">
        <f t="shared" si="6"/>
        <v/>
      </c>
      <c r="P245" s="150" t="str">
        <f t="shared" si="7"/>
        <v/>
      </c>
      <c r="Q245" s="151" t="str">
        <f>IFERROR(VLOOKUP(C245,Ativos!$A$1:$G2000,5,),)</f>
        <v/>
      </c>
    </row>
    <row r="246" ht="21.0" customHeight="1">
      <c r="A246" s="152"/>
      <c r="B246" s="160"/>
      <c r="C246" s="153"/>
      <c r="D246" s="169"/>
      <c r="E246" s="139"/>
      <c r="F246" s="141"/>
      <c r="G246" s="170" t="str">
        <f>IFERROR(__xludf.DUMMYFUNCTION("if($C246="""","""",iferror(if(row()&lt;&gt;2,INDEX(arrayformula(filter($H$2:$H245,$C$2:$C245&lt;&gt;"""",row($C$2:$C245)=max(if($C$2:$C245=C246,row($C$2:$C245),0)))) ,1),0),0))"),"")</f>
        <v/>
      </c>
      <c r="H246" s="170" t="str">
        <f t="shared" si="8"/>
        <v/>
      </c>
      <c r="I246" s="147" t="str">
        <f t="shared" si="1"/>
        <v/>
      </c>
      <c r="J246" s="147" t="str">
        <f t="shared" si="13"/>
        <v/>
      </c>
      <c r="K246" s="147" t="str">
        <f>IFERROR(__xludf.DUMMYFUNCTION("if(C246="""","""",iferror(if(row()&lt;&gt;2,INDEX(arrayformula(filter($L$2:$L245,$C$2:$C245&lt;&gt;"""",row($C$2:$C245)=max(if($C$2:$C245=C246,row($C$2:$C245),0)))) ,1),0),0))"),"")</f>
        <v/>
      </c>
      <c r="L246" s="147" t="str">
        <f t="shared" si="14"/>
        <v/>
      </c>
      <c r="M246" s="147" t="str">
        <f t="shared" si="15"/>
        <v/>
      </c>
      <c r="N246" s="147" t="str">
        <f t="shared" si="16"/>
        <v/>
      </c>
      <c r="O246" s="147" t="str">
        <f t="shared" si="6"/>
        <v/>
      </c>
      <c r="P246" s="150" t="str">
        <f t="shared" si="7"/>
        <v/>
      </c>
      <c r="Q246" s="151" t="str">
        <f>IFERROR(VLOOKUP(C246,Ativos!$A$1:$G2000,5,),)</f>
        <v/>
      </c>
    </row>
    <row r="247" ht="21.0" customHeight="1">
      <c r="A247" s="152"/>
      <c r="B247" s="160"/>
      <c r="C247" s="153"/>
      <c r="D247" s="169"/>
      <c r="E247" s="139"/>
      <c r="F247" s="141"/>
      <c r="G247" s="170" t="str">
        <f>IFERROR(__xludf.DUMMYFUNCTION("if($C247="""","""",iferror(if(row()&lt;&gt;2,INDEX(arrayformula(filter($H$2:$H246,$C$2:$C246&lt;&gt;"""",row($C$2:$C246)=max(if($C$2:$C246=C247,row($C$2:$C246),0)))) ,1),0),0))"),"")</f>
        <v/>
      </c>
      <c r="H247" s="170" t="str">
        <f t="shared" si="8"/>
        <v/>
      </c>
      <c r="I247" s="147" t="str">
        <f t="shared" si="1"/>
        <v/>
      </c>
      <c r="J247" s="147" t="str">
        <f t="shared" si="13"/>
        <v/>
      </c>
      <c r="K247" s="147" t="str">
        <f>IFERROR(__xludf.DUMMYFUNCTION("if(C247="""","""",iferror(if(row()&lt;&gt;2,INDEX(arrayformula(filter($L$2:$L246,$C$2:$C246&lt;&gt;"""",row($C$2:$C246)=max(if($C$2:$C246=C247,row($C$2:$C246),0)))) ,1),0),0))"),"")</f>
        <v/>
      </c>
      <c r="L247" s="147" t="str">
        <f t="shared" si="14"/>
        <v/>
      </c>
      <c r="M247" s="147" t="str">
        <f t="shared" si="15"/>
        <v/>
      </c>
      <c r="N247" s="147" t="str">
        <f t="shared" si="16"/>
        <v/>
      </c>
      <c r="O247" s="147" t="str">
        <f t="shared" si="6"/>
        <v/>
      </c>
      <c r="P247" s="150" t="str">
        <f t="shared" si="7"/>
        <v/>
      </c>
      <c r="Q247" s="151" t="str">
        <f>IFERROR(VLOOKUP(C247,Ativos!$A$1:$G2000,5,),)</f>
        <v/>
      </c>
    </row>
    <row r="248" ht="21.0" customHeight="1">
      <c r="A248" s="152"/>
      <c r="B248" s="160"/>
      <c r="C248" s="153"/>
      <c r="D248" s="169"/>
      <c r="E248" s="139"/>
      <c r="F248" s="141"/>
      <c r="G248" s="170" t="str">
        <f>IFERROR(__xludf.DUMMYFUNCTION("if($C248="""","""",iferror(if(row()&lt;&gt;2,INDEX(arrayformula(filter($H$2:$H247,$C$2:$C247&lt;&gt;"""",row($C$2:$C247)=max(if($C$2:$C247=C248,row($C$2:$C247),0)))) ,1),0),0))"),"")</f>
        <v/>
      </c>
      <c r="H248" s="170" t="str">
        <f t="shared" si="8"/>
        <v/>
      </c>
      <c r="I248" s="147" t="str">
        <f t="shared" si="1"/>
        <v/>
      </c>
      <c r="J248" s="147" t="str">
        <f t="shared" si="13"/>
        <v/>
      </c>
      <c r="K248" s="147" t="str">
        <f>IFERROR(__xludf.DUMMYFUNCTION("if(C248="""","""",iferror(if(row()&lt;&gt;2,INDEX(arrayformula(filter($L$2:$L247,$C$2:$C247&lt;&gt;"""",row($C$2:$C247)=max(if($C$2:$C247=C248,row($C$2:$C247),0)))) ,1),0),0))"),"")</f>
        <v/>
      </c>
      <c r="L248" s="147" t="str">
        <f t="shared" si="14"/>
        <v/>
      </c>
      <c r="M248" s="147" t="str">
        <f t="shared" si="15"/>
        <v/>
      </c>
      <c r="N248" s="147" t="str">
        <f t="shared" si="16"/>
        <v/>
      </c>
      <c r="O248" s="147" t="str">
        <f t="shared" si="6"/>
        <v/>
      </c>
      <c r="P248" s="150" t="str">
        <f t="shared" si="7"/>
        <v/>
      </c>
      <c r="Q248" s="151" t="str">
        <f>IFERROR(VLOOKUP(C248,Ativos!$A$1:$G2000,5,),)</f>
        <v/>
      </c>
    </row>
    <row r="249" ht="21.0" customHeight="1">
      <c r="A249" s="152"/>
      <c r="B249" s="160"/>
      <c r="C249" s="153"/>
      <c r="D249" s="169"/>
      <c r="E249" s="139"/>
      <c r="F249" s="141"/>
      <c r="G249" s="170" t="str">
        <f>IFERROR(__xludf.DUMMYFUNCTION("if($C249="""","""",iferror(if(row()&lt;&gt;2,INDEX(arrayformula(filter($H$2:$H248,$C$2:$C248&lt;&gt;"""",row($C$2:$C248)=max(if($C$2:$C248=C249,row($C$2:$C248),0)))) ,1),0),0))"),"")</f>
        <v/>
      </c>
      <c r="H249" s="170" t="str">
        <f t="shared" si="8"/>
        <v/>
      </c>
      <c r="I249" s="147" t="str">
        <f t="shared" si="1"/>
        <v/>
      </c>
      <c r="J249" s="147" t="str">
        <f t="shared" si="13"/>
        <v/>
      </c>
      <c r="K249" s="147" t="str">
        <f>IFERROR(__xludf.DUMMYFUNCTION("if(C249="""","""",iferror(if(row()&lt;&gt;2,INDEX(arrayformula(filter($L$2:$L248,$C$2:$C248&lt;&gt;"""",row($C$2:$C248)=max(if($C$2:$C248=C249,row($C$2:$C248),0)))) ,1),0),0))"),"")</f>
        <v/>
      </c>
      <c r="L249" s="147" t="str">
        <f t="shared" si="14"/>
        <v/>
      </c>
      <c r="M249" s="147" t="str">
        <f t="shared" si="15"/>
        <v/>
      </c>
      <c r="N249" s="147" t="str">
        <f t="shared" si="16"/>
        <v/>
      </c>
      <c r="O249" s="147" t="str">
        <f t="shared" si="6"/>
        <v/>
      </c>
      <c r="P249" s="150" t="str">
        <f t="shared" si="7"/>
        <v/>
      </c>
      <c r="Q249" s="151" t="str">
        <f>IFERROR(VLOOKUP(C249,Ativos!$A$1:$G2000,5,),)</f>
        <v/>
      </c>
    </row>
    <row r="250" ht="21.0" customHeight="1">
      <c r="A250" s="152"/>
      <c r="B250" s="160"/>
      <c r="C250" s="153"/>
      <c r="D250" s="169"/>
      <c r="E250" s="139"/>
      <c r="F250" s="141"/>
      <c r="G250" s="170" t="str">
        <f>IFERROR(__xludf.DUMMYFUNCTION("if($C250="""","""",iferror(if(row()&lt;&gt;2,INDEX(arrayformula(filter($H$2:$H249,$C$2:$C249&lt;&gt;"""",row($C$2:$C249)=max(if($C$2:$C249=C250,row($C$2:$C249),0)))) ,1),0),0))"),"")</f>
        <v/>
      </c>
      <c r="H250" s="170" t="str">
        <f t="shared" si="8"/>
        <v/>
      </c>
      <c r="I250" s="147" t="str">
        <f t="shared" si="1"/>
        <v/>
      </c>
      <c r="J250" s="147" t="str">
        <f t="shared" si="13"/>
        <v/>
      </c>
      <c r="K250" s="147" t="str">
        <f>IFERROR(__xludf.DUMMYFUNCTION("if(C250="""","""",iferror(if(row()&lt;&gt;2,INDEX(arrayformula(filter($L$2:$L249,$C$2:$C249&lt;&gt;"""",row($C$2:$C249)=max(if($C$2:$C249=C250,row($C$2:$C249),0)))) ,1),0),0))"),"")</f>
        <v/>
      </c>
      <c r="L250" s="147" t="str">
        <f t="shared" si="14"/>
        <v/>
      </c>
      <c r="M250" s="147" t="str">
        <f t="shared" si="15"/>
        <v/>
      </c>
      <c r="N250" s="147" t="str">
        <f t="shared" si="16"/>
        <v/>
      </c>
      <c r="O250" s="147" t="str">
        <f t="shared" si="6"/>
        <v/>
      </c>
      <c r="P250" s="150" t="str">
        <f t="shared" si="7"/>
        <v/>
      </c>
      <c r="Q250" s="151" t="str">
        <f>IFERROR(VLOOKUP(C250,Ativos!$A$1:$G2000,5,),)</f>
        <v/>
      </c>
    </row>
    <row r="251" ht="21.0" customHeight="1">
      <c r="A251" s="152"/>
      <c r="B251" s="160"/>
      <c r="C251" s="153"/>
      <c r="D251" s="169"/>
      <c r="E251" s="139"/>
      <c r="F251" s="141"/>
      <c r="G251" s="170" t="str">
        <f>IFERROR(__xludf.DUMMYFUNCTION("if($C251="""","""",iferror(if(row()&lt;&gt;2,INDEX(arrayformula(filter($H$2:$H250,$C$2:$C250&lt;&gt;"""",row($C$2:$C250)=max(if($C$2:$C250=C251,row($C$2:$C250),0)))) ,1),0),0))"),"")</f>
        <v/>
      </c>
      <c r="H251" s="170" t="str">
        <f t="shared" si="8"/>
        <v/>
      </c>
      <c r="I251" s="147" t="str">
        <f t="shared" si="1"/>
        <v/>
      </c>
      <c r="J251" s="147" t="str">
        <f t="shared" si="13"/>
        <v/>
      </c>
      <c r="K251" s="147" t="str">
        <f>IFERROR(__xludf.DUMMYFUNCTION("if(C251="""","""",iferror(if(row()&lt;&gt;2,INDEX(arrayformula(filter($L$2:$L250,$C$2:$C250&lt;&gt;"""",row($C$2:$C250)=max(if($C$2:$C250=C251,row($C$2:$C250),0)))) ,1),0),0))"),"")</f>
        <v/>
      </c>
      <c r="L251" s="147" t="str">
        <f t="shared" si="14"/>
        <v/>
      </c>
      <c r="M251" s="147" t="str">
        <f t="shared" si="15"/>
        <v/>
      </c>
      <c r="N251" s="147" t="str">
        <f t="shared" si="16"/>
        <v/>
      </c>
      <c r="O251" s="147" t="str">
        <f t="shared" si="6"/>
        <v/>
      </c>
      <c r="P251" s="150" t="str">
        <f t="shared" si="7"/>
        <v/>
      </c>
      <c r="Q251" s="151" t="str">
        <f>IFERROR(VLOOKUP(C251,Ativos!$A$1:$G2000,5,),)</f>
        <v/>
      </c>
    </row>
    <row r="252" ht="21.0" customHeight="1">
      <c r="A252" s="152"/>
      <c r="B252" s="160"/>
      <c r="C252" s="153"/>
      <c r="D252" s="169"/>
      <c r="E252" s="139"/>
      <c r="F252" s="141"/>
      <c r="G252" s="170" t="str">
        <f>IFERROR(__xludf.DUMMYFUNCTION("if($C252="""","""",iferror(if(row()&lt;&gt;2,INDEX(arrayformula(filter($H$2:$H251,$C$2:$C251&lt;&gt;"""",row($C$2:$C251)=max(if($C$2:$C251=C252,row($C$2:$C251),0)))) ,1),0),0))"),"")</f>
        <v/>
      </c>
      <c r="H252" s="170" t="str">
        <f t="shared" si="8"/>
        <v/>
      </c>
      <c r="I252" s="147" t="str">
        <f t="shared" si="1"/>
        <v/>
      </c>
      <c r="J252" s="147" t="str">
        <f t="shared" si="13"/>
        <v/>
      </c>
      <c r="K252" s="147" t="str">
        <f>IFERROR(__xludf.DUMMYFUNCTION("if(C252="""","""",iferror(if(row()&lt;&gt;2,INDEX(arrayformula(filter($L$2:$L251,$C$2:$C251&lt;&gt;"""",row($C$2:$C251)=max(if($C$2:$C251=C252,row($C$2:$C251),0)))) ,1),0),0))"),"")</f>
        <v/>
      </c>
      <c r="L252" s="147" t="str">
        <f t="shared" si="14"/>
        <v/>
      </c>
      <c r="M252" s="147" t="str">
        <f t="shared" si="15"/>
        <v/>
      </c>
      <c r="N252" s="147" t="str">
        <f t="shared" si="16"/>
        <v/>
      </c>
      <c r="O252" s="147" t="str">
        <f t="shared" si="6"/>
        <v/>
      </c>
      <c r="P252" s="150" t="str">
        <f t="shared" si="7"/>
        <v/>
      </c>
      <c r="Q252" s="151" t="str">
        <f>IFERROR(VLOOKUP(C252,Ativos!$A$1:$G2000,5,),)</f>
        <v/>
      </c>
    </row>
    <row r="253" ht="21.0" customHeight="1">
      <c r="A253" s="152"/>
      <c r="B253" s="160"/>
      <c r="C253" s="153"/>
      <c r="D253" s="169"/>
      <c r="E253" s="139"/>
      <c r="F253" s="141"/>
      <c r="G253" s="170" t="str">
        <f>IFERROR(__xludf.DUMMYFUNCTION("if($C253="""","""",iferror(if(row()&lt;&gt;2,INDEX(arrayformula(filter($H$2:$H252,$C$2:$C252&lt;&gt;"""",row($C$2:$C252)=max(if($C$2:$C252=C253,row($C$2:$C252),0)))) ,1),0),0))"),"")</f>
        <v/>
      </c>
      <c r="H253" s="170" t="str">
        <f t="shared" si="8"/>
        <v/>
      </c>
      <c r="I253" s="147" t="str">
        <f t="shared" si="1"/>
        <v/>
      </c>
      <c r="J253" s="147" t="str">
        <f t="shared" si="13"/>
        <v/>
      </c>
      <c r="K253" s="147" t="str">
        <f>IFERROR(__xludf.DUMMYFUNCTION("if(C253="""","""",iferror(if(row()&lt;&gt;2,INDEX(arrayformula(filter($L$2:$L252,$C$2:$C252&lt;&gt;"""",row($C$2:$C252)=max(if($C$2:$C252=C253,row($C$2:$C252),0)))) ,1),0),0))"),"")</f>
        <v/>
      </c>
      <c r="L253" s="147" t="str">
        <f t="shared" si="14"/>
        <v/>
      </c>
      <c r="M253" s="147" t="str">
        <f t="shared" si="15"/>
        <v/>
      </c>
      <c r="N253" s="147" t="str">
        <f t="shared" si="16"/>
        <v/>
      </c>
      <c r="O253" s="147" t="str">
        <f t="shared" si="6"/>
        <v/>
      </c>
      <c r="P253" s="150" t="str">
        <f t="shared" si="7"/>
        <v/>
      </c>
      <c r="Q253" s="151" t="str">
        <f>IFERROR(VLOOKUP(C253,Ativos!$A$1:$G2000,5,),)</f>
        <v/>
      </c>
    </row>
    <row r="254" ht="21.0" customHeight="1">
      <c r="A254" s="152"/>
      <c r="B254" s="160"/>
      <c r="C254" s="153"/>
      <c r="D254" s="169"/>
      <c r="E254" s="139"/>
      <c r="F254" s="141"/>
      <c r="G254" s="170" t="str">
        <f>IFERROR(__xludf.DUMMYFUNCTION("if($C254="""","""",iferror(if(row()&lt;&gt;2,INDEX(arrayformula(filter($H$2:$H253,$C$2:$C253&lt;&gt;"""",row($C$2:$C253)=max(if($C$2:$C253=C254,row($C$2:$C253),0)))) ,1),0),0))"),"")</f>
        <v/>
      </c>
      <c r="H254" s="170" t="str">
        <f t="shared" si="8"/>
        <v/>
      </c>
      <c r="I254" s="147" t="str">
        <f t="shared" si="1"/>
        <v/>
      </c>
      <c r="J254" s="147" t="str">
        <f t="shared" si="13"/>
        <v/>
      </c>
      <c r="K254" s="147" t="str">
        <f>IFERROR(__xludf.DUMMYFUNCTION("if(C254="""","""",iferror(if(row()&lt;&gt;2,INDEX(arrayformula(filter($L$2:$L253,$C$2:$C253&lt;&gt;"""",row($C$2:$C253)=max(if($C$2:$C253=C254,row($C$2:$C253),0)))) ,1),0),0))"),"")</f>
        <v/>
      </c>
      <c r="L254" s="147" t="str">
        <f t="shared" si="14"/>
        <v/>
      </c>
      <c r="M254" s="147" t="str">
        <f t="shared" si="15"/>
        <v/>
      </c>
      <c r="N254" s="147" t="str">
        <f t="shared" si="16"/>
        <v/>
      </c>
      <c r="O254" s="147" t="str">
        <f t="shared" si="6"/>
        <v/>
      </c>
      <c r="P254" s="150" t="str">
        <f t="shared" si="7"/>
        <v/>
      </c>
      <c r="Q254" s="151" t="str">
        <f>IFERROR(VLOOKUP(C254,Ativos!$A$1:$G2000,5,),)</f>
        <v/>
      </c>
    </row>
    <row r="255" ht="21.0" customHeight="1">
      <c r="A255" s="152"/>
      <c r="B255" s="160"/>
      <c r="C255" s="153"/>
      <c r="D255" s="169"/>
      <c r="E255" s="139"/>
      <c r="F255" s="141"/>
      <c r="G255" s="170" t="str">
        <f>IFERROR(__xludf.DUMMYFUNCTION("if($C255="""","""",iferror(if(row()&lt;&gt;2,INDEX(arrayformula(filter($H$2:$H254,$C$2:$C254&lt;&gt;"""",row($C$2:$C254)=max(if($C$2:$C254=C255,row($C$2:$C254),0)))) ,1),0),0))"),"")</f>
        <v/>
      </c>
      <c r="H255" s="170" t="str">
        <f t="shared" si="8"/>
        <v/>
      </c>
      <c r="I255" s="147" t="str">
        <f t="shared" si="1"/>
        <v/>
      </c>
      <c r="J255" s="147" t="str">
        <f t="shared" si="13"/>
        <v/>
      </c>
      <c r="K255" s="147" t="str">
        <f>IFERROR(__xludf.DUMMYFUNCTION("if(C255="""","""",iferror(if(row()&lt;&gt;2,INDEX(arrayformula(filter($L$2:$L254,$C$2:$C254&lt;&gt;"""",row($C$2:$C254)=max(if($C$2:$C254=C255,row($C$2:$C254),0)))) ,1),0),0))"),"")</f>
        <v/>
      </c>
      <c r="L255" s="147" t="str">
        <f t="shared" si="14"/>
        <v/>
      </c>
      <c r="M255" s="147" t="str">
        <f t="shared" si="15"/>
        <v/>
      </c>
      <c r="N255" s="147" t="str">
        <f t="shared" si="16"/>
        <v/>
      </c>
      <c r="O255" s="147" t="str">
        <f t="shared" si="6"/>
        <v/>
      </c>
      <c r="P255" s="150" t="str">
        <f t="shared" si="7"/>
        <v/>
      </c>
      <c r="Q255" s="151" t="str">
        <f>IFERROR(VLOOKUP(C255,Ativos!$A$1:$G2000,5,),)</f>
        <v/>
      </c>
    </row>
    <row r="256" ht="21.0" customHeight="1">
      <c r="A256" s="152"/>
      <c r="B256" s="160"/>
      <c r="C256" s="153"/>
      <c r="D256" s="169"/>
      <c r="E256" s="139"/>
      <c r="F256" s="141"/>
      <c r="G256" s="170" t="str">
        <f>IFERROR(__xludf.DUMMYFUNCTION("if($C256="""","""",iferror(if(row()&lt;&gt;2,INDEX(arrayformula(filter($H$2:$H255,$C$2:$C255&lt;&gt;"""",row($C$2:$C255)=max(if($C$2:$C255=C256,row($C$2:$C255),0)))) ,1),0),0))"),"")</f>
        <v/>
      </c>
      <c r="H256" s="170" t="str">
        <f t="shared" si="8"/>
        <v/>
      </c>
      <c r="I256" s="147" t="str">
        <f t="shared" si="1"/>
        <v/>
      </c>
      <c r="J256" s="147" t="str">
        <f t="shared" si="13"/>
        <v/>
      </c>
      <c r="K256" s="147" t="str">
        <f>IFERROR(__xludf.DUMMYFUNCTION("if(C256="""","""",iferror(if(row()&lt;&gt;2,INDEX(arrayformula(filter($L$2:$L255,$C$2:$C255&lt;&gt;"""",row($C$2:$C255)=max(if($C$2:$C255=C256,row($C$2:$C255),0)))) ,1),0),0))"),"")</f>
        <v/>
      </c>
      <c r="L256" s="147" t="str">
        <f t="shared" si="14"/>
        <v/>
      </c>
      <c r="M256" s="147" t="str">
        <f t="shared" si="15"/>
        <v/>
      </c>
      <c r="N256" s="147" t="str">
        <f t="shared" si="16"/>
        <v/>
      </c>
      <c r="O256" s="147" t="str">
        <f t="shared" si="6"/>
        <v/>
      </c>
      <c r="P256" s="150" t="str">
        <f t="shared" si="7"/>
        <v/>
      </c>
      <c r="Q256" s="151" t="str">
        <f>IFERROR(VLOOKUP(C256,Ativos!$A$1:$G2000,5,),)</f>
        <v/>
      </c>
    </row>
    <row r="257" ht="21.0" customHeight="1">
      <c r="A257" s="152"/>
      <c r="B257" s="160"/>
      <c r="C257" s="153"/>
      <c r="D257" s="169"/>
      <c r="E257" s="139"/>
      <c r="F257" s="141"/>
      <c r="G257" s="170" t="str">
        <f>IFERROR(__xludf.DUMMYFUNCTION("if($C257="""","""",iferror(if(row()&lt;&gt;2,INDEX(arrayformula(filter($H$2:$H256,$C$2:$C256&lt;&gt;"""",row($C$2:$C256)=max(if($C$2:$C256=C257,row($C$2:$C256),0)))) ,1),0),0))"),"")</f>
        <v/>
      </c>
      <c r="H257" s="170" t="str">
        <f t="shared" si="8"/>
        <v/>
      </c>
      <c r="I257" s="147" t="str">
        <f t="shared" si="1"/>
        <v/>
      </c>
      <c r="J257" s="147" t="str">
        <f t="shared" si="13"/>
        <v/>
      </c>
      <c r="K257" s="147" t="str">
        <f>IFERROR(__xludf.DUMMYFUNCTION("if(C257="""","""",iferror(if(row()&lt;&gt;2,INDEX(arrayformula(filter($L$2:$L256,$C$2:$C256&lt;&gt;"""",row($C$2:$C256)=max(if($C$2:$C256=C257,row($C$2:$C256),0)))) ,1),0),0))"),"")</f>
        <v/>
      </c>
      <c r="L257" s="147" t="str">
        <f t="shared" si="14"/>
        <v/>
      </c>
      <c r="M257" s="147" t="str">
        <f t="shared" si="15"/>
        <v/>
      </c>
      <c r="N257" s="147" t="str">
        <f t="shared" si="16"/>
        <v/>
      </c>
      <c r="O257" s="147" t="str">
        <f t="shared" si="6"/>
        <v/>
      </c>
      <c r="P257" s="150" t="str">
        <f t="shared" si="7"/>
        <v/>
      </c>
      <c r="Q257" s="151" t="str">
        <f>IFERROR(VLOOKUP(C257,Ativos!$A$1:$G2000,5,),)</f>
        <v/>
      </c>
    </row>
    <row r="258" ht="21.0" customHeight="1">
      <c r="A258" s="152"/>
      <c r="B258" s="160"/>
      <c r="C258" s="153"/>
      <c r="D258" s="169"/>
      <c r="E258" s="139"/>
      <c r="F258" s="141"/>
      <c r="G258" s="170" t="str">
        <f>IFERROR(__xludf.DUMMYFUNCTION("if($C258="""","""",iferror(if(row()&lt;&gt;2,INDEX(arrayformula(filter($H$2:$H257,$C$2:$C257&lt;&gt;"""",row($C$2:$C257)=max(if($C$2:$C257=C258,row($C$2:$C257),0)))) ,1),0),0))"),"")</f>
        <v/>
      </c>
      <c r="H258" s="170" t="str">
        <f t="shared" si="8"/>
        <v/>
      </c>
      <c r="I258" s="147" t="str">
        <f t="shared" si="1"/>
        <v/>
      </c>
      <c r="J258" s="147" t="str">
        <f t="shared" si="13"/>
        <v/>
      </c>
      <c r="K258" s="147" t="str">
        <f>IFERROR(__xludf.DUMMYFUNCTION("if(C258="""","""",iferror(if(row()&lt;&gt;2,INDEX(arrayformula(filter($L$2:$L257,$C$2:$C257&lt;&gt;"""",row($C$2:$C257)=max(if($C$2:$C257=C258,row($C$2:$C257),0)))) ,1),0),0))"),"")</f>
        <v/>
      </c>
      <c r="L258" s="147" t="str">
        <f t="shared" si="14"/>
        <v/>
      </c>
      <c r="M258" s="147" t="str">
        <f t="shared" si="15"/>
        <v/>
      </c>
      <c r="N258" s="147" t="str">
        <f t="shared" si="16"/>
        <v/>
      </c>
      <c r="O258" s="147" t="str">
        <f t="shared" si="6"/>
        <v/>
      </c>
      <c r="P258" s="150" t="str">
        <f t="shared" si="7"/>
        <v/>
      </c>
      <c r="Q258" s="151" t="str">
        <f>IFERROR(VLOOKUP(C258,Ativos!$A$1:$G2000,5,),)</f>
        <v/>
      </c>
    </row>
    <row r="259" ht="21.0" customHeight="1">
      <c r="A259" s="152"/>
      <c r="B259" s="160"/>
      <c r="C259" s="153"/>
      <c r="D259" s="169"/>
      <c r="E259" s="139"/>
      <c r="F259" s="141"/>
      <c r="G259" s="170" t="str">
        <f>IFERROR(__xludf.DUMMYFUNCTION("if($C259="""","""",iferror(if(row()&lt;&gt;2,INDEX(arrayformula(filter($H$2:$H258,$C$2:$C258&lt;&gt;"""",row($C$2:$C258)=max(if($C$2:$C258=C259,row($C$2:$C258),0)))) ,1),0),0))"),"")</f>
        <v/>
      </c>
      <c r="H259" s="170" t="str">
        <f t="shared" si="8"/>
        <v/>
      </c>
      <c r="I259" s="147" t="str">
        <f t="shared" si="1"/>
        <v/>
      </c>
      <c r="J259" s="147" t="str">
        <f t="shared" si="13"/>
        <v/>
      </c>
      <c r="K259" s="147" t="str">
        <f>IFERROR(__xludf.DUMMYFUNCTION("if(C259="""","""",iferror(if(row()&lt;&gt;2,INDEX(arrayformula(filter($L$2:$L258,$C$2:$C258&lt;&gt;"""",row($C$2:$C258)=max(if($C$2:$C258=C259,row($C$2:$C258),0)))) ,1),0),0))"),"")</f>
        <v/>
      </c>
      <c r="L259" s="147" t="str">
        <f t="shared" si="14"/>
        <v/>
      </c>
      <c r="M259" s="147" t="str">
        <f t="shared" si="15"/>
        <v/>
      </c>
      <c r="N259" s="147" t="str">
        <f t="shared" si="16"/>
        <v/>
      </c>
      <c r="O259" s="147" t="str">
        <f t="shared" si="6"/>
        <v/>
      </c>
      <c r="P259" s="150" t="str">
        <f t="shared" si="7"/>
        <v/>
      </c>
      <c r="Q259" s="151" t="str">
        <f>IFERROR(VLOOKUP(C259,Ativos!$A$1:$G2000,5,),)</f>
        <v/>
      </c>
    </row>
    <row r="260" ht="21.0" customHeight="1">
      <c r="A260" s="152"/>
      <c r="B260" s="160"/>
      <c r="C260" s="153"/>
      <c r="D260" s="169"/>
      <c r="E260" s="139"/>
      <c r="F260" s="141"/>
      <c r="G260" s="170" t="str">
        <f>IFERROR(__xludf.DUMMYFUNCTION("if($C260="""","""",iferror(if(row()&lt;&gt;2,INDEX(arrayformula(filter($H$2:$H259,$C$2:$C259&lt;&gt;"""",row($C$2:$C259)=max(if($C$2:$C259=C260,row($C$2:$C259),0)))) ,1),0),0))"),"")</f>
        <v/>
      </c>
      <c r="H260" s="170" t="str">
        <f t="shared" si="8"/>
        <v/>
      </c>
      <c r="I260" s="147" t="str">
        <f t="shared" si="1"/>
        <v/>
      </c>
      <c r="J260" s="147" t="str">
        <f t="shared" si="13"/>
        <v/>
      </c>
      <c r="K260" s="147" t="str">
        <f>IFERROR(__xludf.DUMMYFUNCTION("if(C260="""","""",iferror(if(row()&lt;&gt;2,INDEX(arrayformula(filter($L$2:$L259,$C$2:$C259&lt;&gt;"""",row($C$2:$C259)=max(if($C$2:$C259=C260,row($C$2:$C259),0)))) ,1),0),0))"),"")</f>
        <v/>
      </c>
      <c r="L260" s="147" t="str">
        <f t="shared" si="14"/>
        <v/>
      </c>
      <c r="M260" s="147" t="str">
        <f t="shared" si="15"/>
        <v/>
      </c>
      <c r="N260" s="147" t="str">
        <f t="shared" si="16"/>
        <v/>
      </c>
      <c r="O260" s="147" t="str">
        <f t="shared" si="6"/>
        <v/>
      </c>
      <c r="P260" s="150" t="str">
        <f t="shared" si="7"/>
        <v/>
      </c>
      <c r="Q260" s="151" t="str">
        <f>IFERROR(VLOOKUP(C260,Ativos!$A$1:$G2000,5,),)</f>
        <v/>
      </c>
    </row>
    <row r="261" ht="21.0" customHeight="1">
      <c r="A261" s="152"/>
      <c r="B261" s="160"/>
      <c r="C261" s="153"/>
      <c r="D261" s="169"/>
      <c r="E261" s="139"/>
      <c r="F261" s="141"/>
      <c r="G261" s="170" t="str">
        <f>IFERROR(__xludf.DUMMYFUNCTION("if($C261="""","""",iferror(if(row()&lt;&gt;2,INDEX(arrayformula(filter($H$2:$H260,$C$2:$C260&lt;&gt;"""",row($C$2:$C260)=max(if($C$2:$C260=C261,row($C$2:$C260),0)))) ,1),0),0))"),"")</f>
        <v/>
      </c>
      <c r="H261" s="170" t="str">
        <f t="shared" si="8"/>
        <v/>
      </c>
      <c r="I261" s="147" t="str">
        <f t="shared" si="1"/>
        <v/>
      </c>
      <c r="J261" s="147" t="str">
        <f t="shared" si="13"/>
        <v/>
      </c>
      <c r="K261" s="147" t="str">
        <f>IFERROR(__xludf.DUMMYFUNCTION("if(C261="""","""",iferror(if(row()&lt;&gt;2,INDEX(arrayformula(filter($L$2:$L260,$C$2:$C260&lt;&gt;"""",row($C$2:$C260)=max(if($C$2:$C260=C261,row($C$2:$C260),0)))) ,1),0),0))"),"")</f>
        <v/>
      </c>
      <c r="L261" s="147" t="str">
        <f t="shared" si="14"/>
        <v/>
      </c>
      <c r="M261" s="147" t="str">
        <f t="shared" si="15"/>
        <v/>
      </c>
      <c r="N261" s="147" t="str">
        <f t="shared" si="16"/>
        <v/>
      </c>
      <c r="O261" s="147" t="str">
        <f t="shared" si="6"/>
        <v/>
      </c>
      <c r="P261" s="150" t="str">
        <f t="shared" si="7"/>
        <v/>
      </c>
      <c r="Q261" s="151" t="str">
        <f>IFERROR(VLOOKUP(C261,Ativos!$A$1:$G2000,5,),)</f>
        <v/>
      </c>
    </row>
    <row r="262" ht="21.0" customHeight="1">
      <c r="A262" s="152"/>
      <c r="B262" s="160"/>
      <c r="C262" s="153"/>
      <c r="D262" s="169"/>
      <c r="E262" s="139"/>
      <c r="F262" s="141"/>
      <c r="G262" s="170" t="str">
        <f>IFERROR(__xludf.DUMMYFUNCTION("if($C262="""","""",iferror(if(row()&lt;&gt;2,INDEX(arrayformula(filter($H$2:$H261,$C$2:$C261&lt;&gt;"""",row($C$2:$C261)=max(if($C$2:$C261=C262,row($C$2:$C261),0)))) ,1),0),0))"),"")</f>
        <v/>
      </c>
      <c r="H262" s="170" t="str">
        <f t="shared" si="8"/>
        <v/>
      </c>
      <c r="I262" s="147" t="str">
        <f t="shared" si="1"/>
        <v/>
      </c>
      <c r="J262" s="147" t="str">
        <f t="shared" si="13"/>
        <v/>
      </c>
      <c r="K262" s="147" t="str">
        <f>IFERROR(__xludf.DUMMYFUNCTION("if(C262="""","""",iferror(if(row()&lt;&gt;2,INDEX(arrayformula(filter($L$2:$L261,$C$2:$C261&lt;&gt;"""",row($C$2:$C261)=max(if($C$2:$C261=C262,row($C$2:$C261),0)))) ,1),0),0))"),"")</f>
        <v/>
      </c>
      <c r="L262" s="147" t="str">
        <f t="shared" si="14"/>
        <v/>
      </c>
      <c r="M262" s="147" t="str">
        <f t="shared" si="15"/>
        <v/>
      </c>
      <c r="N262" s="147" t="str">
        <f t="shared" si="16"/>
        <v/>
      </c>
      <c r="O262" s="147" t="str">
        <f t="shared" si="6"/>
        <v/>
      </c>
      <c r="P262" s="150" t="str">
        <f t="shared" si="7"/>
        <v/>
      </c>
      <c r="Q262" s="151" t="str">
        <f>IFERROR(VLOOKUP(C262,Ativos!$A$1:$G2000,5,),)</f>
        <v/>
      </c>
    </row>
    <row r="263" ht="21.0" customHeight="1">
      <c r="A263" s="152"/>
      <c r="B263" s="160"/>
      <c r="C263" s="153"/>
      <c r="D263" s="169"/>
      <c r="E263" s="139"/>
      <c r="F263" s="141"/>
      <c r="G263" s="170" t="str">
        <f>IFERROR(__xludf.DUMMYFUNCTION("if($C263="""","""",iferror(if(row()&lt;&gt;2,INDEX(arrayformula(filter($H$2:$H262,$C$2:$C262&lt;&gt;"""",row($C$2:$C262)=max(if($C$2:$C262=C263,row($C$2:$C262),0)))) ,1),0),0))"),"")</f>
        <v/>
      </c>
      <c r="H263" s="170" t="str">
        <f t="shared" si="8"/>
        <v/>
      </c>
      <c r="I263" s="147" t="str">
        <f t="shared" si="1"/>
        <v/>
      </c>
      <c r="J263" s="147" t="str">
        <f t="shared" si="13"/>
        <v/>
      </c>
      <c r="K263" s="147" t="str">
        <f>IFERROR(__xludf.DUMMYFUNCTION("if(C263="""","""",iferror(if(row()&lt;&gt;2,INDEX(arrayformula(filter($L$2:$L262,$C$2:$C262&lt;&gt;"""",row($C$2:$C262)=max(if($C$2:$C262=C263,row($C$2:$C262),0)))) ,1),0),0))"),"")</f>
        <v/>
      </c>
      <c r="L263" s="147" t="str">
        <f t="shared" si="14"/>
        <v/>
      </c>
      <c r="M263" s="147" t="str">
        <f t="shared" si="15"/>
        <v/>
      </c>
      <c r="N263" s="147" t="str">
        <f t="shared" si="16"/>
        <v/>
      </c>
      <c r="O263" s="147" t="str">
        <f t="shared" si="6"/>
        <v/>
      </c>
      <c r="P263" s="150" t="str">
        <f t="shared" si="7"/>
        <v/>
      </c>
      <c r="Q263" s="151" t="str">
        <f>IFERROR(VLOOKUP(C263,Ativos!$A$1:$G2000,5,),)</f>
        <v/>
      </c>
    </row>
    <row r="264" ht="21.0" customHeight="1">
      <c r="A264" s="152"/>
      <c r="B264" s="160"/>
      <c r="C264" s="153"/>
      <c r="D264" s="169"/>
      <c r="E264" s="139"/>
      <c r="F264" s="141"/>
      <c r="G264" s="170" t="str">
        <f>IFERROR(__xludf.DUMMYFUNCTION("if($C264="""","""",iferror(if(row()&lt;&gt;2,INDEX(arrayformula(filter($H$2:$H263,$C$2:$C263&lt;&gt;"""",row($C$2:$C263)=max(if($C$2:$C263=C264,row($C$2:$C263),0)))) ,1),0),0))"),"")</f>
        <v/>
      </c>
      <c r="H264" s="170" t="str">
        <f t="shared" si="8"/>
        <v/>
      </c>
      <c r="I264" s="147" t="str">
        <f t="shared" si="1"/>
        <v/>
      </c>
      <c r="J264" s="147" t="str">
        <f t="shared" si="13"/>
        <v/>
      </c>
      <c r="K264" s="147" t="str">
        <f>IFERROR(__xludf.DUMMYFUNCTION("if(C264="""","""",iferror(if(row()&lt;&gt;2,INDEX(arrayformula(filter($L$2:$L263,$C$2:$C263&lt;&gt;"""",row($C$2:$C263)=max(if($C$2:$C263=C264,row($C$2:$C263),0)))) ,1),0),0))"),"")</f>
        <v/>
      </c>
      <c r="L264" s="147" t="str">
        <f t="shared" si="14"/>
        <v/>
      </c>
      <c r="M264" s="147" t="str">
        <f t="shared" si="15"/>
        <v/>
      </c>
      <c r="N264" s="147" t="str">
        <f t="shared" si="16"/>
        <v/>
      </c>
      <c r="O264" s="147" t="str">
        <f t="shared" si="6"/>
        <v/>
      </c>
      <c r="P264" s="150" t="str">
        <f t="shared" si="7"/>
        <v/>
      </c>
      <c r="Q264" s="151" t="str">
        <f>IFERROR(VLOOKUP(C264,Ativos!$A$1:$G2000,5,),)</f>
        <v/>
      </c>
    </row>
    <row r="265" ht="21.0" customHeight="1">
      <c r="A265" s="152"/>
      <c r="B265" s="160"/>
      <c r="C265" s="153"/>
      <c r="D265" s="169"/>
      <c r="E265" s="139"/>
      <c r="F265" s="141"/>
      <c r="G265" s="170" t="str">
        <f>IFERROR(__xludf.DUMMYFUNCTION("if($C265="""","""",iferror(if(row()&lt;&gt;2,INDEX(arrayformula(filter($H$2:$H264,$C$2:$C264&lt;&gt;"""",row($C$2:$C264)=max(if($C$2:$C264=C265,row($C$2:$C264),0)))) ,1),0),0))"),"")</f>
        <v/>
      </c>
      <c r="H265" s="170" t="str">
        <f t="shared" si="8"/>
        <v/>
      </c>
      <c r="I265" s="147" t="str">
        <f t="shared" si="1"/>
        <v/>
      </c>
      <c r="J265" s="147" t="str">
        <f t="shared" si="13"/>
        <v/>
      </c>
      <c r="K265" s="147" t="str">
        <f>IFERROR(__xludf.DUMMYFUNCTION("if(C265="""","""",iferror(if(row()&lt;&gt;2,INDEX(arrayformula(filter($L$2:$L264,$C$2:$C264&lt;&gt;"""",row($C$2:$C264)=max(if($C$2:$C264=C265,row($C$2:$C264),0)))) ,1),0),0))"),"")</f>
        <v/>
      </c>
      <c r="L265" s="147" t="str">
        <f t="shared" si="14"/>
        <v/>
      </c>
      <c r="M265" s="147" t="str">
        <f t="shared" si="15"/>
        <v/>
      </c>
      <c r="N265" s="147" t="str">
        <f t="shared" si="16"/>
        <v/>
      </c>
      <c r="O265" s="147" t="str">
        <f t="shared" si="6"/>
        <v/>
      </c>
      <c r="P265" s="150" t="str">
        <f t="shared" si="7"/>
        <v/>
      </c>
      <c r="Q265" s="151" t="str">
        <f>IFERROR(VLOOKUP(C265,Ativos!$A$1:$G2000,5,),)</f>
        <v/>
      </c>
    </row>
    <row r="266" ht="21.0" customHeight="1">
      <c r="A266" s="152"/>
      <c r="B266" s="160"/>
      <c r="C266" s="153"/>
      <c r="D266" s="169"/>
      <c r="E266" s="139"/>
      <c r="F266" s="141"/>
      <c r="G266" s="170" t="str">
        <f>IFERROR(__xludf.DUMMYFUNCTION("if($C266="""","""",iferror(if(row()&lt;&gt;2,INDEX(arrayformula(filter($H$2:$H265,$C$2:$C265&lt;&gt;"""",row($C$2:$C265)=max(if($C$2:$C265=C266,row($C$2:$C265),0)))) ,1),0),0))"),"")</f>
        <v/>
      </c>
      <c r="H266" s="170" t="str">
        <f t="shared" si="8"/>
        <v/>
      </c>
      <c r="I266" s="147" t="str">
        <f t="shared" si="1"/>
        <v/>
      </c>
      <c r="J266" s="147" t="str">
        <f t="shared" si="13"/>
        <v/>
      </c>
      <c r="K266" s="147" t="str">
        <f>IFERROR(__xludf.DUMMYFUNCTION("if(C266="""","""",iferror(if(row()&lt;&gt;2,INDEX(arrayformula(filter($L$2:$L265,$C$2:$C265&lt;&gt;"""",row($C$2:$C265)=max(if($C$2:$C265=C266,row($C$2:$C265),0)))) ,1),0),0))"),"")</f>
        <v/>
      </c>
      <c r="L266" s="147" t="str">
        <f t="shared" si="14"/>
        <v/>
      </c>
      <c r="M266" s="147" t="str">
        <f t="shared" si="15"/>
        <v/>
      </c>
      <c r="N266" s="147" t="str">
        <f t="shared" si="16"/>
        <v/>
      </c>
      <c r="O266" s="147" t="str">
        <f t="shared" si="6"/>
        <v/>
      </c>
      <c r="P266" s="150" t="str">
        <f t="shared" si="7"/>
        <v/>
      </c>
      <c r="Q266" s="151" t="str">
        <f>IFERROR(VLOOKUP(C266,Ativos!$A$1:$G2000,5,),)</f>
        <v/>
      </c>
    </row>
    <row r="267" ht="21.0" customHeight="1">
      <c r="A267" s="152"/>
      <c r="B267" s="160"/>
      <c r="C267" s="153"/>
      <c r="D267" s="169"/>
      <c r="E267" s="139"/>
      <c r="F267" s="141"/>
      <c r="G267" s="170" t="str">
        <f>IFERROR(__xludf.DUMMYFUNCTION("if($C267="""","""",iferror(if(row()&lt;&gt;2,INDEX(arrayformula(filter($H$2:$H266,$C$2:$C266&lt;&gt;"""",row($C$2:$C266)=max(if($C$2:$C266=C267,row($C$2:$C266),0)))) ,1),0),0))"),"")</f>
        <v/>
      </c>
      <c r="H267" s="170" t="str">
        <f t="shared" si="8"/>
        <v/>
      </c>
      <c r="I267" s="147" t="str">
        <f t="shared" si="1"/>
        <v/>
      </c>
      <c r="J267" s="147" t="str">
        <f t="shared" si="13"/>
        <v/>
      </c>
      <c r="K267" s="147" t="str">
        <f>IFERROR(__xludf.DUMMYFUNCTION("if(C267="""","""",iferror(if(row()&lt;&gt;2,INDEX(arrayformula(filter($L$2:$L266,$C$2:$C266&lt;&gt;"""",row($C$2:$C266)=max(if($C$2:$C266=C267,row($C$2:$C266),0)))) ,1),0),0))"),"")</f>
        <v/>
      </c>
      <c r="L267" s="147" t="str">
        <f t="shared" si="14"/>
        <v/>
      </c>
      <c r="M267" s="147" t="str">
        <f t="shared" si="15"/>
        <v/>
      </c>
      <c r="N267" s="147" t="str">
        <f t="shared" si="16"/>
        <v/>
      </c>
      <c r="O267" s="147" t="str">
        <f t="shared" si="6"/>
        <v/>
      </c>
      <c r="P267" s="150" t="str">
        <f t="shared" si="7"/>
        <v/>
      </c>
      <c r="Q267" s="151" t="str">
        <f>IFERROR(VLOOKUP(C267,Ativos!$A$1:$G2000,5,),)</f>
        <v/>
      </c>
    </row>
    <row r="268" ht="21.0" customHeight="1">
      <c r="A268" s="152"/>
      <c r="B268" s="160"/>
      <c r="C268" s="153"/>
      <c r="D268" s="169"/>
      <c r="E268" s="139"/>
      <c r="F268" s="141"/>
      <c r="G268" s="170" t="str">
        <f>IFERROR(__xludf.DUMMYFUNCTION("if($C268="""","""",iferror(if(row()&lt;&gt;2,INDEX(arrayformula(filter($H$2:$H267,$C$2:$C267&lt;&gt;"""",row($C$2:$C267)=max(if($C$2:$C267=C268,row($C$2:$C267),0)))) ,1),0),0))"),"")</f>
        <v/>
      </c>
      <c r="H268" s="170" t="str">
        <f t="shared" si="8"/>
        <v/>
      </c>
      <c r="I268" s="147" t="str">
        <f t="shared" si="1"/>
        <v/>
      </c>
      <c r="J268" s="147" t="str">
        <f t="shared" si="13"/>
        <v/>
      </c>
      <c r="K268" s="147" t="str">
        <f>IFERROR(__xludf.DUMMYFUNCTION("if(C268="""","""",iferror(if(row()&lt;&gt;2,INDEX(arrayformula(filter($L$2:$L267,$C$2:$C267&lt;&gt;"""",row($C$2:$C267)=max(if($C$2:$C267=C268,row($C$2:$C267),0)))) ,1),0),0))"),"")</f>
        <v/>
      </c>
      <c r="L268" s="147" t="str">
        <f t="shared" si="14"/>
        <v/>
      </c>
      <c r="M268" s="147" t="str">
        <f t="shared" si="15"/>
        <v/>
      </c>
      <c r="N268" s="147" t="str">
        <f t="shared" si="16"/>
        <v/>
      </c>
      <c r="O268" s="147" t="str">
        <f t="shared" si="6"/>
        <v/>
      </c>
      <c r="P268" s="150" t="str">
        <f t="shared" si="7"/>
        <v/>
      </c>
      <c r="Q268" s="151" t="str">
        <f>IFERROR(VLOOKUP(C268,Ativos!$A$1:$G2000,5,),)</f>
        <v/>
      </c>
    </row>
    <row r="269" ht="21.0" customHeight="1">
      <c r="A269" s="152"/>
      <c r="B269" s="160"/>
      <c r="C269" s="153"/>
      <c r="D269" s="169"/>
      <c r="E269" s="139"/>
      <c r="F269" s="141"/>
      <c r="G269" s="170" t="str">
        <f>IFERROR(__xludf.DUMMYFUNCTION("if($C269="""","""",iferror(if(row()&lt;&gt;2,INDEX(arrayformula(filter($H$2:$H268,$C$2:$C268&lt;&gt;"""",row($C$2:$C268)=max(if($C$2:$C268=C269,row($C$2:$C268),0)))) ,1),0),0))"),"")</f>
        <v/>
      </c>
      <c r="H269" s="170" t="str">
        <f t="shared" si="8"/>
        <v/>
      </c>
      <c r="I269" s="147" t="str">
        <f t="shared" si="1"/>
        <v/>
      </c>
      <c r="J269" s="147" t="str">
        <f t="shared" si="13"/>
        <v/>
      </c>
      <c r="K269" s="147" t="str">
        <f>IFERROR(__xludf.DUMMYFUNCTION("if(C269="""","""",iferror(if(row()&lt;&gt;2,INDEX(arrayformula(filter($L$2:$L268,$C$2:$C268&lt;&gt;"""",row($C$2:$C268)=max(if($C$2:$C268=C269,row($C$2:$C268),0)))) ,1),0),0))"),"")</f>
        <v/>
      </c>
      <c r="L269" s="147" t="str">
        <f t="shared" si="14"/>
        <v/>
      </c>
      <c r="M269" s="147" t="str">
        <f t="shared" si="15"/>
        <v/>
      </c>
      <c r="N269" s="147" t="str">
        <f t="shared" si="16"/>
        <v/>
      </c>
      <c r="O269" s="147" t="str">
        <f t="shared" si="6"/>
        <v/>
      </c>
      <c r="P269" s="150" t="str">
        <f t="shared" si="7"/>
        <v/>
      </c>
      <c r="Q269" s="151" t="str">
        <f>IFERROR(VLOOKUP(C269,Ativos!$A$1:$G2000,5,),)</f>
        <v/>
      </c>
    </row>
    <row r="270" ht="21.0" customHeight="1">
      <c r="A270" s="152"/>
      <c r="B270" s="160"/>
      <c r="C270" s="153"/>
      <c r="D270" s="169"/>
      <c r="E270" s="139"/>
      <c r="F270" s="141"/>
      <c r="G270" s="170" t="str">
        <f>IFERROR(__xludf.DUMMYFUNCTION("if($C270="""","""",iferror(if(row()&lt;&gt;2,INDEX(arrayformula(filter($H$2:$H269,$C$2:$C269&lt;&gt;"""",row($C$2:$C269)=max(if($C$2:$C269=C270,row($C$2:$C269),0)))) ,1),0),0))"),"")</f>
        <v/>
      </c>
      <c r="H270" s="170" t="str">
        <f t="shared" si="8"/>
        <v/>
      </c>
      <c r="I270" s="147" t="str">
        <f t="shared" si="1"/>
        <v/>
      </c>
      <c r="J270" s="147" t="str">
        <f t="shared" si="13"/>
        <v/>
      </c>
      <c r="K270" s="147" t="str">
        <f>IFERROR(__xludf.DUMMYFUNCTION("if(C270="""","""",iferror(if(row()&lt;&gt;2,INDEX(arrayformula(filter($L$2:$L269,$C$2:$C269&lt;&gt;"""",row($C$2:$C269)=max(if($C$2:$C269=C270,row($C$2:$C269),0)))) ,1),0),0))"),"")</f>
        <v/>
      </c>
      <c r="L270" s="147" t="str">
        <f t="shared" si="14"/>
        <v/>
      </c>
      <c r="M270" s="147" t="str">
        <f t="shared" si="15"/>
        <v/>
      </c>
      <c r="N270" s="147" t="str">
        <f t="shared" si="16"/>
        <v/>
      </c>
      <c r="O270" s="147" t="str">
        <f t="shared" si="6"/>
        <v/>
      </c>
      <c r="P270" s="150" t="str">
        <f t="shared" si="7"/>
        <v/>
      </c>
      <c r="Q270" s="151" t="str">
        <f>IFERROR(VLOOKUP(C270,Ativos!$A$1:$G2000,5,),)</f>
        <v/>
      </c>
    </row>
    <row r="271" ht="21.0" customHeight="1">
      <c r="A271" s="152"/>
      <c r="B271" s="160"/>
      <c r="C271" s="153"/>
      <c r="D271" s="169"/>
      <c r="E271" s="139"/>
      <c r="F271" s="141"/>
      <c r="G271" s="170" t="str">
        <f>IFERROR(__xludf.DUMMYFUNCTION("if($C271="""","""",iferror(if(row()&lt;&gt;2,INDEX(arrayformula(filter($H$2:$H270,$C$2:$C270&lt;&gt;"""",row($C$2:$C270)=max(if($C$2:$C270=C271,row($C$2:$C270),0)))) ,1),0),0))"),"")</f>
        <v/>
      </c>
      <c r="H271" s="170" t="str">
        <f t="shared" si="8"/>
        <v/>
      </c>
      <c r="I271" s="147" t="str">
        <f t="shared" si="1"/>
        <v/>
      </c>
      <c r="J271" s="147" t="str">
        <f t="shared" si="13"/>
        <v/>
      </c>
      <c r="K271" s="147" t="str">
        <f>IFERROR(__xludf.DUMMYFUNCTION("if(C271="""","""",iferror(if(row()&lt;&gt;2,INDEX(arrayformula(filter($L$2:$L270,$C$2:$C270&lt;&gt;"""",row($C$2:$C270)=max(if($C$2:$C270=C271,row($C$2:$C270),0)))) ,1),0),0))"),"")</f>
        <v/>
      </c>
      <c r="L271" s="147" t="str">
        <f t="shared" si="14"/>
        <v/>
      </c>
      <c r="M271" s="147" t="str">
        <f t="shared" si="15"/>
        <v/>
      </c>
      <c r="N271" s="147" t="str">
        <f t="shared" si="16"/>
        <v/>
      </c>
      <c r="O271" s="147" t="str">
        <f t="shared" si="6"/>
        <v/>
      </c>
      <c r="P271" s="150" t="str">
        <f t="shared" si="7"/>
        <v/>
      </c>
      <c r="Q271" s="151" t="str">
        <f>IFERROR(VLOOKUP(C271,Ativos!$A$1:$G2000,5,),)</f>
        <v/>
      </c>
    </row>
    <row r="272" ht="21.0" customHeight="1">
      <c r="A272" s="152"/>
      <c r="B272" s="160"/>
      <c r="C272" s="153"/>
      <c r="D272" s="169"/>
      <c r="E272" s="139"/>
      <c r="F272" s="141"/>
      <c r="G272" s="170" t="str">
        <f>IFERROR(__xludf.DUMMYFUNCTION("if($C272="""","""",iferror(if(row()&lt;&gt;2,INDEX(arrayformula(filter($H$2:$H271,$C$2:$C271&lt;&gt;"""",row($C$2:$C271)=max(if($C$2:$C271=C272,row($C$2:$C271),0)))) ,1),0),0))"),"")</f>
        <v/>
      </c>
      <c r="H272" s="170" t="str">
        <f t="shared" si="8"/>
        <v/>
      </c>
      <c r="I272" s="147" t="str">
        <f t="shared" si="1"/>
        <v/>
      </c>
      <c r="J272" s="147" t="str">
        <f t="shared" si="13"/>
        <v/>
      </c>
      <c r="K272" s="147" t="str">
        <f>IFERROR(__xludf.DUMMYFUNCTION("if(C272="""","""",iferror(if(row()&lt;&gt;2,INDEX(arrayformula(filter($L$2:$L271,$C$2:$C271&lt;&gt;"""",row($C$2:$C271)=max(if($C$2:$C271=C272,row($C$2:$C271),0)))) ,1),0),0))"),"")</f>
        <v/>
      </c>
      <c r="L272" s="147" t="str">
        <f t="shared" si="14"/>
        <v/>
      </c>
      <c r="M272" s="147" t="str">
        <f t="shared" si="15"/>
        <v/>
      </c>
      <c r="N272" s="147" t="str">
        <f t="shared" si="16"/>
        <v/>
      </c>
      <c r="O272" s="147" t="str">
        <f t="shared" si="6"/>
        <v/>
      </c>
      <c r="P272" s="150" t="str">
        <f t="shared" si="7"/>
        <v/>
      </c>
      <c r="Q272" s="151" t="str">
        <f>IFERROR(VLOOKUP(C272,Ativos!$A$1:$G2000,5,),)</f>
        <v/>
      </c>
    </row>
    <row r="273" ht="21.0" customHeight="1">
      <c r="A273" s="152"/>
      <c r="B273" s="160"/>
      <c r="C273" s="153"/>
      <c r="D273" s="169"/>
      <c r="E273" s="139"/>
      <c r="F273" s="141"/>
      <c r="G273" s="170" t="str">
        <f>IFERROR(__xludf.DUMMYFUNCTION("if($C273="""","""",iferror(if(row()&lt;&gt;2,INDEX(arrayformula(filter($H$2:$H272,$C$2:$C272&lt;&gt;"""",row($C$2:$C272)=max(if($C$2:$C272=C273,row($C$2:$C272),0)))) ,1),0),0))"),"")</f>
        <v/>
      </c>
      <c r="H273" s="170" t="str">
        <f t="shared" si="8"/>
        <v/>
      </c>
      <c r="I273" s="147" t="str">
        <f t="shared" si="1"/>
        <v/>
      </c>
      <c r="J273" s="147" t="str">
        <f t="shared" si="13"/>
        <v/>
      </c>
      <c r="K273" s="147" t="str">
        <f>IFERROR(__xludf.DUMMYFUNCTION("if(C273="""","""",iferror(if(row()&lt;&gt;2,INDEX(arrayformula(filter($L$2:$L272,$C$2:$C272&lt;&gt;"""",row($C$2:$C272)=max(if($C$2:$C272=C273,row($C$2:$C272),0)))) ,1),0),0))"),"")</f>
        <v/>
      </c>
      <c r="L273" s="147" t="str">
        <f t="shared" si="14"/>
        <v/>
      </c>
      <c r="M273" s="147" t="str">
        <f t="shared" si="15"/>
        <v/>
      </c>
      <c r="N273" s="147" t="str">
        <f t="shared" si="16"/>
        <v/>
      </c>
      <c r="O273" s="147" t="str">
        <f t="shared" si="6"/>
        <v/>
      </c>
      <c r="P273" s="150" t="str">
        <f t="shared" si="7"/>
        <v/>
      </c>
      <c r="Q273" s="151" t="str">
        <f>IFERROR(VLOOKUP(C273,Ativos!$A$1:$G2000,5,),)</f>
        <v/>
      </c>
    </row>
    <row r="274" ht="21.0" customHeight="1">
      <c r="A274" s="152"/>
      <c r="B274" s="160"/>
      <c r="C274" s="153"/>
      <c r="D274" s="169"/>
      <c r="E274" s="139"/>
      <c r="F274" s="141"/>
      <c r="G274" s="170" t="str">
        <f>IFERROR(__xludf.DUMMYFUNCTION("if($C274="""","""",iferror(if(row()&lt;&gt;2,INDEX(arrayformula(filter($H$2:$H273,$C$2:$C273&lt;&gt;"""",row($C$2:$C273)=max(if($C$2:$C273=C274,row($C$2:$C273),0)))) ,1),0),0))"),"")</f>
        <v/>
      </c>
      <c r="H274" s="170" t="str">
        <f t="shared" si="8"/>
        <v/>
      </c>
      <c r="I274" s="147" t="str">
        <f t="shared" si="1"/>
        <v/>
      </c>
      <c r="J274" s="147" t="str">
        <f t="shared" si="13"/>
        <v/>
      </c>
      <c r="K274" s="147" t="str">
        <f>IFERROR(__xludf.DUMMYFUNCTION("if(C274="""","""",iferror(if(row()&lt;&gt;2,INDEX(arrayformula(filter($L$2:$L273,$C$2:$C273&lt;&gt;"""",row($C$2:$C273)=max(if($C$2:$C273=C274,row($C$2:$C273),0)))) ,1),0),0))"),"")</f>
        <v/>
      </c>
      <c r="L274" s="147" t="str">
        <f t="shared" si="14"/>
        <v/>
      </c>
      <c r="M274" s="147" t="str">
        <f t="shared" si="15"/>
        <v/>
      </c>
      <c r="N274" s="147" t="str">
        <f t="shared" si="16"/>
        <v/>
      </c>
      <c r="O274" s="147" t="str">
        <f t="shared" si="6"/>
        <v/>
      </c>
      <c r="P274" s="150" t="str">
        <f t="shared" si="7"/>
        <v/>
      </c>
      <c r="Q274" s="151" t="str">
        <f>IFERROR(VLOOKUP(C274,Ativos!$A$1:$G2000,5,),)</f>
        <v/>
      </c>
    </row>
    <row r="275" ht="21.0" customHeight="1">
      <c r="A275" s="152"/>
      <c r="B275" s="160"/>
      <c r="C275" s="153"/>
      <c r="D275" s="169"/>
      <c r="E275" s="139"/>
      <c r="F275" s="141"/>
      <c r="G275" s="170" t="str">
        <f>IFERROR(__xludf.DUMMYFUNCTION("if($C275="""","""",iferror(if(row()&lt;&gt;2,INDEX(arrayformula(filter($H$2:$H274,$C$2:$C274&lt;&gt;"""",row($C$2:$C274)=max(if($C$2:$C274=C275,row($C$2:$C274),0)))) ,1),0),0))"),"")</f>
        <v/>
      </c>
      <c r="H275" s="170" t="str">
        <f t="shared" si="8"/>
        <v/>
      </c>
      <c r="I275" s="147" t="str">
        <f t="shared" si="1"/>
        <v/>
      </c>
      <c r="J275" s="147" t="str">
        <f t="shared" si="13"/>
        <v/>
      </c>
      <c r="K275" s="147" t="str">
        <f>IFERROR(__xludf.DUMMYFUNCTION("if(C275="""","""",iferror(if(row()&lt;&gt;2,INDEX(arrayformula(filter($L$2:$L274,$C$2:$C274&lt;&gt;"""",row($C$2:$C274)=max(if($C$2:$C274=C275,row($C$2:$C274),0)))) ,1),0),0))"),"")</f>
        <v/>
      </c>
      <c r="L275" s="147" t="str">
        <f t="shared" si="14"/>
        <v/>
      </c>
      <c r="M275" s="147" t="str">
        <f t="shared" si="15"/>
        <v/>
      </c>
      <c r="N275" s="147" t="str">
        <f t="shared" si="16"/>
        <v/>
      </c>
      <c r="O275" s="147" t="str">
        <f t="shared" si="6"/>
        <v/>
      </c>
      <c r="P275" s="150" t="str">
        <f t="shared" si="7"/>
        <v/>
      </c>
      <c r="Q275" s="151" t="str">
        <f>IFERROR(VLOOKUP(C275,Ativos!$A$1:$G2000,5,),)</f>
        <v/>
      </c>
    </row>
    <row r="276" ht="21.0" customHeight="1">
      <c r="A276" s="152"/>
      <c r="B276" s="160"/>
      <c r="C276" s="153"/>
      <c r="D276" s="169"/>
      <c r="E276" s="139"/>
      <c r="F276" s="141"/>
      <c r="G276" s="170" t="str">
        <f>IFERROR(__xludf.DUMMYFUNCTION("if($C276="""","""",iferror(if(row()&lt;&gt;2,INDEX(arrayformula(filter($H$2:$H275,$C$2:$C275&lt;&gt;"""",row($C$2:$C275)=max(if($C$2:$C275=C276,row($C$2:$C275),0)))) ,1),0),0))"),"")</f>
        <v/>
      </c>
      <c r="H276" s="170" t="str">
        <f t="shared" si="8"/>
        <v/>
      </c>
      <c r="I276" s="147" t="str">
        <f t="shared" si="1"/>
        <v/>
      </c>
      <c r="J276" s="147" t="str">
        <f t="shared" si="13"/>
        <v/>
      </c>
      <c r="K276" s="147" t="str">
        <f>IFERROR(__xludf.DUMMYFUNCTION("if(C276="""","""",iferror(if(row()&lt;&gt;2,INDEX(arrayformula(filter($L$2:$L275,$C$2:$C275&lt;&gt;"""",row($C$2:$C275)=max(if($C$2:$C275=C276,row($C$2:$C275),0)))) ,1),0),0))"),"")</f>
        <v/>
      </c>
      <c r="L276" s="147" t="str">
        <f t="shared" si="14"/>
        <v/>
      </c>
      <c r="M276" s="147" t="str">
        <f t="shared" si="15"/>
        <v/>
      </c>
      <c r="N276" s="147" t="str">
        <f t="shared" si="16"/>
        <v/>
      </c>
      <c r="O276" s="147" t="str">
        <f t="shared" si="6"/>
        <v/>
      </c>
      <c r="P276" s="150" t="str">
        <f t="shared" si="7"/>
        <v/>
      </c>
      <c r="Q276" s="151" t="str">
        <f>IFERROR(VLOOKUP(C276,Ativos!$A$1:$G2000,5,),)</f>
        <v/>
      </c>
    </row>
    <row r="277" ht="21.0" customHeight="1">
      <c r="A277" s="152"/>
      <c r="B277" s="160"/>
      <c r="C277" s="153"/>
      <c r="D277" s="169"/>
      <c r="E277" s="139"/>
      <c r="F277" s="141"/>
      <c r="G277" s="170" t="str">
        <f>IFERROR(__xludf.DUMMYFUNCTION("if($C277="""","""",iferror(if(row()&lt;&gt;2,INDEX(arrayformula(filter($H$2:$H276,$C$2:$C276&lt;&gt;"""",row($C$2:$C276)=max(if($C$2:$C276=C277,row($C$2:$C276),0)))) ,1),0),0))"),"")</f>
        <v/>
      </c>
      <c r="H277" s="170" t="str">
        <f t="shared" si="8"/>
        <v/>
      </c>
      <c r="I277" s="147" t="str">
        <f t="shared" si="1"/>
        <v/>
      </c>
      <c r="J277" s="147" t="str">
        <f t="shared" si="13"/>
        <v/>
      </c>
      <c r="K277" s="147" t="str">
        <f>IFERROR(__xludf.DUMMYFUNCTION("if(C277="""","""",iferror(if(row()&lt;&gt;2,INDEX(arrayformula(filter($L$2:$L276,$C$2:$C276&lt;&gt;"""",row($C$2:$C276)=max(if($C$2:$C276=C277,row($C$2:$C276),0)))) ,1),0),0))"),"")</f>
        <v/>
      </c>
      <c r="L277" s="147" t="str">
        <f t="shared" si="14"/>
        <v/>
      </c>
      <c r="M277" s="147" t="str">
        <f t="shared" si="15"/>
        <v/>
      </c>
      <c r="N277" s="147" t="str">
        <f t="shared" si="16"/>
        <v/>
      </c>
      <c r="O277" s="147" t="str">
        <f t="shared" si="6"/>
        <v/>
      </c>
      <c r="P277" s="150" t="str">
        <f t="shared" si="7"/>
        <v/>
      </c>
      <c r="Q277" s="151" t="str">
        <f>IFERROR(VLOOKUP(C277,Ativos!$A$1:$G2000,5,),)</f>
        <v/>
      </c>
    </row>
    <row r="278" ht="21.0" customHeight="1">
      <c r="A278" s="152"/>
      <c r="B278" s="160"/>
      <c r="C278" s="153"/>
      <c r="D278" s="169"/>
      <c r="E278" s="139"/>
      <c r="F278" s="141"/>
      <c r="G278" s="170" t="str">
        <f>IFERROR(__xludf.DUMMYFUNCTION("if($C278="""","""",iferror(if(row()&lt;&gt;2,INDEX(arrayformula(filter($H$2:$H277,$C$2:$C277&lt;&gt;"""",row($C$2:$C277)=max(if($C$2:$C277=C278,row($C$2:$C277),0)))) ,1),0),0))"),"")</f>
        <v/>
      </c>
      <c r="H278" s="170" t="str">
        <f t="shared" si="8"/>
        <v/>
      </c>
      <c r="I278" s="147" t="str">
        <f t="shared" si="1"/>
        <v/>
      </c>
      <c r="J278" s="147" t="str">
        <f t="shared" si="13"/>
        <v/>
      </c>
      <c r="K278" s="147" t="str">
        <f>IFERROR(__xludf.DUMMYFUNCTION("if(C278="""","""",iferror(if(row()&lt;&gt;2,INDEX(arrayformula(filter($L$2:$L277,$C$2:$C277&lt;&gt;"""",row($C$2:$C277)=max(if($C$2:$C277=C278,row($C$2:$C277),0)))) ,1),0),0))"),"")</f>
        <v/>
      </c>
      <c r="L278" s="147" t="str">
        <f t="shared" si="14"/>
        <v/>
      </c>
      <c r="M278" s="147" t="str">
        <f t="shared" si="15"/>
        <v/>
      </c>
      <c r="N278" s="147" t="str">
        <f t="shared" si="16"/>
        <v/>
      </c>
      <c r="O278" s="147" t="str">
        <f t="shared" si="6"/>
        <v/>
      </c>
      <c r="P278" s="150" t="str">
        <f t="shared" si="7"/>
        <v/>
      </c>
      <c r="Q278" s="151" t="str">
        <f>IFERROR(VLOOKUP(C278,Ativos!$A$1:$G2000,5,),)</f>
        <v/>
      </c>
    </row>
    <row r="279" ht="21.0" customHeight="1">
      <c r="A279" s="152"/>
      <c r="B279" s="160"/>
      <c r="C279" s="153"/>
      <c r="D279" s="169"/>
      <c r="E279" s="139"/>
      <c r="F279" s="141"/>
      <c r="G279" s="170" t="str">
        <f>IFERROR(__xludf.DUMMYFUNCTION("if($C279="""","""",iferror(if(row()&lt;&gt;2,INDEX(arrayformula(filter($H$2:$H278,$C$2:$C278&lt;&gt;"""",row($C$2:$C278)=max(if($C$2:$C278=C279,row($C$2:$C278),0)))) ,1),0),0))"),"")</f>
        <v/>
      </c>
      <c r="H279" s="170" t="str">
        <f t="shared" si="8"/>
        <v/>
      </c>
      <c r="I279" s="147" t="str">
        <f t="shared" si="1"/>
        <v/>
      </c>
      <c r="J279" s="147" t="str">
        <f t="shared" si="13"/>
        <v/>
      </c>
      <c r="K279" s="147" t="str">
        <f>IFERROR(__xludf.DUMMYFUNCTION("if(C279="""","""",iferror(if(row()&lt;&gt;2,INDEX(arrayformula(filter($L$2:$L278,$C$2:$C278&lt;&gt;"""",row($C$2:$C278)=max(if($C$2:$C278=C279,row($C$2:$C278),0)))) ,1),0),0))"),"")</f>
        <v/>
      </c>
      <c r="L279" s="147" t="str">
        <f t="shared" si="14"/>
        <v/>
      </c>
      <c r="M279" s="147" t="str">
        <f t="shared" si="15"/>
        <v/>
      </c>
      <c r="N279" s="147" t="str">
        <f t="shared" si="16"/>
        <v/>
      </c>
      <c r="O279" s="147" t="str">
        <f t="shared" si="6"/>
        <v/>
      </c>
      <c r="P279" s="150" t="str">
        <f t="shared" si="7"/>
        <v/>
      </c>
      <c r="Q279" s="151" t="str">
        <f>IFERROR(VLOOKUP(C279,Ativos!$A$1:$G2000,5,),)</f>
        <v/>
      </c>
    </row>
    <row r="280" ht="21.0" customHeight="1">
      <c r="A280" s="152"/>
      <c r="B280" s="160"/>
      <c r="C280" s="153"/>
      <c r="D280" s="169"/>
      <c r="E280" s="139"/>
      <c r="F280" s="141"/>
      <c r="G280" s="170" t="str">
        <f>IFERROR(__xludf.DUMMYFUNCTION("if($C280="""","""",iferror(if(row()&lt;&gt;2,INDEX(arrayformula(filter($H$2:$H279,$C$2:$C279&lt;&gt;"""",row($C$2:$C279)=max(if($C$2:$C279=C280,row($C$2:$C279),0)))) ,1),0),0))"),"")</f>
        <v/>
      </c>
      <c r="H280" s="170" t="str">
        <f t="shared" si="8"/>
        <v/>
      </c>
      <c r="I280" s="147" t="str">
        <f t="shared" si="1"/>
        <v/>
      </c>
      <c r="J280" s="147" t="str">
        <f t="shared" si="13"/>
        <v/>
      </c>
      <c r="K280" s="147" t="str">
        <f>IFERROR(__xludf.DUMMYFUNCTION("if(C280="""","""",iferror(if(row()&lt;&gt;2,INDEX(arrayformula(filter($L$2:$L279,$C$2:$C279&lt;&gt;"""",row($C$2:$C279)=max(if($C$2:$C279=C280,row($C$2:$C279),0)))) ,1),0),0))"),"")</f>
        <v/>
      </c>
      <c r="L280" s="147" t="str">
        <f t="shared" si="14"/>
        <v/>
      </c>
      <c r="M280" s="147" t="str">
        <f t="shared" si="15"/>
        <v/>
      </c>
      <c r="N280" s="147" t="str">
        <f t="shared" si="16"/>
        <v/>
      </c>
      <c r="O280" s="147" t="str">
        <f t="shared" si="6"/>
        <v/>
      </c>
      <c r="P280" s="150" t="str">
        <f t="shared" si="7"/>
        <v/>
      </c>
      <c r="Q280" s="151" t="str">
        <f>IFERROR(VLOOKUP(C280,Ativos!$A$1:$G2000,5,),)</f>
        <v/>
      </c>
    </row>
    <row r="281" ht="21.0" customHeight="1">
      <c r="A281" s="152"/>
      <c r="B281" s="160"/>
      <c r="C281" s="153"/>
      <c r="D281" s="169"/>
      <c r="E281" s="139"/>
      <c r="F281" s="141"/>
      <c r="G281" s="170" t="str">
        <f>IFERROR(__xludf.DUMMYFUNCTION("if($C281="""","""",iferror(if(row()&lt;&gt;2,INDEX(arrayformula(filter($H$2:$H280,$C$2:$C280&lt;&gt;"""",row($C$2:$C280)=max(if($C$2:$C280=C281,row($C$2:$C280),0)))) ,1),0),0))"),"")</f>
        <v/>
      </c>
      <c r="H281" s="170" t="str">
        <f t="shared" si="8"/>
        <v/>
      </c>
      <c r="I281" s="147" t="str">
        <f t="shared" si="1"/>
        <v/>
      </c>
      <c r="J281" s="147" t="str">
        <f t="shared" si="13"/>
        <v/>
      </c>
      <c r="K281" s="147" t="str">
        <f>IFERROR(__xludf.DUMMYFUNCTION("if(C281="""","""",iferror(if(row()&lt;&gt;2,INDEX(arrayformula(filter($L$2:$L280,$C$2:$C280&lt;&gt;"""",row($C$2:$C280)=max(if($C$2:$C280=C281,row($C$2:$C280),0)))) ,1),0),0))"),"")</f>
        <v/>
      </c>
      <c r="L281" s="147" t="str">
        <f t="shared" si="14"/>
        <v/>
      </c>
      <c r="M281" s="147" t="str">
        <f t="shared" si="15"/>
        <v/>
      </c>
      <c r="N281" s="147" t="str">
        <f t="shared" si="16"/>
        <v/>
      </c>
      <c r="O281" s="147" t="str">
        <f t="shared" si="6"/>
        <v/>
      </c>
      <c r="P281" s="150" t="str">
        <f t="shared" si="7"/>
        <v/>
      </c>
      <c r="Q281" s="151" t="str">
        <f>IFERROR(VLOOKUP(C281,Ativos!$A$1:$G2000,5,),)</f>
        <v/>
      </c>
    </row>
    <row r="282" ht="21.0" customHeight="1">
      <c r="A282" s="152"/>
      <c r="B282" s="160"/>
      <c r="C282" s="153"/>
      <c r="D282" s="169"/>
      <c r="E282" s="139"/>
      <c r="F282" s="141"/>
      <c r="G282" s="170" t="str">
        <f>IFERROR(__xludf.DUMMYFUNCTION("if($C282="""","""",iferror(if(row()&lt;&gt;2,INDEX(arrayformula(filter($H$2:$H281,$C$2:$C281&lt;&gt;"""",row($C$2:$C281)=max(if($C$2:$C281=C282,row($C$2:$C281),0)))) ,1),0),0))"),"")</f>
        <v/>
      </c>
      <c r="H282" s="170" t="str">
        <f t="shared" si="8"/>
        <v/>
      </c>
      <c r="I282" s="147" t="str">
        <f t="shared" si="1"/>
        <v/>
      </c>
      <c r="J282" s="147" t="str">
        <f t="shared" si="13"/>
        <v/>
      </c>
      <c r="K282" s="147" t="str">
        <f>IFERROR(__xludf.DUMMYFUNCTION("if(C282="""","""",iferror(if(row()&lt;&gt;2,INDEX(arrayformula(filter($L$2:$L281,$C$2:$C281&lt;&gt;"""",row($C$2:$C281)=max(if($C$2:$C281=C282,row($C$2:$C281),0)))) ,1),0),0))"),"")</f>
        <v/>
      </c>
      <c r="L282" s="147" t="str">
        <f t="shared" si="14"/>
        <v/>
      </c>
      <c r="M282" s="147" t="str">
        <f t="shared" si="15"/>
        <v/>
      </c>
      <c r="N282" s="147" t="str">
        <f t="shared" si="16"/>
        <v/>
      </c>
      <c r="O282" s="147" t="str">
        <f t="shared" si="6"/>
        <v/>
      </c>
      <c r="P282" s="150" t="str">
        <f t="shared" si="7"/>
        <v/>
      </c>
      <c r="Q282" s="151" t="str">
        <f>IFERROR(VLOOKUP(C282,Ativos!$A$1:$G2000,5,),)</f>
        <v/>
      </c>
    </row>
    <row r="283" ht="21.0" customHeight="1">
      <c r="A283" s="152"/>
      <c r="B283" s="160"/>
      <c r="C283" s="153"/>
      <c r="D283" s="169"/>
      <c r="E283" s="139"/>
      <c r="F283" s="141"/>
      <c r="G283" s="170" t="str">
        <f>IFERROR(__xludf.DUMMYFUNCTION("if($C283="""","""",iferror(if(row()&lt;&gt;2,INDEX(arrayformula(filter($H$2:$H282,$C$2:$C282&lt;&gt;"""",row($C$2:$C282)=max(if($C$2:$C282=C283,row($C$2:$C282),0)))) ,1),0),0))"),"")</f>
        <v/>
      </c>
      <c r="H283" s="170" t="str">
        <f t="shared" si="8"/>
        <v/>
      </c>
      <c r="I283" s="147" t="str">
        <f t="shared" si="1"/>
        <v/>
      </c>
      <c r="J283" s="147" t="str">
        <f t="shared" si="13"/>
        <v/>
      </c>
      <c r="K283" s="147" t="str">
        <f>IFERROR(__xludf.DUMMYFUNCTION("if(C283="""","""",iferror(if(row()&lt;&gt;2,INDEX(arrayformula(filter($L$2:$L282,$C$2:$C282&lt;&gt;"""",row($C$2:$C282)=max(if($C$2:$C282=C283,row($C$2:$C282),0)))) ,1),0),0))"),"")</f>
        <v/>
      </c>
      <c r="L283" s="147" t="str">
        <f t="shared" si="14"/>
        <v/>
      </c>
      <c r="M283" s="147" t="str">
        <f t="shared" si="15"/>
        <v/>
      </c>
      <c r="N283" s="147" t="str">
        <f t="shared" si="16"/>
        <v/>
      </c>
      <c r="O283" s="147" t="str">
        <f t="shared" si="6"/>
        <v/>
      </c>
      <c r="P283" s="150" t="str">
        <f t="shared" si="7"/>
        <v/>
      </c>
      <c r="Q283" s="151" t="str">
        <f>IFERROR(VLOOKUP(C283,Ativos!$A$1:$G2000,5,),)</f>
        <v/>
      </c>
    </row>
    <row r="284" ht="21.0" customHeight="1">
      <c r="A284" s="152"/>
      <c r="B284" s="160"/>
      <c r="C284" s="153"/>
      <c r="D284" s="169"/>
      <c r="E284" s="139"/>
      <c r="F284" s="141"/>
      <c r="G284" s="170" t="str">
        <f>IFERROR(__xludf.DUMMYFUNCTION("if($C284="""","""",iferror(if(row()&lt;&gt;2,INDEX(arrayformula(filter($H$2:$H283,$C$2:$C283&lt;&gt;"""",row($C$2:$C283)=max(if($C$2:$C283=C284,row($C$2:$C283),0)))) ,1),0),0))"),"")</f>
        <v/>
      </c>
      <c r="H284" s="170" t="str">
        <f t="shared" si="8"/>
        <v/>
      </c>
      <c r="I284" s="147" t="str">
        <f t="shared" si="1"/>
        <v/>
      </c>
      <c r="J284" s="147" t="str">
        <f t="shared" si="13"/>
        <v/>
      </c>
      <c r="K284" s="147" t="str">
        <f>IFERROR(__xludf.DUMMYFUNCTION("if(C284="""","""",iferror(if(row()&lt;&gt;2,INDEX(arrayformula(filter($L$2:$L283,$C$2:$C283&lt;&gt;"""",row($C$2:$C283)=max(if($C$2:$C283=C284,row($C$2:$C283),0)))) ,1),0),0))"),"")</f>
        <v/>
      </c>
      <c r="L284" s="147" t="str">
        <f t="shared" si="14"/>
        <v/>
      </c>
      <c r="M284" s="147" t="str">
        <f t="shared" si="15"/>
        <v/>
      </c>
      <c r="N284" s="147" t="str">
        <f t="shared" si="16"/>
        <v/>
      </c>
      <c r="O284" s="147" t="str">
        <f t="shared" si="6"/>
        <v/>
      </c>
      <c r="P284" s="150" t="str">
        <f t="shared" si="7"/>
        <v/>
      </c>
      <c r="Q284" s="151" t="str">
        <f>IFERROR(VLOOKUP(C284,Ativos!$A$1:$G2000,5,),)</f>
        <v/>
      </c>
    </row>
    <row r="285" ht="21.0" customHeight="1">
      <c r="A285" s="152"/>
      <c r="B285" s="160"/>
      <c r="C285" s="153"/>
      <c r="D285" s="169"/>
      <c r="E285" s="139"/>
      <c r="F285" s="141"/>
      <c r="G285" s="170" t="str">
        <f>IFERROR(__xludf.DUMMYFUNCTION("if($C285="""","""",iferror(if(row()&lt;&gt;2,INDEX(arrayformula(filter($H$2:$H284,$C$2:$C284&lt;&gt;"""",row($C$2:$C284)=max(if($C$2:$C284=C285,row($C$2:$C284),0)))) ,1),0),0))"),"")</f>
        <v/>
      </c>
      <c r="H285" s="170" t="str">
        <f t="shared" si="8"/>
        <v/>
      </c>
      <c r="I285" s="147" t="str">
        <f t="shared" si="1"/>
        <v/>
      </c>
      <c r="J285" s="147" t="str">
        <f t="shared" si="13"/>
        <v/>
      </c>
      <c r="K285" s="147" t="str">
        <f>IFERROR(__xludf.DUMMYFUNCTION("if(C285="""","""",iferror(if(row()&lt;&gt;2,INDEX(arrayformula(filter($L$2:$L284,$C$2:$C284&lt;&gt;"""",row($C$2:$C284)=max(if($C$2:$C284=C285,row($C$2:$C284),0)))) ,1),0),0))"),"")</f>
        <v/>
      </c>
      <c r="L285" s="147" t="str">
        <f t="shared" si="14"/>
        <v/>
      </c>
      <c r="M285" s="147" t="str">
        <f t="shared" si="15"/>
        <v/>
      </c>
      <c r="N285" s="147" t="str">
        <f t="shared" si="16"/>
        <v/>
      </c>
      <c r="O285" s="147" t="str">
        <f t="shared" si="6"/>
        <v/>
      </c>
      <c r="P285" s="150" t="str">
        <f t="shared" si="7"/>
        <v/>
      </c>
      <c r="Q285" s="151" t="str">
        <f>IFERROR(VLOOKUP(C285,Ativos!$A$1:$G2000,5,),)</f>
        <v/>
      </c>
    </row>
    <row r="286" ht="21.0" customHeight="1">
      <c r="A286" s="152"/>
      <c r="B286" s="160"/>
      <c r="C286" s="153"/>
      <c r="D286" s="169"/>
      <c r="E286" s="139"/>
      <c r="F286" s="141"/>
      <c r="G286" s="170" t="str">
        <f>IFERROR(__xludf.DUMMYFUNCTION("if($C286="""","""",iferror(if(row()&lt;&gt;2,INDEX(arrayformula(filter($H$2:$H285,$C$2:$C285&lt;&gt;"""",row($C$2:$C285)=max(if($C$2:$C285=C286,row($C$2:$C285),0)))) ,1),0),0))"),"")</f>
        <v/>
      </c>
      <c r="H286" s="170" t="str">
        <f t="shared" si="8"/>
        <v/>
      </c>
      <c r="I286" s="147" t="str">
        <f t="shared" si="1"/>
        <v/>
      </c>
      <c r="J286" s="147" t="str">
        <f t="shared" si="13"/>
        <v/>
      </c>
      <c r="K286" s="147" t="str">
        <f>IFERROR(__xludf.DUMMYFUNCTION("if(C286="""","""",iferror(if(row()&lt;&gt;2,INDEX(arrayformula(filter($L$2:$L285,$C$2:$C285&lt;&gt;"""",row($C$2:$C285)=max(if($C$2:$C285=C286,row($C$2:$C285),0)))) ,1),0),0))"),"")</f>
        <v/>
      </c>
      <c r="L286" s="147" t="str">
        <f t="shared" si="14"/>
        <v/>
      </c>
      <c r="M286" s="147" t="str">
        <f t="shared" si="15"/>
        <v/>
      </c>
      <c r="N286" s="147" t="str">
        <f t="shared" si="16"/>
        <v/>
      </c>
      <c r="O286" s="147" t="str">
        <f t="shared" si="6"/>
        <v/>
      </c>
      <c r="P286" s="150" t="str">
        <f t="shared" si="7"/>
        <v/>
      </c>
      <c r="Q286" s="151" t="str">
        <f>IFERROR(VLOOKUP(C286,Ativos!$A$1:$G2000,5,),)</f>
        <v/>
      </c>
    </row>
    <row r="287" ht="21.0" customHeight="1">
      <c r="A287" s="152"/>
      <c r="B287" s="160"/>
      <c r="C287" s="153"/>
      <c r="D287" s="169"/>
      <c r="E287" s="139"/>
      <c r="F287" s="141"/>
      <c r="G287" s="170" t="str">
        <f>IFERROR(__xludf.DUMMYFUNCTION("if($C287="""","""",iferror(if(row()&lt;&gt;2,INDEX(arrayformula(filter($H$2:$H286,$C$2:$C286&lt;&gt;"""",row($C$2:$C286)=max(if($C$2:$C286=C287,row($C$2:$C286),0)))) ,1),0),0))"),"")</f>
        <v/>
      </c>
      <c r="H287" s="170" t="str">
        <f t="shared" si="8"/>
        <v/>
      </c>
      <c r="I287" s="147" t="str">
        <f t="shared" si="1"/>
        <v/>
      </c>
      <c r="J287" s="147" t="str">
        <f t="shared" si="13"/>
        <v/>
      </c>
      <c r="K287" s="147" t="str">
        <f>IFERROR(__xludf.DUMMYFUNCTION("if(C287="""","""",iferror(if(row()&lt;&gt;2,INDEX(arrayformula(filter($L$2:$L286,$C$2:$C286&lt;&gt;"""",row($C$2:$C286)=max(if($C$2:$C286=C287,row($C$2:$C286),0)))) ,1),0),0))"),"")</f>
        <v/>
      </c>
      <c r="L287" s="147" t="str">
        <f t="shared" si="14"/>
        <v/>
      </c>
      <c r="M287" s="147" t="str">
        <f t="shared" si="15"/>
        <v/>
      </c>
      <c r="N287" s="147" t="str">
        <f t="shared" si="16"/>
        <v/>
      </c>
      <c r="O287" s="147" t="str">
        <f t="shared" si="6"/>
        <v/>
      </c>
      <c r="P287" s="150" t="str">
        <f t="shared" si="7"/>
        <v/>
      </c>
      <c r="Q287" s="151" t="str">
        <f>IFERROR(VLOOKUP(C287,Ativos!$A$1:$G2000,5,),)</f>
        <v/>
      </c>
    </row>
    <row r="288" ht="21.0" customHeight="1">
      <c r="A288" s="152"/>
      <c r="B288" s="160"/>
      <c r="C288" s="153"/>
      <c r="D288" s="169"/>
      <c r="E288" s="139"/>
      <c r="F288" s="141"/>
      <c r="G288" s="170" t="str">
        <f>IFERROR(__xludf.DUMMYFUNCTION("if($C288="""","""",iferror(if(row()&lt;&gt;2,INDEX(arrayformula(filter($H$2:$H287,$C$2:$C287&lt;&gt;"""",row($C$2:$C287)=max(if($C$2:$C287=C288,row($C$2:$C287),0)))) ,1),0),0))"),"")</f>
        <v/>
      </c>
      <c r="H288" s="170" t="str">
        <f t="shared" si="8"/>
        <v/>
      </c>
      <c r="I288" s="147" t="str">
        <f t="shared" si="1"/>
        <v/>
      </c>
      <c r="J288" s="147" t="str">
        <f t="shared" si="13"/>
        <v/>
      </c>
      <c r="K288" s="147" t="str">
        <f>IFERROR(__xludf.DUMMYFUNCTION("if(C288="""","""",iferror(if(row()&lt;&gt;2,INDEX(arrayformula(filter($L$2:$L287,$C$2:$C287&lt;&gt;"""",row($C$2:$C287)=max(if($C$2:$C287=C288,row($C$2:$C287),0)))) ,1),0),0))"),"")</f>
        <v/>
      </c>
      <c r="L288" s="147" t="str">
        <f t="shared" si="14"/>
        <v/>
      </c>
      <c r="M288" s="147" t="str">
        <f t="shared" si="15"/>
        <v/>
      </c>
      <c r="N288" s="147" t="str">
        <f t="shared" si="16"/>
        <v/>
      </c>
      <c r="O288" s="147" t="str">
        <f t="shared" si="6"/>
        <v/>
      </c>
      <c r="P288" s="150" t="str">
        <f t="shared" si="7"/>
        <v/>
      </c>
      <c r="Q288" s="151" t="str">
        <f>IFERROR(VLOOKUP(C288,Ativos!$A$1:$G2000,5,),)</f>
        <v/>
      </c>
    </row>
    <row r="289" ht="21.0" customHeight="1">
      <c r="A289" s="152"/>
      <c r="B289" s="160"/>
      <c r="C289" s="153"/>
      <c r="D289" s="169"/>
      <c r="E289" s="139"/>
      <c r="F289" s="141"/>
      <c r="G289" s="170" t="str">
        <f>IFERROR(__xludf.DUMMYFUNCTION("if($C289="""","""",iferror(if(row()&lt;&gt;2,INDEX(arrayformula(filter($H$2:$H288,$C$2:$C288&lt;&gt;"""",row($C$2:$C288)=max(if($C$2:$C288=C289,row($C$2:$C288),0)))) ,1),0),0))"),"")</f>
        <v/>
      </c>
      <c r="H289" s="170" t="str">
        <f t="shared" si="8"/>
        <v/>
      </c>
      <c r="I289" s="147" t="str">
        <f t="shared" si="1"/>
        <v/>
      </c>
      <c r="J289" s="147" t="str">
        <f t="shared" si="13"/>
        <v/>
      </c>
      <c r="K289" s="147" t="str">
        <f>IFERROR(__xludf.DUMMYFUNCTION("if(C289="""","""",iferror(if(row()&lt;&gt;2,INDEX(arrayformula(filter($L$2:$L288,$C$2:$C288&lt;&gt;"""",row($C$2:$C288)=max(if($C$2:$C288=C289,row($C$2:$C288),0)))) ,1),0),0))"),"")</f>
        <v/>
      </c>
      <c r="L289" s="147" t="str">
        <f t="shared" si="14"/>
        <v/>
      </c>
      <c r="M289" s="147" t="str">
        <f t="shared" si="15"/>
        <v/>
      </c>
      <c r="N289" s="147" t="str">
        <f t="shared" si="16"/>
        <v/>
      </c>
      <c r="O289" s="147" t="str">
        <f t="shared" si="6"/>
        <v/>
      </c>
      <c r="P289" s="150" t="str">
        <f t="shared" si="7"/>
        <v/>
      </c>
      <c r="Q289" s="151" t="str">
        <f>IFERROR(VLOOKUP(C289,Ativos!$A$1:$G2000,5,),)</f>
        <v/>
      </c>
    </row>
    <row r="290" ht="21.0" customHeight="1">
      <c r="A290" s="152"/>
      <c r="B290" s="160"/>
      <c r="C290" s="153"/>
      <c r="D290" s="169"/>
      <c r="E290" s="139"/>
      <c r="F290" s="141"/>
      <c r="G290" s="170" t="str">
        <f>IFERROR(__xludf.DUMMYFUNCTION("if($C290="""","""",iferror(if(row()&lt;&gt;2,INDEX(arrayformula(filter($H$2:$H289,$C$2:$C289&lt;&gt;"""",row($C$2:$C289)=max(if($C$2:$C289=C290,row($C$2:$C289),0)))) ,1),0),0))"),"")</f>
        <v/>
      </c>
      <c r="H290" s="170" t="str">
        <f t="shared" si="8"/>
        <v/>
      </c>
      <c r="I290" s="147" t="str">
        <f t="shared" si="1"/>
        <v/>
      </c>
      <c r="J290" s="147" t="str">
        <f t="shared" si="13"/>
        <v/>
      </c>
      <c r="K290" s="147" t="str">
        <f>IFERROR(__xludf.DUMMYFUNCTION("if(C290="""","""",iferror(if(row()&lt;&gt;2,INDEX(arrayformula(filter($L$2:$L289,$C$2:$C289&lt;&gt;"""",row($C$2:$C289)=max(if($C$2:$C289=C290,row($C$2:$C289),0)))) ,1),0),0))"),"")</f>
        <v/>
      </c>
      <c r="L290" s="147" t="str">
        <f t="shared" si="14"/>
        <v/>
      </c>
      <c r="M290" s="147" t="str">
        <f t="shared" si="15"/>
        <v/>
      </c>
      <c r="N290" s="147" t="str">
        <f t="shared" si="16"/>
        <v/>
      </c>
      <c r="O290" s="147" t="str">
        <f t="shared" si="6"/>
        <v/>
      </c>
      <c r="P290" s="150" t="str">
        <f t="shared" si="7"/>
        <v/>
      </c>
      <c r="Q290" s="151" t="str">
        <f>IFERROR(VLOOKUP(C290,Ativos!$A$1:$G2000,5,),)</f>
        <v/>
      </c>
    </row>
    <row r="291" ht="21.0" customHeight="1">
      <c r="A291" s="152"/>
      <c r="B291" s="160"/>
      <c r="C291" s="153"/>
      <c r="D291" s="169"/>
      <c r="E291" s="139"/>
      <c r="F291" s="141"/>
      <c r="G291" s="170" t="str">
        <f>IFERROR(__xludf.DUMMYFUNCTION("if($C291="""","""",iferror(if(row()&lt;&gt;2,INDEX(arrayformula(filter($H$2:$H290,$C$2:$C290&lt;&gt;"""",row($C$2:$C290)=max(if($C$2:$C290=C291,row($C$2:$C290),0)))) ,1),0),0))"),"")</f>
        <v/>
      </c>
      <c r="H291" s="170" t="str">
        <f t="shared" si="8"/>
        <v/>
      </c>
      <c r="I291" s="147" t="str">
        <f t="shared" si="1"/>
        <v/>
      </c>
      <c r="J291" s="147" t="str">
        <f t="shared" si="13"/>
        <v/>
      </c>
      <c r="K291" s="147" t="str">
        <f>IFERROR(__xludf.DUMMYFUNCTION("if(C291="""","""",iferror(if(row()&lt;&gt;2,INDEX(arrayformula(filter($L$2:$L290,$C$2:$C290&lt;&gt;"""",row($C$2:$C290)=max(if($C$2:$C290=C291,row($C$2:$C290),0)))) ,1),0),0))"),"")</f>
        <v/>
      </c>
      <c r="L291" s="147" t="str">
        <f t="shared" si="14"/>
        <v/>
      </c>
      <c r="M291" s="147" t="str">
        <f t="shared" si="15"/>
        <v/>
      </c>
      <c r="N291" s="147" t="str">
        <f t="shared" si="16"/>
        <v/>
      </c>
      <c r="O291" s="147" t="str">
        <f t="shared" si="6"/>
        <v/>
      </c>
      <c r="P291" s="150" t="str">
        <f t="shared" si="7"/>
        <v/>
      </c>
      <c r="Q291" s="151" t="str">
        <f>IFERROR(VLOOKUP(C291,Ativos!$A$1:$G2000,5,),)</f>
        <v/>
      </c>
    </row>
    <row r="292" ht="21.0" customHeight="1">
      <c r="A292" s="152"/>
      <c r="B292" s="160"/>
      <c r="C292" s="153"/>
      <c r="D292" s="169"/>
      <c r="E292" s="139"/>
      <c r="F292" s="141"/>
      <c r="G292" s="170" t="str">
        <f>IFERROR(__xludf.DUMMYFUNCTION("if($C292="""","""",iferror(if(row()&lt;&gt;2,INDEX(arrayformula(filter($H$2:$H291,$C$2:$C291&lt;&gt;"""",row($C$2:$C291)=max(if($C$2:$C291=C292,row($C$2:$C291),0)))) ,1),0),0))"),"")</f>
        <v/>
      </c>
      <c r="H292" s="170" t="str">
        <f t="shared" si="8"/>
        <v/>
      </c>
      <c r="I292" s="147" t="str">
        <f t="shared" si="1"/>
        <v/>
      </c>
      <c r="J292" s="147" t="str">
        <f t="shared" si="13"/>
        <v/>
      </c>
      <c r="K292" s="147" t="str">
        <f>IFERROR(__xludf.DUMMYFUNCTION("if(C292="""","""",iferror(if(row()&lt;&gt;2,INDEX(arrayformula(filter($L$2:$L291,$C$2:$C291&lt;&gt;"""",row($C$2:$C291)=max(if($C$2:$C291=C292,row($C$2:$C291),0)))) ,1),0),0))"),"")</f>
        <v/>
      </c>
      <c r="L292" s="147" t="str">
        <f t="shared" si="14"/>
        <v/>
      </c>
      <c r="M292" s="147" t="str">
        <f t="shared" si="15"/>
        <v/>
      </c>
      <c r="N292" s="147" t="str">
        <f t="shared" si="16"/>
        <v/>
      </c>
      <c r="O292" s="147" t="str">
        <f t="shared" si="6"/>
        <v/>
      </c>
      <c r="P292" s="150" t="str">
        <f t="shared" si="7"/>
        <v/>
      </c>
      <c r="Q292" s="151" t="str">
        <f>IFERROR(VLOOKUP(C292,Ativos!$A$1:$G2000,5,),)</f>
        <v/>
      </c>
    </row>
    <row r="293" ht="21.0" customHeight="1">
      <c r="A293" s="152"/>
      <c r="B293" s="160"/>
      <c r="C293" s="153"/>
      <c r="D293" s="169"/>
      <c r="E293" s="139"/>
      <c r="F293" s="141"/>
      <c r="G293" s="170" t="str">
        <f>IFERROR(__xludf.DUMMYFUNCTION("if($C293="""","""",iferror(if(row()&lt;&gt;2,INDEX(arrayformula(filter($H$2:$H292,$C$2:$C292&lt;&gt;"""",row($C$2:$C292)=max(if($C$2:$C292=C293,row($C$2:$C292),0)))) ,1),0),0))"),"")</f>
        <v/>
      </c>
      <c r="H293" s="170" t="str">
        <f t="shared" si="8"/>
        <v/>
      </c>
      <c r="I293" s="147" t="str">
        <f t="shared" si="1"/>
        <v/>
      </c>
      <c r="J293" s="147" t="str">
        <f t="shared" si="13"/>
        <v/>
      </c>
      <c r="K293" s="147" t="str">
        <f>IFERROR(__xludf.DUMMYFUNCTION("if(C293="""","""",iferror(if(row()&lt;&gt;2,INDEX(arrayformula(filter($L$2:$L292,$C$2:$C292&lt;&gt;"""",row($C$2:$C292)=max(if($C$2:$C292=C293,row($C$2:$C292),0)))) ,1),0),0))"),"")</f>
        <v/>
      </c>
      <c r="L293" s="147" t="str">
        <f t="shared" si="14"/>
        <v/>
      </c>
      <c r="M293" s="147" t="str">
        <f t="shared" si="15"/>
        <v/>
      </c>
      <c r="N293" s="147" t="str">
        <f t="shared" si="16"/>
        <v/>
      </c>
      <c r="O293" s="147" t="str">
        <f t="shared" si="6"/>
        <v/>
      </c>
      <c r="P293" s="150" t="str">
        <f t="shared" si="7"/>
        <v/>
      </c>
      <c r="Q293" s="151" t="str">
        <f>IFERROR(VLOOKUP(C293,Ativos!$A$1:$G2000,5,),)</f>
        <v/>
      </c>
    </row>
    <row r="294" ht="21.0" customHeight="1">
      <c r="A294" s="152"/>
      <c r="B294" s="160"/>
      <c r="C294" s="153"/>
      <c r="D294" s="169"/>
      <c r="E294" s="139"/>
      <c r="F294" s="141"/>
      <c r="G294" s="170" t="str">
        <f>IFERROR(__xludf.DUMMYFUNCTION("if($C294="""","""",iferror(if(row()&lt;&gt;2,INDEX(arrayformula(filter($H$2:$H293,$C$2:$C293&lt;&gt;"""",row($C$2:$C293)=max(if($C$2:$C293=C294,row($C$2:$C293),0)))) ,1),0),0))"),"")</f>
        <v/>
      </c>
      <c r="H294" s="170" t="str">
        <f t="shared" si="8"/>
        <v/>
      </c>
      <c r="I294" s="147" t="str">
        <f t="shared" si="1"/>
        <v/>
      </c>
      <c r="J294" s="147" t="str">
        <f t="shared" si="13"/>
        <v/>
      </c>
      <c r="K294" s="147" t="str">
        <f>IFERROR(__xludf.DUMMYFUNCTION("if(C294="""","""",iferror(if(row()&lt;&gt;2,INDEX(arrayformula(filter($L$2:$L293,$C$2:$C293&lt;&gt;"""",row($C$2:$C293)=max(if($C$2:$C293=C294,row($C$2:$C293),0)))) ,1),0),0))"),"")</f>
        <v/>
      </c>
      <c r="L294" s="147" t="str">
        <f t="shared" si="14"/>
        <v/>
      </c>
      <c r="M294" s="147" t="str">
        <f t="shared" si="15"/>
        <v/>
      </c>
      <c r="N294" s="147" t="str">
        <f t="shared" si="16"/>
        <v/>
      </c>
      <c r="O294" s="147" t="str">
        <f t="shared" si="6"/>
        <v/>
      </c>
      <c r="P294" s="150" t="str">
        <f t="shared" si="7"/>
        <v/>
      </c>
      <c r="Q294" s="151" t="str">
        <f>IFERROR(VLOOKUP(C294,Ativos!$A$1:$G2000,5,),)</f>
        <v/>
      </c>
    </row>
    <row r="295" ht="21.0" customHeight="1">
      <c r="A295" s="152"/>
      <c r="B295" s="160"/>
      <c r="C295" s="153"/>
      <c r="D295" s="169"/>
      <c r="E295" s="139"/>
      <c r="F295" s="141"/>
      <c r="G295" s="170" t="str">
        <f>IFERROR(__xludf.DUMMYFUNCTION("if($C295="""","""",iferror(if(row()&lt;&gt;2,INDEX(arrayformula(filter($H$2:$H294,$C$2:$C294&lt;&gt;"""",row($C$2:$C294)=max(if($C$2:$C294=C295,row($C$2:$C294),0)))) ,1),0),0))"),"")</f>
        <v/>
      </c>
      <c r="H295" s="170" t="str">
        <f t="shared" si="8"/>
        <v/>
      </c>
      <c r="I295" s="147" t="str">
        <f t="shared" si="1"/>
        <v/>
      </c>
      <c r="J295" s="147" t="str">
        <f t="shared" si="13"/>
        <v/>
      </c>
      <c r="K295" s="147" t="str">
        <f>IFERROR(__xludf.DUMMYFUNCTION("if(C295="""","""",iferror(if(row()&lt;&gt;2,INDEX(arrayformula(filter($L$2:$L294,$C$2:$C294&lt;&gt;"""",row($C$2:$C294)=max(if($C$2:$C294=C295,row($C$2:$C294),0)))) ,1),0),0))"),"")</f>
        <v/>
      </c>
      <c r="L295" s="147" t="str">
        <f t="shared" si="14"/>
        <v/>
      </c>
      <c r="M295" s="147" t="str">
        <f t="shared" si="15"/>
        <v/>
      </c>
      <c r="N295" s="147" t="str">
        <f t="shared" si="16"/>
        <v/>
      </c>
      <c r="O295" s="147" t="str">
        <f t="shared" si="6"/>
        <v/>
      </c>
      <c r="P295" s="150" t="str">
        <f t="shared" si="7"/>
        <v/>
      </c>
      <c r="Q295" s="151" t="str">
        <f>IFERROR(VLOOKUP(C295,Ativos!$A$1:$G2000,5,),)</f>
        <v/>
      </c>
    </row>
    <row r="296" ht="21.0" customHeight="1">
      <c r="A296" s="152"/>
      <c r="B296" s="160"/>
      <c r="C296" s="153"/>
      <c r="D296" s="169"/>
      <c r="E296" s="139"/>
      <c r="F296" s="141"/>
      <c r="G296" s="170" t="str">
        <f>IFERROR(__xludf.DUMMYFUNCTION("if($C296="""","""",iferror(if(row()&lt;&gt;2,INDEX(arrayformula(filter($H$2:$H295,$C$2:$C295&lt;&gt;"""",row($C$2:$C295)=max(if($C$2:$C295=C296,row($C$2:$C295),0)))) ,1),0),0))"),"")</f>
        <v/>
      </c>
      <c r="H296" s="170" t="str">
        <f t="shared" si="8"/>
        <v/>
      </c>
      <c r="I296" s="147" t="str">
        <f t="shared" si="1"/>
        <v/>
      </c>
      <c r="J296" s="147" t="str">
        <f t="shared" si="13"/>
        <v/>
      </c>
      <c r="K296" s="147" t="str">
        <f>IFERROR(__xludf.DUMMYFUNCTION("if(C296="""","""",iferror(if(row()&lt;&gt;2,INDEX(arrayformula(filter($L$2:$L295,$C$2:$C295&lt;&gt;"""",row($C$2:$C295)=max(if($C$2:$C295=C296,row($C$2:$C295),0)))) ,1),0),0))"),"")</f>
        <v/>
      </c>
      <c r="L296" s="147" t="str">
        <f t="shared" si="14"/>
        <v/>
      </c>
      <c r="M296" s="147" t="str">
        <f t="shared" si="15"/>
        <v/>
      </c>
      <c r="N296" s="147" t="str">
        <f t="shared" si="16"/>
        <v/>
      </c>
      <c r="O296" s="147" t="str">
        <f t="shared" si="6"/>
        <v/>
      </c>
      <c r="P296" s="150" t="str">
        <f t="shared" si="7"/>
        <v/>
      </c>
      <c r="Q296" s="151" t="str">
        <f>IFERROR(VLOOKUP(C296,Ativos!$A$1:$G2000,5,),)</f>
        <v/>
      </c>
    </row>
    <row r="297" ht="21.0" customHeight="1">
      <c r="A297" s="152"/>
      <c r="B297" s="160"/>
      <c r="C297" s="153"/>
      <c r="D297" s="169"/>
      <c r="E297" s="139"/>
      <c r="F297" s="141"/>
      <c r="G297" s="170" t="str">
        <f>IFERROR(__xludf.DUMMYFUNCTION("if($C297="""","""",iferror(if(row()&lt;&gt;2,INDEX(arrayformula(filter($H$2:$H296,$C$2:$C296&lt;&gt;"""",row($C$2:$C296)=max(if($C$2:$C296=C297,row($C$2:$C296),0)))) ,1),0),0))"),"")</f>
        <v/>
      </c>
      <c r="H297" s="170" t="str">
        <f t="shared" si="8"/>
        <v/>
      </c>
      <c r="I297" s="147" t="str">
        <f t="shared" si="1"/>
        <v/>
      </c>
      <c r="J297" s="147" t="str">
        <f t="shared" si="13"/>
        <v/>
      </c>
      <c r="K297" s="147" t="str">
        <f>IFERROR(__xludf.DUMMYFUNCTION("if(C297="""","""",iferror(if(row()&lt;&gt;2,INDEX(arrayformula(filter($L$2:$L296,$C$2:$C296&lt;&gt;"""",row($C$2:$C296)=max(if($C$2:$C296=C297,row($C$2:$C296),0)))) ,1),0),0))"),"")</f>
        <v/>
      </c>
      <c r="L297" s="147" t="str">
        <f t="shared" si="14"/>
        <v/>
      </c>
      <c r="M297" s="147" t="str">
        <f t="shared" si="15"/>
        <v/>
      </c>
      <c r="N297" s="147" t="str">
        <f t="shared" si="16"/>
        <v/>
      </c>
      <c r="O297" s="147" t="str">
        <f t="shared" si="6"/>
        <v/>
      </c>
      <c r="P297" s="150" t="str">
        <f t="shared" si="7"/>
        <v/>
      </c>
      <c r="Q297" s="151" t="str">
        <f>IFERROR(VLOOKUP(C297,Ativos!$A$1:$G2000,5,),)</f>
        <v/>
      </c>
    </row>
    <row r="298" ht="21.0" customHeight="1">
      <c r="A298" s="152"/>
      <c r="B298" s="160"/>
      <c r="C298" s="153"/>
      <c r="D298" s="169"/>
      <c r="E298" s="139"/>
      <c r="F298" s="141"/>
      <c r="G298" s="170" t="str">
        <f>IFERROR(__xludf.DUMMYFUNCTION("if($C298="""","""",iferror(if(row()&lt;&gt;2,INDEX(arrayformula(filter($H$2:$H297,$C$2:$C297&lt;&gt;"""",row($C$2:$C297)=max(if($C$2:$C297=C298,row($C$2:$C297),0)))) ,1),0),0))"),"")</f>
        <v/>
      </c>
      <c r="H298" s="170" t="str">
        <f t="shared" si="8"/>
        <v/>
      </c>
      <c r="I298" s="147" t="str">
        <f t="shared" si="1"/>
        <v/>
      </c>
      <c r="J298" s="147" t="str">
        <f t="shared" si="13"/>
        <v/>
      </c>
      <c r="K298" s="147" t="str">
        <f>IFERROR(__xludf.DUMMYFUNCTION("if(C298="""","""",iferror(if(row()&lt;&gt;2,INDEX(arrayformula(filter($L$2:$L297,$C$2:$C297&lt;&gt;"""",row($C$2:$C297)=max(if($C$2:$C297=C298,row($C$2:$C297),0)))) ,1),0),0))"),"")</f>
        <v/>
      </c>
      <c r="L298" s="147" t="str">
        <f t="shared" si="14"/>
        <v/>
      </c>
      <c r="M298" s="147" t="str">
        <f t="shared" si="15"/>
        <v/>
      </c>
      <c r="N298" s="147" t="str">
        <f t="shared" si="16"/>
        <v/>
      </c>
      <c r="O298" s="147" t="str">
        <f t="shared" si="6"/>
        <v/>
      </c>
      <c r="P298" s="150" t="str">
        <f t="shared" si="7"/>
        <v/>
      </c>
      <c r="Q298" s="151" t="str">
        <f>IFERROR(VLOOKUP(C298,Ativos!$A$1:$G2000,5,),)</f>
        <v/>
      </c>
    </row>
    <row r="299" ht="21.0" customHeight="1">
      <c r="A299" s="152"/>
      <c r="B299" s="160"/>
      <c r="C299" s="153"/>
      <c r="D299" s="169"/>
      <c r="E299" s="139"/>
      <c r="F299" s="141"/>
      <c r="G299" s="170" t="str">
        <f>IFERROR(__xludf.DUMMYFUNCTION("if($C299="""","""",iferror(if(row()&lt;&gt;2,INDEX(arrayformula(filter($H$2:$H298,$C$2:$C298&lt;&gt;"""",row($C$2:$C298)=max(if($C$2:$C298=C299,row($C$2:$C298),0)))) ,1),0),0))"),"")</f>
        <v/>
      </c>
      <c r="H299" s="170" t="str">
        <f t="shared" si="8"/>
        <v/>
      </c>
      <c r="I299" s="147" t="str">
        <f t="shared" si="1"/>
        <v/>
      </c>
      <c r="J299" s="147" t="str">
        <f t="shared" si="13"/>
        <v/>
      </c>
      <c r="K299" s="147" t="str">
        <f>IFERROR(__xludf.DUMMYFUNCTION("if(C299="""","""",iferror(if(row()&lt;&gt;2,INDEX(arrayformula(filter($L$2:$L298,$C$2:$C298&lt;&gt;"""",row($C$2:$C298)=max(if($C$2:$C298=C299,row($C$2:$C298),0)))) ,1),0),0))"),"")</f>
        <v/>
      </c>
      <c r="L299" s="147" t="str">
        <f t="shared" si="14"/>
        <v/>
      </c>
      <c r="M299" s="147" t="str">
        <f t="shared" si="15"/>
        <v/>
      </c>
      <c r="N299" s="147" t="str">
        <f t="shared" si="16"/>
        <v/>
      </c>
      <c r="O299" s="147" t="str">
        <f t="shared" si="6"/>
        <v/>
      </c>
      <c r="P299" s="150" t="str">
        <f t="shared" si="7"/>
        <v/>
      </c>
      <c r="Q299" s="151" t="str">
        <f>IFERROR(VLOOKUP(C299,Ativos!$A$1:$G2000,5,),)</f>
        <v/>
      </c>
    </row>
    <row r="300" ht="21.0" customHeight="1">
      <c r="A300" s="152"/>
      <c r="B300" s="160"/>
      <c r="C300" s="153"/>
      <c r="D300" s="169"/>
      <c r="E300" s="139"/>
      <c r="F300" s="141"/>
      <c r="G300" s="170" t="str">
        <f>IFERROR(__xludf.DUMMYFUNCTION("if($C300="""","""",iferror(if(row()&lt;&gt;2,INDEX(arrayformula(filter($H$2:$H299,$C$2:$C299&lt;&gt;"""",row($C$2:$C299)=max(if($C$2:$C299=C300,row($C$2:$C299),0)))) ,1),0),0))"),"")</f>
        <v/>
      </c>
      <c r="H300" s="170" t="str">
        <f t="shared" si="8"/>
        <v/>
      </c>
      <c r="I300" s="147" t="str">
        <f t="shared" si="1"/>
        <v/>
      </c>
      <c r="J300" s="147" t="str">
        <f t="shared" si="13"/>
        <v/>
      </c>
      <c r="K300" s="147" t="str">
        <f>IFERROR(__xludf.DUMMYFUNCTION("if(C300="""","""",iferror(if(row()&lt;&gt;2,INDEX(arrayformula(filter($L$2:$L299,$C$2:$C299&lt;&gt;"""",row($C$2:$C299)=max(if($C$2:$C299=C300,row($C$2:$C299),0)))) ,1),0),0))"),"")</f>
        <v/>
      </c>
      <c r="L300" s="147" t="str">
        <f t="shared" si="14"/>
        <v/>
      </c>
      <c r="M300" s="147" t="str">
        <f t="shared" si="15"/>
        <v/>
      </c>
      <c r="N300" s="147" t="str">
        <f t="shared" si="16"/>
        <v/>
      </c>
      <c r="O300" s="147" t="str">
        <f t="shared" si="6"/>
        <v/>
      </c>
      <c r="P300" s="150" t="str">
        <f t="shared" si="7"/>
        <v/>
      </c>
      <c r="Q300" s="151" t="str">
        <f>IFERROR(VLOOKUP(C300,Ativos!$A$1:$G2000,5,),)</f>
        <v/>
      </c>
    </row>
    <row r="301" ht="21.0" customHeight="1">
      <c r="A301" s="152"/>
      <c r="B301" s="160"/>
      <c r="C301" s="153"/>
      <c r="D301" s="169"/>
      <c r="E301" s="139"/>
      <c r="F301" s="141"/>
      <c r="G301" s="170" t="str">
        <f>IFERROR(__xludf.DUMMYFUNCTION("if($C301="""","""",iferror(if(row()&lt;&gt;2,INDEX(arrayformula(filter($H$2:$H300,$C$2:$C300&lt;&gt;"""",row($C$2:$C300)=max(if($C$2:$C300=C301,row($C$2:$C300),0)))) ,1),0),0))"),"")</f>
        <v/>
      </c>
      <c r="H301" s="170" t="str">
        <f t="shared" si="8"/>
        <v/>
      </c>
      <c r="I301" s="147" t="str">
        <f t="shared" si="1"/>
        <v/>
      </c>
      <c r="J301" s="147" t="str">
        <f t="shared" si="13"/>
        <v/>
      </c>
      <c r="K301" s="147" t="str">
        <f>IFERROR(__xludf.DUMMYFUNCTION("if(C301="""","""",iferror(if(row()&lt;&gt;2,INDEX(arrayformula(filter($L$2:$L300,$C$2:$C300&lt;&gt;"""",row($C$2:$C300)=max(if($C$2:$C300=C301,row($C$2:$C300),0)))) ,1),0),0))"),"")</f>
        <v/>
      </c>
      <c r="L301" s="147" t="str">
        <f t="shared" si="14"/>
        <v/>
      </c>
      <c r="M301" s="147" t="str">
        <f t="shared" si="15"/>
        <v/>
      </c>
      <c r="N301" s="147" t="str">
        <f t="shared" si="16"/>
        <v/>
      </c>
      <c r="O301" s="147" t="str">
        <f t="shared" si="6"/>
        <v/>
      </c>
      <c r="P301" s="150" t="str">
        <f t="shared" si="7"/>
        <v/>
      </c>
      <c r="Q301" s="151" t="str">
        <f>IFERROR(VLOOKUP(C301,Ativos!$A$1:$G2000,5,),)</f>
        <v/>
      </c>
    </row>
    <row r="302" ht="21.0" customHeight="1">
      <c r="A302" s="152"/>
      <c r="B302" s="160"/>
      <c r="C302" s="153"/>
      <c r="D302" s="169"/>
      <c r="E302" s="139"/>
      <c r="F302" s="141"/>
      <c r="G302" s="170" t="str">
        <f>IFERROR(__xludf.DUMMYFUNCTION("if($C302="""","""",iferror(if(row()&lt;&gt;2,INDEX(arrayformula(filter($H$2:$H301,$C$2:$C301&lt;&gt;"""",row($C$2:$C301)=max(if($C$2:$C301=C302,row($C$2:$C301),0)))) ,1),0),0))"),"")</f>
        <v/>
      </c>
      <c r="H302" s="170" t="str">
        <f t="shared" si="8"/>
        <v/>
      </c>
      <c r="I302" s="147" t="str">
        <f t="shared" si="1"/>
        <v/>
      </c>
      <c r="J302" s="147" t="str">
        <f t="shared" si="13"/>
        <v/>
      </c>
      <c r="K302" s="147" t="str">
        <f>IFERROR(__xludf.DUMMYFUNCTION("if(C302="""","""",iferror(if(row()&lt;&gt;2,INDEX(arrayformula(filter($L$2:$L301,$C$2:$C301&lt;&gt;"""",row($C$2:$C301)=max(if($C$2:$C301=C302,row($C$2:$C301),0)))) ,1),0),0))"),"")</f>
        <v/>
      </c>
      <c r="L302" s="147" t="str">
        <f t="shared" si="14"/>
        <v/>
      </c>
      <c r="M302" s="147" t="str">
        <f t="shared" si="15"/>
        <v/>
      </c>
      <c r="N302" s="147" t="str">
        <f t="shared" si="16"/>
        <v/>
      </c>
      <c r="O302" s="147" t="str">
        <f t="shared" si="6"/>
        <v/>
      </c>
      <c r="P302" s="150" t="str">
        <f t="shared" si="7"/>
        <v/>
      </c>
      <c r="Q302" s="151" t="str">
        <f>IFERROR(VLOOKUP(C302,Ativos!$A$1:$G2000,5,),)</f>
        <v/>
      </c>
    </row>
    <row r="303" ht="21.0" customHeight="1">
      <c r="A303" s="152"/>
      <c r="B303" s="160"/>
      <c r="C303" s="153"/>
      <c r="D303" s="169"/>
      <c r="E303" s="139"/>
      <c r="F303" s="141"/>
      <c r="G303" s="170" t="str">
        <f>IFERROR(__xludf.DUMMYFUNCTION("if($C303="""","""",iferror(if(row()&lt;&gt;2,INDEX(arrayformula(filter($H$2:$H302,$C$2:$C302&lt;&gt;"""",row($C$2:$C302)=max(if($C$2:$C302=C303,row($C$2:$C302),0)))) ,1),0),0))"),"")</f>
        <v/>
      </c>
      <c r="H303" s="170" t="str">
        <f t="shared" si="8"/>
        <v/>
      </c>
      <c r="I303" s="147" t="str">
        <f t="shared" si="1"/>
        <v/>
      </c>
      <c r="J303" s="147" t="str">
        <f t="shared" si="13"/>
        <v/>
      </c>
      <c r="K303" s="147" t="str">
        <f>IFERROR(__xludf.DUMMYFUNCTION("if(C303="""","""",iferror(if(row()&lt;&gt;2,INDEX(arrayformula(filter($L$2:$L302,$C$2:$C302&lt;&gt;"""",row($C$2:$C302)=max(if($C$2:$C302=C303,row($C$2:$C302),0)))) ,1),0),0))"),"")</f>
        <v/>
      </c>
      <c r="L303" s="147" t="str">
        <f t="shared" si="14"/>
        <v/>
      </c>
      <c r="M303" s="147" t="str">
        <f t="shared" si="15"/>
        <v/>
      </c>
      <c r="N303" s="147" t="str">
        <f t="shared" si="16"/>
        <v/>
      </c>
      <c r="O303" s="147" t="str">
        <f t="shared" si="6"/>
        <v/>
      </c>
      <c r="P303" s="150" t="str">
        <f t="shared" si="7"/>
        <v/>
      </c>
      <c r="Q303" s="151" t="str">
        <f>IFERROR(VLOOKUP(C303,Ativos!$A$1:$G2000,5,),)</f>
        <v/>
      </c>
    </row>
    <row r="304" ht="21.0" customHeight="1">
      <c r="A304" s="152"/>
      <c r="B304" s="160"/>
      <c r="C304" s="153"/>
      <c r="D304" s="169"/>
      <c r="E304" s="139"/>
      <c r="F304" s="141"/>
      <c r="G304" s="170" t="str">
        <f>IFERROR(__xludf.DUMMYFUNCTION("if($C304="""","""",iferror(if(row()&lt;&gt;2,INDEX(arrayformula(filter($H$2:$H303,$C$2:$C303&lt;&gt;"""",row($C$2:$C303)=max(if($C$2:$C303=C304,row($C$2:$C303),0)))) ,1),0),0))"),"")</f>
        <v/>
      </c>
      <c r="H304" s="170" t="str">
        <f t="shared" si="8"/>
        <v/>
      </c>
      <c r="I304" s="147" t="str">
        <f t="shared" si="1"/>
        <v/>
      </c>
      <c r="J304" s="147" t="str">
        <f t="shared" si="13"/>
        <v/>
      </c>
      <c r="K304" s="147" t="str">
        <f>IFERROR(__xludf.DUMMYFUNCTION("if(C304="""","""",iferror(if(row()&lt;&gt;2,INDEX(arrayformula(filter($L$2:$L303,$C$2:$C303&lt;&gt;"""",row($C$2:$C303)=max(if($C$2:$C303=C304,row($C$2:$C303),0)))) ,1),0),0))"),"")</f>
        <v/>
      </c>
      <c r="L304" s="147" t="str">
        <f t="shared" si="14"/>
        <v/>
      </c>
      <c r="M304" s="147" t="str">
        <f t="shared" si="15"/>
        <v/>
      </c>
      <c r="N304" s="147" t="str">
        <f t="shared" si="16"/>
        <v/>
      </c>
      <c r="O304" s="147" t="str">
        <f t="shared" si="6"/>
        <v/>
      </c>
      <c r="P304" s="150" t="str">
        <f t="shared" si="7"/>
        <v/>
      </c>
      <c r="Q304" s="151" t="str">
        <f>IFERROR(VLOOKUP(C304,Ativos!$A$1:$G2000,5,),)</f>
        <v/>
      </c>
    </row>
    <row r="305" ht="21.0" customHeight="1">
      <c r="A305" s="152"/>
      <c r="B305" s="160"/>
      <c r="C305" s="153"/>
      <c r="D305" s="169"/>
      <c r="E305" s="139"/>
      <c r="F305" s="141"/>
      <c r="G305" s="170" t="str">
        <f>IFERROR(__xludf.DUMMYFUNCTION("if($C305="""","""",iferror(if(row()&lt;&gt;2,INDEX(arrayformula(filter($H$2:$H304,$C$2:$C304&lt;&gt;"""",row($C$2:$C304)=max(if($C$2:$C304=C305,row($C$2:$C304),0)))) ,1),0),0))"),"")</f>
        <v/>
      </c>
      <c r="H305" s="170" t="str">
        <f t="shared" si="8"/>
        <v/>
      </c>
      <c r="I305" s="147" t="str">
        <f t="shared" si="1"/>
        <v/>
      </c>
      <c r="J305" s="147" t="str">
        <f t="shared" si="13"/>
        <v/>
      </c>
      <c r="K305" s="147" t="str">
        <f>IFERROR(__xludf.DUMMYFUNCTION("if(C305="""","""",iferror(if(row()&lt;&gt;2,INDEX(arrayformula(filter($L$2:$L304,$C$2:$C304&lt;&gt;"""",row($C$2:$C304)=max(if($C$2:$C304=C305,row($C$2:$C304),0)))) ,1),0),0))"),"")</f>
        <v/>
      </c>
      <c r="L305" s="147" t="str">
        <f t="shared" si="14"/>
        <v/>
      </c>
      <c r="M305" s="147" t="str">
        <f t="shared" si="15"/>
        <v/>
      </c>
      <c r="N305" s="147" t="str">
        <f t="shared" si="16"/>
        <v/>
      </c>
      <c r="O305" s="147" t="str">
        <f t="shared" si="6"/>
        <v/>
      </c>
      <c r="P305" s="150" t="str">
        <f t="shared" si="7"/>
        <v/>
      </c>
      <c r="Q305" s="151" t="str">
        <f>IFERROR(VLOOKUP(C305,Ativos!$A$1:$G2000,5,),)</f>
        <v/>
      </c>
    </row>
    <row r="306" ht="21.0" customHeight="1">
      <c r="A306" s="152"/>
      <c r="B306" s="160"/>
      <c r="C306" s="153"/>
      <c r="D306" s="169"/>
      <c r="E306" s="139"/>
      <c r="F306" s="141"/>
      <c r="G306" s="170" t="str">
        <f>IFERROR(__xludf.DUMMYFUNCTION("if($C306="""","""",iferror(if(row()&lt;&gt;2,INDEX(arrayformula(filter($H$2:$H305,$C$2:$C305&lt;&gt;"""",row($C$2:$C305)=max(if($C$2:$C305=C306,row($C$2:$C305),0)))) ,1),0),0))"),"")</f>
        <v/>
      </c>
      <c r="H306" s="170" t="str">
        <f t="shared" si="8"/>
        <v/>
      </c>
      <c r="I306" s="147" t="str">
        <f t="shared" si="1"/>
        <v/>
      </c>
      <c r="J306" s="147" t="str">
        <f t="shared" si="13"/>
        <v/>
      </c>
      <c r="K306" s="147" t="str">
        <f>IFERROR(__xludf.DUMMYFUNCTION("if(C306="""","""",iferror(if(row()&lt;&gt;2,INDEX(arrayformula(filter($L$2:$L305,$C$2:$C305&lt;&gt;"""",row($C$2:$C305)=max(if($C$2:$C305=C306,row($C$2:$C305),0)))) ,1),0),0))"),"")</f>
        <v/>
      </c>
      <c r="L306" s="147" t="str">
        <f t="shared" si="14"/>
        <v/>
      </c>
      <c r="M306" s="147" t="str">
        <f t="shared" si="15"/>
        <v/>
      </c>
      <c r="N306" s="147" t="str">
        <f t="shared" si="16"/>
        <v/>
      </c>
      <c r="O306" s="147" t="str">
        <f t="shared" si="6"/>
        <v/>
      </c>
      <c r="P306" s="150" t="str">
        <f t="shared" si="7"/>
        <v/>
      </c>
      <c r="Q306" s="151" t="str">
        <f>IFERROR(VLOOKUP(C306,Ativos!$A$1:$G2000,5,),)</f>
        <v/>
      </c>
    </row>
    <row r="307" ht="21.0" customHeight="1">
      <c r="A307" s="152"/>
      <c r="B307" s="160"/>
      <c r="C307" s="153"/>
      <c r="D307" s="169"/>
      <c r="E307" s="139"/>
      <c r="F307" s="141"/>
      <c r="G307" s="170" t="str">
        <f>IFERROR(__xludf.DUMMYFUNCTION("if($C307="""","""",iferror(if(row()&lt;&gt;2,INDEX(arrayformula(filter($H$2:$H306,$C$2:$C306&lt;&gt;"""",row($C$2:$C306)=max(if($C$2:$C306=C307,row($C$2:$C306),0)))) ,1),0),0))"),"")</f>
        <v/>
      </c>
      <c r="H307" s="170" t="str">
        <f t="shared" si="8"/>
        <v/>
      </c>
      <c r="I307" s="147" t="str">
        <f t="shared" si="1"/>
        <v/>
      </c>
      <c r="J307" s="147" t="str">
        <f t="shared" si="13"/>
        <v/>
      </c>
      <c r="K307" s="147" t="str">
        <f>IFERROR(__xludf.DUMMYFUNCTION("if(C307="""","""",iferror(if(row()&lt;&gt;2,INDEX(arrayformula(filter($L$2:$L306,$C$2:$C306&lt;&gt;"""",row($C$2:$C306)=max(if($C$2:$C306=C307,row($C$2:$C306),0)))) ,1),0),0))"),"")</f>
        <v/>
      </c>
      <c r="L307" s="147" t="str">
        <f t="shared" si="14"/>
        <v/>
      </c>
      <c r="M307" s="147" t="str">
        <f t="shared" si="15"/>
        <v/>
      </c>
      <c r="N307" s="147" t="str">
        <f t="shared" si="16"/>
        <v/>
      </c>
      <c r="O307" s="147" t="str">
        <f t="shared" si="6"/>
        <v/>
      </c>
      <c r="P307" s="150" t="str">
        <f t="shared" si="7"/>
        <v/>
      </c>
      <c r="Q307" s="151" t="str">
        <f>IFERROR(VLOOKUP(C307,Ativos!$A$1:$G2000,5,),)</f>
        <v/>
      </c>
    </row>
    <row r="308" ht="21.0" customHeight="1">
      <c r="A308" s="152"/>
      <c r="B308" s="160"/>
      <c r="C308" s="153"/>
      <c r="D308" s="169"/>
      <c r="E308" s="139"/>
      <c r="F308" s="141"/>
      <c r="G308" s="170" t="str">
        <f>IFERROR(__xludf.DUMMYFUNCTION("if($C308="""","""",iferror(if(row()&lt;&gt;2,INDEX(arrayformula(filter($H$2:$H307,$C$2:$C307&lt;&gt;"""",row($C$2:$C307)=max(if($C$2:$C307=C308,row($C$2:$C307),0)))) ,1),0),0))"),"")</f>
        <v/>
      </c>
      <c r="H308" s="170" t="str">
        <f t="shared" si="8"/>
        <v/>
      </c>
      <c r="I308" s="147" t="str">
        <f t="shared" si="1"/>
        <v/>
      </c>
      <c r="J308" s="147" t="str">
        <f t="shared" si="13"/>
        <v/>
      </c>
      <c r="K308" s="147" t="str">
        <f>IFERROR(__xludf.DUMMYFUNCTION("if(C308="""","""",iferror(if(row()&lt;&gt;2,INDEX(arrayformula(filter($L$2:$L307,$C$2:$C307&lt;&gt;"""",row($C$2:$C307)=max(if($C$2:$C307=C308,row($C$2:$C307),0)))) ,1),0),0))"),"")</f>
        <v/>
      </c>
      <c r="L308" s="147" t="str">
        <f t="shared" si="14"/>
        <v/>
      </c>
      <c r="M308" s="147" t="str">
        <f t="shared" si="15"/>
        <v/>
      </c>
      <c r="N308" s="147" t="str">
        <f t="shared" si="16"/>
        <v/>
      </c>
      <c r="O308" s="147" t="str">
        <f t="shared" si="6"/>
        <v/>
      </c>
      <c r="P308" s="150" t="str">
        <f t="shared" si="7"/>
        <v/>
      </c>
      <c r="Q308" s="151" t="str">
        <f>IFERROR(VLOOKUP(C308,Ativos!$A$1:$G2000,5,),)</f>
        <v/>
      </c>
    </row>
    <row r="309" ht="21.0" customHeight="1">
      <c r="A309" s="152"/>
      <c r="B309" s="160"/>
      <c r="C309" s="153"/>
      <c r="D309" s="169"/>
      <c r="E309" s="139"/>
      <c r="F309" s="141"/>
      <c r="G309" s="170" t="str">
        <f>IFERROR(__xludf.DUMMYFUNCTION("if($C309="""","""",iferror(if(row()&lt;&gt;2,INDEX(arrayformula(filter($H$2:$H308,$C$2:$C308&lt;&gt;"""",row($C$2:$C308)=max(if($C$2:$C308=C309,row($C$2:$C308),0)))) ,1),0),0))"),"")</f>
        <v/>
      </c>
      <c r="H309" s="170" t="str">
        <f t="shared" si="8"/>
        <v/>
      </c>
      <c r="I309" s="147" t="str">
        <f t="shared" si="1"/>
        <v/>
      </c>
      <c r="J309" s="147" t="str">
        <f t="shared" si="13"/>
        <v/>
      </c>
      <c r="K309" s="147" t="str">
        <f>IFERROR(__xludf.DUMMYFUNCTION("if(C309="""","""",iferror(if(row()&lt;&gt;2,INDEX(arrayformula(filter($L$2:$L308,$C$2:$C308&lt;&gt;"""",row($C$2:$C308)=max(if($C$2:$C308=C309,row($C$2:$C308),0)))) ,1),0),0))"),"")</f>
        <v/>
      </c>
      <c r="L309" s="147" t="str">
        <f t="shared" si="14"/>
        <v/>
      </c>
      <c r="M309" s="147" t="str">
        <f t="shared" si="15"/>
        <v/>
      </c>
      <c r="N309" s="147" t="str">
        <f t="shared" si="16"/>
        <v/>
      </c>
      <c r="O309" s="147" t="str">
        <f t="shared" si="6"/>
        <v/>
      </c>
      <c r="P309" s="150" t="str">
        <f t="shared" si="7"/>
        <v/>
      </c>
      <c r="Q309" s="151" t="str">
        <f>IFERROR(VLOOKUP(C309,Ativos!$A$1:$G2000,5,),)</f>
        <v/>
      </c>
    </row>
    <row r="310" ht="21.0" customHeight="1">
      <c r="A310" s="152"/>
      <c r="B310" s="160"/>
      <c r="C310" s="153"/>
      <c r="D310" s="169"/>
      <c r="E310" s="139"/>
      <c r="F310" s="141"/>
      <c r="G310" s="170" t="str">
        <f>IFERROR(__xludf.DUMMYFUNCTION("if($C310="""","""",iferror(if(row()&lt;&gt;2,INDEX(arrayformula(filter($H$2:$H309,$C$2:$C309&lt;&gt;"""",row($C$2:$C309)=max(if($C$2:$C309=C310,row($C$2:$C309),0)))) ,1),0),0))"),"")</f>
        <v/>
      </c>
      <c r="H310" s="170" t="str">
        <f t="shared" si="8"/>
        <v/>
      </c>
      <c r="I310" s="147" t="str">
        <f t="shared" si="1"/>
        <v/>
      </c>
      <c r="J310" s="147" t="str">
        <f t="shared" si="13"/>
        <v/>
      </c>
      <c r="K310" s="147" t="str">
        <f>IFERROR(__xludf.DUMMYFUNCTION("if(C310="""","""",iferror(if(row()&lt;&gt;2,INDEX(arrayformula(filter($L$2:$L309,$C$2:$C309&lt;&gt;"""",row($C$2:$C309)=max(if($C$2:$C309=C310,row($C$2:$C309),0)))) ,1),0),0))"),"")</f>
        <v/>
      </c>
      <c r="L310" s="147" t="str">
        <f t="shared" si="14"/>
        <v/>
      </c>
      <c r="M310" s="147" t="str">
        <f t="shared" si="15"/>
        <v/>
      </c>
      <c r="N310" s="147" t="str">
        <f t="shared" si="16"/>
        <v/>
      </c>
      <c r="O310" s="147" t="str">
        <f t="shared" si="6"/>
        <v/>
      </c>
      <c r="P310" s="150" t="str">
        <f t="shared" si="7"/>
        <v/>
      </c>
      <c r="Q310" s="151" t="str">
        <f>IFERROR(VLOOKUP(C310,Ativos!$A$1:$G2000,5,),)</f>
        <v/>
      </c>
    </row>
    <row r="311" ht="21.0" customHeight="1">
      <c r="A311" s="152"/>
      <c r="B311" s="160"/>
      <c r="C311" s="153"/>
      <c r="D311" s="169"/>
      <c r="E311" s="139"/>
      <c r="F311" s="141"/>
      <c r="G311" s="170" t="str">
        <f>IFERROR(__xludf.DUMMYFUNCTION("if($C311="""","""",iferror(if(row()&lt;&gt;2,INDEX(arrayformula(filter($H$2:$H310,$C$2:$C310&lt;&gt;"""",row($C$2:$C310)=max(if($C$2:$C310=C311,row($C$2:$C310),0)))) ,1),0),0))"),"")</f>
        <v/>
      </c>
      <c r="H311" s="170" t="str">
        <f t="shared" si="8"/>
        <v/>
      </c>
      <c r="I311" s="147" t="str">
        <f t="shared" si="1"/>
        <v/>
      </c>
      <c r="J311" s="147" t="str">
        <f t="shared" si="13"/>
        <v/>
      </c>
      <c r="K311" s="147" t="str">
        <f>IFERROR(__xludf.DUMMYFUNCTION("if(C311="""","""",iferror(if(row()&lt;&gt;2,INDEX(arrayformula(filter($L$2:$L310,$C$2:$C310&lt;&gt;"""",row($C$2:$C310)=max(if($C$2:$C310=C311,row($C$2:$C310),0)))) ,1),0),0))"),"")</f>
        <v/>
      </c>
      <c r="L311" s="147" t="str">
        <f t="shared" si="14"/>
        <v/>
      </c>
      <c r="M311" s="147" t="str">
        <f t="shared" si="15"/>
        <v/>
      </c>
      <c r="N311" s="147" t="str">
        <f t="shared" si="16"/>
        <v/>
      </c>
      <c r="O311" s="147" t="str">
        <f t="shared" si="6"/>
        <v/>
      </c>
      <c r="P311" s="150" t="str">
        <f t="shared" si="7"/>
        <v/>
      </c>
      <c r="Q311" s="151" t="str">
        <f>IFERROR(VLOOKUP(C311,Ativos!$A$1:$G2000,5,),)</f>
        <v/>
      </c>
    </row>
    <row r="312" ht="21.0" customHeight="1">
      <c r="A312" s="152"/>
      <c r="B312" s="160"/>
      <c r="C312" s="153"/>
      <c r="D312" s="169"/>
      <c r="E312" s="139"/>
      <c r="F312" s="141"/>
      <c r="G312" s="170" t="str">
        <f>IFERROR(__xludf.DUMMYFUNCTION("if($C312="""","""",iferror(if(row()&lt;&gt;2,INDEX(arrayformula(filter($H$2:$H311,$C$2:$C311&lt;&gt;"""",row($C$2:$C311)=max(if($C$2:$C311=C312,row($C$2:$C311),0)))) ,1),0),0))"),"")</f>
        <v/>
      </c>
      <c r="H312" s="170" t="str">
        <f t="shared" si="8"/>
        <v/>
      </c>
      <c r="I312" s="147" t="str">
        <f t="shared" si="1"/>
        <v/>
      </c>
      <c r="J312" s="147" t="str">
        <f t="shared" si="13"/>
        <v/>
      </c>
      <c r="K312" s="147" t="str">
        <f>IFERROR(__xludf.DUMMYFUNCTION("if(C312="""","""",iferror(if(row()&lt;&gt;2,INDEX(arrayformula(filter($L$2:$L311,$C$2:$C311&lt;&gt;"""",row($C$2:$C311)=max(if($C$2:$C311=C312,row($C$2:$C311),0)))) ,1),0),0))"),"")</f>
        <v/>
      </c>
      <c r="L312" s="147" t="str">
        <f t="shared" si="14"/>
        <v/>
      </c>
      <c r="M312" s="147" t="str">
        <f t="shared" si="15"/>
        <v/>
      </c>
      <c r="N312" s="147" t="str">
        <f t="shared" si="16"/>
        <v/>
      </c>
      <c r="O312" s="147" t="str">
        <f t="shared" si="6"/>
        <v/>
      </c>
      <c r="P312" s="150" t="str">
        <f t="shared" si="7"/>
        <v/>
      </c>
      <c r="Q312" s="151" t="str">
        <f>IFERROR(VLOOKUP(C312,Ativos!$A$1:$G2000,5,),)</f>
        <v/>
      </c>
    </row>
    <row r="313" ht="21.0" customHeight="1">
      <c r="A313" s="152"/>
      <c r="B313" s="160"/>
      <c r="C313" s="153"/>
      <c r="D313" s="169"/>
      <c r="E313" s="139"/>
      <c r="F313" s="141"/>
      <c r="G313" s="170" t="str">
        <f>IFERROR(__xludf.DUMMYFUNCTION("if($C313="""","""",iferror(if(row()&lt;&gt;2,INDEX(arrayformula(filter($H$2:$H312,$C$2:$C312&lt;&gt;"""",row($C$2:$C312)=max(if($C$2:$C312=C313,row($C$2:$C312),0)))) ,1),0),0))"),"")</f>
        <v/>
      </c>
      <c r="H313" s="170" t="str">
        <f t="shared" si="8"/>
        <v/>
      </c>
      <c r="I313" s="147" t="str">
        <f t="shared" si="1"/>
        <v/>
      </c>
      <c r="J313" s="147" t="str">
        <f t="shared" si="13"/>
        <v/>
      </c>
      <c r="K313" s="147" t="str">
        <f>IFERROR(__xludf.DUMMYFUNCTION("if(C313="""","""",iferror(if(row()&lt;&gt;2,INDEX(arrayformula(filter($L$2:$L312,$C$2:$C312&lt;&gt;"""",row($C$2:$C312)=max(if($C$2:$C312=C313,row($C$2:$C312),0)))) ,1),0),0))"),"")</f>
        <v/>
      </c>
      <c r="L313" s="147" t="str">
        <f t="shared" si="14"/>
        <v/>
      </c>
      <c r="M313" s="147" t="str">
        <f t="shared" si="15"/>
        <v/>
      </c>
      <c r="N313" s="147" t="str">
        <f t="shared" si="16"/>
        <v/>
      </c>
      <c r="O313" s="147" t="str">
        <f t="shared" si="6"/>
        <v/>
      </c>
      <c r="P313" s="150" t="str">
        <f t="shared" si="7"/>
        <v/>
      </c>
      <c r="Q313" s="151" t="str">
        <f>IFERROR(VLOOKUP(C313,Ativos!$A$1:$G2000,5,),)</f>
        <v/>
      </c>
    </row>
    <row r="314" ht="21.0" customHeight="1">
      <c r="A314" s="152"/>
      <c r="B314" s="160"/>
      <c r="C314" s="153"/>
      <c r="D314" s="169"/>
      <c r="E314" s="139"/>
      <c r="F314" s="141"/>
      <c r="G314" s="170" t="str">
        <f>IFERROR(__xludf.DUMMYFUNCTION("if($C314="""","""",iferror(if(row()&lt;&gt;2,INDEX(arrayformula(filter($H$2:$H313,$C$2:$C313&lt;&gt;"""",row($C$2:$C313)=max(if($C$2:$C313=C314,row($C$2:$C313),0)))) ,1),0),0))"),"")</f>
        <v/>
      </c>
      <c r="H314" s="170" t="str">
        <f t="shared" si="8"/>
        <v/>
      </c>
      <c r="I314" s="147" t="str">
        <f t="shared" si="1"/>
        <v/>
      </c>
      <c r="J314" s="147" t="str">
        <f t="shared" si="13"/>
        <v/>
      </c>
      <c r="K314" s="147" t="str">
        <f>IFERROR(__xludf.DUMMYFUNCTION("if(C314="""","""",iferror(if(row()&lt;&gt;2,INDEX(arrayformula(filter($L$2:$L313,$C$2:$C313&lt;&gt;"""",row($C$2:$C313)=max(if($C$2:$C313=C314,row($C$2:$C313),0)))) ,1),0),0))"),"")</f>
        <v/>
      </c>
      <c r="L314" s="147" t="str">
        <f t="shared" si="14"/>
        <v/>
      </c>
      <c r="M314" s="147" t="str">
        <f t="shared" si="15"/>
        <v/>
      </c>
      <c r="N314" s="147" t="str">
        <f t="shared" si="16"/>
        <v/>
      </c>
      <c r="O314" s="147" t="str">
        <f t="shared" si="6"/>
        <v/>
      </c>
      <c r="P314" s="150" t="str">
        <f t="shared" si="7"/>
        <v/>
      </c>
      <c r="Q314" s="151" t="str">
        <f>IFERROR(VLOOKUP(C314,Ativos!$A$1:$G2000,5,),)</f>
        <v/>
      </c>
    </row>
    <row r="315" ht="21.0" customHeight="1">
      <c r="A315" s="152"/>
      <c r="B315" s="160"/>
      <c r="C315" s="153"/>
      <c r="D315" s="169"/>
      <c r="E315" s="139"/>
      <c r="F315" s="141"/>
      <c r="G315" s="170" t="str">
        <f>IFERROR(__xludf.DUMMYFUNCTION("if($C315="""","""",iferror(if(row()&lt;&gt;2,INDEX(arrayformula(filter($H$2:$H314,$C$2:$C314&lt;&gt;"""",row($C$2:$C314)=max(if($C$2:$C314=C315,row($C$2:$C314),0)))) ,1),0),0))"),"")</f>
        <v/>
      </c>
      <c r="H315" s="170" t="str">
        <f t="shared" si="8"/>
        <v/>
      </c>
      <c r="I315" s="147" t="str">
        <f t="shared" si="1"/>
        <v/>
      </c>
      <c r="J315" s="147" t="str">
        <f t="shared" si="13"/>
        <v/>
      </c>
      <c r="K315" s="147" t="str">
        <f>IFERROR(__xludf.DUMMYFUNCTION("if(C315="""","""",iferror(if(row()&lt;&gt;2,INDEX(arrayformula(filter($L$2:$L314,$C$2:$C314&lt;&gt;"""",row($C$2:$C314)=max(if($C$2:$C314=C315,row($C$2:$C314),0)))) ,1),0),0))"),"")</f>
        <v/>
      </c>
      <c r="L315" s="147" t="str">
        <f t="shared" si="14"/>
        <v/>
      </c>
      <c r="M315" s="147" t="str">
        <f t="shared" si="15"/>
        <v/>
      </c>
      <c r="N315" s="147" t="str">
        <f t="shared" si="16"/>
        <v/>
      </c>
      <c r="O315" s="147" t="str">
        <f t="shared" si="6"/>
        <v/>
      </c>
      <c r="P315" s="150" t="str">
        <f t="shared" si="7"/>
        <v/>
      </c>
      <c r="Q315" s="151" t="str">
        <f>IFERROR(VLOOKUP(C315,Ativos!$A$1:$G2000,5,),)</f>
        <v/>
      </c>
    </row>
    <row r="316" ht="21.0" customHeight="1">
      <c r="A316" s="152"/>
      <c r="B316" s="160"/>
      <c r="C316" s="153"/>
      <c r="D316" s="169"/>
      <c r="E316" s="139"/>
      <c r="F316" s="141"/>
      <c r="G316" s="170" t="str">
        <f>IFERROR(__xludf.DUMMYFUNCTION("if($C316="""","""",iferror(if(row()&lt;&gt;2,INDEX(arrayformula(filter($H$2:$H315,$C$2:$C315&lt;&gt;"""",row($C$2:$C315)=max(if($C$2:$C315=C316,row($C$2:$C315),0)))) ,1),0),0))"),"")</f>
        <v/>
      </c>
      <c r="H316" s="170" t="str">
        <f t="shared" si="8"/>
        <v/>
      </c>
      <c r="I316" s="147" t="str">
        <f t="shared" si="1"/>
        <v/>
      </c>
      <c r="J316" s="147" t="str">
        <f t="shared" si="13"/>
        <v/>
      </c>
      <c r="K316" s="147" t="str">
        <f>IFERROR(__xludf.DUMMYFUNCTION("if(C316="""","""",iferror(if(row()&lt;&gt;2,INDEX(arrayformula(filter($L$2:$L315,$C$2:$C315&lt;&gt;"""",row($C$2:$C315)=max(if($C$2:$C315=C316,row($C$2:$C315),0)))) ,1),0),0))"),"")</f>
        <v/>
      </c>
      <c r="L316" s="147" t="str">
        <f t="shared" si="14"/>
        <v/>
      </c>
      <c r="M316" s="147" t="str">
        <f t="shared" si="15"/>
        <v/>
      </c>
      <c r="N316" s="147" t="str">
        <f t="shared" si="16"/>
        <v/>
      </c>
      <c r="O316" s="147" t="str">
        <f t="shared" si="6"/>
        <v/>
      </c>
      <c r="P316" s="150" t="str">
        <f t="shared" si="7"/>
        <v/>
      </c>
      <c r="Q316" s="151" t="str">
        <f>IFERROR(VLOOKUP(C316,Ativos!$A$1:$G2000,5,),)</f>
        <v/>
      </c>
    </row>
    <row r="317" ht="21.0" customHeight="1">
      <c r="A317" s="152"/>
      <c r="B317" s="160"/>
      <c r="C317" s="153"/>
      <c r="D317" s="169"/>
      <c r="E317" s="139"/>
      <c r="F317" s="141"/>
      <c r="G317" s="170" t="str">
        <f>IFERROR(__xludf.DUMMYFUNCTION("if($C317="""","""",iferror(if(row()&lt;&gt;2,INDEX(arrayformula(filter($H$2:$H316,$C$2:$C316&lt;&gt;"""",row($C$2:$C316)=max(if($C$2:$C316=C317,row($C$2:$C316),0)))) ,1),0),0))"),"")</f>
        <v/>
      </c>
      <c r="H317" s="170" t="str">
        <f t="shared" si="8"/>
        <v/>
      </c>
      <c r="I317" s="147" t="str">
        <f t="shared" si="1"/>
        <v/>
      </c>
      <c r="J317" s="147" t="str">
        <f t="shared" si="13"/>
        <v/>
      </c>
      <c r="K317" s="147" t="str">
        <f>IFERROR(__xludf.DUMMYFUNCTION("if(C317="""","""",iferror(if(row()&lt;&gt;2,INDEX(arrayformula(filter($L$2:$L316,$C$2:$C316&lt;&gt;"""",row($C$2:$C316)=max(if($C$2:$C316=C317,row($C$2:$C316),0)))) ,1),0),0))"),"")</f>
        <v/>
      </c>
      <c r="L317" s="147" t="str">
        <f t="shared" si="14"/>
        <v/>
      </c>
      <c r="M317" s="147" t="str">
        <f t="shared" si="15"/>
        <v/>
      </c>
      <c r="N317" s="147" t="str">
        <f t="shared" si="16"/>
        <v/>
      </c>
      <c r="O317" s="147" t="str">
        <f t="shared" si="6"/>
        <v/>
      </c>
      <c r="P317" s="150" t="str">
        <f t="shared" si="7"/>
        <v/>
      </c>
      <c r="Q317" s="151" t="str">
        <f>IFERROR(VLOOKUP(C317,Ativos!$A$1:$G2000,5,),)</f>
        <v/>
      </c>
    </row>
    <row r="318" ht="21.0" customHeight="1">
      <c r="A318" s="152"/>
      <c r="B318" s="160"/>
      <c r="C318" s="153"/>
      <c r="D318" s="169"/>
      <c r="E318" s="139"/>
      <c r="F318" s="141"/>
      <c r="G318" s="170" t="str">
        <f>IFERROR(__xludf.DUMMYFUNCTION("if($C318="""","""",iferror(if(row()&lt;&gt;2,INDEX(arrayformula(filter($H$2:$H317,$C$2:$C317&lt;&gt;"""",row($C$2:$C317)=max(if($C$2:$C317=C318,row($C$2:$C317),0)))) ,1),0),0))"),"")</f>
        <v/>
      </c>
      <c r="H318" s="170" t="str">
        <f t="shared" si="8"/>
        <v/>
      </c>
      <c r="I318" s="147" t="str">
        <f t="shared" si="1"/>
        <v/>
      </c>
      <c r="J318" s="147" t="str">
        <f t="shared" si="13"/>
        <v/>
      </c>
      <c r="K318" s="147" t="str">
        <f>IFERROR(__xludf.DUMMYFUNCTION("if(C318="""","""",iferror(if(row()&lt;&gt;2,INDEX(arrayformula(filter($L$2:$L317,$C$2:$C317&lt;&gt;"""",row($C$2:$C317)=max(if($C$2:$C317=C318,row($C$2:$C317),0)))) ,1),0),0))"),"")</f>
        <v/>
      </c>
      <c r="L318" s="147" t="str">
        <f t="shared" si="14"/>
        <v/>
      </c>
      <c r="M318" s="147" t="str">
        <f t="shared" si="15"/>
        <v/>
      </c>
      <c r="N318" s="147" t="str">
        <f t="shared" si="16"/>
        <v/>
      </c>
      <c r="O318" s="147" t="str">
        <f t="shared" si="6"/>
        <v/>
      </c>
      <c r="P318" s="150" t="str">
        <f t="shared" si="7"/>
        <v/>
      </c>
      <c r="Q318" s="151" t="str">
        <f>IFERROR(VLOOKUP(C318,Ativos!$A$1:$G2000,5,),)</f>
        <v/>
      </c>
    </row>
    <row r="319" ht="21.0" customHeight="1">
      <c r="A319" s="152"/>
      <c r="B319" s="160"/>
      <c r="C319" s="153"/>
      <c r="D319" s="169"/>
      <c r="E319" s="139"/>
      <c r="F319" s="141"/>
      <c r="G319" s="170" t="str">
        <f>IFERROR(__xludf.DUMMYFUNCTION("if($C319="""","""",iferror(if(row()&lt;&gt;2,INDEX(arrayformula(filter($H$2:$H318,$C$2:$C318&lt;&gt;"""",row($C$2:$C318)=max(if($C$2:$C318=C319,row($C$2:$C318),0)))) ,1),0),0))"),"")</f>
        <v/>
      </c>
      <c r="H319" s="170" t="str">
        <f t="shared" si="8"/>
        <v/>
      </c>
      <c r="I319" s="147" t="str">
        <f t="shared" si="1"/>
        <v/>
      </c>
      <c r="J319" s="147" t="str">
        <f t="shared" si="13"/>
        <v/>
      </c>
      <c r="K319" s="147" t="str">
        <f>IFERROR(__xludf.DUMMYFUNCTION("if(C319="""","""",iferror(if(row()&lt;&gt;2,INDEX(arrayformula(filter($L$2:$L318,$C$2:$C318&lt;&gt;"""",row($C$2:$C318)=max(if($C$2:$C318=C319,row($C$2:$C318),0)))) ,1),0),0))"),"")</f>
        <v/>
      </c>
      <c r="L319" s="147" t="str">
        <f t="shared" si="14"/>
        <v/>
      </c>
      <c r="M319" s="147" t="str">
        <f t="shared" si="15"/>
        <v/>
      </c>
      <c r="N319" s="147" t="str">
        <f t="shared" si="16"/>
        <v/>
      </c>
      <c r="O319" s="147" t="str">
        <f t="shared" si="6"/>
        <v/>
      </c>
      <c r="P319" s="150" t="str">
        <f t="shared" si="7"/>
        <v/>
      </c>
      <c r="Q319" s="151" t="str">
        <f>IFERROR(VLOOKUP(C319,Ativos!$A$1:$G2000,5,),)</f>
        <v/>
      </c>
    </row>
    <row r="320" ht="21.0" customHeight="1">
      <c r="A320" s="152"/>
      <c r="B320" s="160"/>
      <c r="C320" s="153"/>
      <c r="D320" s="169"/>
      <c r="E320" s="139"/>
      <c r="F320" s="141"/>
      <c r="G320" s="170" t="str">
        <f>IFERROR(__xludf.DUMMYFUNCTION("if($C320="""","""",iferror(if(row()&lt;&gt;2,INDEX(arrayformula(filter($H$2:$H319,$C$2:$C319&lt;&gt;"""",row($C$2:$C319)=max(if($C$2:$C319=C320,row($C$2:$C319),0)))) ,1),0),0))"),"")</f>
        <v/>
      </c>
      <c r="H320" s="170" t="str">
        <f t="shared" si="8"/>
        <v/>
      </c>
      <c r="I320" s="147" t="str">
        <f t="shared" si="1"/>
        <v/>
      </c>
      <c r="J320" s="147" t="str">
        <f t="shared" si="13"/>
        <v/>
      </c>
      <c r="K320" s="147" t="str">
        <f>IFERROR(__xludf.DUMMYFUNCTION("if(C320="""","""",iferror(if(row()&lt;&gt;2,INDEX(arrayformula(filter($L$2:$L319,$C$2:$C319&lt;&gt;"""",row($C$2:$C319)=max(if($C$2:$C319=C320,row($C$2:$C319),0)))) ,1),0),0))"),"")</f>
        <v/>
      </c>
      <c r="L320" s="147" t="str">
        <f t="shared" si="14"/>
        <v/>
      </c>
      <c r="M320" s="147" t="str">
        <f t="shared" si="15"/>
        <v/>
      </c>
      <c r="N320" s="147" t="str">
        <f t="shared" si="16"/>
        <v/>
      </c>
      <c r="O320" s="147" t="str">
        <f t="shared" si="6"/>
        <v/>
      </c>
      <c r="P320" s="150" t="str">
        <f t="shared" si="7"/>
        <v/>
      </c>
      <c r="Q320" s="151" t="str">
        <f>IFERROR(VLOOKUP(C320,Ativos!$A$1:$G2000,5,),)</f>
        <v/>
      </c>
    </row>
    <row r="321" ht="21.0" customHeight="1">
      <c r="A321" s="152"/>
      <c r="B321" s="160"/>
      <c r="C321" s="153"/>
      <c r="D321" s="169"/>
      <c r="E321" s="139"/>
      <c r="F321" s="141"/>
      <c r="G321" s="170" t="str">
        <f>IFERROR(__xludf.DUMMYFUNCTION("if($C321="""","""",iferror(if(row()&lt;&gt;2,INDEX(arrayformula(filter($H$2:$H320,$C$2:$C320&lt;&gt;"""",row($C$2:$C320)=max(if($C$2:$C320=C321,row($C$2:$C320),0)))) ,1),0),0))"),"")</f>
        <v/>
      </c>
      <c r="H321" s="170" t="str">
        <f t="shared" si="8"/>
        <v/>
      </c>
      <c r="I321" s="147" t="str">
        <f t="shared" si="1"/>
        <v/>
      </c>
      <c r="J321" s="147" t="str">
        <f t="shared" si="13"/>
        <v/>
      </c>
      <c r="K321" s="147" t="str">
        <f>IFERROR(__xludf.DUMMYFUNCTION("if(C321="""","""",iferror(if(row()&lt;&gt;2,INDEX(arrayformula(filter($L$2:$L320,$C$2:$C320&lt;&gt;"""",row($C$2:$C320)=max(if($C$2:$C320=C321,row($C$2:$C320),0)))) ,1),0),0))"),"")</f>
        <v/>
      </c>
      <c r="L321" s="147" t="str">
        <f t="shared" si="14"/>
        <v/>
      </c>
      <c r="M321" s="147" t="str">
        <f t="shared" si="15"/>
        <v/>
      </c>
      <c r="N321" s="147" t="str">
        <f t="shared" si="16"/>
        <v/>
      </c>
      <c r="O321" s="147" t="str">
        <f t="shared" si="6"/>
        <v/>
      </c>
      <c r="P321" s="150" t="str">
        <f t="shared" si="7"/>
        <v/>
      </c>
      <c r="Q321" s="151" t="str">
        <f>IFERROR(VLOOKUP(C321,Ativos!$A$1:$G2000,5,),)</f>
        <v/>
      </c>
    </row>
    <row r="322" ht="21.0" customHeight="1">
      <c r="A322" s="152"/>
      <c r="B322" s="160"/>
      <c r="C322" s="153"/>
      <c r="D322" s="169"/>
      <c r="E322" s="139"/>
      <c r="F322" s="141"/>
      <c r="G322" s="170" t="str">
        <f>IFERROR(__xludf.DUMMYFUNCTION("if($C322="""","""",iferror(if(row()&lt;&gt;2,INDEX(arrayformula(filter($H$2:$H321,$C$2:$C321&lt;&gt;"""",row($C$2:$C321)=max(if($C$2:$C321=C322,row($C$2:$C321),0)))) ,1),0),0))"),"")</f>
        <v/>
      </c>
      <c r="H322" s="170" t="str">
        <f t="shared" si="8"/>
        <v/>
      </c>
      <c r="I322" s="147" t="str">
        <f t="shared" si="1"/>
        <v/>
      </c>
      <c r="J322" s="147" t="str">
        <f t="shared" si="13"/>
        <v/>
      </c>
      <c r="K322" s="147" t="str">
        <f>IFERROR(__xludf.DUMMYFUNCTION("if(C322="""","""",iferror(if(row()&lt;&gt;2,INDEX(arrayformula(filter($L$2:$L321,$C$2:$C321&lt;&gt;"""",row($C$2:$C321)=max(if($C$2:$C321=C322,row($C$2:$C321),0)))) ,1),0),0))"),"")</f>
        <v/>
      </c>
      <c r="L322" s="147" t="str">
        <f t="shared" si="14"/>
        <v/>
      </c>
      <c r="M322" s="147" t="str">
        <f t="shared" si="15"/>
        <v/>
      </c>
      <c r="N322" s="147" t="str">
        <f t="shared" si="16"/>
        <v/>
      </c>
      <c r="O322" s="147" t="str">
        <f t="shared" si="6"/>
        <v/>
      </c>
      <c r="P322" s="150" t="str">
        <f t="shared" si="7"/>
        <v/>
      </c>
      <c r="Q322" s="151" t="str">
        <f>IFERROR(VLOOKUP(C322,Ativos!$A$1:$G2000,5,),)</f>
        <v/>
      </c>
    </row>
    <row r="323" ht="21.0" customHeight="1">
      <c r="A323" s="152"/>
      <c r="B323" s="160"/>
      <c r="C323" s="153"/>
      <c r="D323" s="169"/>
      <c r="E323" s="139"/>
      <c r="F323" s="141"/>
      <c r="G323" s="170" t="str">
        <f>IFERROR(__xludf.DUMMYFUNCTION("if($C323="""","""",iferror(if(row()&lt;&gt;2,INDEX(arrayformula(filter($H$2:$H322,$C$2:$C322&lt;&gt;"""",row($C$2:$C322)=max(if($C$2:$C322=C323,row($C$2:$C322),0)))) ,1),0),0))"),"")</f>
        <v/>
      </c>
      <c r="H323" s="170" t="str">
        <f t="shared" si="8"/>
        <v/>
      </c>
      <c r="I323" s="147" t="str">
        <f t="shared" si="1"/>
        <v/>
      </c>
      <c r="J323" s="147" t="str">
        <f t="shared" si="13"/>
        <v/>
      </c>
      <c r="K323" s="147" t="str">
        <f>IFERROR(__xludf.DUMMYFUNCTION("if(C323="""","""",iferror(if(row()&lt;&gt;2,INDEX(arrayformula(filter($L$2:$L322,$C$2:$C322&lt;&gt;"""",row($C$2:$C322)=max(if($C$2:$C322=C323,row($C$2:$C322),0)))) ,1),0),0))"),"")</f>
        <v/>
      </c>
      <c r="L323" s="147" t="str">
        <f t="shared" si="14"/>
        <v/>
      </c>
      <c r="M323" s="147" t="str">
        <f t="shared" si="15"/>
        <v/>
      </c>
      <c r="N323" s="147" t="str">
        <f t="shared" si="16"/>
        <v/>
      </c>
      <c r="O323" s="147" t="str">
        <f t="shared" si="6"/>
        <v/>
      </c>
      <c r="P323" s="150" t="str">
        <f t="shared" si="7"/>
        <v/>
      </c>
      <c r="Q323" s="151" t="str">
        <f>IFERROR(VLOOKUP(C323,Ativos!$A$1:$G2000,5,),)</f>
        <v/>
      </c>
    </row>
    <row r="324" ht="21.0" customHeight="1">
      <c r="A324" s="152"/>
      <c r="B324" s="160"/>
      <c r="C324" s="153"/>
      <c r="D324" s="169"/>
      <c r="E324" s="139"/>
      <c r="F324" s="141"/>
      <c r="G324" s="170" t="str">
        <f>IFERROR(__xludf.DUMMYFUNCTION("if($C324="""","""",iferror(if(row()&lt;&gt;2,INDEX(arrayformula(filter($H$2:$H323,$C$2:$C323&lt;&gt;"""",row($C$2:$C323)=max(if($C$2:$C323=C324,row($C$2:$C323),0)))) ,1),0),0))"),"")</f>
        <v/>
      </c>
      <c r="H324" s="170" t="str">
        <f t="shared" si="8"/>
        <v/>
      </c>
      <c r="I324" s="147" t="str">
        <f t="shared" si="1"/>
        <v/>
      </c>
      <c r="J324" s="147" t="str">
        <f t="shared" si="13"/>
        <v/>
      </c>
      <c r="K324" s="147" t="str">
        <f>IFERROR(__xludf.DUMMYFUNCTION("if(C324="""","""",iferror(if(row()&lt;&gt;2,INDEX(arrayformula(filter($L$2:$L323,$C$2:$C323&lt;&gt;"""",row($C$2:$C323)=max(if($C$2:$C323=C324,row($C$2:$C323),0)))) ,1),0),0))"),"")</f>
        <v/>
      </c>
      <c r="L324" s="147" t="str">
        <f t="shared" si="14"/>
        <v/>
      </c>
      <c r="M324" s="147" t="str">
        <f t="shared" si="15"/>
        <v/>
      </c>
      <c r="N324" s="147" t="str">
        <f t="shared" si="16"/>
        <v/>
      </c>
      <c r="O324" s="147" t="str">
        <f t="shared" si="6"/>
        <v/>
      </c>
      <c r="P324" s="150" t="str">
        <f t="shared" si="7"/>
        <v/>
      </c>
      <c r="Q324" s="151" t="str">
        <f>IFERROR(VLOOKUP(C324,Ativos!$A$1:$G2000,5,),)</f>
        <v/>
      </c>
    </row>
    <row r="325" ht="21.0" customHeight="1">
      <c r="A325" s="152"/>
      <c r="B325" s="160"/>
      <c r="C325" s="153"/>
      <c r="D325" s="169"/>
      <c r="E325" s="139"/>
      <c r="F325" s="141"/>
      <c r="G325" s="170" t="str">
        <f>IFERROR(__xludf.DUMMYFUNCTION("if($C325="""","""",iferror(if(row()&lt;&gt;2,INDEX(arrayformula(filter($H$2:$H324,$C$2:$C324&lt;&gt;"""",row($C$2:$C324)=max(if($C$2:$C324=C325,row($C$2:$C324),0)))) ,1),0),0))"),"")</f>
        <v/>
      </c>
      <c r="H325" s="170" t="str">
        <f t="shared" si="8"/>
        <v/>
      </c>
      <c r="I325" s="147" t="str">
        <f t="shared" si="1"/>
        <v/>
      </c>
      <c r="J325" s="147" t="str">
        <f t="shared" si="13"/>
        <v/>
      </c>
      <c r="K325" s="147" t="str">
        <f>IFERROR(__xludf.DUMMYFUNCTION("if(C325="""","""",iferror(if(row()&lt;&gt;2,INDEX(arrayformula(filter($L$2:$L324,$C$2:$C324&lt;&gt;"""",row($C$2:$C324)=max(if($C$2:$C324=C325,row($C$2:$C324),0)))) ,1),0),0))"),"")</f>
        <v/>
      </c>
      <c r="L325" s="147" t="str">
        <f t="shared" si="14"/>
        <v/>
      </c>
      <c r="M325" s="147" t="str">
        <f t="shared" si="15"/>
        <v/>
      </c>
      <c r="N325" s="147" t="str">
        <f t="shared" si="16"/>
        <v/>
      </c>
      <c r="O325" s="147" t="str">
        <f t="shared" si="6"/>
        <v/>
      </c>
      <c r="P325" s="150" t="str">
        <f t="shared" si="7"/>
        <v/>
      </c>
      <c r="Q325" s="151" t="str">
        <f>IFERROR(VLOOKUP(C325,Ativos!$A$1:$G2000,5,),)</f>
        <v/>
      </c>
    </row>
    <row r="326" ht="21.0" customHeight="1">
      <c r="A326" s="152"/>
      <c r="B326" s="160"/>
      <c r="C326" s="153"/>
      <c r="D326" s="169"/>
      <c r="E326" s="139"/>
      <c r="F326" s="141"/>
      <c r="G326" s="170" t="str">
        <f>IFERROR(__xludf.DUMMYFUNCTION("if($C326="""","""",iferror(if(row()&lt;&gt;2,INDEX(arrayformula(filter($H$2:$H325,$C$2:$C325&lt;&gt;"""",row($C$2:$C325)=max(if($C$2:$C325=C326,row($C$2:$C325),0)))) ,1),0),0))"),"")</f>
        <v/>
      </c>
      <c r="H326" s="170" t="str">
        <f t="shared" si="8"/>
        <v/>
      </c>
      <c r="I326" s="147" t="str">
        <f t="shared" si="1"/>
        <v/>
      </c>
      <c r="J326" s="147" t="str">
        <f t="shared" si="13"/>
        <v/>
      </c>
      <c r="K326" s="147" t="str">
        <f>IFERROR(__xludf.DUMMYFUNCTION("if(C326="""","""",iferror(if(row()&lt;&gt;2,INDEX(arrayformula(filter($L$2:$L325,$C$2:$C325&lt;&gt;"""",row($C$2:$C325)=max(if($C$2:$C325=C326,row($C$2:$C325),0)))) ,1),0),0))"),"")</f>
        <v/>
      </c>
      <c r="L326" s="147" t="str">
        <f t="shared" si="14"/>
        <v/>
      </c>
      <c r="M326" s="147" t="str">
        <f t="shared" si="15"/>
        <v/>
      </c>
      <c r="N326" s="147" t="str">
        <f t="shared" si="16"/>
        <v/>
      </c>
      <c r="O326" s="147" t="str">
        <f t="shared" si="6"/>
        <v/>
      </c>
      <c r="P326" s="150" t="str">
        <f t="shared" si="7"/>
        <v/>
      </c>
      <c r="Q326" s="151" t="str">
        <f>IFERROR(VLOOKUP(C326,Ativos!$A$1:$G2000,5,),)</f>
        <v/>
      </c>
    </row>
    <row r="327" ht="21.0" customHeight="1">
      <c r="A327" s="152"/>
      <c r="B327" s="160"/>
      <c r="C327" s="153"/>
      <c r="D327" s="169"/>
      <c r="E327" s="139"/>
      <c r="F327" s="141"/>
      <c r="G327" s="170" t="str">
        <f>IFERROR(__xludf.DUMMYFUNCTION("if($C327="""","""",iferror(if(row()&lt;&gt;2,INDEX(arrayformula(filter($H$2:$H326,$C$2:$C326&lt;&gt;"""",row($C$2:$C326)=max(if($C$2:$C326=C327,row($C$2:$C326),0)))) ,1),0),0))"),"")</f>
        <v/>
      </c>
      <c r="H327" s="170" t="str">
        <f t="shared" si="8"/>
        <v/>
      </c>
      <c r="I327" s="147" t="str">
        <f t="shared" si="1"/>
        <v/>
      </c>
      <c r="J327" s="147" t="str">
        <f t="shared" si="13"/>
        <v/>
      </c>
      <c r="K327" s="147" t="str">
        <f>IFERROR(__xludf.DUMMYFUNCTION("if(C327="""","""",iferror(if(row()&lt;&gt;2,INDEX(arrayformula(filter($L$2:$L326,$C$2:$C326&lt;&gt;"""",row($C$2:$C326)=max(if($C$2:$C326=C327,row($C$2:$C326),0)))) ,1),0),0))"),"")</f>
        <v/>
      </c>
      <c r="L327" s="147" t="str">
        <f t="shared" si="14"/>
        <v/>
      </c>
      <c r="M327" s="147" t="str">
        <f t="shared" si="15"/>
        <v/>
      </c>
      <c r="N327" s="147" t="str">
        <f t="shared" si="16"/>
        <v/>
      </c>
      <c r="O327" s="147" t="str">
        <f t="shared" si="6"/>
        <v/>
      </c>
      <c r="P327" s="150" t="str">
        <f t="shared" si="7"/>
        <v/>
      </c>
      <c r="Q327" s="151" t="str">
        <f>IFERROR(VLOOKUP(C327,Ativos!$A$1:$G2000,5,),)</f>
        <v/>
      </c>
    </row>
    <row r="328" ht="21.0" customHeight="1">
      <c r="A328" s="152"/>
      <c r="B328" s="160"/>
      <c r="C328" s="153"/>
      <c r="D328" s="169"/>
      <c r="E328" s="139"/>
      <c r="F328" s="141"/>
      <c r="G328" s="170" t="str">
        <f>IFERROR(__xludf.DUMMYFUNCTION("if($C328="""","""",iferror(if(row()&lt;&gt;2,INDEX(arrayformula(filter($H$2:$H327,$C$2:$C327&lt;&gt;"""",row($C$2:$C327)=max(if($C$2:$C327=C328,row($C$2:$C327),0)))) ,1),0),0))"),"")</f>
        <v/>
      </c>
      <c r="H328" s="170" t="str">
        <f t="shared" si="8"/>
        <v/>
      </c>
      <c r="I328" s="147" t="str">
        <f t="shared" si="1"/>
        <v/>
      </c>
      <c r="J328" s="147" t="str">
        <f t="shared" si="13"/>
        <v/>
      </c>
      <c r="K328" s="147" t="str">
        <f>IFERROR(__xludf.DUMMYFUNCTION("if(C328="""","""",iferror(if(row()&lt;&gt;2,INDEX(arrayformula(filter($L$2:$L327,$C$2:$C327&lt;&gt;"""",row($C$2:$C327)=max(if($C$2:$C327=C328,row($C$2:$C327),0)))) ,1),0),0))"),"")</f>
        <v/>
      </c>
      <c r="L328" s="147" t="str">
        <f t="shared" si="14"/>
        <v/>
      </c>
      <c r="M328" s="147" t="str">
        <f t="shared" si="15"/>
        <v/>
      </c>
      <c r="N328" s="147" t="str">
        <f t="shared" si="16"/>
        <v/>
      </c>
      <c r="O328" s="147" t="str">
        <f t="shared" si="6"/>
        <v/>
      </c>
      <c r="P328" s="150" t="str">
        <f t="shared" si="7"/>
        <v/>
      </c>
      <c r="Q328" s="151" t="str">
        <f>IFERROR(VLOOKUP(C328,Ativos!$A$1:$G2000,5,),)</f>
        <v/>
      </c>
    </row>
    <row r="329" ht="21.0" customHeight="1">
      <c r="A329" s="152"/>
      <c r="B329" s="160"/>
      <c r="C329" s="153"/>
      <c r="D329" s="169"/>
      <c r="E329" s="139"/>
      <c r="F329" s="141"/>
      <c r="G329" s="170" t="str">
        <f>IFERROR(__xludf.DUMMYFUNCTION("if($C329="""","""",iferror(if(row()&lt;&gt;2,INDEX(arrayformula(filter($H$2:$H328,$C$2:$C328&lt;&gt;"""",row($C$2:$C328)=max(if($C$2:$C328=C329,row($C$2:$C328),0)))) ,1),0),0))"),"")</f>
        <v/>
      </c>
      <c r="H329" s="170" t="str">
        <f t="shared" si="8"/>
        <v/>
      </c>
      <c r="I329" s="147" t="str">
        <f t="shared" si="1"/>
        <v/>
      </c>
      <c r="J329" s="147" t="str">
        <f t="shared" si="13"/>
        <v/>
      </c>
      <c r="K329" s="147" t="str">
        <f>IFERROR(__xludf.DUMMYFUNCTION("if(C329="""","""",iferror(if(row()&lt;&gt;2,INDEX(arrayformula(filter($L$2:$L328,$C$2:$C328&lt;&gt;"""",row($C$2:$C328)=max(if($C$2:$C328=C329,row($C$2:$C328),0)))) ,1),0),0))"),"")</f>
        <v/>
      </c>
      <c r="L329" s="147" t="str">
        <f t="shared" si="14"/>
        <v/>
      </c>
      <c r="M329" s="147" t="str">
        <f t="shared" si="15"/>
        <v/>
      </c>
      <c r="N329" s="147" t="str">
        <f t="shared" si="16"/>
        <v/>
      </c>
      <c r="O329" s="147" t="str">
        <f t="shared" si="6"/>
        <v/>
      </c>
      <c r="P329" s="150" t="str">
        <f t="shared" si="7"/>
        <v/>
      </c>
      <c r="Q329" s="151" t="str">
        <f>IFERROR(VLOOKUP(C329,Ativos!$A$1:$G2000,5,),)</f>
        <v/>
      </c>
    </row>
    <row r="330" ht="21.0" customHeight="1">
      <c r="A330" s="152"/>
      <c r="B330" s="160"/>
      <c r="C330" s="153"/>
      <c r="D330" s="169"/>
      <c r="E330" s="139"/>
      <c r="F330" s="141"/>
      <c r="G330" s="170" t="str">
        <f>IFERROR(__xludf.DUMMYFUNCTION("if($C330="""","""",iferror(if(row()&lt;&gt;2,INDEX(arrayformula(filter($H$2:$H329,$C$2:$C329&lt;&gt;"""",row($C$2:$C329)=max(if($C$2:$C329=C330,row($C$2:$C329),0)))) ,1),0),0))"),"")</f>
        <v/>
      </c>
      <c r="H330" s="170" t="str">
        <f t="shared" si="8"/>
        <v/>
      </c>
      <c r="I330" s="147" t="str">
        <f t="shared" si="1"/>
        <v/>
      </c>
      <c r="J330" s="147" t="str">
        <f t="shared" si="13"/>
        <v/>
      </c>
      <c r="K330" s="147" t="str">
        <f>IFERROR(__xludf.DUMMYFUNCTION("if(C330="""","""",iferror(if(row()&lt;&gt;2,INDEX(arrayformula(filter($L$2:$L329,$C$2:$C329&lt;&gt;"""",row($C$2:$C329)=max(if($C$2:$C329=C330,row($C$2:$C329),0)))) ,1),0),0))"),"")</f>
        <v/>
      </c>
      <c r="L330" s="147" t="str">
        <f t="shared" si="14"/>
        <v/>
      </c>
      <c r="M330" s="147" t="str">
        <f t="shared" si="15"/>
        <v/>
      </c>
      <c r="N330" s="147" t="str">
        <f t="shared" si="16"/>
        <v/>
      </c>
      <c r="O330" s="147" t="str">
        <f t="shared" si="6"/>
        <v/>
      </c>
      <c r="P330" s="150" t="str">
        <f t="shared" si="7"/>
        <v/>
      </c>
      <c r="Q330" s="151" t="str">
        <f>IFERROR(VLOOKUP(C330,Ativos!$A$1:$G2000,5,),)</f>
        <v/>
      </c>
    </row>
    <row r="331" ht="21.0" customHeight="1">
      <c r="A331" s="152"/>
      <c r="B331" s="160"/>
      <c r="C331" s="153"/>
      <c r="D331" s="169"/>
      <c r="E331" s="139"/>
      <c r="F331" s="141"/>
      <c r="G331" s="170" t="str">
        <f>IFERROR(__xludf.DUMMYFUNCTION("if($C331="""","""",iferror(if(row()&lt;&gt;2,INDEX(arrayformula(filter($H$2:$H330,$C$2:$C330&lt;&gt;"""",row($C$2:$C330)=max(if($C$2:$C330=C331,row($C$2:$C330),0)))) ,1),0),0))"),"")</f>
        <v/>
      </c>
      <c r="H331" s="170" t="str">
        <f t="shared" si="8"/>
        <v/>
      </c>
      <c r="I331" s="147" t="str">
        <f t="shared" si="1"/>
        <v/>
      </c>
      <c r="J331" s="147" t="str">
        <f t="shared" si="13"/>
        <v/>
      </c>
      <c r="K331" s="147" t="str">
        <f>IFERROR(__xludf.DUMMYFUNCTION("if(C331="""","""",iferror(if(row()&lt;&gt;2,INDEX(arrayformula(filter($L$2:$L330,$C$2:$C330&lt;&gt;"""",row($C$2:$C330)=max(if($C$2:$C330=C331,row($C$2:$C330),0)))) ,1),0),0))"),"")</f>
        <v/>
      </c>
      <c r="L331" s="147" t="str">
        <f t="shared" si="14"/>
        <v/>
      </c>
      <c r="M331" s="147" t="str">
        <f t="shared" si="15"/>
        <v/>
      </c>
      <c r="N331" s="147" t="str">
        <f t="shared" si="16"/>
        <v/>
      </c>
      <c r="O331" s="147" t="str">
        <f t="shared" si="6"/>
        <v/>
      </c>
      <c r="P331" s="150" t="str">
        <f t="shared" si="7"/>
        <v/>
      </c>
      <c r="Q331" s="151" t="str">
        <f>IFERROR(VLOOKUP(C331,Ativos!$A$1:$G2000,5,),)</f>
        <v/>
      </c>
    </row>
    <row r="332" ht="21.0" customHeight="1">
      <c r="A332" s="152"/>
      <c r="B332" s="160"/>
      <c r="C332" s="153"/>
      <c r="D332" s="169"/>
      <c r="E332" s="139"/>
      <c r="F332" s="141"/>
      <c r="G332" s="170" t="str">
        <f>IFERROR(__xludf.DUMMYFUNCTION("if($C332="""","""",iferror(if(row()&lt;&gt;2,INDEX(arrayformula(filter($H$2:$H331,$C$2:$C331&lt;&gt;"""",row($C$2:$C331)=max(if($C$2:$C331=C332,row($C$2:$C331),0)))) ,1),0),0))"),"")</f>
        <v/>
      </c>
      <c r="H332" s="170" t="str">
        <f t="shared" si="8"/>
        <v/>
      </c>
      <c r="I332" s="147" t="str">
        <f t="shared" si="1"/>
        <v/>
      </c>
      <c r="J332" s="147" t="str">
        <f t="shared" si="13"/>
        <v/>
      </c>
      <c r="K332" s="147" t="str">
        <f>IFERROR(__xludf.DUMMYFUNCTION("if(C332="""","""",iferror(if(row()&lt;&gt;2,INDEX(arrayformula(filter($L$2:$L331,$C$2:$C331&lt;&gt;"""",row($C$2:$C331)=max(if($C$2:$C331=C332,row($C$2:$C331),0)))) ,1),0),0))"),"")</f>
        <v/>
      </c>
      <c r="L332" s="147" t="str">
        <f t="shared" si="14"/>
        <v/>
      </c>
      <c r="M332" s="147" t="str">
        <f t="shared" si="15"/>
        <v/>
      </c>
      <c r="N332" s="147" t="str">
        <f t="shared" si="16"/>
        <v/>
      </c>
      <c r="O332" s="147" t="str">
        <f t="shared" si="6"/>
        <v/>
      </c>
      <c r="P332" s="150" t="str">
        <f t="shared" si="7"/>
        <v/>
      </c>
      <c r="Q332" s="151" t="str">
        <f>IFERROR(VLOOKUP(C332,Ativos!$A$1:$G2000,5,),)</f>
        <v/>
      </c>
    </row>
    <row r="333" ht="21.0" customHeight="1">
      <c r="A333" s="152"/>
      <c r="B333" s="160"/>
      <c r="C333" s="153"/>
      <c r="D333" s="169"/>
      <c r="E333" s="139"/>
      <c r="F333" s="141"/>
      <c r="G333" s="170" t="str">
        <f>IFERROR(__xludf.DUMMYFUNCTION("if($C333="""","""",iferror(if(row()&lt;&gt;2,INDEX(arrayformula(filter($H$2:$H332,$C$2:$C332&lt;&gt;"""",row($C$2:$C332)=max(if($C$2:$C332=C333,row($C$2:$C332),0)))) ,1),0),0))"),"")</f>
        <v/>
      </c>
      <c r="H333" s="170" t="str">
        <f t="shared" si="8"/>
        <v/>
      </c>
      <c r="I333" s="147" t="str">
        <f t="shared" si="1"/>
        <v/>
      </c>
      <c r="J333" s="147" t="str">
        <f t="shared" si="13"/>
        <v/>
      </c>
      <c r="K333" s="147" t="str">
        <f>IFERROR(__xludf.DUMMYFUNCTION("if(C333="""","""",iferror(if(row()&lt;&gt;2,INDEX(arrayformula(filter($L$2:$L332,$C$2:$C332&lt;&gt;"""",row($C$2:$C332)=max(if($C$2:$C332=C333,row($C$2:$C332),0)))) ,1),0),0))"),"")</f>
        <v/>
      </c>
      <c r="L333" s="147" t="str">
        <f t="shared" si="14"/>
        <v/>
      </c>
      <c r="M333" s="147" t="str">
        <f t="shared" si="15"/>
        <v/>
      </c>
      <c r="N333" s="147" t="str">
        <f t="shared" si="16"/>
        <v/>
      </c>
      <c r="O333" s="147" t="str">
        <f t="shared" si="6"/>
        <v/>
      </c>
      <c r="P333" s="150" t="str">
        <f t="shared" si="7"/>
        <v/>
      </c>
      <c r="Q333" s="151" t="str">
        <f>IFERROR(VLOOKUP(C333,Ativos!$A$1:$G2000,5,),)</f>
        <v/>
      </c>
    </row>
    <row r="334" ht="21.0" customHeight="1">
      <c r="A334" s="152"/>
      <c r="B334" s="160"/>
      <c r="C334" s="153"/>
      <c r="D334" s="169"/>
      <c r="E334" s="139"/>
      <c r="F334" s="141"/>
      <c r="G334" s="170" t="str">
        <f>IFERROR(__xludf.DUMMYFUNCTION("if($C334="""","""",iferror(if(row()&lt;&gt;2,INDEX(arrayformula(filter($H$2:$H333,$C$2:$C333&lt;&gt;"""",row($C$2:$C333)=max(if($C$2:$C333=C334,row($C$2:$C333),0)))) ,1),0),0))"),"")</f>
        <v/>
      </c>
      <c r="H334" s="170" t="str">
        <f t="shared" si="8"/>
        <v/>
      </c>
      <c r="I334" s="147" t="str">
        <f t="shared" si="1"/>
        <v/>
      </c>
      <c r="J334" s="147" t="str">
        <f t="shared" si="13"/>
        <v/>
      </c>
      <c r="K334" s="147" t="str">
        <f>IFERROR(__xludf.DUMMYFUNCTION("if(C334="""","""",iferror(if(row()&lt;&gt;2,INDEX(arrayformula(filter($L$2:$L333,$C$2:$C333&lt;&gt;"""",row($C$2:$C333)=max(if($C$2:$C333=C334,row($C$2:$C333),0)))) ,1),0),0))"),"")</f>
        <v/>
      </c>
      <c r="L334" s="147" t="str">
        <f t="shared" si="14"/>
        <v/>
      </c>
      <c r="M334" s="147" t="str">
        <f t="shared" si="15"/>
        <v/>
      </c>
      <c r="N334" s="147" t="str">
        <f t="shared" si="16"/>
        <v/>
      </c>
      <c r="O334" s="147" t="str">
        <f t="shared" si="6"/>
        <v/>
      </c>
      <c r="P334" s="150" t="str">
        <f t="shared" si="7"/>
        <v/>
      </c>
      <c r="Q334" s="151" t="str">
        <f>IFERROR(VLOOKUP(C334,Ativos!$A$1:$G2000,5,),)</f>
        <v/>
      </c>
    </row>
    <row r="335" ht="21.0" customHeight="1">
      <c r="A335" s="152"/>
      <c r="B335" s="160"/>
      <c r="C335" s="153"/>
      <c r="D335" s="169"/>
      <c r="E335" s="139"/>
      <c r="F335" s="141"/>
      <c r="G335" s="170" t="str">
        <f>IFERROR(__xludf.DUMMYFUNCTION("if($C335="""","""",iferror(if(row()&lt;&gt;2,INDEX(arrayformula(filter($H$2:$H334,$C$2:$C334&lt;&gt;"""",row($C$2:$C334)=max(if($C$2:$C334=C335,row($C$2:$C334),0)))) ,1),0),0))"),"")</f>
        <v/>
      </c>
      <c r="H335" s="170" t="str">
        <f t="shared" si="8"/>
        <v/>
      </c>
      <c r="I335" s="147" t="str">
        <f t="shared" si="1"/>
        <v/>
      </c>
      <c r="J335" s="147" t="str">
        <f t="shared" si="13"/>
        <v/>
      </c>
      <c r="K335" s="147" t="str">
        <f>IFERROR(__xludf.DUMMYFUNCTION("if(C335="""","""",iferror(if(row()&lt;&gt;2,INDEX(arrayformula(filter($L$2:$L334,$C$2:$C334&lt;&gt;"""",row($C$2:$C334)=max(if($C$2:$C334=C335,row($C$2:$C334),0)))) ,1),0),0))"),"")</f>
        <v/>
      </c>
      <c r="L335" s="147" t="str">
        <f t="shared" si="14"/>
        <v/>
      </c>
      <c r="M335" s="147" t="str">
        <f t="shared" si="15"/>
        <v/>
      </c>
      <c r="N335" s="147" t="str">
        <f t="shared" si="16"/>
        <v/>
      </c>
      <c r="O335" s="147" t="str">
        <f t="shared" si="6"/>
        <v/>
      </c>
      <c r="P335" s="150" t="str">
        <f t="shared" si="7"/>
        <v/>
      </c>
      <c r="Q335" s="151" t="str">
        <f>IFERROR(VLOOKUP(C335,Ativos!$A$1:$G2000,5,),)</f>
        <v/>
      </c>
    </row>
    <row r="336" ht="21.0" customHeight="1">
      <c r="A336" s="152"/>
      <c r="B336" s="160"/>
      <c r="C336" s="153"/>
      <c r="D336" s="169"/>
      <c r="E336" s="139"/>
      <c r="F336" s="141"/>
      <c r="G336" s="170" t="str">
        <f>IFERROR(__xludf.DUMMYFUNCTION("if($C336="""","""",iferror(if(row()&lt;&gt;2,INDEX(arrayformula(filter($H$2:$H335,$C$2:$C335&lt;&gt;"""",row($C$2:$C335)=max(if($C$2:$C335=C336,row($C$2:$C335),0)))) ,1),0),0))"),"")</f>
        <v/>
      </c>
      <c r="H336" s="170" t="str">
        <f t="shared" si="8"/>
        <v/>
      </c>
      <c r="I336" s="147" t="str">
        <f t="shared" si="1"/>
        <v/>
      </c>
      <c r="J336" s="147" t="str">
        <f t="shared" si="13"/>
        <v/>
      </c>
      <c r="K336" s="147" t="str">
        <f>IFERROR(__xludf.DUMMYFUNCTION("if(C336="""","""",iferror(if(row()&lt;&gt;2,INDEX(arrayformula(filter($L$2:$L335,$C$2:$C335&lt;&gt;"""",row($C$2:$C335)=max(if($C$2:$C335=C336,row($C$2:$C335),0)))) ,1),0),0))"),"")</f>
        <v/>
      </c>
      <c r="L336" s="147" t="str">
        <f t="shared" si="14"/>
        <v/>
      </c>
      <c r="M336" s="147" t="str">
        <f t="shared" si="15"/>
        <v/>
      </c>
      <c r="N336" s="147" t="str">
        <f t="shared" si="16"/>
        <v/>
      </c>
      <c r="O336" s="147" t="str">
        <f t="shared" si="6"/>
        <v/>
      </c>
      <c r="P336" s="150" t="str">
        <f t="shared" si="7"/>
        <v/>
      </c>
      <c r="Q336" s="151" t="str">
        <f>IFERROR(VLOOKUP(C336,Ativos!$A$1:$G2000,5,),)</f>
        <v/>
      </c>
    </row>
    <row r="337" ht="21.0" customHeight="1">
      <c r="A337" s="152"/>
      <c r="B337" s="160"/>
      <c r="C337" s="153"/>
      <c r="D337" s="169"/>
      <c r="E337" s="139"/>
      <c r="F337" s="141"/>
      <c r="G337" s="170" t="str">
        <f>IFERROR(__xludf.DUMMYFUNCTION("if($C337="""","""",iferror(if(row()&lt;&gt;2,INDEX(arrayformula(filter($H$2:$H336,$C$2:$C336&lt;&gt;"""",row($C$2:$C336)=max(if($C$2:$C336=C337,row($C$2:$C336),0)))) ,1),0),0))"),"")</f>
        <v/>
      </c>
      <c r="H337" s="170" t="str">
        <f t="shared" si="8"/>
        <v/>
      </c>
      <c r="I337" s="147" t="str">
        <f t="shared" si="1"/>
        <v/>
      </c>
      <c r="J337" s="147" t="str">
        <f t="shared" si="13"/>
        <v/>
      </c>
      <c r="K337" s="147" t="str">
        <f>IFERROR(__xludf.DUMMYFUNCTION("if(C337="""","""",iferror(if(row()&lt;&gt;2,INDEX(arrayformula(filter($L$2:$L336,$C$2:$C336&lt;&gt;"""",row($C$2:$C336)=max(if($C$2:$C336=C337,row($C$2:$C336),0)))) ,1),0),0))"),"")</f>
        <v/>
      </c>
      <c r="L337" s="147" t="str">
        <f t="shared" si="14"/>
        <v/>
      </c>
      <c r="M337" s="147" t="str">
        <f t="shared" si="15"/>
        <v/>
      </c>
      <c r="N337" s="147" t="str">
        <f t="shared" si="16"/>
        <v/>
      </c>
      <c r="O337" s="147" t="str">
        <f t="shared" si="6"/>
        <v/>
      </c>
      <c r="P337" s="150" t="str">
        <f t="shared" si="7"/>
        <v/>
      </c>
      <c r="Q337" s="151" t="str">
        <f>IFERROR(VLOOKUP(C337,Ativos!$A$1:$G2000,5,),)</f>
        <v/>
      </c>
    </row>
    <row r="338" ht="21.0" customHeight="1">
      <c r="A338" s="152"/>
      <c r="B338" s="160"/>
      <c r="C338" s="153"/>
      <c r="D338" s="169"/>
      <c r="E338" s="139"/>
      <c r="F338" s="141"/>
      <c r="G338" s="170" t="str">
        <f>IFERROR(__xludf.DUMMYFUNCTION("if($C338="""","""",iferror(if(row()&lt;&gt;2,INDEX(arrayformula(filter($H$2:$H337,$C$2:$C337&lt;&gt;"""",row($C$2:$C337)=max(if($C$2:$C337=C338,row($C$2:$C337),0)))) ,1),0),0))"),"")</f>
        <v/>
      </c>
      <c r="H338" s="170" t="str">
        <f t="shared" si="8"/>
        <v/>
      </c>
      <c r="I338" s="147" t="str">
        <f t="shared" si="1"/>
        <v/>
      </c>
      <c r="J338" s="147" t="str">
        <f t="shared" si="13"/>
        <v/>
      </c>
      <c r="K338" s="147" t="str">
        <f>IFERROR(__xludf.DUMMYFUNCTION("if(C338="""","""",iferror(if(row()&lt;&gt;2,INDEX(arrayformula(filter($L$2:$L337,$C$2:$C337&lt;&gt;"""",row($C$2:$C337)=max(if($C$2:$C337=C338,row($C$2:$C337),0)))) ,1),0),0))"),"")</f>
        <v/>
      </c>
      <c r="L338" s="147" t="str">
        <f t="shared" si="14"/>
        <v/>
      </c>
      <c r="M338" s="147" t="str">
        <f t="shared" si="15"/>
        <v/>
      </c>
      <c r="N338" s="147" t="str">
        <f t="shared" si="16"/>
        <v/>
      </c>
      <c r="O338" s="147" t="str">
        <f t="shared" si="6"/>
        <v/>
      </c>
      <c r="P338" s="150" t="str">
        <f t="shared" si="7"/>
        <v/>
      </c>
      <c r="Q338" s="151" t="str">
        <f>IFERROR(VLOOKUP(C338,Ativos!$A$1:$G2000,5,),)</f>
        <v/>
      </c>
    </row>
    <row r="339" ht="21.0" customHeight="1">
      <c r="A339" s="152"/>
      <c r="B339" s="160"/>
      <c r="C339" s="153"/>
      <c r="D339" s="169"/>
      <c r="E339" s="139"/>
      <c r="F339" s="141"/>
      <c r="G339" s="170" t="str">
        <f>IFERROR(__xludf.DUMMYFUNCTION("if($C339="""","""",iferror(if(row()&lt;&gt;2,INDEX(arrayformula(filter($H$2:$H338,$C$2:$C338&lt;&gt;"""",row($C$2:$C338)=max(if($C$2:$C338=C339,row($C$2:$C338),0)))) ,1),0),0))"),"")</f>
        <v/>
      </c>
      <c r="H339" s="170" t="str">
        <f t="shared" si="8"/>
        <v/>
      </c>
      <c r="I339" s="147" t="str">
        <f t="shared" si="1"/>
        <v/>
      </c>
      <c r="J339" s="147" t="str">
        <f t="shared" si="13"/>
        <v/>
      </c>
      <c r="K339" s="147" t="str">
        <f>IFERROR(__xludf.DUMMYFUNCTION("if(C339="""","""",iferror(if(row()&lt;&gt;2,INDEX(arrayformula(filter($L$2:$L338,$C$2:$C338&lt;&gt;"""",row($C$2:$C338)=max(if($C$2:$C338=C339,row($C$2:$C338),0)))) ,1),0),0))"),"")</f>
        <v/>
      </c>
      <c r="L339" s="147" t="str">
        <f t="shared" si="14"/>
        <v/>
      </c>
      <c r="M339" s="147" t="str">
        <f t="shared" si="15"/>
        <v/>
      </c>
      <c r="N339" s="147" t="str">
        <f t="shared" si="16"/>
        <v/>
      </c>
      <c r="O339" s="147" t="str">
        <f t="shared" si="6"/>
        <v/>
      </c>
      <c r="P339" s="150" t="str">
        <f t="shared" si="7"/>
        <v/>
      </c>
      <c r="Q339" s="151" t="str">
        <f>IFERROR(VLOOKUP(C339,Ativos!$A$1:$G2000,5,),)</f>
        <v/>
      </c>
    </row>
    <row r="340" ht="21.0" customHeight="1">
      <c r="A340" s="152"/>
      <c r="B340" s="160"/>
      <c r="C340" s="153"/>
      <c r="D340" s="169"/>
      <c r="E340" s="139"/>
      <c r="F340" s="141"/>
      <c r="G340" s="170" t="str">
        <f>IFERROR(__xludf.DUMMYFUNCTION("if($C340="""","""",iferror(if(row()&lt;&gt;2,INDEX(arrayformula(filter($H$2:$H339,$C$2:$C339&lt;&gt;"""",row($C$2:$C339)=max(if($C$2:$C339=C340,row($C$2:$C339),0)))) ,1),0),0))"),"")</f>
        <v/>
      </c>
      <c r="H340" s="170" t="str">
        <f t="shared" si="8"/>
        <v/>
      </c>
      <c r="I340" s="147" t="str">
        <f t="shared" si="1"/>
        <v/>
      </c>
      <c r="J340" s="147" t="str">
        <f t="shared" si="13"/>
        <v/>
      </c>
      <c r="K340" s="147" t="str">
        <f>IFERROR(__xludf.DUMMYFUNCTION("if(C340="""","""",iferror(if(row()&lt;&gt;2,INDEX(arrayformula(filter($L$2:$L339,$C$2:$C339&lt;&gt;"""",row($C$2:$C339)=max(if($C$2:$C339=C340,row($C$2:$C339),0)))) ,1),0),0))"),"")</f>
        <v/>
      </c>
      <c r="L340" s="147" t="str">
        <f t="shared" si="14"/>
        <v/>
      </c>
      <c r="M340" s="147" t="str">
        <f t="shared" si="15"/>
        <v/>
      </c>
      <c r="N340" s="147" t="str">
        <f t="shared" si="16"/>
        <v/>
      </c>
      <c r="O340" s="147" t="str">
        <f t="shared" si="6"/>
        <v/>
      </c>
      <c r="P340" s="150" t="str">
        <f t="shared" si="7"/>
        <v/>
      </c>
      <c r="Q340" s="151" t="str">
        <f>IFERROR(VLOOKUP(C340,Ativos!$A$1:$G2000,5,),)</f>
        <v/>
      </c>
    </row>
    <row r="341" ht="21.0" customHeight="1">
      <c r="A341" s="152"/>
      <c r="B341" s="160"/>
      <c r="C341" s="153"/>
      <c r="D341" s="169"/>
      <c r="E341" s="139"/>
      <c r="F341" s="141"/>
      <c r="G341" s="170" t="str">
        <f>IFERROR(__xludf.DUMMYFUNCTION("if($C341="""","""",iferror(if(row()&lt;&gt;2,INDEX(arrayformula(filter($H$2:$H340,$C$2:$C340&lt;&gt;"""",row($C$2:$C340)=max(if($C$2:$C340=C341,row($C$2:$C340),0)))) ,1),0),0))"),"")</f>
        <v/>
      </c>
      <c r="H341" s="170" t="str">
        <f t="shared" si="8"/>
        <v/>
      </c>
      <c r="I341" s="147" t="str">
        <f t="shared" si="1"/>
        <v/>
      </c>
      <c r="J341" s="147" t="str">
        <f t="shared" si="13"/>
        <v/>
      </c>
      <c r="K341" s="147" t="str">
        <f>IFERROR(__xludf.DUMMYFUNCTION("if(C341="""","""",iferror(if(row()&lt;&gt;2,INDEX(arrayformula(filter($L$2:$L340,$C$2:$C340&lt;&gt;"""",row($C$2:$C340)=max(if($C$2:$C340=C341,row($C$2:$C340),0)))) ,1),0),0))"),"")</f>
        <v/>
      </c>
      <c r="L341" s="147" t="str">
        <f t="shared" si="14"/>
        <v/>
      </c>
      <c r="M341" s="147" t="str">
        <f t="shared" si="15"/>
        <v/>
      </c>
      <c r="N341" s="147" t="str">
        <f t="shared" si="16"/>
        <v/>
      </c>
      <c r="O341" s="147" t="str">
        <f t="shared" si="6"/>
        <v/>
      </c>
      <c r="P341" s="150" t="str">
        <f t="shared" si="7"/>
        <v/>
      </c>
      <c r="Q341" s="151" t="str">
        <f>IFERROR(VLOOKUP(C341,Ativos!$A$1:$G2000,5,),)</f>
        <v/>
      </c>
    </row>
    <row r="342" ht="21.0" customHeight="1">
      <c r="A342" s="152"/>
      <c r="B342" s="160"/>
      <c r="C342" s="153"/>
      <c r="D342" s="169"/>
      <c r="E342" s="139"/>
      <c r="F342" s="141"/>
      <c r="G342" s="170" t="str">
        <f>IFERROR(__xludf.DUMMYFUNCTION("if($C342="""","""",iferror(if(row()&lt;&gt;2,INDEX(arrayformula(filter($H$2:$H341,$C$2:$C341&lt;&gt;"""",row($C$2:$C341)=max(if($C$2:$C341=C342,row($C$2:$C341),0)))) ,1),0),0))"),"")</f>
        <v/>
      </c>
      <c r="H342" s="170" t="str">
        <f t="shared" si="8"/>
        <v/>
      </c>
      <c r="I342" s="147" t="str">
        <f t="shared" si="1"/>
        <v/>
      </c>
      <c r="J342" s="147" t="str">
        <f t="shared" si="13"/>
        <v/>
      </c>
      <c r="K342" s="147" t="str">
        <f>IFERROR(__xludf.DUMMYFUNCTION("if(C342="""","""",iferror(if(row()&lt;&gt;2,INDEX(arrayformula(filter($L$2:$L341,$C$2:$C341&lt;&gt;"""",row($C$2:$C341)=max(if($C$2:$C341=C342,row($C$2:$C341),0)))) ,1),0),0))"),"")</f>
        <v/>
      </c>
      <c r="L342" s="147" t="str">
        <f t="shared" si="14"/>
        <v/>
      </c>
      <c r="M342" s="147" t="str">
        <f t="shared" si="15"/>
        <v/>
      </c>
      <c r="N342" s="147" t="str">
        <f t="shared" si="16"/>
        <v/>
      </c>
      <c r="O342" s="147" t="str">
        <f t="shared" si="6"/>
        <v/>
      </c>
      <c r="P342" s="150" t="str">
        <f t="shared" si="7"/>
        <v/>
      </c>
      <c r="Q342" s="151" t="str">
        <f>IFERROR(VLOOKUP(C342,Ativos!$A$1:$G2000,5,),)</f>
        <v/>
      </c>
    </row>
    <row r="343" ht="21.0" customHeight="1">
      <c r="A343" s="152"/>
      <c r="B343" s="160"/>
      <c r="C343" s="153"/>
      <c r="D343" s="169"/>
      <c r="E343" s="139"/>
      <c r="F343" s="141"/>
      <c r="G343" s="170" t="str">
        <f>IFERROR(__xludf.DUMMYFUNCTION("if($C343="""","""",iferror(if(row()&lt;&gt;2,INDEX(arrayformula(filter($H$2:$H342,$C$2:$C342&lt;&gt;"""",row($C$2:$C342)=max(if($C$2:$C342=C343,row($C$2:$C342),0)))) ,1),0),0))"),"")</f>
        <v/>
      </c>
      <c r="H343" s="170" t="str">
        <f t="shared" si="8"/>
        <v/>
      </c>
      <c r="I343" s="147" t="str">
        <f t="shared" si="1"/>
        <v/>
      </c>
      <c r="J343" s="147" t="str">
        <f t="shared" si="13"/>
        <v/>
      </c>
      <c r="K343" s="147" t="str">
        <f>IFERROR(__xludf.DUMMYFUNCTION("if(C343="""","""",iferror(if(row()&lt;&gt;2,INDEX(arrayformula(filter($L$2:$L342,$C$2:$C342&lt;&gt;"""",row($C$2:$C342)=max(if($C$2:$C342=C343,row($C$2:$C342),0)))) ,1),0),0))"),"")</f>
        <v/>
      </c>
      <c r="L343" s="147" t="str">
        <f t="shared" si="14"/>
        <v/>
      </c>
      <c r="M343" s="147" t="str">
        <f t="shared" si="15"/>
        <v/>
      </c>
      <c r="N343" s="147" t="str">
        <f t="shared" si="16"/>
        <v/>
      </c>
      <c r="O343" s="147" t="str">
        <f t="shared" si="6"/>
        <v/>
      </c>
      <c r="P343" s="150" t="str">
        <f t="shared" si="7"/>
        <v/>
      </c>
      <c r="Q343" s="151" t="str">
        <f>IFERROR(VLOOKUP(C343,Ativos!$A$1:$G2000,5,),)</f>
        <v/>
      </c>
    </row>
    <row r="344" ht="21.0" customHeight="1">
      <c r="A344" s="152"/>
      <c r="B344" s="160"/>
      <c r="C344" s="153"/>
      <c r="D344" s="169"/>
      <c r="E344" s="139"/>
      <c r="F344" s="141"/>
      <c r="G344" s="170" t="str">
        <f>IFERROR(__xludf.DUMMYFUNCTION("if($C344="""","""",iferror(if(row()&lt;&gt;2,INDEX(arrayformula(filter($H$2:$H343,$C$2:$C343&lt;&gt;"""",row($C$2:$C343)=max(if($C$2:$C343=C344,row($C$2:$C343),0)))) ,1),0),0))"),"")</f>
        <v/>
      </c>
      <c r="H344" s="170" t="str">
        <f t="shared" si="8"/>
        <v/>
      </c>
      <c r="I344" s="147" t="str">
        <f t="shared" si="1"/>
        <v/>
      </c>
      <c r="J344" s="147" t="str">
        <f t="shared" si="13"/>
        <v/>
      </c>
      <c r="K344" s="147" t="str">
        <f>IFERROR(__xludf.DUMMYFUNCTION("if(C344="""","""",iferror(if(row()&lt;&gt;2,INDEX(arrayformula(filter($L$2:$L343,$C$2:$C343&lt;&gt;"""",row($C$2:$C343)=max(if($C$2:$C343=C344,row($C$2:$C343),0)))) ,1),0),0))"),"")</f>
        <v/>
      </c>
      <c r="L344" s="147" t="str">
        <f t="shared" si="14"/>
        <v/>
      </c>
      <c r="M344" s="147" t="str">
        <f t="shared" si="15"/>
        <v/>
      </c>
      <c r="N344" s="147" t="str">
        <f t="shared" si="16"/>
        <v/>
      </c>
      <c r="O344" s="147" t="str">
        <f t="shared" si="6"/>
        <v/>
      </c>
      <c r="P344" s="150" t="str">
        <f t="shared" si="7"/>
        <v/>
      </c>
      <c r="Q344" s="151" t="str">
        <f>IFERROR(VLOOKUP(C344,Ativos!$A$1:$G2000,5,),)</f>
        <v/>
      </c>
    </row>
    <row r="345" ht="21.0" customHeight="1">
      <c r="A345" s="152"/>
      <c r="B345" s="160"/>
      <c r="C345" s="153"/>
      <c r="D345" s="169"/>
      <c r="E345" s="139"/>
      <c r="F345" s="141"/>
      <c r="G345" s="170" t="str">
        <f>IFERROR(__xludf.DUMMYFUNCTION("if($C345="""","""",iferror(if(row()&lt;&gt;2,INDEX(arrayformula(filter($H$2:$H344,$C$2:$C344&lt;&gt;"""",row($C$2:$C344)=max(if($C$2:$C344=C345,row($C$2:$C344),0)))) ,1),0),0))"),"")</f>
        <v/>
      </c>
      <c r="H345" s="170" t="str">
        <f t="shared" si="8"/>
        <v/>
      </c>
      <c r="I345" s="147" t="str">
        <f t="shared" si="1"/>
        <v/>
      </c>
      <c r="J345" s="147" t="str">
        <f t="shared" si="13"/>
        <v/>
      </c>
      <c r="K345" s="147" t="str">
        <f>IFERROR(__xludf.DUMMYFUNCTION("if(C345="""","""",iferror(if(row()&lt;&gt;2,INDEX(arrayformula(filter($L$2:$L344,$C$2:$C344&lt;&gt;"""",row($C$2:$C344)=max(if($C$2:$C344=C345,row($C$2:$C344),0)))) ,1),0),0))"),"")</f>
        <v/>
      </c>
      <c r="L345" s="147" t="str">
        <f t="shared" si="14"/>
        <v/>
      </c>
      <c r="M345" s="147" t="str">
        <f t="shared" si="15"/>
        <v/>
      </c>
      <c r="N345" s="147" t="str">
        <f t="shared" si="16"/>
        <v/>
      </c>
      <c r="O345" s="147" t="str">
        <f t="shared" si="6"/>
        <v/>
      </c>
      <c r="P345" s="150" t="str">
        <f t="shared" si="7"/>
        <v/>
      </c>
      <c r="Q345" s="151" t="str">
        <f>IFERROR(VLOOKUP(C345,Ativos!$A$1:$G2000,5,),)</f>
        <v/>
      </c>
    </row>
    <row r="346" ht="21.0" customHeight="1">
      <c r="A346" s="152"/>
      <c r="B346" s="160"/>
      <c r="C346" s="153"/>
      <c r="D346" s="169"/>
      <c r="E346" s="139"/>
      <c r="F346" s="141"/>
      <c r="G346" s="170" t="str">
        <f>IFERROR(__xludf.DUMMYFUNCTION("if($C346="""","""",iferror(if(row()&lt;&gt;2,INDEX(arrayformula(filter($H$2:$H345,$C$2:$C345&lt;&gt;"""",row($C$2:$C345)=max(if($C$2:$C345=C346,row($C$2:$C345),0)))) ,1),0),0))"),"")</f>
        <v/>
      </c>
      <c r="H346" s="170" t="str">
        <f t="shared" si="8"/>
        <v/>
      </c>
      <c r="I346" s="147" t="str">
        <f t="shared" si="1"/>
        <v/>
      </c>
      <c r="J346" s="147" t="str">
        <f t="shared" si="13"/>
        <v/>
      </c>
      <c r="K346" s="147" t="str">
        <f>IFERROR(__xludf.DUMMYFUNCTION("if(C346="""","""",iferror(if(row()&lt;&gt;2,INDEX(arrayformula(filter($L$2:$L345,$C$2:$C345&lt;&gt;"""",row($C$2:$C345)=max(if($C$2:$C345=C346,row($C$2:$C345),0)))) ,1),0),0))"),"")</f>
        <v/>
      </c>
      <c r="L346" s="147" t="str">
        <f t="shared" si="14"/>
        <v/>
      </c>
      <c r="M346" s="147" t="str">
        <f t="shared" si="15"/>
        <v/>
      </c>
      <c r="N346" s="147" t="str">
        <f t="shared" si="16"/>
        <v/>
      </c>
      <c r="O346" s="147" t="str">
        <f t="shared" si="6"/>
        <v/>
      </c>
      <c r="P346" s="150" t="str">
        <f t="shared" si="7"/>
        <v/>
      </c>
      <c r="Q346" s="151" t="str">
        <f>IFERROR(VLOOKUP(C346,Ativos!$A$1:$G2000,5,),)</f>
        <v/>
      </c>
    </row>
    <row r="347" ht="21.0" customHeight="1">
      <c r="A347" s="152"/>
      <c r="B347" s="160"/>
      <c r="C347" s="153"/>
      <c r="D347" s="169"/>
      <c r="E347" s="139"/>
      <c r="F347" s="141"/>
      <c r="G347" s="170" t="str">
        <f>IFERROR(__xludf.DUMMYFUNCTION("if($C347="""","""",iferror(if(row()&lt;&gt;2,INDEX(arrayformula(filter($H$2:$H346,$C$2:$C346&lt;&gt;"""",row($C$2:$C346)=max(if($C$2:$C346=C347,row($C$2:$C346),0)))) ,1),0),0))"),"")</f>
        <v/>
      </c>
      <c r="H347" s="170" t="str">
        <f t="shared" si="8"/>
        <v/>
      </c>
      <c r="I347" s="147" t="str">
        <f t="shared" si="1"/>
        <v/>
      </c>
      <c r="J347" s="147" t="str">
        <f t="shared" si="13"/>
        <v/>
      </c>
      <c r="K347" s="147" t="str">
        <f>IFERROR(__xludf.DUMMYFUNCTION("if(C347="""","""",iferror(if(row()&lt;&gt;2,INDEX(arrayformula(filter($L$2:$L346,$C$2:$C346&lt;&gt;"""",row($C$2:$C346)=max(if($C$2:$C346=C347,row($C$2:$C346),0)))) ,1),0),0))"),"")</f>
        <v/>
      </c>
      <c r="L347" s="147" t="str">
        <f t="shared" si="14"/>
        <v/>
      </c>
      <c r="M347" s="147" t="str">
        <f t="shared" si="15"/>
        <v/>
      </c>
      <c r="N347" s="147" t="str">
        <f t="shared" si="16"/>
        <v/>
      </c>
      <c r="O347" s="147" t="str">
        <f t="shared" si="6"/>
        <v/>
      </c>
      <c r="P347" s="150" t="str">
        <f t="shared" si="7"/>
        <v/>
      </c>
      <c r="Q347" s="151" t="str">
        <f>IFERROR(VLOOKUP(C347,Ativos!$A$1:$G2000,5,),)</f>
        <v/>
      </c>
    </row>
    <row r="348" ht="21.0" customHeight="1">
      <c r="A348" s="152"/>
      <c r="B348" s="160"/>
      <c r="C348" s="153"/>
      <c r="D348" s="169"/>
      <c r="E348" s="139"/>
      <c r="F348" s="141"/>
      <c r="G348" s="170" t="str">
        <f>IFERROR(__xludf.DUMMYFUNCTION("if($C348="""","""",iferror(if(row()&lt;&gt;2,INDEX(arrayformula(filter($H$2:$H347,$C$2:$C347&lt;&gt;"""",row($C$2:$C347)=max(if($C$2:$C347=C348,row($C$2:$C347),0)))) ,1),0),0))"),"")</f>
        <v/>
      </c>
      <c r="H348" s="170" t="str">
        <f t="shared" si="8"/>
        <v/>
      </c>
      <c r="I348" s="147" t="str">
        <f t="shared" si="1"/>
        <v/>
      </c>
      <c r="J348" s="147" t="str">
        <f t="shared" si="13"/>
        <v/>
      </c>
      <c r="K348" s="147" t="str">
        <f>IFERROR(__xludf.DUMMYFUNCTION("if(C348="""","""",iferror(if(row()&lt;&gt;2,INDEX(arrayformula(filter($L$2:$L347,$C$2:$C347&lt;&gt;"""",row($C$2:$C347)=max(if($C$2:$C347=C348,row($C$2:$C347),0)))) ,1),0),0))"),"")</f>
        <v/>
      </c>
      <c r="L348" s="147" t="str">
        <f t="shared" si="14"/>
        <v/>
      </c>
      <c r="M348" s="147" t="str">
        <f t="shared" si="15"/>
        <v/>
      </c>
      <c r="N348" s="147" t="str">
        <f t="shared" si="16"/>
        <v/>
      </c>
      <c r="O348" s="147" t="str">
        <f t="shared" si="6"/>
        <v/>
      </c>
      <c r="P348" s="150" t="str">
        <f t="shared" si="7"/>
        <v/>
      </c>
      <c r="Q348" s="151" t="str">
        <f>IFERROR(VLOOKUP(C348,Ativos!$A$1:$G2000,5,),)</f>
        <v/>
      </c>
    </row>
    <row r="349" ht="21.0" customHeight="1">
      <c r="A349" s="152"/>
      <c r="B349" s="160"/>
      <c r="C349" s="153"/>
      <c r="D349" s="169"/>
      <c r="E349" s="139"/>
      <c r="F349" s="141"/>
      <c r="G349" s="170" t="str">
        <f>IFERROR(__xludf.DUMMYFUNCTION("if($C349="""","""",iferror(if(row()&lt;&gt;2,INDEX(arrayformula(filter($H$2:$H348,$C$2:$C348&lt;&gt;"""",row($C$2:$C348)=max(if($C$2:$C348=C349,row($C$2:$C348),0)))) ,1),0),0))"),"")</f>
        <v/>
      </c>
      <c r="H349" s="170" t="str">
        <f t="shared" si="8"/>
        <v/>
      </c>
      <c r="I349" s="147" t="str">
        <f t="shared" si="1"/>
        <v/>
      </c>
      <c r="J349" s="147" t="str">
        <f t="shared" si="13"/>
        <v/>
      </c>
      <c r="K349" s="147" t="str">
        <f>IFERROR(__xludf.DUMMYFUNCTION("if(C349="""","""",iferror(if(row()&lt;&gt;2,INDEX(arrayformula(filter($L$2:$L348,$C$2:$C348&lt;&gt;"""",row($C$2:$C348)=max(if($C$2:$C348=C349,row($C$2:$C348),0)))) ,1),0),0))"),"")</f>
        <v/>
      </c>
      <c r="L349" s="147" t="str">
        <f t="shared" si="14"/>
        <v/>
      </c>
      <c r="M349" s="147" t="str">
        <f t="shared" si="15"/>
        <v/>
      </c>
      <c r="N349" s="147" t="str">
        <f t="shared" si="16"/>
        <v/>
      </c>
      <c r="O349" s="147" t="str">
        <f t="shared" si="6"/>
        <v/>
      </c>
      <c r="P349" s="150" t="str">
        <f t="shared" si="7"/>
        <v/>
      </c>
      <c r="Q349" s="151" t="str">
        <f>IFERROR(VLOOKUP(C349,Ativos!$A$1:$G2000,5,),)</f>
        <v/>
      </c>
    </row>
    <row r="350" ht="21.0" customHeight="1">
      <c r="A350" s="152"/>
      <c r="B350" s="160"/>
      <c r="C350" s="153"/>
      <c r="D350" s="169"/>
      <c r="E350" s="139"/>
      <c r="F350" s="141"/>
      <c r="G350" s="170" t="str">
        <f>IFERROR(__xludf.DUMMYFUNCTION("if($C350="""","""",iferror(if(row()&lt;&gt;2,INDEX(arrayformula(filter($H$2:$H349,$C$2:$C349&lt;&gt;"""",row($C$2:$C349)=max(if($C$2:$C349=C350,row($C$2:$C349),0)))) ,1),0),0))"),"")</f>
        <v/>
      </c>
      <c r="H350" s="170" t="str">
        <f t="shared" si="8"/>
        <v/>
      </c>
      <c r="I350" s="147" t="str">
        <f t="shared" si="1"/>
        <v/>
      </c>
      <c r="J350" s="147" t="str">
        <f t="shared" si="13"/>
        <v/>
      </c>
      <c r="K350" s="147" t="str">
        <f>IFERROR(__xludf.DUMMYFUNCTION("if(C350="""","""",iferror(if(row()&lt;&gt;2,INDEX(arrayformula(filter($L$2:$L349,$C$2:$C349&lt;&gt;"""",row($C$2:$C349)=max(if($C$2:$C349=C350,row($C$2:$C349),0)))) ,1),0),0))"),"")</f>
        <v/>
      </c>
      <c r="L350" s="147" t="str">
        <f t="shared" si="14"/>
        <v/>
      </c>
      <c r="M350" s="147" t="str">
        <f t="shared" si="15"/>
        <v/>
      </c>
      <c r="N350" s="147" t="str">
        <f t="shared" si="16"/>
        <v/>
      </c>
      <c r="O350" s="147" t="str">
        <f t="shared" si="6"/>
        <v/>
      </c>
      <c r="P350" s="150" t="str">
        <f t="shared" si="7"/>
        <v/>
      </c>
      <c r="Q350" s="151" t="str">
        <f>IFERROR(VLOOKUP(C350,Ativos!$A$1:$G2000,5,),)</f>
        <v/>
      </c>
    </row>
    <row r="351" ht="21.0" customHeight="1">
      <c r="A351" s="152"/>
      <c r="B351" s="160"/>
      <c r="C351" s="153"/>
      <c r="D351" s="169"/>
      <c r="E351" s="139"/>
      <c r="F351" s="141"/>
      <c r="G351" s="170" t="str">
        <f>IFERROR(__xludf.DUMMYFUNCTION("if($C351="""","""",iferror(if(row()&lt;&gt;2,INDEX(arrayformula(filter($H$2:$H350,$C$2:$C350&lt;&gt;"""",row($C$2:$C350)=max(if($C$2:$C350=C351,row($C$2:$C350),0)))) ,1),0),0))"),"")</f>
        <v/>
      </c>
      <c r="H351" s="170" t="str">
        <f t="shared" si="8"/>
        <v/>
      </c>
      <c r="I351" s="147" t="str">
        <f t="shared" si="1"/>
        <v/>
      </c>
      <c r="J351" s="147" t="str">
        <f t="shared" si="13"/>
        <v/>
      </c>
      <c r="K351" s="147" t="str">
        <f>IFERROR(__xludf.DUMMYFUNCTION("if(C351="""","""",iferror(if(row()&lt;&gt;2,INDEX(arrayformula(filter($L$2:$L350,$C$2:$C350&lt;&gt;"""",row($C$2:$C350)=max(if($C$2:$C350=C351,row($C$2:$C350),0)))) ,1),0),0))"),"")</f>
        <v/>
      </c>
      <c r="L351" s="147" t="str">
        <f t="shared" si="14"/>
        <v/>
      </c>
      <c r="M351" s="147" t="str">
        <f t="shared" si="15"/>
        <v/>
      </c>
      <c r="N351" s="147" t="str">
        <f t="shared" si="16"/>
        <v/>
      </c>
      <c r="O351" s="147" t="str">
        <f t="shared" si="6"/>
        <v/>
      </c>
      <c r="P351" s="150" t="str">
        <f t="shared" si="7"/>
        <v/>
      </c>
      <c r="Q351" s="151" t="str">
        <f>IFERROR(VLOOKUP(C351,Ativos!$A$1:$G2000,5,),)</f>
        <v/>
      </c>
    </row>
    <row r="352" ht="21.0" customHeight="1">
      <c r="A352" s="152"/>
      <c r="B352" s="160"/>
      <c r="C352" s="153"/>
      <c r="D352" s="169"/>
      <c r="E352" s="139"/>
      <c r="F352" s="141"/>
      <c r="G352" s="170" t="str">
        <f>IFERROR(__xludf.DUMMYFUNCTION("if($C352="""","""",iferror(if(row()&lt;&gt;2,INDEX(arrayformula(filter($H$2:$H351,$C$2:$C351&lt;&gt;"""",row($C$2:$C351)=max(if($C$2:$C351=C352,row($C$2:$C351),0)))) ,1),0),0))"),"")</f>
        <v/>
      </c>
      <c r="H352" s="170" t="str">
        <f t="shared" si="8"/>
        <v/>
      </c>
      <c r="I352" s="147" t="str">
        <f t="shared" si="1"/>
        <v/>
      </c>
      <c r="J352" s="147" t="str">
        <f t="shared" si="13"/>
        <v/>
      </c>
      <c r="K352" s="147" t="str">
        <f>IFERROR(__xludf.DUMMYFUNCTION("if(C352="""","""",iferror(if(row()&lt;&gt;2,INDEX(arrayformula(filter($L$2:$L351,$C$2:$C351&lt;&gt;"""",row($C$2:$C351)=max(if($C$2:$C351=C352,row($C$2:$C351),0)))) ,1),0),0))"),"")</f>
        <v/>
      </c>
      <c r="L352" s="147" t="str">
        <f t="shared" si="14"/>
        <v/>
      </c>
      <c r="M352" s="147" t="str">
        <f t="shared" si="15"/>
        <v/>
      </c>
      <c r="N352" s="147" t="str">
        <f t="shared" si="16"/>
        <v/>
      </c>
      <c r="O352" s="147" t="str">
        <f t="shared" si="6"/>
        <v/>
      </c>
      <c r="P352" s="150" t="str">
        <f t="shared" si="7"/>
        <v/>
      </c>
      <c r="Q352" s="151" t="str">
        <f>IFERROR(VLOOKUP(C352,Ativos!$A$1:$G2000,5,),)</f>
        <v/>
      </c>
    </row>
    <row r="353" ht="21.0" customHeight="1">
      <c r="A353" s="152"/>
      <c r="B353" s="160"/>
      <c r="C353" s="153"/>
      <c r="D353" s="169"/>
      <c r="E353" s="139"/>
      <c r="F353" s="141"/>
      <c r="G353" s="170" t="str">
        <f>IFERROR(__xludf.DUMMYFUNCTION("if($C353="""","""",iferror(if(row()&lt;&gt;2,INDEX(arrayformula(filter($H$2:$H352,$C$2:$C352&lt;&gt;"""",row($C$2:$C352)=max(if($C$2:$C352=C353,row($C$2:$C352),0)))) ,1),0),0))"),"")</f>
        <v/>
      </c>
      <c r="H353" s="170" t="str">
        <f t="shared" si="8"/>
        <v/>
      </c>
      <c r="I353" s="147" t="str">
        <f t="shared" si="1"/>
        <v/>
      </c>
      <c r="J353" s="147" t="str">
        <f t="shared" si="13"/>
        <v/>
      </c>
      <c r="K353" s="147" t="str">
        <f>IFERROR(__xludf.DUMMYFUNCTION("if(C353="""","""",iferror(if(row()&lt;&gt;2,INDEX(arrayformula(filter($L$2:$L352,$C$2:$C352&lt;&gt;"""",row($C$2:$C352)=max(if($C$2:$C352=C353,row($C$2:$C352),0)))) ,1),0),0))"),"")</f>
        <v/>
      </c>
      <c r="L353" s="147" t="str">
        <f t="shared" si="14"/>
        <v/>
      </c>
      <c r="M353" s="147" t="str">
        <f t="shared" si="15"/>
        <v/>
      </c>
      <c r="N353" s="147" t="str">
        <f t="shared" si="16"/>
        <v/>
      </c>
      <c r="O353" s="147" t="str">
        <f t="shared" si="6"/>
        <v/>
      </c>
      <c r="P353" s="150" t="str">
        <f t="shared" si="7"/>
        <v/>
      </c>
      <c r="Q353" s="151" t="str">
        <f>IFERROR(VLOOKUP(C353,Ativos!$A$1:$G2000,5,),)</f>
        <v/>
      </c>
    </row>
    <row r="354" ht="21.0" customHeight="1">
      <c r="A354" s="152"/>
      <c r="B354" s="160"/>
      <c r="C354" s="153"/>
      <c r="D354" s="169"/>
      <c r="E354" s="139"/>
      <c r="F354" s="141"/>
      <c r="G354" s="170" t="str">
        <f>IFERROR(__xludf.DUMMYFUNCTION("if($C354="""","""",iferror(if(row()&lt;&gt;2,INDEX(arrayformula(filter($H$2:$H353,$C$2:$C353&lt;&gt;"""",row($C$2:$C353)=max(if($C$2:$C353=C354,row($C$2:$C353),0)))) ,1),0),0))"),"")</f>
        <v/>
      </c>
      <c r="H354" s="170" t="str">
        <f t="shared" si="8"/>
        <v/>
      </c>
      <c r="I354" s="147" t="str">
        <f t="shared" si="1"/>
        <v/>
      </c>
      <c r="J354" s="147" t="str">
        <f t="shared" si="13"/>
        <v/>
      </c>
      <c r="K354" s="147" t="str">
        <f>IFERROR(__xludf.DUMMYFUNCTION("if(C354="""","""",iferror(if(row()&lt;&gt;2,INDEX(arrayformula(filter($L$2:$L353,$C$2:$C353&lt;&gt;"""",row($C$2:$C353)=max(if($C$2:$C353=C354,row($C$2:$C353),0)))) ,1),0),0))"),"")</f>
        <v/>
      </c>
      <c r="L354" s="147" t="str">
        <f t="shared" si="14"/>
        <v/>
      </c>
      <c r="M354" s="147" t="str">
        <f t="shared" si="15"/>
        <v/>
      </c>
      <c r="N354" s="147" t="str">
        <f t="shared" si="16"/>
        <v/>
      </c>
      <c r="O354" s="147" t="str">
        <f t="shared" si="6"/>
        <v/>
      </c>
      <c r="P354" s="150" t="str">
        <f t="shared" si="7"/>
        <v/>
      </c>
      <c r="Q354" s="151" t="str">
        <f>IFERROR(VLOOKUP(C354,Ativos!$A$1:$G2000,5,),)</f>
        <v/>
      </c>
    </row>
    <row r="355" ht="21.0" customHeight="1">
      <c r="A355" s="152"/>
      <c r="B355" s="160"/>
      <c r="C355" s="153"/>
      <c r="D355" s="169"/>
      <c r="E355" s="139"/>
      <c r="F355" s="141"/>
      <c r="G355" s="170" t="str">
        <f>IFERROR(__xludf.DUMMYFUNCTION("if($C355="""","""",iferror(if(row()&lt;&gt;2,INDEX(arrayformula(filter($H$2:$H354,$C$2:$C354&lt;&gt;"""",row($C$2:$C354)=max(if($C$2:$C354=C355,row($C$2:$C354),0)))) ,1),0),0))"),"")</f>
        <v/>
      </c>
      <c r="H355" s="170" t="str">
        <f t="shared" si="8"/>
        <v/>
      </c>
      <c r="I355" s="147" t="str">
        <f t="shared" si="1"/>
        <v/>
      </c>
      <c r="J355" s="147" t="str">
        <f t="shared" si="13"/>
        <v/>
      </c>
      <c r="K355" s="147" t="str">
        <f>IFERROR(__xludf.DUMMYFUNCTION("if(C355="""","""",iferror(if(row()&lt;&gt;2,INDEX(arrayformula(filter($L$2:$L354,$C$2:$C354&lt;&gt;"""",row($C$2:$C354)=max(if($C$2:$C354=C355,row($C$2:$C354),0)))) ,1),0),0))"),"")</f>
        <v/>
      </c>
      <c r="L355" s="147" t="str">
        <f t="shared" si="14"/>
        <v/>
      </c>
      <c r="M355" s="147" t="str">
        <f t="shared" si="15"/>
        <v/>
      </c>
      <c r="N355" s="147" t="str">
        <f t="shared" si="16"/>
        <v/>
      </c>
      <c r="O355" s="147" t="str">
        <f t="shared" si="6"/>
        <v/>
      </c>
      <c r="P355" s="150" t="str">
        <f t="shared" si="7"/>
        <v/>
      </c>
      <c r="Q355" s="151" t="str">
        <f>IFERROR(VLOOKUP(C355,Ativos!$A$1:$G2000,5,),)</f>
        <v/>
      </c>
    </row>
    <row r="356" ht="21.0" customHeight="1">
      <c r="A356" s="152"/>
      <c r="B356" s="160"/>
      <c r="C356" s="153"/>
      <c r="D356" s="169"/>
      <c r="E356" s="139"/>
      <c r="F356" s="141"/>
      <c r="G356" s="170" t="str">
        <f>IFERROR(__xludf.DUMMYFUNCTION("if($C356="""","""",iferror(if(row()&lt;&gt;2,INDEX(arrayformula(filter($H$2:$H355,$C$2:$C355&lt;&gt;"""",row($C$2:$C355)=max(if($C$2:$C355=C356,row($C$2:$C355),0)))) ,1),0),0))"),"")</f>
        <v/>
      </c>
      <c r="H356" s="170" t="str">
        <f t="shared" si="8"/>
        <v/>
      </c>
      <c r="I356" s="147" t="str">
        <f t="shared" si="1"/>
        <v/>
      </c>
      <c r="J356" s="147" t="str">
        <f t="shared" si="13"/>
        <v/>
      </c>
      <c r="K356" s="147" t="str">
        <f>IFERROR(__xludf.DUMMYFUNCTION("if(C356="""","""",iferror(if(row()&lt;&gt;2,INDEX(arrayformula(filter($L$2:$L355,$C$2:$C355&lt;&gt;"""",row($C$2:$C355)=max(if($C$2:$C355=C356,row($C$2:$C355),0)))) ,1),0),0))"),"")</f>
        <v/>
      </c>
      <c r="L356" s="147" t="str">
        <f t="shared" si="14"/>
        <v/>
      </c>
      <c r="M356" s="147" t="str">
        <f t="shared" si="15"/>
        <v/>
      </c>
      <c r="N356" s="147" t="str">
        <f t="shared" si="16"/>
        <v/>
      </c>
      <c r="O356" s="147" t="str">
        <f t="shared" si="6"/>
        <v/>
      </c>
      <c r="P356" s="150" t="str">
        <f t="shared" si="7"/>
        <v/>
      </c>
      <c r="Q356" s="151" t="str">
        <f>IFERROR(VLOOKUP(C356,Ativos!$A$1:$G2000,5,),)</f>
        <v/>
      </c>
    </row>
    <row r="357" ht="21.0" customHeight="1">
      <c r="A357" s="152"/>
      <c r="B357" s="160"/>
      <c r="C357" s="153"/>
      <c r="D357" s="169"/>
      <c r="E357" s="139"/>
      <c r="F357" s="141"/>
      <c r="G357" s="170" t="str">
        <f>IFERROR(__xludf.DUMMYFUNCTION("if($C357="""","""",iferror(if(row()&lt;&gt;2,INDEX(arrayformula(filter($H$2:$H356,$C$2:$C356&lt;&gt;"""",row($C$2:$C356)=max(if($C$2:$C356=C357,row($C$2:$C356),0)))) ,1),0),0))"),"")</f>
        <v/>
      </c>
      <c r="H357" s="170" t="str">
        <f t="shared" si="8"/>
        <v/>
      </c>
      <c r="I357" s="147" t="str">
        <f t="shared" si="1"/>
        <v/>
      </c>
      <c r="J357" s="147" t="str">
        <f t="shared" si="13"/>
        <v/>
      </c>
      <c r="K357" s="147" t="str">
        <f>IFERROR(__xludf.DUMMYFUNCTION("if(C357="""","""",iferror(if(row()&lt;&gt;2,INDEX(arrayformula(filter($L$2:$L356,$C$2:$C356&lt;&gt;"""",row($C$2:$C356)=max(if($C$2:$C356=C357,row($C$2:$C356),0)))) ,1),0),0))"),"")</f>
        <v/>
      </c>
      <c r="L357" s="147" t="str">
        <f t="shared" si="14"/>
        <v/>
      </c>
      <c r="M357" s="147" t="str">
        <f t="shared" si="15"/>
        <v/>
      </c>
      <c r="N357" s="147" t="str">
        <f t="shared" si="16"/>
        <v/>
      </c>
      <c r="O357" s="147" t="str">
        <f t="shared" si="6"/>
        <v/>
      </c>
      <c r="P357" s="150" t="str">
        <f t="shared" si="7"/>
        <v/>
      </c>
      <c r="Q357" s="151" t="str">
        <f>IFERROR(VLOOKUP(C357,Ativos!$A$1:$G2000,5,),)</f>
        <v/>
      </c>
    </row>
    <row r="358" ht="21.0" customHeight="1">
      <c r="A358" s="152"/>
      <c r="B358" s="160"/>
      <c r="C358" s="153"/>
      <c r="D358" s="169"/>
      <c r="E358" s="139"/>
      <c r="F358" s="141"/>
      <c r="G358" s="170" t="str">
        <f>IFERROR(__xludf.DUMMYFUNCTION("if($C358="""","""",iferror(if(row()&lt;&gt;2,INDEX(arrayformula(filter($H$2:$H357,$C$2:$C357&lt;&gt;"""",row($C$2:$C357)=max(if($C$2:$C357=C358,row($C$2:$C357),0)))) ,1),0),0))"),"")</f>
        <v/>
      </c>
      <c r="H358" s="170" t="str">
        <f t="shared" si="8"/>
        <v/>
      </c>
      <c r="I358" s="147" t="str">
        <f t="shared" si="1"/>
        <v/>
      </c>
      <c r="J358" s="147" t="str">
        <f t="shared" si="13"/>
        <v/>
      </c>
      <c r="K358" s="147" t="str">
        <f>IFERROR(__xludf.DUMMYFUNCTION("if(C358="""","""",iferror(if(row()&lt;&gt;2,INDEX(arrayformula(filter($L$2:$L357,$C$2:$C357&lt;&gt;"""",row($C$2:$C357)=max(if($C$2:$C357=C358,row($C$2:$C357),0)))) ,1),0),0))"),"")</f>
        <v/>
      </c>
      <c r="L358" s="147" t="str">
        <f t="shared" si="14"/>
        <v/>
      </c>
      <c r="M358" s="147" t="str">
        <f t="shared" si="15"/>
        <v/>
      </c>
      <c r="N358" s="147" t="str">
        <f t="shared" si="16"/>
        <v/>
      </c>
      <c r="O358" s="147" t="str">
        <f t="shared" si="6"/>
        <v/>
      </c>
      <c r="P358" s="150" t="str">
        <f t="shared" si="7"/>
        <v/>
      </c>
      <c r="Q358" s="151" t="str">
        <f>IFERROR(VLOOKUP(C358,Ativos!$A$1:$G2000,5,),)</f>
        <v/>
      </c>
    </row>
    <row r="359" ht="21.0" customHeight="1">
      <c r="A359" s="152"/>
      <c r="B359" s="160"/>
      <c r="C359" s="153"/>
      <c r="D359" s="169"/>
      <c r="E359" s="139"/>
      <c r="F359" s="141"/>
      <c r="G359" s="170" t="str">
        <f>IFERROR(__xludf.DUMMYFUNCTION("if($C359="""","""",iferror(if(row()&lt;&gt;2,INDEX(arrayformula(filter($H$2:$H358,$C$2:$C358&lt;&gt;"""",row($C$2:$C358)=max(if($C$2:$C358=C359,row($C$2:$C358),0)))) ,1),0),0))"),"")</f>
        <v/>
      </c>
      <c r="H359" s="170" t="str">
        <f t="shared" si="8"/>
        <v/>
      </c>
      <c r="I359" s="147" t="str">
        <f t="shared" si="1"/>
        <v/>
      </c>
      <c r="J359" s="147" t="str">
        <f t="shared" si="13"/>
        <v/>
      </c>
      <c r="K359" s="147" t="str">
        <f>IFERROR(__xludf.DUMMYFUNCTION("if(C359="""","""",iferror(if(row()&lt;&gt;2,INDEX(arrayformula(filter($L$2:$L358,$C$2:$C358&lt;&gt;"""",row($C$2:$C358)=max(if($C$2:$C358=C359,row($C$2:$C358),0)))) ,1),0),0))"),"")</f>
        <v/>
      </c>
      <c r="L359" s="147" t="str">
        <f t="shared" si="14"/>
        <v/>
      </c>
      <c r="M359" s="147" t="str">
        <f t="shared" si="15"/>
        <v/>
      </c>
      <c r="N359" s="147" t="str">
        <f t="shared" si="16"/>
        <v/>
      </c>
      <c r="O359" s="147" t="str">
        <f t="shared" si="6"/>
        <v/>
      </c>
      <c r="P359" s="150" t="str">
        <f t="shared" si="7"/>
        <v/>
      </c>
      <c r="Q359" s="151" t="str">
        <f>IFERROR(VLOOKUP(C359,Ativos!$A$1:$G2000,5,),)</f>
        <v/>
      </c>
    </row>
    <row r="360" ht="21.0" customHeight="1">
      <c r="A360" s="152"/>
      <c r="B360" s="160"/>
      <c r="C360" s="153"/>
      <c r="D360" s="169"/>
      <c r="E360" s="139"/>
      <c r="F360" s="141"/>
      <c r="G360" s="170" t="str">
        <f>IFERROR(__xludf.DUMMYFUNCTION("if($C360="""","""",iferror(if(row()&lt;&gt;2,INDEX(arrayformula(filter($H$2:$H359,$C$2:$C359&lt;&gt;"""",row($C$2:$C359)=max(if($C$2:$C359=C360,row($C$2:$C359),0)))) ,1),0),0))"),"")</f>
        <v/>
      </c>
      <c r="H360" s="170" t="str">
        <f t="shared" si="8"/>
        <v/>
      </c>
      <c r="I360" s="147" t="str">
        <f t="shared" si="1"/>
        <v/>
      </c>
      <c r="J360" s="147" t="str">
        <f t="shared" si="13"/>
        <v/>
      </c>
      <c r="K360" s="147" t="str">
        <f>IFERROR(__xludf.DUMMYFUNCTION("if(C360="""","""",iferror(if(row()&lt;&gt;2,INDEX(arrayformula(filter($L$2:$L359,$C$2:$C359&lt;&gt;"""",row($C$2:$C359)=max(if($C$2:$C359=C360,row($C$2:$C359),0)))) ,1),0),0))"),"")</f>
        <v/>
      </c>
      <c r="L360" s="147" t="str">
        <f t="shared" si="14"/>
        <v/>
      </c>
      <c r="M360" s="147" t="str">
        <f t="shared" si="15"/>
        <v/>
      </c>
      <c r="N360" s="147" t="str">
        <f t="shared" si="16"/>
        <v/>
      </c>
      <c r="O360" s="147" t="str">
        <f t="shared" si="6"/>
        <v/>
      </c>
      <c r="P360" s="150" t="str">
        <f t="shared" si="7"/>
        <v/>
      </c>
      <c r="Q360" s="151" t="str">
        <f>IFERROR(VLOOKUP(C360,Ativos!$A$1:$G2000,5,),)</f>
        <v/>
      </c>
    </row>
    <row r="361" ht="21.0" customHeight="1">
      <c r="A361" s="152"/>
      <c r="B361" s="160"/>
      <c r="C361" s="153"/>
      <c r="D361" s="169"/>
      <c r="E361" s="139"/>
      <c r="F361" s="141"/>
      <c r="G361" s="170" t="str">
        <f>IFERROR(__xludf.DUMMYFUNCTION("if($C361="""","""",iferror(if(row()&lt;&gt;2,INDEX(arrayformula(filter($H$2:$H360,$C$2:$C360&lt;&gt;"""",row($C$2:$C360)=max(if($C$2:$C360=C361,row($C$2:$C360),0)))) ,1),0),0))"),"")</f>
        <v/>
      </c>
      <c r="H361" s="170" t="str">
        <f t="shared" si="8"/>
        <v/>
      </c>
      <c r="I361" s="147" t="str">
        <f t="shared" si="1"/>
        <v/>
      </c>
      <c r="J361" s="147" t="str">
        <f t="shared" si="13"/>
        <v/>
      </c>
      <c r="K361" s="147" t="str">
        <f>IFERROR(__xludf.DUMMYFUNCTION("if(C361="""","""",iferror(if(row()&lt;&gt;2,INDEX(arrayformula(filter($L$2:$L360,$C$2:$C360&lt;&gt;"""",row($C$2:$C360)=max(if($C$2:$C360=C361,row($C$2:$C360),0)))) ,1),0),0))"),"")</f>
        <v/>
      </c>
      <c r="L361" s="147" t="str">
        <f t="shared" si="14"/>
        <v/>
      </c>
      <c r="M361" s="147" t="str">
        <f t="shared" si="15"/>
        <v/>
      </c>
      <c r="N361" s="147" t="str">
        <f t="shared" si="16"/>
        <v/>
      </c>
      <c r="O361" s="147" t="str">
        <f t="shared" si="6"/>
        <v/>
      </c>
      <c r="P361" s="150" t="str">
        <f t="shared" si="7"/>
        <v/>
      </c>
      <c r="Q361" s="151" t="str">
        <f>IFERROR(VLOOKUP(C361,Ativos!$A$1:$G2000,5,),)</f>
        <v/>
      </c>
    </row>
    <row r="362" ht="21.0" customHeight="1">
      <c r="A362" s="152"/>
      <c r="B362" s="160"/>
      <c r="C362" s="153"/>
      <c r="D362" s="169"/>
      <c r="E362" s="139"/>
      <c r="F362" s="141"/>
      <c r="G362" s="170" t="str">
        <f>IFERROR(__xludf.DUMMYFUNCTION("if($C362="""","""",iferror(if(row()&lt;&gt;2,INDEX(arrayformula(filter($H$2:$H361,$C$2:$C361&lt;&gt;"""",row($C$2:$C361)=max(if($C$2:$C361=C362,row($C$2:$C361),0)))) ,1),0),0))"),"")</f>
        <v/>
      </c>
      <c r="H362" s="170" t="str">
        <f t="shared" si="8"/>
        <v/>
      </c>
      <c r="I362" s="147" t="str">
        <f t="shared" si="1"/>
        <v/>
      </c>
      <c r="J362" s="147" t="str">
        <f t="shared" si="13"/>
        <v/>
      </c>
      <c r="K362" s="147" t="str">
        <f>IFERROR(__xludf.DUMMYFUNCTION("if(C362="""","""",iferror(if(row()&lt;&gt;2,INDEX(arrayformula(filter($L$2:$L361,$C$2:$C361&lt;&gt;"""",row($C$2:$C361)=max(if($C$2:$C361=C362,row($C$2:$C361),0)))) ,1),0),0))"),"")</f>
        <v/>
      </c>
      <c r="L362" s="147" t="str">
        <f t="shared" si="14"/>
        <v/>
      </c>
      <c r="M362" s="147" t="str">
        <f t="shared" si="15"/>
        <v/>
      </c>
      <c r="N362" s="147" t="str">
        <f t="shared" si="16"/>
        <v/>
      </c>
      <c r="O362" s="147" t="str">
        <f t="shared" si="6"/>
        <v/>
      </c>
      <c r="P362" s="150" t="str">
        <f t="shared" si="7"/>
        <v/>
      </c>
      <c r="Q362" s="151" t="str">
        <f>IFERROR(VLOOKUP(C362,Ativos!$A$1:$G2000,5,),)</f>
        <v/>
      </c>
    </row>
    <row r="363" ht="21.0" customHeight="1">
      <c r="A363" s="152"/>
      <c r="B363" s="160"/>
      <c r="C363" s="153"/>
      <c r="D363" s="169"/>
      <c r="E363" s="139"/>
      <c r="F363" s="141"/>
      <c r="G363" s="170" t="str">
        <f>IFERROR(__xludf.DUMMYFUNCTION("if($C363="""","""",iferror(if(row()&lt;&gt;2,INDEX(arrayformula(filter($H$2:$H362,$C$2:$C362&lt;&gt;"""",row($C$2:$C362)=max(if($C$2:$C362=C363,row($C$2:$C362),0)))) ,1),0),0))"),"")</f>
        <v/>
      </c>
      <c r="H363" s="170" t="str">
        <f t="shared" si="8"/>
        <v/>
      </c>
      <c r="I363" s="147" t="str">
        <f t="shared" si="1"/>
        <v/>
      </c>
      <c r="J363" s="147" t="str">
        <f t="shared" si="13"/>
        <v/>
      </c>
      <c r="K363" s="147" t="str">
        <f>IFERROR(__xludf.DUMMYFUNCTION("if(C363="""","""",iferror(if(row()&lt;&gt;2,INDEX(arrayformula(filter($L$2:$L362,$C$2:$C362&lt;&gt;"""",row($C$2:$C362)=max(if($C$2:$C362=C363,row($C$2:$C362),0)))) ,1),0),0))"),"")</f>
        <v/>
      </c>
      <c r="L363" s="147" t="str">
        <f t="shared" si="14"/>
        <v/>
      </c>
      <c r="M363" s="147" t="str">
        <f t="shared" si="15"/>
        <v/>
      </c>
      <c r="N363" s="147" t="str">
        <f t="shared" si="16"/>
        <v/>
      </c>
      <c r="O363" s="147" t="str">
        <f t="shared" si="6"/>
        <v/>
      </c>
      <c r="P363" s="150" t="str">
        <f t="shared" si="7"/>
        <v/>
      </c>
      <c r="Q363" s="151" t="str">
        <f>IFERROR(VLOOKUP(C363,Ativos!$A$1:$G2000,5,),)</f>
        <v/>
      </c>
    </row>
    <row r="364" ht="21.0" customHeight="1">
      <c r="A364" s="152"/>
      <c r="B364" s="160"/>
      <c r="C364" s="153"/>
      <c r="D364" s="169"/>
      <c r="E364" s="139"/>
      <c r="F364" s="141"/>
      <c r="G364" s="170" t="str">
        <f>IFERROR(__xludf.DUMMYFUNCTION("if($C364="""","""",iferror(if(row()&lt;&gt;2,INDEX(arrayformula(filter($H$2:$H363,$C$2:$C363&lt;&gt;"""",row($C$2:$C363)=max(if($C$2:$C363=C364,row($C$2:$C363),0)))) ,1),0),0))"),"")</f>
        <v/>
      </c>
      <c r="H364" s="170" t="str">
        <f t="shared" si="8"/>
        <v/>
      </c>
      <c r="I364" s="147" t="str">
        <f t="shared" si="1"/>
        <v/>
      </c>
      <c r="J364" s="147" t="str">
        <f t="shared" si="13"/>
        <v/>
      </c>
      <c r="K364" s="147" t="str">
        <f>IFERROR(__xludf.DUMMYFUNCTION("if(C364="""","""",iferror(if(row()&lt;&gt;2,INDEX(arrayformula(filter($L$2:$L363,$C$2:$C363&lt;&gt;"""",row($C$2:$C363)=max(if($C$2:$C363=C364,row($C$2:$C363),0)))) ,1),0),0))"),"")</f>
        <v/>
      </c>
      <c r="L364" s="147" t="str">
        <f t="shared" si="14"/>
        <v/>
      </c>
      <c r="M364" s="147" t="str">
        <f t="shared" si="15"/>
        <v/>
      </c>
      <c r="N364" s="147" t="str">
        <f t="shared" si="16"/>
        <v/>
      </c>
      <c r="O364" s="147" t="str">
        <f t="shared" si="6"/>
        <v/>
      </c>
      <c r="P364" s="150" t="str">
        <f t="shared" si="7"/>
        <v/>
      </c>
      <c r="Q364" s="151" t="str">
        <f>IFERROR(VLOOKUP(C364,Ativos!$A$1:$G2000,5,),)</f>
        <v/>
      </c>
    </row>
    <row r="365" ht="21.0" customHeight="1">
      <c r="A365" s="152"/>
      <c r="B365" s="160"/>
      <c r="C365" s="153"/>
      <c r="D365" s="169"/>
      <c r="E365" s="139"/>
      <c r="F365" s="141"/>
      <c r="G365" s="170" t="str">
        <f>IFERROR(__xludf.DUMMYFUNCTION("if($C365="""","""",iferror(if(row()&lt;&gt;2,INDEX(arrayformula(filter($H$2:$H364,$C$2:$C364&lt;&gt;"""",row($C$2:$C364)=max(if($C$2:$C364=C365,row($C$2:$C364),0)))) ,1),0),0))"),"")</f>
        <v/>
      </c>
      <c r="H365" s="170" t="str">
        <f t="shared" si="8"/>
        <v/>
      </c>
      <c r="I365" s="147" t="str">
        <f t="shared" si="1"/>
        <v/>
      </c>
      <c r="J365" s="147" t="str">
        <f t="shared" si="13"/>
        <v/>
      </c>
      <c r="K365" s="147" t="str">
        <f>IFERROR(__xludf.DUMMYFUNCTION("if(C365="""","""",iferror(if(row()&lt;&gt;2,INDEX(arrayformula(filter($L$2:$L364,$C$2:$C364&lt;&gt;"""",row($C$2:$C364)=max(if($C$2:$C364=C365,row($C$2:$C364),0)))) ,1),0),0))"),"")</f>
        <v/>
      </c>
      <c r="L365" s="147" t="str">
        <f t="shared" si="14"/>
        <v/>
      </c>
      <c r="M365" s="147" t="str">
        <f t="shared" si="15"/>
        <v/>
      </c>
      <c r="N365" s="147" t="str">
        <f t="shared" si="16"/>
        <v/>
      </c>
      <c r="O365" s="147" t="str">
        <f t="shared" si="6"/>
        <v/>
      </c>
      <c r="P365" s="150" t="str">
        <f t="shared" si="7"/>
        <v/>
      </c>
      <c r="Q365" s="151" t="str">
        <f>IFERROR(VLOOKUP(C365,Ativos!$A$1:$G2000,5,),)</f>
        <v/>
      </c>
    </row>
    <row r="366" ht="21.0" customHeight="1">
      <c r="A366" s="152"/>
      <c r="B366" s="160"/>
      <c r="C366" s="153"/>
      <c r="D366" s="169"/>
      <c r="E366" s="139"/>
      <c r="F366" s="141"/>
      <c r="G366" s="170" t="str">
        <f>IFERROR(__xludf.DUMMYFUNCTION("if($C366="""","""",iferror(if(row()&lt;&gt;2,INDEX(arrayformula(filter($H$2:$H365,$C$2:$C365&lt;&gt;"""",row($C$2:$C365)=max(if($C$2:$C365=C366,row($C$2:$C365),0)))) ,1),0),0))"),"")</f>
        <v/>
      </c>
      <c r="H366" s="170" t="str">
        <f t="shared" si="8"/>
        <v/>
      </c>
      <c r="I366" s="147" t="str">
        <f t="shared" si="1"/>
        <v/>
      </c>
      <c r="J366" s="147" t="str">
        <f t="shared" si="13"/>
        <v/>
      </c>
      <c r="K366" s="147" t="str">
        <f>IFERROR(__xludf.DUMMYFUNCTION("if(C366="""","""",iferror(if(row()&lt;&gt;2,INDEX(arrayformula(filter($L$2:$L365,$C$2:$C365&lt;&gt;"""",row($C$2:$C365)=max(if($C$2:$C365=C366,row($C$2:$C365),0)))) ,1),0),0))"),"")</f>
        <v/>
      </c>
      <c r="L366" s="147" t="str">
        <f t="shared" si="14"/>
        <v/>
      </c>
      <c r="M366" s="147" t="str">
        <f t="shared" si="15"/>
        <v/>
      </c>
      <c r="N366" s="147" t="str">
        <f t="shared" si="16"/>
        <v/>
      </c>
      <c r="O366" s="147" t="str">
        <f t="shared" si="6"/>
        <v/>
      </c>
      <c r="P366" s="150" t="str">
        <f t="shared" si="7"/>
        <v/>
      </c>
      <c r="Q366" s="151" t="str">
        <f>IFERROR(VLOOKUP(C366,Ativos!$A$1:$G2000,5,),)</f>
        <v/>
      </c>
    </row>
    <row r="367" ht="21.0" customHeight="1">
      <c r="A367" s="152"/>
      <c r="B367" s="160"/>
      <c r="C367" s="153"/>
      <c r="D367" s="169"/>
      <c r="E367" s="139"/>
      <c r="F367" s="141"/>
      <c r="G367" s="170" t="str">
        <f>IFERROR(__xludf.DUMMYFUNCTION("if($C367="""","""",iferror(if(row()&lt;&gt;2,INDEX(arrayformula(filter($H$2:$H366,$C$2:$C366&lt;&gt;"""",row($C$2:$C366)=max(if($C$2:$C366=C367,row($C$2:$C366),0)))) ,1),0),0))"),"")</f>
        <v/>
      </c>
      <c r="H367" s="170" t="str">
        <f t="shared" si="8"/>
        <v/>
      </c>
      <c r="I367" s="147" t="str">
        <f t="shared" si="1"/>
        <v/>
      </c>
      <c r="J367" s="147" t="str">
        <f t="shared" si="13"/>
        <v/>
      </c>
      <c r="K367" s="147" t="str">
        <f>IFERROR(__xludf.DUMMYFUNCTION("if(C367="""","""",iferror(if(row()&lt;&gt;2,INDEX(arrayformula(filter($L$2:$L366,$C$2:$C366&lt;&gt;"""",row($C$2:$C366)=max(if($C$2:$C366=C367,row($C$2:$C366),0)))) ,1),0),0))"),"")</f>
        <v/>
      </c>
      <c r="L367" s="147" t="str">
        <f t="shared" si="14"/>
        <v/>
      </c>
      <c r="M367" s="147" t="str">
        <f t="shared" si="15"/>
        <v/>
      </c>
      <c r="N367" s="147" t="str">
        <f t="shared" si="16"/>
        <v/>
      </c>
      <c r="O367" s="147" t="str">
        <f t="shared" si="6"/>
        <v/>
      </c>
      <c r="P367" s="150" t="str">
        <f t="shared" si="7"/>
        <v/>
      </c>
      <c r="Q367" s="151" t="str">
        <f>IFERROR(VLOOKUP(C367,Ativos!$A$1:$G2000,5,),)</f>
        <v/>
      </c>
    </row>
    <row r="368" ht="21.0" customHeight="1">
      <c r="A368" s="152"/>
      <c r="B368" s="160"/>
      <c r="C368" s="153"/>
      <c r="D368" s="169"/>
      <c r="E368" s="139"/>
      <c r="F368" s="141"/>
      <c r="G368" s="170" t="str">
        <f>IFERROR(__xludf.DUMMYFUNCTION("if($C368="""","""",iferror(if(row()&lt;&gt;2,INDEX(arrayformula(filter($H$2:$H367,$C$2:$C367&lt;&gt;"""",row($C$2:$C367)=max(if($C$2:$C367=C368,row($C$2:$C367),0)))) ,1),0),0))"),"")</f>
        <v/>
      </c>
      <c r="H368" s="170" t="str">
        <f t="shared" si="8"/>
        <v/>
      </c>
      <c r="I368" s="147" t="str">
        <f t="shared" si="1"/>
        <v/>
      </c>
      <c r="J368" s="147" t="str">
        <f t="shared" si="13"/>
        <v/>
      </c>
      <c r="K368" s="147" t="str">
        <f>IFERROR(__xludf.DUMMYFUNCTION("if(C368="""","""",iferror(if(row()&lt;&gt;2,INDEX(arrayformula(filter($L$2:$L367,$C$2:$C367&lt;&gt;"""",row($C$2:$C367)=max(if($C$2:$C367=C368,row($C$2:$C367),0)))) ,1),0),0))"),"")</f>
        <v/>
      </c>
      <c r="L368" s="147" t="str">
        <f t="shared" si="14"/>
        <v/>
      </c>
      <c r="M368" s="147" t="str">
        <f t="shared" si="15"/>
        <v/>
      </c>
      <c r="N368" s="147" t="str">
        <f t="shared" si="16"/>
        <v/>
      </c>
      <c r="O368" s="147" t="str">
        <f t="shared" si="6"/>
        <v/>
      </c>
      <c r="P368" s="150" t="str">
        <f t="shared" si="7"/>
        <v/>
      </c>
      <c r="Q368" s="151" t="str">
        <f>IFERROR(VLOOKUP(C368,Ativos!$A$1:$G2000,5,),)</f>
        <v/>
      </c>
    </row>
    <row r="369" ht="21.0" customHeight="1">
      <c r="A369" s="152"/>
      <c r="B369" s="160"/>
      <c r="C369" s="153"/>
      <c r="D369" s="169"/>
      <c r="E369" s="139"/>
      <c r="F369" s="141"/>
      <c r="G369" s="170" t="str">
        <f>IFERROR(__xludf.DUMMYFUNCTION("if($C369="""","""",iferror(if(row()&lt;&gt;2,INDEX(arrayformula(filter($H$2:$H368,$C$2:$C368&lt;&gt;"""",row($C$2:$C368)=max(if($C$2:$C368=C369,row($C$2:$C368),0)))) ,1),0),0))"),"")</f>
        <v/>
      </c>
      <c r="H369" s="170" t="str">
        <f t="shared" si="8"/>
        <v/>
      </c>
      <c r="I369" s="147" t="str">
        <f t="shared" si="1"/>
        <v/>
      </c>
      <c r="J369" s="147" t="str">
        <f t="shared" si="13"/>
        <v/>
      </c>
      <c r="K369" s="147" t="str">
        <f>IFERROR(__xludf.DUMMYFUNCTION("if(C369="""","""",iferror(if(row()&lt;&gt;2,INDEX(arrayformula(filter($L$2:$L368,$C$2:$C368&lt;&gt;"""",row($C$2:$C368)=max(if($C$2:$C368=C369,row($C$2:$C368),0)))) ,1),0),0))"),"")</f>
        <v/>
      </c>
      <c r="L369" s="147" t="str">
        <f t="shared" si="14"/>
        <v/>
      </c>
      <c r="M369" s="147" t="str">
        <f t="shared" si="15"/>
        <v/>
      </c>
      <c r="N369" s="147" t="str">
        <f t="shared" si="16"/>
        <v/>
      </c>
      <c r="O369" s="147" t="str">
        <f t="shared" si="6"/>
        <v/>
      </c>
      <c r="P369" s="150" t="str">
        <f t="shared" si="7"/>
        <v/>
      </c>
      <c r="Q369" s="151" t="str">
        <f>IFERROR(VLOOKUP(C369,Ativos!$A$1:$G2000,5,),)</f>
        <v/>
      </c>
    </row>
    <row r="370" ht="21.0" customHeight="1">
      <c r="A370" s="152"/>
      <c r="B370" s="160"/>
      <c r="C370" s="153"/>
      <c r="D370" s="169"/>
      <c r="E370" s="139"/>
      <c r="F370" s="141"/>
      <c r="G370" s="170" t="str">
        <f>IFERROR(__xludf.DUMMYFUNCTION("if($C370="""","""",iferror(if(row()&lt;&gt;2,INDEX(arrayformula(filter($H$2:$H369,$C$2:$C369&lt;&gt;"""",row($C$2:$C369)=max(if($C$2:$C369=C370,row($C$2:$C369),0)))) ,1),0),0))"),"")</f>
        <v/>
      </c>
      <c r="H370" s="170" t="str">
        <f t="shared" si="8"/>
        <v/>
      </c>
      <c r="I370" s="147" t="str">
        <f t="shared" si="1"/>
        <v/>
      </c>
      <c r="J370" s="147" t="str">
        <f t="shared" si="13"/>
        <v/>
      </c>
      <c r="K370" s="147" t="str">
        <f>IFERROR(__xludf.DUMMYFUNCTION("if(C370="""","""",iferror(if(row()&lt;&gt;2,INDEX(arrayformula(filter($L$2:$L369,$C$2:$C369&lt;&gt;"""",row($C$2:$C369)=max(if($C$2:$C369=C370,row($C$2:$C369),0)))) ,1),0),0))"),"")</f>
        <v/>
      </c>
      <c r="L370" s="147" t="str">
        <f t="shared" si="14"/>
        <v/>
      </c>
      <c r="M370" s="147" t="str">
        <f t="shared" si="15"/>
        <v/>
      </c>
      <c r="N370" s="147" t="str">
        <f t="shared" si="16"/>
        <v/>
      </c>
      <c r="O370" s="147" t="str">
        <f t="shared" si="6"/>
        <v/>
      </c>
      <c r="P370" s="150" t="str">
        <f t="shared" si="7"/>
        <v/>
      </c>
      <c r="Q370" s="151" t="str">
        <f>IFERROR(VLOOKUP(C370,Ativos!$A$1:$G2000,5,),)</f>
        <v/>
      </c>
    </row>
    <row r="371" ht="21.0" customHeight="1">
      <c r="A371" s="152"/>
      <c r="B371" s="160"/>
      <c r="C371" s="153"/>
      <c r="D371" s="169"/>
      <c r="E371" s="139"/>
      <c r="F371" s="141"/>
      <c r="G371" s="170" t="str">
        <f>IFERROR(__xludf.DUMMYFUNCTION("if($C371="""","""",iferror(if(row()&lt;&gt;2,INDEX(arrayformula(filter($H$2:$H370,$C$2:$C370&lt;&gt;"""",row($C$2:$C370)=max(if($C$2:$C370=C371,row($C$2:$C370),0)))) ,1),0),0))"),"")</f>
        <v/>
      </c>
      <c r="H371" s="170" t="str">
        <f t="shared" si="8"/>
        <v/>
      </c>
      <c r="I371" s="147" t="str">
        <f t="shared" si="1"/>
        <v/>
      </c>
      <c r="J371" s="147" t="str">
        <f t="shared" si="13"/>
        <v/>
      </c>
      <c r="K371" s="147" t="str">
        <f>IFERROR(__xludf.DUMMYFUNCTION("if(C371="""","""",iferror(if(row()&lt;&gt;2,INDEX(arrayformula(filter($L$2:$L370,$C$2:$C370&lt;&gt;"""",row($C$2:$C370)=max(if($C$2:$C370=C371,row($C$2:$C370),0)))) ,1),0),0))"),"")</f>
        <v/>
      </c>
      <c r="L371" s="147" t="str">
        <f t="shared" si="14"/>
        <v/>
      </c>
      <c r="M371" s="147" t="str">
        <f t="shared" si="15"/>
        <v/>
      </c>
      <c r="N371" s="147" t="str">
        <f t="shared" si="16"/>
        <v/>
      </c>
      <c r="O371" s="147" t="str">
        <f t="shared" si="6"/>
        <v/>
      </c>
      <c r="P371" s="150" t="str">
        <f t="shared" si="7"/>
        <v/>
      </c>
      <c r="Q371" s="151" t="str">
        <f>IFERROR(VLOOKUP(C371,Ativos!$A$1:$G2000,5,),)</f>
        <v/>
      </c>
    </row>
    <row r="372" ht="21.0" customHeight="1">
      <c r="A372" s="152"/>
      <c r="B372" s="160"/>
      <c r="C372" s="153"/>
      <c r="D372" s="169"/>
      <c r="E372" s="139"/>
      <c r="F372" s="141"/>
      <c r="G372" s="170" t="str">
        <f>IFERROR(__xludf.DUMMYFUNCTION("if($C372="""","""",iferror(if(row()&lt;&gt;2,INDEX(arrayformula(filter($H$2:$H371,$C$2:$C371&lt;&gt;"""",row($C$2:$C371)=max(if($C$2:$C371=C372,row($C$2:$C371),0)))) ,1),0),0))"),"")</f>
        <v/>
      </c>
      <c r="H372" s="170" t="str">
        <f t="shared" si="8"/>
        <v/>
      </c>
      <c r="I372" s="147" t="str">
        <f t="shared" si="1"/>
        <v/>
      </c>
      <c r="J372" s="147" t="str">
        <f t="shared" si="13"/>
        <v/>
      </c>
      <c r="K372" s="147" t="str">
        <f>IFERROR(__xludf.DUMMYFUNCTION("if(C372="""","""",iferror(if(row()&lt;&gt;2,INDEX(arrayformula(filter($L$2:$L371,$C$2:$C371&lt;&gt;"""",row($C$2:$C371)=max(if($C$2:$C371=C372,row($C$2:$C371),0)))) ,1),0),0))"),"")</f>
        <v/>
      </c>
      <c r="L372" s="147" t="str">
        <f t="shared" si="14"/>
        <v/>
      </c>
      <c r="M372" s="147" t="str">
        <f t="shared" si="15"/>
        <v/>
      </c>
      <c r="N372" s="147" t="str">
        <f t="shared" si="16"/>
        <v/>
      </c>
      <c r="O372" s="147" t="str">
        <f t="shared" si="6"/>
        <v/>
      </c>
      <c r="P372" s="150" t="str">
        <f t="shared" si="7"/>
        <v/>
      </c>
      <c r="Q372" s="151" t="str">
        <f>IFERROR(VLOOKUP(C372,Ativos!$A$1:$G2000,5,),)</f>
        <v/>
      </c>
    </row>
    <row r="373" ht="21.0" customHeight="1">
      <c r="A373" s="152"/>
      <c r="B373" s="160"/>
      <c r="C373" s="153"/>
      <c r="D373" s="169"/>
      <c r="E373" s="139"/>
      <c r="F373" s="141"/>
      <c r="G373" s="170" t="str">
        <f>IFERROR(__xludf.DUMMYFUNCTION("if($C373="""","""",iferror(if(row()&lt;&gt;2,INDEX(arrayformula(filter($H$2:$H372,$C$2:$C372&lt;&gt;"""",row($C$2:$C372)=max(if($C$2:$C372=C373,row($C$2:$C372),0)))) ,1),0),0))"),"")</f>
        <v/>
      </c>
      <c r="H373" s="170" t="str">
        <f t="shared" si="8"/>
        <v/>
      </c>
      <c r="I373" s="147" t="str">
        <f t="shared" si="1"/>
        <v/>
      </c>
      <c r="J373" s="147" t="str">
        <f t="shared" si="13"/>
        <v/>
      </c>
      <c r="K373" s="147" t="str">
        <f>IFERROR(__xludf.DUMMYFUNCTION("if(C373="""","""",iferror(if(row()&lt;&gt;2,INDEX(arrayformula(filter($L$2:$L372,$C$2:$C372&lt;&gt;"""",row($C$2:$C372)=max(if($C$2:$C372=C373,row($C$2:$C372),0)))) ,1),0),0))"),"")</f>
        <v/>
      </c>
      <c r="L373" s="147" t="str">
        <f t="shared" si="14"/>
        <v/>
      </c>
      <c r="M373" s="147" t="str">
        <f t="shared" si="15"/>
        <v/>
      </c>
      <c r="N373" s="147" t="str">
        <f t="shared" si="16"/>
        <v/>
      </c>
      <c r="O373" s="147" t="str">
        <f t="shared" si="6"/>
        <v/>
      </c>
      <c r="P373" s="150" t="str">
        <f t="shared" si="7"/>
        <v/>
      </c>
      <c r="Q373" s="151" t="str">
        <f>IFERROR(VLOOKUP(C373,Ativos!$A$1:$G2000,5,),)</f>
        <v/>
      </c>
    </row>
    <row r="374" ht="21.0" customHeight="1">
      <c r="A374" s="152"/>
      <c r="B374" s="160"/>
      <c r="C374" s="153"/>
      <c r="D374" s="169"/>
      <c r="E374" s="139"/>
      <c r="F374" s="141"/>
      <c r="G374" s="170" t="str">
        <f>IFERROR(__xludf.DUMMYFUNCTION("if($C374="""","""",iferror(if(row()&lt;&gt;2,INDEX(arrayformula(filter($H$2:$H373,$C$2:$C373&lt;&gt;"""",row($C$2:$C373)=max(if($C$2:$C373=C374,row($C$2:$C373),0)))) ,1),0),0))"),"")</f>
        <v/>
      </c>
      <c r="H374" s="170" t="str">
        <f t="shared" si="8"/>
        <v/>
      </c>
      <c r="I374" s="147" t="str">
        <f t="shared" si="1"/>
        <v/>
      </c>
      <c r="J374" s="147" t="str">
        <f t="shared" si="13"/>
        <v/>
      </c>
      <c r="K374" s="147" t="str">
        <f>IFERROR(__xludf.DUMMYFUNCTION("if(C374="""","""",iferror(if(row()&lt;&gt;2,INDEX(arrayformula(filter($L$2:$L373,$C$2:$C373&lt;&gt;"""",row($C$2:$C373)=max(if($C$2:$C373=C374,row($C$2:$C373),0)))) ,1),0),0))"),"")</f>
        <v/>
      </c>
      <c r="L374" s="147" t="str">
        <f t="shared" si="14"/>
        <v/>
      </c>
      <c r="M374" s="147" t="str">
        <f t="shared" si="15"/>
        <v/>
      </c>
      <c r="N374" s="147" t="str">
        <f t="shared" si="16"/>
        <v/>
      </c>
      <c r="O374" s="147" t="str">
        <f t="shared" si="6"/>
        <v/>
      </c>
      <c r="P374" s="150" t="str">
        <f t="shared" si="7"/>
        <v/>
      </c>
      <c r="Q374" s="151" t="str">
        <f>IFERROR(VLOOKUP(C374,Ativos!$A$1:$G2000,5,),)</f>
        <v/>
      </c>
    </row>
    <row r="375" ht="21.0" customHeight="1">
      <c r="A375" s="152"/>
      <c r="B375" s="160"/>
      <c r="C375" s="153"/>
      <c r="D375" s="169"/>
      <c r="E375" s="139"/>
      <c r="F375" s="141"/>
      <c r="G375" s="170" t="str">
        <f>IFERROR(__xludf.DUMMYFUNCTION("if($C375="""","""",iferror(if(row()&lt;&gt;2,INDEX(arrayformula(filter($H$2:$H374,$C$2:$C374&lt;&gt;"""",row($C$2:$C374)=max(if($C$2:$C374=C375,row($C$2:$C374),0)))) ,1),0),0))"),"")</f>
        <v/>
      </c>
      <c r="H375" s="170" t="str">
        <f t="shared" si="8"/>
        <v/>
      </c>
      <c r="I375" s="147" t="str">
        <f t="shared" si="1"/>
        <v/>
      </c>
      <c r="J375" s="147" t="str">
        <f t="shared" si="13"/>
        <v/>
      </c>
      <c r="K375" s="147" t="str">
        <f>IFERROR(__xludf.DUMMYFUNCTION("if(C375="""","""",iferror(if(row()&lt;&gt;2,INDEX(arrayformula(filter($L$2:$L374,$C$2:$C374&lt;&gt;"""",row($C$2:$C374)=max(if($C$2:$C374=C375,row($C$2:$C374),0)))) ,1),0),0))"),"")</f>
        <v/>
      </c>
      <c r="L375" s="147" t="str">
        <f t="shared" si="14"/>
        <v/>
      </c>
      <c r="M375" s="147" t="str">
        <f t="shared" si="15"/>
        <v/>
      </c>
      <c r="N375" s="147" t="str">
        <f t="shared" si="16"/>
        <v/>
      </c>
      <c r="O375" s="147" t="str">
        <f t="shared" si="6"/>
        <v/>
      </c>
      <c r="P375" s="150" t="str">
        <f t="shared" si="7"/>
        <v/>
      </c>
      <c r="Q375" s="151" t="str">
        <f>IFERROR(VLOOKUP(C375,Ativos!$A$1:$G2000,5,),)</f>
        <v/>
      </c>
    </row>
    <row r="376" ht="21.0" customHeight="1">
      <c r="A376" s="152"/>
      <c r="B376" s="160"/>
      <c r="C376" s="153"/>
      <c r="D376" s="169"/>
      <c r="E376" s="139"/>
      <c r="F376" s="141"/>
      <c r="G376" s="170" t="str">
        <f>IFERROR(__xludf.DUMMYFUNCTION("if($C376="""","""",iferror(if(row()&lt;&gt;2,INDEX(arrayformula(filter($H$2:$H375,$C$2:$C375&lt;&gt;"""",row($C$2:$C375)=max(if($C$2:$C375=C376,row($C$2:$C375),0)))) ,1),0),0))"),"")</f>
        <v/>
      </c>
      <c r="H376" s="170" t="str">
        <f t="shared" si="8"/>
        <v/>
      </c>
      <c r="I376" s="147" t="str">
        <f t="shared" si="1"/>
        <v/>
      </c>
      <c r="J376" s="147" t="str">
        <f t="shared" si="13"/>
        <v/>
      </c>
      <c r="K376" s="147" t="str">
        <f>IFERROR(__xludf.DUMMYFUNCTION("if(C376="""","""",iferror(if(row()&lt;&gt;2,INDEX(arrayformula(filter($L$2:$L375,$C$2:$C375&lt;&gt;"""",row($C$2:$C375)=max(if($C$2:$C375=C376,row($C$2:$C375),0)))) ,1),0),0))"),"")</f>
        <v/>
      </c>
      <c r="L376" s="147" t="str">
        <f t="shared" si="14"/>
        <v/>
      </c>
      <c r="M376" s="147" t="str">
        <f t="shared" si="15"/>
        <v/>
      </c>
      <c r="N376" s="147" t="str">
        <f t="shared" si="16"/>
        <v/>
      </c>
      <c r="O376" s="147" t="str">
        <f t="shared" si="6"/>
        <v/>
      </c>
      <c r="P376" s="150" t="str">
        <f t="shared" si="7"/>
        <v/>
      </c>
      <c r="Q376" s="151" t="str">
        <f>IFERROR(VLOOKUP(C376,Ativos!$A$1:$G2000,5,),)</f>
        <v/>
      </c>
    </row>
    <row r="377" ht="21.0" customHeight="1">
      <c r="A377" s="152"/>
      <c r="B377" s="160"/>
      <c r="C377" s="153"/>
      <c r="D377" s="169"/>
      <c r="E377" s="139"/>
      <c r="F377" s="141"/>
      <c r="G377" s="170" t="str">
        <f>IFERROR(__xludf.DUMMYFUNCTION("if($C377="""","""",iferror(if(row()&lt;&gt;2,INDEX(arrayformula(filter($H$2:$H376,$C$2:$C376&lt;&gt;"""",row($C$2:$C376)=max(if($C$2:$C376=C377,row($C$2:$C376),0)))) ,1),0),0))"),"")</f>
        <v/>
      </c>
      <c r="H377" s="170" t="str">
        <f t="shared" si="8"/>
        <v/>
      </c>
      <c r="I377" s="147" t="str">
        <f t="shared" si="1"/>
        <v/>
      </c>
      <c r="J377" s="147" t="str">
        <f t="shared" si="13"/>
        <v/>
      </c>
      <c r="K377" s="147" t="str">
        <f>IFERROR(__xludf.DUMMYFUNCTION("if(C377="""","""",iferror(if(row()&lt;&gt;2,INDEX(arrayformula(filter($L$2:$L376,$C$2:$C376&lt;&gt;"""",row($C$2:$C376)=max(if($C$2:$C376=C377,row($C$2:$C376),0)))) ,1),0),0))"),"")</f>
        <v/>
      </c>
      <c r="L377" s="147" t="str">
        <f t="shared" si="14"/>
        <v/>
      </c>
      <c r="M377" s="147" t="str">
        <f t="shared" si="15"/>
        <v/>
      </c>
      <c r="N377" s="147" t="str">
        <f t="shared" si="16"/>
        <v/>
      </c>
      <c r="O377" s="147" t="str">
        <f t="shared" si="6"/>
        <v/>
      </c>
      <c r="P377" s="150" t="str">
        <f t="shared" si="7"/>
        <v/>
      </c>
      <c r="Q377" s="151" t="str">
        <f>IFERROR(VLOOKUP(C377,Ativos!$A$1:$G2000,5,),)</f>
        <v/>
      </c>
    </row>
    <row r="378" ht="21.0" customHeight="1">
      <c r="A378" s="152"/>
      <c r="B378" s="160"/>
      <c r="C378" s="153"/>
      <c r="D378" s="169"/>
      <c r="E378" s="139"/>
      <c r="F378" s="141"/>
      <c r="G378" s="170" t="str">
        <f>IFERROR(__xludf.DUMMYFUNCTION("if($C378="""","""",iferror(if(row()&lt;&gt;2,INDEX(arrayformula(filter($H$2:$H377,$C$2:$C377&lt;&gt;"""",row($C$2:$C377)=max(if($C$2:$C377=C378,row($C$2:$C377),0)))) ,1),0),0))"),"")</f>
        <v/>
      </c>
      <c r="H378" s="170" t="str">
        <f t="shared" si="8"/>
        <v/>
      </c>
      <c r="I378" s="147" t="str">
        <f t="shared" si="1"/>
        <v/>
      </c>
      <c r="J378" s="147" t="str">
        <f t="shared" si="13"/>
        <v/>
      </c>
      <c r="K378" s="147" t="str">
        <f>IFERROR(__xludf.DUMMYFUNCTION("if(C378="""","""",iferror(if(row()&lt;&gt;2,INDEX(arrayformula(filter($L$2:$L377,$C$2:$C377&lt;&gt;"""",row($C$2:$C377)=max(if($C$2:$C377=C378,row($C$2:$C377),0)))) ,1),0),0))"),"")</f>
        <v/>
      </c>
      <c r="L378" s="147" t="str">
        <f t="shared" si="14"/>
        <v/>
      </c>
      <c r="M378" s="147" t="str">
        <f t="shared" si="15"/>
        <v/>
      </c>
      <c r="N378" s="147" t="str">
        <f t="shared" si="16"/>
        <v/>
      </c>
      <c r="O378" s="147" t="str">
        <f t="shared" si="6"/>
        <v/>
      </c>
      <c r="P378" s="150" t="str">
        <f t="shared" si="7"/>
        <v/>
      </c>
      <c r="Q378" s="151" t="str">
        <f>IFERROR(VLOOKUP(C378,Ativos!$A$1:$G2000,5,),)</f>
        <v/>
      </c>
    </row>
    <row r="379" ht="21.0" customHeight="1">
      <c r="A379" s="152"/>
      <c r="B379" s="160"/>
      <c r="C379" s="153"/>
      <c r="D379" s="169"/>
      <c r="E379" s="139"/>
      <c r="F379" s="141"/>
      <c r="G379" s="170" t="str">
        <f>IFERROR(__xludf.DUMMYFUNCTION("if($C379="""","""",iferror(if(row()&lt;&gt;2,INDEX(arrayformula(filter($H$2:$H378,$C$2:$C378&lt;&gt;"""",row($C$2:$C378)=max(if($C$2:$C378=C379,row($C$2:$C378),0)))) ,1),0),0))"),"")</f>
        <v/>
      </c>
      <c r="H379" s="170" t="str">
        <f t="shared" si="8"/>
        <v/>
      </c>
      <c r="I379" s="147" t="str">
        <f t="shared" si="1"/>
        <v/>
      </c>
      <c r="J379" s="147" t="str">
        <f t="shared" si="13"/>
        <v/>
      </c>
      <c r="K379" s="147" t="str">
        <f>IFERROR(__xludf.DUMMYFUNCTION("if(C379="""","""",iferror(if(row()&lt;&gt;2,INDEX(arrayformula(filter($L$2:$L378,$C$2:$C378&lt;&gt;"""",row($C$2:$C378)=max(if($C$2:$C378=C379,row($C$2:$C378),0)))) ,1),0),0))"),"")</f>
        <v/>
      </c>
      <c r="L379" s="147" t="str">
        <f t="shared" si="14"/>
        <v/>
      </c>
      <c r="M379" s="147" t="str">
        <f t="shared" si="15"/>
        <v/>
      </c>
      <c r="N379" s="147" t="str">
        <f t="shared" si="16"/>
        <v/>
      </c>
      <c r="O379" s="147" t="str">
        <f t="shared" si="6"/>
        <v/>
      </c>
      <c r="P379" s="150" t="str">
        <f t="shared" si="7"/>
        <v/>
      </c>
      <c r="Q379" s="151" t="str">
        <f>IFERROR(VLOOKUP(C379,Ativos!$A$1:$G2000,5,),)</f>
        <v/>
      </c>
    </row>
    <row r="380" ht="21.0" customHeight="1">
      <c r="A380" s="152"/>
      <c r="B380" s="160"/>
      <c r="C380" s="153"/>
      <c r="D380" s="169"/>
      <c r="E380" s="139"/>
      <c r="F380" s="141"/>
      <c r="G380" s="170" t="str">
        <f>IFERROR(__xludf.DUMMYFUNCTION("if($C380="""","""",iferror(if(row()&lt;&gt;2,INDEX(arrayformula(filter($H$2:$H379,$C$2:$C379&lt;&gt;"""",row($C$2:$C379)=max(if($C$2:$C379=C380,row($C$2:$C379),0)))) ,1),0),0))"),"")</f>
        <v/>
      </c>
      <c r="H380" s="170" t="str">
        <f t="shared" si="8"/>
        <v/>
      </c>
      <c r="I380" s="147" t="str">
        <f t="shared" si="1"/>
        <v/>
      </c>
      <c r="J380" s="147" t="str">
        <f t="shared" si="13"/>
        <v/>
      </c>
      <c r="K380" s="147" t="str">
        <f>IFERROR(__xludf.DUMMYFUNCTION("if(C380="""","""",iferror(if(row()&lt;&gt;2,INDEX(arrayformula(filter($L$2:$L379,$C$2:$C379&lt;&gt;"""",row($C$2:$C379)=max(if($C$2:$C379=C380,row($C$2:$C379),0)))) ,1),0),0))"),"")</f>
        <v/>
      </c>
      <c r="L380" s="147" t="str">
        <f t="shared" si="14"/>
        <v/>
      </c>
      <c r="M380" s="147" t="str">
        <f t="shared" si="15"/>
        <v/>
      </c>
      <c r="N380" s="147" t="str">
        <f t="shared" si="16"/>
        <v/>
      </c>
      <c r="O380" s="147" t="str">
        <f t="shared" si="6"/>
        <v/>
      </c>
      <c r="P380" s="150" t="str">
        <f t="shared" si="7"/>
        <v/>
      </c>
      <c r="Q380" s="151" t="str">
        <f>IFERROR(VLOOKUP(C380,Ativos!$A$1:$G2000,5,),)</f>
        <v/>
      </c>
    </row>
    <row r="381" ht="21.0" customHeight="1">
      <c r="A381" s="152"/>
      <c r="B381" s="160"/>
      <c r="C381" s="153"/>
      <c r="D381" s="169"/>
      <c r="E381" s="139"/>
      <c r="F381" s="141"/>
      <c r="G381" s="170" t="str">
        <f>IFERROR(__xludf.DUMMYFUNCTION("if($C381="""","""",iferror(if(row()&lt;&gt;2,INDEX(arrayformula(filter($H$2:$H380,$C$2:$C380&lt;&gt;"""",row($C$2:$C380)=max(if($C$2:$C380=C381,row($C$2:$C380),0)))) ,1),0),0))"),"")</f>
        <v/>
      </c>
      <c r="H381" s="170" t="str">
        <f t="shared" si="8"/>
        <v/>
      </c>
      <c r="I381" s="147" t="str">
        <f t="shared" si="1"/>
        <v/>
      </c>
      <c r="J381" s="147" t="str">
        <f t="shared" si="13"/>
        <v/>
      </c>
      <c r="K381" s="147" t="str">
        <f>IFERROR(__xludf.DUMMYFUNCTION("if(C381="""","""",iferror(if(row()&lt;&gt;2,INDEX(arrayformula(filter($L$2:$L380,$C$2:$C380&lt;&gt;"""",row($C$2:$C380)=max(if($C$2:$C380=C381,row($C$2:$C380),0)))) ,1),0),0))"),"")</f>
        <v/>
      </c>
      <c r="L381" s="147" t="str">
        <f t="shared" si="14"/>
        <v/>
      </c>
      <c r="M381" s="147" t="str">
        <f t="shared" si="15"/>
        <v/>
      </c>
      <c r="N381" s="147" t="str">
        <f t="shared" si="16"/>
        <v/>
      </c>
      <c r="O381" s="147" t="str">
        <f t="shared" si="6"/>
        <v/>
      </c>
      <c r="P381" s="150" t="str">
        <f t="shared" si="7"/>
        <v/>
      </c>
      <c r="Q381" s="151" t="str">
        <f>IFERROR(VLOOKUP(C381,Ativos!$A$1:$G2000,5,),)</f>
        <v/>
      </c>
    </row>
    <row r="382" ht="21.0" customHeight="1">
      <c r="A382" s="152"/>
      <c r="B382" s="160"/>
      <c r="C382" s="153"/>
      <c r="D382" s="169"/>
      <c r="E382" s="139"/>
      <c r="F382" s="141"/>
      <c r="G382" s="170" t="str">
        <f>IFERROR(__xludf.DUMMYFUNCTION("if($C382="""","""",iferror(if(row()&lt;&gt;2,INDEX(arrayformula(filter($H$2:$H381,$C$2:$C381&lt;&gt;"""",row($C$2:$C381)=max(if($C$2:$C381=C382,row($C$2:$C381),0)))) ,1),0),0))"),"")</f>
        <v/>
      </c>
      <c r="H382" s="170" t="str">
        <f t="shared" si="8"/>
        <v/>
      </c>
      <c r="I382" s="147" t="str">
        <f t="shared" si="1"/>
        <v/>
      </c>
      <c r="J382" s="147" t="str">
        <f t="shared" si="13"/>
        <v/>
      </c>
      <c r="K382" s="147" t="str">
        <f>IFERROR(__xludf.DUMMYFUNCTION("if(C382="""","""",iferror(if(row()&lt;&gt;2,INDEX(arrayformula(filter($L$2:$L381,$C$2:$C381&lt;&gt;"""",row($C$2:$C381)=max(if($C$2:$C381=C382,row($C$2:$C381),0)))) ,1),0),0))"),"")</f>
        <v/>
      </c>
      <c r="L382" s="147" t="str">
        <f t="shared" si="14"/>
        <v/>
      </c>
      <c r="M382" s="147" t="str">
        <f t="shared" si="15"/>
        <v/>
      </c>
      <c r="N382" s="147" t="str">
        <f t="shared" si="16"/>
        <v/>
      </c>
      <c r="O382" s="147" t="str">
        <f t="shared" si="6"/>
        <v/>
      </c>
      <c r="P382" s="150" t="str">
        <f t="shared" si="7"/>
        <v/>
      </c>
      <c r="Q382" s="151" t="str">
        <f>IFERROR(VLOOKUP(C382,Ativos!$A$1:$G2000,5,),)</f>
        <v/>
      </c>
    </row>
    <row r="383" ht="21.0" customHeight="1">
      <c r="A383" s="152"/>
      <c r="B383" s="160"/>
      <c r="C383" s="153"/>
      <c r="D383" s="169"/>
      <c r="E383" s="139"/>
      <c r="F383" s="141"/>
      <c r="G383" s="170" t="str">
        <f>IFERROR(__xludf.DUMMYFUNCTION("if($C383="""","""",iferror(if(row()&lt;&gt;2,INDEX(arrayformula(filter($H$2:$H382,$C$2:$C382&lt;&gt;"""",row($C$2:$C382)=max(if($C$2:$C382=C383,row($C$2:$C382),0)))) ,1),0),0))"),"")</f>
        <v/>
      </c>
      <c r="H383" s="170" t="str">
        <f t="shared" si="8"/>
        <v/>
      </c>
      <c r="I383" s="147" t="str">
        <f t="shared" si="1"/>
        <v/>
      </c>
      <c r="J383" s="147" t="str">
        <f t="shared" si="13"/>
        <v/>
      </c>
      <c r="K383" s="147" t="str">
        <f>IFERROR(__xludf.DUMMYFUNCTION("if(C383="""","""",iferror(if(row()&lt;&gt;2,INDEX(arrayformula(filter($L$2:$L382,$C$2:$C382&lt;&gt;"""",row($C$2:$C382)=max(if($C$2:$C382=C383,row($C$2:$C382),0)))) ,1),0),0))"),"")</f>
        <v/>
      </c>
      <c r="L383" s="147" t="str">
        <f t="shared" si="14"/>
        <v/>
      </c>
      <c r="M383" s="147" t="str">
        <f t="shared" si="15"/>
        <v/>
      </c>
      <c r="N383" s="147" t="str">
        <f t="shared" si="16"/>
        <v/>
      </c>
      <c r="O383" s="147" t="str">
        <f t="shared" si="6"/>
        <v/>
      </c>
      <c r="P383" s="150" t="str">
        <f t="shared" si="7"/>
        <v/>
      </c>
      <c r="Q383" s="151" t="str">
        <f>IFERROR(VLOOKUP(C383,Ativos!$A$1:$G2000,5,),)</f>
        <v/>
      </c>
    </row>
    <row r="384" ht="21.0" customHeight="1">
      <c r="A384" s="152"/>
      <c r="B384" s="160"/>
      <c r="C384" s="153"/>
      <c r="D384" s="169"/>
      <c r="E384" s="139"/>
      <c r="F384" s="141"/>
      <c r="G384" s="170" t="str">
        <f>IFERROR(__xludf.DUMMYFUNCTION("if($C384="""","""",iferror(if(row()&lt;&gt;2,INDEX(arrayformula(filter($H$2:$H383,$C$2:$C383&lt;&gt;"""",row($C$2:$C383)=max(if($C$2:$C383=C384,row($C$2:$C383),0)))) ,1),0),0))"),"")</f>
        <v/>
      </c>
      <c r="H384" s="170" t="str">
        <f t="shared" si="8"/>
        <v/>
      </c>
      <c r="I384" s="147" t="str">
        <f t="shared" si="1"/>
        <v/>
      </c>
      <c r="J384" s="147" t="str">
        <f t="shared" si="13"/>
        <v/>
      </c>
      <c r="K384" s="147" t="str">
        <f>IFERROR(__xludf.DUMMYFUNCTION("if(C384="""","""",iferror(if(row()&lt;&gt;2,INDEX(arrayformula(filter($L$2:$L383,$C$2:$C383&lt;&gt;"""",row($C$2:$C383)=max(if($C$2:$C383=C384,row($C$2:$C383),0)))) ,1),0),0))"),"")</f>
        <v/>
      </c>
      <c r="L384" s="147" t="str">
        <f t="shared" si="14"/>
        <v/>
      </c>
      <c r="M384" s="147" t="str">
        <f t="shared" si="15"/>
        <v/>
      </c>
      <c r="N384" s="147" t="str">
        <f t="shared" si="16"/>
        <v/>
      </c>
      <c r="O384" s="147" t="str">
        <f t="shared" si="6"/>
        <v/>
      </c>
      <c r="P384" s="150" t="str">
        <f t="shared" si="7"/>
        <v/>
      </c>
      <c r="Q384" s="151" t="str">
        <f>IFERROR(VLOOKUP(C384,Ativos!$A$1:$G2000,5,),)</f>
        <v/>
      </c>
    </row>
    <row r="385" ht="21.0" customHeight="1">
      <c r="A385" s="152"/>
      <c r="B385" s="160"/>
      <c r="C385" s="153"/>
      <c r="D385" s="169"/>
      <c r="E385" s="139"/>
      <c r="F385" s="141"/>
      <c r="G385" s="170" t="str">
        <f>IFERROR(__xludf.DUMMYFUNCTION("if($C385="""","""",iferror(if(row()&lt;&gt;2,INDEX(arrayformula(filter($H$2:$H384,$C$2:$C384&lt;&gt;"""",row($C$2:$C384)=max(if($C$2:$C384=C385,row($C$2:$C384),0)))) ,1),0),0))"),"")</f>
        <v/>
      </c>
      <c r="H385" s="170" t="str">
        <f t="shared" si="8"/>
        <v/>
      </c>
      <c r="I385" s="147" t="str">
        <f t="shared" si="1"/>
        <v/>
      </c>
      <c r="J385" s="147" t="str">
        <f t="shared" si="13"/>
        <v/>
      </c>
      <c r="K385" s="147" t="str">
        <f>IFERROR(__xludf.DUMMYFUNCTION("if(C385="""","""",iferror(if(row()&lt;&gt;2,INDEX(arrayformula(filter($L$2:$L384,$C$2:$C384&lt;&gt;"""",row($C$2:$C384)=max(if($C$2:$C384=C385,row($C$2:$C384),0)))) ,1),0),0))"),"")</f>
        <v/>
      </c>
      <c r="L385" s="147" t="str">
        <f t="shared" si="14"/>
        <v/>
      </c>
      <c r="M385" s="147" t="str">
        <f t="shared" si="15"/>
        <v/>
      </c>
      <c r="N385" s="147" t="str">
        <f t="shared" si="16"/>
        <v/>
      </c>
      <c r="O385" s="147" t="str">
        <f t="shared" si="6"/>
        <v/>
      </c>
      <c r="P385" s="150" t="str">
        <f t="shared" si="7"/>
        <v/>
      </c>
      <c r="Q385" s="151" t="str">
        <f>IFERROR(VLOOKUP(C385,Ativos!$A$1:$G2000,5,),)</f>
        <v/>
      </c>
    </row>
    <row r="386" ht="21.0" customHeight="1">
      <c r="A386" s="152"/>
      <c r="B386" s="160"/>
      <c r="C386" s="153"/>
      <c r="D386" s="169"/>
      <c r="E386" s="139"/>
      <c r="F386" s="141"/>
      <c r="G386" s="170" t="str">
        <f>IFERROR(__xludf.DUMMYFUNCTION("if($C386="""","""",iferror(if(row()&lt;&gt;2,INDEX(arrayformula(filter($H$2:$H385,$C$2:$C385&lt;&gt;"""",row($C$2:$C385)=max(if($C$2:$C385=C386,row($C$2:$C385),0)))) ,1),0),0))"),"")</f>
        <v/>
      </c>
      <c r="H386" s="170" t="str">
        <f t="shared" si="8"/>
        <v/>
      </c>
      <c r="I386" s="147" t="str">
        <f t="shared" si="1"/>
        <v/>
      </c>
      <c r="J386" s="147" t="str">
        <f t="shared" si="13"/>
        <v/>
      </c>
      <c r="K386" s="147" t="str">
        <f>IFERROR(__xludf.DUMMYFUNCTION("if(C386="""","""",iferror(if(row()&lt;&gt;2,INDEX(arrayformula(filter($L$2:$L385,$C$2:$C385&lt;&gt;"""",row($C$2:$C385)=max(if($C$2:$C385=C386,row($C$2:$C385),0)))) ,1),0),0))"),"")</f>
        <v/>
      </c>
      <c r="L386" s="147" t="str">
        <f t="shared" si="14"/>
        <v/>
      </c>
      <c r="M386" s="147" t="str">
        <f t="shared" si="15"/>
        <v/>
      </c>
      <c r="N386" s="147" t="str">
        <f t="shared" si="16"/>
        <v/>
      </c>
      <c r="O386" s="147" t="str">
        <f t="shared" si="6"/>
        <v/>
      </c>
      <c r="P386" s="150" t="str">
        <f t="shared" si="7"/>
        <v/>
      </c>
      <c r="Q386" s="151" t="str">
        <f>IFERROR(VLOOKUP(C386,Ativos!$A$1:$G2000,5,),)</f>
        <v/>
      </c>
    </row>
    <row r="387" ht="21.0" customHeight="1">
      <c r="A387" s="152"/>
      <c r="B387" s="160"/>
      <c r="C387" s="153"/>
      <c r="D387" s="169"/>
      <c r="E387" s="139"/>
      <c r="F387" s="141"/>
      <c r="G387" s="170" t="str">
        <f>IFERROR(__xludf.DUMMYFUNCTION("if($C387="""","""",iferror(if(row()&lt;&gt;2,INDEX(arrayformula(filter($H$2:$H386,$C$2:$C386&lt;&gt;"""",row($C$2:$C386)=max(if($C$2:$C386=C387,row($C$2:$C386),0)))) ,1),0),0))"),"")</f>
        <v/>
      </c>
      <c r="H387" s="170" t="str">
        <f t="shared" si="8"/>
        <v/>
      </c>
      <c r="I387" s="147" t="str">
        <f t="shared" si="1"/>
        <v/>
      </c>
      <c r="J387" s="147" t="str">
        <f t="shared" si="13"/>
        <v/>
      </c>
      <c r="K387" s="147" t="str">
        <f>IFERROR(__xludf.DUMMYFUNCTION("if(C387="""","""",iferror(if(row()&lt;&gt;2,INDEX(arrayformula(filter($L$2:$L386,$C$2:$C386&lt;&gt;"""",row($C$2:$C386)=max(if($C$2:$C386=C387,row($C$2:$C386),0)))) ,1),0),0))"),"")</f>
        <v/>
      </c>
      <c r="L387" s="147" t="str">
        <f t="shared" si="14"/>
        <v/>
      </c>
      <c r="M387" s="147" t="str">
        <f t="shared" si="15"/>
        <v/>
      </c>
      <c r="N387" s="147" t="str">
        <f t="shared" si="16"/>
        <v/>
      </c>
      <c r="O387" s="147" t="str">
        <f t="shared" si="6"/>
        <v/>
      </c>
      <c r="P387" s="150" t="str">
        <f t="shared" si="7"/>
        <v/>
      </c>
      <c r="Q387" s="151" t="str">
        <f>IFERROR(VLOOKUP(C387,Ativos!$A$1:$G2000,5,),)</f>
        <v/>
      </c>
    </row>
    <row r="388" ht="21.0" customHeight="1">
      <c r="A388" s="152"/>
      <c r="B388" s="160"/>
      <c r="C388" s="153"/>
      <c r="D388" s="169"/>
      <c r="E388" s="139"/>
      <c r="F388" s="141"/>
      <c r="G388" s="170" t="str">
        <f>IFERROR(__xludf.DUMMYFUNCTION("if($C388="""","""",iferror(if(row()&lt;&gt;2,INDEX(arrayformula(filter($H$2:$H387,$C$2:$C387&lt;&gt;"""",row($C$2:$C387)=max(if($C$2:$C387=C388,row($C$2:$C387),0)))) ,1),0),0))"),"")</f>
        <v/>
      </c>
      <c r="H388" s="170" t="str">
        <f t="shared" si="8"/>
        <v/>
      </c>
      <c r="I388" s="147" t="str">
        <f t="shared" si="1"/>
        <v/>
      </c>
      <c r="J388" s="147" t="str">
        <f t="shared" si="13"/>
        <v/>
      </c>
      <c r="K388" s="147" t="str">
        <f>IFERROR(__xludf.DUMMYFUNCTION("if(C388="""","""",iferror(if(row()&lt;&gt;2,INDEX(arrayformula(filter($L$2:$L387,$C$2:$C387&lt;&gt;"""",row($C$2:$C387)=max(if($C$2:$C387=C388,row($C$2:$C387),0)))) ,1),0),0))"),"")</f>
        <v/>
      </c>
      <c r="L388" s="147" t="str">
        <f t="shared" si="14"/>
        <v/>
      </c>
      <c r="M388" s="147" t="str">
        <f t="shared" si="15"/>
        <v/>
      </c>
      <c r="N388" s="147" t="str">
        <f t="shared" si="16"/>
        <v/>
      </c>
      <c r="O388" s="147" t="str">
        <f t="shared" si="6"/>
        <v/>
      </c>
      <c r="P388" s="150" t="str">
        <f t="shared" si="7"/>
        <v/>
      </c>
      <c r="Q388" s="151" t="str">
        <f>IFERROR(VLOOKUP(C388,Ativos!$A$1:$G2000,5,),)</f>
        <v/>
      </c>
    </row>
    <row r="389" ht="21.0" customHeight="1">
      <c r="A389" s="152"/>
      <c r="B389" s="160"/>
      <c r="C389" s="153"/>
      <c r="D389" s="169"/>
      <c r="E389" s="139"/>
      <c r="F389" s="141"/>
      <c r="G389" s="170" t="str">
        <f>IFERROR(__xludf.DUMMYFUNCTION("if($C389="""","""",iferror(if(row()&lt;&gt;2,INDEX(arrayformula(filter($H$2:$H388,$C$2:$C388&lt;&gt;"""",row($C$2:$C388)=max(if($C$2:$C388=C389,row($C$2:$C388),0)))) ,1),0),0))"),"")</f>
        <v/>
      </c>
      <c r="H389" s="170" t="str">
        <f t="shared" si="8"/>
        <v/>
      </c>
      <c r="I389" s="147" t="str">
        <f t="shared" si="1"/>
        <v/>
      </c>
      <c r="J389" s="147" t="str">
        <f t="shared" si="13"/>
        <v/>
      </c>
      <c r="K389" s="147" t="str">
        <f>IFERROR(__xludf.DUMMYFUNCTION("if(C389="""","""",iferror(if(row()&lt;&gt;2,INDEX(arrayformula(filter($L$2:$L388,$C$2:$C388&lt;&gt;"""",row($C$2:$C388)=max(if($C$2:$C388=C389,row($C$2:$C388),0)))) ,1),0),0))"),"")</f>
        <v/>
      </c>
      <c r="L389" s="147" t="str">
        <f t="shared" si="14"/>
        <v/>
      </c>
      <c r="M389" s="147" t="str">
        <f t="shared" si="15"/>
        <v/>
      </c>
      <c r="N389" s="147" t="str">
        <f t="shared" si="16"/>
        <v/>
      </c>
      <c r="O389" s="147" t="str">
        <f t="shared" si="6"/>
        <v/>
      </c>
      <c r="P389" s="150" t="str">
        <f t="shared" si="7"/>
        <v/>
      </c>
      <c r="Q389" s="151" t="str">
        <f>IFERROR(VLOOKUP(C389,Ativos!$A$1:$G2000,5,),)</f>
        <v/>
      </c>
    </row>
    <row r="390" ht="21.0" customHeight="1">
      <c r="A390" s="152"/>
      <c r="B390" s="160"/>
      <c r="C390" s="153"/>
      <c r="D390" s="169"/>
      <c r="E390" s="139"/>
      <c r="F390" s="141"/>
      <c r="G390" s="170" t="str">
        <f>IFERROR(__xludf.DUMMYFUNCTION("if($C390="""","""",iferror(if(row()&lt;&gt;2,INDEX(arrayformula(filter($H$2:$H389,$C$2:$C389&lt;&gt;"""",row($C$2:$C389)=max(if($C$2:$C389=C390,row($C$2:$C389),0)))) ,1),0),0))"),"")</f>
        <v/>
      </c>
      <c r="H390" s="170" t="str">
        <f t="shared" si="8"/>
        <v/>
      </c>
      <c r="I390" s="147" t="str">
        <f t="shared" si="1"/>
        <v/>
      </c>
      <c r="J390" s="147" t="str">
        <f t="shared" si="13"/>
        <v/>
      </c>
      <c r="K390" s="147" t="str">
        <f>IFERROR(__xludf.DUMMYFUNCTION("if(C390="""","""",iferror(if(row()&lt;&gt;2,INDEX(arrayformula(filter($L$2:$L389,$C$2:$C389&lt;&gt;"""",row($C$2:$C389)=max(if($C$2:$C389=C390,row($C$2:$C389),0)))) ,1),0),0))"),"")</f>
        <v/>
      </c>
      <c r="L390" s="147" t="str">
        <f t="shared" si="14"/>
        <v/>
      </c>
      <c r="M390" s="147" t="str">
        <f t="shared" si="15"/>
        <v/>
      </c>
      <c r="N390" s="147" t="str">
        <f t="shared" si="16"/>
        <v/>
      </c>
      <c r="O390" s="147" t="str">
        <f t="shared" si="6"/>
        <v/>
      </c>
      <c r="P390" s="150" t="str">
        <f t="shared" si="7"/>
        <v/>
      </c>
      <c r="Q390" s="151" t="str">
        <f>IFERROR(VLOOKUP(C390,Ativos!$A$1:$G2000,5,),)</f>
        <v/>
      </c>
    </row>
    <row r="391" ht="21.0" customHeight="1">
      <c r="A391" s="152"/>
      <c r="B391" s="160"/>
      <c r="C391" s="153"/>
      <c r="D391" s="169"/>
      <c r="E391" s="139"/>
      <c r="F391" s="141"/>
      <c r="G391" s="170" t="str">
        <f>IFERROR(__xludf.DUMMYFUNCTION("if($C391="""","""",iferror(if(row()&lt;&gt;2,INDEX(arrayformula(filter($H$2:$H390,$C$2:$C390&lt;&gt;"""",row($C$2:$C390)=max(if($C$2:$C390=C391,row($C$2:$C390),0)))) ,1),0),0))"),"")</f>
        <v/>
      </c>
      <c r="H391" s="170" t="str">
        <f t="shared" si="8"/>
        <v/>
      </c>
      <c r="I391" s="147" t="str">
        <f t="shared" si="1"/>
        <v/>
      </c>
      <c r="J391" s="147" t="str">
        <f t="shared" si="13"/>
        <v/>
      </c>
      <c r="K391" s="147" t="str">
        <f>IFERROR(__xludf.DUMMYFUNCTION("if(C391="""","""",iferror(if(row()&lt;&gt;2,INDEX(arrayformula(filter($L$2:$L390,$C$2:$C390&lt;&gt;"""",row($C$2:$C390)=max(if($C$2:$C390=C391,row($C$2:$C390),0)))) ,1),0),0))"),"")</f>
        <v/>
      </c>
      <c r="L391" s="147" t="str">
        <f t="shared" si="14"/>
        <v/>
      </c>
      <c r="M391" s="147" t="str">
        <f t="shared" si="15"/>
        <v/>
      </c>
      <c r="N391" s="147" t="str">
        <f t="shared" si="16"/>
        <v/>
      </c>
      <c r="O391" s="147" t="str">
        <f t="shared" si="6"/>
        <v/>
      </c>
      <c r="P391" s="150" t="str">
        <f t="shared" si="7"/>
        <v/>
      </c>
      <c r="Q391" s="151" t="str">
        <f>IFERROR(VLOOKUP(C391,Ativos!$A$1:$G2000,5,),)</f>
        <v/>
      </c>
    </row>
    <row r="392" ht="21.0" customHeight="1">
      <c r="A392" s="152"/>
      <c r="B392" s="160"/>
      <c r="C392" s="153"/>
      <c r="D392" s="169"/>
      <c r="E392" s="139"/>
      <c r="F392" s="141"/>
      <c r="G392" s="170" t="str">
        <f>IFERROR(__xludf.DUMMYFUNCTION("if($C392="""","""",iferror(if(row()&lt;&gt;2,INDEX(arrayformula(filter($H$2:$H391,$C$2:$C391&lt;&gt;"""",row($C$2:$C391)=max(if($C$2:$C391=C392,row($C$2:$C391),0)))) ,1),0),0))"),"")</f>
        <v/>
      </c>
      <c r="H392" s="170" t="str">
        <f t="shared" si="8"/>
        <v/>
      </c>
      <c r="I392" s="147" t="str">
        <f t="shared" si="1"/>
        <v/>
      </c>
      <c r="J392" s="147" t="str">
        <f t="shared" si="13"/>
        <v/>
      </c>
      <c r="K392" s="147" t="str">
        <f>IFERROR(__xludf.DUMMYFUNCTION("if(C392="""","""",iferror(if(row()&lt;&gt;2,INDEX(arrayformula(filter($L$2:$L391,$C$2:$C391&lt;&gt;"""",row($C$2:$C391)=max(if($C$2:$C391=C392,row($C$2:$C391),0)))) ,1),0),0))"),"")</f>
        <v/>
      </c>
      <c r="L392" s="147" t="str">
        <f t="shared" si="14"/>
        <v/>
      </c>
      <c r="M392" s="147" t="str">
        <f t="shared" si="15"/>
        <v/>
      </c>
      <c r="N392" s="147" t="str">
        <f t="shared" si="16"/>
        <v/>
      </c>
      <c r="O392" s="147" t="str">
        <f t="shared" si="6"/>
        <v/>
      </c>
      <c r="P392" s="150" t="str">
        <f t="shared" si="7"/>
        <v/>
      </c>
      <c r="Q392" s="151" t="str">
        <f>IFERROR(VLOOKUP(C392,Ativos!$A$1:$G2000,5,),)</f>
        <v/>
      </c>
    </row>
    <row r="393" ht="21.0" customHeight="1">
      <c r="A393" s="152"/>
      <c r="B393" s="160"/>
      <c r="C393" s="153"/>
      <c r="D393" s="169"/>
      <c r="E393" s="139"/>
      <c r="F393" s="141"/>
      <c r="G393" s="170" t="str">
        <f>IFERROR(__xludf.DUMMYFUNCTION("if($C393="""","""",iferror(if(row()&lt;&gt;2,INDEX(arrayformula(filter($H$2:$H392,$C$2:$C392&lt;&gt;"""",row($C$2:$C392)=max(if($C$2:$C392=C393,row($C$2:$C392),0)))) ,1),0),0))"),"")</f>
        <v/>
      </c>
      <c r="H393" s="170" t="str">
        <f t="shared" si="8"/>
        <v/>
      </c>
      <c r="I393" s="147" t="str">
        <f t="shared" si="1"/>
        <v/>
      </c>
      <c r="J393" s="147" t="str">
        <f t="shared" si="13"/>
        <v/>
      </c>
      <c r="K393" s="147" t="str">
        <f>IFERROR(__xludf.DUMMYFUNCTION("if(C393="""","""",iferror(if(row()&lt;&gt;2,INDEX(arrayformula(filter($L$2:$L392,$C$2:$C392&lt;&gt;"""",row($C$2:$C392)=max(if($C$2:$C392=C393,row($C$2:$C392),0)))) ,1),0),0))"),"")</f>
        <v/>
      </c>
      <c r="L393" s="147" t="str">
        <f t="shared" si="14"/>
        <v/>
      </c>
      <c r="M393" s="147" t="str">
        <f t="shared" si="15"/>
        <v/>
      </c>
      <c r="N393" s="147" t="str">
        <f t="shared" si="16"/>
        <v/>
      </c>
      <c r="O393" s="147" t="str">
        <f t="shared" si="6"/>
        <v/>
      </c>
      <c r="P393" s="150" t="str">
        <f t="shared" si="7"/>
        <v/>
      </c>
      <c r="Q393" s="151" t="str">
        <f>IFERROR(VLOOKUP(C393,Ativos!$A$1:$G2000,5,),)</f>
        <v/>
      </c>
    </row>
    <row r="394" ht="21.0" customHeight="1">
      <c r="A394" s="152"/>
      <c r="B394" s="160"/>
      <c r="C394" s="153"/>
      <c r="D394" s="169"/>
      <c r="E394" s="139"/>
      <c r="F394" s="141"/>
      <c r="G394" s="170" t="str">
        <f>IFERROR(__xludf.DUMMYFUNCTION("if($C394="""","""",iferror(if(row()&lt;&gt;2,INDEX(arrayformula(filter($H$2:$H393,$C$2:$C393&lt;&gt;"""",row($C$2:$C393)=max(if($C$2:$C393=C394,row($C$2:$C393),0)))) ,1),0),0))"),"")</f>
        <v/>
      </c>
      <c r="H394" s="170" t="str">
        <f t="shared" si="8"/>
        <v/>
      </c>
      <c r="I394" s="147" t="str">
        <f t="shared" si="1"/>
        <v/>
      </c>
      <c r="J394" s="147" t="str">
        <f t="shared" si="13"/>
        <v/>
      </c>
      <c r="K394" s="147" t="str">
        <f>IFERROR(__xludf.DUMMYFUNCTION("if(C394="""","""",iferror(if(row()&lt;&gt;2,INDEX(arrayformula(filter($L$2:$L393,$C$2:$C393&lt;&gt;"""",row($C$2:$C393)=max(if($C$2:$C393=C394,row($C$2:$C393),0)))) ,1),0),0))"),"")</f>
        <v/>
      </c>
      <c r="L394" s="147" t="str">
        <f t="shared" si="14"/>
        <v/>
      </c>
      <c r="M394" s="147" t="str">
        <f t="shared" si="15"/>
        <v/>
      </c>
      <c r="N394" s="147" t="str">
        <f t="shared" si="16"/>
        <v/>
      </c>
      <c r="O394" s="147" t="str">
        <f t="shared" si="6"/>
        <v/>
      </c>
      <c r="P394" s="150" t="str">
        <f t="shared" si="7"/>
        <v/>
      </c>
      <c r="Q394" s="151" t="str">
        <f>IFERROR(VLOOKUP(C394,Ativos!$A$1:$G2000,5,),)</f>
        <v/>
      </c>
    </row>
    <row r="395" ht="21.0" customHeight="1">
      <c r="A395" s="152"/>
      <c r="B395" s="160"/>
      <c r="C395" s="153"/>
      <c r="D395" s="169"/>
      <c r="E395" s="139"/>
      <c r="F395" s="141"/>
      <c r="G395" s="170" t="str">
        <f>IFERROR(__xludf.DUMMYFUNCTION("if($C395="""","""",iferror(if(row()&lt;&gt;2,INDEX(arrayformula(filter($H$2:$H394,$C$2:$C394&lt;&gt;"""",row($C$2:$C394)=max(if($C$2:$C394=C395,row($C$2:$C394),0)))) ,1),0),0))"),"")</f>
        <v/>
      </c>
      <c r="H395" s="170" t="str">
        <f t="shared" si="8"/>
        <v/>
      </c>
      <c r="I395" s="147" t="str">
        <f t="shared" si="1"/>
        <v/>
      </c>
      <c r="J395" s="147" t="str">
        <f t="shared" si="13"/>
        <v/>
      </c>
      <c r="K395" s="147" t="str">
        <f>IFERROR(__xludf.DUMMYFUNCTION("if(C395="""","""",iferror(if(row()&lt;&gt;2,INDEX(arrayformula(filter($L$2:$L394,$C$2:$C394&lt;&gt;"""",row($C$2:$C394)=max(if($C$2:$C394=C395,row($C$2:$C394),0)))) ,1),0),0))"),"")</f>
        <v/>
      </c>
      <c r="L395" s="147" t="str">
        <f t="shared" si="14"/>
        <v/>
      </c>
      <c r="M395" s="147" t="str">
        <f t="shared" si="15"/>
        <v/>
      </c>
      <c r="N395" s="147" t="str">
        <f t="shared" si="16"/>
        <v/>
      </c>
      <c r="O395" s="147" t="str">
        <f t="shared" si="6"/>
        <v/>
      </c>
      <c r="P395" s="150" t="str">
        <f t="shared" si="7"/>
        <v/>
      </c>
      <c r="Q395" s="151" t="str">
        <f>IFERROR(VLOOKUP(C395,Ativos!$A$1:$G2000,5,),)</f>
        <v/>
      </c>
    </row>
    <row r="396" ht="21.0" customHeight="1">
      <c r="A396" s="152"/>
      <c r="B396" s="160"/>
      <c r="C396" s="153"/>
      <c r="D396" s="169"/>
      <c r="E396" s="139"/>
      <c r="F396" s="141"/>
      <c r="G396" s="170" t="str">
        <f>IFERROR(__xludf.DUMMYFUNCTION("if($C396="""","""",iferror(if(row()&lt;&gt;2,INDEX(arrayformula(filter($H$2:$H395,$C$2:$C395&lt;&gt;"""",row($C$2:$C395)=max(if($C$2:$C395=C396,row($C$2:$C395),0)))) ,1),0),0))"),"")</f>
        <v/>
      </c>
      <c r="H396" s="170" t="str">
        <f t="shared" si="8"/>
        <v/>
      </c>
      <c r="I396" s="147" t="str">
        <f t="shared" si="1"/>
        <v/>
      </c>
      <c r="J396" s="147" t="str">
        <f t="shared" si="13"/>
        <v/>
      </c>
      <c r="K396" s="147" t="str">
        <f>IFERROR(__xludf.DUMMYFUNCTION("if(C396="""","""",iferror(if(row()&lt;&gt;2,INDEX(arrayformula(filter($L$2:$L395,$C$2:$C395&lt;&gt;"""",row($C$2:$C395)=max(if($C$2:$C395=C396,row($C$2:$C395),0)))) ,1),0),0))"),"")</f>
        <v/>
      </c>
      <c r="L396" s="147" t="str">
        <f t="shared" si="14"/>
        <v/>
      </c>
      <c r="M396" s="147" t="str">
        <f t="shared" si="15"/>
        <v/>
      </c>
      <c r="N396" s="147" t="str">
        <f t="shared" si="16"/>
        <v/>
      </c>
      <c r="O396" s="147" t="str">
        <f t="shared" si="6"/>
        <v/>
      </c>
      <c r="P396" s="150" t="str">
        <f t="shared" si="7"/>
        <v/>
      </c>
      <c r="Q396" s="151" t="str">
        <f>IFERROR(VLOOKUP(C396,Ativos!$A$1:$G2000,5,),)</f>
        <v/>
      </c>
    </row>
    <row r="397" ht="21.0" customHeight="1">
      <c r="A397" s="152"/>
      <c r="B397" s="160"/>
      <c r="C397" s="153"/>
      <c r="D397" s="169"/>
      <c r="E397" s="139"/>
      <c r="F397" s="141"/>
      <c r="G397" s="170" t="str">
        <f>IFERROR(__xludf.DUMMYFUNCTION("if($C397="""","""",iferror(if(row()&lt;&gt;2,INDEX(arrayformula(filter($H$2:$H396,$C$2:$C396&lt;&gt;"""",row($C$2:$C396)=max(if($C$2:$C396=C397,row($C$2:$C396),0)))) ,1),0),0))"),"")</f>
        <v/>
      </c>
      <c r="H397" s="170" t="str">
        <f t="shared" si="8"/>
        <v/>
      </c>
      <c r="I397" s="147" t="str">
        <f t="shared" si="1"/>
        <v/>
      </c>
      <c r="J397" s="147" t="str">
        <f t="shared" si="13"/>
        <v/>
      </c>
      <c r="K397" s="147" t="str">
        <f>IFERROR(__xludf.DUMMYFUNCTION("if(C397="""","""",iferror(if(row()&lt;&gt;2,INDEX(arrayformula(filter($L$2:$L396,$C$2:$C396&lt;&gt;"""",row($C$2:$C396)=max(if($C$2:$C396=C397,row($C$2:$C396),0)))) ,1),0),0))"),"")</f>
        <v/>
      </c>
      <c r="L397" s="147" t="str">
        <f t="shared" si="14"/>
        <v/>
      </c>
      <c r="M397" s="147" t="str">
        <f t="shared" si="15"/>
        <v/>
      </c>
      <c r="N397" s="147" t="str">
        <f t="shared" si="16"/>
        <v/>
      </c>
      <c r="O397" s="147" t="str">
        <f t="shared" si="6"/>
        <v/>
      </c>
      <c r="P397" s="150" t="str">
        <f t="shared" si="7"/>
        <v/>
      </c>
      <c r="Q397" s="151" t="str">
        <f>IFERROR(VLOOKUP(C397,Ativos!$A$1:$G2000,5,),)</f>
        <v/>
      </c>
    </row>
    <row r="398" ht="21.0" customHeight="1">
      <c r="A398" s="152"/>
      <c r="B398" s="160"/>
      <c r="C398" s="153"/>
      <c r="D398" s="169"/>
      <c r="E398" s="139"/>
      <c r="F398" s="141"/>
      <c r="G398" s="170" t="str">
        <f>IFERROR(__xludf.DUMMYFUNCTION("if($C398="""","""",iferror(if(row()&lt;&gt;2,INDEX(arrayformula(filter($H$2:$H397,$C$2:$C397&lt;&gt;"""",row($C$2:$C397)=max(if($C$2:$C397=C398,row($C$2:$C397),0)))) ,1),0),0))"),"")</f>
        <v/>
      </c>
      <c r="H398" s="170" t="str">
        <f t="shared" si="8"/>
        <v/>
      </c>
      <c r="I398" s="147" t="str">
        <f t="shared" si="1"/>
        <v/>
      </c>
      <c r="J398" s="147" t="str">
        <f t="shared" si="13"/>
        <v/>
      </c>
      <c r="K398" s="147" t="str">
        <f>IFERROR(__xludf.DUMMYFUNCTION("if(C398="""","""",iferror(if(row()&lt;&gt;2,INDEX(arrayformula(filter($L$2:$L397,$C$2:$C397&lt;&gt;"""",row($C$2:$C397)=max(if($C$2:$C397=C398,row($C$2:$C397),0)))) ,1),0),0))"),"")</f>
        <v/>
      </c>
      <c r="L398" s="147" t="str">
        <f t="shared" si="14"/>
        <v/>
      </c>
      <c r="M398" s="147" t="str">
        <f t="shared" si="15"/>
        <v/>
      </c>
      <c r="N398" s="147" t="str">
        <f t="shared" si="16"/>
        <v/>
      </c>
      <c r="O398" s="147" t="str">
        <f t="shared" si="6"/>
        <v/>
      </c>
      <c r="P398" s="150" t="str">
        <f t="shared" si="7"/>
        <v/>
      </c>
      <c r="Q398" s="151" t="str">
        <f>IFERROR(VLOOKUP(C398,Ativos!$A$1:$G2000,5,),)</f>
        <v/>
      </c>
    </row>
    <row r="399" ht="21.0" customHeight="1">
      <c r="A399" s="152"/>
      <c r="B399" s="160"/>
      <c r="C399" s="153"/>
      <c r="D399" s="169"/>
      <c r="E399" s="139"/>
      <c r="F399" s="141"/>
      <c r="G399" s="170" t="str">
        <f>IFERROR(__xludf.DUMMYFUNCTION("if($C399="""","""",iferror(if(row()&lt;&gt;2,INDEX(arrayformula(filter($H$2:$H398,$C$2:$C398&lt;&gt;"""",row($C$2:$C398)=max(if($C$2:$C398=C399,row($C$2:$C398),0)))) ,1),0),0))"),"")</f>
        <v/>
      </c>
      <c r="H399" s="170" t="str">
        <f t="shared" si="8"/>
        <v/>
      </c>
      <c r="I399" s="147" t="str">
        <f t="shared" si="1"/>
        <v/>
      </c>
      <c r="J399" s="147" t="str">
        <f t="shared" si="13"/>
        <v/>
      </c>
      <c r="K399" s="147" t="str">
        <f>IFERROR(__xludf.DUMMYFUNCTION("if(C399="""","""",iferror(if(row()&lt;&gt;2,INDEX(arrayformula(filter($L$2:$L398,$C$2:$C398&lt;&gt;"""",row($C$2:$C398)=max(if($C$2:$C398=C399,row($C$2:$C398),0)))) ,1),0),0))"),"")</f>
        <v/>
      </c>
      <c r="L399" s="147" t="str">
        <f t="shared" si="14"/>
        <v/>
      </c>
      <c r="M399" s="147" t="str">
        <f t="shared" si="15"/>
        <v/>
      </c>
      <c r="N399" s="147" t="str">
        <f t="shared" si="16"/>
        <v/>
      </c>
      <c r="O399" s="147" t="str">
        <f t="shared" si="6"/>
        <v/>
      </c>
      <c r="P399" s="150" t="str">
        <f t="shared" si="7"/>
        <v/>
      </c>
      <c r="Q399" s="151" t="str">
        <f>IFERROR(VLOOKUP(C399,Ativos!$A$1:$G2000,5,),)</f>
        <v/>
      </c>
    </row>
    <row r="400" ht="21.0" customHeight="1">
      <c r="A400" s="152"/>
      <c r="B400" s="160"/>
      <c r="C400" s="153"/>
      <c r="D400" s="169"/>
      <c r="E400" s="139"/>
      <c r="F400" s="141"/>
      <c r="G400" s="170" t="str">
        <f>IFERROR(__xludf.DUMMYFUNCTION("if($C400="""","""",iferror(if(row()&lt;&gt;2,INDEX(arrayformula(filter($H$2:$H399,$C$2:$C399&lt;&gt;"""",row($C$2:$C399)=max(if($C$2:$C399=C400,row($C$2:$C399),0)))) ,1),0),0))"),"")</f>
        <v/>
      </c>
      <c r="H400" s="170" t="str">
        <f t="shared" si="8"/>
        <v/>
      </c>
      <c r="I400" s="147" t="str">
        <f t="shared" si="1"/>
        <v/>
      </c>
      <c r="J400" s="147" t="str">
        <f t="shared" si="13"/>
        <v/>
      </c>
      <c r="K400" s="147" t="str">
        <f>IFERROR(__xludf.DUMMYFUNCTION("if(C400="""","""",iferror(if(row()&lt;&gt;2,INDEX(arrayformula(filter($L$2:$L399,$C$2:$C399&lt;&gt;"""",row($C$2:$C399)=max(if($C$2:$C399=C400,row($C$2:$C399),0)))) ,1),0),0))"),"")</f>
        <v/>
      </c>
      <c r="L400" s="147" t="str">
        <f t="shared" si="14"/>
        <v/>
      </c>
      <c r="M400" s="147" t="str">
        <f t="shared" si="15"/>
        <v/>
      </c>
      <c r="N400" s="147" t="str">
        <f t="shared" si="16"/>
        <v/>
      </c>
      <c r="O400" s="147" t="str">
        <f t="shared" si="6"/>
        <v/>
      </c>
      <c r="P400" s="150" t="str">
        <f t="shared" si="7"/>
        <v/>
      </c>
      <c r="Q400" s="151" t="str">
        <f>IFERROR(VLOOKUP(C400,Ativos!$A$1:$G2000,5,),)</f>
        <v/>
      </c>
    </row>
    <row r="401" ht="21.0" customHeight="1">
      <c r="A401" s="152"/>
      <c r="B401" s="160"/>
      <c r="C401" s="153"/>
      <c r="D401" s="169"/>
      <c r="E401" s="139"/>
      <c r="F401" s="141"/>
      <c r="G401" s="170" t="str">
        <f>IFERROR(__xludf.DUMMYFUNCTION("if($C401="""","""",iferror(if(row()&lt;&gt;2,INDEX(arrayformula(filter($H$2:$H400,$C$2:$C400&lt;&gt;"""",row($C$2:$C400)=max(if($C$2:$C400=C401,row($C$2:$C400),0)))) ,1),0),0))"),"")</f>
        <v/>
      </c>
      <c r="H401" s="170" t="str">
        <f t="shared" si="8"/>
        <v/>
      </c>
      <c r="I401" s="147" t="str">
        <f t="shared" si="1"/>
        <v/>
      </c>
      <c r="J401" s="147" t="str">
        <f t="shared" si="13"/>
        <v/>
      </c>
      <c r="K401" s="147" t="str">
        <f>IFERROR(__xludf.DUMMYFUNCTION("if(C401="""","""",iferror(if(row()&lt;&gt;2,INDEX(arrayformula(filter($L$2:$L400,$C$2:$C400&lt;&gt;"""",row($C$2:$C400)=max(if($C$2:$C400=C401,row($C$2:$C400),0)))) ,1),0),0))"),"")</f>
        <v/>
      </c>
      <c r="L401" s="147" t="str">
        <f t="shared" si="14"/>
        <v/>
      </c>
      <c r="M401" s="147" t="str">
        <f t="shared" si="15"/>
        <v/>
      </c>
      <c r="N401" s="147" t="str">
        <f t="shared" si="16"/>
        <v/>
      </c>
      <c r="O401" s="147" t="str">
        <f t="shared" si="6"/>
        <v/>
      </c>
      <c r="P401" s="150" t="str">
        <f t="shared" si="7"/>
        <v/>
      </c>
      <c r="Q401" s="151" t="str">
        <f>IFERROR(VLOOKUP(C401,Ativos!$A$1:$G2000,5,),)</f>
        <v/>
      </c>
    </row>
    <row r="402" ht="21.0" customHeight="1">
      <c r="A402" s="152"/>
      <c r="B402" s="160"/>
      <c r="C402" s="153"/>
      <c r="D402" s="169"/>
      <c r="E402" s="139"/>
      <c r="F402" s="141"/>
      <c r="G402" s="170" t="str">
        <f>IFERROR(__xludf.DUMMYFUNCTION("if($C402="""","""",iferror(if(row()&lt;&gt;2,INDEX(arrayformula(filter($H$2:$H401,$C$2:$C401&lt;&gt;"""",row($C$2:$C401)=max(if($C$2:$C401=C402,row($C$2:$C401),0)))) ,1),0),0))"),"")</f>
        <v/>
      </c>
      <c r="H402" s="170" t="str">
        <f t="shared" si="8"/>
        <v/>
      </c>
      <c r="I402" s="147" t="str">
        <f t="shared" si="1"/>
        <v/>
      </c>
      <c r="J402" s="147" t="str">
        <f t="shared" si="13"/>
        <v/>
      </c>
      <c r="K402" s="147" t="str">
        <f>IFERROR(__xludf.DUMMYFUNCTION("if(C402="""","""",iferror(if(row()&lt;&gt;2,INDEX(arrayformula(filter($L$2:$L401,$C$2:$C401&lt;&gt;"""",row($C$2:$C401)=max(if($C$2:$C401=C402,row($C$2:$C401),0)))) ,1),0),0))"),"")</f>
        <v/>
      </c>
      <c r="L402" s="147" t="str">
        <f t="shared" si="14"/>
        <v/>
      </c>
      <c r="M402" s="147" t="str">
        <f t="shared" si="15"/>
        <v/>
      </c>
      <c r="N402" s="147" t="str">
        <f t="shared" si="16"/>
        <v/>
      </c>
      <c r="O402" s="147" t="str">
        <f t="shared" si="6"/>
        <v/>
      </c>
      <c r="P402" s="150" t="str">
        <f t="shared" si="7"/>
        <v/>
      </c>
      <c r="Q402" s="151" t="str">
        <f>IFERROR(VLOOKUP(C402,Ativos!$A$1:$G2000,5,),)</f>
        <v/>
      </c>
    </row>
    <row r="403" ht="21.0" customHeight="1">
      <c r="A403" s="152"/>
      <c r="B403" s="160"/>
      <c r="C403" s="153"/>
      <c r="D403" s="169"/>
      <c r="E403" s="139"/>
      <c r="F403" s="141"/>
      <c r="G403" s="170" t="str">
        <f>IFERROR(__xludf.DUMMYFUNCTION("if($C403="""","""",iferror(if(row()&lt;&gt;2,INDEX(arrayformula(filter($H$2:$H402,$C$2:$C402&lt;&gt;"""",row($C$2:$C402)=max(if($C$2:$C402=C403,row($C$2:$C402),0)))) ,1),0),0))"),"")</f>
        <v/>
      </c>
      <c r="H403" s="170" t="str">
        <f t="shared" si="8"/>
        <v/>
      </c>
      <c r="I403" s="147" t="str">
        <f t="shared" si="1"/>
        <v/>
      </c>
      <c r="J403" s="147" t="str">
        <f t="shared" si="13"/>
        <v/>
      </c>
      <c r="K403" s="147" t="str">
        <f>IFERROR(__xludf.DUMMYFUNCTION("if(C403="""","""",iferror(if(row()&lt;&gt;2,INDEX(arrayformula(filter($L$2:$L402,$C$2:$C402&lt;&gt;"""",row($C$2:$C402)=max(if($C$2:$C402=C403,row($C$2:$C402),0)))) ,1),0),0))"),"")</f>
        <v/>
      </c>
      <c r="L403" s="147" t="str">
        <f t="shared" si="14"/>
        <v/>
      </c>
      <c r="M403" s="147" t="str">
        <f t="shared" si="15"/>
        <v/>
      </c>
      <c r="N403" s="147" t="str">
        <f t="shared" si="16"/>
        <v/>
      </c>
      <c r="O403" s="147" t="str">
        <f t="shared" si="6"/>
        <v/>
      </c>
      <c r="P403" s="150" t="str">
        <f t="shared" si="7"/>
        <v/>
      </c>
      <c r="Q403" s="151" t="str">
        <f>IFERROR(VLOOKUP(C403,Ativos!$A$1:$G2000,5,),)</f>
        <v/>
      </c>
    </row>
    <row r="404" ht="21.0" customHeight="1">
      <c r="A404" s="152"/>
      <c r="B404" s="160"/>
      <c r="C404" s="153"/>
      <c r="D404" s="169"/>
      <c r="E404" s="139"/>
      <c r="F404" s="141"/>
      <c r="G404" s="170" t="str">
        <f>IFERROR(__xludf.DUMMYFUNCTION("if($C404="""","""",iferror(if(row()&lt;&gt;2,INDEX(arrayformula(filter($H$2:$H403,$C$2:$C403&lt;&gt;"""",row($C$2:$C403)=max(if($C$2:$C403=C404,row($C$2:$C403),0)))) ,1),0),0))"),"")</f>
        <v/>
      </c>
      <c r="H404" s="170" t="str">
        <f t="shared" si="8"/>
        <v/>
      </c>
      <c r="I404" s="147" t="str">
        <f t="shared" si="1"/>
        <v/>
      </c>
      <c r="J404" s="147" t="str">
        <f t="shared" si="13"/>
        <v/>
      </c>
      <c r="K404" s="147" t="str">
        <f>IFERROR(__xludf.DUMMYFUNCTION("if(C404="""","""",iferror(if(row()&lt;&gt;2,INDEX(arrayformula(filter($L$2:$L403,$C$2:$C403&lt;&gt;"""",row($C$2:$C403)=max(if($C$2:$C403=C404,row($C$2:$C403),0)))) ,1),0),0))"),"")</f>
        <v/>
      </c>
      <c r="L404" s="147" t="str">
        <f t="shared" si="14"/>
        <v/>
      </c>
      <c r="M404" s="147" t="str">
        <f t="shared" si="15"/>
        <v/>
      </c>
      <c r="N404" s="147" t="str">
        <f t="shared" si="16"/>
        <v/>
      </c>
      <c r="O404" s="147" t="str">
        <f t="shared" si="6"/>
        <v/>
      </c>
      <c r="P404" s="150" t="str">
        <f t="shared" si="7"/>
        <v/>
      </c>
      <c r="Q404" s="151" t="str">
        <f>IFERROR(VLOOKUP(C404,Ativos!$A$1:$G2000,5,),)</f>
        <v/>
      </c>
    </row>
    <row r="405" ht="21.0" customHeight="1">
      <c r="A405" s="152"/>
      <c r="B405" s="160"/>
      <c r="C405" s="153"/>
      <c r="D405" s="169"/>
      <c r="E405" s="139"/>
      <c r="F405" s="141"/>
      <c r="G405" s="170" t="str">
        <f>IFERROR(__xludf.DUMMYFUNCTION("if($C405="""","""",iferror(if(row()&lt;&gt;2,INDEX(arrayformula(filter($H$2:$H404,$C$2:$C404&lt;&gt;"""",row($C$2:$C404)=max(if($C$2:$C404=C405,row($C$2:$C404),0)))) ,1),0),0))"),"")</f>
        <v/>
      </c>
      <c r="H405" s="170" t="str">
        <f t="shared" si="8"/>
        <v/>
      </c>
      <c r="I405" s="147" t="str">
        <f t="shared" si="1"/>
        <v/>
      </c>
      <c r="J405" s="147" t="str">
        <f t="shared" si="13"/>
        <v/>
      </c>
      <c r="K405" s="147" t="str">
        <f>IFERROR(__xludf.DUMMYFUNCTION("if(C405="""","""",iferror(if(row()&lt;&gt;2,INDEX(arrayformula(filter($L$2:$L404,$C$2:$C404&lt;&gt;"""",row($C$2:$C404)=max(if($C$2:$C404=C405,row($C$2:$C404),0)))) ,1),0),0))"),"")</f>
        <v/>
      </c>
      <c r="L405" s="147" t="str">
        <f t="shared" si="14"/>
        <v/>
      </c>
      <c r="M405" s="147" t="str">
        <f t="shared" si="15"/>
        <v/>
      </c>
      <c r="N405" s="147" t="str">
        <f t="shared" si="16"/>
        <v/>
      </c>
      <c r="O405" s="147" t="str">
        <f t="shared" si="6"/>
        <v/>
      </c>
      <c r="P405" s="150" t="str">
        <f t="shared" si="7"/>
        <v/>
      </c>
      <c r="Q405" s="151" t="str">
        <f>IFERROR(VLOOKUP(C405,Ativos!$A$1:$G2000,5,),)</f>
        <v/>
      </c>
    </row>
    <row r="406" ht="21.0" customHeight="1">
      <c r="A406" s="152"/>
      <c r="B406" s="160"/>
      <c r="C406" s="153"/>
      <c r="D406" s="169"/>
      <c r="E406" s="139"/>
      <c r="F406" s="141"/>
      <c r="G406" s="170" t="str">
        <f>IFERROR(__xludf.DUMMYFUNCTION("if($C406="""","""",iferror(if(row()&lt;&gt;2,INDEX(arrayformula(filter($H$2:$H405,$C$2:$C405&lt;&gt;"""",row($C$2:$C405)=max(if($C$2:$C405=C406,row($C$2:$C405),0)))) ,1),0),0))"),"")</f>
        <v/>
      </c>
      <c r="H406" s="170" t="str">
        <f t="shared" si="8"/>
        <v/>
      </c>
      <c r="I406" s="147" t="str">
        <f t="shared" si="1"/>
        <v/>
      </c>
      <c r="J406" s="147" t="str">
        <f t="shared" si="13"/>
        <v/>
      </c>
      <c r="K406" s="147" t="str">
        <f>IFERROR(__xludf.DUMMYFUNCTION("if(C406="""","""",iferror(if(row()&lt;&gt;2,INDEX(arrayformula(filter($L$2:$L405,$C$2:$C405&lt;&gt;"""",row($C$2:$C405)=max(if($C$2:$C405=C406,row($C$2:$C405),0)))) ,1),0),0))"),"")</f>
        <v/>
      </c>
      <c r="L406" s="147" t="str">
        <f t="shared" si="14"/>
        <v/>
      </c>
      <c r="M406" s="147" t="str">
        <f t="shared" si="15"/>
        <v/>
      </c>
      <c r="N406" s="147" t="str">
        <f t="shared" si="16"/>
        <v/>
      </c>
      <c r="O406" s="147" t="str">
        <f t="shared" si="6"/>
        <v/>
      </c>
      <c r="P406" s="150" t="str">
        <f t="shared" si="7"/>
        <v/>
      </c>
      <c r="Q406" s="151" t="str">
        <f>IFERROR(VLOOKUP(C406,Ativos!$A$1:$G2000,5,),)</f>
        <v/>
      </c>
    </row>
    <row r="407" ht="21.0" customHeight="1">
      <c r="A407" s="152"/>
      <c r="B407" s="160"/>
      <c r="C407" s="153"/>
      <c r="D407" s="169"/>
      <c r="E407" s="139"/>
      <c r="F407" s="141"/>
      <c r="G407" s="170" t="str">
        <f>IFERROR(__xludf.DUMMYFUNCTION("if($C407="""","""",iferror(if(row()&lt;&gt;2,INDEX(arrayformula(filter($H$2:$H406,$C$2:$C406&lt;&gt;"""",row($C$2:$C406)=max(if($C$2:$C406=C407,row($C$2:$C406),0)))) ,1),0),0))"),"")</f>
        <v/>
      </c>
      <c r="H407" s="170" t="str">
        <f t="shared" si="8"/>
        <v/>
      </c>
      <c r="I407" s="147" t="str">
        <f t="shared" si="1"/>
        <v/>
      </c>
      <c r="J407" s="147" t="str">
        <f t="shared" si="13"/>
        <v/>
      </c>
      <c r="K407" s="147" t="str">
        <f>IFERROR(__xludf.DUMMYFUNCTION("if(C407="""","""",iferror(if(row()&lt;&gt;2,INDEX(arrayformula(filter($L$2:$L406,$C$2:$C406&lt;&gt;"""",row($C$2:$C406)=max(if($C$2:$C406=C407,row($C$2:$C406),0)))) ,1),0),0))"),"")</f>
        <v/>
      </c>
      <c r="L407" s="147" t="str">
        <f t="shared" si="14"/>
        <v/>
      </c>
      <c r="M407" s="147" t="str">
        <f t="shared" si="15"/>
        <v/>
      </c>
      <c r="N407" s="147" t="str">
        <f t="shared" si="16"/>
        <v/>
      </c>
      <c r="O407" s="147" t="str">
        <f t="shared" si="6"/>
        <v/>
      </c>
      <c r="P407" s="150" t="str">
        <f t="shared" si="7"/>
        <v/>
      </c>
      <c r="Q407" s="151" t="str">
        <f>IFERROR(VLOOKUP(C407,Ativos!$A$1:$G2000,5,),)</f>
        <v/>
      </c>
    </row>
    <row r="408" ht="21.0" customHeight="1">
      <c r="A408" s="152"/>
      <c r="B408" s="160"/>
      <c r="C408" s="153"/>
      <c r="D408" s="169"/>
      <c r="E408" s="139"/>
      <c r="F408" s="141"/>
      <c r="G408" s="170" t="str">
        <f>IFERROR(__xludf.DUMMYFUNCTION("if($C408="""","""",iferror(if(row()&lt;&gt;2,INDEX(arrayformula(filter($H$2:$H407,$C$2:$C407&lt;&gt;"""",row($C$2:$C407)=max(if($C$2:$C407=C408,row($C$2:$C407),0)))) ,1),0),0))"),"")</f>
        <v/>
      </c>
      <c r="H408" s="170" t="str">
        <f t="shared" si="8"/>
        <v/>
      </c>
      <c r="I408" s="147" t="str">
        <f t="shared" si="1"/>
        <v/>
      </c>
      <c r="J408" s="147" t="str">
        <f t="shared" si="13"/>
        <v/>
      </c>
      <c r="K408" s="147" t="str">
        <f>IFERROR(__xludf.DUMMYFUNCTION("if(C408="""","""",iferror(if(row()&lt;&gt;2,INDEX(arrayformula(filter($L$2:$L407,$C$2:$C407&lt;&gt;"""",row($C$2:$C407)=max(if($C$2:$C407=C408,row($C$2:$C407),0)))) ,1),0),0))"),"")</f>
        <v/>
      </c>
      <c r="L408" s="147" t="str">
        <f t="shared" si="14"/>
        <v/>
      </c>
      <c r="M408" s="147" t="str">
        <f t="shared" si="15"/>
        <v/>
      </c>
      <c r="N408" s="147" t="str">
        <f t="shared" si="16"/>
        <v/>
      </c>
      <c r="O408" s="147" t="str">
        <f t="shared" si="6"/>
        <v/>
      </c>
      <c r="P408" s="150" t="str">
        <f t="shared" si="7"/>
        <v/>
      </c>
      <c r="Q408" s="151" t="str">
        <f>IFERROR(VLOOKUP(C408,Ativos!$A$1:$G2000,5,),)</f>
        <v/>
      </c>
    </row>
    <row r="409" ht="21.0" customHeight="1">
      <c r="A409" s="152"/>
      <c r="B409" s="160"/>
      <c r="C409" s="153"/>
      <c r="D409" s="169"/>
      <c r="E409" s="139"/>
      <c r="F409" s="141"/>
      <c r="G409" s="170" t="str">
        <f>IFERROR(__xludf.DUMMYFUNCTION("if($C409="""","""",iferror(if(row()&lt;&gt;2,INDEX(arrayformula(filter($H$2:$H408,$C$2:$C408&lt;&gt;"""",row($C$2:$C408)=max(if($C$2:$C408=C409,row($C$2:$C408),0)))) ,1),0),0))"),"")</f>
        <v/>
      </c>
      <c r="H409" s="170" t="str">
        <f t="shared" si="8"/>
        <v/>
      </c>
      <c r="I409" s="147" t="str">
        <f t="shared" si="1"/>
        <v/>
      </c>
      <c r="J409" s="147" t="str">
        <f t="shared" si="13"/>
        <v/>
      </c>
      <c r="K409" s="147" t="str">
        <f>IFERROR(__xludf.DUMMYFUNCTION("if(C409="""","""",iferror(if(row()&lt;&gt;2,INDEX(arrayformula(filter($L$2:$L408,$C$2:$C408&lt;&gt;"""",row($C$2:$C408)=max(if($C$2:$C408=C409,row($C$2:$C408),0)))) ,1),0),0))"),"")</f>
        <v/>
      </c>
      <c r="L409" s="147" t="str">
        <f t="shared" si="14"/>
        <v/>
      </c>
      <c r="M409" s="147" t="str">
        <f t="shared" si="15"/>
        <v/>
      </c>
      <c r="N409" s="147" t="str">
        <f t="shared" si="16"/>
        <v/>
      </c>
      <c r="O409" s="147" t="str">
        <f t="shared" si="6"/>
        <v/>
      </c>
      <c r="P409" s="150" t="str">
        <f t="shared" si="7"/>
        <v/>
      </c>
      <c r="Q409" s="151" t="str">
        <f>IFERROR(VLOOKUP(C409,Ativos!$A$1:$G2000,5,),)</f>
        <v/>
      </c>
    </row>
    <row r="410" ht="21.0" customHeight="1">
      <c r="A410" s="152"/>
      <c r="B410" s="160"/>
      <c r="C410" s="153"/>
      <c r="D410" s="169"/>
      <c r="E410" s="139"/>
      <c r="F410" s="141"/>
      <c r="G410" s="170" t="str">
        <f>IFERROR(__xludf.DUMMYFUNCTION("if($C410="""","""",iferror(if(row()&lt;&gt;2,INDEX(arrayformula(filter($H$2:$H409,$C$2:$C409&lt;&gt;"""",row($C$2:$C409)=max(if($C$2:$C409=C410,row($C$2:$C409),0)))) ,1),0),0))"),"")</f>
        <v/>
      </c>
      <c r="H410" s="170" t="str">
        <f t="shared" si="8"/>
        <v/>
      </c>
      <c r="I410" s="147" t="str">
        <f t="shared" si="1"/>
        <v/>
      </c>
      <c r="J410" s="147" t="str">
        <f t="shared" si="13"/>
        <v/>
      </c>
      <c r="K410" s="147" t="str">
        <f>IFERROR(__xludf.DUMMYFUNCTION("if(C410="""","""",iferror(if(row()&lt;&gt;2,INDEX(arrayformula(filter($L$2:$L409,$C$2:$C409&lt;&gt;"""",row($C$2:$C409)=max(if($C$2:$C409=C410,row($C$2:$C409),0)))) ,1),0),0))"),"")</f>
        <v/>
      </c>
      <c r="L410" s="147" t="str">
        <f t="shared" si="14"/>
        <v/>
      </c>
      <c r="M410" s="147" t="str">
        <f t="shared" si="15"/>
        <v/>
      </c>
      <c r="N410" s="147" t="str">
        <f t="shared" si="16"/>
        <v/>
      </c>
      <c r="O410" s="147" t="str">
        <f t="shared" si="6"/>
        <v/>
      </c>
      <c r="P410" s="150" t="str">
        <f t="shared" si="7"/>
        <v/>
      </c>
      <c r="Q410" s="151" t="str">
        <f>IFERROR(VLOOKUP(C410,Ativos!$A$1:$G2000,5,),)</f>
        <v/>
      </c>
    </row>
    <row r="411" ht="21.0" customHeight="1">
      <c r="A411" s="152"/>
      <c r="B411" s="160"/>
      <c r="C411" s="153"/>
      <c r="D411" s="169"/>
      <c r="E411" s="139"/>
      <c r="F411" s="141"/>
      <c r="G411" s="170" t="str">
        <f>IFERROR(__xludf.DUMMYFUNCTION("if($C411="""","""",iferror(if(row()&lt;&gt;2,INDEX(arrayformula(filter($H$2:$H410,$C$2:$C410&lt;&gt;"""",row($C$2:$C410)=max(if($C$2:$C410=C411,row($C$2:$C410),0)))) ,1),0),0))"),"")</f>
        <v/>
      </c>
      <c r="H411" s="170" t="str">
        <f t="shared" si="8"/>
        <v/>
      </c>
      <c r="I411" s="147" t="str">
        <f t="shared" si="1"/>
        <v/>
      </c>
      <c r="J411" s="147" t="str">
        <f t="shared" si="13"/>
        <v/>
      </c>
      <c r="K411" s="147" t="str">
        <f>IFERROR(__xludf.DUMMYFUNCTION("if(C411="""","""",iferror(if(row()&lt;&gt;2,INDEX(arrayformula(filter($L$2:$L410,$C$2:$C410&lt;&gt;"""",row($C$2:$C410)=max(if($C$2:$C410=C411,row($C$2:$C410),0)))) ,1),0),0))"),"")</f>
        <v/>
      </c>
      <c r="L411" s="147" t="str">
        <f t="shared" si="14"/>
        <v/>
      </c>
      <c r="M411" s="147" t="str">
        <f t="shared" si="15"/>
        <v/>
      </c>
      <c r="N411" s="147" t="str">
        <f t="shared" si="16"/>
        <v/>
      </c>
      <c r="O411" s="147" t="str">
        <f t="shared" si="6"/>
        <v/>
      </c>
      <c r="P411" s="150" t="str">
        <f t="shared" si="7"/>
        <v/>
      </c>
      <c r="Q411" s="151" t="str">
        <f>IFERROR(VLOOKUP(C411,Ativos!$A$1:$G2000,5,),)</f>
        <v/>
      </c>
    </row>
    <row r="412" ht="21.0" customHeight="1">
      <c r="A412" s="152"/>
      <c r="B412" s="160"/>
      <c r="C412" s="153"/>
      <c r="D412" s="169"/>
      <c r="E412" s="139"/>
      <c r="F412" s="141"/>
      <c r="G412" s="170" t="str">
        <f>IFERROR(__xludf.DUMMYFUNCTION("if($C412="""","""",iferror(if(row()&lt;&gt;2,INDEX(arrayformula(filter($H$2:$H411,$C$2:$C411&lt;&gt;"""",row($C$2:$C411)=max(if($C$2:$C411=C412,row($C$2:$C411),0)))) ,1),0),0))"),"")</f>
        <v/>
      </c>
      <c r="H412" s="170" t="str">
        <f t="shared" si="8"/>
        <v/>
      </c>
      <c r="I412" s="147" t="str">
        <f t="shared" si="1"/>
        <v/>
      </c>
      <c r="J412" s="147" t="str">
        <f t="shared" si="13"/>
        <v/>
      </c>
      <c r="K412" s="147" t="str">
        <f>IFERROR(__xludf.DUMMYFUNCTION("if(C412="""","""",iferror(if(row()&lt;&gt;2,INDEX(arrayformula(filter($L$2:$L411,$C$2:$C411&lt;&gt;"""",row($C$2:$C411)=max(if($C$2:$C411=C412,row($C$2:$C411),0)))) ,1),0),0))"),"")</f>
        <v/>
      </c>
      <c r="L412" s="147" t="str">
        <f t="shared" si="14"/>
        <v/>
      </c>
      <c r="M412" s="147" t="str">
        <f t="shared" si="15"/>
        <v/>
      </c>
      <c r="N412" s="147" t="str">
        <f t="shared" si="16"/>
        <v/>
      </c>
      <c r="O412" s="147" t="str">
        <f t="shared" si="6"/>
        <v/>
      </c>
      <c r="P412" s="150" t="str">
        <f t="shared" si="7"/>
        <v/>
      </c>
      <c r="Q412" s="151" t="str">
        <f>IFERROR(VLOOKUP(C412,Ativos!$A$1:$G2000,5,),)</f>
        <v/>
      </c>
    </row>
    <row r="413" ht="21.0" customHeight="1">
      <c r="A413" s="152"/>
      <c r="B413" s="160"/>
      <c r="C413" s="153"/>
      <c r="D413" s="169"/>
      <c r="E413" s="139"/>
      <c r="F413" s="141"/>
      <c r="G413" s="170" t="str">
        <f>IFERROR(__xludf.DUMMYFUNCTION("if($C413="""","""",iferror(if(row()&lt;&gt;2,INDEX(arrayformula(filter($H$2:$H412,$C$2:$C412&lt;&gt;"""",row($C$2:$C412)=max(if($C$2:$C412=C413,row($C$2:$C412),0)))) ,1),0),0))"),"")</f>
        <v/>
      </c>
      <c r="H413" s="170" t="str">
        <f t="shared" si="8"/>
        <v/>
      </c>
      <c r="I413" s="147" t="str">
        <f t="shared" si="1"/>
        <v/>
      </c>
      <c r="J413" s="147" t="str">
        <f t="shared" si="13"/>
        <v/>
      </c>
      <c r="K413" s="147" t="str">
        <f>IFERROR(__xludf.DUMMYFUNCTION("if(C413="""","""",iferror(if(row()&lt;&gt;2,INDEX(arrayformula(filter($L$2:$L412,$C$2:$C412&lt;&gt;"""",row($C$2:$C412)=max(if($C$2:$C412=C413,row($C$2:$C412),0)))) ,1),0),0))"),"")</f>
        <v/>
      </c>
      <c r="L413" s="147" t="str">
        <f t="shared" si="14"/>
        <v/>
      </c>
      <c r="M413" s="147" t="str">
        <f t="shared" si="15"/>
        <v/>
      </c>
      <c r="N413" s="147" t="str">
        <f t="shared" si="16"/>
        <v/>
      </c>
      <c r="O413" s="147" t="str">
        <f t="shared" si="6"/>
        <v/>
      </c>
      <c r="P413" s="150" t="str">
        <f t="shared" si="7"/>
        <v/>
      </c>
      <c r="Q413" s="151" t="str">
        <f>IFERROR(VLOOKUP(C413,Ativos!$A$1:$G2000,5,),)</f>
        <v/>
      </c>
    </row>
    <row r="414" ht="21.0" customHeight="1">
      <c r="A414" s="152"/>
      <c r="B414" s="160"/>
      <c r="C414" s="153"/>
      <c r="D414" s="169"/>
      <c r="E414" s="139"/>
      <c r="F414" s="141"/>
      <c r="G414" s="170" t="str">
        <f>IFERROR(__xludf.DUMMYFUNCTION("if($C414="""","""",iferror(if(row()&lt;&gt;2,INDEX(arrayformula(filter($H$2:$H413,$C$2:$C413&lt;&gt;"""",row($C$2:$C413)=max(if($C$2:$C413=C414,row($C$2:$C413),0)))) ,1),0),0))"),"")</f>
        <v/>
      </c>
      <c r="H414" s="170" t="str">
        <f t="shared" si="8"/>
        <v/>
      </c>
      <c r="I414" s="147" t="str">
        <f t="shared" si="1"/>
        <v/>
      </c>
      <c r="J414" s="147" t="str">
        <f t="shared" si="13"/>
        <v/>
      </c>
      <c r="K414" s="147" t="str">
        <f>IFERROR(__xludf.DUMMYFUNCTION("if(C414="""","""",iferror(if(row()&lt;&gt;2,INDEX(arrayformula(filter($L$2:$L413,$C$2:$C413&lt;&gt;"""",row($C$2:$C413)=max(if($C$2:$C413=C414,row($C$2:$C413),0)))) ,1),0),0))"),"")</f>
        <v/>
      </c>
      <c r="L414" s="147" t="str">
        <f t="shared" si="14"/>
        <v/>
      </c>
      <c r="M414" s="147" t="str">
        <f t="shared" si="15"/>
        <v/>
      </c>
      <c r="N414" s="147" t="str">
        <f t="shared" si="16"/>
        <v/>
      </c>
      <c r="O414" s="147" t="str">
        <f t="shared" si="6"/>
        <v/>
      </c>
      <c r="P414" s="150" t="str">
        <f t="shared" si="7"/>
        <v/>
      </c>
      <c r="Q414" s="151" t="str">
        <f>IFERROR(VLOOKUP(C414,Ativos!$A$1:$G2000,5,),)</f>
        <v/>
      </c>
    </row>
    <row r="415" ht="21.0" customHeight="1">
      <c r="A415" s="152"/>
      <c r="B415" s="160"/>
      <c r="C415" s="153"/>
      <c r="D415" s="169"/>
      <c r="E415" s="139"/>
      <c r="F415" s="141"/>
      <c r="G415" s="170" t="str">
        <f>IFERROR(__xludf.DUMMYFUNCTION("if($C415="""","""",iferror(if(row()&lt;&gt;2,INDEX(arrayformula(filter($H$2:$H414,$C$2:$C414&lt;&gt;"""",row($C$2:$C414)=max(if($C$2:$C414=C415,row($C$2:$C414),0)))) ,1),0),0))"),"")</f>
        <v/>
      </c>
      <c r="H415" s="170" t="str">
        <f t="shared" si="8"/>
        <v/>
      </c>
      <c r="I415" s="147" t="str">
        <f t="shared" si="1"/>
        <v/>
      </c>
      <c r="J415" s="147" t="str">
        <f t="shared" si="13"/>
        <v/>
      </c>
      <c r="K415" s="147" t="str">
        <f>IFERROR(__xludf.DUMMYFUNCTION("if(C415="""","""",iferror(if(row()&lt;&gt;2,INDEX(arrayformula(filter($L$2:$L414,$C$2:$C414&lt;&gt;"""",row($C$2:$C414)=max(if($C$2:$C414=C415,row($C$2:$C414),0)))) ,1),0),0))"),"")</f>
        <v/>
      </c>
      <c r="L415" s="147" t="str">
        <f t="shared" si="14"/>
        <v/>
      </c>
      <c r="M415" s="147" t="str">
        <f t="shared" si="15"/>
        <v/>
      </c>
      <c r="N415" s="147" t="str">
        <f t="shared" si="16"/>
        <v/>
      </c>
      <c r="O415" s="147" t="str">
        <f t="shared" si="6"/>
        <v/>
      </c>
      <c r="P415" s="150" t="str">
        <f t="shared" si="7"/>
        <v/>
      </c>
      <c r="Q415" s="151" t="str">
        <f>IFERROR(VLOOKUP(C415,Ativos!$A$1:$G2000,5,),)</f>
        <v/>
      </c>
    </row>
    <row r="416" ht="21.0" customHeight="1">
      <c r="A416" s="152"/>
      <c r="B416" s="160"/>
      <c r="C416" s="153"/>
      <c r="D416" s="169"/>
      <c r="E416" s="139"/>
      <c r="F416" s="141"/>
      <c r="G416" s="170" t="str">
        <f>IFERROR(__xludf.DUMMYFUNCTION("if($C416="""","""",iferror(if(row()&lt;&gt;2,INDEX(arrayformula(filter($H$2:$H415,$C$2:$C415&lt;&gt;"""",row($C$2:$C415)=max(if($C$2:$C415=C416,row($C$2:$C415),0)))) ,1),0),0))"),"")</f>
        <v/>
      </c>
      <c r="H416" s="170" t="str">
        <f t="shared" si="8"/>
        <v/>
      </c>
      <c r="I416" s="147" t="str">
        <f t="shared" si="1"/>
        <v/>
      </c>
      <c r="J416" s="147" t="str">
        <f t="shared" si="13"/>
        <v/>
      </c>
      <c r="K416" s="147" t="str">
        <f>IFERROR(__xludf.DUMMYFUNCTION("if(C416="""","""",iferror(if(row()&lt;&gt;2,INDEX(arrayformula(filter($L$2:$L415,$C$2:$C415&lt;&gt;"""",row($C$2:$C415)=max(if($C$2:$C415=C416,row($C$2:$C415),0)))) ,1),0),0))"),"")</f>
        <v/>
      </c>
      <c r="L416" s="147" t="str">
        <f t="shared" si="14"/>
        <v/>
      </c>
      <c r="M416" s="147" t="str">
        <f t="shared" si="15"/>
        <v/>
      </c>
      <c r="N416" s="147" t="str">
        <f t="shared" si="16"/>
        <v/>
      </c>
      <c r="O416" s="147" t="str">
        <f t="shared" si="6"/>
        <v/>
      </c>
      <c r="P416" s="150" t="str">
        <f t="shared" si="7"/>
        <v/>
      </c>
      <c r="Q416" s="151" t="str">
        <f>IFERROR(VLOOKUP(C416,Ativos!$A$1:$G2000,5,),)</f>
        <v/>
      </c>
    </row>
    <row r="417" ht="21.0" customHeight="1">
      <c r="A417" s="152"/>
      <c r="B417" s="160"/>
      <c r="C417" s="153"/>
      <c r="D417" s="169"/>
      <c r="E417" s="139"/>
      <c r="F417" s="141"/>
      <c r="G417" s="170" t="str">
        <f>IFERROR(__xludf.DUMMYFUNCTION("if($C417="""","""",iferror(if(row()&lt;&gt;2,INDEX(arrayformula(filter($H$2:$H416,$C$2:$C416&lt;&gt;"""",row($C$2:$C416)=max(if($C$2:$C416=C417,row($C$2:$C416),0)))) ,1),0),0))"),"")</f>
        <v/>
      </c>
      <c r="H417" s="170" t="str">
        <f t="shared" si="8"/>
        <v/>
      </c>
      <c r="I417" s="147" t="str">
        <f t="shared" si="1"/>
        <v/>
      </c>
      <c r="J417" s="147" t="str">
        <f t="shared" si="13"/>
        <v/>
      </c>
      <c r="K417" s="147" t="str">
        <f>IFERROR(__xludf.DUMMYFUNCTION("if(C417="""","""",iferror(if(row()&lt;&gt;2,INDEX(arrayformula(filter($L$2:$L416,$C$2:$C416&lt;&gt;"""",row($C$2:$C416)=max(if($C$2:$C416=C417,row($C$2:$C416),0)))) ,1),0),0))"),"")</f>
        <v/>
      </c>
      <c r="L417" s="147" t="str">
        <f t="shared" si="14"/>
        <v/>
      </c>
      <c r="M417" s="147" t="str">
        <f t="shared" si="15"/>
        <v/>
      </c>
      <c r="N417" s="147" t="str">
        <f t="shared" si="16"/>
        <v/>
      </c>
      <c r="O417" s="147" t="str">
        <f t="shared" si="6"/>
        <v/>
      </c>
      <c r="P417" s="150" t="str">
        <f t="shared" si="7"/>
        <v/>
      </c>
      <c r="Q417" s="151" t="str">
        <f>IFERROR(VLOOKUP(C417,Ativos!$A$1:$G2000,5,),)</f>
        <v/>
      </c>
    </row>
    <row r="418" ht="21.0" customHeight="1">
      <c r="A418" s="152"/>
      <c r="B418" s="160"/>
      <c r="C418" s="153"/>
      <c r="D418" s="169"/>
      <c r="E418" s="139"/>
      <c r="F418" s="141"/>
      <c r="G418" s="170" t="str">
        <f>IFERROR(__xludf.DUMMYFUNCTION("if($C418="""","""",iferror(if(row()&lt;&gt;2,INDEX(arrayformula(filter($H$2:$H417,$C$2:$C417&lt;&gt;"""",row($C$2:$C417)=max(if($C$2:$C417=C418,row($C$2:$C417),0)))) ,1),0),0))"),"")</f>
        <v/>
      </c>
      <c r="H418" s="170" t="str">
        <f t="shared" si="8"/>
        <v/>
      </c>
      <c r="I418" s="147" t="str">
        <f t="shared" si="1"/>
        <v/>
      </c>
      <c r="J418" s="147" t="str">
        <f t="shared" si="13"/>
        <v/>
      </c>
      <c r="K418" s="147" t="str">
        <f>IFERROR(__xludf.DUMMYFUNCTION("if(C418="""","""",iferror(if(row()&lt;&gt;2,INDEX(arrayformula(filter($L$2:$L417,$C$2:$C417&lt;&gt;"""",row($C$2:$C417)=max(if($C$2:$C417=C418,row($C$2:$C417),0)))) ,1),0),0))"),"")</f>
        <v/>
      </c>
      <c r="L418" s="147" t="str">
        <f t="shared" si="14"/>
        <v/>
      </c>
      <c r="M418" s="147" t="str">
        <f t="shared" si="15"/>
        <v/>
      </c>
      <c r="N418" s="147" t="str">
        <f t="shared" si="16"/>
        <v/>
      </c>
      <c r="O418" s="147" t="str">
        <f t="shared" si="6"/>
        <v/>
      </c>
      <c r="P418" s="150" t="str">
        <f t="shared" si="7"/>
        <v/>
      </c>
      <c r="Q418" s="151" t="str">
        <f>IFERROR(VLOOKUP(C418,Ativos!$A$1:$G2000,5,),)</f>
        <v/>
      </c>
    </row>
    <row r="419" ht="21.0" customHeight="1">
      <c r="A419" s="152"/>
      <c r="B419" s="160"/>
      <c r="C419" s="153"/>
      <c r="D419" s="169"/>
      <c r="E419" s="139"/>
      <c r="F419" s="141"/>
      <c r="G419" s="170" t="str">
        <f>IFERROR(__xludf.DUMMYFUNCTION("if($C419="""","""",iferror(if(row()&lt;&gt;2,INDEX(arrayformula(filter($H$2:$H418,$C$2:$C418&lt;&gt;"""",row($C$2:$C418)=max(if($C$2:$C418=C419,row($C$2:$C418),0)))) ,1),0),0))"),"")</f>
        <v/>
      </c>
      <c r="H419" s="170" t="str">
        <f t="shared" si="8"/>
        <v/>
      </c>
      <c r="I419" s="147" t="str">
        <f t="shared" si="1"/>
        <v/>
      </c>
      <c r="J419" s="147" t="str">
        <f t="shared" si="13"/>
        <v/>
      </c>
      <c r="K419" s="147" t="str">
        <f>IFERROR(__xludf.DUMMYFUNCTION("if(C419="""","""",iferror(if(row()&lt;&gt;2,INDEX(arrayformula(filter($L$2:$L418,$C$2:$C418&lt;&gt;"""",row($C$2:$C418)=max(if($C$2:$C418=C419,row($C$2:$C418),0)))) ,1),0),0))"),"")</f>
        <v/>
      </c>
      <c r="L419" s="147" t="str">
        <f t="shared" si="14"/>
        <v/>
      </c>
      <c r="M419" s="147" t="str">
        <f t="shared" si="15"/>
        <v/>
      </c>
      <c r="N419" s="147" t="str">
        <f t="shared" si="16"/>
        <v/>
      </c>
      <c r="O419" s="147" t="str">
        <f t="shared" si="6"/>
        <v/>
      </c>
      <c r="P419" s="150" t="str">
        <f t="shared" si="7"/>
        <v/>
      </c>
      <c r="Q419" s="151" t="str">
        <f>IFERROR(VLOOKUP(C419,Ativos!$A$1:$G2000,5,),)</f>
        <v/>
      </c>
    </row>
    <row r="420" ht="21.0" customHeight="1">
      <c r="A420" s="152"/>
      <c r="B420" s="160"/>
      <c r="C420" s="153"/>
      <c r="D420" s="169"/>
      <c r="E420" s="139"/>
      <c r="F420" s="141"/>
      <c r="G420" s="170" t="str">
        <f>IFERROR(__xludf.DUMMYFUNCTION("if($C420="""","""",iferror(if(row()&lt;&gt;2,INDEX(arrayformula(filter($H$2:$H419,$C$2:$C419&lt;&gt;"""",row($C$2:$C419)=max(if($C$2:$C419=C420,row($C$2:$C419),0)))) ,1),0),0))"),"")</f>
        <v/>
      </c>
      <c r="H420" s="170" t="str">
        <f t="shared" si="8"/>
        <v/>
      </c>
      <c r="I420" s="147" t="str">
        <f t="shared" si="1"/>
        <v/>
      </c>
      <c r="J420" s="147" t="str">
        <f t="shared" si="13"/>
        <v/>
      </c>
      <c r="K420" s="147" t="str">
        <f>IFERROR(__xludf.DUMMYFUNCTION("if(C420="""","""",iferror(if(row()&lt;&gt;2,INDEX(arrayformula(filter($L$2:$L419,$C$2:$C419&lt;&gt;"""",row($C$2:$C419)=max(if($C$2:$C419=C420,row($C$2:$C419),0)))) ,1),0),0))"),"")</f>
        <v/>
      </c>
      <c r="L420" s="147" t="str">
        <f t="shared" si="14"/>
        <v/>
      </c>
      <c r="M420" s="147" t="str">
        <f t="shared" si="15"/>
        <v/>
      </c>
      <c r="N420" s="147" t="str">
        <f t="shared" si="16"/>
        <v/>
      </c>
      <c r="O420" s="147" t="str">
        <f t="shared" si="6"/>
        <v/>
      </c>
      <c r="P420" s="150" t="str">
        <f t="shared" si="7"/>
        <v/>
      </c>
      <c r="Q420" s="151" t="str">
        <f>IFERROR(VLOOKUP(C420,Ativos!$A$1:$G2000,5,),)</f>
        <v/>
      </c>
    </row>
    <row r="421" ht="21.0" customHeight="1">
      <c r="A421" s="152"/>
      <c r="B421" s="160"/>
      <c r="C421" s="153"/>
      <c r="D421" s="169"/>
      <c r="E421" s="139"/>
      <c r="F421" s="141"/>
      <c r="G421" s="170" t="str">
        <f>IFERROR(__xludf.DUMMYFUNCTION("if($C421="""","""",iferror(if(row()&lt;&gt;2,INDEX(arrayformula(filter($H$2:$H420,$C$2:$C420&lt;&gt;"""",row($C$2:$C420)=max(if($C$2:$C420=C421,row($C$2:$C420),0)))) ,1),0),0))"),"")</f>
        <v/>
      </c>
      <c r="H421" s="170" t="str">
        <f t="shared" si="8"/>
        <v/>
      </c>
      <c r="I421" s="147" t="str">
        <f t="shared" si="1"/>
        <v/>
      </c>
      <c r="J421" s="147" t="str">
        <f t="shared" si="13"/>
        <v/>
      </c>
      <c r="K421" s="147" t="str">
        <f>IFERROR(__xludf.DUMMYFUNCTION("if(C421="""","""",iferror(if(row()&lt;&gt;2,INDEX(arrayformula(filter($L$2:$L420,$C$2:$C420&lt;&gt;"""",row($C$2:$C420)=max(if($C$2:$C420=C421,row($C$2:$C420),0)))) ,1),0),0))"),"")</f>
        <v/>
      </c>
      <c r="L421" s="147" t="str">
        <f t="shared" si="14"/>
        <v/>
      </c>
      <c r="M421" s="147" t="str">
        <f t="shared" si="15"/>
        <v/>
      </c>
      <c r="N421" s="147" t="str">
        <f t="shared" si="16"/>
        <v/>
      </c>
      <c r="O421" s="147" t="str">
        <f t="shared" si="6"/>
        <v/>
      </c>
      <c r="P421" s="150" t="str">
        <f t="shared" si="7"/>
        <v/>
      </c>
      <c r="Q421" s="151" t="str">
        <f>IFERROR(VLOOKUP(C421,Ativos!$A$1:$G2000,5,),)</f>
        <v/>
      </c>
    </row>
    <row r="422" ht="21.0" customHeight="1">
      <c r="A422" s="152"/>
      <c r="B422" s="160"/>
      <c r="C422" s="153"/>
      <c r="D422" s="169"/>
      <c r="E422" s="139"/>
      <c r="F422" s="141"/>
      <c r="G422" s="170" t="str">
        <f>IFERROR(__xludf.DUMMYFUNCTION("if($C422="""","""",iferror(if(row()&lt;&gt;2,INDEX(arrayformula(filter($H$2:$H421,$C$2:$C421&lt;&gt;"""",row($C$2:$C421)=max(if($C$2:$C421=C422,row($C$2:$C421),0)))) ,1),0),0))"),"")</f>
        <v/>
      </c>
      <c r="H422" s="170" t="str">
        <f t="shared" si="8"/>
        <v/>
      </c>
      <c r="I422" s="147" t="str">
        <f t="shared" si="1"/>
        <v/>
      </c>
      <c r="J422" s="147" t="str">
        <f t="shared" si="13"/>
        <v/>
      </c>
      <c r="K422" s="147" t="str">
        <f>IFERROR(__xludf.DUMMYFUNCTION("if(C422="""","""",iferror(if(row()&lt;&gt;2,INDEX(arrayformula(filter($L$2:$L421,$C$2:$C421&lt;&gt;"""",row($C$2:$C421)=max(if($C$2:$C421=C422,row($C$2:$C421),0)))) ,1),0),0))"),"")</f>
        <v/>
      </c>
      <c r="L422" s="147" t="str">
        <f t="shared" si="14"/>
        <v/>
      </c>
      <c r="M422" s="147" t="str">
        <f t="shared" si="15"/>
        <v/>
      </c>
      <c r="N422" s="147" t="str">
        <f t="shared" si="16"/>
        <v/>
      </c>
      <c r="O422" s="147" t="str">
        <f t="shared" si="6"/>
        <v/>
      </c>
      <c r="P422" s="150" t="str">
        <f t="shared" si="7"/>
        <v/>
      </c>
      <c r="Q422" s="151" t="str">
        <f>IFERROR(VLOOKUP(C422,Ativos!$A$1:$G2000,5,),)</f>
        <v/>
      </c>
    </row>
    <row r="423" ht="21.0" customHeight="1">
      <c r="A423" s="152"/>
      <c r="B423" s="160"/>
      <c r="C423" s="153"/>
      <c r="D423" s="169"/>
      <c r="E423" s="139"/>
      <c r="F423" s="141"/>
      <c r="G423" s="170" t="str">
        <f>IFERROR(__xludf.DUMMYFUNCTION("if($C423="""","""",iferror(if(row()&lt;&gt;2,INDEX(arrayformula(filter($H$2:$H422,$C$2:$C422&lt;&gt;"""",row($C$2:$C422)=max(if($C$2:$C422=C423,row($C$2:$C422),0)))) ,1),0),0))"),"")</f>
        <v/>
      </c>
      <c r="H423" s="170" t="str">
        <f t="shared" si="8"/>
        <v/>
      </c>
      <c r="I423" s="147" t="str">
        <f t="shared" si="1"/>
        <v/>
      </c>
      <c r="J423" s="147" t="str">
        <f t="shared" si="13"/>
        <v/>
      </c>
      <c r="K423" s="147" t="str">
        <f>IFERROR(__xludf.DUMMYFUNCTION("if(C423="""","""",iferror(if(row()&lt;&gt;2,INDEX(arrayformula(filter($L$2:$L422,$C$2:$C422&lt;&gt;"""",row($C$2:$C422)=max(if($C$2:$C422=C423,row($C$2:$C422),0)))) ,1),0),0))"),"")</f>
        <v/>
      </c>
      <c r="L423" s="147" t="str">
        <f t="shared" si="14"/>
        <v/>
      </c>
      <c r="M423" s="147" t="str">
        <f t="shared" si="15"/>
        <v/>
      </c>
      <c r="N423" s="147" t="str">
        <f t="shared" si="16"/>
        <v/>
      </c>
      <c r="O423" s="147" t="str">
        <f t="shared" si="6"/>
        <v/>
      </c>
      <c r="P423" s="150" t="str">
        <f t="shared" si="7"/>
        <v/>
      </c>
      <c r="Q423" s="151" t="str">
        <f>IFERROR(VLOOKUP(C423,Ativos!$A$1:$G2000,5,),)</f>
        <v/>
      </c>
    </row>
    <row r="424" ht="21.0" customHeight="1">
      <c r="A424" s="152"/>
      <c r="B424" s="160"/>
      <c r="C424" s="153"/>
      <c r="D424" s="169"/>
      <c r="E424" s="139"/>
      <c r="F424" s="141"/>
      <c r="G424" s="170" t="str">
        <f>IFERROR(__xludf.DUMMYFUNCTION("if($C424="""","""",iferror(if(row()&lt;&gt;2,INDEX(arrayformula(filter($H$2:$H423,$C$2:$C423&lt;&gt;"""",row($C$2:$C423)=max(if($C$2:$C423=C424,row($C$2:$C423),0)))) ,1),0),0))"),"")</f>
        <v/>
      </c>
      <c r="H424" s="170" t="str">
        <f t="shared" si="8"/>
        <v/>
      </c>
      <c r="I424" s="147" t="str">
        <f t="shared" si="1"/>
        <v/>
      </c>
      <c r="J424" s="147" t="str">
        <f t="shared" si="13"/>
        <v/>
      </c>
      <c r="K424" s="147" t="str">
        <f>IFERROR(__xludf.DUMMYFUNCTION("if(C424="""","""",iferror(if(row()&lt;&gt;2,INDEX(arrayformula(filter($L$2:$L423,$C$2:$C423&lt;&gt;"""",row($C$2:$C423)=max(if($C$2:$C423=C424,row($C$2:$C423),0)))) ,1),0),0))"),"")</f>
        <v/>
      </c>
      <c r="L424" s="147" t="str">
        <f t="shared" si="14"/>
        <v/>
      </c>
      <c r="M424" s="147" t="str">
        <f t="shared" si="15"/>
        <v/>
      </c>
      <c r="N424" s="147" t="str">
        <f t="shared" si="16"/>
        <v/>
      </c>
      <c r="O424" s="147" t="str">
        <f t="shared" si="6"/>
        <v/>
      </c>
      <c r="P424" s="150" t="str">
        <f t="shared" si="7"/>
        <v/>
      </c>
      <c r="Q424" s="151" t="str">
        <f>IFERROR(VLOOKUP(C424,Ativos!$A$1:$G2000,5,),)</f>
        <v/>
      </c>
    </row>
    <row r="425" ht="21.0" customHeight="1">
      <c r="A425" s="152"/>
      <c r="B425" s="160"/>
      <c r="C425" s="153"/>
      <c r="D425" s="169"/>
      <c r="E425" s="139"/>
      <c r="F425" s="141"/>
      <c r="G425" s="170" t="str">
        <f>IFERROR(__xludf.DUMMYFUNCTION("if($C425="""","""",iferror(if(row()&lt;&gt;2,INDEX(arrayformula(filter($H$2:$H424,$C$2:$C424&lt;&gt;"""",row($C$2:$C424)=max(if($C$2:$C424=C425,row($C$2:$C424),0)))) ,1),0),0))"),"")</f>
        <v/>
      </c>
      <c r="H425" s="170" t="str">
        <f t="shared" si="8"/>
        <v/>
      </c>
      <c r="I425" s="147" t="str">
        <f t="shared" si="1"/>
        <v/>
      </c>
      <c r="J425" s="147" t="str">
        <f t="shared" si="13"/>
        <v/>
      </c>
      <c r="K425" s="147" t="str">
        <f>IFERROR(__xludf.DUMMYFUNCTION("if(C425="""","""",iferror(if(row()&lt;&gt;2,INDEX(arrayformula(filter($L$2:$L424,$C$2:$C424&lt;&gt;"""",row($C$2:$C424)=max(if($C$2:$C424=C425,row($C$2:$C424),0)))) ,1),0),0))"),"")</f>
        <v/>
      </c>
      <c r="L425" s="147" t="str">
        <f t="shared" si="14"/>
        <v/>
      </c>
      <c r="M425" s="147" t="str">
        <f t="shared" si="15"/>
        <v/>
      </c>
      <c r="N425" s="147" t="str">
        <f t="shared" si="16"/>
        <v/>
      </c>
      <c r="O425" s="147" t="str">
        <f t="shared" si="6"/>
        <v/>
      </c>
      <c r="P425" s="150" t="str">
        <f t="shared" si="7"/>
        <v/>
      </c>
      <c r="Q425" s="151" t="str">
        <f>IFERROR(VLOOKUP(C425,Ativos!$A$1:$G2000,5,),)</f>
        <v/>
      </c>
    </row>
    <row r="426" ht="21.0" customHeight="1">
      <c r="A426" s="152"/>
      <c r="B426" s="160"/>
      <c r="C426" s="153"/>
      <c r="D426" s="169"/>
      <c r="E426" s="139"/>
      <c r="F426" s="141"/>
      <c r="G426" s="170" t="str">
        <f>IFERROR(__xludf.DUMMYFUNCTION("if($C426="""","""",iferror(if(row()&lt;&gt;2,INDEX(arrayformula(filter($H$2:$H425,$C$2:$C425&lt;&gt;"""",row($C$2:$C425)=max(if($C$2:$C425=C426,row($C$2:$C425),0)))) ,1),0),0))"),"")</f>
        <v/>
      </c>
      <c r="H426" s="170" t="str">
        <f t="shared" si="8"/>
        <v/>
      </c>
      <c r="I426" s="147" t="str">
        <f t="shared" si="1"/>
        <v/>
      </c>
      <c r="J426" s="147" t="str">
        <f t="shared" si="13"/>
        <v/>
      </c>
      <c r="K426" s="147" t="str">
        <f>IFERROR(__xludf.DUMMYFUNCTION("if(C426="""","""",iferror(if(row()&lt;&gt;2,INDEX(arrayformula(filter($L$2:$L425,$C$2:$C425&lt;&gt;"""",row($C$2:$C425)=max(if($C$2:$C425=C426,row($C$2:$C425),0)))) ,1),0),0))"),"")</f>
        <v/>
      </c>
      <c r="L426" s="147" t="str">
        <f t="shared" si="14"/>
        <v/>
      </c>
      <c r="M426" s="147" t="str">
        <f t="shared" si="15"/>
        <v/>
      </c>
      <c r="N426" s="147" t="str">
        <f t="shared" si="16"/>
        <v/>
      </c>
      <c r="O426" s="147" t="str">
        <f t="shared" si="6"/>
        <v/>
      </c>
      <c r="P426" s="150" t="str">
        <f t="shared" si="7"/>
        <v/>
      </c>
      <c r="Q426" s="151" t="str">
        <f>IFERROR(VLOOKUP(C426,Ativos!$A$1:$G2000,5,),)</f>
        <v/>
      </c>
    </row>
    <row r="427" ht="21.0" customHeight="1">
      <c r="A427" s="152"/>
      <c r="B427" s="160"/>
      <c r="C427" s="153"/>
      <c r="D427" s="169"/>
      <c r="E427" s="139"/>
      <c r="F427" s="141"/>
      <c r="G427" s="170" t="str">
        <f>IFERROR(__xludf.DUMMYFUNCTION("if($C427="""","""",iferror(if(row()&lt;&gt;2,INDEX(arrayformula(filter($H$2:$H426,$C$2:$C426&lt;&gt;"""",row($C$2:$C426)=max(if($C$2:$C426=C427,row($C$2:$C426),0)))) ,1),0),0))"),"")</f>
        <v/>
      </c>
      <c r="H427" s="170" t="str">
        <f t="shared" si="8"/>
        <v/>
      </c>
      <c r="I427" s="147" t="str">
        <f t="shared" si="1"/>
        <v/>
      </c>
      <c r="J427" s="147" t="str">
        <f t="shared" si="13"/>
        <v/>
      </c>
      <c r="K427" s="147" t="str">
        <f>IFERROR(__xludf.DUMMYFUNCTION("if(C427="""","""",iferror(if(row()&lt;&gt;2,INDEX(arrayformula(filter($L$2:$L426,$C$2:$C426&lt;&gt;"""",row($C$2:$C426)=max(if($C$2:$C426=C427,row($C$2:$C426),0)))) ,1),0),0))"),"")</f>
        <v/>
      </c>
      <c r="L427" s="147" t="str">
        <f t="shared" si="14"/>
        <v/>
      </c>
      <c r="M427" s="147" t="str">
        <f t="shared" si="15"/>
        <v/>
      </c>
      <c r="N427" s="147" t="str">
        <f t="shared" si="16"/>
        <v/>
      </c>
      <c r="O427" s="147" t="str">
        <f t="shared" si="6"/>
        <v/>
      </c>
      <c r="P427" s="150" t="str">
        <f t="shared" si="7"/>
        <v/>
      </c>
      <c r="Q427" s="151" t="str">
        <f>IFERROR(VLOOKUP(C427,Ativos!$A$1:$G2000,5,),)</f>
        <v/>
      </c>
    </row>
    <row r="428" ht="21.0" customHeight="1">
      <c r="A428" s="152"/>
      <c r="B428" s="160"/>
      <c r="C428" s="153"/>
      <c r="D428" s="169"/>
      <c r="E428" s="139"/>
      <c r="F428" s="141"/>
      <c r="G428" s="170" t="str">
        <f>IFERROR(__xludf.DUMMYFUNCTION("if($C428="""","""",iferror(if(row()&lt;&gt;2,INDEX(arrayformula(filter($H$2:$H427,$C$2:$C427&lt;&gt;"""",row($C$2:$C427)=max(if($C$2:$C427=C428,row($C$2:$C427),0)))) ,1),0),0))"),"")</f>
        <v/>
      </c>
      <c r="H428" s="170" t="str">
        <f t="shared" si="8"/>
        <v/>
      </c>
      <c r="I428" s="147" t="str">
        <f t="shared" si="1"/>
        <v/>
      </c>
      <c r="J428" s="147" t="str">
        <f t="shared" si="13"/>
        <v/>
      </c>
      <c r="K428" s="147" t="str">
        <f>IFERROR(__xludf.DUMMYFUNCTION("if(C428="""","""",iferror(if(row()&lt;&gt;2,INDEX(arrayformula(filter($L$2:$L427,$C$2:$C427&lt;&gt;"""",row($C$2:$C427)=max(if($C$2:$C427=C428,row($C$2:$C427),0)))) ,1),0),0))"),"")</f>
        <v/>
      </c>
      <c r="L428" s="147" t="str">
        <f t="shared" si="14"/>
        <v/>
      </c>
      <c r="M428" s="147" t="str">
        <f t="shared" si="15"/>
        <v/>
      </c>
      <c r="N428" s="147" t="str">
        <f t="shared" si="16"/>
        <v/>
      </c>
      <c r="O428" s="147" t="str">
        <f t="shared" si="6"/>
        <v/>
      </c>
      <c r="P428" s="150" t="str">
        <f t="shared" si="7"/>
        <v/>
      </c>
      <c r="Q428" s="151" t="str">
        <f>IFERROR(VLOOKUP(C428,Ativos!$A$1:$G2000,5,),)</f>
        <v/>
      </c>
    </row>
    <row r="429" ht="21.0" customHeight="1">
      <c r="A429" s="152"/>
      <c r="B429" s="160"/>
      <c r="C429" s="153"/>
      <c r="D429" s="169"/>
      <c r="E429" s="139"/>
      <c r="F429" s="141"/>
      <c r="G429" s="170" t="str">
        <f>IFERROR(__xludf.DUMMYFUNCTION("if($C429="""","""",iferror(if(row()&lt;&gt;2,INDEX(arrayformula(filter($H$2:$H428,$C$2:$C428&lt;&gt;"""",row($C$2:$C428)=max(if($C$2:$C428=C429,row($C$2:$C428),0)))) ,1),0),0))"),"")</f>
        <v/>
      </c>
      <c r="H429" s="170" t="str">
        <f t="shared" si="8"/>
        <v/>
      </c>
      <c r="I429" s="147" t="str">
        <f t="shared" si="1"/>
        <v/>
      </c>
      <c r="J429" s="147" t="str">
        <f t="shared" si="13"/>
        <v/>
      </c>
      <c r="K429" s="147" t="str">
        <f>IFERROR(__xludf.DUMMYFUNCTION("if(C429="""","""",iferror(if(row()&lt;&gt;2,INDEX(arrayformula(filter($L$2:$L428,$C$2:$C428&lt;&gt;"""",row($C$2:$C428)=max(if($C$2:$C428=C429,row($C$2:$C428),0)))) ,1),0),0))"),"")</f>
        <v/>
      </c>
      <c r="L429" s="147" t="str">
        <f t="shared" si="14"/>
        <v/>
      </c>
      <c r="M429" s="147" t="str">
        <f t="shared" si="15"/>
        <v/>
      </c>
      <c r="N429" s="147" t="str">
        <f t="shared" si="16"/>
        <v/>
      </c>
      <c r="O429" s="147" t="str">
        <f t="shared" si="6"/>
        <v/>
      </c>
      <c r="P429" s="150" t="str">
        <f t="shared" si="7"/>
        <v/>
      </c>
      <c r="Q429" s="151" t="str">
        <f>IFERROR(VLOOKUP(C429,Ativos!$A$1:$G2000,5,),)</f>
        <v/>
      </c>
    </row>
    <row r="430" ht="21.0" customHeight="1">
      <c r="A430" s="152"/>
      <c r="B430" s="160"/>
      <c r="C430" s="153"/>
      <c r="D430" s="169"/>
      <c r="E430" s="139"/>
      <c r="F430" s="141"/>
      <c r="G430" s="170" t="str">
        <f>IFERROR(__xludf.DUMMYFUNCTION("if($C430="""","""",iferror(if(row()&lt;&gt;2,INDEX(arrayformula(filter($H$2:$H429,$C$2:$C429&lt;&gt;"""",row($C$2:$C429)=max(if($C$2:$C429=C430,row($C$2:$C429),0)))) ,1),0),0))"),"")</f>
        <v/>
      </c>
      <c r="H430" s="170" t="str">
        <f t="shared" si="8"/>
        <v/>
      </c>
      <c r="I430" s="147" t="str">
        <f t="shared" si="1"/>
        <v/>
      </c>
      <c r="J430" s="147" t="str">
        <f t="shared" si="13"/>
        <v/>
      </c>
      <c r="K430" s="147" t="str">
        <f>IFERROR(__xludf.DUMMYFUNCTION("if(C430="""","""",iferror(if(row()&lt;&gt;2,INDEX(arrayformula(filter($L$2:$L429,$C$2:$C429&lt;&gt;"""",row($C$2:$C429)=max(if($C$2:$C429=C430,row($C$2:$C429),0)))) ,1),0),0))"),"")</f>
        <v/>
      </c>
      <c r="L430" s="147" t="str">
        <f t="shared" si="14"/>
        <v/>
      </c>
      <c r="M430" s="147" t="str">
        <f t="shared" si="15"/>
        <v/>
      </c>
      <c r="N430" s="147" t="str">
        <f t="shared" si="16"/>
        <v/>
      </c>
      <c r="O430" s="147" t="str">
        <f t="shared" si="6"/>
        <v/>
      </c>
      <c r="P430" s="150" t="str">
        <f t="shared" si="7"/>
        <v/>
      </c>
      <c r="Q430" s="151" t="str">
        <f>IFERROR(VLOOKUP(C430,Ativos!$A$1:$G2000,5,),)</f>
        <v/>
      </c>
    </row>
    <row r="431" ht="21.0" customHeight="1">
      <c r="A431" s="152"/>
      <c r="B431" s="160"/>
      <c r="C431" s="153"/>
      <c r="D431" s="169"/>
      <c r="E431" s="139"/>
      <c r="F431" s="141"/>
      <c r="G431" s="170" t="str">
        <f>IFERROR(__xludf.DUMMYFUNCTION("if($C431="""","""",iferror(if(row()&lt;&gt;2,INDEX(arrayformula(filter($H$2:$H430,$C$2:$C430&lt;&gt;"""",row($C$2:$C430)=max(if($C$2:$C430=C431,row($C$2:$C430),0)))) ,1),0),0))"),"")</f>
        <v/>
      </c>
      <c r="H431" s="170" t="str">
        <f t="shared" si="8"/>
        <v/>
      </c>
      <c r="I431" s="147" t="str">
        <f t="shared" si="1"/>
        <v/>
      </c>
      <c r="J431" s="147" t="str">
        <f t="shared" si="13"/>
        <v/>
      </c>
      <c r="K431" s="147" t="str">
        <f>IFERROR(__xludf.DUMMYFUNCTION("if(C431="""","""",iferror(if(row()&lt;&gt;2,INDEX(arrayformula(filter($L$2:$L430,$C$2:$C430&lt;&gt;"""",row($C$2:$C430)=max(if($C$2:$C430=C431,row($C$2:$C430),0)))) ,1),0),0))"),"")</f>
        <v/>
      </c>
      <c r="L431" s="147" t="str">
        <f t="shared" si="14"/>
        <v/>
      </c>
      <c r="M431" s="147" t="str">
        <f t="shared" si="15"/>
        <v/>
      </c>
      <c r="N431" s="147" t="str">
        <f t="shared" si="16"/>
        <v/>
      </c>
      <c r="O431" s="147" t="str">
        <f t="shared" si="6"/>
        <v/>
      </c>
      <c r="P431" s="150" t="str">
        <f t="shared" si="7"/>
        <v/>
      </c>
      <c r="Q431" s="151" t="str">
        <f>IFERROR(VLOOKUP(C431,Ativos!$A$1:$G2000,5,),)</f>
        <v/>
      </c>
    </row>
    <row r="432" ht="21.0" customHeight="1">
      <c r="A432" s="152"/>
      <c r="B432" s="160"/>
      <c r="C432" s="153"/>
      <c r="D432" s="169"/>
      <c r="E432" s="139"/>
      <c r="F432" s="141"/>
      <c r="G432" s="170" t="str">
        <f>IFERROR(__xludf.DUMMYFUNCTION("if($C432="""","""",iferror(if(row()&lt;&gt;2,INDEX(arrayformula(filter($H$2:$H431,$C$2:$C431&lt;&gt;"""",row($C$2:$C431)=max(if($C$2:$C431=C432,row($C$2:$C431),0)))) ,1),0),0))"),"")</f>
        <v/>
      </c>
      <c r="H432" s="170" t="str">
        <f t="shared" si="8"/>
        <v/>
      </c>
      <c r="I432" s="147" t="str">
        <f t="shared" si="1"/>
        <v/>
      </c>
      <c r="J432" s="147" t="str">
        <f t="shared" si="13"/>
        <v/>
      </c>
      <c r="K432" s="147" t="str">
        <f>IFERROR(__xludf.DUMMYFUNCTION("if(C432="""","""",iferror(if(row()&lt;&gt;2,INDEX(arrayformula(filter($L$2:$L431,$C$2:$C431&lt;&gt;"""",row($C$2:$C431)=max(if($C$2:$C431=C432,row($C$2:$C431),0)))) ,1),0),0))"),"")</f>
        <v/>
      </c>
      <c r="L432" s="147" t="str">
        <f t="shared" si="14"/>
        <v/>
      </c>
      <c r="M432" s="147" t="str">
        <f t="shared" si="15"/>
        <v/>
      </c>
      <c r="N432" s="147" t="str">
        <f t="shared" si="16"/>
        <v/>
      </c>
      <c r="O432" s="147" t="str">
        <f t="shared" si="6"/>
        <v/>
      </c>
      <c r="P432" s="150" t="str">
        <f t="shared" si="7"/>
        <v/>
      </c>
      <c r="Q432" s="151" t="str">
        <f>IFERROR(VLOOKUP(C432,Ativos!$A$1:$G2000,5,),)</f>
        <v/>
      </c>
    </row>
    <row r="433" ht="21.0" customHeight="1">
      <c r="A433" s="152"/>
      <c r="B433" s="160"/>
      <c r="C433" s="153"/>
      <c r="D433" s="169"/>
      <c r="E433" s="139"/>
      <c r="F433" s="141"/>
      <c r="G433" s="170" t="str">
        <f>IFERROR(__xludf.DUMMYFUNCTION("if($C433="""","""",iferror(if(row()&lt;&gt;2,INDEX(arrayformula(filter($H$2:$H432,$C$2:$C432&lt;&gt;"""",row($C$2:$C432)=max(if($C$2:$C432=C433,row($C$2:$C432),0)))) ,1),0),0))"),"")</f>
        <v/>
      </c>
      <c r="H433" s="170" t="str">
        <f t="shared" si="8"/>
        <v/>
      </c>
      <c r="I433" s="147" t="str">
        <f t="shared" si="1"/>
        <v/>
      </c>
      <c r="J433" s="147" t="str">
        <f t="shared" si="13"/>
        <v/>
      </c>
      <c r="K433" s="147" t="str">
        <f>IFERROR(__xludf.DUMMYFUNCTION("if(C433="""","""",iferror(if(row()&lt;&gt;2,INDEX(arrayformula(filter($L$2:$L432,$C$2:$C432&lt;&gt;"""",row($C$2:$C432)=max(if($C$2:$C432=C433,row($C$2:$C432),0)))) ,1),0),0))"),"")</f>
        <v/>
      </c>
      <c r="L433" s="147" t="str">
        <f t="shared" si="14"/>
        <v/>
      </c>
      <c r="M433" s="147" t="str">
        <f t="shared" si="15"/>
        <v/>
      </c>
      <c r="N433" s="147" t="str">
        <f t="shared" si="16"/>
        <v/>
      </c>
      <c r="O433" s="147" t="str">
        <f t="shared" si="6"/>
        <v/>
      </c>
      <c r="P433" s="150" t="str">
        <f t="shared" si="7"/>
        <v/>
      </c>
      <c r="Q433" s="151" t="str">
        <f>IFERROR(VLOOKUP(C433,Ativos!$A$1:$G2000,5,),)</f>
        <v/>
      </c>
    </row>
    <row r="434" ht="21.0" customHeight="1">
      <c r="A434" s="152"/>
      <c r="B434" s="160"/>
      <c r="C434" s="153"/>
      <c r="D434" s="169"/>
      <c r="E434" s="139"/>
      <c r="F434" s="141"/>
      <c r="G434" s="170" t="str">
        <f>IFERROR(__xludf.DUMMYFUNCTION("if($C434="""","""",iferror(if(row()&lt;&gt;2,INDEX(arrayformula(filter($H$2:$H433,$C$2:$C433&lt;&gt;"""",row($C$2:$C433)=max(if($C$2:$C433=C434,row($C$2:$C433),0)))) ,1),0),0))"),"")</f>
        <v/>
      </c>
      <c r="H434" s="170" t="str">
        <f t="shared" si="8"/>
        <v/>
      </c>
      <c r="I434" s="147" t="str">
        <f t="shared" si="1"/>
        <v/>
      </c>
      <c r="J434" s="147" t="str">
        <f t="shared" si="13"/>
        <v/>
      </c>
      <c r="K434" s="147" t="str">
        <f>IFERROR(__xludf.DUMMYFUNCTION("if(C434="""","""",iferror(if(row()&lt;&gt;2,INDEX(arrayformula(filter($L$2:$L433,$C$2:$C433&lt;&gt;"""",row($C$2:$C433)=max(if($C$2:$C433=C434,row($C$2:$C433),0)))) ,1),0),0))"),"")</f>
        <v/>
      </c>
      <c r="L434" s="147" t="str">
        <f t="shared" si="14"/>
        <v/>
      </c>
      <c r="M434" s="147" t="str">
        <f t="shared" si="15"/>
        <v/>
      </c>
      <c r="N434" s="147" t="str">
        <f t="shared" si="16"/>
        <v/>
      </c>
      <c r="O434" s="147" t="str">
        <f t="shared" si="6"/>
        <v/>
      </c>
      <c r="P434" s="150" t="str">
        <f t="shared" si="7"/>
        <v/>
      </c>
      <c r="Q434" s="151" t="str">
        <f>IFERROR(VLOOKUP(C434,Ativos!$A$1:$G2000,5,),)</f>
        <v/>
      </c>
    </row>
    <row r="435" ht="21.0" customHeight="1">
      <c r="A435" s="152"/>
      <c r="B435" s="160"/>
      <c r="C435" s="153"/>
      <c r="D435" s="169"/>
      <c r="E435" s="139"/>
      <c r="F435" s="141"/>
      <c r="G435" s="170" t="str">
        <f>IFERROR(__xludf.DUMMYFUNCTION("if($C435="""","""",iferror(if(row()&lt;&gt;2,INDEX(arrayformula(filter($H$2:$H434,$C$2:$C434&lt;&gt;"""",row($C$2:$C434)=max(if($C$2:$C434=C435,row($C$2:$C434),0)))) ,1),0),0))"),"")</f>
        <v/>
      </c>
      <c r="H435" s="170" t="str">
        <f t="shared" si="8"/>
        <v/>
      </c>
      <c r="I435" s="147" t="str">
        <f t="shared" si="1"/>
        <v/>
      </c>
      <c r="J435" s="147" t="str">
        <f t="shared" si="13"/>
        <v/>
      </c>
      <c r="K435" s="147" t="str">
        <f>IFERROR(__xludf.DUMMYFUNCTION("if(C435="""","""",iferror(if(row()&lt;&gt;2,INDEX(arrayformula(filter($L$2:$L434,$C$2:$C434&lt;&gt;"""",row($C$2:$C434)=max(if($C$2:$C434=C435,row($C$2:$C434),0)))) ,1),0),0))"),"")</f>
        <v/>
      </c>
      <c r="L435" s="147" t="str">
        <f t="shared" si="14"/>
        <v/>
      </c>
      <c r="M435" s="147" t="str">
        <f t="shared" si="15"/>
        <v/>
      </c>
      <c r="N435" s="147" t="str">
        <f t="shared" si="16"/>
        <v/>
      </c>
      <c r="O435" s="147" t="str">
        <f t="shared" si="6"/>
        <v/>
      </c>
      <c r="P435" s="150" t="str">
        <f t="shared" si="7"/>
        <v/>
      </c>
      <c r="Q435" s="151" t="str">
        <f>IFERROR(VLOOKUP(C435,Ativos!$A$1:$G2000,5,),)</f>
        <v/>
      </c>
    </row>
    <row r="436" ht="21.0" customHeight="1">
      <c r="A436" s="152"/>
      <c r="B436" s="160"/>
      <c r="C436" s="153"/>
      <c r="D436" s="169"/>
      <c r="E436" s="139"/>
      <c r="F436" s="141"/>
      <c r="G436" s="170" t="str">
        <f>IFERROR(__xludf.DUMMYFUNCTION("if($C436="""","""",iferror(if(row()&lt;&gt;2,INDEX(arrayformula(filter($H$2:$H435,$C$2:$C435&lt;&gt;"""",row($C$2:$C435)=max(if($C$2:$C435=C436,row($C$2:$C435),0)))) ,1),0),0))"),"")</f>
        <v/>
      </c>
      <c r="H436" s="170" t="str">
        <f t="shared" si="8"/>
        <v/>
      </c>
      <c r="I436" s="147" t="str">
        <f t="shared" si="1"/>
        <v/>
      </c>
      <c r="J436" s="147" t="str">
        <f t="shared" si="13"/>
        <v/>
      </c>
      <c r="K436" s="147" t="str">
        <f>IFERROR(__xludf.DUMMYFUNCTION("if(C436="""","""",iferror(if(row()&lt;&gt;2,INDEX(arrayformula(filter($L$2:$L435,$C$2:$C435&lt;&gt;"""",row($C$2:$C435)=max(if($C$2:$C435=C436,row($C$2:$C435),0)))) ,1),0),0))"),"")</f>
        <v/>
      </c>
      <c r="L436" s="147" t="str">
        <f t="shared" si="14"/>
        <v/>
      </c>
      <c r="M436" s="147" t="str">
        <f t="shared" si="15"/>
        <v/>
      </c>
      <c r="N436" s="147" t="str">
        <f t="shared" si="16"/>
        <v/>
      </c>
      <c r="O436" s="147" t="str">
        <f t="shared" si="6"/>
        <v/>
      </c>
      <c r="P436" s="150" t="str">
        <f t="shared" si="7"/>
        <v/>
      </c>
      <c r="Q436" s="151" t="str">
        <f>IFERROR(VLOOKUP(C436,Ativos!$A$1:$G2000,5,),)</f>
        <v/>
      </c>
    </row>
    <row r="437" ht="21.0" customHeight="1">
      <c r="A437" s="152"/>
      <c r="B437" s="160"/>
      <c r="C437" s="153"/>
      <c r="D437" s="169"/>
      <c r="E437" s="139"/>
      <c r="F437" s="141"/>
      <c r="G437" s="170" t="str">
        <f>IFERROR(__xludf.DUMMYFUNCTION("if($C437="""","""",iferror(if(row()&lt;&gt;2,INDEX(arrayformula(filter($H$2:$H436,$C$2:$C436&lt;&gt;"""",row($C$2:$C436)=max(if($C$2:$C436=C437,row($C$2:$C436),0)))) ,1),0),0))"),"")</f>
        <v/>
      </c>
      <c r="H437" s="170" t="str">
        <f t="shared" si="8"/>
        <v/>
      </c>
      <c r="I437" s="147" t="str">
        <f t="shared" si="1"/>
        <v/>
      </c>
      <c r="J437" s="147" t="str">
        <f t="shared" si="13"/>
        <v/>
      </c>
      <c r="K437" s="147" t="str">
        <f>IFERROR(__xludf.DUMMYFUNCTION("if(C437="""","""",iferror(if(row()&lt;&gt;2,INDEX(arrayformula(filter($L$2:$L436,$C$2:$C436&lt;&gt;"""",row($C$2:$C436)=max(if($C$2:$C436=C437,row($C$2:$C436),0)))) ,1),0),0))"),"")</f>
        <v/>
      </c>
      <c r="L437" s="147" t="str">
        <f t="shared" si="14"/>
        <v/>
      </c>
      <c r="M437" s="147" t="str">
        <f t="shared" si="15"/>
        <v/>
      </c>
      <c r="N437" s="147" t="str">
        <f t="shared" si="16"/>
        <v/>
      </c>
      <c r="O437" s="147" t="str">
        <f t="shared" si="6"/>
        <v/>
      </c>
      <c r="P437" s="150" t="str">
        <f t="shared" si="7"/>
        <v/>
      </c>
      <c r="Q437" s="151" t="str">
        <f>IFERROR(VLOOKUP(C437,Ativos!$A$1:$G2000,5,),)</f>
        <v/>
      </c>
    </row>
    <row r="438" ht="21.0" customHeight="1">
      <c r="A438" s="152"/>
      <c r="B438" s="160"/>
      <c r="C438" s="153"/>
      <c r="D438" s="169"/>
      <c r="E438" s="139"/>
      <c r="F438" s="141"/>
      <c r="G438" s="170" t="str">
        <f>IFERROR(__xludf.DUMMYFUNCTION("if($C438="""","""",iferror(if(row()&lt;&gt;2,INDEX(arrayformula(filter($H$2:$H437,$C$2:$C437&lt;&gt;"""",row($C$2:$C437)=max(if($C$2:$C437=C438,row($C$2:$C437),0)))) ,1),0),0))"),"")</f>
        <v/>
      </c>
      <c r="H438" s="170" t="str">
        <f t="shared" si="8"/>
        <v/>
      </c>
      <c r="I438" s="147" t="str">
        <f t="shared" si="1"/>
        <v/>
      </c>
      <c r="J438" s="147" t="str">
        <f t="shared" si="13"/>
        <v/>
      </c>
      <c r="K438" s="147" t="str">
        <f>IFERROR(__xludf.DUMMYFUNCTION("if(C438="""","""",iferror(if(row()&lt;&gt;2,INDEX(arrayformula(filter($L$2:$L437,$C$2:$C437&lt;&gt;"""",row($C$2:$C437)=max(if($C$2:$C437=C438,row($C$2:$C437),0)))) ,1),0),0))"),"")</f>
        <v/>
      </c>
      <c r="L438" s="147" t="str">
        <f t="shared" si="14"/>
        <v/>
      </c>
      <c r="M438" s="147" t="str">
        <f t="shared" si="15"/>
        <v/>
      </c>
      <c r="N438" s="147" t="str">
        <f t="shared" si="16"/>
        <v/>
      </c>
      <c r="O438" s="147" t="str">
        <f t="shared" si="6"/>
        <v/>
      </c>
      <c r="P438" s="150" t="str">
        <f t="shared" si="7"/>
        <v/>
      </c>
      <c r="Q438" s="151" t="str">
        <f>IFERROR(VLOOKUP(C438,Ativos!$A$1:$G2000,5,),)</f>
        <v/>
      </c>
    </row>
    <row r="439" ht="21.0" customHeight="1">
      <c r="A439" s="152"/>
      <c r="B439" s="160"/>
      <c r="C439" s="153"/>
      <c r="D439" s="169"/>
      <c r="E439" s="139"/>
      <c r="F439" s="141"/>
      <c r="G439" s="170" t="str">
        <f>IFERROR(__xludf.DUMMYFUNCTION("if($C439="""","""",iferror(if(row()&lt;&gt;2,INDEX(arrayformula(filter($H$2:$H438,$C$2:$C438&lt;&gt;"""",row($C$2:$C438)=max(if($C$2:$C438=C439,row($C$2:$C438),0)))) ,1),0),0))"),"")</f>
        <v/>
      </c>
      <c r="H439" s="170" t="str">
        <f t="shared" si="8"/>
        <v/>
      </c>
      <c r="I439" s="147" t="str">
        <f t="shared" si="1"/>
        <v/>
      </c>
      <c r="J439" s="147" t="str">
        <f t="shared" si="13"/>
        <v/>
      </c>
      <c r="K439" s="147" t="str">
        <f>IFERROR(__xludf.DUMMYFUNCTION("if(C439="""","""",iferror(if(row()&lt;&gt;2,INDEX(arrayformula(filter($L$2:$L438,$C$2:$C438&lt;&gt;"""",row($C$2:$C438)=max(if($C$2:$C438=C439,row($C$2:$C438),0)))) ,1),0),0))"),"")</f>
        <v/>
      </c>
      <c r="L439" s="147" t="str">
        <f t="shared" si="14"/>
        <v/>
      </c>
      <c r="M439" s="147" t="str">
        <f t="shared" si="15"/>
        <v/>
      </c>
      <c r="N439" s="147" t="str">
        <f t="shared" si="16"/>
        <v/>
      </c>
      <c r="O439" s="147" t="str">
        <f t="shared" si="6"/>
        <v/>
      </c>
      <c r="P439" s="150" t="str">
        <f t="shared" si="7"/>
        <v/>
      </c>
      <c r="Q439" s="151" t="str">
        <f>IFERROR(VLOOKUP(C439,Ativos!$A$1:$G2000,5,),)</f>
        <v/>
      </c>
    </row>
    <row r="440" ht="21.0" customHeight="1">
      <c r="A440" s="152"/>
      <c r="B440" s="160"/>
      <c r="C440" s="153"/>
      <c r="D440" s="169"/>
      <c r="E440" s="139"/>
      <c r="F440" s="141"/>
      <c r="G440" s="170" t="str">
        <f>IFERROR(__xludf.DUMMYFUNCTION("if($C440="""","""",iferror(if(row()&lt;&gt;2,INDEX(arrayformula(filter($H$2:$H439,$C$2:$C439&lt;&gt;"""",row($C$2:$C439)=max(if($C$2:$C439=C440,row($C$2:$C439),0)))) ,1),0),0))"),"")</f>
        <v/>
      </c>
      <c r="H440" s="170" t="str">
        <f t="shared" si="8"/>
        <v/>
      </c>
      <c r="I440" s="147" t="str">
        <f t="shared" si="1"/>
        <v/>
      </c>
      <c r="J440" s="147" t="str">
        <f t="shared" si="13"/>
        <v/>
      </c>
      <c r="K440" s="147" t="str">
        <f>IFERROR(__xludf.DUMMYFUNCTION("if(C440="""","""",iferror(if(row()&lt;&gt;2,INDEX(arrayformula(filter($L$2:$L439,$C$2:$C439&lt;&gt;"""",row($C$2:$C439)=max(if($C$2:$C439=C440,row($C$2:$C439),0)))) ,1),0),0))"),"")</f>
        <v/>
      </c>
      <c r="L440" s="147" t="str">
        <f t="shared" si="14"/>
        <v/>
      </c>
      <c r="M440" s="147" t="str">
        <f t="shared" si="15"/>
        <v/>
      </c>
      <c r="N440" s="147" t="str">
        <f t="shared" si="16"/>
        <v/>
      </c>
      <c r="O440" s="147" t="str">
        <f t="shared" si="6"/>
        <v/>
      </c>
      <c r="P440" s="150" t="str">
        <f t="shared" si="7"/>
        <v/>
      </c>
      <c r="Q440" s="151" t="str">
        <f>IFERROR(VLOOKUP(C440,Ativos!$A$1:$G2000,5,),)</f>
        <v/>
      </c>
    </row>
    <row r="441" ht="21.0" customHeight="1">
      <c r="A441" s="152"/>
      <c r="B441" s="160"/>
      <c r="C441" s="153"/>
      <c r="D441" s="169"/>
      <c r="E441" s="139"/>
      <c r="F441" s="141"/>
      <c r="G441" s="170" t="str">
        <f>IFERROR(__xludf.DUMMYFUNCTION("if($C441="""","""",iferror(if(row()&lt;&gt;2,INDEX(arrayformula(filter($H$2:$H440,$C$2:$C440&lt;&gt;"""",row($C$2:$C440)=max(if($C$2:$C440=C441,row($C$2:$C440),0)))) ,1),0),0))"),"")</f>
        <v/>
      </c>
      <c r="H441" s="170" t="str">
        <f t="shared" si="8"/>
        <v/>
      </c>
      <c r="I441" s="147" t="str">
        <f t="shared" si="1"/>
        <v/>
      </c>
      <c r="J441" s="147" t="str">
        <f t="shared" si="13"/>
        <v/>
      </c>
      <c r="K441" s="147" t="str">
        <f>IFERROR(__xludf.DUMMYFUNCTION("if(C441="""","""",iferror(if(row()&lt;&gt;2,INDEX(arrayformula(filter($L$2:$L440,$C$2:$C440&lt;&gt;"""",row($C$2:$C440)=max(if($C$2:$C440=C441,row($C$2:$C440),0)))) ,1),0),0))"),"")</f>
        <v/>
      </c>
      <c r="L441" s="147" t="str">
        <f t="shared" si="14"/>
        <v/>
      </c>
      <c r="M441" s="147" t="str">
        <f t="shared" si="15"/>
        <v/>
      </c>
      <c r="N441" s="147" t="str">
        <f t="shared" si="16"/>
        <v/>
      </c>
      <c r="O441" s="147" t="str">
        <f t="shared" si="6"/>
        <v/>
      </c>
      <c r="P441" s="150" t="str">
        <f t="shared" si="7"/>
        <v/>
      </c>
      <c r="Q441" s="151" t="str">
        <f>IFERROR(VLOOKUP(C441,Ativos!$A$1:$G2000,5,),)</f>
        <v/>
      </c>
    </row>
    <row r="442" ht="21.0" customHeight="1">
      <c r="A442" s="152"/>
      <c r="B442" s="160"/>
      <c r="C442" s="153"/>
      <c r="D442" s="169"/>
      <c r="E442" s="139"/>
      <c r="F442" s="141"/>
      <c r="G442" s="170" t="str">
        <f>IFERROR(__xludf.DUMMYFUNCTION("if($C442="""","""",iferror(if(row()&lt;&gt;2,INDEX(arrayformula(filter($H$2:$H441,$C$2:$C441&lt;&gt;"""",row($C$2:$C441)=max(if($C$2:$C441=C442,row($C$2:$C441),0)))) ,1),0),0))"),"")</f>
        <v/>
      </c>
      <c r="H442" s="170" t="str">
        <f t="shared" si="8"/>
        <v/>
      </c>
      <c r="I442" s="147" t="str">
        <f t="shared" si="1"/>
        <v/>
      </c>
      <c r="J442" s="147" t="str">
        <f t="shared" si="13"/>
        <v/>
      </c>
      <c r="K442" s="147" t="str">
        <f>IFERROR(__xludf.DUMMYFUNCTION("if(C442="""","""",iferror(if(row()&lt;&gt;2,INDEX(arrayformula(filter($L$2:$L441,$C$2:$C441&lt;&gt;"""",row($C$2:$C441)=max(if($C$2:$C441=C442,row($C$2:$C441),0)))) ,1),0),0))"),"")</f>
        <v/>
      </c>
      <c r="L442" s="147" t="str">
        <f t="shared" si="14"/>
        <v/>
      </c>
      <c r="M442" s="147" t="str">
        <f t="shared" si="15"/>
        <v/>
      </c>
      <c r="N442" s="147" t="str">
        <f t="shared" si="16"/>
        <v/>
      </c>
      <c r="O442" s="147" t="str">
        <f t="shared" si="6"/>
        <v/>
      </c>
      <c r="P442" s="150" t="str">
        <f t="shared" si="7"/>
        <v/>
      </c>
      <c r="Q442" s="151" t="str">
        <f>IFERROR(VLOOKUP(C442,Ativos!$A$1:$G2000,5,),)</f>
        <v/>
      </c>
    </row>
    <row r="443" ht="21.0" customHeight="1">
      <c r="A443" s="152"/>
      <c r="B443" s="160"/>
      <c r="C443" s="153"/>
      <c r="D443" s="169"/>
      <c r="E443" s="139"/>
      <c r="F443" s="141"/>
      <c r="G443" s="170" t="str">
        <f>IFERROR(__xludf.DUMMYFUNCTION("if($C443="""","""",iferror(if(row()&lt;&gt;2,INDEX(arrayformula(filter($H$2:$H442,$C$2:$C442&lt;&gt;"""",row($C$2:$C442)=max(if($C$2:$C442=C443,row($C$2:$C442),0)))) ,1),0),0))"),"")</f>
        <v/>
      </c>
      <c r="H443" s="170" t="str">
        <f t="shared" si="8"/>
        <v/>
      </c>
      <c r="I443" s="147" t="str">
        <f t="shared" si="1"/>
        <v/>
      </c>
      <c r="J443" s="147" t="str">
        <f t="shared" si="13"/>
        <v/>
      </c>
      <c r="K443" s="147" t="str">
        <f>IFERROR(__xludf.DUMMYFUNCTION("if(C443="""","""",iferror(if(row()&lt;&gt;2,INDEX(arrayformula(filter($L$2:$L442,$C$2:$C442&lt;&gt;"""",row($C$2:$C442)=max(if($C$2:$C442=C443,row($C$2:$C442),0)))) ,1),0),0))"),"")</f>
        <v/>
      </c>
      <c r="L443" s="147" t="str">
        <f t="shared" si="14"/>
        <v/>
      </c>
      <c r="M443" s="147" t="str">
        <f t="shared" si="15"/>
        <v/>
      </c>
      <c r="N443" s="147" t="str">
        <f t="shared" si="16"/>
        <v/>
      </c>
      <c r="O443" s="147" t="str">
        <f t="shared" si="6"/>
        <v/>
      </c>
      <c r="P443" s="150" t="str">
        <f t="shared" si="7"/>
        <v/>
      </c>
      <c r="Q443" s="151" t="str">
        <f>IFERROR(VLOOKUP(C443,Ativos!$A$1:$G2000,5,),)</f>
        <v/>
      </c>
    </row>
    <row r="444" ht="21.0" customHeight="1">
      <c r="A444" s="152"/>
      <c r="B444" s="160"/>
      <c r="C444" s="153"/>
      <c r="D444" s="169"/>
      <c r="E444" s="139"/>
      <c r="F444" s="141"/>
      <c r="G444" s="170" t="str">
        <f>IFERROR(__xludf.DUMMYFUNCTION("if($C444="""","""",iferror(if(row()&lt;&gt;2,INDEX(arrayformula(filter($H$2:$H443,$C$2:$C443&lt;&gt;"""",row($C$2:$C443)=max(if($C$2:$C443=C444,row($C$2:$C443),0)))) ,1),0),0))"),"")</f>
        <v/>
      </c>
      <c r="H444" s="170" t="str">
        <f t="shared" si="8"/>
        <v/>
      </c>
      <c r="I444" s="147" t="str">
        <f t="shared" si="1"/>
        <v/>
      </c>
      <c r="J444" s="147" t="str">
        <f t="shared" si="13"/>
        <v/>
      </c>
      <c r="K444" s="147" t="str">
        <f>IFERROR(__xludf.DUMMYFUNCTION("if(C444="""","""",iferror(if(row()&lt;&gt;2,INDEX(arrayformula(filter($L$2:$L443,$C$2:$C443&lt;&gt;"""",row($C$2:$C443)=max(if($C$2:$C443=C444,row($C$2:$C443),0)))) ,1),0),0))"),"")</f>
        <v/>
      </c>
      <c r="L444" s="147" t="str">
        <f t="shared" si="14"/>
        <v/>
      </c>
      <c r="M444" s="147" t="str">
        <f t="shared" si="15"/>
        <v/>
      </c>
      <c r="N444" s="147" t="str">
        <f t="shared" si="16"/>
        <v/>
      </c>
      <c r="O444" s="147" t="str">
        <f t="shared" si="6"/>
        <v/>
      </c>
      <c r="P444" s="150" t="str">
        <f t="shared" si="7"/>
        <v/>
      </c>
      <c r="Q444" s="151" t="str">
        <f>IFERROR(VLOOKUP(C444,Ativos!$A$1:$G2000,5,),)</f>
        <v/>
      </c>
    </row>
    <row r="445" ht="21.0" customHeight="1">
      <c r="A445" s="152"/>
      <c r="B445" s="160"/>
      <c r="C445" s="153"/>
      <c r="D445" s="169"/>
      <c r="E445" s="139"/>
      <c r="F445" s="141"/>
      <c r="G445" s="170" t="str">
        <f>IFERROR(__xludf.DUMMYFUNCTION("if($C445="""","""",iferror(if(row()&lt;&gt;2,INDEX(arrayformula(filter($H$2:$H444,$C$2:$C444&lt;&gt;"""",row($C$2:$C444)=max(if($C$2:$C444=C445,row($C$2:$C444),0)))) ,1),0),0))"),"")</f>
        <v/>
      </c>
      <c r="H445" s="170" t="str">
        <f t="shared" si="8"/>
        <v/>
      </c>
      <c r="I445" s="147" t="str">
        <f t="shared" si="1"/>
        <v/>
      </c>
      <c r="J445" s="147" t="str">
        <f t="shared" si="13"/>
        <v/>
      </c>
      <c r="K445" s="147" t="str">
        <f>IFERROR(__xludf.DUMMYFUNCTION("if(C445="""","""",iferror(if(row()&lt;&gt;2,INDEX(arrayformula(filter($L$2:$L444,$C$2:$C444&lt;&gt;"""",row($C$2:$C444)=max(if($C$2:$C444=C445,row($C$2:$C444),0)))) ,1),0),0))"),"")</f>
        <v/>
      </c>
      <c r="L445" s="147" t="str">
        <f t="shared" si="14"/>
        <v/>
      </c>
      <c r="M445" s="147" t="str">
        <f t="shared" si="15"/>
        <v/>
      </c>
      <c r="N445" s="147" t="str">
        <f t="shared" si="16"/>
        <v/>
      </c>
      <c r="O445" s="147" t="str">
        <f t="shared" si="6"/>
        <v/>
      </c>
      <c r="P445" s="150" t="str">
        <f t="shared" si="7"/>
        <v/>
      </c>
      <c r="Q445" s="151" t="str">
        <f>IFERROR(VLOOKUP(C445,Ativos!$A$1:$G2000,5,),)</f>
        <v/>
      </c>
    </row>
    <row r="446" ht="21.0" customHeight="1">
      <c r="A446" s="152"/>
      <c r="B446" s="160"/>
      <c r="C446" s="153"/>
      <c r="D446" s="169"/>
      <c r="E446" s="139"/>
      <c r="F446" s="141"/>
      <c r="G446" s="170" t="str">
        <f>IFERROR(__xludf.DUMMYFUNCTION("if($C446="""","""",iferror(if(row()&lt;&gt;2,INDEX(arrayformula(filter($H$2:$H445,$C$2:$C445&lt;&gt;"""",row($C$2:$C445)=max(if($C$2:$C445=C446,row($C$2:$C445),0)))) ,1),0),0))"),"")</f>
        <v/>
      </c>
      <c r="H446" s="170" t="str">
        <f t="shared" si="8"/>
        <v/>
      </c>
      <c r="I446" s="147" t="str">
        <f t="shared" si="1"/>
        <v/>
      </c>
      <c r="J446" s="147" t="str">
        <f t="shared" si="13"/>
        <v/>
      </c>
      <c r="K446" s="147" t="str">
        <f>IFERROR(__xludf.DUMMYFUNCTION("if(C446="""","""",iferror(if(row()&lt;&gt;2,INDEX(arrayformula(filter($L$2:$L445,$C$2:$C445&lt;&gt;"""",row($C$2:$C445)=max(if($C$2:$C445=C446,row($C$2:$C445),0)))) ,1),0),0))"),"")</f>
        <v/>
      </c>
      <c r="L446" s="147" t="str">
        <f t="shared" si="14"/>
        <v/>
      </c>
      <c r="M446" s="147" t="str">
        <f t="shared" si="15"/>
        <v/>
      </c>
      <c r="N446" s="147" t="str">
        <f t="shared" si="16"/>
        <v/>
      </c>
      <c r="O446" s="147" t="str">
        <f t="shared" si="6"/>
        <v/>
      </c>
      <c r="P446" s="150" t="str">
        <f t="shared" si="7"/>
        <v/>
      </c>
      <c r="Q446" s="151" t="str">
        <f>IFERROR(VLOOKUP(C446,Ativos!$A$1:$G2000,5,),)</f>
        <v/>
      </c>
    </row>
    <row r="447" ht="21.0" customHeight="1">
      <c r="A447" s="152"/>
      <c r="B447" s="160"/>
      <c r="C447" s="153"/>
      <c r="D447" s="169"/>
      <c r="E447" s="139"/>
      <c r="F447" s="141"/>
      <c r="G447" s="170" t="str">
        <f>IFERROR(__xludf.DUMMYFUNCTION("if($C447="""","""",iferror(if(row()&lt;&gt;2,INDEX(arrayformula(filter($H$2:$H446,$C$2:$C446&lt;&gt;"""",row($C$2:$C446)=max(if($C$2:$C446=C447,row($C$2:$C446),0)))) ,1),0),0))"),"")</f>
        <v/>
      </c>
      <c r="H447" s="170" t="str">
        <f t="shared" si="8"/>
        <v/>
      </c>
      <c r="I447" s="147" t="str">
        <f t="shared" si="1"/>
        <v/>
      </c>
      <c r="J447" s="147" t="str">
        <f t="shared" si="13"/>
        <v/>
      </c>
      <c r="K447" s="147" t="str">
        <f>IFERROR(__xludf.DUMMYFUNCTION("if(C447="""","""",iferror(if(row()&lt;&gt;2,INDEX(arrayformula(filter($L$2:$L446,$C$2:$C446&lt;&gt;"""",row($C$2:$C446)=max(if($C$2:$C446=C447,row($C$2:$C446),0)))) ,1),0),0))"),"")</f>
        <v/>
      </c>
      <c r="L447" s="147" t="str">
        <f t="shared" si="14"/>
        <v/>
      </c>
      <c r="M447" s="147" t="str">
        <f t="shared" si="15"/>
        <v/>
      </c>
      <c r="N447" s="147" t="str">
        <f t="shared" si="16"/>
        <v/>
      </c>
      <c r="O447" s="147" t="str">
        <f t="shared" si="6"/>
        <v/>
      </c>
      <c r="P447" s="150" t="str">
        <f t="shared" si="7"/>
        <v/>
      </c>
      <c r="Q447" s="151" t="str">
        <f>IFERROR(VLOOKUP(C447,Ativos!$A$1:$G2000,5,),)</f>
        <v/>
      </c>
    </row>
    <row r="448" ht="21.0" customHeight="1">
      <c r="A448" s="152"/>
      <c r="B448" s="160"/>
      <c r="C448" s="153"/>
      <c r="D448" s="169"/>
      <c r="E448" s="139"/>
      <c r="F448" s="141"/>
      <c r="G448" s="170" t="str">
        <f>IFERROR(__xludf.DUMMYFUNCTION("if($C448="""","""",iferror(if(row()&lt;&gt;2,INDEX(arrayformula(filter($H$2:$H447,$C$2:$C447&lt;&gt;"""",row($C$2:$C447)=max(if($C$2:$C447=C448,row($C$2:$C447),0)))) ,1),0),0))"),"")</f>
        <v/>
      </c>
      <c r="H448" s="170" t="str">
        <f t="shared" si="8"/>
        <v/>
      </c>
      <c r="I448" s="147" t="str">
        <f t="shared" si="1"/>
        <v/>
      </c>
      <c r="J448" s="147" t="str">
        <f t="shared" si="13"/>
        <v/>
      </c>
      <c r="K448" s="147" t="str">
        <f>IFERROR(__xludf.DUMMYFUNCTION("if(C448="""","""",iferror(if(row()&lt;&gt;2,INDEX(arrayformula(filter($L$2:$L447,$C$2:$C447&lt;&gt;"""",row($C$2:$C447)=max(if($C$2:$C447=C448,row($C$2:$C447),0)))) ,1),0),0))"),"")</f>
        <v/>
      </c>
      <c r="L448" s="147" t="str">
        <f t="shared" si="14"/>
        <v/>
      </c>
      <c r="M448" s="147" t="str">
        <f t="shared" si="15"/>
        <v/>
      </c>
      <c r="N448" s="147" t="str">
        <f t="shared" si="16"/>
        <v/>
      </c>
      <c r="O448" s="147" t="str">
        <f t="shared" si="6"/>
        <v/>
      </c>
      <c r="P448" s="150" t="str">
        <f t="shared" si="7"/>
        <v/>
      </c>
      <c r="Q448" s="151" t="str">
        <f>IFERROR(VLOOKUP(C448,Ativos!$A$1:$G2000,5,),)</f>
        <v/>
      </c>
    </row>
    <row r="449" ht="21.0" customHeight="1">
      <c r="A449" s="152"/>
      <c r="B449" s="160"/>
      <c r="C449" s="153"/>
      <c r="D449" s="169"/>
      <c r="E449" s="139"/>
      <c r="F449" s="141"/>
      <c r="G449" s="170" t="str">
        <f>IFERROR(__xludf.DUMMYFUNCTION("if($C449="""","""",iferror(if(row()&lt;&gt;2,INDEX(arrayformula(filter($H$2:$H448,$C$2:$C448&lt;&gt;"""",row($C$2:$C448)=max(if($C$2:$C448=C449,row($C$2:$C448),0)))) ,1),0),0))"),"")</f>
        <v/>
      </c>
      <c r="H449" s="170" t="str">
        <f t="shared" si="8"/>
        <v/>
      </c>
      <c r="I449" s="147" t="str">
        <f t="shared" si="1"/>
        <v/>
      </c>
      <c r="J449" s="147" t="str">
        <f t="shared" si="13"/>
        <v/>
      </c>
      <c r="K449" s="147" t="str">
        <f>IFERROR(__xludf.DUMMYFUNCTION("if(C449="""","""",iferror(if(row()&lt;&gt;2,INDEX(arrayformula(filter($L$2:$L448,$C$2:$C448&lt;&gt;"""",row($C$2:$C448)=max(if($C$2:$C448=C449,row($C$2:$C448),0)))) ,1),0),0))"),"")</f>
        <v/>
      </c>
      <c r="L449" s="147" t="str">
        <f t="shared" si="14"/>
        <v/>
      </c>
      <c r="M449" s="147" t="str">
        <f t="shared" si="15"/>
        <v/>
      </c>
      <c r="N449" s="147" t="str">
        <f t="shared" si="16"/>
        <v/>
      </c>
      <c r="O449" s="147" t="str">
        <f t="shared" si="6"/>
        <v/>
      </c>
      <c r="P449" s="150" t="str">
        <f t="shared" si="7"/>
        <v/>
      </c>
      <c r="Q449" s="151" t="str">
        <f>IFERROR(VLOOKUP(C449,Ativos!$A$1:$G2000,5,),)</f>
        <v/>
      </c>
    </row>
    <row r="450" ht="21.0" customHeight="1">
      <c r="A450" s="152"/>
      <c r="B450" s="160"/>
      <c r="C450" s="153"/>
      <c r="D450" s="169"/>
      <c r="E450" s="139"/>
      <c r="F450" s="141"/>
      <c r="G450" s="170" t="str">
        <f>IFERROR(__xludf.DUMMYFUNCTION("if($C450="""","""",iferror(if(row()&lt;&gt;2,INDEX(arrayformula(filter($H$2:$H449,$C$2:$C449&lt;&gt;"""",row($C$2:$C449)=max(if($C$2:$C449=C450,row($C$2:$C449),0)))) ,1),0),0))"),"")</f>
        <v/>
      </c>
      <c r="H450" s="170" t="str">
        <f t="shared" si="8"/>
        <v/>
      </c>
      <c r="I450" s="147" t="str">
        <f t="shared" si="1"/>
        <v/>
      </c>
      <c r="J450" s="147" t="str">
        <f t="shared" si="13"/>
        <v/>
      </c>
      <c r="K450" s="147" t="str">
        <f>IFERROR(__xludf.DUMMYFUNCTION("if(C450="""","""",iferror(if(row()&lt;&gt;2,INDEX(arrayformula(filter($L$2:$L449,$C$2:$C449&lt;&gt;"""",row($C$2:$C449)=max(if($C$2:$C449=C450,row($C$2:$C449),0)))) ,1),0),0))"),"")</f>
        <v/>
      </c>
      <c r="L450" s="147" t="str">
        <f t="shared" si="14"/>
        <v/>
      </c>
      <c r="M450" s="147" t="str">
        <f t="shared" si="15"/>
        <v/>
      </c>
      <c r="N450" s="147" t="str">
        <f t="shared" si="16"/>
        <v/>
      </c>
      <c r="O450" s="147" t="str">
        <f t="shared" si="6"/>
        <v/>
      </c>
      <c r="P450" s="150" t="str">
        <f t="shared" si="7"/>
        <v/>
      </c>
      <c r="Q450" s="151" t="str">
        <f>IFERROR(VLOOKUP(C450,Ativos!$A$1:$G2000,5,),)</f>
        <v/>
      </c>
    </row>
    <row r="451" ht="21.0" customHeight="1">
      <c r="A451" s="152"/>
      <c r="B451" s="160"/>
      <c r="C451" s="153"/>
      <c r="D451" s="169"/>
      <c r="E451" s="139"/>
      <c r="F451" s="141"/>
      <c r="G451" s="170" t="str">
        <f>IFERROR(__xludf.DUMMYFUNCTION("if($C451="""","""",iferror(if(row()&lt;&gt;2,INDEX(arrayformula(filter($H$2:$H450,$C$2:$C450&lt;&gt;"""",row($C$2:$C450)=max(if($C$2:$C450=C451,row($C$2:$C450),0)))) ,1),0),0))"),"")</f>
        <v/>
      </c>
      <c r="H451" s="170" t="str">
        <f t="shared" si="8"/>
        <v/>
      </c>
      <c r="I451" s="147" t="str">
        <f t="shared" si="1"/>
        <v/>
      </c>
      <c r="J451" s="147" t="str">
        <f t="shared" si="13"/>
        <v/>
      </c>
      <c r="K451" s="147" t="str">
        <f>IFERROR(__xludf.DUMMYFUNCTION("if(C451="""","""",iferror(if(row()&lt;&gt;2,INDEX(arrayformula(filter($L$2:$L450,$C$2:$C450&lt;&gt;"""",row($C$2:$C450)=max(if($C$2:$C450=C451,row($C$2:$C450),0)))) ,1),0),0))"),"")</f>
        <v/>
      </c>
      <c r="L451" s="147" t="str">
        <f t="shared" si="14"/>
        <v/>
      </c>
      <c r="M451" s="147" t="str">
        <f t="shared" si="15"/>
        <v/>
      </c>
      <c r="N451" s="147" t="str">
        <f t="shared" si="16"/>
        <v/>
      </c>
      <c r="O451" s="147" t="str">
        <f t="shared" si="6"/>
        <v/>
      </c>
      <c r="P451" s="150" t="str">
        <f t="shared" si="7"/>
        <v/>
      </c>
      <c r="Q451" s="151" t="str">
        <f>IFERROR(VLOOKUP(C451,Ativos!$A$1:$G2000,5,),)</f>
        <v/>
      </c>
    </row>
    <row r="452" ht="21.0" customHeight="1">
      <c r="A452" s="152"/>
      <c r="B452" s="160"/>
      <c r="C452" s="153"/>
      <c r="D452" s="169"/>
      <c r="E452" s="139"/>
      <c r="F452" s="141"/>
      <c r="G452" s="170" t="str">
        <f>IFERROR(__xludf.DUMMYFUNCTION("if($C452="""","""",iferror(if(row()&lt;&gt;2,INDEX(arrayformula(filter($H$2:$H451,$C$2:$C451&lt;&gt;"""",row($C$2:$C451)=max(if($C$2:$C451=C452,row($C$2:$C451),0)))) ,1),0),0))"),"")</f>
        <v/>
      </c>
      <c r="H452" s="170" t="str">
        <f t="shared" si="8"/>
        <v/>
      </c>
      <c r="I452" s="147" t="str">
        <f t="shared" si="1"/>
        <v/>
      </c>
      <c r="J452" s="147" t="str">
        <f t="shared" si="13"/>
        <v/>
      </c>
      <c r="K452" s="147" t="str">
        <f>IFERROR(__xludf.DUMMYFUNCTION("if(C452="""","""",iferror(if(row()&lt;&gt;2,INDEX(arrayformula(filter($L$2:$L451,$C$2:$C451&lt;&gt;"""",row($C$2:$C451)=max(if($C$2:$C451=C452,row($C$2:$C451),0)))) ,1),0),0))"),"")</f>
        <v/>
      </c>
      <c r="L452" s="147" t="str">
        <f t="shared" si="14"/>
        <v/>
      </c>
      <c r="M452" s="147" t="str">
        <f t="shared" si="15"/>
        <v/>
      </c>
      <c r="N452" s="147" t="str">
        <f t="shared" si="16"/>
        <v/>
      </c>
      <c r="O452" s="147" t="str">
        <f t="shared" si="6"/>
        <v/>
      </c>
      <c r="P452" s="150" t="str">
        <f t="shared" si="7"/>
        <v/>
      </c>
      <c r="Q452" s="151" t="str">
        <f>IFERROR(VLOOKUP(C452,Ativos!$A$1:$G2000,5,),)</f>
        <v/>
      </c>
    </row>
    <row r="453" ht="21.0" customHeight="1">
      <c r="A453" s="152"/>
      <c r="B453" s="160"/>
      <c r="C453" s="153"/>
      <c r="D453" s="169"/>
      <c r="E453" s="139"/>
      <c r="F453" s="141"/>
      <c r="G453" s="170" t="str">
        <f>IFERROR(__xludf.DUMMYFUNCTION("if($C453="""","""",iferror(if(row()&lt;&gt;2,INDEX(arrayformula(filter($H$2:$H452,$C$2:$C452&lt;&gt;"""",row($C$2:$C452)=max(if($C$2:$C452=C453,row($C$2:$C452),0)))) ,1),0),0))"),"")</f>
        <v/>
      </c>
      <c r="H453" s="170" t="str">
        <f t="shared" si="8"/>
        <v/>
      </c>
      <c r="I453" s="147" t="str">
        <f t="shared" si="1"/>
        <v/>
      </c>
      <c r="J453" s="147" t="str">
        <f t="shared" si="13"/>
        <v/>
      </c>
      <c r="K453" s="147" t="str">
        <f>IFERROR(__xludf.DUMMYFUNCTION("if(C453="""","""",iferror(if(row()&lt;&gt;2,INDEX(arrayformula(filter($L$2:$L452,$C$2:$C452&lt;&gt;"""",row($C$2:$C452)=max(if($C$2:$C452=C453,row($C$2:$C452),0)))) ,1),0),0))"),"")</f>
        <v/>
      </c>
      <c r="L453" s="147" t="str">
        <f t="shared" si="14"/>
        <v/>
      </c>
      <c r="M453" s="147" t="str">
        <f t="shared" si="15"/>
        <v/>
      </c>
      <c r="N453" s="147" t="str">
        <f t="shared" si="16"/>
        <v/>
      </c>
      <c r="O453" s="147" t="str">
        <f t="shared" si="6"/>
        <v/>
      </c>
      <c r="P453" s="150" t="str">
        <f t="shared" si="7"/>
        <v/>
      </c>
      <c r="Q453" s="151" t="str">
        <f>IFERROR(VLOOKUP(C453,Ativos!$A$1:$G2000,5,),)</f>
        <v/>
      </c>
    </row>
    <row r="454" ht="21.0" customHeight="1">
      <c r="A454" s="152"/>
      <c r="B454" s="160"/>
      <c r="C454" s="153"/>
      <c r="D454" s="169"/>
      <c r="E454" s="139"/>
      <c r="F454" s="141"/>
      <c r="G454" s="170" t="str">
        <f>IFERROR(__xludf.DUMMYFUNCTION("if($C454="""","""",iferror(if(row()&lt;&gt;2,INDEX(arrayformula(filter($H$2:$H453,$C$2:$C453&lt;&gt;"""",row($C$2:$C453)=max(if($C$2:$C453=C454,row($C$2:$C453),0)))) ,1),0),0))"),"")</f>
        <v/>
      </c>
      <c r="H454" s="170" t="str">
        <f t="shared" si="8"/>
        <v/>
      </c>
      <c r="I454" s="147" t="str">
        <f t="shared" si="1"/>
        <v/>
      </c>
      <c r="J454" s="147" t="str">
        <f t="shared" si="13"/>
        <v/>
      </c>
      <c r="K454" s="147" t="str">
        <f>IFERROR(__xludf.DUMMYFUNCTION("if(C454="""","""",iferror(if(row()&lt;&gt;2,INDEX(arrayformula(filter($L$2:$L453,$C$2:$C453&lt;&gt;"""",row($C$2:$C453)=max(if($C$2:$C453=C454,row($C$2:$C453),0)))) ,1),0),0))"),"")</f>
        <v/>
      </c>
      <c r="L454" s="147" t="str">
        <f t="shared" si="14"/>
        <v/>
      </c>
      <c r="M454" s="147" t="str">
        <f t="shared" si="15"/>
        <v/>
      </c>
      <c r="N454" s="147" t="str">
        <f t="shared" si="16"/>
        <v/>
      </c>
      <c r="O454" s="147" t="str">
        <f t="shared" si="6"/>
        <v/>
      </c>
      <c r="P454" s="150" t="str">
        <f t="shared" si="7"/>
        <v/>
      </c>
      <c r="Q454" s="151" t="str">
        <f>IFERROR(VLOOKUP(C454,Ativos!$A$1:$G2000,5,),)</f>
        <v/>
      </c>
    </row>
    <row r="455" ht="21.0" customHeight="1">
      <c r="A455" s="152"/>
      <c r="B455" s="160"/>
      <c r="C455" s="153"/>
      <c r="D455" s="169"/>
      <c r="E455" s="139"/>
      <c r="F455" s="141"/>
      <c r="G455" s="170" t="str">
        <f>IFERROR(__xludf.DUMMYFUNCTION("if($C455="""","""",iferror(if(row()&lt;&gt;2,INDEX(arrayformula(filter($H$2:$H454,$C$2:$C454&lt;&gt;"""",row($C$2:$C454)=max(if($C$2:$C454=C455,row($C$2:$C454),0)))) ,1),0),0))"),"")</f>
        <v/>
      </c>
      <c r="H455" s="170" t="str">
        <f t="shared" si="8"/>
        <v/>
      </c>
      <c r="I455" s="147" t="str">
        <f t="shared" si="1"/>
        <v/>
      </c>
      <c r="J455" s="147" t="str">
        <f t="shared" si="13"/>
        <v/>
      </c>
      <c r="K455" s="147" t="str">
        <f>IFERROR(__xludf.DUMMYFUNCTION("if(C455="""","""",iferror(if(row()&lt;&gt;2,INDEX(arrayformula(filter($L$2:$L454,$C$2:$C454&lt;&gt;"""",row($C$2:$C454)=max(if($C$2:$C454=C455,row($C$2:$C454),0)))) ,1),0),0))"),"")</f>
        <v/>
      </c>
      <c r="L455" s="147" t="str">
        <f t="shared" si="14"/>
        <v/>
      </c>
      <c r="M455" s="147" t="str">
        <f t="shared" si="15"/>
        <v/>
      </c>
      <c r="N455" s="147" t="str">
        <f t="shared" si="16"/>
        <v/>
      </c>
      <c r="O455" s="147" t="str">
        <f t="shared" si="6"/>
        <v/>
      </c>
      <c r="P455" s="150" t="str">
        <f t="shared" si="7"/>
        <v/>
      </c>
      <c r="Q455" s="151" t="str">
        <f>IFERROR(VLOOKUP(C455,Ativos!$A$1:$G2000,5,),)</f>
        <v/>
      </c>
    </row>
    <row r="456" ht="21.0" customHeight="1">
      <c r="A456" s="152"/>
      <c r="B456" s="160"/>
      <c r="C456" s="153"/>
      <c r="D456" s="169"/>
      <c r="E456" s="139"/>
      <c r="F456" s="141"/>
      <c r="G456" s="170" t="str">
        <f>IFERROR(__xludf.DUMMYFUNCTION("if($C456="""","""",iferror(if(row()&lt;&gt;2,INDEX(arrayformula(filter($H$2:$H455,$C$2:$C455&lt;&gt;"""",row($C$2:$C455)=max(if($C$2:$C455=C456,row($C$2:$C455),0)))) ,1),0),0))"),"")</f>
        <v/>
      </c>
      <c r="H456" s="170" t="str">
        <f t="shared" si="8"/>
        <v/>
      </c>
      <c r="I456" s="147" t="str">
        <f t="shared" si="1"/>
        <v/>
      </c>
      <c r="J456" s="147" t="str">
        <f t="shared" si="13"/>
        <v/>
      </c>
      <c r="K456" s="147" t="str">
        <f>IFERROR(__xludf.DUMMYFUNCTION("if(C456="""","""",iferror(if(row()&lt;&gt;2,INDEX(arrayformula(filter($L$2:$L455,$C$2:$C455&lt;&gt;"""",row($C$2:$C455)=max(if($C$2:$C455=C456,row($C$2:$C455),0)))) ,1),0),0))"),"")</f>
        <v/>
      </c>
      <c r="L456" s="147" t="str">
        <f t="shared" si="14"/>
        <v/>
      </c>
      <c r="M456" s="147" t="str">
        <f t="shared" si="15"/>
        <v/>
      </c>
      <c r="N456" s="147" t="str">
        <f t="shared" si="16"/>
        <v/>
      </c>
      <c r="O456" s="147" t="str">
        <f t="shared" si="6"/>
        <v/>
      </c>
      <c r="P456" s="150" t="str">
        <f t="shared" si="7"/>
        <v/>
      </c>
      <c r="Q456" s="151" t="str">
        <f>IFERROR(VLOOKUP(C456,Ativos!$A$1:$G2000,5,),)</f>
        <v/>
      </c>
    </row>
    <row r="457" ht="21.0" customHeight="1">
      <c r="A457" s="152"/>
      <c r="B457" s="160"/>
      <c r="C457" s="153"/>
      <c r="D457" s="169"/>
      <c r="E457" s="139"/>
      <c r="F457" s="141"/>
      <c r="G457" s="170" t="str">
        <f>IFERROR(__xludf.DUMMYFUNCTION("if($C457="""","""",iferror(if(row()&lt;&gt;2,INDEX(arrayformula(filter($H$2:$H456,$C$2:$C456&lt;&gt;"""",row($C$2:$C456)=max(if($C$2:$C456=C457,row($C$2:$C456),0)))) ,1),0),0))"),"")</f>
        <v/>
      </c>
      <c r="H457" s="170" t="str">
        <f t="shared" si="8"/>
        <v/>
      </c>
      <c r="I457" s="147" t="str">
        <f t="shared" si="1"/>
        <v/>
      </c>
      <c r="J457" s="147" t="str">
        <f t="shared" si="13"/>
        <v/>
      </c>
      <c r="K457" s="147" t="str">
        <f>IFERROR(__xludf.DUMMYFUNCTION("if(C457="""","""",iferror(if(row()&lt;&gt;2,INDEX(arrayformula(filter($L$2:$L456,$C$2:$C456&lt;&gt;"""",row($C$2:$C456)=max(if($C$2:$C456=C457,row($C$2:$C456),0)))) ,1),0),0))"),"")</f>
        <v/>
      </c>
      <c r="L457" s="147" t="str">
        <f t="shared" si="14"/>
        <v/>
      </c>
      <c r="M457" s="147" t="str">
        <f t="shared" si="15"/>
        <v/>
      </c>
      <c r="N457" s="147" t="str">
        <f t="shared" si="16"/>
        <v/>
      </c>
      <c r="O457" s="147" t="str">
        <f t="shared" si="6"/>
        <v/>
      </c>
      <c r="P457" s="150" t="str">
        <f t="shared" si="7"/>
        <v/>
      </c>
      <c r="Q457" s="151" t="str">
        <f>IFERROR(VLOOKUP(C457,Ativos!$A$1:$G2000,5,),)</f>
        <v/>
      </c>
    </row>
    <row r="458" ht="21.0" customHeight="1">
      <c r="A458" s="152"/>
      <c r="B458" s="160"/>
      <c r="C458" s="153"/>
      <c r="D458" s="169"/>
      <c r="E458" s="139"/>
      <c r="F458" s="141"/>
      <c r="G458" s="170" t="str">
        <f>IFERROR(__xludf.DUMMYFUNCTION("if($C458="""","""",iferror(if(row()&lt;&gt;2,INDEX(arrayformula(filter($H$2:$H457,$C$2:$C457&lt;&gt;"""",row($C$2:$C457)=max(if($C$2:$C457=C458,row($C$2:$C457),0)))) ,1),0),0))"),"")</f>
        <v/>
      </c>
      <c r="H458" s="170" t="str">
        <f t="shared" si="8"/>
        <v/>
      </c>
      <c r="I458" s="147" t="str">
        <f t="shared" si="1"/>
        <v/>
      </c>
      <c r="J458" s="147" t="str">
        <f t="shared" si="13"/>
        <v/>
      </c>
      <c r="K458" s="147" t="str">
        <f>IFERROR(__xludf.DUMMYFUNCTION("if(C458="""","""",iferror(if(row()&lt;&gt;2,INDEX(arrayformula(filter($L$2:$L457,$C$2:$C457&lt;&gt;"""",row($C$2:$C457)=max(if($C$2:$C457=C458,row($C$2:$C457),0)))) ,1),0),0))"),"")</f>
        <v/>
      </c>
      <c r="L458" s="147" t="str">
        <f t="shared" si="14"/>
        <v/>
      </c>
      <c r="M458" s="147" t="str">
        <f t="shared" si="15"/>
        <v/>
      </c>
      <c r="N458" s="147" t="str">
        <f t="shared" si="16"/>
        <v/>
      </c>
      <c r="O458" s="147" t="str">
        <f t="shared" si="6"/>
        <v/>
      </c>
      <c r="P458" s="150" t="str">
        <f t="shared" si="7"/>
        <v/>
      </c>
      <c r="Q458" s="151" t="str">
        <f>IFERROR(VLOOKUP(C458,Ativos!$A$1:$G2000,5,),)</f>
        <v/>
      </c>
    </row>
    <row r="459" ht="21.0" customHeight="1">
      <c r="A459" s="152"/>
      <c r="B459" s="160"/>
      <c r="C459" s="153"/>
      <c r="D459" s="169"/>
      <c r="E459" s="139"/>
      <c r="F459" s="141"/>
      <c r="G459" s="170" t="str">
        <f>IFERROR(__xludf.DUMMYFUNCTION("if($C459="""","""",iferror(if(row()&lt;&gt;2,INDEX(arrayformula(filter($H$2:$H458,$C$2:$C458&lt;&gt;"""",row($C$2:$C458)=max(if($C$2:$C458=C459,row($C$2:$C458),0)))) ,1),0),0))"),"")</f>
        <v/>
      </c>
      <c r="H459" s="170" t="str">
        <f t="shared" si="8"/>
        <v/>
      </c>
      <c r="I459" s="147" t="str">
        <f t="shared" si="1"/>
        <v/>
      </c>
      <c r="J459" s="147" t="str">
        <f t="shared" si="13"/>
        <v/>
      </c>
      <c r="K459" s="147" t="str">
        <f>IFERROR(__xludf.DUMMYFUNCTION("if(C459="""","""",iferror(if(row()&lt;&gt;2,INDEX(arrayformula(filter($L$2:$L458,$C$2:$C458&lt;&gt;"""",row($C$2:$C458)=max(if($C$2:$C458=C459,row($C$2:$C458),0)))) ,1),0),0))"),"")</f>
        <v/>
      </c>
      <c r="L459" s="147" t="str">
        <f t="shared" si="14"/>
        <v/>
      </c>
      <c r="M459" s="147" t="str">
        <f t="shared" si="15"/>
        <v/>
      </c>
      <c r="N459" s="147" t="str">
        <f t="shared" si="16"/>
        <v/>
      </c>
      <c r="O459" s="147" t="str">
        <f t="shared" si="6"/>
        <v/>
      </c>
      <c r="P459" s="150" t="str">
        <f t="shared" si="7"/>
        <v/>
      </c>
      <c r="Q459" s="151" t="str">
        <f>IFERROR(VLOOKUP(C459,Ativos!$A$1:$G2000,5,),)</f>
        <v/>
      </c>
    </row>
    <row r="460" ht="21.0" customHeight="1">
      <c r="A460" s="152"/>
      <c r="B460" s="160"/>
      <c r="C460" s="153"/>
      <c r="D460" s="169"/>
      <c r="E460" s="139"/>
      <c r="F460" s="141"/>
      <c r="G460" s="170" t="str">
        <f>IFERROR(__xludf.DUMMYFUNCTION("if($C460="""","""",iferror(if(row()&lt;&gt;2,INDEX(arrayformula(filter($H$2:$H459,$C$2:$C459&lt;&gt;"""",row($C$2:$C459)=max(if($C$2:$C459=C460,row($C$2:$C459),0)))) ,1),0),0))"),"")</f>
        <v/>
      </c>
      <c r="H460" s="170" t="str">
        <f t="shared" si="8"/>
        <v/>
      </c>
      <c r="I460" s="147" t="str">
        <f t="shared" si="1"/>
        <v/>
      </c>
      <c r="J460" s="147" t="str">
        <f t="shared" si="13"/>
        <v/>
      </c>
      <c r="K460" s="147" t="str">
        <f>IFERROR(__xludf.DUMMYFUNCTION("if(C460="""","""",iferror(if(row()&lt;&gt;2,INDEX(arrayformula(filter($L$2:$L459,$C$2:$C459&lt;&gt;"""",row($C$2:$C459)=max(if($C$2:$C459=C460,row($C$2:$C459),0)))) ,1),0),0))"),"")</f>
        <v/>
      </c>
      <c r="L460" s="147" t="str">
        <f t="shared" si="14"/>
        <v/>
      </c>
      <c r="M460" s="147" t="str">
        <f t="shared" si="15"/>
        <v/>
      </c>
      <c r="N460" s="147" t="str">
        <f t="shared" si="16"/>
        <v/>
      </c>
      <c r="O460" s="147" t="str">
        <f t="shared" si="6"/>
        <v/>
      </c>
      <c r="P460" s="150" t="str">
        <f t="shared" si="7"/>
        <v/>
      </c>
      <c r="Q460" s="151" t="str">
        <f>IFERROR(VLOOKUP(C460,Ativos!$A$1:$G2000,5,),)</f>
        <v/>
      </c>
    </row>
    <row r="461" ht="21.0" customHeight="1">
      <c r="A461" s="152"/>
      <c r="B461" s="160"/>
      <c r="C461" s="153"/>
      <c r="D461" s="169"/>
      <c r="E461" s="139"/>
      <c r="F461" s="141"/>
      <c r="G461" s="170" t="str">
        <f>IFERROR(__xludf.DUMMYFUNCTION("if($C461="""","""",iferror(if(row()&lt;&gt;2,INDEX(arrayformula(filter($H$2:$H460,$C$2:$C460&lt;&gt;"""",row($C$2:$C460)=max(if($C$2:$C460=C461,row($C$2:$C460),0)))) ,1),0),0))"),"")</f>
        <v/>
      </c>
      <c r="H461" s="170" t="str">
        <f t="shared" si="8"/>
        <v/>
      </c>
      <c r="I461" s="147" t="str">
        <f t="shared" si="1"/>
        <v/>
      </c>
      <c r="J461" s="147" t="str">
        <f t="shared" si="13"/>
        <v/>
      </c>
      <c r="K461" s="147" t="str">
        <f>IFERROR(__xludf.DUMMYFUNCTION("if(C461="""","""",iferror(if(row()&lt;&gt;2,INDEX(arrayformula(filter($L$2:$L460,$C$2:$C460&lt;&gt;"""",row($C$2:$C460)=max(if($C$2:$C460=C461,row($C$2:$C460),0)))) ,1),0),0))"),"")</f>
        <v/>
      </c>
      <c r="L461" s="147" t="str">
        <f t="shared" si="14"/>
        <v/>
      </c>
      <c r="M461" s="147" t="str">
        <f t="shared" si="15"/>
        <v/>
      </c>
      <c r="N461" s="147" t="str">
        <f t="shared" si="16"/>
        <v/>
      </c>
      <c r="O461" s="147" t="str">
        <f t="shared" si="6"/>
        <v/>
      </c>
      <c r="P461" s="150" t="str">
        <f t="shared" si="7"/>
        <v/>
      </c>
      <c r="Q461" s="151" t="str">
        <f>IFERROR(VLOOKUP(C461,Ativos!$A$1:$G2000,5,),)</f>
        <v/>
      </c>
    </row>
    <row r="462" ht="21.0" customHeight="1">
      <c r="A462" s="152"/>
      <c r="B462" s="160"/>
      <c r="C462" s="153"/>
      <c r="D462" s="169"/>
      <c r="E462" s="139"/>
      <c r="F462" s="141"/>
      <c r="G462" s="170" t="str">
        <f>IFERROR(__xludf.DUMMYFUNCTION("if($C462="""","""",iferror(if(row()&lt;&gt;2,INDEX(arrayformula(filter($H$2:$H461,$C$2:$C461&lt;&gt;"""",row($C$2:$C461)=max(if($C$2:$C461=C462,row($C$2:$C461),0)))) ,1),0),0))"),"")</f>
        <v/>
      </c>
      <c r="H462" s="170" t="str">
        <f t="shared" si="8"/>
        <v/>
      </c>
      <c r="I462" s="147" t="str">
        <f t="shared" si="1"/>
        <v/>
      </c>
      <c r="J462" s="147" t="str">
        <f t="shared" si="13"/>
        <v/>
      </c>
      <c r="K462" s="147" t="str">
        <f>IFERROR(__xludf.DUMMYFUNCTION("if(C462="""","""",iferror(if(row()&lt;&gt;2,INDEX(arrayformula(filter($L$2:$L461,$C$2:$C461&lt;&gt;"""",row($C$2:$C461)=max(if($C$2:$C461=C462,row($C$2:$C461),0)))) ,1),0),0))"),"")</f>
        <v/>
      </c>
      <c r="L462" s="147" t="str">
        <f t="shared" si="14"/>
        <v/>
      </c>
      <c r="M462" s="147" t="str">
        <f t="shared" si="15"/>
        <v/>
      </c>
      <c r="N462" s="147" t="str">
        <f t="shared" si="16"/>
        <v/>
      </c>
      <c r="O462" s="147" t="str">
        <f t="shared" si="6"/>
        <v/>
      </c>
      <c r="P462" s="150" t="str">
        <f t="shared" si="7"/>
        <v/>
      </c>
      <c r="Q462" s="151" t="str">
        <f>IFERROR(VLOOKUP(C462,Ativos!$A$1:$G2000,5,),)</f>
        <v/>
      </c>
    </row>
    <row r="463" ht="21.0" customHeight="1">
      <c r="A463" s="152"/>
      <c r="B463" s="160"/>
      <c r="C463" s="153"/>
      <c r="D463" s="169"/>
      <c r="E463" s="139"/>
      <c r="F463" s="141"/>
      <c r="G463" s="170" t="str">
        <f>IFERROR(__xludf.DUMMYFUNCTION("if($C463="""","""",iferror(if(row()&lt;&gt;2,INDEX(arrayformula(filter($H$2:$H462,$C$2:$C462&lt;&gt;"""",row($C$2:$C462)=max(if($C$2:$C462=C463,row($C$2:$C462),0)))) ,1),0),0))"),"")</f>
        <v/>
      </c>
      <c r="H463" s="170" t="str">
        <f t="shared" si="8"/>
        <v/>
      </c>
      <c r="I463" s="147" t="str">
        <f t="shared" si="1"/>
        <v/>
      </c>
      <c r="J463" s="147" t="str">
        <f t="shared" si="13"/>
        <v/>
      </c>
      <c r="K463" s="147" t="str">
        <f>IFERROR(__xludf.DUMMYFUNCTION("if(C463="""","""",iferror(if(row()&lt;&gt;2,INDEX(arrayformula(filter($L$2:$L462,$C$2:$C462&lt;&gt;"""",row($C$2:$C462)=max(if($C$2:$C462=C463,row($C$2:$C462),0)))) ,1),0),0))"),"")</f>
        <v/>
      </c>
      <c r="L463" s="147" t="str">
        <f t="shared" si="14"/>
        <v/>
      </c>
      <c r="M463" s="147" t="str">
        <f t="shared" si="15"/>
        <v/>
      </c>
      <c r="N463" s="147" t="str">
        <f t="shared" si="16"/>
        <v/>
      </c>
      <c r="O463" s="147" t="str">
        <f t="shared" si="6"/>
        <v/>
      </c>
      <c r="P463" s="150" t="str">
        <f t="shared" si="7"/>
        <v/>
      </c>
      <c r="Q463" s="151" t="str">
        <f>IFERROR(VLOOKUP(C463,Ativos!$A$1:$G2000,5,),)</f>
        <v/>
      </c>
    </row>
    <row r="464" ht="21.0" customHeight="1">
      <c r="A464" s="152"/>
      <c r="B464" s="160"/>
      <c r="C464" s="153"/>
      <c r="D464" s="169"/>
      <c r="E464" s="139"/>
      <c r="F464" s="141"/>
      <c r="G464" s="170" t="str">
        <f>IFERROR(__xludf.DUMMYFUNCTION("if($C464="""","""",iferror(if(row()&lt;&gt;2,INDEX(arrayformula(filter($H$2:$H463,$C$2:$C463&lt;&gt;"""",row($C$2:$C463)=max(if($C$2:$C463=C464,row($C$2:$C463),0)))) ,1),0),0))"),"")</f>
        <v/>
      </c>
      <c r="H464" s="170" t="str">
        <f t="shared" si="8"/>
        <v/>
      </c>
      <c r="I464" s="147" t="str">
        <f t="shared" si="1"/>
        <v/>
      </c>
      <c r="J464" s="147" t="str">
        <f t="shared" si="13"/>
        <v/>
      </c>
      <c r="K464" s="147" t="str">
        <f>IFERROR(__xludf.DUMMYFUNCTION("if(C464="""","""",iferror(if(row()&lt;&gt;2,INDEX(arrayformula(filter($L$2:$L463,$C$2:$C463&lt;&gt;"""",row($C$2:$C463)=max(if($C$2:$C463=C464,row($C$2:$C463),0)))) ,1),0),0))"),"")</f>
        <v/>
      </c>
      <c r="L464" s="147" t="str">
        <f t="shared" si="14"/>
        <v/>
      </c>
      <c r="M464" s="147" t="str">
        <f t="shared" si="15"/>
        <v/>
      </c>
      <c r="N464" s="147" t="str">
        <f t="shared" si="16"/>
        <v/>
      </c>
      <c r="O464" s="147" t="str">
        <f t="shared" si="6"/>
        <v/>
      </c>
      <c r="P464" s="150" t="str">
        <f t="shared" si="7"/>
        <v/>
      </c>
      <c r="Q464" s="151" t="str">
        <f>IFERROR(VLOOKUP(C464,Ativos!$A$1:$G2000,5,),)</f>
        <v/>
      </c>
    </row>
    <row r="465" ht="21.0" customHeight="1">
      <c r="A465" s="152"/>
      <c r="B465" s="160"/>
      <c r="C465" s="153"/>
      <c r="D465" s="169"/>
      <c r="E465" s="139"/>
      <c r="F465" s="141"/>
      <c r="G465" s="170" t="str">
        <f>IFERROR(__xludf.DUMMYFUNCTION("if($C465="""","""",iferror(if(row()&lt;&gt;2,INDEX(arrayformula(filter($H$2:$H464,$C$2:$C464&lt;&gt;"""",row($C$2:$C464)=max(if($C$2:$C464=C465,row($C$2:$C464),0)))) ,1),0),0))"),"")</f>
        <v/>
      </c>
      <c r="H465" s="170" t="str">
        <f t="shared" si="8"/>
        <v/>
      </c>
      <c r="I465" s="147" t="str">
        <f t="shared" si="1"/>
        <v/>
      </c>
      <c r="J465" s="147" t="str">
        <f t="shared" si="13"/>
        <v/>
      </c>
      <c r="K465" s="147" t="str">
        <f>IFERROR(__xludf.DUMMYFUNCTION("if(C465="""","""",iferror(if(row()&lt;&gt;2,INDEX(arrayformula(filter($L$2:$L464,$C$2:$C464&lt;&gt;"""",row($C$2:$C464)=max(if($C$2:$C464=C465,row($C$2:$C464),0)))) ,1),0),0))"),"")</f>
        <v/>
      </c>
      <c r="L465" s="147" t="str">
        <f t="shared" si="14"/>
        <v/>
      </c>
      <c r="M465" s="147" t="str">
        <f t="shared" si="15"/>
        <v/>
      </c>
      <c r="N465" s="147" t="str">
        <f t="shared" si="16"/>
        <v/>
      </c>
      <c r="O465" s="147" t="str">
        <f t="shared" si="6"/>
        <v/>
      </c>
      <c r="P465" s="150" t="str">
        <f t="shared" si="7"/>
        <v/>
      </c>
      <c r="Q465" s="151" t="str">
        <f>IFERROR(VLOOKUP(C465,Ativos!$A$1:$G2000,5,),)</f>
        <v/>
      </c>
    </row>
    <row r="466" ht="21.0" customHeight="1">
      <c r="A466" s="152"/>
      <c r="B466" s="160"/>
      <c r="C466" s="153"/>
      <c r="D466" s="169"/>
      <c r="E466" s="139"/>
      <c r="F466" s="141"/>
      <c r="G466" s="170" t="str">
        <f>IFERROR(__xludf.DUMMYFUNCTION("if($C466="""","""",iferror(if(row()&lt;&gt;2,INDEX(arrayformula(filter($H$2:$H465,$C$2:$C465&lt;&gt;"""",row($C$2:$C465)=max(if($C$2:$C465=C466,row($C$2:$C465),0)))) ,1),0),0))"),"")</f>
        <v/>
      </c>
      <c r="H466" s="170" t="str">
        <f t="shared" si="8"/>
        <v/>
      </c>
      <c r="I466" s="147" t="str">
        <f t="shared" si="1"/>
        <v/>
      </c>
      <c r="J466" s="147" t="str">
        <f t="shared" si="13"/>
        <v/>
      </c>
      <c r="K466" s="147" t="str">
        <f>IFERROR(__xludf.DUMMYFUNCTION("if(C466="""","""",iferror(if(row()&lt;&gt;2,INDEX(arrayformula(filter($L$2:$L465,$C$2:$C465&lt;&gt;"""",row($C$2:$C465)=max(if($C$2:$C465=C466,row($C$2:$C465),0)))) ,1),0),0))"),"")</f>
        <v/>
      </c>
      <c r="L466" s="147" t="str">
        <f t="shared" si="14"/>
        <v/>
      </c>
      <c r="M466" s="147" t="str">
        <f t="shared" si="15"/>
        <v/>
      </c>
      <c r="N466" s="147" t="str">
        <f t="shared" si="16"/>
        <v/>
      </c>
      <c r="O466" s="147" t="str">
        <f t="shared" si="6"/>
        <v/>
      </c>
      <c r="P466" s="150" t="str">
        <f t="shared" si="7"/>
        <v/>
      </c>
      <c r="Q466" s="151" t="str">
        <f>IFERROR(VLOOKUP(C466,Ativos!$A$1:$G2000,5,),)</f>
        <v/>
      </c>
    </row>
    <row r="467" ht="21.0" customHeight="1">
      <c r="A467" s="152"/>
      <c r="B467" s="160"/>
      <c r="C467" s="153"/>
      <c r="D467" s="169"/>
      <c r="E467" s="139"/>
      <c r="F467" s="141"/>
      <c r="G467" s="170" t="str">
        <f>IFERROR(__xludf.DUMMYFUNCTION("if($C467="""","""",iferror(if(row()&lt;&gt;2,INDEX(arrayformula(filter($H$2:$H466,$C$2:$C466&lt;&gt;"""",row($C$2:$C466)=max(if($C$2:$C466=C467,row($C$2:$C466),0)))) ,1),0),0))"),"")</f>
        <v/>
      </c>
      <c r="H467" s="170" t="str">
        <f t="shared" si="8"/>
        <v/>
      </c>
      <c r="I467" s="147" t="str">
        <f t="shared" si="1"/>
        <v/>
      </c>
      <c r="J467" s="147" t="str">
        <f t="shared" si="13"/>
        <v/>
      </c>
      <c r="K467" s="147" t="str">
        <f>IFERROR(__xludf.DUMMYFUNCTION("if(C467="""","""",iferror(if(row()&lt;&gt;2,INDEX(arrayformula(filter($L$2:$L466,$C$2:$C466&lt;&gt;"""",row($C$2:$C466)=max(if($C$2:$C466=C467,row($C$2:$C466),0)))) ,1),0),0))"),"")</f>
        <v/>
      </c>
      <c r="L467" s="147" t="str">
        <f t="shared" si="14"/>
        <v/>
      </c>
      <c r="M467" s="147" t="str">
        <f t="shared" si="15"/>
        <v/>
      </c>
      <c r="N467" s="147" t="str">
        <f t="shared" si="16"/>
        <v/>
      </c>
      <c r="O467" s="147" t="str">
        <f t="shared" si="6"/>
        <v/>
      </c>
      <c r="P467" s="150" t="str">
        <f t="shared" si="7"/>
        <v/>
      </c>
      <c r="Q467" s="151" t="str">
        <f>IFERROR(VLOOKUP(C467,Ativos!$A$1:$G2000,5,),)</f>
        <v/>
      </c>
    </row>
    <row r="468" ht="21.0" customHeight="1">
      <c r="A468" s="152"/>
      <c r="B468" s="160"/>
      <c r="C468" s="153"/>
      <c r="D468" s="169"/>
      <c r="E468" s="139"/>
      <c r="F468" s="141"/>
      <c r="G468" s="170" t="str">
        <f>IFERROR(__xludf.DUMMYFUNCTION("if($C468="""","""",iferror(if(row()&lt;&gt;2,INDEX(arrayformula(filter($H$2:$H467,$C$2:$C467&lt;&gt;"""",row($C$2:$C467)=max(if($C$2:$C467=C468,row($C$2:$C467),0)))) ,1),0),0))"),"")</f>
        <v/>
      </c>
      <c r="H468" s="170" t="str">
        <f t="shared" si="8"/>
        <v/>
      </c>
      <c r="I468" s="147" t="str">
        <f t="shared" si="1"/>
        <v/>
      </c>
      <c r="J468" s="147" t="str">
        <f t="shared" si="13"/>
        <v/>
      </c>
      <c r="K468" s="147" t="str">
        <f>IFERROR(__xludf.DUMMYFUNCTION("if(C468="""","""",iferror(if(row()&lt;&gt;2,INDEX(arrayformula(filter($L$2:$L467,$C$2:$C467&lt;&gt;"""",row($C$2:$C467)=max(if($C$2:$C467=C468,row($C$2:$C467),0)))) ,1),0),0))"),"")</f>
        <v/>
      </c>
      <c r="L468" s="147" t="str">
        <f t="shared" si="14"/>
        <v/>
      </c>
      <c r="M468" s="147" t="str">
        <f t="shared" si="15"/>
        <v/>
      </c>
      <c r="N468" s="147" t="str">
        <f t="shared" si="16"/>
        <v/>
      </c>
      <c r="O468" s="147" t="str">
        <f t="shared" si="6"/>
        <v/>
      </c>
      <c r="P468" s="150" t="str">
        <f t="shared" si="7"/>
        <v/>
      </c>
      <c r="Q468" s="151" t="str">
        <f>IFERROR(VLOOKUP(C468,Ativos!$A$1:$G2000,5,),)</f>
        <v/>
      </c>
    </row>
    <row r="469" ht="21.0" customHeight="1">
      <c r="A469" s="152"/>
      <c r="B469" s="160"/>
      <c r="C469" s="153"/>
      <c r="D469" s="169"/>
      <c r="E469" s="139"/>
      <c r="F469" s="141"/>
      <c r="G469" s="170" t="str">
        <f>IFERROR(__xludf.DUMMYFUNCTION("if($C469="""","""",iferror(if(row()&lt;&gt;2,INDEX(arrayformula(filter($H$2:$H468,$C$2:$C468&lt;&gt;"""",row($C$2:$C468)=max(if($C$2:$C468=C469,row($C$2:$C468),0)))) ,1),0),0))"),"")</f>
        <v/>
      </c>
      <c r="H469" s="170" t="str">
        <f t="shared" si="8"/>
        <v/>
      </c>
      <c r="I469" s="147" t="str">
        <f t="shared" si="1"/>
        <v/>
      </c>
      <c r="J469" s="147" t="str">
        <f t="shared" si="13"/>
        <v/>
      </c>
      <c r="K469" s="147" t="str">
        <f>IFERROR(__xludf.DUMMYFUNCTION("if(C469="""","""",iferror(if(row()&lt;&gt;2,INDEX(arrayformula(filter($L$2:$L468,$C$2:$C468&lt;&gt;"""",row($C$2:$C468)=max(if($C$2:$C468=C469,row($C$2:$C468),0)))) ,1),0),0))"),"")</f>
        <v/>
      </c>
      <c r="L469" s="147" t="str">
        <f t="shared" si="14"/>
        <v/>
      </c>
      <c r="M469" s="147" t="str">
        <f t="shared" si="15"/>
        <v/>
      </c>
      <c r="N469" s="147" t="str">
        <f t="shared" si="16"/>
        <v/>
      </c>
      <c r="O469" s="147" t="str">
        <f t="shared" si="6"/>
        <v/>
      </c>
      <c r="P469" s="150" t="str">
        <f t="shared" si="7"/>
        <v/>
      </c>
      <c r="Q469" s="151" t="str">
        <f>IFERROR(VLOOKUP(C469,Ativos!$A$1:$G2000,5,),)</f>
        <v/>
      </c>
    </row>
    <row r="470" ht="21.0" customHeight="1">
      <c r="A470" s="152"/>
      <c r="B470" s="160"/>
      <c r="C470" s="153"/>
      <c r="D470" s="169"/>
      <c r="E470" s="139"/>
      <c r="F470" s="141"/>
      <c r="G470" s="170" t="str">
        <f>IFERROR(__xludf.DUMMYFUNCTION("if($C470="""","""",iferror(if(row()&lt;&gt;2,INDEX(arrayformula(filter($H$2:$H469,$C$2:$C469&lt;&gt;"""",row($C$2:$C469)=max(if($C$2:$C469=C470,row($C$2:$C469),0)))) ,1),0),0))"),"")</f>
        <v/>
      </c>
      <c r="H470" s="170" t="str">
        <f t="shared" si="8"/>
        <v/>
      </c>
      <c r="I470" s="147" t="str">
        <f t="shared" si="1"/>
        <v/>
      </c>
      <c r="J470" s="147" t="str">
        <f t="shared" si="13"/>
        <v/>
      </c>
      <c r="K470" s="147" t="str">
        <f>IFERROR(__xludf.DUMMYFUNCTION("if(C470="""","""",iferror(if(row()&lt;&gt;2,INDEX(arrayformula(filter($L$2:$L469,$C$2:$C469&lt;&gt;"""",row($C$2:$C469)=max(if($C$2:$C469=C470,row($C$2:$C469),0)))) ,1),0),0))"),"")</f>
        <v/>
      </c>
      <c r="L470" s="147" t="str">
        <f t="shared" si="14"/>
        <v/>
      </c>
      <c r="M470" s="147" t="str">
        <f t="shared" si="15"/>
        <v/>
      </c>
      <c r="N470" s="147" t="str">
        <f t="shared" si="16"/>
        <v/>
      </c>
      <c r="O470" s="147" t="str">
        <f t="shared" si="6"/>
        <v/>
      </c>
      <c r="P470" s="150" t="str">
        <f t="shared" si="7"/>
        <v/>
      </c>
      <c r="Q470" s="151" t="str">
        <f>IFERROR(VLOOKUP(C470,Ativos!$A$1:$G2000,5,),)</f>
        <v/>
      </c>
    </row>
    <row r="471" ht="21.0" customHeight="1">
      <c r="A471" s="152"/>
      <c r="B471" s="160"/>
      <c r="C471" s="153"/>
      <c r="D471" s="169"/>
      <c r="E471" s="139"/>
      <c r="F471" s="141"/>
      <c r="G471" s="170" t="str">
        <f>IFERROR(__xludf.DUMMYFUNCTION("if($C471="""","""",iferror(if(row()&lt;&gt;2,INDEX(arrayformula(filter($H$2:$H470,$C$2:$C470&lt;&gt;"""",row($C$2:$C470)=max(if($C$2:$C470=C471,row($C$2:$C470),0)))) ,1),0),0))"),"")</f>
        <v/>
      </c>
      <c r="H471" s="170" t="str">
        <f t="shared" si="8"/>
        <v/>
      </c>
      <c r="I471" s="147" t="str">
        <f t="shared" si="1"/>
        <v/>
      </c>
      <c r="J471" s="147" t="str">
        <f t="shared" si="13"/>
        <v/>
      </c>
      <c r="K471" s="147" t="str">
        <f>IFERROR(__xludf.DUMMYFUNCTION("if(C471="""","""",iferror(if(row()&lt;&gt;2,INDEX(arrayformula(filter($L$2:$L470,$C$2:$C470&lt;&gt;"""",row($C$2:$C470)=max(if($C$2:$C470=C471,row($C$2:$C470),0)))) ,1),0),0))"),"")</f>
        <v/>
      </c>
      <c r="L471" s="147" t="str">
        <f t="shared" si="14"/>
        <v/>
      </c>
      <c r="M471" s="147" t="str">
        <f t="shared" si="15"/>
        <v/>
      </c>
      <c r="N471" s="147" t="str">
        <f t="shared" si="16"/>
        <v/>
      </c>
      <c r="O471" s="147" t="str">
        <f t="shared" si="6"/>
        <v/>
      </c>
      <c r="P471" s="150" t="str">
        <f t="shared" si="7"/>
        <v/>
      </c>
      <c r="Q471" s="151" t="str">
        <f>IFERROR(VLOOKUP(C471,Ativos!$A$1:$G2000,5,),)</f>
        <v/>
      </c>
    </row>
    <row r="472" ht="21.0" customHeight="1">
      <c r="A472" s="152"/>
      <c r="B472" s="160"/>
      <c r="C472" s="153"/>
      <c r="D472" s="169"/>
      <c r="E472" s="139"/>
      <c r="F472" s="141"/>
      <c r="G472" s="170" t="str">
        <f>IFERROR(__xludf.DUMMYFUNCTION("if($C472="""","""",iferror(if(row()&lt;&gt;2,INDEX(arrayformula(filter($H$2:$H471,$C$2:$C471&lt;&gt;"""",row($C$2:$C471)=max(if($C$2:$C471=C472,row($C$2:$C471),0)))) ,1),0),0))"),"")</f>
        <v/>
      </c>
      <c r="H472" s="170" t="str">
        <f t="shared" si="8"/>
        <v/>
      </c>
      <c r="I472" s="147" t="str">
        <f t="shared" si="1"/>
        <v/>
      </c>
      <c r="J472" s="147" t="str">
        <f t="shared" si="13"/>
        <v/>
      </c>
      <c r="K472" s="147" t="str">
        <f>IFERROR(__xludf.DUMMYFUNCTION("if(C472="""","""",iferror(if(row()&lt;&gt;2,INDEX(arrayformula(filter($L$2:$L471,$C$2:$C471&lt;&gt;"""",row($C$2:$C471)=max(if($C$2:$C471=C472,row($C$2:$C471),0)))) ,1),0),0))"),"")</f>
        <v/>
      </c>
      <c r="L472" s="147" t="str">
        <f t="shared" si="14"/>
        <v/>
      </c>
      <c r="M472" s="147" t="str">
        <f t="shared" si="15"/>
        <v/>
      </c>
      <c r="N472" s="147" t="str">
        <f t="shared" si="16"/>
        <v/>
      </c>
      <c r="O472" s="147" t="str">
        <f t="shared" si="6"/>
        <v/>
      </c>
      <c r="P472" s="150" t="str">
        <f t="shared" si="7"/>
        <v/>
      </c>
      <c r="Q472" s="151" t="str">
        <f>IFERROR(VLOOKUP(C472,Ativos!$A$1:$G2000,5,),)</f>
        <v/>
      </c>
    </row>
    <row r="473" ht="21.0" customHeight="1">
      <c r="A473" s="152"/>
      <c r="B473" s="160"/>
      <c r="C473" s="153"/>
      <c r="D473" s="169"/>
      <c r="E473" s="139"/>
      <c r="F473" s="141"/>
      <c r="G473" s="170" t="str">
        <f>IFERROR(__xludf.DUMMYFUNCTION("if($C473="""","""",iferror(if(row()&lt;&gt;2,INDEX(arrayformula(filter($H$2:$H472,$C$2:$C472&lt;&gt;"""",row($C$2:$C472)=max(if($C$2:$C472=C473,row($C$2:$C472),0)))) ,1),0),0))"),"")</f>
        <v/>
      </c>
      <c r="H473" s="170" t="str">
        <f t="shared" si="8"/>
        <v/>
      </c>
      <c r="I473" s="147" t="str">
        <f t="shared" si="1"/>
        <v/>
      </c>
      <c r="J473" s="147" t="str">
        <f t="shared" si="13"/>
        <v/>
      </c>
      <c r="K473" s="147" t="str">
        <f>IFERROR(__xludf.DUMMYFUNCTION("if(C473="""","""",iferror(if(row()&lt;&gt;2,INDEX(arrayformula(filter($L$2:$L472,$C$2:$C472&lt;&gt;"""",row($C$2:$C472)=max(if($C$2:$C472=C473,row($C$2:$C472),0)))) ,1),0),0))"),"")</f>
        <v/>
      </c>
      <c r="L473" s="147" t="str">
        <f t="shared" si="14"/>
        <v/>
      </c>
      <c r="M473" s="147" t="str">
        <f t="shared" si="15"/>
        <v/>
      </c>
      <c r="N473" s="147" t="str">
        <f t="shared" si="16"/>
        <v/>
      </c>
      <c r="O473" s="147" t="str">
        <f t="shared" si="6"/>
        <v/>
      </c>
      <c r="P473" s="150" t="str">
        <f t="shared" si="7"/>
        <v/>
      </c>
      <c r="Q473" s="151" t="str">
        <f>IFERROR(VLOOKUP(C473,Ativos!$A$1:$G2000,5,),)</f>
        <v/>
      </c>
    </row>
    <row r="474" ht="21.0" customHeight="1">
      <c r="A474" s="152"/>
      <c r="B474" s="160"/>
      <c r="C474" s="153"/>
      <c r="D474" s="169"/>
      <c r="E474" s="139"/>
      <c r="F474" s="141"/>
      <c r="G474" s="170" t="str">
        <f>IFERROR(__xludf.DUMMYFUNCTION("if($C474="""","""",iferror(if(row()&lt;&gt;2,INDEX(arrayformula(filter($H$2:$H473,$C$2:$C473&lt;&gt;"""",row($C$2:$C473)=max(if($C$2:$C473=C474,row($C$2:$C473),0)))) ,1),0),0))"),"")</f>
        <v/>
      </c>
      <c r="H474" s="170" t="str">
        <f t="shared" si="8"/>
        <v/>
      </c>
      <c r="I474" s="147" t="str">
        <f t="shared" si="1"/>
        <v/>
      </c>
      <c r="J474" s="147" t="str">
        <f t="shared" si="13"/>
        <v/>
      </c>
      <c r="K474" s="147" t="str">
        <f>IFERROR(__xludf.DUMMYFUNCTION("if(C474="""","""",iferror(if(row()&lt;&gt;2,INDEX(arrayformula(filter($L$2:$L473,$C$2:$C473&lt;&gt;"""",row($C$2:$C473)=max(if($C$2:$C473=C474,row($C$2:$C473),0)))) ,1),0),0))"),"")</f>
        <v/>
      </c>
      <c r="L474" s="147" t="str">
        <f t="shared" si="14"/>
        <v/>
      </c>
      <c r="M474" s="147" t="str">
        <f t="shared" si="15"/>
        <v/>
      </c>
      <c r="N474" s="147" t="str">
        <f t="shared" si="16"/>
        <v/>
      </c>
      <c r="O474" s="147" t="str">
        <f t="shared" si="6"/>
        <v/>
      </c>
      <c r="P474" s="150" t="str">
        <f t="shared" si="7"/>
        <v/>
      </c>
      <c r="Q474" s="151" t="str">
        <f>IFERROR(VLOOKUP(C474,Ativos!$A$1:$G2000,5,),)</f>
        <v/>
      </c>
    </row>
    <row r="475" ht="21.0" customHeight="1">
      <c r="A475" s="152"/>
      <c r="B475" s="160"/>
      <c r="C475" s="153"/>
      <c r="D475" s="169"/>
      <c r="E475" s="139"/>
      <c r="F475" s="141"/>
      <c r="G475" s="170" t="str">
        <f>IFERROR(__xludf.DUMMYFUNCTION("if($C475="""","""",iferror(if(row()&lt;&gt;2,INDEX(arrayformula(filter($H$2:$H474,$C$2:$C474&lt;&gt;"""",row($C$2:$C474)=max(if($C$2:$C474=C475,row($C$2:$C474),0)))) ,1),0),0))"),"")</f>
        <v/>
      </c>
      <c r="H475" s="170" t="str">
        <f t="shared" si="8"/>
        <v/>
      </c>
      <c r="I475" s="147" t="str">
        <f t="shared" si="1"/>
        <v/>
      </c>
      <c r="J475" s="147" t="str">
        <f t="shared" si="13"/>
        <v/>
      </c>
      <c r="K475" s="147" t="str">
        <f>IFERROR(__xludf.DUMMYFUNCTION("if(C475="""","""",iferror(if(row()&lt;&gt;2,INDEX(arrayformula(filter($L$2:$L474,$C$2:$C474&lt;&gt;"""",row($C$2:$C474)=max(if($C$2:$C474=C475,row($C$2:$C474),0)))) ,1),0),0))"),"")</f>
        <v/>
      </c>
      <c r="L475" s="147" t="str">
        <f t="shared" si="14"/>
        <v/>
      </c>
      <c r="M475" s="147" t="str">
        <f t="shared" si="15"/>
        <v/>
      </c>
      <c r="N475" s="147" t="str">
        <f t="shared" si="16"/>
        <v/>
      </c>
      <c r="O475" s="147" t="str">
        <f t="shared" si="6"/>
        <v/>
      </c>
      <c r="P475" s="150" t="str">
        <f t="shared" si="7"/>
        <v/>
      </c>
      <c r="Q475" s="151" t="str">
        <f>IFERROR(VLOOKUP(C475,Ativos!$A$1:$G2000,5,),)</f>
        <v/>
      </c>
    </row>
    <row r="476" ht="21.0" customHeight="1">
      <c r="A476" s="152"/>
      <c r="B476" s="160"/>
      <c r="C476" s="153"/>
      <c r="D476" s="169"/>
      <c r="E476" s="139"/>
      <c r="F476" s="141"/>
      <c r="G476" s="170" t="str">
        <f>IFERROR(__xludf.DUMMYFUNCTION("if($C476="""","""",iferror(if(row()&lt;&gt;2,INDEX(arrayformula(filter($H$2:$H475,$C$2:$C475&lt;&gt;"""",row($C$2:$C475)=max(if($C$2:$C475=C476,row($C$2:$C475),0)))) ,1),0),0))"),"")</f>
        <v/>
      </c>
      <c r="H476" s="170" t="str">
        <f t="shared" si="8"/>
        <v/>
      </c>
      <c r="I476" s="147" t="str">
        <f t="shared" si="1"/>
        <v/>
      </c>
      <c r="J476" s="147" t="str">
        <f t="shared" si="13"/>
        <v/>
      </c>
      <c r="K476" s="147" t="str">
        <f>IFERROR(__xludf.DUMMYFUNCTION("if(C476="""","""",iferror(if(row()&lt;&gt;2,INDEX(arrayformula(filter($L$2:$L475,$C$2:$C475&lt;&gt;"""",row($C$2:$C475)=max(if($C$2:$C475=C476,row($C$2:$C475),0)))) ,1),0),0))"),"")</f>
        <v/>
      </c>
      <c r="L476" s="147" t="str">
        <f t="shared" si="14"/>
        <v/>
      </c>
      <c r="M476" s="147" t="str">
        <f t="shared" si="15"/>
        <v/>
      </c>
      <c r="N476" s="147" t="str">
        <f t="shared" si="16"/>
        <v/>
      </c>
      <c r="O476" s="147" t="str">
        <f t="shared" si="6"/>
        <v/>
      </c>
      <c r="P476" s="150" t="str">
        <f t="shared" si="7"/>
        <v/>
      </c>
      <c r="Q476" s="151" t="str">
        <f>IFERROR(VLOOKUP(C476,Ativos!$A$1:$G2000,5,),)</f>
        <v/>
      </c>
    </row>
    <row r="477" ht="21.0" customHeight="1">
      <c r="A477" s="152"/>
      <c r="B477" s="160"/>
      <c r="C477" s="153"/>
      <c r="D477" s="169"/>
      <c r="E477" s="139"/>
      <c r="F477" s="141"/>
      <c r="G477" s="170" t="str">
        <f>IFERROR(__xludf.DUMMYFUNCTION("if($C477="""","""",iferror(if(row()&lt;&gt;2,INDEX(arrayformula(filter($H$2:$H476,$C$2:$C476&lt;&gt;"""",row($C$2:$C476)=max(if($C$2:$C476=C477,row($C$2:$C476),0)))) ,1),0),0))"),"")</f>
        <v/>
      </c>
      <c r="H477" s="170" t="str">
        <f t="shared" si="8"/>
        <v/>
      </c>
      <c r="I477" s="147" t="str">
        <f t="shared" si="1"/>
        <v/>
      </c>
      <c r="J477" s="147" t="str">
        <f t="shared" si="13"/>
        <v/>
      </c>
      <c r="K477" s="147" t="str">
        <f>IFERROR(__xludf.DUMMYFUNCTION("if(C477="""","""",iferror(if(row()&lt;&gt;2,INDEX(arrayformula(filter($L$2:$L476,$C$2:$C476&lt;&gt;"""",row($C$2:$C476)=max(if($C$2:$C476=C477,row($C$2:$C476),0)))) ,1),0),0))"),"")</f>
        <v/>
      </c>
      <c r="L477" s="147" t="str">
        <f t="shared" si="14"/>
        <v/>
      </c>
      <c r="M477" s="147" t="str">
        <f t="shared" si="15"/>
        <v/>
      </c>
      <c r="N477" s="147" t="str">
        <f t="shared" si="16"/>
        <v/>
      </c>
      <c r="O477" s="147" t="str">
        <f t="shared" si="6"/>
        <v/>
      </c>
      <c r="P477" s="150" t="str">
        <f t="shared" si="7"/>
        <v/>
      </c>
      <c r="Q477" s="151" t="str">
        <f>IFERROR(VLOOKUP(C477,Ativos!$A$1:$G2000,5,),)</f>
        <v/>
      </c>
    </row>
    <row r="478" ht="21.0" customHeight="1">
      <c r="A478" s="152"/>
      <c r="B478" s="160"/>
      <c r="C478" s="153"/>
      <c r="D478" s="169"/>
      <c r="E478" s="139"/>
      <c r="F478" s="141"/>
      <c r="G478" s="170" t="str">
        <f>IFERROR(__xludf.DUMMYFUNCTION("if($C478="""","""",iferror(if(row()&lt;&gt;2,INDEX(arrayformula(filter($H$2:$H477,$C$2:$C477&lt;&gt;"""",row($C$2:$C477)=max(if($C$2:$C477=C478,row($C$2:$C477),0)))) ,1),0),0))"),"")</f>
        <v/>
      </c>
      <c r="H478" s="170" t="str">
        <f t="shared" si="8"/>
        <v/>
      </c>
      <c r="I478" s="147" t="str">
        <f t="shared" si="1"/>
        <v/>
      </c>
      <c r="J478" s="147" t="str">
        <f t="shared" si="13"/>
        <v/>
      </c>
      <c r="K478" s="147" t="str">
        <f>IFERROR(__xludf.DUMMYFUNCTION("if(C478="""","""",iferror(if(row()&lt;&gt;2,INDEX(arrayformula(filter($L$2:$L477,$C$2:$C477&lt;&gt;"""",row($C$2:$C477)=max(if($C$2:$C477=C478,row($C$2:$C477),0)))) ,1),0),0))"),"")</f>
        <v/>
      </c>
      <c r="L478" s="147" t="str">
        <f t="shared" si="14"/>
        <v/>
      </c>
      <c r="M478" s="147" t="str">
        <f t="shared" si="15"/>
        <v/>
      </c>
      <c r="N478" s="147" t="str">
        <f t="shared" si="16"/>
        <v/>
      </c>
      <c r="O478" s="147" t="str">
        <f t="shared" si="6"/>
        <v/>
      </c>
      <c r="P478" s="150" t="str">
        <f t="shared" si="7"/>
        <v/>
      </c>
      <c r="Q478" s="151" t="str">
        <f>IFERROR(VLOOKUP(C478,Ativos!$A$1:$G2000,5,),)</f>
        <v/>
      </c>
    </row>
    <row r="479" ht="21.0" customHeight="1">
      <c r="A479" s="152"/>
      <c r="B479" s="160"/>
      <c r="C479" s="153"/>
      <c r="D479" s="169"/>
      <c r="E479" s="139"/>
      <c r="F479" s="141"/>
      <c r="G479" s="170" t="str">
        <f>IFERROR(__xludf.DUMMYFUNCTION("if($C479="""","""",iferror(if(row()&lt;&gt;2,INDEX(arrayformula(filter($H$2:$H478,$C$2:$C478&lt;&gt;"""",row($C$2:$C478)=max(if($C$2:$C478=C479,row($C$2:$C478),0)))) ,1),0),0))"),"")</f>
        <v/>
      </c>
      <c r="H479" s="170" t="str">
        <f t="shared" si="8"/>
        <v/>
      </c>
      <c r="I479" s="147" t="str">
        <f t="shared" si="1"/>
        <v/>
      </c>
      <c r="J479" s="147" t="str">
        <f t="shared" si="13"/>
        <v/>
      </c>
      <c r="K479" s="147" t="str">
        <f>IFERROR(__xludf.DUMMYFUNCTION("if(C479="""","""",iferror(if(row()&lt;&gt;2,INDEX(arrayformula(filter($L$2:$L478,$C$2:$C478&lt;&gt;"""",row($C$2:$C478)=max(if($C$2:$C478=C479,row($C$2:$C478),0)))) ,1),0),0))"),"")</f>
        <v/>
      </c>
      <c r="L479" s="147" t="str">
        <f t="shared" si="14"/>
        <v/>
      </c>
      <c r="M479" s="147" t="str">
        <f t="shared" si="15"/>
        <v/>
      </c>
      <c r="N479" s="147" t="str">
        <f t="shared" si="16"/>
        <v/>
      </c>
      <c r="O479" s="147" t="str">
        <f t="shared" si="6"/>
        <v/>
      </c>
      <c r="P479" s="150" t="str">
        <f t="shared" si="7"/>
        <v/>
      </c>
      <c r="Q479" s="151" t="str">
        <f>IFERROR(VLOOKUP(C479,Ativos!$A$1:$G2000,5,),)</f>
        <v/>
      </c>
    </row>
    <row r="480" ht="21.0" customHeight="1">
      <c r="A480" s="152"/>
      <c r="B480" s="160"/>
      <c r="C480" s="153"/>
      <c r="D480" s="169"/>
      <c r="E480" s="139"/>
      <c r="F480" s="141"/>
      <c r="G480" s="170" t="str">
        <f>IFERROR(__xludf.DUMMYFUNCTION("if($C480="""","""",iferror(if(row()&lt;&gt;2,INDEX(arrayformula(filter($H$2:$H479,$C$2:$C479&lt;&gt;"""",row($C$2:$C479)=max(if($C$2:$C479=C480,row($C$2:$C479),0)))) ,1),0),0))"),"")</f>
        <v/>
      </c>
      <c r="H480" s="170" t="str">
        <f t="shared" si="8"/>
        <v/>
      </c>
      <c r="I480" s="147" t="str">
        <f t="shared" si="1"/>
        <v/>
      </c>
      <c r="J480" s="147" t="str">
        <f t="shared" si="13"/>
        <v/>
      </c>
      <c r="K480" s="147" t="str">
        <f>IFERROR(__xludf.DUMMYFUNCTION("if(C480="""","""",iferror(if(row()&lt;&gt;2,INDEX(arrayformula(filter($L$2:$L479,$C$2:$C479&lt;&gt;"""",row($C$2:$C479)=max(if($C$2:$C479=C480,row($C$2:$C479),0)))) ,1),0),0))"),"")</f>
        <v/>
      </c>
      <c r="L480" s="147" t="str">
        <f t="shared" si="14"/>
        <v/>
      </c>
      <c r="M480" s="147" t="str">
        <f t="shared" si="15"/>
        <v/>
      </c>
      <c r="N480" s="147" t="str">
        <f t="shared" si="16"/>
        <v/>
      </c>
      <c r="O480" s="147" t="str">
        <f t="shared" si="6"/>
        <v/>
      </c>
      <c r="P480" s="150" t="str">
        <f t="shared" si="7"/>
        <v/>
      </c>
      <c r="Q480" s="151" t="str">
        <f>IFERROR(VLOOKUP(C480,Ativos!$A$1:$G2000,5,),)</f>
        <v/>
      </c>
    </row>
    <row r="481" ht="21.0" customHeight="1">
      <c r="A481" s="152"/>
      <c r="B481" s="160"/>
      <c r="C481" s="153"/>
      <c r="D481" s="169"/>
      <c r="E481" s="139"/>
      <c r="F481" s="141"/>
      <c r="G481" s="170" t="str">
        <f>IFERROR(__xludf.DUMMYFUNCTION("if($C481="""","""",iferror(if(row()&lt;&gt;2,INDEX(arrayformula(filter($H$2:$H480,$C$2:$C480&lt;&gt;"""",row($C$2:$C480)=max(if($C$2:$C480=C481,row($C$2:$C480),0)))) ,1),0),0))"),"")</f>
        <v/>
      </c>
      <c r="H481" s="170" t="str">
        <f t="shared" si="8"/>
        <v/>
      </c>
      <c r="I481" s="147" t="str">
        <f t="shared" si="1"/>
        <v/>
      </c>
      <c r="J481" s="147" t="str">
        <f t="shared" si="13"/>
        <v/>
      </c>
      <c r="K481" s="147" t="str">
        <f>IFERROR(__xludf.DUMMYFUNCTION("if(C481="""","""",iferror(if(row()&lt;&gt;2,INDEX(arrayformula(filter($L$2:$L480,$C$2:$C480&lt;&gt;"""",row($C$2:$C480)=max(if($C$2:$C480=C481,row($C$2:$C480),0)))) ,1),0),0))"),"")</f>
        <v/>
      </c>
      <c r="L481" s="147" t="str">
        <f t="shared" si="14"/>
        <v/>
      </c>
      <c r="M481" s="147" t="str">
        <f t="shared" si="15"/>
        <v/>
      </c>
      <c r="N481" s="147" t="str">
        <f t="shared" si="16"/>
        <v/>
      </c>
      <c r="O481" s="147" t="str">
        <f t="shared" si="6"/>
        <v/>
      </c>
      <c r="P481" s="150" t="str">
        <f t="shared" si="7"/>
        <v/>
      </c>
      <c r="Q481" s="151" t="str">
        <f>IFERROR(VLOOKUP(C481,Ativos!$A$1:$G2000,5,),)</f>
        <v/>
      </c>
    </row>
    <row r="482" ht="21.0" customHeight="1">
      <c r="A482" s="152"/>
      <c r="B482" s="160"/>
      <c r="C482" s="153"/>
      <c r="D482" s="169"/>
      <c r="E482" s="139"/>
      <c r="F482" s="141"/>
      <c r="G482" s="170" t="str">
        <f>IFERROR(__xludf.DUMMYFUNCTION("if($C482="""","""",iferror(if(row()&lt;&gt;2,INDEX(arrayformula(filter($H$2:$H481,$C$2:$C481&lt;&gt;"""",row($C$2:$C481)=max(if($C$2:$C481=C482,row($C$2:$C481),0)))) ,1),0),0))"),"")</f>
        <v/>
      </c>
      <c r="H482" s="170" t="str">
        <f t="shared" si="8"/>
        <v/>
      </c>
      <c r="I482" s="147" t="str">
        <f t="shared" si="1"/>
        <v/>
      </c>
      <c r="J482" s="147" t="str">
        <f t="shared" si="13"/>
        <v/>
      </c>
      <c r="K482" s="147" t="str">
        <f>IFERROR(__xludf.DUMMYFUNCTION("if(C482="""","""",iferror(if(row()&lt;&gt;2,INDEX(arrayformula(filter($L$2:$L481,$C$2:$C481&lt;&gt;"""",row($C$2:$C481)=max(if($C$2:$C481=C482,row($C$2:$C481),0)))) ,1),0),0))"),"")</f>
        <v/>
      </c>
      <c r="L482" s="147" t="str">
        <f t="shared" si="14"/>
        <v/>
      </c>
      <c r="M482" s="147" t="str">
        <f t="shared" si="15"/>
        <v/>
      </c>
      <c r="N482" s="147" t="str">
        <f t="shared" si="16"/>
        <v/>
      </c>
      <c r="O482" s="147" t="str">
        <f t="shared" si="6"/>
        <v/>
      </c>
      <c r="P482" s="150" t="str">
        <f t="shared" si="7"/>
        <v/>
      </c>
      <c r="Q482" s="151" t="str">
        <f>IFERROR(VLOOKUP(C482,Ativos!$A$1:$G2000,5,),)</f>
        <v/>
      </c>
    </row>
    <row r="483" ht="21.0" customHeight="1">
      <c r="A483" s="152"/>
      <c r="B483" s="160"/>
      <c r="C483" s="153"/>
      <c r="D483" s="169"/>
      <c r="E483" s="139"/>
      <c r="F483" s="141"/>
      <c r="G483" s="170" t="str">
        <f>IFERROR(__xludf.DUMMYFUNCTION("if($C483="""","""",iferror(if(row()&lt;&gt;2,INDEX(arrayformula(filter($H$2:$H482,$C$2:$C482&lt;&gt;"""",row($C$2:$C482)=max(if($C$2:$C482=C483,row($C$2:$C482),0)))) ,1),0),0))"),"")</f>
        <v/>
      </c>
      <c r="H483" s="170" t="str">
        <f t="shared" si="8"/>
        <v/>
      </c>
      <c r="I483" s="147" t="str">
        <f t="shared" si="1"/>
        <v/>
      </c>
      <c r="J483" s="147" t="str">
        <f t="shared" si="13"/>
        <v/>
      </c>
      <c r="K483" s="147" t="str">
        <f>IFERROR(__xludf.DUMMYFUNCTION("if(C483="""","""",iferror(if(row()&lt;&gt;2,INDEX(arrayformula(filter($L$2:$L482,$C$2:$C482&lt;&gt;"""",row($C$2:$C482)=max(if($C$2:$C482=C483,row($C$2:$C482),0)))) ,1),0),0))"),"")</f>
        <v/>
      </c>
      <c r="L483" s="147" t="str">
        <f t="shared" si="14"/>
        <v/>
      </c>
      <c r="M483" s="147" t="str">
        <f t="shared" si="15"/>
        <v/>
      </c>
      <c r="N483" s="147" t="str">
        <f t="shared" si="16"/>
        <v/>
      </c>
      <c r="O483" s="147" t="str">
        <f t="shared" si="6"/>
        <v/>
      </c>
      <c r="P483" s="150" t="str">
        <f t="shared" si="7"/>
        <v/>
      </c>
      <c r="Q483" s="151" t="str">
        <f>IFERROR(VLOOKUP(C483,Ativos!$A$1:$G2000,5,),)</f>
        <v/>
      </c>
    </row>
    <row r="484" ht="21.0" customHeight="1">
      <c r="A484" s="152"/>
      <c r="B484" s="160"/>
      <c r="C484" s="153"/>
      <c r="D484" s="169"/>
      <c r="E484" s="139"/>
      <c r="F484" s="141"/>
      <c r="G484" s="170" t="str">
        <f>IFERROR(__xludf.DUMMYFUNCTION("if($C484="""","""",iferror(if(row()&lt;&gt;2,INDEX(arrayformula(filter($H$2:$H483,$C$2:$C483&lt;&gt;"""",row($C$2:$C483)=max(if($C$2:$C483=C484,row($C$2:$C483),0)))) ,1),0),0))"),"")</f>
        <v/>
      </c>
      <c r="H484" s="170" t="str">
        <f t="shared" si="8"/>
        <v/>
      </c>
      <c r="I484" s="147" t="str">
        <f t="shared" si="1"/>
        <v/>
      </c>
      <c r="J484" s="147" t="str">
        <f t="shared" si="13"/>
        <v/>
      </c>
      <c r="K484" s="147" t="str">
        <f>IFERROR(__xludf.DUMMYFUNCTION("if(C484="""","""",iferror(if(row()&lt;&gt;2,INDEX(arrayformula(filter($L$2:$L483,$C$2:$C483&lt;&gt;"""",row($C$2:$C483)=max(if($C$2:$C483=C484,row($C$2:$C483),0)))) ,1),0),0))"),"")</f>
        <v/>
      </c>
      <c r="L484" s="147" t="str">
        <f t="shared" si="14"/>
        <v/>
      </c>
      <c r="M484" s="147" t="str">
        <f t="shared" si="15"/>
        <v/>
      </c>
      <c r="N484" s="147" t="str">
        <f t="shared" si="16"/>
        <v/>
      </c>
      <c r="O484" s="147" t="str">
        <f t="shared" si="6"/>
        <v/>
      </c>
      <c r="P484" s="150" t="str">
        <f t="shared" si="7"/>
        <v/>
      </c>
      <c r="Q484" s="151" t="str">
        <f>IFERROR(VLOOKUP(C484,Ativos!$A$1:$G2000,5,),)</f>
        <v/>
      </c>
    </row>
    <row r="485" ht="21.0" customHeight="1">
      <c r="A485" s="152"/>
      <c r="B485" s="160"/>
      <c r="C485" s="153"/>
      <c r="D485" s="169"/>
      <c r="E485" s="139"/>
      <c r="F485" s="141"/>
      <c r="G485" s="170" t="str">
        <f>IFERROR(__xludf.DUMMYFUNCTION("if($C485="""","""",iferror(if(row()&lt;&gt;2,INDEX(arrayformula(filter($H$2:$H484,$C$2:$C484&lt;&gt;"""",row($C$2:$C484)=max(if($C$2:$C484=C485,row($C$2:$C484),0)))) ,1),0),0))"),"")</f>
        <v/>
      </c>
      <c r="H485" s="170" t="str">
        <f t="shared" si="8"/>
        <v/>
      </c>
      <c r="I485" s="147" t="str">
        <f t="shared" si="1"/>
        <v/>
      </c>
      <c r="J485" s="147" t="str">
        <f t="shared" si="13"/>
        <v/>
      </c>
      <c r="K485" s="147" t="str">
        <f>IFERROR(__xludf.DUMMYFUNCTION("if(C485="""","""",iferror(if(row()&lt;&gt;2,INDEX(arrayformula(filter($L$2:$L484,$C$2:$C484&lt;&gt;"""",row($C$2:$C484)=max(if($C$2:$C484=C485,row($C$2:$C484),0)))) ,1),0),0))"),"")</f>
        <v/>
      </c>
      <c r="L485" s="147" t="str">
        <f t="shared" si="14"/>
        <v/>
      </c>
      <c r="M485" s="147" t="str">
        <f t="shared" si="15"/>
        <v/>
      </c>
      <c r="N485" s="147" t="str">
        <f t="shared" si="16"/>
        <v/>
      </c>
      <c r="O485" s="147" t="str">
        <f t="shared" si="6"/>
        <v/>
      </c>
      <c r="P485" s="150" t="str">
        <f t="shared" si="7"/>
        <v/>
      </c>
      <c r="Q485" s="151" t="str">
        <f>IFERROR(VLOOKUP(C485,Ativos!$A$1:$G2000,5,),)</f>
        <v/>
      </c>
    </row>
    <row r="486" ht="21.0" customHeight="1">
      <c r="A486" s="152"/>
      <c r="B486" s="160"/>
      <c r="C486" s="153"/>
      <c r="D486" s="169"/>
      <c r="E486" s="139"/>
      <c r="F486" s="141"/>
      <c r="G486" s="170" t="str">
        <f>IFERROR(__xludf.DUMMYFUNCTION("if($C486="""","""",iferror(if(row()&lt;&gt;2,INDEX(arrayformula(filter($H$2:$H485,$C$2:$C485&lt;&gt;"""",row($C$2:$C485)=max(if($C$2:$C485=C486,row($C$2:$C485),0)))) ,1),0),0))"),"")</f>
        <v/>
      </c>
      <c r="H486" s="170" t="str">
        <f t="shared" si="8"/>
        <v/>
      </c>
      <c r="I486" s="147" t="str">
        <f t="shared" si="1"/>
        <v/>
      </c>
      <c r="J486" s="147" t="str">
        <f t="shared" si="13"/>
        <v/>
      </c>
      <c r="K486" s="147" t="str">
        <f>IFERROR(__xludf.DUMMYFUNCTION("if(C486="""","""",iferror(if(row()&lt;&gt;2,INDEX(arrayformula(filter($L$2:$L485,$C$2:$C485&lt;&gt;"""",row($C$2:$C485)=max(if($C$2:$C485=C486,row($C$2:$C485),0)))) ,1),0),0))"),"")</f>
        <v/>
      </c>
      <c r="L486" s="147" t="str">
        <f t="shared" si="14"/>
        <v/>
      </c>
      <c r="M486" s="147" t="str">
        <f t="shared" si="15"/>
        <v/>
      </c>
      <c r="N486" s="147" t="str">
        <f t="shared" si="16"/>
        <v/>
      </c>
      <c r="O486" s="147" t="str">
        <f t="shared" si="6"/>
        <v/>
      </c>
      <c r="P486" s="150" t="str">
        <f t="shared" si="7"/>
        <v/>
      </c>
      <c r="Q486" s="151" t="str">
        <f>IFERROR(VLOOKUP(C486,Ativos!$A$1:$G2000,5,),)</f>
        <v/>
      </c>
    </row>
    <row r="487" ht="21.0" customHeight="1">
      <c r="A487" s="152"/>
      <c r="B487" s="160"/>
      <c r="C487" s="153"/>
      <c r="D487" s="169"/>
      <c r="E487" s="139"/>
      <c r="F487" s="141"/>
      <c r="G487" s="170" t="str">
        <f>IFERROR(__xludf.DUMMYFUNCTION("if($C487="""","""",iferror(if(row()&lt;&gt;2,INDEX(arrayformula(filter($H$2:$H486,$C$2:$C486&lt;&gt;"""",row($C$2:$C486)=max(if($C$2:$C486=C487,row($C$2:$C486),0)))) ,1),0),0))"),"")</f>
        <v/>
      </c>
      <c r="H487" s="170" t="str">
        <f t="shared" si="8"/>
        <v/>
      </c>
      <c r="I487" s="147" t="str">
        <f t="shared" si="1"/>
        <v/>
      </c>
      <c r="J487" s="147" t="str">
        <f t="shared" si="13"/>
        <v/>
      </c>
      <c r="K487" s="147" t="str">
        <f>IFERROR(__xludf.DUMMYFUNCTION("if(C487="""","""",iferror(if(row()&lt;&gt;2,INDEX(arrayformula(filter($L$2:$L486,$C$2:$C486&lt;&gt;"""",row($C$2:$C486)=max(if($C$2:$C486=C487,row($C$2:$C486),0)))) ,1),0),0))"),"")</f>
        <v/>
      </c>
      <c r="L487" s="147" t="str">
        <f t="shared" si="14"/>
        <v/>
      </c>
      <c r="M487" s="147" t="str">
        <f t="shared" si="15"/>
        <v/>
      </c>
      <c r="N487" s="147" t="str">
        <f t="shared" si="16"/>
        <v/>
      </c>
      <c r="O487" s="147" t="str">
        <f t="shared" si="6"/>
        <v/>
      </c>
      <c r="P487" s="150" t="str">
        <f t="shared" si="7"/>
        <v/>
      </c>
      <c r="Q487" s="151" t="str">
        <f>IFERROR(VLOOKUP(C487,Ativos!$A$1:$G2000,5,),)</f>
        <v/>
      </c>
    </row>
    <row r="488" ht="21.0" customHeight="1">
      <c r="A488" s="152"/>
      <c r="B488" s="160"/>
      <c r="C488" s="153"/>
      <c r="D488" s="169"/>
      <c r="E488" s="139"/>
      <c r="F488" s="141"/>
      <c r="G488" s="170" t="str">
        <f>IFERROR(__xludf.DUMMYFUNCTION("if($C488="""","""",iferror(if(row()&lt;&gt;2,INDEX(arrayformula(filter($H$2:$H487,$C$2:$C487&lt;&gt;"""",row($C$2:$C487)=max(if($C$2:$C487=C488,row($C$2:$C487),0)))) ,1),0),0))"),"")</f>
        <v/>
      </c>
      <c r="H488" s="170" t="str">
        <f t="shared" si="8"/>
        <v/>
      </c>
      <c r="I488" s="147" t="str">
        <f t="shared" si="1"/>
        <v/>
      </c>
      <c r="J488" s="147" t="str">
        <f t="shared" si="13"/>
        <v/>
      </c>
      <c r="K488" s="147" t="str">
        <f>IFERROR(__xludf.DUMMYFUNCTION("if(C488="""","""",iferror(if(row()&lt;&gt;2,INDEX(arrayformula(filter($L$2:$L487,$C$2:$C487&lt;&gt;"""",row($C$2:$C487)=max(if($C$2:$C487=C488,row($C$2:$C487),0)))) ,1),0),0))"),"")</f>
        <v/>
      </c>
      <c r="L488" s="147" t="str">
        <f t="shared" si="14"/>
        <v/>
      </c>
      <c r="M488" s="147" t="str">
        <f t="shared" si="15"/>
        <v/>
      </c>
      <c r="N488" s="147" t="str">
        <f t="shared" si="16"/>
        <v/>
      </c>
      <c r="O488" s="147" t="str">
        <f t="shared" si="6"/>
        <v/>
      </c>
      <c r="P488" s="150" t="str">
        <f t="shared" si="7"/>
        <v/>
      </c>
      <c r="Q488" s="151" t="str">
        <f>IFERROR(VLOOKUP(C488,Ativos!$A$1:$G2000,5,),)</f>
        <v/>
      </c>
    </row>
    <row r="489" ht="21.0" customHeight="1">
      <c r="A489" s="152"/>
      <c r="B489" s="160"/>
      <c r="C489" s="153"/>
      <c r="D489" s="169"/>
      <c r="E489" s="139"/>
      <c r="F489" s="141"/>
      <c r="G489" s="170" t="str">
        <f>IFERROR(__xludf.DUMMYFUNCTION("if($C489="""","""",iferror(if(row()&lt;&gt;2,INDEX(arrayformula(filter($H$2:$H488,$C$2:$C488&lt;&gt;"""",row($C$2:$C488)=max(if($C$2:$C488=C489,row($C$2:$C488),0)))) ,1),0),0))"),"")</f>
        <v/>
      </c>
      <c r="H489" s="170" t="str">
        <f t="shared" si="8"/>
        <v/>
      </c>
      <c r="I489" s="147" t="str">
        <f t="shared" si="1"/>
        <v/>
      </c>
      <c r="J489" s="147" t="str">
        <f t="shared" si="13"/>
        <v/>
      </c>
      <c r="K489" s="147" t="str">
        <f>IFERROR(__xludf.DUMMYFUNCTION("if(C489="""","""",iferror(if(row()&lt;&gt;2,INDEX(arrayformula(filter($L$2:$L488,$C$2:$C488&lt;&gt;"""",row($C$2:$C488)=max(if($C$2:$C488=C489,row($C$2:$C488),0)))) ,1),0),0))"),"")</f>
        <v/>
      </c>
      <c r="L489" s="147" t="str">
        <f t="shared" si="14"/>
        <v/>
      </c>
      <c r="M489" s="147" t="str">
        <f t="shared" si="15"/>
        <v/>
      </c>
      <c r="N489" s="147" t="str">
        <f t="shared" si="16"/>
        <v/>
      </c>
      <c r="O489" s="147" t="str">
        <f t="shared" si="6"/>
        <v/>
      </c>
      <c r="P489" s="150" t="str">
        <f t="shared" si="7"/>
        <v/>
      </c>
      <c r="Q489" s="151" t="str">
        <f>IFERROR(VLOOKUP(C489,Ativos!$A$1:$G2000,5,),)</f>
        <v/>
      </c>
    </row>
    <row r="490" ht="21.0" customHeight="1">
      <c r="A490" s="152"/>
      <c r="B490" s="160"/>
      <c r="C490" s="153"/>
      <c r="D490" s="169"/>
      <c r="E490" s="139"/>
      <c r="F490" s="141"/>
      <c r="G490" s="170" t="str">
        <f>IFERROR(__xludf.DUMMYFUNCTION("if($C490="""","""",iferror(if(row()&lt;&gt;2,INDEX(arrayformula(filter($H$2:$H489,$C$2:$C489&lt;&gt;"""",row($C$2:$C489)=max(if($C$2:$C489=C490,row($C$2:$C489),0)))) ,1),0),0))"),"")</f>
        <v/>
      </c>
      <c r="H490" s="170" t="str">
        <f t="shared" si="8"/>
        <v/>
      </c>
      <c r="I490" s="147" t="str">
        <f t="shared" si="1"/>
        <v/>
      </c>
      <c r="J490" s="147" t="str">
        <f t="shared" si="13"/>
        <v/>
      </c>
      <c r="K490" s="147" t="str">
        <f>IFERROR(__xludf.DUMMYFUNCTION("if(C490="""","""",iferror(if(row()&lt;&gt;2,INDEX(arrayformula(filter($L$2:$L489,$C$2:$C489&lt;&gt;"""",row($C$2:$C489)=max(if($C$2:$C489=C490,row($C$2:$C489),0)))) ,1),0),0))"),"")</f>
        <v/>
      </c>
      <c r="L490" s="147" t="str">
        <f t="shared" si="14"/>
        <v/>
      </c>
      <c r="M490" s="147" t="str">
        <f t="shared" si="15"/>
        <v/>
      </c>
      <c r="N490" s="147" t="str">
        <f t="shared" si="16"/>
        <v/>
      </c>
      <c r="O490" s="147" t="str">
        <f t="shared" si="6"/>
        <v/>
      </c>
      <c r="P490" s="150" t="str">
        <f t="shared" si="7"/>
        <v/>
      </c>
      <c r="Q490" s="151" t="str">
        <f>IFERROR(VLOOKUP(C490,Ativos!$A$1:$G2000,5,),)</f>
        <v/>
      </c>
    </row>
    <row r="491" ht="21.0" customHeight="1">
      <c r="A491" s="152"/>
      <c r="B491" s="160"/>
      <c r="C491" s="153"/>
      <c r="D491" s="169"/>
      <c r="E491" s="139"/>
      <c r="F491" s="141"/>
      <c r="G491" s="170" t="str">
        <f>IFERROR(__xludf.DUMMYFUNCTION("if($C491="""","""",iferror(if(row()&lt;&gt;2,INDEX(arrayformula(filter($H$2:$H490,$C$2:$C490&lt;&gt;"""",row($C$2:$C490)=max(if($C$2:$C490=C491,row($C$2:$C490),0)))) ,1),0),0))"),"")</f>
        <v/>
      </c>
      <c r="H491" s="170" t="str">
        <f t="shared" si="8"/>
        <v/>
      </c>
      <c r="I491" s="147" t="str">
        <f t="shared" si="1"/>
        <v/>
      </c>
      <c r="J491" s="147" t="str">
        <f t="shared" si="13"/>
        <v/>
      </c>
      <c r="K491" s="147" t="str">
        <f>IFERROR(__xludf.DUMMYFUNCTION("if(C491="""","""",iferror(if(row()&lt;&gt;2,INDEX(arrayformula(filter($L$2:$L490,$C$2:$C490&lt;&gt;"""",row($C$2:$C490)=max(if($C$2:$C490=C491,row($C$2:$C490),0)))) ,1),0),0))"),"")</f>
        <v/>
      </c>
      <c r="L491" s="147" t="str">
        <f t="shared" si="14"/>
        <v/>
      </c>
      <c r="M491" s="147" t="str">
        <f t="shared" si="15"/>
        <v/>
      </c>
      <c r="N491" s="147" t="str">
        <f t="shared" si="16"/>
        <v/>
      </c>
      <c r="O491" s="147" t="str">
        <f t="shared" si="6"/>
        <v/>
      </c>
      <c r="P491" s="150" t="str">
        <f t="shared" si="7"/>
        <v/>
      </c>
      <c r="Q491" s="151" t="str">
        <f>IFERROR(VLOOKUP(C491,Ativos!$A$1:$G2000,5,),)</f>
        <v/>
      </c>
    </row>
    <row r="492" ht="21.0" customHeight="1">
      <c r="A492" s="152"/>
      <c r="B492" s="160"/>
      <c r="C492" s="153"/>
      <c r="D492" s="169"/>
      <c r="E492" s="139"/>
      <c r="F492" s="141"/>
      <c r="G492" s="170" t="str">
        <f>IFERROR(__xludf.DUMMYFUNCTION("if($C492="""","""",iferror(if(row()&lt;&gt;2,INDEX(arrayformula(filter($H$2:$H491,$C$2:$C491&lt;&gt;"""",row($C$2:$C491)=max(if($C$2:$C491=C492,row($C$2:$C491),0)))) ,1),0),0))"),"")</f>
        <v/>
      </c>
      <c r="H492" s="170" t="str">
        <f t="shared" si="8"/>
        <v/>
      </c>
      <c r="I492" s="147" t="str">
        <f t="shared" si="1"/>
        <v/>
      </c>
      <c r="J492" s="147" t="str">
        <f t="shared" si="13"/>
        <v/>
      </c>
      <c r="K492" s="147" t="str">
        <f>IFERROR(__xludf.DUMMYFUNCTION("if(C492="""","""",iferror(if(row()&lt;&gt;2,INDEX(arrayformula(filter($L$2:$L491,$C$2:$C491&lt;&gt;"""",row($C$2:$C491)=max(if($C$2:$C491=C492,row($C$2:$C491),0)))) ,1),0),0))"),"")</f>
        <v/>
      </c>
      <c r="L492" s="147" t="str">
        <f t="shared" si="14"/>
        <v/>
      </c>
      <c r="M492" s="147" t="str">
        <f t="shared" si="15"/>
        <v/>
      </c>
      <c r="N492" s="147" t="str">
        <f t="shared" si="16"/>
        <v/>
      </c>
      <c r="O492" s="147" t="str">
        <f t="shared" si="6"/>
        <v/>
      </c>
      <c r="P492" s="150" t="str">
        <f t="shared" si="7"/>
        <v/>
      </c>
      <c r="Q492" s="151" t="str">
        <f>IFERROR(VLOOKUP(C492,Ativos!$A$1:$G2000,5,),)</f>
        <v/>
      </c>
    </row>
    <row r="493" ht="21.0" customHeight="1">
      <c r="A493" s="152"/>
      <c r="B493" s="160"/>
      <c r="C493" s="153"/>
      <c r="D493" s="169"/>
      <c r="E493" s="139"/>
      <c r="F493" s="141"/>
      <c r="G493" s="170" t="str">
        <f>IFERROR(__xludf.DUMMYFUNCTION("if($C493="""","""",iferror(if(row()&lt;&gt;2,INDEX(arrayformula(filter($H$2:$H492,$C$2:$C492&lt;&gt;"""",row($C$2:$C492)=max(if($C$2:$C492=C493,row($C$2:$C492),0)))) ,1),0),0))"),"")</f>
        <v/>
      </c>
      <c r="H493" s="170" t="str">
        <f t="shared" si="8"/>
        <v/>
      </c>
      <c r="I493" s="147" t="str">
        <f t="shared" si="1"/>
        <v/>
      </c>
      <c r="J493" s="147" t="str">
        <f t="shared" si="13"/>
        <v/>
      </c>
      <c r="K493" s="147" t="str">
        <f>IFERROR(__xludf.DUMMYFUNCTION("if(C493="""","""",iferror(if(row()&lt;&gt;2,INDEX(arrayformula(filter($L$2:$L492,$C$2:$C492&lt;&gt;"""",row($C$2:$C492)=max(if($C$2:$C492=C493,row($C$2:$C492),0)))) ,1),0),0))"),"")</f>
        <v/>
      </c>
      <c r="L493" s="147" t="str">
        <f t="shared" si="14"/>
        <v/>
      </c>
      <c r="M493" s="147" t="str">
        <f t="shared" si="15"/>
        <v/>
      </c>
      <c r="N493" s="147" t="str">
        <f t="shared" si="16"/>
        <v/>
      </c>
      <c r="O493" s="147" t="str">
        <f t="shared" si="6"/>
        <v/>
      </c>
      <c r="P493" s="150" t="str">
        <f t="shared" si="7"/>
        <v/>
      </c>
      <c r="Q493" s="151" t="str">
        <f>IFERROR(VLOOKUP(C493,Ativos!$A$1:$G2000,5,),)</f>
        <v/>
      </c>
    </row>
    <row r="494" ht="21.0" customHeight="1">
      <c r="A494" s="152"/>
      <c r="B494" s="160"/>
      <c r="C494" s="153"/>
      <c r="D494" s="169"/>
      <c r="E494" s="139"/>
      <c r="F494" s="141"/>
      <c r="G494" s="170" t="str">
        <f>IFERROR(__xludf.DUMMYFUNCTION("if($C494="""","""",iferror(if(row()&lt;&gt;2,INDEX(arrayformula(filter($H$2:$H493,$C$2:$C493&lt;&gt;"""",row($C$2:$C493)=max(if($C$2:$C493=C494,row($C$2:$C493),0)))) ,1),0),0))"),"")</f>
        <v/>
      </c>
      <c r="H494" s="170" t="str">
        <f t="shared" si="8"/>
        <v/>
      </c>
      <c r="I494" s="147" t="str">
        <f t="shared" si="1"/>
        <v/>
      </c>
      <c r="J494" s="147" t="str">
        <f t="shared" si="13"/>
        <v/>
      </c>
      <c r="K494" s="147" t="str">
        <f>IFERROR(__xludf.DUMMYFUNCTION("if(C494="""","""",iferror(if(row()&lt;&gt;2,INDEX(arrayformula(filter($L$2:$L493,$C$2:$C493&lt;&gt;"""",row($C$2:$C493)=max(if($C$2:$C493=C494,row($C$2:$C493),0)))) ,1),0),0))"),"")</f>
        <v/>
      </c>
      <c r="L494" s="147" t="str">
        <f t="shared" si="14"/>
        <v/>
      </c>
      <c r="M494" s="147" t="str">
        <f t="shared" si="15"/>
        <v/>
      </c>
      <c r="N494" s="147" t="str">
        <f t="shared" si="16"/>
        <v/>
      </c>
      <c r="O494" s="147" t="str">
        <f t="shared" si="6"/>
        <v/>
      </c>
      <c r="P494" s="150" t="str">
        <f t="shared" si="7"/>
        <v/>
      </c>
      <c r="Q494" s="151" t="str">
        <f>IFERROR(VLOOKUP(C494,Ativos!$A$1:$G2000,5,),)</f>
        <v/>
      </c>
    </row>
    <row r="495" ht="21.0" customHeight="1">
      <c r="A495" s="152"/>
      <c r="B495" s="160"/>
      <c r="C495" s="153"/>
      <c r="D495" s="169"/>
      <c r="E495" s="139"/>
      <c r="F495" s="141"/>
      <c r="G495" s="170" t="str">
        <f>IFERROR(__xludf.DUMMYFUNCTION("if($C495="""","""",iferror(if(row()&lt;&gt;2,INDEX(arrayformula(filter($H$2:$H494,$C$2:$C494&lt;&gt;"""",row($C$2:$C494)=max(if($C$2:$C494=C495,row($C$2:$C494),0)))) ,1),0),0))"),"")</f>
        <v/>
      </c>
      <c r="H495" s="170" t="str">
        <f t="shared" si="8"/>
        <v/>
      </c>
      <c r="I495" s="147" t="str">
        <f t="shared" si="1"/>
        <v/>
      </c>
      <c r="J495" s="147" t="str">
        <f t="shared" si="13"/>
        <v/>
      </c>
      <c r="K495" s="147" t="str">
        <f>IFERROR(__xludf.DUMMYFUNCTION("if(C495="""","""",iferror(if(row()&lt;&gt;2,INDEX(arrayformula(filter($L$2:$L494,$C$2:$C494&lt;&gt;"""",row($C$2:$C494)=max(if($C$2:$C494=C495,row($C$2:$C494),0)))) ,1),0),0))"),"")</f>
        <v/>
      </c>
      <c r="L495" s="147" t="str">
        <f t="shared" si="14"/>
        <v/>
      </c>
      <c r="M495" s="147" t="str">
        <f t="shared" si="15"/>
        <v/>
      </c>
      <c r="N495" s="147" t="str">
        <f t="shared" si="16"/>
        <v/>
      </c>
      <c r="O495" s="147" t="str">
        <f t="shared" si="6"/>
        <v/>
      </c>
      <c r="P495" s="150" t="str">
        <f t="shared" si="7"/>
        <v/>
      </c>
      <c r="Q495" s="151" t="str">
        <f>IFERROR(VLOOKUP(C495,Ativos!$A$1:$G2000,5,),)</f>
        <v/>
      </c>
    </row>
    <row r="496" ht="21.0" customHeight="1">
      <c r="A496" s="152"/>
      <c r="B496" s="160"/>
      <c r="C496" s="153"/>
      <c r="D496" s="169"/>
      <c r="E496" s="139"/>
      <c r="F496" s="141"/>
      <c r="G496" s="170" t="str">
        <f>IFERROR(__xludf.DUMMYFUNCTION("if($C496="""","""",iferror(if(row()&lt;&gt;2,INDEX(arrayformula(filter($H$2:$H495,$C$2:$C495&lt;&gt;"""",row($C$2:$C495)=max(if($C$2:$C495=C496,row($C$2:$C495),0)))) ,1),0),0))"),"")</f>
        <v/>
      </c>
      <c r="H496" s="170" t="str">
        <f t="shared" si="8"/>
        <v/>
      </c>
      <c r="I496" s="147" t="str">
        <f t="shared" si="1"/>
        <v/>
      </c>
      <c r="J496" s="147" t="str">
        <f t="shared" si="13"/>
        <v/>
      </c>
      <c r="K496" s="147" t="str">
        <f>IFERROR(__xludf.DUMMYFUNCTION("if(C496="""","""",iferror(if(row()&lt;&gt;2,INDEX(arrayformula(filter($L$2:$L495,$C$2:$C495&lt;&gt;"""",row($C$2:$C495)=max(if($C$2:$C495=C496,row($C$2:$C495),0)))) ,1),0),0))"),"")</f>
        <v/>
      </c>
      <c r="L496" s="147" t="str">
        <f t="shared" si="14"/>
        <v/>
      </c>
      <c r="M496" s="147" t="str">
        <f t="shared" si="15"/>
        <v/>
      </c>
      <c r="N496" s="147" t="str">
        <f t="shared" si="16"/>
        <v/>
      </c>
      <c r="O496" s="147" t="str">
        <f t="shared" si="6"/>
        <v/>
      </c>
      <c r="P496" s="150" t="str">
        <f t="shared" si="7"/>
        <v/>
      </c>
      <c r="Q496" s="151" t="str">
        <f>IFERROR(VLOOKUP(C496,Ativos!$A$1:$G2000,5,),)</f>
        <v/>
      </c>
    </row>
    <row r="497" ht="21.0" customHeight="1">
      <c r="A497" s="152"/>
      <c r="B497" s="160"/>
      <c r="C497" s="153"/>
      <c r="D497" s="169"/>
      <c r="E497" s="139"/>
      <c r="F497" s="141"/>
      <c r="G497" s="170" t="str">
        <f>IFERROR(__xludf.DUMMYFUNCTION("if($C497="""","""",iferror(if(row()&lt;&gt;2,INDEX(arrayformula(filter($H$2:$H496,$C$2:$C496&lt;&gt;"""",row($C$2:$C496)=max(if($C$2:$C496=C497,row($C$2:$C496),0)))) ,1),0),0))"),"")</f>
        <v/>
      </c>
      <c r="H497" s="170" t="str">
        <f t="shared" si="8"/>
        <v/>
      </c>
      <c r="I497" s="147" t="str">
        <f t="shared" si="1"/>
        <v/>
      </c>
      <c r="J497" s="147" t="str">
        <f t="shared" si="13"/>
        <v/>
      </c>
      <c r="K497" s="147" t="str">
        <f>IFERROR(__xludf.DUMMYFUNCTION("if(C497="""","""",iferror(if(row()&lt;&gt;2,INDEX(arrayformula(filter($L$2:$L496,$C$2:$C496&lt;&gt;"""",row($C$2:$C496)=max(if($C$2:$C496=C497,row($C$2:$C496),0)))) ,1),0),0))"),"")</f>
        <v/>
      </c>
      <c r="L497" s="147" t="str">
        <f t="shared" si="14"/>
        <v/>
      </c>
      <c r="M497" s="147" t="str">
        <f t="shared" si="15"/>
        <v/>
      </c>
      <c r="N497" s="147" t="str">
        <f t="shared" si="16"/>
        <v/>
      </c>
      <c r="O497" s="147" t="str">
        <f t="shared" si="6"/>
        <v/>
      </c>
      <c r="P497" s="150" t="str">
        <f t="shared" si="7"/>
        <v/>
      </c>
      <c r="Q497" s="151" t="str">
        <f>IFERROR(VLOOKUP(C497,Ativos!$A$1:$G2000,5,),)</f>
        <v/>
      </c>
    </row>
    <row r="498" ht="21.0" customHeight="1">
      <c r="A498" s="152"/>
      <c r="B498" s="160"/>
      <c r="C498" s="153"/>
      <c r="D498" s="169"/>
      <c r="E498" s="139"/>
      <c r="F498" s="141"/>
      <c r="G498" s="170" t="str">
        <f>IFERROR(__xludf.DUMMYFUNCTION("if($C498="""","""",iferror(if(row()&lt;&gt;2,INDEX(arrayformula(filter($H$2:$H497,$C$2:$C497&lt;&gt;"""",row($C$2:$C497)=max(if($C$2:$C497=C498,row($C$2:$C497),0)))) ,1),0),0))"),"")</f>
        <v/>
      </c>
      <c r="H498" s="170" t="str">
        <f t="shared" si="8"/>
        <v/>
      </c>
      <c r="I498" s="147" t="str">
        <f t="shared" si="1"/>
        <v/>
      </c>
      <c r="J498" s="147" t="str">
        <f t="shared" si="13"/>
        <v/>
      </c>
      <c r="K498" s="147" t="str">
        <f>IFERROR(__xludf.DUMMYFUNCTION("if(C498="""","""",iferror(if(row()&lt;&gt;2,INDEX(arrayformula(filter($L$2:$L497,$C$2:$C497&lt;&gt;"""",row($C$2:$C497)=max(if($C$2:$C497=C498,row($C$2:$C497),0)))) ,1),0),0))"),"")</f>
        <v/>
      </c>
      <c r="L498" s="147" t="str">
        <f t="shared" si="14"/>
        <v/>
      </c>
      <c r="M498" s="147" t="str">
        <f t="shared" si="15"/>
        <v/>
      </c>
      <c r="N498" s="147" t="str">
        <f t="shared" si="16"/>
        <v/>
      </c>
      <c r="O498" s="147" t="str">
        <f t="shared" si="6"/>
        <v/>
      </c>
      <c r="P498" s="150" t="str">
        <f t="shared" si="7"/>
        <v/>
      </c>
      <c r="Q498" s="151" t="str">
        <f>IFERROR(VLOOKUP(C498,Ativos!$A$1:$G2000,5,),)</f>
        <v/>
      </c>
    </row>
    <row r="499" ht="21.0" customHeight="1">
      <c r="A499" s="152"/>
      <c r="B499" s="160"/>
      <c r="C499" s="153"/>
      <c r="D499" s="169"/>
      <c r="E499" s="139"/>
      <c r="F499" s="141"/>
      <c r="G499" s="170" t="str">
        <f>IFERROR(__xludf.DUMMYFUNCTION("if($C499="""","""",iferror(if(row()&lt;&gt;2,INDEX(arrayformula(filter($H$2:$H498,$C$2:$C498&lt;&gt;"""",row($C$2:$C498)=max(if($C$2:$C498=C499,row($C$2:$C498),0)))) ,1),0),0))"),"")</f>
        <v/>
      </c>
      <c r="H499" s="170" t="str">
        <f t="shared" si="8"/>
        <v/>
      </c>
      <c r="I499" s="147" t="str">
        <f t="shared" si="1"/>
        <v/>
      </c>
      <c r="J499" s="147" t="str">
        <f t="shared" si="13"/>
        <v/>
      </c>
      <c r="K499" s="147" t="str">
        <f>IFERROR(__xludf.DUMMYFUNCTION("if(C499="""","""",iferror(if(row()&lt;&gt;2,INDEX(arrayformula(filter($L$2:$L498,$C$2:$C498&lt;&gt;"""",row($C$2:$C498)=max(if($C$2:$C498=C499,row($C$2:$C498),0)))) ,1),0),0))"),"")</f>
        <v/>
      </c>
      <c r="L499" s="147" t="str">
        <f t="shared" si="14"/>
        <v/>
      </c>
      <c r="M499" s="147" t="str">
        <f t="shared" si="15"/>
        <v/>
      </c>
      <c r="N499" s="147" t="str">
        <f t="shared" si="16"/>
        <v/>
      </c>
      <c r="O499" s="147" t="str">
        <f t="shared" si="6"/>
        <v/>
      </c>
      <c r="P499" s="150" t="str">
        <f t="shared" si="7"/>
        <v/>
      </c>
      <c r="Q499" s="151" t="str">
        <f>IFERROR(VLOOKUP(C499,Ativos!$A$1:$G2000,5,),)</f>
        <v/>
      </c>
    </row>
    <row r="500" ht="21.0" customHeight="1">
      <c r="A500" s="152"/>
      <c r="B500" s="160"/>
      <c r="C500" s="153"/>
      <c r="D500" s="169"/>
      <c r="E500" s="139"/>
      <c r="F500" s="141"/>
      <c r="G500" s="170" t="str">
        <f>IFERROR(__xludf.DUMMYFUNCTION("if($C500="""","""",iferror(if(row()&lt;&gt;2,INDEX(arrayformula(filter($H$2:$H499,$C$2:$C499&lt;&gt;"""",row($C$2:$C499)=max(if($C$2:$C499=C500,row($C$2:$C499),0)))) ,1),0),0))"),"")</f>
        <v/>
      </c>
      <c r="H500" s="170" t="str">
        <f t="shared" si="8"/>
        <v/>
      </c>
      <c r="I500" s="147" t="str">
        <f t="shared" si="1"/>
        <v/>
      </c>
      <c r="J500" s="147" t="str">
        <f t="shared" si="13"/>
        <v/>
      </c>
      <c r="K500" s="147" t="str">
        <f>IFERROR(__xludf.DUMMYFUNCTION("if(C500="""","""",iferror(if(row()&lt;&gt;2,INDEX(arrayformula(filter($L$2:$L499,$C$2:$C499&lt;&gt;"""",row($C$2:$C499)=max(if($C$2:$C499=C500,row($C$2:$C499),0)))) ,1),0),0))"),"")</f>
        <v/>
      </c>
      <c r="L500" s="147" t="str">
        <f t="shared" si="14"/>
        <v/>
      </c>
      <c r="M500" s="147" t="str">
        <f t="shared" si="15"/>
        <v/>
      </c>
      <c r="N500" s="147" t="str">
        <f t="shared" si="16"/>
        <v/>
      </c>
      <c r="O500" s="147" t="str">
        <f t="shared" si="6"/>
        <v/>
      </c>
      <c r="P500" s="150" t="str">
        <f t="shared" si="7"/>
        <v/>
      </c>
      <c r="Q500" s="151" t="str">
        <f>IFERROR(VLOOKUP(C500,Ativos!$A$1:$G2000,5,),)</f>
        <v/>
      </c>
    </row>
    <row r="501" ht="21.0" customHeight="1">
      <c r="A501" s="152"/>
      <c r="B501" s="160"/>
      <c r="C501" s="153"/>
      <c r="D501" s="169"/>
      <c r="E501" s="139"/>
      <c r="F501" s="141"/>
      <c r="G501" s="170" t="str">
        <f>IFERROR(__xludf.DUMMYFUNCTION("if($C501="""","""",iferror(if(row()&lt;&gt;2,INDEX(arrayformula(filter($H$2:$H500,$C$2:$C500&lt;&gt;"""",row($C$2:$C500)=max(if($C$2:$C500=C501,row($C$2:$C500),0)))) ,1),0),0))"),"")</f>
        <v/>
      </c>
      <c r="H501" s="170" t="str">
        <f t="shared" si="8"/>
        <v/>
      </c>
      <c r="I501" s="147" t="str">
        <f t="shared" si="1"/>
        <v/>
      </c>
      <c r="J501" s="147" t="str">
        <f t="shared" si="13"/>
        <v/>
      </c>
      <c r="K501" s="147" t="str">
        <f>IFERROR(__xludf.DUMMYFUNCTION("if(C501="""","""",iferror(if(row()&lt;&gt;2,INDEX(arrayformula(filter($L$2:$L500,$C$2:$C500&lt;&gt;"""",row($C$2:$C500)=max(if($C$2:$C500=C501,row($C$2:$C500),0)))) ,1),0),0))"),"")</f>
        <v/>
      </c>
      <c r="L501" s="147" t="str">
        <f t="shared" si="14"/>
        <v/>
      </c>
      <c r="M501" s="147" t="str">
        <f t="shared" si="15"/>
        <v/>
      </c>
      <c r="N501" s="147" t="str">
        <f t="shared" si="16"/>
        <v/>
      </c>
      <c r="O501" s="147" t="str">
        <f t="shared" si="6"/>
        <v/>
      </c>
      <c r="P501" s="150" t="str">
        <f t="shared" si="7"/>
        <v/>
      </c>
      <c r="Q501" s="151" t="str">
        <f>IFERROR(VLOOKUP(C501,Ativos!$A$1:$G2000,5,),)</f>
        <v/>
      </c>
    </row>
    <row r="502" ht="21.0" customHeight="1">
      <c r="A502" s="152"/>
      <c r="B502" s="160"/>
      <c r="C502" s="153"/>
      <c r="D502" s="169"/>
      <c r="E502" s="139"/>
      <c r="F502" s="141"/>
      <c r="G502" s="170" t="str">
        <f>IFERROR(__xludf.DUMMYFUNCTION("if($C502="""","""",iferror(if(row()&lt;&gt;2,INDEX(arrayformula(filter($H$2:$H501,$C$2:$C501&lt;&gt;"""",row($C$2:$C501)=max(if($C$2:$C501=C502,row($C$2:$C501),0)))) ,1),0),0))"),"")</f>
        <v/>
      </c>
      <c r="H502" s="170" t="str">
        <f t="shared" si="8"/>
        <v/>
      </c>
      <c r="I502" s="147" t="str">
        <f t="shared" si="1"/>
        <v/>
      </c>
      <c r="J502" s="147" t="str">
        <f t="shared" si="13"/>
        <v/>
      </c>
      <c r="K502" s="147" t="str">
        <f>IFERROR(__xludf.DUMMYFUNCTION("if(C502="""","""",iferror(if(row()&lt;&gt;2,INDEX(arrayformula(filter($L$2:$L501,$C$2:$C501&lt;&gt;"""",row($C$2:$C501)=max(if($C$2:$C501=C502,row($C$2:$C501),0)))) ,1),0),0))"),"")</f>
        <v/>
      </c>
      <c r="L502" s="147" t="str">
        <f t="shared" si="14"/>
        <v/>
      </c>
      <c r="M502" s="147" t="str">
        <f t="shared" si="15"/>
        <v/>
      </c>
      <c r="N502" s="147" t="str">
        <f t="shared" si="16"/>
        <v/>
      </c>
      <c r="O502" s="147" t="str">
        <f t="shared" si="6"/>
        <v/>
      </c>
      <c r="P502" s="150" t="str">
        <f t="shared" si="7"/>
        <v/>
      </c>
      <c r="Q502" s="151" t="str">
        <f>IFERROR(VLOOKUP(C502,Ativos!$A$1:$G2000,5,),)</f>
        <v/>
      </c>
    </row>
    <row r="503" ht="21.0" customHeight="1">
      <c r="A503" s="152"/>
      <c r="B503" s="160"/>
      <c r="C503" s="153"/>
      <c r="D503" s="169"/>
      <c r="E503" s="139"/>
      <c r="F503" s="141"/>
      <c r="G503" s="170" t="str">
        <f>IFERROR(__xludf.DUMMYFUNCTION("if($C503="""","""",iferror(if(row()&lt;&gt;2,INDEX(arrayformula(filter($H$2:$H502,$C$2:$C502&lt;&gt;"""",row($C$2:$C502)=max(if($C$2:$C502=C503,row($C$2:$C502),0)))) ,1),0),0))"),"")</f>
        <v/>
      </c>
      <c r="H503" s="170" t="str">
        <f t="shared" si="8"/>
        <v/>
      </c>
      <c r="I503" s="147" t="str">
        <f t="shared" si="1"/>
        <v/>
      </c>
      <c r="J503" s="147" t="str">
        <f t="shared" si="13"/>
        <v/>
      </c>
      <c r="K503" s="147" t="str">
        <f>IFERROR(__xludf.DUMMYFUNCTION("if(C503="""","""",iferror(if(row()&lt;&gt;2,INDEX(arrayformula(filter($L$2:$L502,$C$2:$C502&lt;&gt;"""",row($C$2:$C502)=max(if($C$2:$C502=C503,row($C$2:$C502),0)))) ,1),0),0))"),"")</f>
        <v/>
      </c>
      <c r="L503" s="147" t="str">
        <f t="shared" si="14"/>
        <v/>
      </c>
      <c r="M503" s="147" t="str">
        <f t="shared" si="15"/>
        <v/>
      </c>
      <c r="N503" s="147" t="str">
        <f t="shared" si="16"/>
        <v/>
      </c>
      <c r="O503" s="147" t="str">
        <f t="shared" si="6"/>
        <v/>
      </c>
      <c r="P503" s="150" t="str">
        <f t="shared" si="7"/>
        <v/>
      </c>
      <c r="Q503" s="151" t="str">
        <f>IFERROR(VLOOKUP(C503,Ativos!$A$1:$G2000,5,),)</f>
        <v/>
      </c>
    </row>
    <row r="504" ht="21.0" customHeight="1">
      <c r="A504" s="152"/>
      <c r="B504" s="160"/>
      <c r="C504" s="153"/>
      <c r="D504" s="169"/>
      <c r="E504" s="139"/>
      <c r="F504" s="141"/>
      <c r="G504" s="170" t="str">
        <f>IFERROR(__xludf.DUMMYFUNCTION("if($C504="""","""",iferror(if(row()&lt;&gt;2,INDEX(arrayformula(filter($H$2:$H503,$C$2:$C503&lt;&gt;"""",row($C$2:$C503)=max(if($C$2:$C503=C504,row($C$2:$C503),0)))) ,1),0),0))"),"")</f>
        <v/>
      </c>
      <c r="H504" s="170" t="str">
        <f t="shared" si="8"/>
        <v/>
      </c>
      <c r="I504" s="147" t="str">
        <f t="shared" si="1"/>
        <v/>
      </c>
      <c r="J504" s="147" t="str">
        <f t="shared" si="13"/>
        <v/>
      </c>
      <c r="K504" s="147" t="str">
        <f>IFERROR(__xludf.DUMMYFUNCTION("if(C504="""","""",iferror(if(row()&lt;&gt;2,INDEX(arrayformula(filter($L$2:$L503,$C$2:$C503&lt;&gt;"""",row($C$2:$C503)=max(if($C$2:$C503=C504,row($C$2:$C503),0)))) ,1),0),0))"),"")</f>
        <v/>
      </c>
      <c r="L504" s="147" t="str">
        <f t="shared" si="14"/>
        <v/>
      </c>
      <c r="M504" s="147" t="str">
        <f t="shared" si="15"/>
        <v/>
      </c>
      <c r="N504" s="147" t="str">
        <f t="shared" si="16"/>
        <v/>
      </c>
      <c r="O504" s="147" t="str">
        <f t="shared" si="6"/>
        <v/>
      </c>
      <c r="P504" s="150" t="str">
        <f t="shared" si="7"/>
        <v/>
      </c>
      <c r="Q504" s="151" t="str">
        <f>IFERROR(VLOOKUP(C504,Ativos!$A$1:$G2000,5,),)</f>
        <v/>
      </c>
    </row>
    <row r="505" ht="21.0" customHeight="1">
      <c r="A505" s="152"/>
      <c r="B505" s="160"/>
      <c r="C505" s="153"/>
      <c r="D505" s="169"/>
      <c r="E505" s="139"/>
      <c r="F505" s="141"/>
      <c r="G505" s="170" t="str">
        <f>IFERROR(__xludf.DUMMYFUNCTION("if($C505="""","""",iferror(if(row()&lt;&gt;2,INDEX(arrayformula(filter($H$2:$H504,$C$2:$C504&lt;&gt;"""",row($C$2:$C504)=max(if($C$2:$C504=C505,row($C$2:$C504),0)))) ,1),0),0))"),"")</f>
        <v/>
      </c>
      <c r="H505" s="170" t="str">
        <f t="shared" si="8"/>
        <v/>
      </c>
      <c r="I505" s="147" t="str">
        <f t="shared" si="1"/>
        <v/>
      </c>
      <c r="J505" s="147" t="str">
        <f t="shared" si="13"/>
        <v/>
      </c>
      <c r="K505" s="147" t="str">
        <f>IFERROR(__xludf.DUMMYFUNCTION("if(C505="""","""",iferror(if(row()&lt;&gt;2,INDEX(arrayformula(filter($L$2:$L504,$C$2:$C504&lt;&gt;"""",row($C$2:$C504)=max(if($C$2:$C504=C505,row($C$2:$C504),0)))) ,1),0),0))"),"")</f>
        <v/>
      </c>
      <c r="L505" s="147" t="str">
        <f t="shared" si="14"/>
        <v/>
      </c>
      <c r="M505" s="147" t="str">
        <f t="shared" si="15"/>
        <v/>
      </c>
      <c r="N505" s="147" t="str">
        <f t="shared" si="16"/>
        <v/>
      </c>
      <c r="O505" s="147" t="str">
        <f t="shared" si="6"/>
        <v/>
      </c>
      <c r="P505" s="150" t="str">
        <f t="shared" si="7"/>
        <v/>
      </c>
      <c r="Q505" s="151" t="str">
        <f>IFERROR(VLOOKUP(C505,Ativos!$A$1:$G2000,5,),)</f>
        <v/>
      </c>
    </row>
    <row r="506" ht="21.0" customHeight="1">
      <c r="A506" s="152"/>
      <c r="B506" s="160"/>
      <c r="C506" s="153"/>
      <c r="D506" s="169"/>
      <c r="E506" s="139"/>
      <c r="F506" s="141"/>
      <c r="G506" s="170" t="str">
        <f>IFERROR(__xludf.DUMMYFUNCTION("if($C506="""","""",iferror(if(row()&lt;&gt;2,INDEX(arrayformula(filter($H$2:$H505,$C$2:$C505&lt;&gt;"""",row($C$2:$C505)=max(if($C$2:$C505=C506,row($C$2:$C505),0)))) ,1),0),0))"),"")</f>
        <v/>
      </c>
      <c r="H506" s="170" t="str">
        <f t="shared" si="8"/>
        <v/>
      </c>
      <c r="I506" s="147" t="str">
        <f t="shared" si="1"/>
        <v/>
      </c>
      <c r="J506" s="147" t="str">
        <f t="shared" si="13"/>
        <v/>
      </c>
      <c r="K506" s="147" t="str">
        <f>IFERROR(__xludf.DUMMYFUNCTION("if(C506="""","""",iferror(if(row()&lt;&gt;2,INDEX(arrayformula(filter($L$2:$L505,$C$2:$C505&lt;&gt;"""",row($C$2:$C505)=max(if($C$2:$C505=C506,row($C$2:$C505),0)))) ,1),0),0))"),"")</f>
        <v/>
      </c>
      <c r="L506" s="147" t="str">
        <f t="shared" si="14"/>
        <v/>
      </c>
      <c r="M506" s="147" t="str">
        <f t="shared" si="15"/>
        <v/>
      </c>
      <c r="N506" s="147" t="str">
        <f t="shared" si="16"/>
        <v/>
      </c>
      <c r="O506" s="147" t="str">
        <f t="shared" si="6"/>
        <v/>
      </c>
      <c r="P506" s="150" t="str">
        <f t="shared" si="7"/>
        <v/>
      </c>
      <c r="Q506" s="151" t="str">
        <f>IFERROR(VLOOKUP(C506,Ativos!$A$1:$G2000,5,),)</f>
        <v/>
      </c>
    </row>
    <row r="507" ht="21.0" customHeight="1">
      <c r="A507" s="152"/>
      <c r="B507" s="160"/>
      <c r="C507" s="153"/>
      <c r="D507" s="169"/>
      <c r="E507" s="139"/>
      <c r="F507" s="141"/>
      <c r="G507" s="170" t="str">
        <f>IFERROR(__xludf.DUMMYFUNCTION("if($C507="""","""",iferror(if(row()&lt;&gt;2,INDEX(arrayformula(filter($H$2:$H506,$C$2:$C506&lt;&gt;"""",row($C$2:$C506)=max(if($C$2:$C506=C507,row($C$2:$C506),0)))) ,1),0),0))"),"")</f>
        <v/>
      </c>
      <c r="H507" s="170" t="str">
        <f t="shared" si="8"/>
        <v/>
      </c>
      <c r="I507" s="147" t="str">
        <f t="shared" si="1"/>
        <v/>
      </c>
      <c r="J507" s="147" t="str">
        <f t="shared" si="13"/>
        <v/>
      </c>
      <c r="K507" s="147" t="str">
        <f>IFERROR(__xludf.DUMMYFUNCTION("if(C507="""","""",iferror(if(row()&lt;&gt;2,INDEX(arrayformula(filter($L$2:$L506,$C$2:$C506&lt;&gt;"""",row($C$2:$C506)=max(if($C$2:$C506=C507,row($C$2:$C506),0)))) ,1),0),0))"),"")</f>
        <v/>
      </c>
      <c r="L507" s="147" t="str">
        <f t="shared" si="14"/>
        <v/>
      </c>
      <c r="M507" s="147" t="str">
        <f t="shared" si="15"/>
        <v/>
      </c>
      <c r="N507" s="147" t="str">
        <f t="shared" si="16"/>
        <v/>
      </c>
      <c r="O507" s="147" t="str">
        <f t="shared" si="6"/>
        <v/>
      </c>
      <c r="P507" s="150" t="str">
        <f t="shared" si="7"/>
        <v/>
      </c>
      <c r="Q507" s="151" t="str">
        <f>IFERROR(VLOOKUP(C507,Ativos!$A$1:$G2000,5,),)</f>
        <v/>
      </c>
    </row>
    <row r="508" ht="21.0" customHeight="1">
      <c r="A508" s="152"/>
      <c r="B508" s="160"/>
      <c r="C508" s="153"/>
      <c r="D508" s="169"/>
      <c r="E508" s="139"/>
      <c r="F508" s="141"/>
      <c r="G508" s="170" t="str">
        <f>IFERROR(__xludf.DUMMYFUNCTION("if($C508="""","""",iferror(if(row()&lt;&gt;2,INDEX(arrayformula(filter($H$2:$H507,$C$2:$C507&lt;&gt;"""",row($C$2:$C507)=max(if($C$2:$C507=C508,row($C$2:$C507),0)))) ,1),0),0))"),"")</f>
        <v/>
      </c>
      <c r="H508" s="170" t="str">
        <f t="shared" si="8"/>
        <v/>
      </c>
      <c r="I508" s="147" t="str">
        <f t="shared" si="1"/>
        <v/>
      </c>
      <c r="J508" s="147" t="str">
        <f t="shared" si="13"/>
        <v/>
      </c>
      <c r="K508" s="147" t="str">
        <f>IFERROR(__xludf.DUMMYFUNCTION("if(C508="""","""",iferror(if(row()&lt;&gt;2,INDEX(arrayformula(filter($L$2:$L507,$C$2:$C507&lt;&gt;"""",row($C$2:$C507)=max(if($C$2:$C507=C508,row($C$2:$C507),0)))) ,1),0),0))"),"")</f>
        <v/>
      </c>
      <c r="L508" s="147" t="str">
        <f t="shared" si="14"/>
        <v/>
      </c>
      <c r="M508" s="147" t="str">
        <f t="shared" si="15"/>
        <v/>
      </c>
      <c r="N508" s="147" t="str">
        <f t="shared" si="16"/>
        <v/>
      </c>
      <c r="O508" s="147" t="str">
        <f t="shared" si="6"/>
        <v/>
      </c>
      <c r="P508" s="150" t="str">
        <f t="shared" si="7"/>
        <v/>
      </c>
      <c r="Q508" s="151" t="str">
        <f>IFERROR(VLOOKUP(C508,Ativos!$A$1:$G2000,5,),)</f>
        <v/>
      </c>
    </row>
    <row r="509" ht="21.0" customHeight="1">
      <c r="A509" s="152"/>
      <c r="B509" s="160"/>
      <c r="C509" s="153"/>
      <c r="D509" s="169"/>
      <c r="E509" s="139"/>
      <c r="F509" s="141"/>
      <c r="G509" s="170" t="str">
        <f>IFERROR(__xludf.DUMMYFUNCTION("if($C509="""","""",iferror(if(row()&lt;&gt;2,INDEX(arrayformula(filter($H$2:$H508,$C$2:$C508&lt;&gt;"""",row($C$2:$C508)=max(if($C$2:$C508=C509,row($C$2:$C508),0)))) ,1),0),0))"),"")</f>
        <v/>
      </c>
      <c r="H509" s="170" t="str">
        <f t="shared" si="8"/>
        <v/>
      </c>
      <c r="I509" s="147" t="str">
        <f t="shared" si="1"/>
        <v/>
      </c>
      <c r="J509" s="147" t="str">
        <f t="shared" si="13"/>
        <v/>
      </c>
      <c r="K509" s="147" t="str">
        <f>IFERROR(__xludf.DUMMYFUNCTION("if(C509="""","""",iferror(if(row()&lt;&gt;2,INDEX(arrayformula(filter($L$2:$L508,$C$2:$C508&lt;&gt;"""",row($C$2:$C508)=max(if($C$2:$C508=C509,row($C$2:$C508),0)))) ,1),0),0))"),"")</f>
        <v/>
      </c>
      <c r="L509" s="147" t="str">
        <f t="shared" si="14"/>
        <v/>
      </c>
      <c r="M509" s="147" t="str">
        <f t="shared" si="15"/>
        <v/>
      </c>
      <c r="N509" s="147" t="str">
        <f t="shared" si="16"/>
        <v/>
      </c>
      <c r="O509" s="147" t="str">
        <f t="shared" si="6"/>
        <v/>
      </c>
      <c r="P509" s="150" t="str">
        <f t="shared" si="7"/>
        <v/>
      </c>
      <c r="Q509" s="151" t="str">
        <f>IFERROR(VLOOKUP(C509,Ativos!$A$1:$G2000,5,),)</f>
        <v/>
      </c>
    </row>
    <row r="510" ht="21.0" customHeight="1">
      <c r="A510" s="152"/>
      <c r="B510" s="160"/>
      <c r="C510" s="153"/>
      <c r="D510" s="169"/>
      <c r="E510" s="139"/>
      <c r="F510" s="141"/>
      <c r="G510" s="170" t="str">
        <f>IFERROR(__xludf.DUMMYFUNCTION("if($C510="""","""",iferror(if(row()&lt;&gt;2,INDEX(arrayformula(filter($H$2:$H509,$C$2:$C509&lt;&gt;"""",row($C$2:$C509)=max(if($C$2:$C509=C510,row($C$2:$C509),0)))) ,1),0),0))"),"")</f>
        <v/>
      </c>
      <c r="H510" s="170" t="str">
        <f t="shared" si="8"/>
        <v/>
      </c>
      <c r="I510" s="147" t="str">
        <f t="shared" si="1"/>
        <v/>
      </c>
      <c r="J510" s="147" t="str">
        <f t="shared" si="13"/>
        <v/>
      </c>
      <c r="K510" s="147" t="str">
        <f>IFERROR(__xludf.DUMMYFUNCTION("if(C510="""","""",iferror(if(row()&lt;&gt;2,INDEX(arrayformula(filter($L$2:$L509,$C$2:$C509&lt;&gt;"""",row($C$2:$C509)=max(if($C$2:$C509=C510,row($C$2:$C509),0)))) ,1),0),0))"),"")</f>
        <v/>
      </c>
      <c r="L510" s="147" t="str">
        <f t="shared" si="14"/>
        <v/>
      </c>
      <c r="M510" s="147" t="str">
        <f t="shared" si="15"/>
        <v/>
      </c>
      <c r="N510" s="147" t="str">
        <f t="shared" si="16"/>
        <v/>
      </c>
      <c r="O510" s="147" t="str">
        <f t="shared" si="6"/>
        <v/>
      </c>
      <c r="P510" s="150" t="str">
        <f t="shared" si="7"/>
        <v/>
      </c>
      <c r="Q510" s="151" t="str">
        <f>IFERROR(VLOOKUP(C510,Ativos!$A$1:$G2000,5,),)</f>
        <v/>
      </c>
    </row>
    <row r="511" ht="21.0" customHeight="1">
      <c r="A511" s="152"/>
      <c r="B511" s="160"/>
      <c r="C511" s="153"/>
      <c r="D511" s="169"/>
      <c r="E511" s="139"/>
      <c r="F511" s="141"/>
      <c r="G511" s="170" t="str">
        <f>IFERROR(__xludf.DUMMYFUNCTION("if($C511="""","""",iferror(if(row()&lt;&gt;2,INDEX(arrayformula(filter($H$2:$H510,$C$2:$C510&lt;&gt;"""",row($C$2:$C510)=max(if($C$2:$C510=C511,row($C$2:$C510),0)))) ,1),0),0))"),"")</f>
        <v/>
      </c>
      <c r="H511" s="170" t="str">
        <f t="shared" si="8"/>
        <v/>
      </c>
      <c r="I511" s="147" t="str">
        <f t="shared" si="1"/>
        <v/>
      </c>
      <c r="J511" s="147" t="str">
        <f t="shared" si="13"/>
        <v/>
      </c>
      <c r="K511" s="147" t="str">
        <f>IFERROR(__xludf.DUMMYFUNCTION("if(C511="""","""",iferror(if(row()&lt;&gt;2,INDEX(arrayformula(filter($L$2:$L510,$C$2:$C510&lt;&gt;"""",row($C$2:$C510)=max(if($C$2:$C510=C511,row($C$2:$C510),0)))) ,1),0),0))"),"")</f>
        <v/>
      </c>
      <c r="L511" s="147" t="str">
        <f t="shared" si="14"/>
        <v/>
      </c>
      <c r="M511" s="147" t="str">
        <f t="shared" si="15"/>
        <v/>
      </c>
      <c r="N511" s="147" t="str">
        <f t="shared" si="16"/>
        <v/>
      </c>
      <c r="O511" s="147" t="str">
        <f t="shared" si="6"/>
        <v/>
      </c>
      <c r="P511" s="150" t="str">
        <f t="shared" si="7"/>
        <v/>
      </c>
      <c r="Q511" s="151" t="str">
        <f>IFERROR(VLOOKUP(C511,Ativos!$A$1:$G2000,5,),)</f>
        <v/>
      </c>
    </row>
    <row r="512" ht="21.0" customHeight="1">
      <c r="A512" s="152"/>
      <c r="B512" s="160"/>
      <c r="C512" s="153"/>
      <c r="D512" s="169"/>
      <c r="E512" s="139"/>
      <c r="F512" s="141"/>
      <c r="G512" s="170" t="str">
        <f>IFERROR(__xludf.DUMMYFUNCTION("if($C512="""","""",iferror(if(row()&lt;&gt;2,INDEX(arrayformula(filter($H$2:$H511,$C$2:$C511&lt;&gt;"""",row($C$2:$C511)=max(if($C$2:$C511=C512,row($C$2:$C511),0)))) ,1),0),0))"),"")</f>
        <v/>
      </c>
      <c r="H512" s="170" t="str">
        <f t="shared" si="8"/>
        <v/>
      </c>
      <c r="I512" s="147" t="str">
        <f t="shared" si="1"/>
        <v/>
      </c>
      <c r="J512" s="147" t="str">
        <f t="shared" si="13"/>
        <v/>
      </c>
      <c r="K512" s="147" t="str">
        <f>IFERROR(__xludf.DUMMYFUNCTION("if(C512="""","""",iferror(if(row()&lt;&gt;2,INDEX(arrayformula(filter($L$2:$L511,$C$2:$C511&lt;&gt;"""",row($C$2:$C511)=max(if($C$2:$C511=C512,row($C$2:$C511),0)))) ,1),0),0))"),"")</f>
        <v/>
      </c>
      <c r="L512" s="147" t="str">
        <f t="shared" si="14"/>
        <v/>
      </c>
      <c r="M512" s="147" t="str">
        <f t="shared" si="15"/>
        <v/>
      </c>
      <c r="N512" s="147" t="str">
        <f t="shared" si="16"/>
        <v/>
      </c>
      <c r="O512" s="147" t="str">
        <f t="shared" si="6"/>
        <v/>
      </c>
      <c r="P512" s="150" t="str">
        <f t="shared" si="7"/>
        <v/>
      </c>
      <c r="Q512" s="151" t="str">
        <f>IFERROR(VLOOKUP(C512,Ativos!$A$1:$G2000,5,),)</f>
        <v/>
      </c>
    </row>
    <row r="513" ht="21.0" customHeight="1">
      <c r="A513" s="152"/>
      <c r="B513" s="160"/>
      <c r="C513" s="153"/>
      <c r="D513" s="169"/>
      <c r="E513" s="139"/>
      <c r="F513" s="141"/>
      <c r="G513" s="170" t="str">
        <f>IFERROR(__xludf.DUMMYFUNCTION("if($C513="""","""",iferror(if(row()&lt;&gt;2,INDEX(arrayformula(filter($H$2:$H512,$C$2:$C512&lt;&gt;"""",row($C$2:$C512)=max(if($C$2:$C512=C513,row($C$2:$C512),0)))) ,1),0),0))"),"")</f>
        <v/>
      </c>
      <c r="H513" s="170" t="str">
        <f t="shared" si="8"/>
        <v/>
      </c>
      <c r="I513" s="147" t="str">
        <f t="shared" si="1"/>
        <v/>
      </c>
      <c r="J513" s="147" t="str">
        <f t="shared" si="13"/>
        <v/>
      </c>
      <c r="K513" s="147" t="str">
        <f>IFERROR(__xludf.DUMMYFUNCTION("if(C513="""","""",iferror(if(row()&lt;&gt;2,INDEX(arrayformula(filter($L$2:$L512,$C$2:$C512&lt;&gt;"""",row($C$2:$C512)=max(if($C$2:$C512=C513,row($C$2:$C512),0)))) ,1),0),0))"),"")</f>
        <v/>
      </c>
      <c r="L513" s="147" t="str">
        <f t="shared" si="14"/>
        <v/>
      </c>
      <c r="M513" s="147" t="str">
        <f t="shared" si="15"/>
        <v/>
      </c>
      <c r="N513" s="147" t="str">
        <f t="shared" si="16"/>
        <v/>
      </c>
      <c r="O513" s="147" t="str">
        <f t="shared" si="6"/>
        <v/>
      </c>
      <c r="P513" s="150" t="str">
        <f t="shared" si="7"/>
        <v/>
      </c>
      <c r="Q513" s="151" t="str">
        <f>IFERROR(VLOOKUP(C513,Ativos!$A$1:$G2000,5,),)</f>
        <v/>
      </c>
    </row>
    <row r="514" ht="21.0" customHeight="1">
      <c r="A514" s="152"/>
      <c r="B514" s="160"/>
      <c r="C514" s="153"/>
      <c r="D514" s="169"/>
      <c r="E514" s="139"/>
      <c r="F514" s="141"/>
      <c r="G514" s="170" t="str">
        <f>IFERROR(__xludf.DUMMYFUNCTION("if($C514="""","""",iferror(if(row()&lt;&gt;2,INDEX(arrayformula(filter($H$2:$H513,$C$2:$C513&lt;&gt;"""",row($C$2:$C513)=max(if($C$2:$C513=C514,row($C$2:$C513),0)))) ,1),0),0))"),"")</f>
        <v/>
      </c>
      <c r="H514" s="170" t="str">
        <f t="shared" si="8"/>
        <v/>
      </c>
      <c r="I514" s="147" t="str">
        <f t="shared" si="1"/>
        <v/>
      </c>
      <c r="J514" s="147" t="str">
        <f t="shared" si="13"/>
        <v/>
      </c>
      <c r="K514" s="147" t="str">
        <f>IFERROR(__xludf.DUMMYFUNCTION("if(C514="""","""",iferror(if(row()&lt;&gt;2,INDEX(arrayformula(filter($L$2:$L513,$C$2:$C513&lt;&gt;"""",row($C$2:$C513)=max(if($C$2:$C513=C514,row($C$2:$C513),0)))) ,1),0),0))"),"")</f>
        <v/>
      </c>
      <c r="L514" s="147" t="str">
        <f t="shared" si="14"/>
        <v/>
      </c>
      <c r="M514" s="147" t="str">
        <f t="shared" si="15"/>
        <v/>
      </c>
      <c r="N514" s="147" t="str">
        <f t="shared" si="16"/>
        <v/>
      </c>
      <c r="O514" s="147" t="str">
        <f t="shared" si="6"/>
        <v/>
      </c>
      <c r="P514" s="150" t="str">
        <f t="shared" si="7"/>
        <v/>
      </c>
      <c r="Q514" s="151" t="str">
        <f>IFERROR(VLOOKUP(C514,Ativos!$A$1:$G2000,5,),)</f>
        <v/>
      </c>
    </row>
    <row r="515" ht="21.0" customHeight="1">
      <c r="A515" s="152"/>
      <c r="B515" s="160"/>
      <c r="C515" s="153"/>
      <c r="D515" s="169"/>
      <c r="E515" s="139"/>
      <c r="F515" s="141"/>
      <c r="G515" s="170" t="str">
        <f>IFERROR(__xludf.DUMMYFUNCTION("if($C515="""","""",iferror(if(row()&lt;&gt;2,INDEX(arrayformula(filter($H$2:$H514,$C$2:$C514&lt;&gt;"""",row($C$2:$C514)=max(if($C$2:$C514=C515,row($C$2:$C514),0)))) ,1),0),0))"),"")</f>
        <v/>
      </c>
      <c r="H515" s="170" t="str">
        <f t="shared" si="8"/>
        <v/>
      </c>
      <c r="I515" s="147" t="str">
        <f t="shared" si="1"/>
        <v/>
      </c>
      <c r="J515" s="147" t="str">
        <f t="shared" si="13"/>
        <v/>
      </c>
      <c r="K515" s="147" t="str">
        <f>IFERROR(__xludf.DUMMYFUNCTION("if(C515="""","""",iferror(if(row()&lt;&gt;2,INDEX(arrayformula(filter($L$2:$L514,$C$2:$C514&lt;&gt;"""",row($C$2:$C514)=max(if($C$2:$C514=C515,row($C$2:$C514),0)))) ,1),0),0))"),"")</f>
        <v/>
      </c>
      <c r="L515" s="147" t="str">
        <f t="shared" si="14"/>
        <v/>
      </c>
      <c r="M515" s="147" t="str">
        <f t="shared" si="15"/>
        <v/>
      </c>
      <c r="N515" s="147" t="str">
        <f t="shared" si="16"/>
        <v/>
      </c>
      <c r="O515" s="147" t="str">
        <f t="shared" si="6"/>
        <v/>
      </c>
      <c r="P515" s="150" t="str">
        <f t="shared" si="7"/>
        <v/>
      </c>
      <c r="Q515" s="151" t="str">
        <f>IFERROR(VLOOKUP(C515,Ativos!$A$1:$G2000,5,),)</f>
        <v/>
      </c>
    </row>
    <row r="516" ht="21.0" customHeight="1">
      <c r="A516" s="152"/>
      <c r="B516" s="160"/>
      <c r="C516" s="153"/>
      <c r="D516" s="169"/>
      <c r="E516" s="139"/>
      <c r="F516" s="141"/>
      <c r="G516" s="170" t="str">
        <f>IFERROR(__xludf.DUMMYFUNCTION("if($C516="""","""",iferror(if(row()&lt;&gt;2,INDEX(arrayformula(filter($H$2:$H515,$C$2:$C515&lt;&gt;"""",row($C$2:$C515)=max(if($C$2:$C515=C516,row($C$2:$C515),0)))) ,1),0),0))"),"")</f>
        <v/>
      </c>
      <c r="H516" s="170" t="str">
        <f t="shared" si="8"/>
        <v/>
      </c>
      <c r="I516" s="147" t="str">
        <f t="shared" si="1"/>
        <v/>
      </c>
      <c r="J516" s="147" t="str">
        <f t="shared" si="13"/>
        <v/>
      </c>
      <c r="K516" s="147" t="str">
        <f>IFERROR(__xludf.DUMMYFUNCTION("if(C516="""","""",iferror(if(row()&lt;&gt;2,INDEX(arrayformula(filter($L$2:$L515,$C$2:$C515&lt;&gt;"""",row($C$2:$C515)=max(if($C$2:$C515=C516,row($C$2:$C515),0)))) ,1),0),0))"),"")</f>
        <v/>
      </c>
      <c r="L516" s="147" t="str">
        <f t="shared" si="14"/>
        <v/>
      </c>
      <c r="M516" s="147" t="str">
        <f t="shared" si="15"/>
        <v/>
      </c>
      <c r="N516" s="147" t="str">
        <f t="shared" si="16"/>
        <v/>
      </c>
      <c r="O516" s="147" t="str">
        <f t="shared" si="6"/>
        <v/>
      </c>
      <c r="P516" s="150" t="str">
        <f t="shared" si="7"/>
        <v/>
      </c>
      <c r="Q516" s="151" t="str">
        <f>IFERROR(VLOOKUP(C516,Ativos!$A$1:$G2000,5,),)</f>
        <v/>
      </c>
    </row>
    <row r="517" ht="21.0" customHeight="1">
      <c r="A517" s="152"/>
      <c r="B517" s="160"/>
      <c r="C517" s="153"/>
      <c r="D517" s="169"/>
      <c r="E517" s="139"/>
      <c r="F517" s="141"/>
      <c r="G517" s="170" t="str">
        <f>IFERROR(__xludf.DUMMYFUNCTION("if($C517="""","""",iferror(if(row()&lt;&gt;2,INDEX(arrayformula(filter($H$2:$H516,$C$2:$C516&lt;&gt;"""",row($C$2:$C516)=max(if($C$2:$C516=C517,row($C$2:$C516),0)))) ,1),0),0))"),"")</f>
        <v/>
      </c>
      <c r="H517" s="170" t="str">
        <f t="shared" si="8"/>
        <v/>
      </c>
      <c r="I517" s="147" t="str">
        <f t="shared" si="1"/>
        <v/>
      </c>
      <c r="J517" s="147" t="str">
        <f t="shared" si="13"/>
        <v/>
      </c>
      <c r="K517" s="147" t="str">
        <f>IFERROR(__xludf.DUMMYFUNCTION("if(C517="""","""",iferror(if(row()&lt;&gt;2,INDEX(arrayformula(filter($L$2:$L516,$C$2:$C516&lt;&gt;"""",row($C$2:$C516)=max(if($C$2:$C516=C517,row($C$2:$C516),0)))) ,1),0),0))"),"")</f>
        <v/>
      </c>
      <c r="L517" s="147" t="str">
        <f t="shared" si="14"/>
        <v/>
      </c>
      <c r="M517" s="147" t="str">
        <f t="shared" si="15"/>
        <v/>
      </c>
      <c r="N517" s="147" t="str">
        <f t="shared" si="16"/>
        <v/>
      </c>
      <c r="O517" s="147" t="str">
        <f t="shared" si="6"/>
        <v/>
      </c>
      <c r="P517" s="150" t="str">
        <f t="shared" si="7"/>
        <v/>
      </c>
      <c r="Q517" s="151" t="str">
        <f>IFERROR(VLOOKUP(C517,Ativos!$A$1:$G2000,5,),)</f>
        <v/>
      </c>
    </row>
    <row r="518" ht="21.0" customHeight="1">
      <c r="A518" s="152"/>
      <c r="B518" s="160"/>
      <c r="C518" s="153"/>
      <c r="D518" s="169"/>
      <c r="E518" s="139"/>
      <c r="F518" s="141"/>
      <c r="G518" s="170" t="str">
        <f>IFERROR(__xludf.DUMMYFUNCTION("if($C518="""","""",iferror(if(row()&lt;&gt;2,INDEX(arrayformula(filter($H$2:$H517,$C$2:$C517&lt;&gt;"""",row($C$2:$C517)=max(if($C$2:$C517=C518,row($C$2:$C517),0)))) ,1),0),0))"),"")</f>
        <v/>
      </c>
      <c r="H518" s="170" t="str">
        <f t="shared" si="8"/>
        <v/>
      </c>
      <c r="I518" s="147" t="str">
        <f t="shared" si="1"/>
        <v/>
      </c>
      <c r="J518" s="147" t="str">
        <f t="shared" si="13"/>
        <v/>
      </c>
      <c r="K518" s="147" t="str">
        <f>IFERROR(__xludf.DUMMYFUNCTION("if(C518="""","""",iferror(if(row()&lt;&gt;2,INDEX(arrayformula(filter($L$2:$L517,$C$2:$C517&lt;&gt;"""",row($C$2:$C517)=max(if($C$2:$C517=C518,row($C$2:$C517),0)))) ,1),0),0))"),"")</f>
        <v/>
      </c>
      <c r="L518" s="147" t="str">
        <f t="shared" si="14"/>
        <v/>
      </c>
      <c r="M518" s="147" t="str">
        <f t="shared" si="15"/>
        <v/>
      </c>
      <c r="N518" s="147" t="str">
        <f t="shared" si="16"/>
        <v/>
      </c>
      <c r="O518" s="147" t="str">
        <f t="shared" si="6"/>
        <v/>
      </c>
      <c r="P518" s="150" t="str">
        <f t="shared" si="7"/>
        <v/>
      </c>
      <c r="Q518" s="151" t="str">
        <f>IFERROR(VLOOKUP(C518,Ativos!$A$1:$G2000,5,),)</f>
        <v/>
      </c>
    </row>
    <row r="519" ht="21.0" customHeight="1">
      <c r="A519" s="152"/>
      <c r="B519" s="160"/>
      <c r="C519" s="153"/>
      <c r="D519" s="169"/>
      <c r="E519" s="139"/>
      <c r="F519" s="141"/>
      <c r="G519" s="170" t="str">
        <f>IFERROR(__xludf.DUMMYFUNCTION("if($C519="""","""",iferror(if(row()&lt;&gt;2,INDEX(arrayformula(filter($H$2:$H518,$C$2:$C518&lt;&gt;"""",row($C$2:$C518)=max(if($C$2:$C518=C519,row($C$2:$C518),0)))) ,1),0),0))"),"")</f>
        <v/>
      </c>
      <c r="H519" s="170" t="str">
        <f t="shared" si="8"/>
        <v/>
      </c>
      <c r="I519" s="147" t="str">
        <f t="shared" si="1"/>
        <v/>
      </c>
      <c r="J519" s="147" t="str">
        <f t="shared" si="13"/>
        <v/>
      </c>
      <c r="K519" s="147" t="str">
        <f>IFERROR(__xludf.DUMMYFUNCTION("if(C519="""","""",iferror(if(row()&lt;&gt;2,INDEX(arrayformula(filter($L$2:$L518,$C$2:$C518&lt;&gt;"""",row($C$2:$C518)=max(if($C$2:$C518=C519,row($C$2:$C518),0)))) ,1),0),0))"),"")</f>
        <v/>
      </c>
      <c r="L519" s="147" t="str">
        <f t="shared" si="14"/>
        <v/>
      </c>
      <c r="M519" s="147" t="str">
        <f t="shared" si="15"/>
        <v/>
      </c>
      <c r="N519" s="147" t="str">
        <f t="shared" si="16"/>
        <v/>
      </c>
      <c r="O519" s="147" t="str">
        <f t="shared" si="6"/>
        <v/>
      </c>
      <c r="P519" s="150" t="str">
        <f t="shared" si="7"/>
        <v/>
      </c>
      <c r="Q519" s="151" t="str">
        <f>IFERROR(VLOOKUP(C519,Ativos!$A$1:$G2000,5,),)</f>
        <v/>
      </c>
    </row>
    <row r="520" ht="21.0" customHeight="1">
      <c r="A520" s="152"/>
      <c r="B520" s="160"/>
      <c r="C520" s="153"/>
      <c r="D520" s="169"/>
      <c r="E520" s="139"/>
      <c r="F520" s="141"/>
      <c r="G520" s="170" t="str">
        <f>IFERROR(__xludf.DUMMYFUNCTION("if($C520="""","""",iferror(if(row()&lt;&gt;2,INDEX(arrayformula(filter($H$2:$H519,$C$2:$C519&lt;&gt;"""",row($C$2:$C519)=max(if($C$2:$C519=C520,row($C$2:$C519),0)))) ,1),0),0))"),"")</f>
        <v/>
      </c>
      <c r="H520" s="170" t="str">
        <f t="shared" si="8"/>
        <v/>
      </c>
      <c r="I520" s="147" t="str">
        <f t="shared" si="1"/>
        <v/>
      </c>
      <c r="J520" s="147" t="str">
        <f t="shared" si="13"/>
        <v/>
      </c>
      <c r="K520" s="147" t="str">
        <f>IFERROR(__xludf.DUMMYFUNCTION("if(C520="""","""",iferror(if(row()&lt;&gt;2,INDEX(arrayformula(filter($L$2:$L519,$C$2:$C519&lt;&gt;"""",row($C$2:$C519)=max(if($C$2:$C519=C520,row($C$2:$C519),0)))) ,1),0),0))"),"")</f>
        <v/>
      </c>
      <c r="L520" s="147" t="str">
        <f t="shared" si="14"/>
        <v/>
      </c>
      <c r="M520" s="147" t="str">
        <f t="shared" si="15"/>
        <v/>
      </c>
      <c r="N520" s="147" t="str">
        <f t="shared" si="16"/>
        <v/>
      </c>
      <c r="O520" s="147" t="str">
        <f t="shared" si="6"/>
        <v/>
      </c>
      <c r="P520" s="150" t="str">
        <f t="shared" si="7"/>
        <v/>
      </c>
      <c r="Q520" s="151" t="str">
        <f>IFERROR(VLOOKUP(C520,Ativos!$A$1:$G2000,5,),)</f>
        <v/>
      </c>
    </row>
    <row r="521" ht="21.0" customHeight="1">
      <c r="A521" s="152"/>
      <c r="B521" s="160"/>
      <c r="C521" s="153"/>
      <c r="D521" s="169"/>
      <c r="E521" s="139"/>
      <c r="F521" s="141"/>
      <c r="G521" s="170" t="str">
        <f>IFERROR(__xludf.DUMMYFUNCTION("if($C521="""","""",iferror(if(row()&lt;&gt;2,INDEX(arrayformula(filter($H$2:$H520,$C$2:$C520&lt;&gt;"""",row($C$2:$C520)=max(if($C$2:$C520=C521,row($C$2:$C520),0)))) ,1),0),0))"),"")</f>
        <v/>
      </c>
      <c r="H521" s="170" t="str">
        <f t="shared" si="8"/>
        <v/>
      </c>
      <c r="I521" s="147" t="str">
        <f t="shared" si="1"/>
        <v/>
      </c>
      <c r="J521" s="147" t="str">
        <f t="shared" si="13"/>
        <v/>
      </c>
      <c r="K521" s="147" t="str">
        <f>IFERROR(__xludf.DUMMYFUNCTION("if(C521="""","""",iferror(if(row()&lt;&gt;2,INDEX(arrayformula(filter($L$2:$L520,$C$2:$C520&lt;&gt;"""",row($C$2:$C520)=max(if($C$2:$C520=C521,row($C$2:$C520),0)))) ,1),0),0))"),"")</f>
        <v/>
      </c>
      <c r="L521" s="147" t="str">
        <f t="shared" si="14"/>
        <v/>
      </c>
      <c r="M521" s="147" t="str">
        <f t="shared" si="15"/>
        <v/>
      </c>
      <c r="N521" s="147" t="str">
        <f t="shared" si="16"/>
        <v/>
      </c>
      <c r="O521" s="147" t="str">
        <f t="shared" si="6"/>
        <v/>
      </c>
      <c r="P521" s="150" t="str">
        <f t="shared" si="7"/>
        <v/>
      </c>
      <c r="Q521" s="151" t="str">
        <f>IFERROR(VLOOKUP(C521,Ativos!$A$1:$G2000,5,),)</f>
        <v/>
      </c>
    </row>
    <row r="522" ht="21.0" customHeight="1">
      <c r="A522" s="152"/>
      <c r="B522" s="160"/>
      <c r="C522" s="153"/>
      <c r="D522" s="169"/>
      <c r="E522" s="139"/>
      <c r="F522" s="141"/>
      <c r="G522" s="170" t="str">
        <f>IFERROR(__xludf.DUMMYFUNCTION("if($C522="""","""",iferror(if(row()&lt;&gt;2,INDEX(arrayformula(filter($H$2:$H521,$C$2:$C521&lt;&gt;"""",row($C$2:$C521)=max(if($C$2:$C521=C522,row($C$2:$C521),0)))) ,1),0),0))"),"")</f>
        <v/>
      </c>
      <c r="H522" s="170" t="str">
        <f t="shared" si="8"/>
        <v/>
      </c>
      <c r="I522" s="147" t="str">
        <f t="shared" si="1"/>
        <v/>
      </c>
      <c r="J522" s="147" t="str">
        <f t="shared" si="13"/>
        <v/>
      </c>
      <c r="K522" s="147" t="str">
        <f>IFERROR(__xludf.DUMMYFUNCTION("if(C522="""","""",iferror(if(row()&lt;&gt;2,INDEX(arrayformula(filter($L$2:$L521,$C$2:$C521&lt;&gt;"""",row($C$2:$C521)=max(if($C$2:$C521=C522,row($C$2:$C521),0)))) ,1),0),0))"),"")</f>
        <v/>
      </c>
      <c r="L522" s="147" t="str">
        <f t="shared" si="14"/>
        <v/>
      </c>
      <c r="M522" s="147" t="str">
        <f t="shared" si="15"/>
        <v/>
      </c>
      <c r="N522" s="147" t="str">
        <f t="shared" si="16"/>
        <v/>
      </c>
      <c r="O522" s="147" t="str">
        <f t="shared" si="6"/>
        <v/>
      </c>
      <c r="P522" s="150" t="str">
        <f t="shared" si="7"/>
        <v/>
      </c>
      <c r="Q522" s="151" t="str">
        <f>IFERROR(VLOOKUP(C522,Ativos!$A$1:$G2000,5,),)</f>
        <v/>
      </c>
    </row>
    <row r="523" ht="21.0" customHeight="1">
      <c r="A523" s="152"/>
      <c r="B523" s="160"/>
      <c r="C523" s="153"/>
      <c r="D523" s="169"/>
      <c r="E523" s="139"/>
      <c r="F523" s="141"/>
      <c r="G523" s="170" t="str">
        <f>IFERROR(__xludf.DUMMYFUNCTION("if($C523="""","""",iferror(if(row()&lt;&gt;2,INDEX(arrayformula(filter($H$2:$H522,$C$2:$C522&lt;&gt;"""",row($C$2:$C522)=max(if($C$2:$C522=C523,row($C$2:$C522),0)))) ,1),0),0))"),"")</f>
        <v/>
      </c>
      <c r="H523" s="170" t="str">
        <f t="shared" si="8"/>
        <v/>
      </c>
      <c r="I523" s="147" t="str">
        <f t="shared" si="1"/>
        <v/>
      </c>
      <c r="J523" s="147" t="str">
        <f t="shared" si="13"/>
        <v/>
      </c>
      <c r="K523" s="147" t="str">
        <f>IFERROR(__xludf.DUMMYFUNCTION("if(C523="""","""",iferror(if(row()&lt;&gt;2,INDEX(arrayformula(filter($L$2:$L522,$C$2:$C522&lt;&gt;"""",row($C$2:$C522)=max(if($C$2:$C522=C523,row($C$2:$C522),0)))) ,1),0),0))"),"")</f>
        <v/>
      </c>
      <c r="L523" s="147" t="str">
        <f t="shared" si="14"/>
        <v/>
      </c>
      <c r="M523" s="147" t="str">
        <f t="shared" si="15"/>
        <v/>
      </c>
      <c r="N523" s="147" t="str">
        <f t="shared" si="16"/>
        <v/>
      </c>
      <c r="O523" s="147" t="str">
        <f t="shared" si="6"/>
        <v/>
      </c>
      <c r="P523" s="150" t="str">
        <f t="shared" si="7"/>
        <v/>
      </c>
      <c r="Q523" s="151" t="str">
        <f>IFERROR(VLOOKUP(C523,Ativos!$A$1:$G2000,5,),)</f>
        <v/>
      </c>
    </row>
    <row r="524" ht="21.0" customHeight="1">
      <c r="A524" s="152"/>
      <c r="B524" s="160"/>
      <c r="C524" s="153"/>
      <c r="D524" s="169"/>
      <c r="E524" s="139"/>
      <c r="F524" s="141"/>
      <c r="G524" s="170" t="str">
        <f>IFERROR(__xludf.DUMMYFUNCTION("if($C524="""","""",iferror(if(row()&lt;&gt;2,INDEX(arrayformula(filter($H$2:$H523,$C$2:$C523&lt;&gt;"""",row($C$2:$C523)=max(if($C$2:$C523=C524,row($C$2:$C523),0)))) ,1),0),0))"),"")</f>
        <v/>
      </c>
      <c r="H524" s="170" t="str">
        <f t="shared" si="8"/>
        <v/>
      </c>
      <c r="I524" s="147" t="str">
        <f t="shared" si="1"/>
        <v/>
      </c>
      <c r="J524" s="147" t="str">
        <f t="shared" si="13"/>
        <v/>
      </c>
      <c r="K524" s="147" t="str">
        <f>IFERROR(__xludf.DUMMYFUNCTION("if(C524="""","""",iferror(if(row()&lt;&gt;2,INDEX(arrayformula(filter($L$2:$L523,$C$2:$C523&lt;&gt;"""",row($C$2:$C523)=max(if($C$2:$C523=C524,row($C$2:$C523),0)))) ,1),0),0))"),"")</f>
        <v/>
      </c>
      <c r="L524" s="147" t="str">
        <f t="shared" si="14"/>
        <v/>
      </c>
      <c r="M524" s="147" t="str">
        <f t="shared" si="15"/>
        <v/>
      </c>
      <c r="N524" s="147" t="str">
        <f t="shared" si="16"/>
        <v/>
      </c>
      <c r="O524" s="147" t="str">
        <f t="shared" si="6"/>
        <v/>
      </c>
      <c r="P524" s="150" t="str">
        <f t="shared" si="7"/>
        <v/>
      </c>
      <c r="Q524" s="151" t="str">
        <f>IFERROR(VLOOKUP(C524,Ativos!$A$1:$G2000,5,),)</f>
        <v/>
      </c>
    </row>
    <row r="525" ht="21.0" customHeight="1">
      <c r="A525" s="152"/>
      <c r="B525" s="160"/>
      <c r="C525" s="153"/>
      <c r="D525" s="169"/>
      <c r="E525" s="139"/>
      <c r="F525" s="141"/>
      <c r="G525" s="170" t="str">
        <f>IFERROR(__xludf.DUMMYFUNCTION("if($C525="""","""",iferror(if(row()&lt;&gt;2,INDEX(arrayformula(filter($H$2:$H524,$C$2:$C524&lt;&gt;"""",row($C$2:$C524)=max(if($C$2:$C524=C525,row($C$2:$C524),0)))) ,1),0),0))"),"")</f>
        <v/>
      </c>
      <c r="H525" s="170" t="str">
        <f t="shared" si="8"/>
        <v/>
      </c>
      <c r="I525" s="147" t="str">
        <f t="shared" si="1"/>
        <v/>
      </c>
      <c r="J525" s="147" t="str">
        <f t="shared" si="13"/>
        <v/>
      </c>
      <c r="K525" s="147" t="str">
        <f>IFERROR(__xludf.DUMMYFUNCTION("if(C525="""","""",iferror(if(row()&lt;&gt;2,INDEX(arrayformula(filter($L$2:$L524,$C$2:$C524&lt;&gt;"""",row($C$2:$C524)=max(if($C$2:$C524=C525,row($C$2:$C524),0)))) ,1),0),0))"),"")</f>
        <v/>
      </c>
      <c r="L525" s="147" t="str">
        <f t="shared" si="14"/>
        <v/>
      </c>
      <c r="M525" s="147" t="str">
        <f t="shared" si="15"/>
        <v/>
      </c>
      <c r="N525" s="147" t="str">
        <f t="shared" si="16"/>
        <v/>
      </c>
      <c r="O525" s="147" t="str">
        <f t="shared" si="6"/>
        <v/>
      </c>
      <c r="P525" s="150" t="str">
        <f t="shared" si="7"/>
        <v/>
      </c>
      <c r="Q525" s="151" t="str">
        <f>IFERROR(VLOOKUP(C525,Ativos!$A$1:$G2000,5,),)</f>
        <v/>
      </c>
    </row>
    <row r="526" ht="21.0" customHeight="1">
      <c r="A526" s="152"/>
      <c r="B526" s="160"/>
      <c r="C526" s="153"/>
      <c r="D526" s="169"/>
      <c r="E526" s="139"/>
      <c r="F526" s="141"/>
      <c r="G526" s="170" t="str">
        <f>IFERROR(__xludf.DUMMYFUNCTION("if($C526="""","""",iferror(if(row()&lt;&gt;2,INDEX(arrayformula(filter($H$2:$H525,$C$2:$C525&lt;&gt;"""",row($C$2:$C525)=max(if($C$2:$C525=C526,row($C$2:$C525),0)))) ,1),0),0))"),"")</f>
        <v/>
      </c>
      <c r="H526" s="170" t="str">
        <f t="shared" si="8"/>
        <v/>
      </c>
      <c r="I526" s="147" t="str">
        <f t="shared" si="1"/>
        <v/>
      </c>
      <c r="J526" s="147" t="str">
        <f t="shared" si="13"/>
        <v/>
      </c>
      <c r="K526" s="147" t="str">
        <f>IFERROR(__xludf.DUMMYFUNCTION("if(C526="""","""",iferror(if(row()&lt;&gt;2,INDEX(arrayformula(filter($L$2:$L525,$C$2:$C525&lt;&gt;"""",row($C$2:$C525)=max(if($C$2:$C525=C526,row($C$2:$C525),0)))) ,1),0),0))"),"")</f>
        <v/>
      </c>
      <c r="L526" s="147" t="str">
        <f t="shared" si="14"/>
        <v/>
      </c>
      <c r="M526" s="147" t="str">
        <f t="shared" si="15"/>
        <v/>
      </c>
      <c r="N526" s="147" t="str">
        <f t="shared" si="16"/>
        <v/>
      </c>
      <c r="O526" s="147" t="str">
        <f t="shared" si="6"/>
        <v/>
      </c>
      <c r="P526" s="150" t="str">
        <f t="shared" si="7"/>
        <v/>
      </c>
      <c r="Q526" s="151" t="str">
        <f>IFERROR(VLOOKUP(C526,Ativos!$A$1:$G2000,5,),)</f>
        <v/>
      </c>
    </row>
    <row r="527" ht="21.0" customHeight="1">
      <c r="A527" s="152"/>
      <c r="B527" s="160"/>
      <c r="C527" s="153"/>
      <c r="D527" s="169"/>
      <c r="E527" s="139"/>
      <c r="F527" s="141"/>
      <c r="G527" s="170" t="str">
        <f>IFERROR(__xludf.DUMMYFUNCTION("if($C527="""","""",iferror(if(row()&lt;&gt;2,INDEX(arrayformula(filter($H$2:$H526,$C$2:$C526&lt;&gt;"""",row($C$2:$C526)=max(if($C$2:$C526=C527,row($C$2:$C526),0)))) ,1),0),0))"),"")</f>
        <v/>
      </c>
      <c r="H527" s="170" t="str">
        <f t="shared" si="8"/>
        <v/>
      </c>
      <c r="I527" s="147" t="str">
        <f t="shared" si="1"/>
        <v/>
      </c>
      <c r="J527" s="147" t="str">
        <f t="shared" si="13"/>
        <v/>
      </c>
      <c r="K527" s="147" t="str">
        <f>IFERROR(__xludf.DUMMYFUNCTION("if(C527="""","""",iferror(if(row()&lt;&gt;2,INDEX(arrayformula(filter($L$2:$L526,$C$2:$C526&lt;&gt;"""",row($C$2:$C526)=max(if($C$2:$C526=C527,row($C$2:$C526),0)))) ,1),0),0))"),"")</f>
        <v/>
      </c>
      <c r="L527" s="147" t="str">
        <f t="shared" si="14"/>
        <v/>
      </c>
      <c r="M527" s="147" t="str">
        <f t="shared" si="15"/>
        <v/>
      </c>
      <c r="N527" s="147" t="str">
        <f t="shared" si="16"/>
        <v/>
      </c>
      <c r="O527" s="147" t="str">
        <f t="shared" si="6"/>
        <v/>
      </c>
      <c r="P527" s="150" t="str">
        <f t="shared" si="7"/>
        <v/>
      </c>
      <c r="Q527" s="151" t="str">
        <f>IFERROR(VLOOKUP(C527,Ativos!$A$1:$G2000,5,),)</f>
        <v/>
      </c>
    </row>
    <row r="528" ht="21.0" customHeight="1">
      <c r="A528" s="152"/>
      <c r="B528" s="160"/>
      <c r="C528" s="153"/>
      <c r="D528" s="169"/>
      <c r="E528" s="139"/>
      <c r="F528" s="141"/>
      <c r="G528" s="170" t="str">
        <f>IFERROR(__xludf.DUMMYFUNCTION("if($C528="""","""",iferror(if(row()&lt;&gt;2,INDEX(arrayformula(filter($H$2:$H527,$C$2:$C527&lt;&gt;"""",row($C$2:$C527)=max(if($C$2:$C527=C528,row($C$2:$C527),0)))) ,1),0),0))"),"")</f>
        <v/>
      </c>
      <c r="H528" s="170" t="str">
        <f t="shared" si="8"/>
        <v/>
      </c>
      <c r="I528" s="147" t="str">
        <f t="shared" si="1"/>
        <v/>
      </c>
      <c r="J528" s="147" t="str">
        <f t="shared" si="13"/>
        <v/>
      </c>
      <c r="K528" s="147" t="str">
        <f>IFERROR(__xludf.DUMMYFUNCTION("if(C528="""","""",iferror(if(row()&lt;&gt;2,INDEX(arrayformula(filter($L$2:$L527,$C$2:$C527&lt;&gt;"""",row($C$2:$C527)=max(if($C$2:$C527=C528,row($C$2:$C527),0)))) ,1),0),0))"),"")</f>
        <v/>
      </c>
      <c r="L528" s="147" t="str">
        <f t="shared" si="14"/>
        <v/>
      </c>
      <c r="M528" s="147" t="str">
        <f t="shared" si="15"/>
        <v/>
      </c>
      <c r="N528" s="147" t="str">
        <f t="shared" si="16"/>
        <v/>
      </c>
      <c r="O528" s="147" t="str">
        <f t="shared" si="6"/>
        <v/>
      </c>
      <c r="P528" s="150" t="str">
        <f t="shared" si="7"/>
        <v/>
      </c>
      <c r="Q528" s="151" t="str">
        <f>IFERROR(VLOOKUP(C528,Ativos!$A$1:$G2000,5,),)</f>
        <v/>
      </c>
    </row>
    <row r="529" ht="21.0" customHeight="1">
      <c r="A529" s="152"/>
      <c r="B529" s="160"/>
      <c r="C529" s="153"/>
      <c r="D529" s="169"/>
      <c r="E529" s="139"/>
      <c r="F529" s="141"/>
      <c r="G529" s="170" t="str">
        <f>IFERROR(__xludf.DUMMYFUNCTION("if($C529="""","""",iferror(if(row()&lt;&gt;2,INDEX(arrayformula(filter($H$2:$H528,$C$2:$C528&lt;&gt;"""",row($C$2:$C528)=max(if($C$2:$C528=C529,row($C$2:$C528),0)))) ,1),0),0))"),"")</f>
        <v/>
      </c>
      <c r="H529" s="170" t="str">
        <f t="shared" si="8"/>
        <v/>
      </c>
      <c r="I529" s="147" t="str">
        <f t="shared" si="1"/>
        <v/>
      </c>
      <c r="J529" s="147" t="str">
        <f t="shared" si="13"/>
        <v/>
      </c>
      <c r="K529" s="147" t="str">
        <f>IFERROR(__xludf.DUMMYFUNCTION("if(C529="""","""",iferror(if(row()&lt;&gt;2,INDEX(arrayformula(filter($L$2:$L528,$C$2:$C528&lt;&gt;"""",row($C$2:$C528)=max(if($C$2:$C528=C529,row($C$2:$C528),0)))) ,1),0),0))"),"")</f>
        <v/>
      </c>
      <c r="L529" s="147" t="str">
        <f t="shared" si="14"/>
        <v/>
      </c>
      <c r="M529" s="147" t="str">
        <f t="shared" si="15"/>
        <v/>
      </c>
      <c r="N529" s="147" t="str">
        <f t="shared" si="16"/>
        <v/>
      </c>
      <c r="O529" s="147" t="str">
        <f t="shared" si="6"/>
        <v/>
      </c>
      <c r="P529" s="150" t="str">
        <f t="shared" si="7"/>
        <v/>
      </c>
      <c r="Q529" s="151" t="str">
        <f>IFERROR(VLOOKUP(C529,Ativos!$A$1:$G2000,5,),)</f>
        <v/>
      </c>
    </row>
    <row r="530" ht="21.0" customHeight="1">
      <c r="A530" s="152"/>
      <c r="B530" s="160"/>
      <c r="C530" s="153"/>
      <c r="D530" s="169"/>
      <c r="E530" s="139"/>
      <c r="F530" s="141"/>
      <c r="G530" s="170" t="str">
        <f>IFERROR(__xludf.DUMMYFUNCTION("if($C530="""","""",iferror(if(row()&lt;&gt;2,INDEX(arrayformula(filter($H$2:$H529,$C$2:$C529&lt;&gt;"""",row($C$2:$C529)=max(if($C$2:$C529=C530,row($C$2:$C529),0)))) ,1),0),0))"),"")</f>
        <v/>
      </c>
      <c r="H530" s="170" t="str">
        <f t="shared" si="8"/>
        <v/>
      </c>
      <c r="I530" s="147" t="str">
        <f t="shared" si="1"/>
        <v/>
      </c>
      <c r="J530" s="147" t="str">
        <f t="shared" si="13"/>
        <v/>
      </c>
      <c r="K530" s="147" t="str">
        <f>IFERROR(__xludf.DUMMYFUNCTION("if(C530="""","""",iferror(if(row()&lt;&gt;2,INDEX(arrayformula(filter($L$2:$L529,$C$2:$C529&lt;&gt;"""",row($C$2:$C529)=max(if($C$2:$C529=C530,row($C$2:$C529),0)))) ,1),0),0))"),"")</f>
        <v/>
      </c>
      <c r="L530" s="147" t="str">
        <f t="shared" si="14"/>
        <v/>
      </c>
      <c r="M530" s="147" t="str">
        <f t="shared" si="15"/>
        <v/>
      </c>
      <c r="N530" s="147" t="str">
        <f t="shared" si="16"/>
        <v/>
      </c>
      <c r="O530" s="147" t="str">
        <f t="shared" si="6"/>
        <v/>
      </c>
      <c r="P530" s="150" t="str">
        <f t="shared" si="7"/>
        <v/>
      </c>
      <c r="Q530" s="151" t="str">
        <f>IFERROR(VLOOKUP(C530,Ativos!$A$1:$G2000,5,),)</f>
        <v/>
      </c>
    </row>
    <row r="531" ht="21.0" customHeight="1">
      <c r="A531" s="152"/>
      <c r="B531" s="160"/>
      <c r="C531" s="153"/>
      <c r="D531" s="169"/>
      <c r="E531" s="139"/>
      <c r="F531" s="141"/>
      <c r="G531" s="170" t="str">
        <f>IFERROR(__xludf.DUMMYFUNCTION("if($C531="""","""",iferror(if(row()&lt;&gt;2,INDEX(arrayformula(filter($H$2:$H530,$C$2:$C530&lt;&gt;"""",row($C$2:$C530)=max(if($C$2:$C530=C531,row($C$2:$C530),0)))) ,1),0),0))"),"")</f>
        <v/>
      </c>
      <c r="H531" s="170" t="str">
        <f t="shared" si="8"/>
        <v/>
      </c>
      <c r="I531" s="147" t="str">
        <f t="shared" si="1"/>
        <v/>
      </c>
      <c r="J531" s="147" t="str">
        <f t="shared" si="13"/>
        <v/>
      </c>
      <c r="K531" s="147" t="str">
        <f>IFERROR(__xludf.DUMMYFUNCTION("if(C531="""","""",iferror(if(row()&lt;&gt;2,INDEX(arrayformula(filter($L$2:$L530,$C$2:$C530&lt;&gt;"""",row($C$2:$C530)=max(if($C$2:$C530=C531,row($C$2:$C530),0)))) ,1),0),0))"),"")</f>
        <v/>
      </c>
      <c r="L531" s="147" t="str">
        <f t="shared" si="14"/>
        <v/>
      </c>
      <c r="M531" s="147" t="str">
        <f t="shared" si="15"/>
        <v/>
      </c>
      <c r="N531" s="147" t="str">
        <f t="shared" si="16"/>
        <v/>
      </c>
      <c r="O531" s="147" t="str">
        <f t="shared" si="6"/>
        <v/>
      </c>
      <c r="P531" s="150" t="str">
        <f t="shared" si="7"/>
        <v/>
      </c>
      <c r="Q531" s="151" t="str">
        <f>IFERROR(VLOOKUP(C531,Ativos!$A$1:$G2000,5,),)</f>
        <v/>
      </c>
    </row>
    <row r="532" ht="21.0" customHeight="1">
      <c r="A532" s="152"/>
      <c r="B532" s="160"/>
      <c r="C532" s="153"/>
      <c r="D532" s="169"/>
      <c r="E532" s="139"/>
      <c r="F532" s="141"/>
      <c r="G532" s="170" t="str">
        <f>IFERROR(__xludf.DUMMYFUNCTION("if($C532="""","""",iferror(if(row()&lt;&gt;2,INDEX(arrayformula(filter($H$2:$H531,$C$2:$C531&lt;&gt;"""",row($C$2:$C531)=max(if($C$2:$C531=C532,row($C$2:$C531),0)))) ,1),0),0))"),"")</f>
        <v/>
      </c>
      <c r="H532" s="170" t="str">
        <f t="shared" si="8"/>
        <v/>
      </c>
      <c r="I532" s="147" t="str">
        <f t="shared" si="1"/>
        <v/>
      </c>
      <c r="J532" s="147" t="str">
        <f t="shared" si="13"/>
        <v/>
      </c>
      <c r="K532" s="147" t="str">
        <f>IFERROR(__xludf.DUMMYFUNCTION("if(C532="""","""",iferror(if(row()&lt;&gt;2,INDEX(arrayformula(filter($L$2:$L531,$C$2:$C531&lt;&gt;"""",row($C$2:$C531)=max(if($C$2:$C531=C532,row($C$2:$C531),0)))) ,1),0),0))"),"")</f>
        <v/>
      </c>
      <c r="L532" s="147" t="str">
        <f t="shared" si="14"/>
        <v/>
      </c>
      <c r="M532" s="147" t="str">
        <f t="shared" si="15"/>
        <v/>
      </c>
      <c r="N532" s="147" t="str">
        <f t="shared" si="16"/>
        <v/>
      </c>
      <c r="O532" s="147" t="str">
        <f t="shared" si="6"/>
        <v/>
      </c>
      <c r="P532" s="150" t="str">
        <f t="shared" si="7"/>
        <v/>
      </c>
      <c r="Q532" s="151" t="str">
        <f>IFERROR(VLOOKUP(C532,Ativos!$A$1:$G2000,5,),)</f>
        <v/>
      </c>
    </row>
    <row r="533" ht="21.0" customHeight="1">
      <c r="A533" s="152"/>
      <c r="B533" s="160"/>
      <c r="C533" s="153"/>
      <c r="D533" s="169"/>
      <c r="E533" s="139"/>
      <c r="F533" s="141"/>
      <c r="G533" s="170" t="str">
        <f>IFERROR(__xludf.DUMMYFUNCTION("if($C533="""","""",iferror(if(row()&lt;&gt;2,INDEX(arrayformula(filter($H$2:$H532,$C$2:$C532&lt;&gt;"""",row($C$2:$C532)=max(if($C$2:$C532=C533,row($C$2:$C532),0)))) ,1),0),0))"),"")</f>
        <v/>
      </c>
      <c r="H533" s="170" t="str">
        <f t="shared" si="8"/>
        <v/>
      </c>
      <c r="I533" s="147" t="str">
        <f t="shared" si="1"/>
        <v/>
      </c>
      <c r="J533" s="147" t="str">
        <f t="shared" si="13"/>
        <v/>
      </c>
      <c r="K533" s="147" t="str">
        <f>IFERROR(__xludf.DUMMYFUNCTION("if(C533="""","""",iferror(if(row()&lt;&gt;2,INDEX(arrayformula(filter($L$2:$L532,$C$2:$C532&lt;&gt;"""",row($C$2:$C532)=max(if($C$2:$C532=C533,row($C$2:$C532),0)))) ,1),0),0))"),"")</f>
        <v/>
      </c>
      <c r="L533" s="147" t="str">
        <f t="shared" si="14"/>
        <v/>
      </c>
      <c r="M533" s="147" t="str">
        <f t="shared" si="15"/>
        <v/>
      </c>
      <c r="N533" s="147" t="str">
        <f t="shared" si="16"/>
        <v/>
      </c>
      <c r="O533" s="147" t="str">
        <f t="shared" si="6"/>
        <v/>
      </c>
      <c r="P533" s="150" t="str">
        <f t="shared" si="7"/>
        <v/>
      </c>
      <c r="Q533" s="151" t="str">
        <f>IFERROR(VLOOKUP(C533,Ativos!$A$1:$G2000,5,),)</f>
        <v/>
      </c>
    </row>
    <row r="534" ht="21.0" customHeight="1">
      <c r="A534" s="152"/>
      <c r="B534" s="160"/>
      <c r="C534" s="153"/>
      <c r="D534" s="169"/>
      <c r="E534" s="139"/>
      <c r="F534" s="141"/>
      <c r="G534" s="170" t="str">
        <f>IFERROR(__xludf.DUMMYFUNCTION("if($C534="""","""",iferror(if(row()&lt;&gt;2,INDEX(arrayformula(filter($H$2:$H533,$C$2:$C533&lt;&gt;"""",row($C$2:$C533)=max(if($C$2:$C533=C534,row($C$2:$C533),0)))) ,1),0),0))"),"")</f>
        <v/>
      </c>
      <c r="H534" s="170" t="str">
        <f t="shared" si="8"/>
        <v/>
      </c>
      <c r="I534" s="147" t="str">
        <f t="shared" si="1"/>
        <v/>
      </c>
      <c r="J534" s="147" t="str">
        <f t="shared" si="13"/>
        <v/>
      </c>
      <c r="K534" s="147" t="str">
        <f>IFERROR(__xludf.DUMMYFUNCTION("if(C534="""","""",iferror(if(row()&lt;&gt;2,INDEX(arrayformula(filter($L$2:$L533,$C$2:$C533&lt;&gt;"""",row($C$2:$C533)=max(if($C$2:$C533=C534,row($C$2:$C533),0)))) ,1),0),0))"),"")</f>
        <v/>
      </c>
      <c r="L534" s="147" t="str">
        <f t="shared" si="14"/>
        <v/>
      </c>
      <c r="M534" s="147" t="str">
        <f t="shared" si="15"/>
        <v/>
      </c>
      <c r="N534" s="147" t="str">
        <f t="shared" si="16"/>
        <v/>
      </c>
      <c r="O534" s="147" t="str">
        <f t="shared" si="6"/>
        <v/>
      </c>
      <c r="P534" s="150" t="str">
        <f t="shared" si="7"/>
        <v/>
      </c>
      <c r="Q534" s="151" t="str">
        <f>IFERROR(VLOOKUP(C534,Ativos!$A$1:$G2000,5,),)</f>
        <v/>
      </c>
    </row>
    <row r="535" ht="21.0" customHeight="1">
      <c r="A535" s="152"/>
      <c r="B535" s="160"/>
      <c r="C535" s="153"/>
      <c r="D535" s="169"/>
      <c r="E535" s="139"/>
      <c r="F535" s="141"/>
      <c r="G535" s="170" t="str">
        <f>IFERROR(__xludf.DUMMYFUNCTION("if($C535="""","""",iferror(if(row()&lt;&gt;2,INDEX(arrayformula(filter($H$2:$H534,$C$2:$C534&lt;&gt;"""",row($C$2:$C534)=max(if($C$2:$C534=C535,row($C$2:$C534),0)))) ,1),0),0))"),"")</f>
        <v/>
      </c>
      <c r="H535" s="170" t="str">
        <f t="shared" si="8"/>
        <v/>
      </c>
      <c r="I535" s="147" t="str">
        <f t="shared" si="1"/>
        <v/>
      </c>
      <c r="J535" s="147" t="str">
        <f t="shared" si="13"/>
        <v/>
      </c>
      <c r="K535" s="147" t="str">
        <f>IFERROR(__xludf.DUMMYFUNCTION("if(C535="""","""",iferror(if(row()&lt;&gt;2,INDEX(arrayformula(filter($L$2:$L534,$C$2:$C534&lt;&gt;"""",row($C$2:$C534)=max(if($C$2:$C534=C535,row($C$2:$C534),0)))) ,1),0),0))"),"")</f>
        <v/>
      </c>
      <c r="L535" s="147" t="str">
        <f t="shared" si="14"/>
        <v/>
      </c>
      <c r="M535" s="147" t="str">
        <f t="shared" si="15"/>
        <v/>
      </c>
      <c r="N535" s="147" t="str">
        <f t="shared" si="16"/>
        <v/>
      </c>
      <c r="O535" s="147" t="str">
        <f t="shared" si="6"/>
        <v/>
      </c>
      <c r="P535" s="150" t="str">
        <f t="shared" si="7"/>
        <v/>
      </c>
      <c r="Q535" s="151" t="str">
        <f>IFERROR(VLOOKUP(C535,Ativos!$A$1:$G2000,5,),)</f>
        <v/>
      </c>
    </row>
    <row r="536" ht="21.0" customHeight="1">
      <c r="A536" s="152"/>
      <c r="B536" s="160"/>
      <c r="C536" s="153"/>
      <c r="D536" s="169"/>
      <c r="E536" s="139"/>
      <c r="F536" s="141"/>
      <c r="G536" s="170" t="str">
        <f>IFERROR(__xludf.DUMMYFUNCTION("if($C536="""","""",iferror(if(row()&lt;&gt;2,INDEX(arrayformula(filter($H$2:$H535,$C$2:$C535&lt;&gt;"""",row($C$2:$C535)=max(if($C$2:$C535=C536,row($C$2:$C535),0)))) ,1),0),0))"),"")</f>
        <v/>
      </c>
      <c r="H536" s="170" t="str">
        <f t="shared" si="8"/>
        <v/>
      </c>
      <c r="I536" s="147" t="str">
        <f t="shared" si="1"/>
        <v/>
      </c>
      <c r="J536" s="147" t="str">
        <f t="shared" si="13"/>
        <v/>
      </c>
      <c r="K536" s="147" t="str">
        <f>IFERROR(__xludf.DUMMYFUNCTION("if(C536="""","""",iferror(if(row()&lt;&gt;2,INDEX(arrayformula(filter($L$2:$L535,$C$2:$C535&lt;&gt;"""",row($C$2:$C535)=max(if($C$2:$C535=C536,row($C$2:$C535),0)))) ,1),0),0))"),"")</f>
        <v/>
      </c>
      <c r="L536" s="147" t="str">
        <f t="shared" si="14"/>
        <v/>
      </c>
      <c r="M536" s="147" t="str">
        <f t="shared" si="15"/>
        <v/>
      </c>
      <c r="N536" s="147" t="str">
        <f t="shared" si="16"/>
        <v/>
      </c>
      <c r="O536" s="147" t="str">
        <f t="shared" si="6"/>
        <v/>
      </c>
      <c r="P536" s="150" t="str">
        <f t="shared" si="7"/>
        <v/>
      </c>
      <c r="Q536" s="151" t="str">
        <f>IFERROR(VLOOKUP(C536,Ativos!$A$1:$G2000,5,),)</f>
        <v/>
      </c>
    </row>
    <row r="537" ht="21.0" customHeight="1">
      <c r="A537" s="152"/>
      <c r="B537" s="160"/>
      <c r="C537" s="153"/>
      <c r="D537" s="169"/>
      <c r="E537" s="139"/>
      <c r="F537" s="141"/>
      <c r="G537" s="170" t="str">
        <f>IFERROR(__xludf.DUMMYFUNCTION("if($C537="""","""",iferror(if(row()&lt;&gt;2,INDEX(arrayformula(filter($H$2:$H536,$C$2:$C536&lt;&gt;"""",row($C$2:$C536)=max(if($C$2:$C536=C537,row($C$2:$C536),0)))) ,1),0),0))"),"")</f>
        <v/>
      </c>
      <c r="H537" s="170" t="str">
        <f t="shared" si="8"/>
        <v/>
      </c>
      <c r="I537" s="147" t="str">
        <f t="shared" si="1"/>
        <v/>
      </c>
      <c r="J537" s="147" t="str">
        <f t="shared" si="13"/>
        <v/>
      </c>
      <c r="K537" s="147" t="str">
        <f>IFERROR(__xludf.DUMMYFUNCTION("if(C537="""","""",iferror(if(row()&lt;&gt;2,INDEX(arrayformula(filter($L$2:$L536,$C$2:$C536&lt;&gt;"""",row($C$2:$C536)=max(if($C$2:$C536=C537,row($C$2:$C536),0)))) ,1),0),0))"),"")</f>
        <v/>
      </c>
      <c r="L537" s="147" t="str">
        <f t="shared" si="14"/>
        <v/>
      </c>
      <c r="M537" s="147" t="str">
        <f t="shared" si="15"/>
        <v/>
      </c>
      <c r="N537" s="147" t="str">
        <f t="shared" si="16"/>
        <v/>
      </c>
      <c r="O537" s="147" t="str">
        <f t="shared" si="6"/>
        <v/>
      </c>
      <c r="P537" s="150" t="str">
        <f t="shared" si="7"/>
        <v/>
      </c>
      <c r="Q537" s="151" t="str">
        <f>IFERROR(VLOOKUP(C537,Ativos!$A$1:$G2000,5,),)</f>
        <v/>
      </c>
    </row>
    <row r="538" ht="21.0" customHeight="1">
      <c r="A538" s="152"/>
      <c r="B538" s="160"/>
      <c r="C538" s="153"/>
      <c r="D538" s="169"/>
      <c r="E538" s="139"/>
      <c r="F538" s="141"/>
      <c r="G538" s="170" t="str">
        <f>IFERROR(__xludf.DUMMYFUNCTION("if($C538="""","""",iferror(if(row()&lt;&gt;2,INDEX(arrayformula(filter($H$2:$H537,$C$2:$C537&lt;&gt;"""",row($C$2:$C537)=max(if($C$2:$C537=C538,row($C$2:$C537),0)))) ,1),0),0))"),"")</f>
        <v/>
      </c>
      <c r="H538" s="170" t="str">
        <f t="shared" si="8"/>
        <v/>
      </c>
      <c r="I538" s="147" t="str">
        <f t="shared" si="1"/>
        <v/>
      </c>
      <c r="J538" s="147" t="str">
        <f t="shared" si="13"/>
        <v/>
      </c>
      <c r="K538" s="147" t="str">
        <f>IFERROR(__xludf.DUMMYFUNCTION("if(C538="""","""",iferror(if(row()&lt;&gt;2,INDEX(arrayformula(filter($L$2:$L537,$C$2:$C537&lt;&gt;"""",row($C$2:$C537)=max(if($C$2:$C537=C538,row($C$2:$C537),0)))) ,1),0),0))"),"")</f>
        <v/>
      </c>
      <c r="L538" s="147" t="str">
        <f t="shared" si="14"/>
        <v/>
      </c>
      <c r="M538" s="147" t="str">
        <f t="shared" si="15"/>
        <v/>
      </c>
      <c r="N538" s="147" t="str">
        <f t="shared" si="16"/>
        <v/>
      </c>
      <c r="O538" s="147" t="str">
        <f t="shared" si="6"/>
        <v/>
      </c>
      <c r="P538" s="150" t="str">
        <f t="shared" si="7"/>
        <v/>
      </c>
      <c r="Q538" s="151" t="str">
        <f>IFERROR(VLOOKUP(C538,Ativos!$A$1:$G2000,5,),)</f>
        <v/>
      </c>
    </row>
    <row r="539" ht="21.0" customHeight="1">
      <c r="A539" s="152"/>
      <c r="B539" s="160"/>
      <c r="C539" s="153"/>
      <c r="D539" s="169"/>
      <c r="E539" s="139"/>
      <c r="F539" s="141"/>
      <c r="G539" s="170" t="str">
        <f>IFERROR(__xludf.DUMMYFUNCTION("if($C539="""","""",iferror(if(row()&lt;&gt;2,INDEX(arrayformula(filter($H$2:$H538,$C$2:$C538&lt;&gt;"""",row($C$2:$C538)=max(if($C$2:$C538=C539,row($C$2:$C538),0)))) ,1),0),0))"),"")</f>
        <v/>
      </c>
      <c r="H539" s="170" t="str">
        <f t="shared" si="8"/>
        <v/>
      </c>
      <c r="I539" s="147" t="str">
        <f t="shared" si="1"/>
        <v/>
      </c>
      <c r="J539" s="147" t="str">
        <f t="shared" si="13"/>
        <v/>
      </c>
      <c r="K539" s="147" t="str">
        <f>IFERROR(__xludf.DUMMYFUNCTION("if(C539="""","""",iferror(if(row()&lt;&gt;2,INDEX(arrayformula(filter($L$2:$L538,$C$2:$C538&lt;&gt;"""",row($C$2:$C538)=max(if($C$2:$C538=C539,row($C$2:$C538),0)))) ,1),0),0))"),"")</f>
        <v/>
      </c>
      <c r="L539" s="147" t="str">
        <f t="shared" si="14"/>
        <v/>
      </c>
      <c r="M539" s="147" t="str">
        <f t="shared" si="15"/>
        <v/>
      </c>
      <c r="N539" s="147" t="str">
        <f t="shared" si="16"/>
        <v/>
      </c>
      <c r="O539" s="147" t="str">
        <f t="shared" si="6"/>
        <v/>
      </c>
      <c r="P539" s="150" t="str">
        <f t="shared" si="7"/>
        <v/>
      </c>
      <c r="Q539" s="151" t="str">
        <f>IFERROR(VLOOKUP(C539,Ativos!$A$1:$G2000,5,),)</f>
        <v/>
      </c>
    </row>
    <row r="540" ht="21.0" customHeight="1">
      <c r="A540" s="152"/>
      <c r="B540" s="160"/>
      <c r="C540" s="153"/>
      <c r="D540" s="169"/>
      <c r="E540" s="139"/>
      <c r="F540" s="141"/>
      <c r="G540" s="170" t="str">
        <f>IFERROR(__xludf.DUMMYFUNCTION("if($C540="""","""",iferror(if(row()&lt;&gt;2,INDEX(arrayformula(filter($H$2:$H539,$C$2:$C539&lt;&gt;"""",row($C$2:$C539)=max(if($C$2:$C539=C540,row($C$2:$C539),0)))) ,1),0),0))"),"")</f>
        <v/>
      </c>
      <c r="H540" s="170" t="str">
        <f t="shared" si="8"/>
        <v/>
      </c>
      <c r="I540" s="147" t="str">
        <f t="shared" si="1"/>
        <v/>
      </c>
      <c r="J540" s="147" t="str">
        <f t="shared" si="13"/>
        <v/>
      </c>
      <c r="K540" s="147" t="str">
        <f>IFERROR(__xludf.DUMMYFUNCTION("if(C540="""","""",iferror(if(row()&lt;&gt;2,INDEX(arrayformula(filter($L$2:$L539,$C$2:$C539&lt;&gt;"""",row($C$2:$C539)=max(if($C$2:$C539=C540,row($C$2:$C539),0)))) ,1),0),0))"),"")</f>
        <v/>
      </c>
      <c r="L540" s="147" t="str">
        <f t="shared" si="14"/>
        <v/>
      </c>
      <c r="M540" s="147" t="str">
        <f t="shared" si="15"/>
        <v/>
      </c>
      <c r="N540" s="147" t="str">
        <f t="shared" si="16"/>
        <v/>
      </c>
      <c r="O540" s="147" t="str">
        <f t="shared" si="6"/>
        <v/>
      </c>
      <c r="P540" s="150" t="str">
        <f t="shared" si="7"/>
        <v/>
      </c>
      <c r="Q540" s="151" t="str">
        <f>IFERROR(VLOOKUP(C540,Ativos!$A$1:$G2000,5,),)</f>
        <v/>
      </c>
    </row>
    <row r="541" ht="21.0" customHeight="1">
      <c r="A541" s="152"/>
      <c r="B541" s="160"/>
      <c r="C541" s="153"/>
      <c r="D541" s="169"/>
      <c r="E541" s="139"/>
      <c r="F541" s="141"/>
      <c r="G541" s="170" t="str">
        <f>IFERROR(__xludf.DUMMYFUNCTION("if($C541="""","""",iferror(if(row()&lt;&gt;2,INDEX(arrayformula(filter($H$2:$H540,$C$2:$C540&lt;&gt;"""",row($C$2:$C540)=max(if($C$2:$C540=C541,row($C$2:$C540),0)))) ,1),0),0))"),"")</f>
        <v/>
      </c>
      <c r="H541" s="170" t="str">
        <f t="shared" si="8"/>
        <v/>
      </c>
      <c r="I541" s="147" t="str">
        <f t="shared" si="1"/>
        <v/>
      </c>
      <c r="J541" s="147" t="str">
        <f t="shared" si="13"/>
        <v/>
      </c>
      <c r="K541" s="147" t="str">
        <f>IFERROR(__xludf.DUMMYFUNCTION("if(C541="""","""",iferror(if(row()&lt;&gt;2,INDEX(arrayformula(filter($L$2:$L540,$C$2:$C540&lt;&gt;"""",row($C$2:$C540)=max(if($C$2:$C540=C541,row($C$2:$C540),0)))) ,1),0),0))"),"")</f>
        <v/>
      </c>
      <c r="L541" s="147" t="str">
        <f t="shared" si="14"/>
        <v/>
      </c>
      <c r="M541" s="147" t="str">
        <f t="shared" si="15"/>
        <v/>
      </c>
      <c r="N541" s="147" t="str">
        <f t="shared" si="16"/>
        <v/>
      </c>
      <c r="O541" s="147" t="str">
        <f t="shared" si="6"/>
        <v/>
      </c>
      <c r="P541" s="150" t="str">
        <f t="shared" si="7"/>
        <v/>
      </c>
      <c r="Q541" s="151" t="str">
        <f>IFERROR(VLOOKUP(C541,Ativos!$A$1:$G2000,5,),)</f>
        <v/>
      </c>
    </row>
    <row r="542" ht="21.0" customHeight="1">
      <c r="A542" s="152"/>
      <c r="B542" s="160"/>
      <c r="C542" s="153"/>
      <c r="D542" s="169"/>
      <c r="E542" s="139"/>
      <c r="F542" s="141"/>
      <c r="G542" s="170" t="str">
        <f>IFERROR(__xludf.DUMMYFUNCTION("if($C542="""","""",iferror(if(row()&lt;&gt;2,INDEX(arrayformula(filter($H$2:$H541,$C$2:$C541&lt;&gt;"""",row($C$2:$C541)=max(if($C$2:$C541=C542,row($C$2:$C541),0)))) ,1),0),0))"),"")</f>
        <v/>
      </c>
      <c r="H542" s="170" t="str">
        <f t="shared" si="8"/>
        <v/>
      </c>
      <c r="I542" s="147" t="str">
        <f t="shared" si="1"/>
        <v/>
      </c>
      <c r="J542" s="147" t="str">
        <f t="shared" si="13"/>
        <v/>
      </c>
      <c r="K542" s="147" t="str">
        <f>IFERROR(__xludf.DUMMYFUNCTION("if(C542="""","""",iferror(if(row()&lt;&gt;2,INDEX(arrayformula(filter($L$2:$L541,$C$2:$C541&lt;&gt;"""",row($C$2:$C541)=max(if($C$2:$C541=C542,row($C$2:$C541),0)))) ,1),0),0))"),"")</f>
        <v/>
      </c>
      <c r="L542" s="147" t="str">
        <f t="shared" si="14"/>
        <v/>
      </c>
      <c r="M542" s="147" t="str">
        <f t="shared" si="15"/>
        <v/>
      </c>
      <c r="N542" s="147" t="str">
        <f t="shared" si="16"/>
        <v/>
      </c>
      <c r="O542" s="147" t="str">
        <f t="shared" si="6"/>
        <v/>
      </c>
      <c r="P542" s="150" t="str">
        <f t="shared" si="7"/>
        <v/>
      </c>
      <c r="Q542" s="151" t="str">
        <f>IFERROR(VLOOKUP(C542,Ativos!$A$1:$G2000,5,),)</f>
        <v/>
      </c>
    </row>
    <row r="543" ht="21.0" customHeight="1">
      <c r="A543" s="152"/>
      <c r="B543" s="160"/>
      <c r="C543" s="153"/>
      <c r="D543" s="169"/>
      <c r="E543" s="139"/>
      <c r="F543" s="141"/>
      <c r="G543" s="170" t="str">
        <f>IFERROR(__xludf.DUMMYFUNCTION("if($C543="""","""",iferror(if(row()&lt;&gt;2,INDEX(arrayformula(filter($H$2:$H542,$C$2:$C542&lt;&gt;"""",row($C$2:$C542)=max(if($C$2:$C542=C543,row($C$2:$C542),0)))) ,1),0),0))"),"")</f>
        <v/>
      </c>
      <c r="H543" s="170" t="str">
        <f t="shared" si="8"/>
        <v/>
      </c>
      <c r="I543" s="147" t="str">
        <f t="shared" si="1"/>
        <v/>
      </c>
      <c r="J543" s="147" t="str">
        <f t="shared" si="13"/>
        <v/>
      </c>
      <c r="K543" s="147" t="str">
        <f>IFERROR(__xludf.DUMMYFUNCTION("if(C543="""","""",iferror(if(row()&lt;&gt;2,INDEX(arrayformula(filter($L$2:$L542,$C$2:$C542&lt;&gt;"""",row($C$2:$C542)=max(if($C$2:$C542=C543,row($C$2:$C542),0)))) ,1),0),0))"),"")</f>
        <v/>
      </c>
      <c r="L543" s="147" t="str">
        <f t="shared" si="14"/>
        <v/>
      </c>
      <c r="M543" s="147" t="str">
        <f t="shared" si="15"/>
        <v/>
      </c>
      <c r="N543" s="147" t="str">
        <f t="shared" si="16"/>
        <v/>
      </c>
      <c r="O543" s="147" t="str">
        <f t="shared" si="6"/>
        <v/>
      </c>
      <c r="P543" s="150" t="str">
        <f t="shared" si="7"/>
        <v/>
      </c>
      <c r="Q543" s="151" t="str">
        <f>IFERROR(VLOOKUP(C543,Ativos!$A$1:$G2000,5,),)</f>
        <v/>
      </c>
    </row>
    <row r="544" ht="21.0" customHeight="1">
      <c r="A544" s="152"/>
      <c r="B544" s="160"/>
      <c r="C544" s="153"/>
      <c r="D544" s="169"/>
      <c r="E544" s="139"/>
      <c r="F544" s="141"/>
      <c r="G544" s="170" t="str">
        <f>IFERROR(__xludf.DUMMYFUNCTION("if($C544="""","""",iferror(if(row()&lt;&gt;2,INDEX(arrayformula(filter($H$2:$H543,$C$2:$C543&lt;&gt;"""",row($C$2:$C543)=max(if($C$2:$C543=C544,row($C$2:$C543),0)))) ,1),0),0))"),"")</f>
        <v/>
      </c>
      <c r="H544" s="170" t="str">
        <f t="shared" si="8"/>
        <v/>
      </c>
      <c r="I544" s="147" t="str">
        <f t="shared" si="1"/>
        <v/>
      </c>
      <c r="J544" s="147" t="str">
        <f t="shared" si="13"/>
        <v/>
      </c>
      <c r="K544" s="147" t="str">
        <f>IFERROR(__xludf.DUMMYFUNCTION("if(C544="""","""",iferror(if(row()&lt;&gt;2,INDEX(arrayformula(filter($L$2:$L543,$C$2:$C543&lt;&gt;"""",row($C$2:$C543)=max(if($C$2:$C543=C544,row($C$2:$C543),0)))) ,1),0),0))"),"")</f>
        <v/>
      </c>
      <c r="L544" s="147" t="str">
        <f t="shared" si="14"/>
        <v/>
      </c>
      <c r="M544" s="147" t="str">
        <f t="shared" si="15"/>
        <v/>
      </c>
      <c r="N544" s="147" t="str">
        <f t="shared" si="16"/>
        <v/>
      </c>
      <c r="O544" s="147" t="str">
        <f t="shared" si="6"/>
        <v/>
      </c>
      <c r="P544" s="150" t="str">
        <f t="shared" si="7"/>
        <v/>
      </c>
      <c r="Q544" s="151" t="str">
        <f>IFERROR(VLOOKUP(C544,Ativos!$A$1:$G2000,5,),)</f>
        <v/>
      </c>
    </row>
    <row r="545" ht="21.0" customHeight="1">
      <c r="A545" s="152"/>
      <c r="B545" s="160"/>
      <c r="C545" s="153"/>
      <c r="D545" s="169"/>
      <c r="E545" s="139"/>
      <c r="F545" s="141"/>
      <c r="G545" s="170" t="str">
        <f>IFERROR(__xludf.DUMMYFUNCTION("if($C545="""","""",iferror(if(row()&lt;&gt;2,INDEX(arrayformula(filter($H$2:$H544,$C$2:$C544&lt;&gt;"""",row($C$2:$C544)=max(if($C$2:$C544=C545,row($C$2:$C544),0)))) ,1),0),0))"),"")</f>
        <v/>
      </c>
      <c r="H545" s="170" t="str">
        <f t="shared" si="8"/>
        <v/>
      </c>
      <c r="I545" s="147" t="str">
        <f t="shared" si="1"/>
        <v/>
      </c>
      <c r="J545" s="147" t="str">
        <f t="shared" si="13"/>
        <v/>
      </c>
      <c r="K545" s="147" t="str">
        <f>IFERROR(__xludf.DUMMYFUNCTION("if(C545="""","""",iferror(if(row()&lt;&gt;2,INDEX(arrayformula(filter($L$2:$L544,$C$2:$C544&lt;&gt;"""",row($C$2:$C544)=max(if($C$2:$C544=C545,row($C$2:$C544),0)))) ,1),0),0))"),"")</f>
        <v/>
      </c>
      <c r="L545" s="147" t="str">
        <f t="shared" si="14"/>
        <v/>
      </c>
      <c r="M545" s="147" t="str">
        <f t="shared" si="15"/>
        <v/>
      </c>
      <c r="N545" s="147" t="str">
        <f t="shared" si="16"/>
        <v/>
      </c>
      <c r="O545" s="147" t="str">
        <f t="shared" si="6"/>
        <v/>
      </c>
      <c r="P545" s="150" t="str">
        <f t="shared" si="7"/>
        <v/>
      </c>
      <c r="Q545" s="151" t="str">
        <f>IFERROR(VLOOKUP(C545,Ativos!$A$1:$G2000,5,),)</f>
        <v/>
      </c>
    </row>
    <row r="546" ht="21.0" customHeight="1">
      <c r="A546" s="152"/>
      <c r="B546" s="160"/>
      <c r="C546" s="153"/>
      <c r="D546" s="169"/>
      <c r="E546" s="139"/>
      <c r="F546" s="141"/>
      <c r="G546" s="170" t="str">
        <f>IFERROR(__xludf.DUMMYFUNCTION("if($C546="""","""",iferror(if(row()&lt;&gt;2,INDEX(arrayformula(filter($H$2:$H545,$C$2:$C545&lt;&gt;"""",row($C$2:$C545)=max(if($C$2:$C545=C546,row($C$2:$C545),0)))) ,1),0),0))"),"")</f>
        <v/>
      </c>
      <c r="H546" s="170" t="str">
        <f t="shared" si="8"/>
        <v/>
      </c>
      <c r="I546" s="147" t="str">
        <f t="shared" si="1"/>
        <v/>
      </c>
      <c r="J546" s="147" t="str">
        <f t="shared" si="13"/>
        <v/>
      </c>
      <c r="K546" s="147" t="str">
        <f>IFERROR(__xludf.DUMMYFUNCTION("if(C546="""","""",iferror(if(row()&lt;&gt;2,INDEX(arrayformula(filter($L$2:$L545,$C$2:$C545&lt;&gt;"""",row($C$2:$C545)=max(if($C$2:$C545=C546,row($C$2:$C545),0)))) ,1),0),0))"),"")</f>
        <v/>
      </c>
      <c r="L546" s="147" t="str">
        <f t="shared" si="14"/>
        <v/>
      </c>
      <c r="M546" s="147" t="str">
        <f t="shared" si="15"/>
        <v/>
      </c>
      <c r="N546" s="147" t="str">
        <f t="shared" si="16"/>
        <v/>
      </c>
      <c r="O546" s="147" t="str">
        <f t="shared" si="6"/>
        <v/>
      </c>
      <c r="P546" s="150" t="str">
        <f t="shared" si="7"/>
        <v/>
      </c>
      <c r="Q546" s="151" t="str">
        <f>IFERROR(VLOOKUP(C546,Ativos!$A$1:$G2000,5,),)</f>
        <v/>
      </c>
    </row>
    <row r="547" ht="21.0" customHeight="1">
      <c r="A547" s="152"/>
      <c r="B547" s="160"/>
      <c r="C547" s="153"/>
      <c r="D547" s="169"/>
      <c r="E547" s="139"/>
      <c r="F547" s="141"/>
      <c r="G547" s="170" t="str">
        <f>IFERROR(__xludf.DUMMYFUNCTION("if($C547="""","""",iferror(if(row()&lt;&gt;2,INDEX(arrayformula(filter($H$2:$H546,$C$2:$C546&lt;&gt;"""",row($C$2:$C546)=max(if($C$2:$C546=C547,row($C$2:$C546),0)))) ,1),0),0))"),"")</f>
        <v/>
      </c>
      <c r="H547" s="170" t="str">
        <f t="shared" si="8"/>
        <v/>
      </c>
      <c r="I547" s="147" t="str">
        <f t="shared" si="1"/>
        <v/>
      </c>
      <c r="J547" s="147" t="str">
        <f t="shared" si="13"/>
        <v/>
      </c>
      <c r="K547" s="147" t="str">
        <f>IFERROR(__xludf.DUMMYFUNCTION("if(C547="""","""",iferror(if(row()&lt;&gt;2,INDEX(arrayformula(filter($L$2:$L546,$C$2:$C546&lt;&gt;"""",row($C$2:$C546)=max(if($C$2:$C546=C547,row($C$2:$C546),0)))) ,1),0),0))"),"")</f>
        <v/>
      </c>
      <c r="L547" s="147" t="str">
        <f t="shared" si="14"/>
        <v/>
      </c>
      <c r="M547" s="147" t="str">
        <f t="shared" si="15"/>
        <v/>
      </c>
      <c r="N547" s="147" t="str">
        <f t="shared" si="16"/>
        <v/>
      </c>
      <c r="O547" s="147" t="str">
        <f t="shared" si="6"/>
        <v/>
      </c>
      <c r="P547" s="150" t="str">
        <f t="shared" si="7"/>
        <v/>
      </c>
      <c r="Q547" s="151" t="str">
        <f>IFERROR(VLOOKUP(C547,Ativos!$A$1:$G2000,5,),)</f>
        <v/>
      </c>
    </row>
    <row r="548" ht="21.0" customHeight="1">
      <c r="A548" s="152"/>
      <c r="B548" s="160"/>
      <c r="C548" s="153"/>
      <c r="D548" s="169"/>
      <c r="E548" s="139"/>
      <c r="F548" s="141"/>
      <c r="G548" s="170" t="str">
        <f>IFERROR(__xludf.DUMMYFUNCTION("if($C548="""","""",iferror(if(row()&lt;&gt;2,INDEX(arrayformula(filter($H$2:$H547,$C$2:$C547&lt;&gt;"""",row($C$2:$C547)=max(if($C$2:$C547=C548,row($C$2:$C547),0)))) ,1),0),0))"),"")</f>
        <v/>
      </c>
      <c r="H548" s="170" t="str">
        <f t="shared" si="8"/>
        <v/>
      </c>
      <c r="I548" s="147" t="str">
        <f t="shared" si="1"/>
        <v/>
      </c>
      <c r="J548" s="147" t="str">
        <f t="shared" si="13"/>
        <v/>
      </c>
      <c r="K548" s="147" t="str">
        <f>IFERROR(__xludf.DUMMYFUNCTION("if(C548="""","""",iferror(if(row()&lt;&gt;2,INDEX(arrayformula(filter($L$2:$L547,$C$2:$C547&lt;&gt;"""",row($C$2:$C547)=max(if($C$2:$C547=C548,row($C$2:$C547),0)))) ,1),0),0))"),"")</f>
        <v/>
      </c>
      <c r="L548" s="147" t="str">
        <f t="shared" si="14"/>
        <v/>
      </c>
      <c r="M548" s="147" t="str">
        <f t="shared" si="15"/>
        <v/>
      </c>
      <c r="N548" s="147" t="str">
        <f t="shared" si="16"/>
        <v/>
      </c>
      <c r="O548" s="147" t="str">
        <f t="shared" si="6"/>
        <v/>
      </c>
      <c r="P548" s="150" t="str">
        <f t="shared" si="7"/>
        <v/>
      </c>
      <c r="Q548" s="151" t="str">
        <f>IFERROR(VLOOKUP(C548,Ativos!$A$1:$G2000,5,),)</f>
        <v/>
      </c>
    </row>
    <row r="549" ht="21.0" customHeight="1">
      <c r="A549" s="152"/>
      <c r="B549" s="160"/>
      <c r="C549" s="153"/>
      <c r="D549" s="169"/>
      <c r="E549" s="139"/>
      <c r="F549" s="141"/>
      <c r="G549" s="170" t="str">
        <f>IFERROR(__xludf.DUMMYFUNCTION("if($C549="""","""",iferror(if(row()&lt;&gt;2,INDEX(arrayformula(filter($H$2:$H548,$C$2:$C548&lt;&gt;"""",row($C$2:$C548)=max(if($C$2:$C548=C549,row($C$2:$C548),0)))) ,1),0),0))"),"")</f>
        <v/>
      </c>
      <c r="H549" s="170" t="str">
        <f t="shared" si="8"/>
        <v/>
      </c>
      <c r="I549" s="147" t="str">
        <f t="shared" si="1"/>
        <v/>
      </c>
      <c r="J549" s="147" t="str">
        <f t="shared" si="13"/>
        <v/>
      </c>
      <c r="K549" s="147" t="str">
        <f>IFERROR(__xludf.DUMMYFUNCTION("if(C549="""","""",iferror(if(row()&lt;&gt;2,INDEX(arrayformula(filter($L$2:$L548,$C$2:$C548&lt;&gt;"""",row($C$2:$C548)=max(if($C$2:$C548=C549,row($C$2:$C548),0)))) ,1),0),0))"),"")</f>
        <v/>
      </c>
      <c r="L549" s="147" t="str">
        <f t="shared" si="14"/>
        <v/>
      </c>
      <c r="M549" s="147" t="str">
        <f t="shared" si="15"/>
        <v/>
      </c>
      <c r="N549" s="147" t="str">
        <f t="shared" si="16"/>
        <v/>
      </c>
      <c r="O549" s="147" t="str">
        <f t="shared" si="6"/>
        <v/>
      </c>
      <c r="P549" s="150" t="str">
        <f t="shared" si="7"/>
        <v/>
      </c>
      <c r="Q549" s="151" t="str">
        <f>IFERROR(VLOOKUP(C549,Ativos!$A$1:$G2000,5,),)</f>
        <v/>
      </c>
    </row>
    <row r="550" ht="21.0" customHeight="1">
      <c r="A550" s="152"/>
      <c r="B550" s="160"/>
      <c r="C550" s="153"/>
      <c r="D550" s="169"/>
      <c r="E550" s="139"/>
      <c r="F550" s="141"/>
      <c r="G550" s="170" t="str">
        <f>IFERROR(__xludf.DUMMYFUNCTION("if($C550="""","""",iferror(if(row()&lt;&gt;2,INDEX(arrayformula(filter($H$2:$H549,$C$2:$C549&lt;&gt;"""",row($C$2:$C549)=max(if($C$2:$C549=C550,row($C$2:$C549),0)))) ,1),0),0))"),"")</f>
        <v/>
      </c>
      <c r="H550" s="170" t="str">
        <f t="shared" si="8"/>
        <v/>
      </c>
      <c r="I550" s="147" t="str">
        <f t="shared" si="1"/>
        <v/>
      </c>
      <c r="J550" s="147" t="str">
        <f t="shared" si="13"/>
        <v/>
      </c>
      <c r="K550" s="147" t="str">
        <f>IFERROR(__xludf.DUMMYFUNCTION("if(C550="""","""",iferror(if(row()&lt;&gt;2,INDEX(arrayformula(filter($L$2:$L549,$C$2:$C549&lt;&gt;"""",row($C$2:$C549)=max(if($C$2:$C549=C550,row($C$2:$C549),0)))) ,1),0),0))"),"")</f>
        <v/>
      </c>
      <c r="L550" s="147" t="str">
        <f t="shared" si="14"/>
        <v/>
      </c>
      <c r="M550" s="147" t="str">
        <f t="shared" si="15"/>
        <v/>
      </c>
      <c r="N550" s="147" t="str">
        <f t="shared" si="16"/>
        <v/>
      </c>
      <c r="O550" s="147" t="str">
        <f t="shared" si="6"/>
        <v/>
      </c>
      <c r="P550" s="150" t="str">
        <f t="shared" si="7"/>
        <v/>
      </c>
      <c r="Q550" s="151" t="str">
        <f>IFERROR(VLOOKUP(C550,Ativos!$A$1:$G2000,5,),)</f>
        <v/>
      </c>
    </row>
    <row r="551" ht="21.0" customHeight="1">
      <c r="A551" s="152"/>
      <c r="B551" s="160"/>
      <c r="C551" s="153"/>
      <c r="D551" s="169"/>
      <c r="E551" s="139"/>
      <c r="F551" s="141"/>
      <c r="G551" s="170" t="str">
        <f>IFERROR(__xludf.DUMMYFUNCTION("if($C551="""","""",iferror(if(row()&lt;&gt;2,INDEX(arrayformula(filter($H$2:$H550,$C$2:$C550&lt;&gt;"""",row($C$2:$C550)=max(if($C$2:$C550=C551,row($C$2:$C550),0)))) ,1),0),0))"),"")</f>
        <v/>
      </c>
      <c r="H551" s="170" t="str">
        <f t="shared" si="8"/>
        <v/>
      </c>
      <c r="I551" s="147" t="str">
        <f t="shared" si="1"/>
        <v/>
      </c>
      <c r="J551" s="147" t="str">
        <f t="shared" si="13"/>
        <v/>
      </c>
      <c r="K551" s="147" t="str">
        <f>IFERROR(__xludf.DUMMYFUNCTION("if(C551="""","""",iferror(if(row()&lt;&gt;2,INDEX(arrayformula(filter($L$2:$L550,$C$2:$C550&lt;&gt;"""",row($C$2:$C550)=max(if($C$2:$C550=C551,row($C$2:$C550),0)))) ,1),0),0))"),"")</f>
        <v/>
      </c>
      <c r="L551" s="147" t="str">
        <f t="shared" si="14"/>
        <v/>
      </c>
      <c r="M551" s="147" t="str">
        <f t="shared" si="15"/>
        <v/>
      </c>
      <c r="N551" s="147" t="str">
        <f t="shared" si="16"/>
        <v/>
      </c>
      <c r="O551" s="147" t="str">
        <f t="shared" si="6"/>
        <v/>
      </c>
      <c r="P551" s="150" t="str">
        <f t="shared" si="7"/>
        <v/>
      </c>
      <c r="Q551" s="151" t="str">
        <f>IFERROR(VLOOKUP(C551,Ativos!$A$1:$G2000,5,),)</f>
        <v/>
      </c>
    </row>
    <row r="552" ht="21.0" customHeight="1">
      <c r="A552" s="152"/>
      <c r="B552" s="160"/>
      <c r="C552" s="153"/>
      <c r="D552" s="169"/>
      <c r="E552" s="139"/>
      <c r="F552" s="141"/>
      <c r="G552" s="170" t="str">
        <f>IFERROR(__xludf.DUMMYFUNCTION("if($C552="""","""",iferror(if(row()&lt;&gt;2,INDEX(arrayformula(filter($H$2:$H551,$C$2:$C551&lt;&gt;"""",row($C$2:$C551)=max(if($C$2:$C551=C552,row($C$2:$C551),0)))) ,1),0),0))"),"")</f>
        <v/>
      </c>
      <c r="H552" s="170" t="str">
        <f t="shared" si="8"/>
        <v/>
      </c>
      <c r="I552" s="147" t="str">
        <f t="shared" si="1"/>
        <v/>
      </c>
      <c r="J552" s="147" t="str">
        <f t="shared" si="13"/>
        <v/>
      </c>
      <c r="K552" s="147" t="str">
        <f>IFERROR(__xludf.DUMMYFUNCTION("if(C552="""","""",iferror(if(row()&lt;&gt;2,INDEX(arrayformula(filter($L$2:$L551,$C$2:$C551&lt;&gt;"""",row($C$2:$C551)=max(if($C$2:$C551=C552,row($C$2:$C551),0)))) ,1),0),0))"),"")</f>
        <v/>
      </c>
      <c r="L552" s="147" t="str">
        <f t="shared" si="14"/>
        <v/>
      </c>
      <c r="M552" s="147" t="str">
        <f t="shared" si="15"/>
        <v/>
      </c>
      <c r="N552" s="147" t="str">
        <f t="shared" si="16"/>
        <v/>
      </c>
      <c r="O552" s="147" t="str">
        <f t="shared" si="6"/>
        <v/>
      </c>
      <c r="P552" s="150" t="str">
        <f t="shared" si="7"/>
        <v/>
      </c>
      <c r="Q552" s="151" t="str">
        <f>IFERROR(VLOOKUP(C552,Ativos!$A$1:$G2000,5,),)</f>
        <v/>
      </c>
    </row>
    <row r="553" ht="21.0" customHeight="1">
      <c r="A553" s="152"/>
      <c r="B553" s="160"/>
      <c r="C553" s="153"/>
      <c r="D553" s="169"/>
      <c r="E553" s="139"/>
      <c r="F553" s="141"/>
      <c r="G553" s="170" t="str">
        <f>IFERROR(__xludf.DUMMYFUNCTION("if($C553="""","""",iferror(if(row()&lt;&gt;2,INDEX(arrayformula(filter($H$2:$H552,$C$2:$C552&lt;&gt;"""",row($C$2:$C552)=max(if($C$2:$C552=C553,row($C$2:$C552),0)))) ,1),0),0))"),"")</f>
        <v/>
      </c>
      <c r="H553" s="170" t="str">
        <f t="shared" si="8"/>
        <v/>
      </c>
      <c r="I553" s="147" t="str">
        <f t="shared" si="1"/>
        <v/>
      </c>
      <c r="J553" s="147" t="str">
        <f t="shared" si="13"/>
        <v/>
      </c>
      <c r="K553" s="147" t="str">
        <f>IFERROR(__xludf.DUMMYFUNCTION("if(C553="""","""",iferror(if(row()&lt;&gt;2,INDEX(arrayformula(filter($L$2:$L552,$C$2:$C552&lt;&gt;"""",row($C$2:$C552)=max(if($C$2:$C552=C553,row($C$2:$C552),0)))) ,1),0),0))"),"")</f>
        <v/>
      </c>
      <c r="L553" s="147" t="str">
        <f t="shared" si="14"/>
        <v/>
      </c>
      <c r="M553" s="147" t="str">
        <f t="shared" si="15"/>
        <v/>
      </c>
      <c r="N553" s="147" t="str">
        <f t="shared" si="16"/>
        <v/>
      </c>
      <c r="O553" s="147" t="str">
        <f t="shared" si="6"/>
        <v/>
      </c>
      <c r="P553" s="150" t="str">
        <f t="shared" si="7"/>
        <v/>
      </c>
      <c r="Q553" s="151" t="str">
        <f>IFERROR(VLOOKUP(C553,Ativos!$A$1:$G2000,5,),)</f>
        <v/>
      </c>
    </row>
    <row r="554" ht="21.0" customHeight="1">
      <c r="A554" s="152"/>
      <c r="B554" s="160"/>
      <c r="C554" s="153"/>
      <c r="D554" s="169"/>
      <c r="E554" s="139"/>
      <c r="F554" s="141"/>
      <c r="G554" s="170" t="str">
        <f>IFERROR(__xludf.DUMMYFUNCTION("if($C554="""","""",iferror(if(row()&lt;&gt;2,INDEX(arrayformula(filter($H$2:$H553,$C$2:$C553&lt;&gt;"""",row($C$2:$C553)=max(if($C$2:$C553=C554,row($C$2:$C553),0)))) ,1),0),0))"),"")</f>
        <v/>
      </c>
      <c r="H554" s="170" t="str">
        <f t="shared" si="8"/>
        <v/>
      </c>
      <c r="I554" s="147" t="str">
        <f t="shared" si="1"/>
        <v/>
      </c>
      <c r="J554" s="147" t="str">
        <f t="shared" si="13"/>
        <v/>
      </c>
      <c r="K554" s="147" t="str">
        <f>IFERROR(__xludf.DUMMYFUNCTION("if(C554="""","""",iferror(if(row()&lt;&gt;2,INDEX(arrayformula(filter($L$2:$L553,$C$2:$C553&lt;&gt;"""",row($C$2:$C553)=max(if($C$2:$C553=C554,row($C$2:$C553),0)))) ,1),0),0))"),"")</f>
        <v/>
      </c>
      <c r="L554" s="147" t="str">
        <f t="shared" si="14"/>
        <v/>
      </c>
      <c r="M554" s="147" t="str">
        <f t="shared" si="15"/>
        <v/>
      </c>
      <c r="N554" s="147" t="str">
        <f t="shared" si="16"/>
        <v/>
      </c>
      <c r="O554" s="147" t="str">
        <f t="shared" si="6"/>
        <v/>
      </c>
      <c r="P554" s="150" t="str">
        <f t="shared" si="7"/>
        <v/>
      </c>
      <c r="Q554" s="151" t="str">
        <f>IFERROR(VLOOKUP(C554,Ativos!$A$1:$G2000,5,),)</f>
        <v/>
      </c>
    </row>
    <row r="555" ht="21.0" customHeight="1">
      <c r="A555" s="152"/>
      <c r="B555" s="160"/>
      <c r="C555" s="153"/>
      <c r="D555" s="169"/>
      <c r="E555" s="139"/>
      <c r="F555" s="141"/>
      <c r="G555" s="170" t="str">
        <f>IFERROR(__xludf.DUMMYFUNCTION("if($C555="""","""",iferror(if(row()&lt;&gt;2,INDEX(arrayformula(filter($H$2:$H554,$C$2:$C554&lt;&gt;"""",row($C$2:$C554)=max(if($C$2:$C554=C555,row($C$2:$C554),0)))) ,1),0),0))"),"")</f>
        <v/>
      </c>
      <c r="H555" s="170" t="str">
        <f t="shared" si="8"/>
        <v/>
      </c>
      <c r="I555" s="147" t="str">
        <f t="shared" si="1"/>
        <v/>
      </c>
      <c r="J555" s="147" t="str">
        <f t="shared" si="13"/>
        <v/>
      </c>
      <c r="K555" s="147" t="str">
        <f>IFERROR(__xludf.DUMMYFUNCTION("if(C555="""","""",iferror(if(row()&lt;&gt;2,INDEX(arrayformula(filter($L$2:$L554,$C$2:$C554&lt;&gt;"""",row($C$2:$C554)=max(if($C$2:$C554=C555,row($C$2:$C554),0)))) ,1),0),0))"),"")</f>
        <v/>
      </c>
      <c r="L555" s="147" t="str">
        <f t="shared" si="14"/>
        <v/>
      </c>
      <c r="M555" s="147" t="str">
        <f t="shared" si="15"/>
        <v/>
      </c>
      <c r="N555" s="147" t="str">
        <f t="shared" si="16"/>
        <v/>
      </c>
      <c r="O555" s="147" t="str">
        <f t="shared" si="6"/>
        <v/>
      </c>
      <c r="P555" s="150" t="str">
        <f t="shared" si="7"/>
        <v/>
      </c>
      <c r="Q555" s="151" t="str">
        <f>IFERROR(VLOOKUP(C555,Ativos!$A$1:$G2000,5,),)</f>
        <v/>
      </c>
    </row>
    <row r="556" ht="21.0" customHeight="1">
      <c r="A556" s="152"/>
      <c r="B556" s="160"/>
      <c r="C556" s="153"/>
      <c r="D556" s="169"/>
      <c r="E556" s="139"/>
      <c r="F556" s="141"/>
      <c r="G556" s="170" t="str">
        <f>IFERROR(__xludf.DUMMYFUNCTION("if($C556="""","""",iferror(if(row()&lt;&gt;2,INDEX(arrayformula(filter($H$2:$H555,$C$2:$C555&lt;&gt;"""",row($C$2:$C555)=max(if($C$2:$C555=C556,row($C$2:$C555),0)))) ,1),0),0))"),"")</f>
        <v/>
      </c>
      <c r="H556" s="170" t="str">
        <f t="shared" si="8"/>
        <v/>
      </c>
      <c r="I556" s="147" t="str">
        <f t="shared" si="1"/>
        <v/>
      </c>
      <c r="J556" s="147" t="str">
        <f t="shared" si="13"/>
        <v/>
      </c>
      <c r="K556" s="147" t="str">
        <f>IFERROR(__xludf.DUMMYFUNCTION("if(C556="""","""",iferror(if(row()&lt;&gt;2,INDEX(arrayformula(filter($L$2:$L555,$C$2:$C555&lt;&gt;"""",row($C$2:$C555)=max(if($C$2:$C555=C556,row($C$2:$C555),0)))) ,1),0),0))"),"")</f>
        <v/>
      </c>
      <c r="L556" s="147" t="str">
        <f t="shared" si="14"/>
        <v/>
      </c>
      <c r="M556" s="147" t="str">
        <f t="shared" si="15"/>
        <v/>
      </c>
      <c r="N556" s="147" t="str">
        <f t="shared" si="16"/>
        <v/>
      </c>
      <c r="O556" s="147" t="str">
        <f t="shared" si="6"/>
        <v/>
      </c>
      <c r="P556" s="150" t="str">
        <f t="shared" si="7"/>
        <v/>
      </c>
      <c r="Q556" s="151" t="str">
        <f>IFERROR(VLOOKUP(C556,Ativos!$A$1:$G2000,5,),)</f>
        <v/>
      </c>
    </row>
    <row r="557" ht="21.0" customHeight="1">
      <c r="A557" s="152"/>
      <c r="B557" s="160"/>
      <c r="C557" s="153"/>
      <c r="D557" s="169"/>
      <c r="E557" s="139"/>
      <c r="F557" s="141"/>
      <c r="G557" s="170" t="str">
        <f>IFERROR(__xludf.DUMMYFUNCTION("if($C557="""","""",iferror(if(row()&lt;&gt;2,INDEX(arrayformula(filter($H$2:$H556,$C$2:$C556&lt;&gt;"""",row($C$2:$C556)=max(if($C$2:$C556=C557,row($C$2:$C556),0)))) ,1),0),0))"),"")</f>
        <v/>
      </c>
      <c r="H557" s="170" t="str">
        <f t="shared" si="8"/>
        <v/>
      </c>
      <c r="I557" s="147" t="str">
        <f t="shared" si="1"/>
        <v/>
      </c>
      <c r="J557" s="147" t="str">
        <f t="shared" si="13"/>
        <v/>
      </c>
      <c r="K557" s="147" t="str">
        <f>IFERROR(__xludf.DUMMYFUNCTION("if(C557="""","""",iferror(if(row()&lt;&gt;2,INDEX(arrayformula(filter($L$2:$L556,$C$2:$C556&lt;&gt;"""",row($C$2:$C556)=max(if($C$2:$C556=C557,row($C$2:$C556),0)))) ,1),0),0))"),"")</f>
        <v/>
      </c>
      <c r="L557" s="147" t="str">
        <f t="shared" si="14"/>
        <v/>
      </c>
      <c r="M557" s="147" t="str">
        <f t="shared" si="15"/>
        <v/>
      </c>
      <c r="N557" s="147" t="str">
        <f t="shared" si="16"/>
        <v/>
      </c>
      <c r="O557" s="147" t="str">
        <f t="shared" si="6"/>
        <v/>
      </c>
      <c r="P557" s="150" t="str">
        <f t="shared" si="7"/>
        <v/>
      </c>
      <c r="Q557" s="151" t="str">
        <f>IFERROR(VLOOKUP(C557,Ativos!$A$1:$G2000,5,),)</f>
        <v/>
      </c>
    </row>
    <row r="558" ht="21.0" customHeight="1">
      <c r="A558" s="152"/>
      <c r="B558" s="160"/>
      <c r="C558" s="153"/>
      <c r="D558" s="169"/>
      <c r="E558" s="139"/>
      <c r="F558" s="141"/>
      <c r="G558" s="170" t="str">
        <f>IFERROR(__xludf.DUMMYFUNCTION("if($C558="""","""",iferror(if(row()&lt;&gt;2,INDEX(arrayformula(filter($H$2:$H557,$C$2:$C557&lt;&gt;"""",row($C$2:$C557)=max(if($C$2:$C557=C558,row($C$2:$C557),0)))) ,1),0),0))"),"")</f>
        <v/>
      </c>
      <c r="H558" s="170" t="str">
        <f t="shared" si="8"/>
        <v/>
      </c>
      <c r="I558" s="147" t="str">
        <f t="shared" si="1"/>
        <v/>
      </c>
      <c r="J558" s="147" t="str">
        <f t="shared" si="13"/>
        <v/>
      </c>
      <c r="K558" s="147" t="str">
        <f>IFERROR(__xludf.DUMMYFUNCTION("if(C558="""","""",iferror(if(row()&lt;&gt;2,INDEX(arrayformula(filter($L$2:$L557,$C$2:$C557&lt;&gt;"""",row($C$2:$C557)=max(if($C$2:$C557=C558,row($C$2:$C557),0)))) ,1),0),0))"),"")</f>
        <v/>
      </c>
      <c r="L558" s="147" t="str">
        <f t="shared" si="14"/>
        <v/>
      </c>
      <c r="M558" s="147" t="str">
        <f t="shared" si="15"/>
        <v/>
      </c>
      <c r="N558" s="147" t="str">
        <f t="shared" si="16"/>
        <v/>
      </c>
      <c r="O558" s="147" t="str">
        <f t="shared" si="6"/>
        <v/>
      </c>
      <c r="P558" s="150" t="str">
        <f t="shared" si="7"/>
        <v/>
      </c>
      <c r="Q558" s="151" t="str">
        <f>IFERROR(VLOOKUP(C558,Ativos!$A$1:$G2000,5,),)</f>
        <v/>
      </c>
    </row>
    <row r="559" ht="21.0" customHeight="1">
      <c r="A559" s="152"/>
      <c r="B559" s="160"/>
      <c r="C559" s="153"/>
      <c r="D559" s="169"/>
      <c r="E559" s="139"/>
      <c r="F559" s="141"/>
      <c r="G559" s="170" t="str">
        <f>IFERROR(__xludf.DUMMYFUNCTION("if($C559="""","""",iferror(if(row()&lt;&gt;2,INDEX(arrayformula(filter($H$2:$H558,$C$2:$C558&lt;&gt;"""",row($C$2:$C558)=max(if($C$2:$C558=C559,row($C$2:$C558),0)))) ,1),0),0))"),"")</f>
        <v/>
      </c>
      <c r="H559" s="170" t="str">
        <f t="shared" si="8"/>
        <v/>
      </c>
      <c r="I559" s="147" t="str">
        <f t="shared" si="1"/>
        <v/>
      </c>
      <c r="J559" s="147" t="str">
        <f t="shared" si="13"/>
        <v/>
      </c>
      <c r="K559" s="147" t="str">
        <f>IFERROR(__xludf.DUMMYFUNCTION("if(C559="""","""",iferror(if(row()&lt;&gt;2,INDEX(arrayformula(filter($L$2:$L558,$C$2:$C558&lt;&gt;"""",row($C$2:$C558)=max(if($C$2:$C558=C559,row($C$2:$C558),0)))) ,1),0),0))"),"")</f>
        <v/>
      </c>
      <c r="L559" s="147" t="str">
        <f t="shared" si="14"/>
        <v/>
      </c>
      <c r="M559" s="147" t="str">
        <f t="shared" si="15"/>
        <v/>
      </c>
      <c r="N559" s="147" t="str">
        <f t="shared" si="16"/>
        <v/>
      </c>
      <c r="O559" s="147" t="str">
        <f t="shared" si="6"/>
        <v/>
      </c>
      <c r="P559" s="150" t="str">
        <f t="shared" si="7"/>
        <v/>
      </c>
      <c r="Q559" s="151" t="str">
        <f>IFERROR(VLOOKUP(C559,Ativos!$A$1:$G2000,5,),)</f>
        <v/>
      </c>
    </row>
    <row r="560" ht="21.0" customHeight="1">
      <c r="A560" s="152"/>
      <c r="B560" s="160"/>
      <c r="C560" s="153"/>
      <c r="D560" s="169"/>
      <c r="E560" s="139"/>
      <c r="F560" s="141"/>
      <c r="G560" s="170" t="str">
        <f>IFERROR(__xludf.DUMMYFUNCTION("if($C560="""","""",iferror(if(row()&lt;&gt;2,INDEX(arrayformula(filter($H$2:$H559,$C$2:$C559&lt;&gt;"""",row($C$2:$C559)=max(if($C$2:$C559=C560,row($C$2:$C559),0)))) ,1),0),0))"),"")</f>
        <v/>
      </c>
      <c r="H560" s="170" t="str">
        <f t="shared" si="8"/>
        <v/>
      </c>
      <c r="I560" s="147" t="str">
        <f t="shared" si="1"/>
        <v/>
      </c>
      <c r="J560" s="147" t="str">
        <f t="shared" si="13"/>
        <v/>
      </c>
      <c r="K560" s="147" t="str">
        <f>IFERROR(__xludf.DUMMYFUNCTION("if(C560="""","""",iferror(if(row()&lt;&gt;2,INDEX(arrayformula(filter($L$2:$L559,$C$2:$C559&lt;&gt;"""",row($C$2:$C559)=max(if($C$2:$C559=C560,row($C$2:$C559),0)))) ,1),0),0))"),"")</f>
        <v/>
      </c>
      <c r="L560" s="147" t="str">
        <f t="shared" si="14"/>
        <v/>
      </c>
      <c r="M560" s="147" t="str">
        <f t="shared" si="15"/>
        <v/>
      </c>
      <c r="N560" s="147" t="str">
        <f t="shared" si="16"/>
        <v/>
      </c>
      <c r="O560" s="147" t="str">
        <f t="shared" si="6"/>
        <v/>
      </c>
      <c r="P560" s="150" t="str">
        <f t="shared" si="7"/>
        <v/>
      </c>
      <c r="Q560" s="151" t="str">
        <f>IFERROR(VLOOKUP(C560,Ativos!$A$1:$G2000,5,),)</f>
        <v/>
      </c>
    </row>
    <row r="561" ht="21.0" customHeight="1">
      <c r="A561" s="152"/>
      <c r="B561" s="160"/>
      <c r="C561" s="153"/>
      <c r="D561" s="169"/>
      <c r="E561" s="139"/>
      <c r="F561" s="141"/>
      <c r="G561" s="170" t="str">
        <f>IFERROR(__xludf.DUMMYFUNCTION("if($C561="""","""",iferror(if(row()&lt;&gt;2,INDEX(arrayformula(filter($H$2:$H560,$C$2:$C560&lt;&gt;"""",row($C$2:$C560)=max(if($C$2:$C560=C561,row($C$2:$C560),0)))) ,1),0),0))"),"")</f>
        <v/>
      </c>
      <c r="H561" s="170" t="str">
        <f t="shared" si="8"/>
        <v/>
      </c>
      <c r="I561" s="147" t="str">
        <f t="shared" si="1"/>
        <v/>
      </c>
      <c r="J561" s="147" t="str">
        <f t="shared" si="13"/>
        <v/>
      </c>
      <c r="K561" s="147" t="str">
        <f>IFERROR(__xludf.DUMMYFUNCTION("if(C561="""","""",iferror(if(row()&lt;&gt;2,INDEX(arrayformula(filter($L$2:$L560,$C$2:$C560&lt;&gt;"""",row($C$2:$C560)=max(if($C$2:$C560=C561,row($C$2:$C560),0)))) ,1),0),0))"),"")</f>
        <v/>
      </c>
      <c r="L561" s="147" t="str">
        <f t="shared" si="14"/>
        <v/>
      </c>
      <c r="M561" s="147" t="str">
        <f t="shared" si="15"/>
        <v/>
      </c>
      <c r="N561" s="147" t="str">
        <f t="shared" si="16"/>
        <v/>
      </c>
      <c r="O561" s="147" t="str">
        <f t="shared" si="6"/>
        <v/>
      </c>
      <c r="P561" s="150" t="str">
        <f t="shared" si="7"/>
        <v/>
      </c>
      <c r="Q561" s="151" t="str">
        <f>IFERROR(VLOOKUP(C561,Ativos!$A$1:$G2000,5,),)</f>
        <v/>
      </c>
    </row>
    <row r="562" ht="21.0" customHeight="1">
      <c r="A562" s="152"/>
      <c r="B562" s="160"/>
      <c r="C562" s="153"/>
      <c r="D562" s="169"/>
      <c r="E562" s="139"/>
      <c r="F562" s="141"/>
      <c r="G562" s="170" t="str">
        <f>IFERROR(__xludf.DUMMYFUNCTION("if($C562="""","""",iferror(if(row()&lt;&gt;2,INDEX(arrayformula(filter($H$2:$H561,$C$2:$C561&lt;&gt;"""",row($C$2:$C561)=max(if($C$2:$C561=C562,row($C$2:$C561),0)))) ,1),0),0))"),"")</f>
        <v/>
      </c>
      <c r="H562" s="170" t="str">
        <f t="shared" si="8"/>
        <v/>
      </c>
      <c r="I562" s="147" t="str">
        <f t="shared" si="1"/>
        <v/>
      </c>
      <c r="J562" s="147" t="str">
        <f t="shared" si="13"/>
        <v/>
      </c>
      <c r="K562" s="147" t="str">
        <f>IFERROR(__xludf.DUMMYFUNCTION("if(C562="""","""",iferror(if(row()&lt;&gt;2,INDEX(arrayformula(filter($L$2:$L561,$C$2:$C561&lt;&gt;"""",row($C$2:$C561)=max(if($C$2:$C561=C562,row($C$2:$C561),0)))) ,1),0),0))"),"")</f>
        <v/>
      </c>
      <c r="L562" s="147" t="str">
        <f t="shared" si="14"/>
        <v/>
      </c>
      <c r="M562" s="147" t="str">
        <f t="shared" si="15"/>
        <v/>
      </c>
      <c r="N562" s="147" t="str">
        <f t="shared" si="16"/>
        <v/>
      </c>
      <c r="O562" s="147" t="str">
        <f t="shared" si="6"/>
        <v/>
      </c>
      <c r="P562" s="150" t="str">
        <f t="shared" si="7"/>
        <v/>
      </c>
      <c r="Q562" s="151" t="str">
        <f>IFERROR(VLOOKUP(C562,Ativos!$A$1:$G2000,5,),)</f>
        <v/>
      </c>
    </row>
    <row r="563" ht="21.0" customHeight="1">
      <c r="A563" s="152"/>
      <c r="B563" s="160"/>
      <c r="C563" s="153"/>
      <c r="D563" s="169"/>
      <c r="E563" s="139"/>
      <c r="F563" s="141"/>
      <c r="G563" s="170" t="str">
        <f>IFERROR(__xludf.DUMMYFUNCTION("if($C563="""","""",iferror(if(row()&lt;&gt;2,INDEX(arrayformula(filter($H$2:$H562,$C$2:$C562&lt;&gt;"""",row($C$2:$C562)=max(if($C$2:$C562=C563,row($C$2:$C562),0)))) ,1),0),0))"),"")</f>
        <v/>
      </c>
      <c r="H563" s="170" t="str">
        <f t="shared" si="8"/>
        <v/>
      </c>
      <c r="I563" s="147" t="str">
        <f t="shared" si="1"/>
        <v/>
      </c>
      <c r="J563" s="147" t="str">
        <f t="shared" si="13"/>
        <v/>
      </c>
      <c r="K563" s="147" t="str">
        <f>IFERROR(__xludf.DUMMYFUNCTION("if(C563="""","""",iferror(if(row()&lt;&gt;2,INDEX(arrayformula(filter($L$2:$L562,$C$2:$C562&lt;&gt;"""",row($C$2:$C562)=max(if($C$2:$C562=C563,row($C$2:$C562),0)))) ,1),0),0))"),"")</f>
        <v/>
      </c>
      <c r="L563" s="147" t="str">
        <f t="shared" si="14"/>
        <v/>
      </c>
      <c r="M563" s="147" t="str">
        <f t="shared" si="15"/>
        <v/>
      </c>
      <c r="N563" s="147" t="str">
        <f t="shared" si="16"/>
        <v/>
      </c>
      <c r="O563" s="147" t="str">
        <f t="shared" si="6"/>
        <v/>
      </c>
      <c r="P563" s="150" t="str">
        <f t="shared" si="7"/>
        <v/>
      </c>
      <c r="Q563" s="151" t="str">
        <f>IFERROR(VLOOKUP(C563,Ativos!$A$1:$G2000,5,),)</f>
        <v/>
      </c>
    </row>
    <row r="564" ht="21.0" customHeight="1">
      <c r="A564" s="152"/>
      <c r="B564" s="160"/>
      <c r="C564" s="153"/>
      <c r="D564" s="169"/>
      <c r="E564" s="139"/>
      <c r="F564" s="141"/>
      <c r="G564" s="170" t="str">
        <f>IFERROR(__xludf.DUMMYFUNCTION("if($C564="""","""",iferror(if(row()&lt;&gt;2,INDEX(arrayformula(filter($H$2:$H563,$C$2:$C563&lt;&gt;"""",row($C$2:$C563)=max(if($C$2:$C563=C564,row($C$2:$C563),0)))) ,1),0),0))"),"")</f>
        <v/>
      </c>
      <c r="H564" s="170" t="str">
        <f t="shared" si="8"/>
        <v/>
      </c>
      <c r="I564" s="147" t="str">
        <f t="shared" si="1"/>
        <v/>
      </c>
      <c r="J564" s="147" t="str">
        <f t="shared" si="13"/>
        <v/>
      </c>
      <c r="K564" s="147" t="str">
        <f>IFERROR(__xludf.DUMMYFUNCTION("if(C564="""","""",iferror(if(row()&lt;&gt;2,INDEX(arrayformula(filter($L$2:$L563,$C$2:$C563&lt;&gt;"""",row($C$2:$C563)=max(if($C$2:$C563=C564,row($C$2:$C563),0)))) ,1),0),0))"),"")</f>
        <v/>
      </c>
      <c r="L564" s="147" t="str">
        <f t="shared" si="14"/>
        <v/>
      </c>
      <c r="M564" s="147" t="str">
        <f t="shared" si="15"/>
        <v/>
      </c>
      <c r="N564" s="147" t="str">
        <f t="shared" si="16"/>
        <v/>
      </c>
      <c r="O564" s="147" t="str">
        <f t="shared" si="6"/>
        <v/>
      </c>
      <c r="P564" s="150" t="str">
        <f t="shared" si="7"/>
        <v/>
      </c>
      <c r="Q564" s="151" t="str">
        <f>IFERROR(VLOOKUP(C564,Ativos!$A$1:$G2000,5,),)</f>
        <v/>
      </c>
    </row>
    <row r="565" ht="21.0" customHeight="1">
      <c r="A565" s="152"/>
      <c r="B565" s="160"/>
      <c r="C565" s="153"/>
      <c r="D565" s="169"/>
      <c r="E565" s="139"/>
      <c r="F565" s="141"/>
      <c r="G565" s="170" t="str">
        <f>IFERROR(__xludf.DUMMYFUNCTION("if($C565="""","""",iferror(if(row()&lt;&gt;2,INDEX(arrayformula(filter($H$2:$H564,$C$2:$C564&lt;&gt;"""",row($C$2:$C564)=max(if($C$2:$C564=C565,row($C$2:$C564),0)))) ,1),0),0))"),"")</f>
        <v/>
      </c>
      <c r="H565" s="170" t="str">
        <f t="shared" si="8"/>
        <v/>
      </c>
      <c r="I565" s="147" t="str">
        <f t="shared" si="1"/>
        <v/>
      </c>
      <c r="J565" s="147" t="str">
        <f t="shared" si="13"/>
        <v/>
      </c>
      <c r="K565" s="147" t="str">
        <f>IFERROR(__xludf.DUMMYFUNCTION("if(C565="""","""",iferror(if(row()&lt;&gt;2,INDEX(arrayformula(filter($L$2:$L564,$C$2:$C564&lt;&gt;"""",row($C$2:$C564)=max(if($C$2:$C564=C565,row($C$2:$C564),0)))) ,1),0),0))"),"")</f>
        <v/>
      </c>
      <c r="L565" s="147" t="str">
        <f t="shared" si="14"/>
        <v/>
      </c>
      <c r="M565" s="147" t="str">
        <f t="shared" si="15"/>
        <v/>
      </c>
      <c r="N565" s="147" t="str">
        <f t="shared" si="16"/>
        <v/>
      </c>
      <c r="O565" s="147" t="str">
        <f t="shared" si="6"/>
        <v/>
      </c>
      <c r="P565" s="150" t="str">
        <f t="shared" si="7"/>
        <v/>
      </c>
      <c r="Q565" s="151" t="str">
        <f>IFERROR(VLOOKUP(C565,Ativos!$A$1:$G2000,5,),)</f>
        <v/>
      </c>
    </row>
    <row r="566" ht="21.0" customHeight="1">
      <c r="A566" s="152"/>
      <c r="B566" s="160"/>
      <c r="C566" s="153"/>
      <c r="D566" s="169"/>
      <c r="E566" s="139"/>
      <c r="F566" s="141"/>
      <c r="G566" s="170" t="str">
        <f>IFERROR(__xludf.DUMMYFUNCTION("if($C566="""","""",iferror(if(row()&lt;&gt;2,INDEX(arrayformula(filter($H$2:$H565,$C$2:$C565&lt;&gt;"""",row($C$2:$C565)=max(if($C$2:$C565=C566,row($C$2:$C565),0)))) ,1),0),0))"),"")</f>
        <v/>
      </c>
      <c r="H566" s="170" t="str">
        <f t="shared" si="8"/>
        <v/>
      </c>
      <c r="I566" s="147" t="str">
        <f t="shared" si="1"/>
        <v/>
      </c>
      <c r="J566" s="147" t="str">
        <f t="shared" si="13"/>
        <v/>
      </c>
      <c r="K566" s="147" t="str">
        <f>IFERROR(__xludf.DUMMYFUNCTION("if(C566="""","""",iferror(if(row()&lt;&gt;2,INDEX(arrayformula(filter($L$2:$L565,$C$2:$C565&lt;&gt;"""",row($C$2:$C565)=max(if($C$2:$C565=C566,row($C$2:$C565),0)))) ,1),0),0))"),"")</f>
        <v/>
      </c>
      <c r="L566" s="147" t="str">
        <f t="shared" si="14"/>
        <v/>
      </c>
      <c r="M566" s="147" t="str">
        <f t="shared" si="15"/>
        <v/>
      </c>
      <c r="N566" s="147" t="str">
        <f t="shared" si="16"/>
        <v/>
      </c>
      <c r="O566" s="147" t="str">
        <f t="shared" si="6"/>
        <v/>
      </c>
      <c r="P566" s="150" t="str">
        <f t="shared" si="7"/>
        <v/>
      </c>
      <c r="Q566" s="151" t="str">
        <f>IFERROR(VLOOKUP(C566,Ativos!$A$1:$G2000,5,),)</f>
        <v/>
      </c>
    </row>
    <row r="567" ht="21.0" customHeight="1">
      <c r="A567" s="152"/>
      <c r="B567" s="160"/>
      <c r="C567" s="153"/>
      <c r="D567" s="169"/>
      <c r="E567" s="139"/>
      <c r="F567" s="141"/>
      <c r="G567" s="170" t="str">
        <f>IFERROR(__xludf.DUMMYFUNCTION("if($C567="""","""",iferror(if(row()&lt;&gt;2,INDEX(arrayformula(filter($H$2:$H566,$C$2:$C566&lt;&gt;"""",row($C$2:$C566)=max(if($C$2:$C566=C567,row($C$2:$C566),0)))) ,1),0),0))"),"")</f>
        <v/>
      </c>
      <c r="H567" s="170" t="str">
        <f t="shared" si="8"/>
        <v/>
      </c>
      <c r="I567" s="147" t="str">
        <f t="shared" si="1"/>
        <v/>
      </c>
      <c r="J567" s="147" t="str">
        <f t="shared" si="13"/>
        <v/>
      </c>
      <c r="K567" s="147" t="str">
        <f>IFERROR(__xludf.DUMMYFUNCTION("if(C567="""","""",iferror(if(row()&lt;&gt;2,INDEX(arrayformula(filter($L$2:$L566,$C$2:$C566&lt;&gt;"""",row($C$2:$C566)=max(if($C$2:$C566=C567,row($C$2:$C566),0)))) ,1),0),0))"),"")</f>
        <v/>
      </c>
      <c r="L567" s="147" t="str">
        <f t="shared" si="14"/>
        <v/>
      </c>
      <c r="M567" s="147" t="str">
        <f t="shared" si="15"/>
        <v/>
      </c>
      <c r="N567" s="147" t="str">
        <f t="shared" si="16"/>
        <v/>
      </c>
      <c r="O567" s="147" t="str">
        <f t="shared" si="6"/>
        <v/>
      </c>
      <c r="P567" s="150" t="str">
        <f t="shared" si="7"/>
        <v/>
      </c>
      <c r="Q567" s="151" t="str">
        <f>IFERROR(VLOOKUP(C567,Ativos!$A$1:$G2000,5,),)</f>
        <v/>
      </c>
    </row>
    <row r="568" ht="21.0" customHeight="1">
      <c r="A568" s="152"/>
      <c r="B568" s="160"/>
      <c r="C568" s="153"/>
      <c r="D568" s="169"/>
      <c r="E568" s="139"/>
      <c r="F568" s="141"/>
      <c r="G568" s="170" t="str">
        <f>IFERROR(__xludf.DUMMYFUNCTION("if($C568="""","""",iferror(if(row()&lt;&gt;2,INDEX(arrayformula(filter($H$2:$H567,$C$2:$C567&lt;&gt;"""",row($C$2:$C567)=max(if($C$2:$C567=C568,row($C$2:$C567),0)))) ,1),0),0))"),"")</f>
        <v/>
      </c>
      <c r="H568" s="170" t="str">
        <f t="shared" si="8"/>
        <v/>
      </c>
      <c r="I568" s="147" t="str">
        <f t="shared" si="1"/>
        <v/>
      </c>
      <c r="J568" s="147" t="str">
        <f t="shared" si="13"/>
        <v/>
      </c>
      <c r="K568" s="147" t="str">
        <f>IFERROR(__xludf.DUMMYFUNCTION("if(C568="""","""",iferror(if(row()&lt;&gt;2,INDEX(arrayformula(filter($L$2:$L567,$C$2:$C567&lt;&gt;"""",row($C$2:$C567)=max(if($C$2:$C567=C568,row($C$2:$C567),0)))) ,1),0),0))"),"")</f>
        <v/>
      </c>
      <c r="L568" s="147" t="str">
        <f t="shared" si="14"/>
        <v/>
      </c>
      <c r="M568" s="147" t="str">
        <f t="shared" si="15"/>
        <v/>
      </c>
      <c r="N568" s="147" t="str">
        <f t="shared" si="16"/>
        <v/>
      </c>
      <c r="O568" s="147" t="str">
        <f t="shared" si="6"/>
        <v/>
      </c>
      <c r="P568" s="150" t="str">
        <f t="shared" si="7"/>
        <v/>
      </c>
      <c r="Q568" s="151" t="str">
        <f>IFERROR(VLOOKUP(C568,Ativos!$A$1:$G2000,5,),)</f>
        <v/>
      </c>
    </row>
    <row r="569" ht="21.0" customHeight="1">
      <c r="A569" s="152"/>
      <c r="B569" s="160"/>
      <c r="C569" s="153"/>
      <c r="D569" s="169"/>
      <c r="E569" s="139"/>
      <c r="F569" s="141"/>
      <c r="G569" s="170" t="str">
        <f>IFERROR(__xludf.DUMMYFUNCTION("if($C569="""","""",iferror(if(row()&lt;&gt;2,INDEX(arrayformula(filter($H$2:$H568,$C$2:$C568&lt;&gt;"""",row($C$2:$C568)=max(if($C$2:$C568=C569,row($C$2:$C568),0)))) ,1),0),0))"),"")</f>
        <v/>
      </c>
      <c r="H569" s="170" t="str">
        <f t="shared" si="8"/>
        <v/>
      </c>
      <c r="I569" s="147" t="str">
        <f t="shared" si="1"/>
        <v/>
      </c>
      <c r="J569" s="147" t="str">
        <f t="shared" si="13"/>
        <v/>
      </c>
      <c r="K569" s="147" t="str">
        <f>IFERROR(__xludf.DUMMYFUNCTION("if(C569="""","""",iferror(if(row()&lt;&gt;2,INDEX(arrayformula(filter($L$2:$L568,$C$2:$C568&lt;&gt;"""",row($C$2:$C568)=max(if($C$2:$C568=C569,row($C$2:$C568),0)))) ,1),0),0))"),"")</f>
        <v/>
      </c>
      <c r="L569" s="147" t="str">
        <f t="shared" si="14"/>
        <v/>
      </c>
      <c r="M569" s="147" t="str">
        <f t="shared" si="15"/>
        <v/>
      </c>
      <c r="N569" s="147" t="str">
        <f t="shared" si="16"/>
        <v/>
      </c>
      <c r="O569" s="147" t="str">
        <f t="shared" si="6"/>
        <v/>
      </c>
      <c r="P569" s="150" t="str">
        <f t="shared" si="7"/>
        <v/>
      </c>
      <c r="Q569" s="151" t="str">
        <f>IFERROR(VLOOKUP(C569,Ativos!$A$1:$G2000,5,),)</f>
        <v/>
      </c>
    </row>
    <row r="570" ht="21.0" customHeight="1">
      <c r="A570" s="152"/>
      <c r="B570" s="160"/>
      <c r="C570" s="153"/>
      <c r="D570" s="169"/>
      <c r="E570" s="139"/>
      <c r="F570" s="141"/>
      <c r="G570" s="170" t="str">
        <f>IFERROR(__xludf.DUMMYFUNCTION("if($C570="""","""",iferror(if(row()&lt;&gt;2,INDEX(arrayformula(filter($H$2:$H569,$C$2:$C569&lt;&gt;"""",row($C$2:$C569)=max(if($C$2:$C569=C570,row($C$2:$C569),0)))) ,1),0),0))"),"")</f>
        <v/>
      </c>
      <c r="H570" s="170" t="str">
        <f t="shared" si="8"/>
        <v/>
      </c>
      <c r="I570" s="147" t="str">
        <f t="shared" si="1"/>
        <v/>
      </c>
      <c r="J570" s="147" t="str">
        <f t="shared" si="13"/>
        <v/>
      </c>
      <c r="K570" s="147" t="str">
        <f>IFERROR(__xludf.DUMMYFUNCTION("if(C570="""","""",iferror(if(row()&lt;&gt;2,INDEX(arrayformula(filter($L$2:$L569,$C$2:$C569&lt;&gt;"""",row($C$2:$C569)=max(if($C$2:$C569=C570,row($C$2:$C569),0)))) ,1),0),0))"),"")</f>
        <v/>
      </c>
      <c r="L570" s="147" t="str">
        <f t="shared" si="14"/>
        <v/>
      </c>
      <c r="M570" s="147" t="str">
        <f t="shared" si="15"/>
        <v/>
      </c>
      <c r="N570" s="147" t="str">
        <f t="shared" si="16"/>
        <v/>
      </c>
      <c r="O570" s="147" t="str">
        <f t="shared" si="6"/>
        <v/>
      </c>
      <c r="P570" s="150" t="str">
        <f t="shared" si="7"/>
        <v/>
      </c>
      <c r="Q570" s="151" t="str">
        <f>IFERROR(VLOOKUP(C570,Ativos!$A$1:$G2000,5,),)</f>
        <v/>
      </c>
    </row>
    <row r="571" ht="21.0" customHeight="1">
      <c r="A571" s="152"/>
      <c r="B571" s="160"/>
      <c r="C571" s="153"/>
      <c r="D571" s="169"/>
      <c r="E571" s="139"/>
      <c r="F571" s="141"/>
      <c r="G571" s="170" t="str">
        <f>IFERROR(__xludf.DUMMYFUNCTION("if($C571="""","""",iferror(if(row()&lt;&gt;2,INDEX(arrayformula(filter($H$2:$H570,$C$2:$C570&lt;&gt;"""",row($C$2:$C570)=max(if($C$2:$C570=C571,row($C$2:$C570),0)))) ,1),0),0))"),"")</f>
        <v/>
      </c>
      <c r="H571" s="170" t="str">
        <f t="shared" si="8"/>
        <v/>
      </c>
      <c r="I571" s="147" t="str">
        <f t="shared" si="1"/>
        <v/>
      </c>
      <c r="J571" s="147" t="str">
        <f t="shared" si="13"/>
        <v/>
      </c>
      <c r="K571" s="147" t="str">
        <f>IFERROR(__xludf.DUMMYFUNCTION("if(C571="""","""",iferror(if(row()&lt;&gt;2,INDEX(arrayformula(filter($L$2:$L570,$C$2:$C570&lt;&gt;"""",row($C$2:$C570)=max(if($C$2:$C570=C571,row($C$2:$C570),0)))) ,1),0),0))"),"")</f>
        <v/>
      </c>
      <c r="L571" s="147" t="str">
        <f t="shared" si="14"/>
        <v/>
      </c>
      <c r="M571" s="147" t="str">
        <f t="shared" si="15"/>
        <v/>
      </c>
      <c r="N571" s="147" t="str">
        <f t="shared" si="16"/>
        <v/>
      </c>
      <c r="O571" s="147" t="str">
        <f t="shared" si="6"/>
        <v/>
      </c>
      <c r="P571" s="150" t="str">
        <f t="shared" si="7"/>
        <v/>
      </c>
      <c r="Q571" s="151" t="str">
        <f>IFERROR(VLOOKUP(C571,Ativos!$A$1:$G2000,5,),)</f>
        <v/>
      </c>
    </row>
    <row r="572" ht="21.0" customHeight="1">
      <c r="A572" s="152"/>
      <c r="B572" s="160"/>
      <c r="C572" s="153"/>
      <c r="D572" s="169"/>
      <c r="E572" s="139"/>
      <c r="F572" s="141"/>
      <c r="G572" s="170" t="str">
        <f>IFERROR(__xludf.DUMMYFUNCTION("if($C572="""","""",iferror(if(row()&lt;&gt;2,INDEX(arrayformula(filter($H$2:$H571,$C$2:$C571&lt;&gt;"""",row($C$2:$C571)=max(if($C$2:$C571=C572,row($C$2:$C571),0)))) ,1),0),0))"),"")</f>
        <v/>
      </c>
      <c r="H572" s="170" t="str">
        <f t="shared" si="8"/>
        <v/>
      </c>
      <c r="I572" s="147" t="str">
        <f t="shared" si="1"/>
        <v/>
      </c>
      <c r="J572" s="147" t="str">
        <f t="shared" si="13"/>
        <v/>
      </c>
      <c r="K572" s="147" t="str">
        <f>IFERROR(__xludf.DUMMYFUNCTION("if(C572="""","""",iferror(if(row()&lt;&gt;2,INDEX(arrayformula(filter($L$2:$L571,$C$2:$C571&lt;&gt;"""",row($C$2:$C571)=max(if($C$2:$C571=C572,row($C$2:$C571),0)))) ,1),0),0))"),"")</f>
        <v/>
      </c>
      <c r="L572" s="147" t="str">
        <f t="shared" si="14"/>
        <v/>
      </c>
      <c r="M572" s="147" t="str">
        <f t="shared" si="15"/>
        <v/>
      </c>
      <c r="N572" s="147" t="str">
        <f t="shared" si="16"/>
        <v/>
      </c>
      <c r="O572" s="147" t="str">
        <f t="shared" si="6"/>
        <v/>
      </c>
      <c r="P572" s="150" t="str">
        <f t="shared" si="7"/>
        <v/>
      </c>
      <c r="Q572" s="151" t="str">
        <f>IFERROR(VLOOKUP(C572,Ativos!$A$1:$G2000,5,),)</f>
        <v/>
      </c>
    </row>
    <row r="573" ht="21.0" customHeight="1">
      <c r="A573" s="152"/>
      <c r="B573" s="160"/>
      <c r="C573" s="153"/>
      <c r="D573" s="169"/>
      <c r="E573" s="139"/>
      <c r="F573" s="141"/>
      <c r="G573" s="170" t="str">
        <f>IFERROR(__xludf.DUMMYFUNCTION("if($C573="""","""",iferror(if(row()&lt;&gt;2,INDEX(arrayformula(filter($H$2:$H572,$C$2:$C572&lt;&gt;"""",row($C$2:$C572)=max(if($C$2:$C572=C573,row($C$2:$C572),0)))) ,1),0),0))"),"")</f>
        <v/>
      </c>
      <c r="H573" s="170" t="str">
        <f t="shared" si="8"/>
        <v/>
      </c>
      <c r="I573" s="147" t="str">
        <f t="shared" si="1"/>
        <v/>
      </c>
      <c r="J573" s="147" t="str">
        <f t="shared" si="13"/>
        <v/>
      </c>
      <c r="K573" s="147" t="str">
        <f>IFERROR(__xludf.DUMMYFUNCTION("if(C573="""","""",iferror(if(row()&lt;&gt;2,INDEX(arrayformula(filter($L$2:$L572,$C$2:$C572&lt;&gt;"""",row($C$2:$C572)=max(if($C$2:$C572=C573,row($C$2:$C572),0)))) ,1),0),0))"),"")</f>
        <v/>
      </c>
      <c r="L573" s="147" t="str">
        <f t="shared" si="14"/>
        <v/>
      </c>
      <c r="M573" s="147" t="str">
        <f t="shared" si="15"/>
        <v/>
      </c>
      <c r="N573" s="147" t="str">
        <f t="shared" si="16"/>
        <v/>
      </c>
      <c r="O573" s="147" t="str">
        <f t="shared" si="6"/>
        <v/>
      </c>
      <c r="P573" s="150" t="str">
        <f t="shared" si="7"/>
        <v/>
      </c>
      <c r="Q573" s="151" t="str">
        <f>IFERROR(VLOOKUP(C573,Ativos!$A$1:$G2000,5,),)</f>
        <v/>
      </c>
    </row>
    <row r="574" ht="21.0" customHeight="1">
      <c r="A574" s="152"/>
      <c r="B574" s="160"/>
      <c r="C574" s="153"/>
      <c r="D574" s="169"/>
      <c r="E574" s="139"/>
      <c r="F574" s="141"/>
      <c r="G574" s="170" t="str">
        <f>IFERROR(__xludf.DUMMYFUNCTION("if($C574="""","""",iferror(if(row()&lt;&gt;2,INDEX(arrayformula(filter($H$2:$H573,$C$2:$C573&lt;&gt;"""",row($C$2:$C573)=max(if($C$2:$C573=C574,row($C$2:$C573),0)))) ,1),0),0))"),"")</f>
        <v/>
      </c>
      <c r="H574" s="170" t="str">
        <f t="shared" si="8"/>
        <v/>
      </c>
      <c r="I574" s="147" t="str">
        <f t="shared" si="1"/>
        <v/>
      </c>
      <c r="J574" s="147" t="str">
        <f t="shared" si="13"/>
        <v/>
      </c>
      <c r="K574" s="147" t="str">
        <f>IFERROR(__xludf.DUMMYFUNCTION("if(C574="""","""",iferror(if(row()&lt;&gt;2,INDEX(arrayformula(filter($L$2:$L573,$C$2:$C573&lt;&gt;"""",row($C$2:$C573)=max(if($C$2:$C573=C574,row($C$2:$C573),0)))) ,1),0),0))"),"")</f>
        <v/>
      </c>
      <c r="L574" s="147" t="str">
        <f t="shared" si="14"/>
        <v/>
      </c>
      <c r="M574" s="147" t="str">
        <f t="shared" si="15"/>
        <v/>
      </c>
      <c r="N574" s="147" t="str">
        <f t="shared" si="16"/>
        <v/>
      </c>
      <c r="O574" s="147" t="str">
        <f t="shared" si="6"/>
        <v/>
      </c>
      <c r="P574" s="150" t="str">
        <f t="shared" si="7"/>
        <v/>
      </c>
      <c r="Q574" s="151" t="str">
        <f>IFERROR(VLOOKUP(C574,Ativos!$A$1:$G2000,5,),)</f>
        <v/>
      </c>
    </row>
    <row r="575" ht="21.0" customHeight="1">
      <c r="A575" s="152"/>
      <c r="B575" s="160"/>
      <c r="C575" s="153"/>
      <c r="D575" s="169"/>
      <c r="E575" s="139"/>
      <c r="F575" s="141"/>
      <c r="G575" s="170" t="str">
        <f>IFERROR(__xludf.DUMMYFUNCTION("if($C575="""","""",iferror(if(row()&lt;&gt;2,INDEX(arrayformula(filter($H$2:$H574,$C$2:$C574&lt;&gt;"""",row($C$2:$C574)=max(if($C$2:$C574=C575,row($C$2:$C574),0)))) ,1),0),0))"),"")</f>
        <v/>
      </c>
      <c r="H575" s="170" t="str">
        <f t="shared" si="8"/>
        <v/>
      </c>
      <c r="I575" s="147" t="str">
        <f t="shared" si="1"/>
        <v/>
      </c>
      <c r="J575" s="147" t="str">
        <f t="shared" si="13"/>
        <v/>
      </c>
      <c r="K575" s="147" t="str">
        <f>IFERROR(__xludf.DUMMYFUNCTION("if(C575="""","""",iferror(if(row()&lt;&gt;2,INDEX(arrayformula(filter($L$2:$L574,$C$2:$C574&lt;&gt;"""",row($C$2:$C574)=max(if($C$2:$C574=C575,row($C$2:$C574),0)))) ,1),0),0))"),"")</f>
        <v/>
      </c>
      <c r="L575" s="147" t="str">
        <f t="shared" si="14"/>
        <v/>
      </c>
      <c r="M575" s="147" t="str">
        <f t="shared" si="15"/>
        <v/>
      </c>
      <c r="N575" s="147" t="str">
        <f t="shared" si="16"/>
        <v/>
      </c>
      <c r="O575" s="147" t="str">
        <f t="shared" si="6"/>
        <v/>
      </c>
      <c r="P575" s="150" t="str">
        <f t="shared" si="7"/>
        <v/>
      </c>
      <c r="Q575" s="151" t="str">
        <f>IFERROR(VLOOKUP(C575,Ativos!$A$1:$G2000,5,),)</f>
        <v/>
      </c>
    </row>
    <row r="576" ht="21.0" customHeight="1">
      <c r="A576" s="152"/>
      <c r="B576" s="160"/>
      <c r="C576" s="153"/>
      <c r="D576" s="169"/>
      <c r="E576" s="139"/>
      <c r="F576" s="141"/>
      <c r="G576" s="170" t="str">
        <f>IFERROR(__xludf.DUMMYFUNCTION("if($C576="""","""",iferror(if(row()&lt;&gt;2,INDEX(arrayformula(filter($H$2:$H575,$C$2:$C575&lt;&gt;"""",row($C$2:$C575)=max(if($C$2:$C575=C576,row($C$2:$C575),0)))) ,1),0),0))"),"")</f>
        <v/>
      </c>
      <c r="H576" s="170" t="str">
        <f t="shared" si="8"/>
        <v/>
      </c>
      <c r="I576" s="147" t="str">
        <f t="shared" si="1"/>
        <v/>
      </c>
      <c r="J576" s="147" t="str">
        <f t="shared" si="13"/>
        <v/>
      </c>
      <c r="K576" s="147" t="str">
        <f>IFERROR(__xludf.DUMMYFUNCTION("if(C576="""","""",iferror(if(row()&lt;&gt;2,INDEX(arrayformula(filter($L$2:$L575,$C$2:$C575&lt;&gt;"""",row($C$2:$C575)=max(if($C$2:$C575=C576,row($C$2:$C575),0)))) ,1),0),0))"),"")</f>
        <v/>
      </c>
      <c r="L576" s="147" t="str">
        <f t="shared" si="14"/>
        <v/>
      </c>
      <c r="M576" s="147" t="str">
        <f t="shared" si="15"/>
        <v/>
      </c>
      <c r="N576" s="147" t="str">
        <f t="shared" si="16"/>
        <v/>
      </c>
      <c r="O576" s="147" t="str">
        <f t="shared" si="6"/>
        <v/>
      </c>
      <c r="P576" s="150" t="str">
        <f t="shared" si="7"/>
        <v/>
      </c>
      <c r="Q576" s="151" t="str">
        <f>IFERROR(VLOOKUP(C576,Ativos!$A$1:$G2000,5,),)</f>
        <v/>
      </c>
    </row>
    <row r="577" ht="21.0" customHeight="1">
      <c r="A577" s="152"/>
      <c r="B577" s="160"/>
      <c r="C577" s="153"/>
      <c r="D577" s="169"/>
      <c r="E577" s="139"/>
      <c r="F577" s="141"/>
      <c r="G577" s="170" t="str">
        <f>IFERROR(__xludf.DUMMYFUNCTION("if($C577="""","""",iferror(if(row()&lt;&gt;2,INDEX(arrayformula(filter($H$2:$H576,$C$2:$C576&lt;&gt;"""",row($C$2:$C576)=max(if($C$2:$C576=C577,row($C$2:$C576),0)))) ,1),0),0))"),"")</f>
        <v/>
      </c>
      <c r="H577" s="170" t="str">
        <f t="shared" si="8"/>
        <v/>
      </c>
      <c r="I577" s="147" t="str">
        <f t="shared" si="1"/>
        <v/>
      </c>
      <c r="J577" s="147" t="str">
        <f t="shared" si="13"/>
        <v/>
      </c>
      <c r="K577" s="147" t="str">
        <f>IFERROR(__xludf.DUMMYFUNCTION("if(C577="""","""",iferror(if(row()&lt;&gt;2,INDEX(arrayformula(filter($L$2:$L576,$C$2:$C576&lt;&gt;"""",row($C$2:$C576)=max(if($C$2:$C576=C577,row($C$2:$C576),0)))) ,1),0),0))"),"")</f>
        <v/>
      </c>
      <c r="L577" s="147" t="str">
        <f t="shared" si="14"/>
        <v/>
      </c>
      <c r="M577" s="147" t="str">
        <f t="shared" si="15"/>
        <v/>
      </c>
      <c r="N577" s="147" t="str">
        <f t="shared" si="16"/>
        <v/>
      </c>
      <c r="O577" s="147" t="str">
        <f t="shared" si="6"/>
        <v/>
      </c>
      <c r="P577" s="150" t="str">
        <f t="shared" si="7"/>
        <v/>
      </c>
      <c r="Q577" s="151" t="str">
        <f>IFERROR(VLOOKUP(C577,Ativos!$A$1:$G2000,5,),)</f>
        <v/>
      </c>
    </row>
    <row r="578" ht="21.0" customHeight="1">
      <c r="A578" s="152"/>
      <c r="B578" s="160"/>
      <c r="C578" s="153"/>
      <c r="D578" s="169"/>
      <c r="E578" s="139"/>
      <c r="F578" s="141"/>
      <c r="G578" s="170" t="str">
        <f>IFERROR(__xludf.DUMMYFUNCTION("if($C578="""","""",iferror(if(row()&lt;&gt;2,INDEX(arrayformula(filter($H$2:$H577,$C$2:$C577&lt;&gt;"""",row($C$2:$C577)=max(if($C$2:$C577=C578,row($C$2:$C577),0)))) ,1),0),0))"),"")</f>
        <v/>
      </c>
      <c r="H578" s="170" t="str">
        <f t="shared" si="8"/>
        <v/>
      </c>
      <c r="I578" s="147" t="str">
        <f t="shared" si="1"/>
        <v/>
      </c>
      <c r="J578" s="147" t="str">
        <f t="shared" si="13"/>
        <v/>
      </c>
      <c r="K578" s="147" t="str">
        <f>IFERROR(__xludf.DUMMYFUNCTION("if(C578="""","""",iferror(if(row()&lt;&gt;2,INDEX(arrayformula(filter($L$2:$L577,$C$2:$C577&lt;&gt;"""",row($C$2:$C577)=max(if($C$2:$C577=C578,row($C$2:$C577),0)))) ,1),0),0))"),"")</f>
        <v/>
      </c>
      <c r="L578" s="147" t="str">
        <f t="shared" si="14"/>
        <v/>
      </c>
      <c r="M578" s="147" t="str">
        <f t="shared" si="15"/>
        <v/>
      </c>
      <c r="N578" s="147" t="str">
        <f t="shared" si="16"/>
        <v/>
      </c>
      <c r="O578" s="147" t="str">
        <f t="shared" si="6"/>
        <v/>
      </c>
      <c r="P578" s="150" t="str">
        <f t="shared" si="7"/>
        <v/>
      </c>
      <c r="Q578" s="151" t="str">
        <f>IFERROR(VLOOKUP(C578,Ativos!$A$1:$G2000,5,),)</f>
        <v/>
      </c>
    </row>
    <row r="579" ht="21.0" customHeight="1">
      <c r="A579" s="152"/>
      <c r="B579" s="160"/>
      <c r="C579" s="153"/>
      <c r="D579" s="169"/>
      <c r="E579" s="139"/>
      <c r="F579" s="141"/>
      <c r="G579" s="170" t="str">
        <f>IFERROR(__xludf.DUMMYFUNCTION("if($C579="""","""",iferror(if(row()&lt;&gt;2,INDEX(arrayformula(filter($H$2:$H578,$C$2:$C578&lt;&gt;"""",row($C$2:$C578)=max(if($C$2:$C578=C579,row($C$2:$C578),0)))) ,1),0),0))"),"")</f>
        <v/>
      </c>
      <c r="H579" s="170" t="str">
        <f t="shared" si="8"/>
        <v/>
      </c>
      <c r="I579" s="147" t="str">
        <f t="shared" si="1"/>
        <v/>
      </c>
      <c r="J579" s="147" t="str">
        <f t="shared" si="13"/>
        <v/>
      </c>
      <c r="K579" s="147" t="str">
        <f>IFERROR(__xludf.DUMMYFUNCTION("if(C579="""","""",iferror(if(row()&lt;&gt;2,INDEX(arrayformula(filter($L$2:$L578,$C$2:$C578&lt;&gt;"""",row($C$2:$C578)=max(if($C$2:$C578=C579,row($C$2:$C578),0)))) ,1),0),0))"),"")</f>
        <v/>
      </c>
      <c r="L579" s="147" t="str">
        <f t="shared" si="14"/>
        <v/>
      </c>
      <c r="M579" s="147" t="str">
        <f t="shared" si="15"/>
        <v/>
      </c>
      <c r="N579" s="147" t="str">
        <f t="shared" si="16"/>
        <v/>
      </c>
      <c r="O579" s="147" t="str">
        <f t="shared" si="6"/>
        <v/>
      </c>
      <c r="P579" s="150" t="str">
        <f t="shared" si="7"/>
        <v/>
      </c>
      <c r="Q579" s="151" t="str">
        <f>IFERROR(VLOOKUP(C579,Ativos!$A$1:$G2000,5,),)</f>
        <v/>
      </c>
    </row>
    <row r="580" ht="21.0" customHeight="1">
      <c r="A580" s="152"/>
      <c r="B580" s="160"/>
      <c r="C580" s="153"/>
      <c r="D580" s="169"/>
      <c r="E580" s="139"/>
      <c r="F580" s="141"/>
      <c r="G580" s="170" t="str">
        <f>IFERROR(__xludf.DUMMYFUNCTION("if($C580="""","""",iferror(if(row()&lt;&gt;2,INDEX(arrayformula(filter($H$2:$H579,$C$2:$C579&lt;&gt;"""",row($C$2:$C579)=max(if($C$2:$C579=C580,row($C$2:$C579),0)))) ,1),0),0))"),"")</f>
        <v/>
      </c>
      <c r="H580" s="170" t="str">
        <f t="shared" si="8"/>
        <v/>
      </c>
      <c r="I580" s="147" t="str">
        <f t="shared" si="1"/>
        <v/>
      </c>
      <c r="J580" s="147" t="str">
        <f t="shared" si="13"/>
        <v/>
      </c>
      <c r="K580" s="147" t="str">
        <f>IFERROR(__xludf.DUMMYFUNCTION("if(C580="""","""",iferror(if(row()&lt;&gt;2,INDEX(arrayformula(filter($L$2:$L579,$C$2:$C579&lt;&gt;"""",row($C$2:$C579)=max(if($C$2:$C579=C580,row($C$2:$C579),0)))) ,1),0),0))"),"")</f>
        <v/>
      </c>
      <c r="L580" s="147" t="str">
        <f t="shared" si="14"/>
        <v/>
      </c>
      <c r="M580" s="147" t="str">
        <f t="shared" si="15"/>
        <v/>
      </c>
      <c r="N580" s="147" t="str">
        <f t="shared" si="16"/>
        <v/>
      </c>
      <c r="O580" s="147" t="str">
        <f t="shared" si="6"/>
        <v/>
      </c>
      <c r="P580" s="150" t="str">
        <f t="shared" si="7"/>
        <v/>
      </c>
      <c r="Q580" s="151" t="str">
        <f>IFERROR(VLOOKUP(C580,Ativos!$A$1:$G2000,5,),)</f>
        <v/>
      </c>
    </row>
    <row r="581" ht="21.0" customHeight="1">
      <c r="A581" s="152"/>
      <c r="B581" s="160"/>
      <c r="C581" s="153"/>
      <c r="D581" s="169"/>
      <c r="E581" s="139"/>
      <c r="F581" s="141"/>
      <c r="G581" s="170" t="str">
        <f>IFERROR(__xludf.DUMMYFUNCTION("if($C581="""","""",iferror(if(row()&lt;&gt;2,INDEX(arrayformula(filter($H$2:$H580,$C$2:$C580&lt;&gt;"""",row($C$2:$C580)=max(if($C$2:$C580=C581,row($C$2:$C580),0)))) ,1),0),0))"),"")</f>
        <v/>
      </c>
      <c r="H581" s="170" t="str">
        <f t="shared" si="8"/>
        <v/>
      </c>
      <c r="I581" s="147" t="str">
        <f t="shared" si="1"/>
        <v/>
      </c>
      <c r="J581" s="147" t="str">
        <f t="shared" si="13"/>
        <v/>
      </c>
      <c r="K581" s="147" t="str">
        <f>IFERROR(__xludf.DUMMYFUNCTION("if(C581="""","""",iferror(if(row()&lt;&gt;2,INDEX(arrayformula(filter($L$2:$L580,$C$2:$C580&lt;&gt;"""",row($C$2:$C580)=max(if($C$2:$C580=C581,row($C$2:$C580),0)))) ,1),0),0))"),"")</f>
        <v/>
      </c>
      <c r="L581" s="147" t="str">
        <f t="shared" si="14"/>
        <v/>
      </c>
      <c r="M581" s="147" t="str">
        <f t="shared" si="15"/>
        <v/>
      </c>
      <c r="N581" s="147" t="str">
        <f t="shared" si="16"/>
        <v/>
      </c>
      <c r="O581" s="147" t="str">
        <f t="shared" si="6"/>
        <v/>
      </c>
      <c r="P581" s="150" t="str">
        <f t="shared" si="7"/>
        <v/>
      </c>
      <c r="Q581" s="151" t="str">
        <f>IFERROR(VLOOKUP(C581,Ativos!$A$1:$G2000,5,),)</f>
        <v/>
      </c>
    </row>
    <row r="582" ht="21.0" customHeight="1">
      <c r="A582" s="152"/>
      <c r="B582" s="160"/>
      <c r="C582" s="153"/>
      <c r="D582" s="169"/>
      <c r="E582" s="139"/>
      <c r="F582" s="141"/>
      <c r="G582" s="170" t="str">
        <f>IFERROR(__xludf.DUMMYFUNCTION("if($C582="""","""",iferror(if(row()&lt;&gt;2,INDEX(arrayformula(filter($H$2:$H581,$C$2:$C581&lt;&gt;"""",row($C$2:$C581)=max(if($C$2:$C581=C582,row($C$2:$C581),0)))) ,1),0),0))"),"")</f>
        <v/>
      </c>
      <c r="H582" s="170" t="str">
        <f t="shared" si="8"/>
        <v/>
      </c>
      <c r="I582" s="147" t="str">
        <f t="shared" si="1"/>
        <v/>
      </c>
      <c r="J582" s="147" t="str">
        <f t="shared" si="13"/>
        <v/>
      </c>
      <c r="K582" s="147" t="str">
        <f>IFERROR(__xludf.DUMMYFUNCTION("if(C582="""","""",iferror(if(row()&lt;&gt;2,INDEX(arrayformula(filter($L$2:$L581,$C$2:$C581&lt;&gt;"""",row($C$2:$C581)=max(if($C$2:$C581=C582,row($C$2:$C581),0)))) ,1),0),0))"),"")</f>
        <v/>
      </c>
      <c r="L582" s="147" t="str">
        <f t="shared" si="14"/>
        <v/>
      </c>
      <c r="M582" s="147" t="str">
        <f t="shared" si="15"/>
        <v/>
      </c>
      <c r="N582" s="147" t="str">
        <f t="shared" si="16"/>
        <v/>
      </c>
      <c r="O582" s="147" t="str">
        <f t="shared" si="6"/>
        <v/>
      </c>
      <c r="P582" s="150" t="str">
        <f t="shared" si="7"/>
        <v/>
      </c>
      <c r="Q582" s="151" t="str">
        <f>IFERROR(VLOOKUP(C582,Ativos!$A$1:$G2000,5,),)</f>
        <v/>
      </c>
    </row>
    <row r="583" ht="21.0" customHeight="1">
      <c r="A583" s="152"/>
      <c r="B583" s="160"/>
      <c r="C583" s="153"/>
      <c r="D583" s="169"/>
      <c r="E583" s="139"/>
      <c r="F583" s="141"/>
      <c r="G583" s="170" t="str">
        <f>IFERROR(__xludf.DUMMYFUNCTION("if($C583="""","""",iferror(if(row()&lt;&gt;2,INDEX(arrayformula(filter($H$2:$H582,$C$2:$C582&lt;&gt;"""",row($C$2:$C582)=max(if($C$2:$C582=C583,row($C$2:$C582),0)))) ,1),0),0))"),"")</f>
        <v/>
      </c>
      <c r="H583" s="170" t="str">
        <f t="shared" si="8"/>
        <v/>
      </c>
      <c r="I583" s="147" t="str">
        <f t="shared" si="1"/>
        <v/>
      </c>
      <c r="J583" s="147" t="str">
        <f t="shared" si="13"/>
        <v/>
      </c>
      <c r="K583" s="147" t="str">
        <f>IFERROR(__xludf.DUMMYFUNCTION("if(C583="""","""",iferror(if(row()&lt;&gt;2,INDEX(arrayformula(filter($L$2:$L582,$C$2:$C582&lt;&gt;"""",row($C$2:$C582)=max(if($C$2:$C582=C583,row($C$2:$C582),0)))) ,1),0),0))"),"")</f>
        <v/>
      </c>
      <c r="L583" s="147" t="str">
        <f t="shared" si="14"/>
        <v/>
      </c>
      <c r="M583" s="147" t="str">
        <f t="shared" si="15"/>
        <v/>
      </c>
      <c r="N583" s="147" t="str">
        <f t="shared" si="16"/>
        <v/>
      </c>
      <c r="O583" s="147" t="str">
        <f t="shared" si="6"/>
        <v/>
      </c>
      <c r="P583" s="150" t="str">
        <f t="shared" si="7"/>
        <v/>
      </c>
      <c r="Q583" s="151" t="str">
        <f>IFERROR(VLOOKUP(C583,Ativos!$A$1:$G2000,5,),)</f>
        <v/>
      </c>
    </row>
    <row r="584" ht="21.0" customHeight="1">
      <c r="A584" s="152"/>
      <c r="B584" s="160"/>
      <c r="C584" s="153"/>
      <c r="D584" s="169"/>
      <c r="E584" s="139"/>
      <c r="F584" s="141"/>
      <c r="G584" s="170" t="str">
        <f>IFERROR(__xludf.DUMMYFUNCTION("if($C584="""","""",iferror(if(row()&lt;&gt;2,INDEX(arrayformula(filter($H$2:$H583,$C$2:$C583&lt;&gt;"""",row($C$2:$C583)=max(if($C$2:$C583=C584,row($C$2:$C583),0)))) ,1),0),0))"),"")</f>
        <v/>
      </c>
      <c r="H584" s="170" t="str">
        <f t="shared" si="8"/>
        <v/>
      </c>
      <c r="I584" s="147" t="str">
        <f t="shared" si="1"/>
        <v/>
      </c>
      <c r="J584" s="147" t="str">
        <f t="shared" si="13"/>
        <v/>
      </c>
      <c r="K584" s="147" t="str">
        <f>IFERROR(__xludf.DUMMYFUNCTION("if(C584="""","""",iferror(if(row()&lt;&gt;2,INDEX(arrayformula(filter($L$2:$L583,$C$2:$C583&lt;&gt;"""",row($C$2:$C583)=max(if($C$2:$C583=C584,row($C$2:$C583),0)))) ,1),0),0))"),"")</f>
        <v/>
      </c>
      <c r="L584" s="147" t="str">
        <f t="shared" si="14"/>
        <v/>
      </c>
      <c r="M584" s="147" t="str">
        <f t="shared" si="15"/>
        <v/>
      </c>
      <c r="N584" s="147" t="str">
        <f t="shared" si="16"/>
        <v/>
      </c>
      <c r="O584" s="147" t="str">
        <f t="shared" si="6"/>
        <v/>
      </c>
      <c r="P584" s="150" t="str">
        <f t="shared" si="7"/>
        <v/>
      </c>
      <c r="Q584" s="151" t="str">
        <f>IFERROR(VLOOKUP(C584,Ativos!$A$1:$G2000,5,),)</f>
        <v/>
      </c>
    </row>
    <row r="585" ht="21.0" customHeight="1">
      <c r="A585" s="152"/>
      <c r="B585" s="160"/>
      <c r="C585" s="153"/>
      <c r="D585" s="169"/>
      <c r="E585" s="139"/>
      <c r="F585" s="141"/>
      <c r="G585" s="170" t="str">
        <f>IFERROR(__xludf.DUMMYFUNCTION("if($C585="""","""",iferror(if(row()&lt;&gt;2,INDEX(arrayformula(filter($H$2:$H584,$C$2:$C584&lt;&gt;"""",row($C$2:$C584)=max(if($C$2:$C584=C585,row($C$2:$C584),0)))) ,1),0),0))"),"")</f>
        <v/>
      </c>
      <c r="H585" s="170" t="str">
        <f t="shared" si="8"/>
        <v/>
      </c>
      <c r="I585" s="147" t="str">
        <f t="shared" si="1"/>
        <v/>
      </c>
      <c r="J585" s="147" t="str">
        <f t="shared" si="13"/>
        <v/>
      </c>
      <c r="K585" s="147" t="str">
        <f>IFERROR(__xludf.DUMMYFUNCTION("if(C585="""","""",iferror(if(row()&lt;&gt;2,INDEX(arrayformula(filter($L$2:$L584,$C$2:$C584&lt;&gt;"""",row($C$2:$C584)=max(if($C$2:$C584=C585,row($C$2:$C584),0)))) ,1),0),0))"),"")</f>
        <v/>
      </c>
      <c r="L585" s="147" t="str">
        <f t="shared" si="14"/>
        <v/>
      </c>
      <c r="M585" s="147" t="str">
        <f t="shared" si="15"/>
        <v/>
      </c>
      <c r="N585" s="147" t="str">
        <f t="shared" si="16"/>
        <v/>
      </c>
      <c r="O585" s="147" t="str">
        <f t="shared" si="6"/>
        <v/>
      </c>
      <c r="P585" s="150" t="str">
        <f t="shared" si="7"/>
        <v/>
      </c>
      <c r="Q585" s="151" t="str">
        <f>IFERROR(VLOOKUP(C585,Ativos!$A$1:$G2000,5,),)</f>
        <v/>
      </c>
    </row>
    <row r="586" ht="21.0" customHeight="1">
      <c r="A586" s="152"/>
      <c r="B586" s="160"/>
      <c r="C586" s="153"/>
      <c r="D586" s="169"/>
      <c r="E586" s="139"/>
      <c r="F586" s="141"/>
      <c r="G586" s="170" t="str">
        <f>IFERROR(__xludf.DUMMYFUNCTION("if($C586="""","""",iferror(if(row()&lt;&gt;2,INDEX(arrayformula(filter($H$2:$H585,$C$2:$C585&lt;&gt;"""",row($C$2:$C585)=max(if($C$2:$C585=C586,row($C$2:$C585),0)))) ,1),0),0))"),"")</f>
        <v/>
      </c>
      <c r="H586" s="170" t="str">
        <f t="shared" si="8"/>
        <v/>
      </c>
      <c r="I586" s="147" t="str">
        <f t="shared" si="1"/>
        <v/>
      </c>
      <c r="J586" s="147" t="str">
        <f t="shared" si="13"/>
        <v/>
      </c>
      <c r="K586" s="147" t="str">
        <f>IFERROR(__xludf.DUMMYFUNCTION("if(C586="""","""",iferror(if(row()&lt;&gt;2,INDEX(arrayformula(filter($L$2:$L585,$C$2:$C585&lt;&gt;"""",row($C$2:$C585)=max(if($C$2:$C585=C586,row($C$2:$C585),0)))) ,1),0),0))"),"")</f>
        <v/>
      </c>
      <c r="L586" s="147" t="str">
        <f t="shared" si="14"/>
        <v/>
      </c>
      <c r="M586" s="147" t="str">
        <f t="shared" si="15"/>
        <v/>
      </c>
      <c r="N586" s="147" t="str">
        <f t="shared" si="16"/>
        <v/>
      </c>
      <c r="O586" s="147" t="str">
        <f t="shared" si="6"/>
        <v/>
      </c>
      <c r="P586" s="150" t="str">
        <f t="shared" si="7"/>
        <v/>
      </c>
      <c r="Q586" s="151" t="str">
        <f>IFERROR(VLOOKUP(C586,Ativos!$A$1:$G2000,5,),)</f>
        <v/>
      </c>
    </row>
    <row r="587" ht="21.0" customHeight="1">
      <c r="A587" s="152"/>
      <c r="B587" s="160"/>
      <c r="C587" s="153"/>
      <c r="D587" s="169"/>
      <c r="E587" s="139"/>
      <c r="F587" s="141"/>
      <c r="G587" s="170" t="str">
        <f>IFERROR(__xludf.DUMMYFUNCTION("if($C587="""","""",iferror(if(row()&lt;&gt;2,INDEX(arrayformula(filter($H$2:$H586,$C$2:$C586&lt;&gt;"""",row($C$2:$C586)=max(if($C$2:$C586=C587,row($C$2:$C586),0)))) ,1),0),0))"),"")</f>
        <v/>
      </c>
      <c r="H587" s="170" t="str">
        <f t="shared" si="8"/>
        <v/>
      </c>
      <c r="I587" s="147" t="str">
        <f t="shared" si="1"/>
        <v/>
      </c>
      <c r="J587" s="147" t="str">
        <f t="shared" si="13"/>
        <v/>
      </c>
      <c r="K587" s="147" t="str">
        <f>IFERROR(__xludf.DUMMYFUNCTION("if(C587="""","""",iferror(if(row()&lt;&gt;2,INDEX(arrayformula(filter($L$2:$L586,$C$2:$C586&lt;&gt;"""",row($C$2:$C586)=max(if($C$2:$C586=C587,row($C$2:$C586),0)))) ,1),0),0))"),"")</f>
        <v/>
      </c>
      <c r="L587" s="147" t="str">
        <f t="shared" si="14"/>
        <v/>
      </c>
      <c r="M587" s="147" t="str">
        <f t="shared" si="15"/>
        <v/>
      </c>
      <c r="N587" s="147" t="str">
        <f t="shared" si="16"/>
        <v/>
      </c>
      <c r="O587" s="147" t="str">
        <f t="shared" si="6"/>
        <v/>
      </c>
      <c r="P587" s="150" t="str">
        <f t="shared" si="7"/>
        <v/>
      </c>
      <c r="Q587" s="151" t="str">
        <f>IFERROR(VLOOKUP(C587,Ativos!$A$1:$G2000,5,),)</f>
        <v/>
      </c>
    </row>
    <row r="588" ht="21.0" customHeight="1">
      <c r="A588" s="152"/>
      <c r="B588" s="160"/>
      <c r="C588" s="153"/>
      <c r="D588" s="169"/>
      <c r="E588" s="139"/>
      <c r="F588" s="141"/>
      <c r="G588" s="170" t="str">
        <f>IFERROR(__xludf.DUMMYFUNCTION("if($C588="""","""",iferror(if(row()&lt;&gt;2,INDEX(arrayformula(filter($H$2:$H587,$C$2:$C587&lt;&gt;"""",row($C$2:$C587)=max(if($C$2:$C587=C588,row($C$2:$C587),0)))) ,1),0),0))"),"")</f>
        <v/>
      </c>
      <c r="H588" s="170" t="str">
        <f t="shared" si="8"/>
        <v/>
      </c>
      <c r="I588" s="147" t="str">
        <f t="shared" si="1"/>
        <v/>
      </c>
      <c r="J588" s="147" t="str">
        <f t="shared" si="13"/>
        <v/>
      </c>
      <c r="K588" s="147" t="str">
        <f>IFERROR(__xludf.DUMMYFUNCTION("if(C588="""","""",iferror(if(row()&lt;&gt;2,INDEX(arrayformula(filter($L$2:$L587,$C$2:$C587&lt;&gt;"""",row($C$2:$C587)=max(if($C$2:$C587=C588,row($C$2:$C587),0)))) ,1),0),0))"),"")</f>
        <v/>
      </c>
      <c r="L588" s="147" t="str">
        <f t="shared" si="14"/>
        <v/>
      </c>
      <c r="M588" s="147" t="str">
        <f t="shared" si="15"/>
        <v/>
      </c>
      <c r="N588" s="147" t="str">
        <f t="shared" si="16"/>
        <v/>
      </c>
      <c r="O588" s="147" t="str">
        <f t="shared" si="6"/>
        <v/>
      </c>
      <c r="P588" s="150" t="str">
        <f t="shared" si="7"/>
        <v/>
      </c>
      <c r="Q588" s="151" t="str">
        <f>IFERROR(VLOOKUP(C588,Ativos!$A$1:$G2000,5,),)</f>
        <v/>
      </c>
    </row>
    <row r="589" ht="21.0" customHeight="1">
      <c r="A589" s="152"/>
      <c r="B589" s="160"/>
      <c r="C589" s="153"/>
      <c r="D589" s="169"/>
      <c r="E589" s="139"/>
      <c r="F589" s="141"/>
      <c r="G589" s="170" t="str">
        <f>IFERROR(__xludf.DUMMYFUNCTION("if($C589="""","""",iferror(if(row()&lt;&gt;2,INDEX(arrayformula(filter($H$2:$H588,$C$2:$C588&lt;&gt;"""",row($C$2:$C588)=max(if($C$2:$C588=C589,row($C$2:$C588),0)))) ,1),0),0))"),"")</f>
        <v/>
      </c>
      <c r="H589" s="170" t="str">
        <f t="shared" si="8"/>
        <v/>
      </c>
      <c r="I589" s="147" t="str">
        <f t="shared" si="1"/>
        <v/>
      </c>
      <c r="J589" s="147" t="str">
        <f t="shared" si="13"/>
        <v/>
      </c>
      <c r="K589" s="147" t="str">
        <f>IFERROR(__xludf.DUMMYFUNCTION("if(C589="""","""",iferror(if(row()&lt;&gt;2,INDEX(arrayformula(filter($L$2:$L588,$C$2:$C588&lt;&gt;"""",row($C$2:$C588)=max(if($C$2:$C588=C589,row($C$2:$C588),0)))) ,1),0),0))"),"")</f>
        <v/>
      </c>
      <c r="L589" s="147" t="str">
        <f t="shared" si="14"/>
        <v/>
      </c>
      <c r="M589" s="147" t="str">
        <f t="shared" si="15"/>
        <v/>
      </c>
      <c r="N589" s="147" t="str">
        <f t="shared" si="16"/>
        <v/>
      </c>
      <c r="O589" s="147" t="str">
        <f t="shared" si="6"/>
        <v/>
      </c>
      <c r="P589" s="150" t="str">
        <f t="shared" si="7"/>
        <v/>
      </c>
      <c r="Q589" s="151" t="str">
        <f>IFERROR(VLOOKUP(C589,Ativos!$A$1:$G2000,5,),)</f>
        <v/>
      </c>
    </row>
    <row r="590" ht="21.0" customHeight="1">
      <c r="A590" s="152"/>
      <c r="B590" s="160"/>
      <c r="C590" s="153"/>
      <c r="D590" s="169"/>
      <c r="E590" s="139"/>
      <c r="F590" s="141"/>
      <c r="G590" s="170" t="str">
        <f>IFERROR(__xludf.DUMMYFUNCTION("if($C590="""","""",iferror(if(row()&lt;&gt;2,INDEX(arrayformula(filter($H$2:$H589,$C$2:$C589&lt;&gt;"""",row($C$2:$C589)=max(if($C$2:$C589=C590,row($C$2:$C589),0)))) ,1),0),0))"),"")</f>
        <v/>
      </c>
      <c r="H590" s="170" t="str">
        <f t="shared" si="8"/>
        <v/>
      </c>
      <c r="I590" s="147" t="str">
        <f t="shared" si="1"/>
        <v/>
      </c>
      <c r="J590" s="147" t="str">
        <f t="shared" si="13"/>
        <v/>
      </c>
      <c r="K590" s="147" t="str">
        <f>IFERROR(__xludf.DUMMYFUNCTION("if(C590="""","""",iferror(if(row()&lt;&gt;2,INDEX(arrayformula(filter($L$2:$L589,$C$2:$C589&lt;&gt;"""",row($C$2:$C589)=max(if($C$2:$C589=C590,row($C$2:$C589),0)))) ,1),0),0))"),"")</f>
        <v/>
      </c>
      <c r="L590" s="147" t="str">
        <f t="shared" si="14"/>
        <v/>
      </c>
      <c r="M590" s="147" t="str">
        <f t="shared" si="15"/>
        <v/>
      </c>
      <c r="N590" s="147" t="str">
        <f t="shared" si="16"/>
        <v/>
      </c>
      <c r="O590" s="147" t="str">
        <f t="shared" si="6"/>
        <v/>
      </c>
      <c r="P590" s="150" t="str">
        <f t="shared" si="7"/>
        <v/>
      </c>
      <c r="Q590" s="151" t="str">
        <f>IFERROR(VLOOKUP(C590,Ativos!$A$1:$G2000,5,),)</f>
        <v/>
      </c>
    </row>
    <row r="591" ht="21.0" customHeight="1">
      <c r="A591" s="152"/>
      <c r="B591" s="160"/>
      <c r="C591" s="153"/>
      <c r="D591" s="169"/>
      <c r="E591" s="139"/>
      <c r="F591" s="141"/>
      <c r="G591" s="170" t="str">
        <f>IFERROR(__xludf.DUMMYFUNCTION("if($C591="""","""",iferror(if(row()&lt;&gt;2,INDEX(arrayformula(filter($H$2:$H590,$C$2:$C590&lt;&gt;"""",row($C$2:$C590)=max(if($C$2:$C590=C591,row($C$2:$C590),0)))) ,1),0),0))"),"")</f>
        <v/>
      </c>
      <c r="H591" s="170" t="str">
        <f t="shared" si="8"/>
        <v/>
      </c>
      <c r="I591" s="147" t="str">
        <f t="shared" si="1"/>
        <v/>
      </c>
      <c r="J591" s="147" t="str">
        <f t="shared" si="13"/>
        <v/>
      </c>
      <c r="K591" s="147" t="str">
        <f>IFERROR(__xludf.DUMMYFUNCTION("if(C591="""","""",iferror(if(row()&lt;&gt;2,INDEX(arrayformula(filter($L$2:$L590,$C$2:$C590&lt;&gt;"""",row($C$2:$C590)=max(if($C$2:$C590=C591,row($C$2:$C590),0)))) ,1),0),0))"),"")</f>
        <v/>
      </c>
      <c r="L591" s="147" t="str">
        <f t="shared" si="14"/>
        <v/>
      </c>
      <c r="M591" s="147" t="str">
        <f t="shared" si="15"/>
        <v/>
      </c>
      <c r="N591" s="147" t="str">
        <f t="shared" si="16"/>
        <v/>
      </c>
      <c r="O591" s="147" t="str">
        <f t="shared" si="6"/>
        <v/>
      </c>
      <c r="P591" s="150" t="str">
        <f t="shared" si="7"/>
        <v/>
      </c>
      <c r="Q591" s="151" t="str">
        <f>IFERROR(VLOOKUP(C591,Ativos!$A$1:$G2000,5,),)</f>
        <v/>
      </c>
    </row>
    <row r="592" ht="21.0" customHeight="1">
      <c r="A592" s="152"/>
      <c r="B592" s="160"/>
      <c r="C592" s="153"/>
      <c r="D592" s="169"/>
      <c r="E592" s="139"/>
      <c r="F592" s="141"/>
      <c r="G592" s="170" t="str">
        <f>IFERROR(__xludf.DUMMYFUNCTION("if($C592="""","""",iferror(if(row()&lt;&gt;2,INDEX(arrayformula(filter($H$2:$H591,$C$2:$C591&lt;&gt;"""",row($C$2:$C591)=max(if($C$2:$C591=C592,row($C$2:$C591),0)))) ,1),0),0))"),"")</f>
        <v/>
      </c>
      <c r="H592" s="170" t="str">
        <f t="shared" si="8"/>
        <v/>
      </c>
      <c r="I592" s="147" t="str">
        <f t="shared" si="1"/>
        <v/>
      </c>
      <c r="J592" s="147" t="str">
        <f t="shared" si="13"/>
        <v/>
      </c>
      <c r="K592" s="147" t="str">
        <f>IFERROR(__xludf.DUMMYFUNCTION("if(C592="""","""",iferror(if(row()&lt;&gt;2,INDEX(arrayformula(filter($L$2:$L591,$C$2:$C591&lt;&gt;"""",row($C$2:$C591)=max(if($C$2:$C591=C592,row($C$2:$C591),0)))) ,1),0),0))"),"")</f>
        <v/>
      </c>
      <c r="L592" s="147" t="str">
        <f t="shared" si="14"/>
        <v/>
      </c>
      <c r="M592" s="147" t="str">
        <f t="shared" si="15"/>
        <v/>
      </c>
      <c r="N592" s="147" t="str">
        <f t="shared" si="16"/>
        <v/>
      </c>
      <c r="O592" s="147" t="str">
        <f t="shared" si="6"/>
        <v/>
      </c>
      <c r="P592" s="150" t="str">
        <f t="shared" si="7"/>
        <v/>
      </c>
      <c r="Q592" s="151" t="str">
        <f>IFERROR(VLOOKUP(C592,Ativos!$A$1:$G2000,5,),)</f>
        <v/>
      </c>
    </row>
    <row r="593" ht="21.0" customHeight="1">
      <c r="A593" s="152"/>
      <c r="B593" s="160"/>
      <c r="C593" s="153"/>
      <c r="D593" s="169"/>
      <c r="E593" s="139"/>
      <c r="F593" s="141"/>
      <c r="G593" s="170" t="str">
        <f>IFERROR(__xludf.DUMMYFUNCTION("if($C593="""","""",iferror(if(row()&lt;&gt;2,INDEX(arrayformula(filter($H$2:$H592,$C$2:$C592&lt;&gt;"""",row($C$2:$C592)=max(if($C$2:$C592=C593,row($C$2:$C592),0)))) ,1),0),0))"),"")</f>
        <v/>
      </c>
      <c r="H593" s="170" t="str">
        <f t="shared" si="8"/>
        <v/>
      </c>
      <c r="I593" s="147" t="str">
        <f t="shared" si="1"/>
        <v/>
      </c>
      <c r="J593" s="147" t="str">
        <f t="shared" si="13"/>
        <v/>
      </c>
      <c r="K593" s="147" t="str">
        <f>IFERROR(__xludf.DUMMYFUNCTION("if(C593="""","""",iferror(if(row()&lt;&gt;2,INDEX(arrayformula(filter($L$2:$L592,$C$2:$C592&lt;&gt;"""",row($C$2:$C592)=max(if($C$2:$C592=C593,row($C$2:$C592),0)))) ,1),0),0))"),"")</f>
        <v/>
      </c>
      <c r="L593" s="147" t="str">
        <f t="shared" si="14"/>
        <v/>
      </c>
      <c r="M593" s="147" t="str">
        <f t="shared" si="15"/>
        <v/>
      </c>
      <c r="N593" s="147" t="str">
        <f t="shared" si="16"/>
        <v/>
      </c>
      <c r="O593" s="147" t="str">
        <f t="shared" si="6"/>
        <v/>
      </c>
      <c r="P593" s="150" t="str">
        <f t="shared" si="7"/>
        <v/>
      </c>
      <c r="Q593" s="151" t="str">
        <f>IFERROR(VLOOKUP(C593,Ativos!$A$1:$G2000,5,),)</f>
        <v/>
      </c>
    </row>
    <row r="594" ht="21.0" customHeight="1">
      <c r="A594" s="152"/>
      <c r="B594" s="160"/>
      <c r="C594" s="153"/>
      <c r="D594" s="169"/>
      <c r="E594" s="139"/>
      <c r="F594" s="141"/>
      <c r="G594" s="170" t="str">
        <f>IFERROR(__xludf.DUMMYFUNCTION("if($C594="""","""",iferror(if(row()&lt;&gt;2,INDEX(arrayformula(filter($H$2:$H593,$C$2:$C593&lt;&gt;"""",row($C$2:$C593)=max(if($C$2:$C593=C594,row($C$2:$C593),0)))) ,1),0),0))"),"")</f>
        <v/>
      </c>
      <c r="H594" s="170" t="str">
        <f t="shared" si="8"/>
        <v/>
      </c>
      <c r="I594" s="147" t="str">
        <f t="shared" si="1"/>
        <v/>
      </c>
      <c r="J594" s="147" t="str">
        <f t="shared" si="13"/>
        <v/>
      </c>
      <c r="K594" s="147" t="str">
        <f>IFERROR(__xludf.DUMMYFUNCTION("if(C594="""","""",iferror(if(row()&lt;&gt;2,INDEX(arrayformula(filter($L$2:$L593,$C$2:$C593&lt;&gt;"""",row($C$2:$C593)=max(if($C$2:$C593=C594,row($C$2:$C593),0)))) ,1),0),0))"),"")</f>
        <v/>
      </c>
      <c r="L594" s="147" t="str">
        <f t="shared" si="14"/>
        <v/>
      </c>
      <c r="M594" s="147" t="str">
        <f t="shared" si="15"/>
        <v/>
      </c>
      <c r="N594" s="147" t="str">
        <f t="shared" si="16"/>
        <v/>
      </c>
      <c r="O594" s="147" t="str">
        <f t="shared" si="6"/>
        <v/>
      </c>
      <c r="P594" s="150" t="str">
        <f t="shared" si="7"/>
        <v/>
      </c>
      <c r="Q594" s="151" t="str">
        <f>IFERROR(VLOOKUP(C594,Ativos!$A$1:$G2000,5,),)</f>
        <v/>
      </c>
    </row>
    <row r="595" ht="21.0" customHeight="1">
      <c r="A595" s="152"/>
      <c r="B595" s="160"/>
      <c r="C595" s="153"/>
      <c r="D595" s="169"/>
      <c r="E595" s="139"/>
      <c r="F595" s="141"/>
      <c r="G595" s="170" t="str">
        <f>IFERROR(__xludf.DUMMYFUNCTION("if($C595="""","""",iferror(if(row()&lt;&gt;2,INDEX(arrayformula(filter($H$2:$H594,$C$2:$C594&lt;&gt;"""",row($C$2:$C594)=max(if($C$2:$C594=C595,row($C$2:$C594),0)))) ,1),0),0))"),"")</f>
        <v/>
      </c>
      <c r="H595" s="170" t="str">
        <f t="shared" si="8"/>
        <v/>
      </c>
      <c r="I595" s="147" t="str">
        <f t="shared" si="1"/>
        <v/>
      </c>
      <c r="J595" s="147" t="str">
        <f t="shared" si="13"/>
        <v/>
      </c>
      <c r="K595" s="147" t="str">
        <f>IFERROR(__xludf.DUMMYFUNCTION("if(C595="""","""",iferror(if(row()&lt;&gt;2,INDEX(arrayformula(filter($L$2:$L594,$C$2:$C594&lt;&gt;"""",row($C$2:$C594)=max(if($C$2:$C594=C595,row($C$2:$C594),0)))) ,1),0),0))"),"")</f>
        <v/>
      </c>
      <c r="L595" s="147" t="str">
        <f t="shared" si="14"/>
        <v/>
      </c>
      <c r="M595" s="147" t="str">
        <f t="shared" si="15"/>
        <v/>
      </c>
      <c r="N595" s="147" t="str">
        <f t="shared" si="16"/>
        <v/>
      </c>
      <c r="O595" s="147" t="str">
        <f t="shared" si="6"/>
        <v/>
      </c>
      <c r="P595" s="150" t="str">
        <f t="shared" si="7"/>
        <v/>
      </c>
      <c r="Q595" s="151" t="str">
        <f>IFERROR(VLOOKUP(C595,Ativos!$A$1:$G2000,5,),)</f>
        <v/>
      </c>
    </row>
    <row r="596" ht="21.0" customHeight="1">
      <c r="A596" s="152"/>
      <c r="B596" s="160"/>
      <c r="C596" s="153"/>
      <c r="D596" s="169"/>
      <c r="E596" s="139"/>
      <c r="F596" s="141"/>
      <c r="G596" s="170" t="str">
        <f>IFERROR(__xludf.DUMMYFUNCTION("if($C596="""","""",iferror(if(row()&lt;&gt;2,INDEX(arrayformula(filter($H$2:$H595,$C$2:$C595&lt;&gt;"""",row($C$2:$C595)=max(if($C$2:$C595=C596,row($C$2:$C595),0)))) ,1),0),0))"),"")</f>
        <v/>
      </c>
      <c r="H596" s="170" t="str">
        <f t="shared" si="8"/>
        <v/>
      </c>
      <c r="I596" s="147" t="str">
        <f t="shared" si="1"/>
        <v/>
      </c>
      <c r="J596" s="147" t="str">
        <f t="shared" si="13"/>
        <v/>
      </c>
      <c r="K596" s="147" t="str">
        <f>IFERROR(__xludf.DUMMYFUNCTION("if(C596="""","""",iferror(if(row()&lt;&gt;2,INDEX(arrayformula(filter($L$2:$L595,$C$2:$C595&lt;&gt;"""",row($C$2:$C595)=max(if($C$2:$C595=C596,row($C$2:$C595),0)))) ,1),0),0))"),"")</f>
        <v/>
      </c>
      <c r="L596" s="147" t="str">
        <f t="shared" si="14"/>
        <v/>
      </c>
      <c r="M596" s="147" t="str">
        <f t="shared" si="15"/>
        <v/>
      </c>
      <c r="N596" s="147" t="str">
        <f t="shared" si="16"/>
        <v/>
      </c>
      <c r="O596" s="147" t="str">
        <f t="shared" si="6"/>
        <v/>
      </c>
      <c r="P596" s="150" t="str">
        <f t="shared" si="7"/>
        <v/>
      </c>
      <c r="Q596" s="151" t="str">
        <f>IFERROR(VLOOKUP(C596,Ativos!$A$1:$G2000,5,),)</f>
        <v/>
      </c>
    </row>
    <row r="597" ht="21.0" customHeight="1">
      <c r="A597" s="152"/>
      <c r="B597" s="160"/>
      <c r="C597" s="153"/>
      <c r="D597" s="169"/>
      <c r="E597" s="139"/>
      <c r="F597" s="141"/>
      <c r="G597" s="170" t="str">
        <f>IFERROR(__xludf.DUMMYFUNCTION("if($C597="""","""",iferror(if(row()&lt;&gt;2,INDEX(arrayformula(filter($H$2:$H596,$C$2:$C596&lt;&gt;"""",row($C$2:$C596)=max(if($C$2:$C596=C597,row($C$2:$C596),0)))) ,1),0),0))"),"")</f>
        <v/>
      </c>
      <c r="H597" s="170" t="str">
        <f t="shared" si="8"/>
        <v/>
      </c>
      <c r="I597" s="147" t="str">
        <f t="shared" si="1"/>
        <v/>
      </c>
      <c r="J597" s="147" t="str">
        <f t="shared" si="13"/>
        <v/>
      </c>
      <c r="K597" s="147" t="str">
        <f>IFERROR(__xludf.DUMMYFUNCTION("if(C597="""","""",iferror(if(row()&lt;&gt;2,INDEX(arrayformula(filter($L$2:$L596,$C$2:$C596&lt;&gt;"""",row($C$2:$C596)=max(if($C$2:$C596=C597,row($C$2:$C596),0)))) ,1),0),0))"),"")</f>
        <v/>
      </c>
      <c r="L597" s="147" t="str">
        <f t="shared" si="14"/>
        <v/>
      </c>
      <c r="M597" s="147" t="str">
        <f t="shared" si="15"/>
        <v/>
      </c>
      <c r="N597" s="147" t="str">
        <f t="shared" si="16"/>
        <v/>
      </c>
      <c r="O597" s="147" t="str">
        <f t="shared" si="6"/>
        <v/>
      </c>
      <c r="P597" s="150" t="str">
        <f t="shared" si="7"/>
        <v/>
      </c>
      <c r="Q597" s="151" t="str">
        <f>IFERROR(VLOOKUP(C597,Ativos!$A$1:$G2000,5,),)</f>
        <v/>
      </c>
    </row>
    <row r="598" ht="21.0" customHeight="1">
      <c r="A598" s="152"/>
      <c r="B598" s="160"/>
      <c r="C598" s="153"/>
      <c r="D598" s="169"/>
      <c r="E598" s="139"/>
      <c r="F598" s="141"/>
      <c r="G598" s="170" t="str">
        <f>IFERROR(__xludf.DUMMYFUNCTION("if($C598="""","""",iferror(if(row()&lt;&gt;2,INDEX(arrayformula(filter($H$2:$H597,$C$2:$C597&lt;&gt;"""",row($C$2:$C597)=max(if($C$2:$C597=C598,row($C$2:$C597),0)))) ,1),0),0))"),"")</f>
        <v/>
      </c>
      <c r="H598" s="170" t="str">
        <f t="shared" si="8"/>
        <v/>
      </c>
      <c r="I598" s="147" t="str">
        <f t="shared" si="1"/>
        <v/>
      </c>
      <c r="J598" s="147" t="str">
        <f t="shared" si="13"/>
        <v/>
      </c>
      <c r="K598" s="147" t="str">
        <f>IFERROR(__xludf.DUMMYFUNCTION("if(C598="""","""",iferror(if(row()&lt;&gt;2,INDEX(arrayformula(filter($L$2:$L597,$C$2:$C597&lt;&gt;"""",row($C$2:$C597)=max(if($C$2:$C597=C598,row($C$2:$C597),0)))) ,1),0),0))"),"")</f>
        <v/>
      </c>
      <c r="L598" s="147" t="str">
        <f t="shared" si="14"/>
        <v/>
      </c>
      <c r="M598" s="147" t="str">
        <f t="shared" si="15"/>
        <v/>
      </c>
      <c r="N598" s="147" t="str">
        <f t="shared" si="16"/>
        <v/>
      </c>
      <c r="O598" s="147" t="str">
        <f t="shared" si="6"/>
        <v/>
      </c>
      <c r="P598" s="150" t="str">
        <f t="shared" si="7"/>
        <v/>
      </c>
      <c r="Q598" s="151" t="str">
        <f>IFERROR(VLOOKUP(C598,Ativos!$A$1:$G2000,5,),)</f>
        <v/>
      </c>
    </row>
    <row r="599" ht="21.0" customHeight="1">
      <c r="A599" s="152"/>
      <c r="B599" s="160"/>
      <c r="C599" s="153"/>
      <c r="D599" s="169"/>
      <c r="E599" s="139"/>
      <c r="F599" s="141"/>
      <c r="G599" s="170" t="str">
        <f>IFERROR(__xludf.DUMMYFUNCTION("if($C599="""","""",iferror(if(row()&lt;&gt;2,INDEX(arrayformula(filter($H$2:$H598,$C$2:$C598&lt;&gt;"""",row($C$2:$C598)=max(if($C$2:$C598=C599,row($C$2:$C598),0)))) ,1),0),0))"),"")</f>
        <v/>
      </c>
      <c r="H599" s="170" t="str">
        <f t="shared" si="8"/>
        <v/>
      </c>
      <c r="I599" s="147" t="str">
        <f t="shared" si="1"/>
        <v/>
      </c>
      <c r="J599" s="147" t="str">
        <f t="shared" si="13"/>
        <v/>
      </c>
      <c r="K599" s="147" t="str">
        <f>IFERROR(__xludf.DUMMYFUNCTION("if(C599="""","""",iferror(if(row()&lt;&gt;2,INDEX(arrayformula(filter($L$2:$L598,$C$2:$C598&lt;&gt;"""",row($C$2:$C598)=max(if($C$2:$C598=C599,row($C$2:$C598),0)))) ,1),0),0))"),"")</f>
        <v/>
      </c>
      <c r="L599" s="147" t="str">
        <f t="shared" si="14"/>
        <v/>
      </c>
      <c r="M599" s="147" t="str">
        <f t="shared" si="15"/>
        <v/>
      </c>
      <c r="N599" s="147" t="str">
        <f t="shared" si="16"/>
        <v/>
      </c>
      <c r="O599" s="147" t="str">
        <f t="shared" si="6"/>
        <v/>
      </c>
      <c r="P599" s="150" t="str">
        <f t="shared" si="7"/>
        <v/>
      </c>
      <c r="Q599" s="151" t="str">
        <f>IFERROR(VLOOKUP(C599,Ativos!$A$1:$G2000,5,),)</f>
        <v/>
      </c>
    </row>
    <row r="600" ht="21.0" customHeight="1">
      <c r="A600" s="152"/>
      <c r="B600" s="160"/>
      <c r="C600" s="153"/>
      <c r="D600" s="169"/>
      <c r="E600" s="139"/>
      <c r="F600" s="141"/>
      <c r="G600" s="170" t="str">
        <f>IFERROR(__xludf.DUMMYFUNCTION("if($C600="""","""",iferror(if(row()&lt;&gt;2,INDEX(arrayformula(filter($H$2:$H599,$C$2:$C599&lt;&gt;"""",row($C$2:$C599)=max(if($C$2:$C599=C600,row($C$2:$C599),0)))) ,1),0),0))"),"")</f>
        <v/>
      </c>
      <c r="H600" s="170" t="str">
        <f t="shared" si="8"/>
        <v/>
      </c>
      <c r="I600" s="147" t="str">
        <f t="shared" si="1"/>
        <v/>
      </c>
      <c r="J600" s="147" t="str">
        <f t="shared" si="13"/>
        <v/>
      </c>
      <c r="K600" s="147" t="str">
        <f>IFERROR(__xludf.DUMMYFUNCTION("if(C600="""","""",iferror(if(row()&lt;&gt;2,INDEX(arrayformula(filter($L$2:$L599,$C$2:$C599&lt;&gt;"""",row($C$2:$C599)=max(if($C$2:$C599=C600,row($C$2:$C599),0)))) ,1),0),0))"),"")</f>
        <v/>
      </c>
      <c r="L600" s="147" t="str">
        <f t="shared" si="14"/>
        <v/>
      </c>
      <c r="M600" s="147" t="str">
        <f t="shared" si="15"/>
        <v/>
      </c>
      <c r="N600" s="147" t="str">
        <f t="shared" si="16"/>
        <v/>
      </c>
      <c r="O600" s="147" t="str">
        <f t="shared" si="6"/>
        <v/>
      </c>
      <c r="P600" s="150" t="str">
        <f t="shared" si="7"/>
        <v/>
      </c>
      <c r="Q600" s="151" t="str">
        <f>IFERROR(VLOOKUP(C600,Ativos!$A$1:$G2000,5,),)</f>
        <v/>
      </c>
    </row>
    <row r="601" ht="21.0" customHeight="1">
      <c r="A601" s="152"/>
      <c r="B601" s="160"/>
      <c r="C601" s="153"/>
      <c r="D601" s="169"/>
      <c r="E601" s="139"/>
      <c r="F601" s="141"/>
      <c r="G601" s="170" t="str">
        <f>IFERROR(__xludf.DUMMYFUNCTION("if($C601="""","""",iferror(if(row()&lt;&gt;2,INDEX(arrayformula(filter($H$2:$H600,$C$2:$C600&lt;&gt;"""",row($C$2:$C600)=max(if($C$2:$C600=C601,row($C$2:$C600),0)))) ,1),0),0))"),"")</f>
        <v/>
      </c>
      <c r="H601" s="170" t="str">
        <f t="shared" si="8"/>
        <v/>
      </c>
      <c r="I601" s="147" t="str">
        <f t="shared" si="1"/>
        <v/>
      </c>
      <c r="J601" s="147" t="str">
        <f t="shared" si="13"/>
        <v/>
      </c>
      <c r="K601" s="147" t="str">
        <f>IFERROR(__xludf.DUMMYFUNCTION("if(C601="""","""",iferror(if(row()&lt;&gt;2,INDEX(arrayformula(filter($L$2:$L600,$C$2:$C600&lt;&gt;"""",row($C$2:$C600)=max(if($C$2:$C600=C601,row($C$2:$C600),0)))) ,1),0),0))"),"")</f>
        <v/>
      </c>
      <c r="L601" s="147" t="str">
        <f t="shared" si="14"/>
        <v/>
      </c>
      <c r="M601" s="147" t="str">
        <f t="shared" si="15"/>
        <v/>
      </c>
      <c r="N601" s="147" t="str">
        <f t="shared" si="16"/>
        <v/>
      </c>
      <c r="O601" s="147" t="str">
        <f t="shared" si="6"/>
        <v/>
      </c>
      <c r="P601" s="150" t="str">
        <f t="shared" si="7"/>
        <v/>
      </c>
      <c r="Q601" s="151" t="str">
        <f>IFERROR(VLOOKUP(C601,Ativos!$A$1:$G2000,5,),)</f>
        <v/>
      </c>
    </row>
    <row r="602" ht="21.0" customHeight="1">
      <c r="A602" s="152"/>
      <c r="B602" s="160"/>
      <c r="C602" s="153"/>
      <c r="D602" s="169"/>
      <c r="E602" s="139"/>
      <c r="F602" s="141"/>
      <c r="G602" s="170" t="str">
        <f>IFERROR(__xludf.DUMMYFUNCTION("if($C602="""","""",iferror(if(row()&lt;&gt;2,INDEX(arrayformula(filter($H$2:$H601,$C$2:$C601&lt;&gt;"""",row($C$2:$C601)=max(if($C$2:$C601=C602,row($C$2:$C601),0)))) ,1),0),0))"),"")</f>
        <v/>
      </c>
      <c r="H602" s="170" t="str">
        <f t="shared" si="8"/>
        <v/>
      </c>
      <c r="I602" s="147" t="str">
        <f t="shared" si="1"/>
        <v/>
      </c>
      <c r="J602" s="147" t="str">
        <f t="shared" si="13"/>
        <v/>
      </c>
      <c r="K602" s="147" t="str">
        <f>IFERROR(__xludf.DUMMYFUNCTION("if(C602="""","""",iferror(if(row()&lt;&gt;2,INDEX(arrayformula(filter($L$2:$L601,$C$2:$C601&lt;&gt;"""",row($C$2:$C601)=max(if($C$2:$C601=C602,row($C$2:$C601),0)))) ,1),0),0))"),"")</f>
        <v/>
      </c>
      <c r="L602" s="147" t="str">
        <f t="shared" si="14"/>
        <v/>
      </c>
      <c r="M602" s="147" t="str">
        <f t="shared" si="15"/>
        <v/>
      </c>
      <c r="N602" s="147" t="str">
        <f t="shared" si="16"/>
        <v/>
      </c>
      <c r="O602" s="147" t="str">
        <f t="shared" si="6"/>
        <v/>
      </c>
      <c r="P602" s="150" t="str">
        <f t="shared" si="7"/>
        <v/>
      </c>
      <c r="Q602" s="151" t="str">
        <f>IFERROR(VLOOKUP(C602,Ativos!$A$1:$G2000,5,),)</f>
        <v/>
      </c>
    </row>
    <row r="603" ht="21.0" customHeight="1">
      <c r="A603" s="152"/>
      <c r="B603" s="160"/>
      <c r="C603" s="153"/>
      <c r="D603" s="169"/>
      <c r="E603" s="139"/>
      <c r="F603" s="141"/>
      <c r="G603" s="170" t="str">
        <f>IFERROR(__xludf.DUMMYFUNCTION("if($C603="""","""",iferror(if(row()&lt;&gt;2,INDEX(arrayformula(filter($H$2:$H602,$C$2:$C602&lt;&gt;"""",row($C$2:$C602)=max(if($C$2:$C602=C603,row($C$2:$C602),0)))) ,1),0),0))"),"")</f>
        <v/>
      </c>
      <c r="H603" s="170" t="str">
        <f t="shared" si="8"/>
        <v/>
      </c>
      <c r="I603" s="147" t="str">
        <f t="shared" si="1"/>
        <v/>
      </c>
      <c r="J603" s="147" t="str">
        <f t="shared" si="13"/>
        <v/>
      </c>
      <c r="K603" s="147" t="str">
        <f>IFERROR(__xludf.DUMMYFUNCTION("if(C603="""","""",iferror(if(row()&lt;&gt;2,INDEX(arrayformula(filter($L$2:$L602,$C$2:$C602&lt;&gt;"""",row($C$2:$C602)=max(if($C$2:$C602=C603,row($C$2:$C602),0)))) ,1),0),0))"),"")</f>
        <v/>
      </c>
      <c r="L603" s="147" t="str">
        <f t="shared" si="14"/>
        <v/>
      </c>
      <c r="M603" s="147" t="str">
        <f t="shared" si="15"/>
        <v/>
      </c>
      <c r="N603" s="147" t="str">
        <f t="shared" si="16"/>
        <v/>
      </c>
      <c r="O603" s="147" t="str">
        <f t="shared" si="6"/>
        <v/>
      </c>
      <c r="P603" s="150" t="str">
        <f t="shared" si="7"/>
        <v/>
      </c>
      <c r="Q603" s="151" t="str">
        <f>IFERROR(VLOOKUP(C603,Ativos!$A$1:$G2000,5,),)</f>
        <v/>
      </c>
    </row>
    <row r="604" ht="21.0" customHeight="1">
      <c r="A604" s="152"/>
      <c r="B604" s="160"/>
      <c r="C604" s="153"/>
      <c r="D604" s="169"/>
      <c r="E604" s="139"/>
      <c r="F604" s="141"/>
      <c r="G604" s="170" t="str">
        <f>IFERROR(__xludf.DUMMYFUNCTION("if($C604="""","""",iferror(if(row()&lt;&gt;2,INDEX(arrayformula(filter($H$2:$H603,$C$2:$C603&lt;&gt;"""",row($C$2:$C603)=max(if($C$2:$C603=C604,row($C$2:$C603),0)))) ,1),0),0))"),"")</f>
        <v/>
      </c>
      <c r="H604" s="170" t="str">
        <f t="shared" si="8"/>
        <v/>
      </c>
      <c r="I604" s="147" t="str">
        <f t="shared" si="1"/>
        <v/>
      </c>
      <c r="J604" s="147" t="str">
        <f t="shared" si="13"/>
        <v/>
      </c>
      <c r="K604" s="147" t="str">
        <f>IFERROR(__xludf.DUMMYFUNCTION("if(C604="""","""",iferror(if(row()&lt;&gt;2,INDEX(arrayformula(filter($L$2:$L603,$C$2:$C603&lt;&gt;"""",row($C$2:$C603)=max(if($C$2:$C603=C604,row($C$2:$C603),0)))) ,1),0),0))"),"")</f>
        <v/>
      </c>
      <c r="L604" s="147" t="str">
        <f t="shared" si="14"/>
        <v/>
      </c>
      <c r="M604" s="147" t="str">
        <f t="shared" si="15"/>
        <v/>
      </c>
      <c r="N604" s="147" t="str">
        <f t="shared" si="16"/>
        <v/>
      </c>
      <c r="O604" s="147" t="str">
        <f t="shared" si="6"/>
        <v/>
      </c>
      <c r="P604" s="150" t="str">
        <f t="shared" si="7"/>
        <v/>
      </c>
      <c r="Q604" s="151" t="str">
        <f>IFERROR(VLOOKUP(C604,Ativos!$A$1:$G2000,5,),)</f>
        <v/>
      </c>
    </row>
    <row r="605" ht="21.0" customHeight="1">
      <c r="A605" s="152"/>
      <c r="B605" s="160"/>
      <c r="C605" s="153"/>
      <c r="D605" s="169"/>
      <c r="E605" s="139"/>
      <c r="F605" s="141"/>
      <c r="G605" s="170" t="str">
        <f>IFERROR(__xludf.DUMMYFUNCTION("if($C605="""","""",iferror(if(row()&lt;&gt;2,INDEX(arrayformula(filter($H$2:$H604,$C$2:$C604&lt;&gt;"""",row($C$2:$C604)=max(if($C$2:$C604=C605,row($C$2:$C604),0)))) ,1),0),0))"),"")</f>
        <v/>
      </c>
      <c r="H605" s="170" t="str">
        <f t="shared" si="8"/>
        <v/>
      </c>
      <c r="I605" s="147" t="str">
        <f t="shared" si="1"/>
        <v/>
      </c>
      <c r="J605" s="147" t="str">
        <f t="shared" si="13"/>
        <v/>
      </c>
      <c r="K605" s="147" t="str">
        <f>IFERROR(__xludf.DUMMYFUNCTION("if(C605="""","""",iferror(if(row()&lt;&gt;2,INDEX(arrayformula(filter($L$2:$L604,$C$2:$C604&lt;&gt;"""",row($C$2:$C604)=max(if($C$2:$C604=C605,row($C$2:$C604),0)))) ,1),0),0))"),"")</f>
        <v/>
      </c>
      <c r="L605" s="147" t="str">
        <f t="shared" si="14"/>
        <v/>
      </c>
      <c r="M605" s="147" t="str">
        <f t="shared" si="15"/>
        <v/>
      </c>
      <c r="N605" s="147" t="str">
        <f t="shared" si="16"/>
        <v/>
      </c>
      <c r="O605" s="147" t="str">
        <f t="shared" si="6"/>
        <v/>
      </c>
      <c r="P605" s="150" t="str">
        <f t="shared" si="7"/>
        <v/>
      </c>
      <c r="Q605" s="151" t="str">
        <f>IFERROR(VLOOKUP(C605,Ativos!$A$1:$G2000,5,),)</f>
        <v/>
      </c>
    </row>
    <row r="606" ht="21.0" customHeight="1">
      <c r="A606" s="152"/>
      <c r="B606" s="160"/>
      <c r="C606" s="153"/>
      <c r="D606" s="169"/>
      <c r="E606" s="139"/>
      <c r="F606" s="141"/>
      <c r="G606" s="170" t="str">
        <f>IFERROR(__xludf.DUMMYFUNCTION("if($C606="""","""",iferror(if(row()&lt;&gt;2,INDEX(arrayformula(filter($H$2:$H605,$C$2:$C605&lt;&gt;"""",row($C$2:$C605)=max(if($C$2:$C605=C606,row($C$2:$C605),0)))) ,1),0),0))"),"")</f>
        <v/>
      </c>
      <c r="H606" s="170" t="str">
        <f t="shared" si="8"/>
        <v/>
      </c>
      <c r="I606" s="147" t="str">
        <f t="shared" si="1"/>
        <v/>
      </c>
      <c r="J606" s="147" t="str">
        <f t="shared" si="13"/>
        <v/>
      </c>
      <c r="K606" s="147" t="str">
        <f>IFERROR(__xludf.DUMMYFUNCTION("if(C606="""","""",iferror(if(row()&lt;&gt;2,INDEX(arrayformula(filter($L$2:$L605,$C$2:$C605&lt;&gt;"""",row($C$2:$C605)=max(if($C$2:$C605=C606,row($C$2:$C605),0)))) ,1),0),0))"),"")</f>
        <v/>
      </c>
      <c r="L606" s="147" t="str">
        <f t="shared" si="14"/>
        <v/>
      </c>
      <c r="M606" s="147" t="str">
        <f t="shared" si="15"/>
        <v/>
      </c>
      <c r="N606" s="147" t="str">
        <f t="shared" si="16"/>
        <v/>
      </c>
      <c r="O606" s="147" t="str">
        <f t="shared" si="6"/>
        <v/>
      </c>
      <c r="P606" s="150" t="str">
        <f t="shared" si="7"/>
        <v/>
      </c>
      <c r="Q606" s="151" t="str">
        <f>IFERROR(VLOOKUP(C606,Ativos!$A$1:$G2000,5,),)</f>
        <v/>
      </c>
    </row>
    <row r="607" ht="21.0" customHeight="1">
      <c r="A607" s="152"/>
      <c r="B607" s="160"/>
      <c r="C607" s="153"/>
      <c r="D607" s="169"/>
      <c r="E607" s="139"/>
      <c r="F607" s="141"/>
      <c r="G607" s="170" t="str">
        <f>IFERROR(__xludf.DUMMYFUNCTION("if($C607="""","""",iferror(if(row()&lt;&gt;2,INDEX(arrayformula(filter($H$2:$H606,$C$2:$C606&lt;&gt;"""",row($C$2:$C606)=max(if($C$2:$C606=C607,row($C$2:$C606),0)))) ,1),0),0))"),"")</f>
        <v/>
      </c>
      <c r="H607" s="170" t="str">
        <f t="shared" si="8"/>
        <v/>
      </c>
      <c r="I607" s="147" t="str">
        <f t="shared" si="1"/>
        <v/>
      </c>
      <c r="J607" s="147" t="str">
        <f t="shared" si="13"/>
        <v/>
      </c>
      <c r="K607" s="147" t="str">
        <f>IFERROR(__xludf.DUMMYFUNCTION("if(C607="""","""",iferror(if(row()&lt;&gt;2,INDEX(arrayformula(filter($L$2:$L606,$C$2:$C606&lt;&gt;"""",row($C$2:$C606)=max(if($C$2:$C606=C607,row($C$2:$C606),0)))) ,1),0),0))"),"")</f>
        <v/>
      </c>
      <c r="L607" s="147" t="str">
        <f t="shared" si="14"/>
        <v/>
      </c>
      <c r="M607" s="147" t="str">
        <f t="shared" si="15"/>
        <v/>
      </c>
      <c r="N607" s="147" t="str">
        <f t="shared" si="16"/>
        <v/>
      </c>
      <c r="O607" s="147" t="str">
        <f t="shared" si="6"/>
        <v/>
      </c>
      <c r="P607" s="150" t="str">
        <f t="shared" si="7"/>
        <v/>
      </c>
      <c r="Q607" s="151" t="str">
        <f>IFERROR(VLOOKUP(C607,Ativos!$A$1:$G2000,5,),)</f>
        <v/>
      </c>
    </row>
    <row r="608" ht="21.0" customHeight="1">
      <c r="A608" s="152"/>
      <c r="B608" s="160"/>
      <c r="C608" s="153"/>
      <c r="D608" s="169"/>
      <c r="E608" s="139"/>
      <c r="F608" s="141"/>
      <c r="G608" s="170" t="str">
        <f>IFERROR(__xludf.DUMMYFUNCTION("if($C608="""","""",iferror(if(row()&lt;&gt;2,INDEX(arrayformula(filter($H$2:$H607,$C$2:$C607&lt;&gt;"""",row($C$2:$C607)=max(if($C$2:$C607=C608,row($C$2:$C607),0)))) ,1),0),0))"),"")</f>
        <v/>
      </c>
      <c r="H608" s="170" t="str">
        <f t="shared" si="8"/>
        <v/>
      </c>
      <c r="I608" s="147" t="str">
        <f t="shared" si="1"/>
        <v/>
      </c>
      <c r="J608" s="147" t="str">
        <f t="shared" si="13"/>
        <v/>
      </c>
      <c r="K608" s="147" t="str">
        <f>IFERROR(__xludf.DUMMYFUNCTION("if(C608="""","""",iferror(if(row()&lt;&gt;2,INDEX(arrayformula(filter($L$2:$L607,$C$2:$C607&lt;&gt;"""",row($C$2:$C607)=max(if($C$2:$C607=C608,row($C$2:$C607),0)))) ,1),0),0))"),"")</f>
        <v/>
      </c>
      <c r="L608" s="147" t="str">
        <f t="shared" si="14"/>
        <v/>
      </c>
      <c r="M608" s="147" t="str">
        <f t="shared" si="15"/>
        <v/>
      </c>
      <c r="N608" s="147" t="str">
        <f t="shared" si="16"/>
        <v/>
      </c>
      <c r="O608" s="147" t="str">
        <f t="shared" si="6"/>
        <v/>
      </c>
      <c r="P608" s="150" t="str">
        <f t="shared" si="7"/>
        <v/>
      </c>
      <c r="Q608" s="151" t="str">
        <f>IFERROR(VLOOKUP(C608,Ativos!$A$1:$G2000,5,),)</f>
        <v/>
      </c>
    </row>
    <row r="609" ht="21.0" customHeight="1">
      <c r="A609" s="152"/>
      <c r="B609" s="160"/>
      <c r="C609" s="153"/>
      <c r="D609" s="169"/>
      <c r="E609" s="139"/>
      <c r="F609" s="141"/>
      <c r="G609" s="170" t="str">
        <f>IFERROR(__xludf.DUMMYFUNCTION("if($C609="""","""",iferror(if(row()&lt;&gt;2,INDEX(arrayformula(filter($H$2:$H608,$C$2:$C608&lt;&gt;"""",row($C$2:$C608)=max(if($C$2:$C608=C609,row($C$2:$C608),0)))) ,1),0),0))"),"")</f>
        <v/>
      </c>
      <c r="H609" s="170" t="str">
        <f t="shared" si="8"/>
        <v/>
      </c>
      <c r="I609" s="147" t="str">
        <f t="shared" si="1"/>
        <v/>
      </c>
      <c r="J609" s="147" t="str">
        <f t="shared" si="13"/>
        <v/>
      </c>
      <c r="K609" s="147" t="str">
        <f>IFERROR(__xludf.DUMMYFUNCTION("if(C609="""","""",iferror(if(row()&lt;&gt;2,INDEX(arrayformula(filter($L$2:$L608,$C$2:$C608&lt;&gt;"""",row($C$2:$C608)=max(if($C$2:$C608=C609,row($C$2:$C608),0)))) ,1),0),0))"),"")</f>
        <v/>
      </c>
      <c r="L609" s="147" t="str">
        <f t="shared" si="14"/>
        <v/>
      </c>
      <c r="M609" s="147" t="str">
        <f t="shared" si="15"/>
        <v/>
      </c>
      <c r="N609" s="147" t="str">
        <f t="shared" si="16"/>
        <v/>
      </c>
      <c r="O609" s="147" t="str">
        <f t="shared" si="6"/>
        <v/>
      </c>
      <c r="P609" s="150" t="str">
        <f t="shared" si="7"/>
        <v/>
      </c>
      <c r="Q609" s="151" t="str">
        <f>IFERROR(VLOOKUP(C609,Ativos!$A$1:$G2000,5,),)</f>
        <v/>
      </c>
    </row>
    <row r="610" ht="21.0" customHeight="1">
      <c r="A610" s="152"/>
      <c r="B610" s="160"/>
      <c r="C610" s="153"/>
      <c r="D610" s="169"/>
      <c r="E610" s="139"/>
      <c r="F610" s="141"/>
      <c r="G610" s="170" t="str">
        <f>IFERROR(__xludf.DUMMYFUNCTION("if($C610="""","""",iferror(if(row()&lt;&gt;2,INDEX(arrayformula(filter($H$2:$H609,$C$2:$C609&lt;&gt;"""",row($C$2:$C609)=max(if($C$2:$C609=C610,row($C$2:$C609),0)))) ,1),0),0))"),"")</f>
        <v/>
      </c>
      <c r="H610" s="170" t="str">
        <f t="shared" si="8"/>
        <v/>
      </c>
      <c r="I610" s="147" t="str">
        <f t="shared" si="1"/>
        <v/>
      </c>
      <c r="J610" s="147" t="str">
        <f t="shared" si="13"/>
        <v/>
      </c>
      <c r="K610" s="147" t="str">
        <f>IFERROR(__xludf.DUMMYFUNCTION("if(C610="""","""",iferror(if(row()&lt;&gt;2,INDEX(arrayformula(filter($L$2:$L609,$C$2:$C609&lt;&gt;"""",row($C$2:$C609)=max(if($C$2:$C609=C610,row($C$2:$C609),0)))) ,1),0),0))"),"")</f>
        <v/>
      </c>
      <c r="L610" s="147" t="str">
        <f t="shared" si="14"/>
        <v/>
      </c>
      <c r="M610" s="147" t="str">
        <f t="shared" si="15"/>
        <v/>
      </c>
      <c r="N610" s="147" t="str">
        <f t="shared" si="16"/>
        <v/>
      </c>
      <c r="O610" s="147" t="str">
        <f t="shared" si="6"/>
        <v/>
      </c>
      <c r="P610" s="150" t="str">
        <f t="shared" si="7"/>
        <v/>
      </c>
      <c r="Q610" s="151" t="str">
        <f>IFERROR(VLOOKUP(C610,Ativos!$A$1:$G2000,5,),)</f>
        <v/>
      </c>
    </row>
    <row r="611" ht="21.0" customHeight="1">
      <c r="A611" s="152"/>
      <c r="B611" s="160"/>
      <c r="C611" s="153"/>
      <c r="D611" s="169"/>
      <c r="E611" s="139"/>
      <c r="F611" s="141"/>
      <c r="G611" s="170" t="str">
        <f>IFERROR(__xludf.DUMMYFUNCTION("if($C611="""","""",iferror(if(row()&lt;&gt;2,INDEX(arrayformula(filter($H$2:$H610,$C$2:$C610&lt;&gt;"""",row($C$2:$C610)=max(if($C$2:$C610=C611,row($C$2:$C610),0)))) ,1),0),0))"),"")</f>
        <v/>
      </c>
      <c r="H611" s="170" t="str">
        <f t="shared" si="8"/>
        <v/>
      </c>
      <c r="I611" s="147" t="str">
        <f t="shared" si="1"/>
        <v/>
      </c>
      <c r="J611" s="147" t="str">
        <f t="shared" si="13"/>
        <v/>
      </c>
      <c r="K611" s="147" t="str">
        <f>IFERROR(__xludf.DUMMYFUNCTION("if(C611="""","""",iferror(if(row()&lt;&gt;2,INDEX(arrayformula(filter($L$2:$L610,$C$2:$C610&lt;&gt;"""",row($C$2:$C610)=max(if($C$2:$C610=C611,row($C$2:$C610),0)))) ,1),0),0))"),"")</f>
        <v/>
      </c>
      <c r="L611" s="147" t="str">
        <f t="shared" si="14"/>
        <v/>
      </c>
      <c r="M611" s="147" t="str">
        <f t="shared" si="15"/>
        <v/>
      </c>
      <c r="N611" s="147" t="str">
        <f t="shared" si="16"/>
        <v/>
      </c>
      <c r="O611" s="147" t="str">
        <f t="shared" si="6"/>
        <v/>
      </c>
      <c r="P611" s="150" t="str">
        <f t="shared" si="7"/>
        <v/>
      </c>
      <c r="Q611" s="151" t="str">
        <f>IFERROR(VLOOKUP(C611,Ativos!$A$1:$G2000,5,),)</f>
        <v/>
      </c>
    </row>
    <row r="612" ht="21.0" customHeight="1">
      <c r="A612" s="152"/>
      <c r="B612" s="160"/>
      <c r="C612" s="153"/>
      <c r="D612" s="169"/>
      <c r="E612" s="139"/>
      <c r="F612" s="141"/>
      <c r="G612" s="170" t="str">
        <f>IFERROR(__xludf.DUMMYFUNCTION("if($C612="""","""",iferror(if(row()&lt;&gt;2,INDEX(arrayformula(filter($H$2:$H611,$C$2:$C611&lt;&gt;"""",row($C$2:$C611)=max(if($C$2:$C611=C612,row($C$2:$C611),0)))) ,1),0),0))"),"")</f>
        <v/>
      </c>
      <c r="H612" s="170" t="str">
        <f t="shared" si="8"/>
        <v/>
      </c>
      <c r="I612" s="147" t="str">
        <f t="shared" si="1"/>
        <v/>
      </c>
      <c r="J612" s="147" t="str">
        <f t="shared" si="13"/>
        <v/>
      </c>
      <c r="K612" s="147" t="str">
        <f>IFERROR(__xludf.DUMMYFUNCTION("if(C612="""","""",iferror(if(row()&lt;&gt;2,INDEX(arrayformula(filter($L$2:$L611,$C$2:$C611&lt;&gt;"""",row($C$2:$C611)=max(if($C$2:$C611=C612,row($C$2:$C611),0)))) ,1),0),0))"),"")</f>
        <v/>
      </c>
      <c r="L612" s="147" t="str">
        <f t="shared" si="14"/>
        <v/>
      </c>
      <c r="M612" s="147" t="str">
        <f t="shared" si="15"/>
        <v/>
      </c>
      <c r="N612" s="147" t="str">
        <f t="shared" si="16"/>
        <v/>
      </c>
      <c r="O612" s="147" t="str">
        <f t="shared" si="6"/>
        <v/>
      </c>
      <c r="P612" s="150" t="str">
        <f t="shared" si="7"/>
        <v/>
      </c>
      <c r="Q612" s="151" t="str">
        <f>IFERROR(VLOOKUP(C612,Ativos!$A$1:$G2000,5,),)</f>
        <v/>
      </c>
    </row>
    <row r="613" ht="21.0" customHeight="1">
      <c r="A613" s="152"/>
      <c r="B613" s="160"/>
      <c r="C613" s="153"/>
      <c r="D613" s="169"/>
      <c r="E613" s="139"/>
      <c r="F613" s="141"/>
      <c r="G613" s="170" t="str">
        <f>IFERROR(__xludf.DUMMYFUNCTION("if($C613="""","""",iferror(if(row()&lt;&gt;2,INDEX(arrayformula(filter($H$2:$H612,$C$2:$C612&lt;&gt;"""",row($C$2:$C612)=max(if($C$2:$C612=C613,row($C$2:$C612),0)))) ,1),0),0))"),"")</f>
        <v/>
      </c>
      <c r="H613" s="170" t="str">
        <f t="shared" si="8"/>
        <v/>
      </c>
      <c r="I613" s="147" t="str">
        <f t="shared" si="1"/>
        <v/>
      </c>
      <c r="J613" s="147" t="str">
        <f t="shared" si="13"/>
        <v/>
      </c>
      <c r="K613" s="147" t="str">
        <f>IFERROR(__xludf.DUMMYFUNCTION("if(C613="""","""",iferror(if(row()&lt;&gt;2,INDEX(arrayformula(filter($L$2:$L612,$C$2:$C612&lt;&gt;"""",row($C$2:$C612)=max(if($C$2:$C612=C613,row($C$2:$C612),0)))) ,1),0),0))"),"")</f>
        <v/>
      </c>
      <c r="L613" s="147" t="str">
        <f t="shared" si="14"/>
        <v/>
      </c>
      <c r="M613" s="147" t="str">
        <f t="shared" si="15"/>
        <v/>
      </c>
      <c r="N613" s="147" t="str">
        <f t="shared" si="16"/>
        <v/>
      </c>
      <c r="O613" s="147" t="str">
        <f t="shared" si="6"/>
        <v/>
      </c>
      <c r="P613" s="150" t="str">
        <f t="shared" si="7"/>
        <v/>
      </c>
      <c r="Q613" s="151" t="str">
        <f>IFERROR(VLOOKUP(C613,Ativos!$A$1:$G2000,5,),)</f>
        <v/>
      </c>
    </row>
    <row r="614" ht="21.0" customHeight="1">
      <c r="A614" s="152"/>
      <c r="B614" s="160"/>
      <c r="C614" s="153"/>
      <c r="D614" s="169"/>
      <c r="E614" s="139"/>
      <c r="F614" s="141"/>
      <c r="G614" s="170" t="str">
        <f>IFERROR(__xludf.DUMMYFUNCTION("if($C614="""","""",iferror(if(row()&lt;&gt;2,INDEX(arrayformula(filter($H$2:$H613,$C$2:$C613&lt;&gt;"""",row($C$2:$C613)=max(if($C$2:$C613=C614,row($C$2:$C613),0)))) ,1),0),0))"),"")</f>
        <v/>
      </c>
      <c r="H614" s="170" t="str">
        <f t="shared" si="8"/>
        <v/>
      </c>
      <c r="I614" s="147" t="str">
        <f t="shared" si="1"/>
        <v/>
      </c>
      <c r="J614" s="147" t="str">
        <f t="shared" si="13"/>
        <v/>
      </c>
      <c r="K614" s="147" t="str">
        <f>IFERROR(__xludf.DUMMYFUNCTION("if(C614="""","""",iferror(if(row()&lt;&gt;2,INDEX(arrayformula(filter($L$2:$L613,$C$2:$C613&lt;&gt;"""",row($C$2:$C613)=max(if($C$2:$C613=C614,row($C$2:$C613),0)))) ,1),0),0))"),"")</f>
        <v/>
      </c>
      <c r="L614" s="147" t="str">
        <f t="shared" si="14"/>
        <v/>
      </c>
      <c r="M614" s="147" t="str">
        <f t="shared" si="15"/>
        <v/>
      </c>
      <c r="N614" s="147" t="str">
        <f t="shared" si="16"/>
        <v/>
      </c>
      <c r="O614" s="147" t="str">
        <f t="shared" si="6"/>
        <v/>
      </c>
      <c r="P614" s="150" t="str">
        <f t="shared" si="7"/>
        <v/>
      </c>
      <c r="Q614" s="151" t="str">
        <f>IFERROR(VLOOKUP(C614,Ativos!$A$1:$G2000,5,),)</f>
        <v/>
      </c>
    </row>
    <row r="615" ht="21.0" customHeight="1">
      <c r="A615" s="152"/>
      <c r="B615" s="160"/>
      <c r="C615" s="153"/>
      <c r="D615" s="169"/>
      <c r="E615" s="139"/>
      <c r="F615" s="141"/>
      <c r="G615" s="170" t="str">
        <f>IFERROR(__xludf.DUMMYFUNCTION("if($C615="""","""",iferror(if(row()&lt;&gt;2,INDEX(arrayformula(filter($H$2:$H614,$C$2:$C614&lt;&gt;"""",row($C$2:$C614)=max(if($C$2:$C614=C615,row($C$2:$C614),0)))) ,1),0),0))"),"")</f>
        <v/>
      </c>
      <c r="H615" s="170" t="str">
        <f t="shared" si="8"/>
        <v/>
      </c>
      <c r="I615" s="147" t="str">
        <f t="shared" si="1"/>
        <v/>
      </c>
      <c r="J615" s="147" t="str">
        <f t="shared" si="13"/>
        <v/>
      </c>
      <c r="K615" s="147" t="str">
        <f>IFERROR(__xludf.DUMMYFUNCTION("if(C615="""","""",iferror(if(row()&lt;&gt;2,INDEX(arrayformula(filter($L$2:$L614,$C$2:$C614&lt;&gt;"""",row($C$2:$C614)=max(if($C$2:$C614=C615,row($C$2:$C614),0)))) ,1),0),0))"),"")</f>
        <v/>
      </c>
      <c r="L615" s="147" t="str">
        <f t="shared" si="14"/>
        <v/>
      </c>
      <c r="M615" s="147" t="str">
        <f t="shared" si="15"/>
        <v/>
      </c>
      <c r="N615" s="147" t="str">
        <f t="shared" si="16"/>
        <v/>
      </c>
      <c r="O615" s="147" t="str">
        <f t="shared" si="6"/>
        <v/>
      </c>
      <c r="P615" s="150" t="str">
        <f t="shared" si="7"/>
        <v/>
      </c>
      <c r="Q615" s="151" t="str">
        <f>IFERROR(VLOOKUP(C615,Ativos!$A$1:$G2000,5,),)</f>
        <v/>
      </c>
    </row>
    <row r="616" ht="21.0" customHeight="1">
      <c r="A616" s="152"/>
      <c r="B616" s="160"/>
      <c r="C616" s="153"/>
      <c r="D616" s="169"/>
      <c r="E616" s="139"/>
      <c r="F616" s="141"/>
      <c r="G616" s="170" t="str">
        <f>IFERROR(__xludf.DUMMYFUNCTION("if($C616="""","""",iferror(if(row()&lt;&gt;2,INDEX(arrayformula(filter($H$2:$H615,$C$2:$C615&lt;&gt;"""",row($C$2:$C615)=max(if($C$2:$C615=C616,row($C$2:$C615),0)))) ,1),0),0))"),"")</f>
        <v/>
      </c>
      <c r="H616" s="170" t="str">
        <f t="shared" si="8"/>
        <v/>
      </c>
      <c r="I616" s="147" t="str">
        <f t="shared" si="1"/>
        <v/>
      </c>
      <c r="J616" s="147" t="str">
        <f t="shared" si="13"/>
        <v/>
      </c>
      <c r="K616" s="147" t="str">
        <f>IFERROR(__xludf.DUMMYFUNCTION("if(C616="""","""",iferror(if(row()&lt;&gt;2,INDEX(arrayformula(filter($L$2:$L615,$C$2:$C615&lt;&gt;"""",row($C$2:$C615)=max(if($C$2:$C615=C616,row($C$2:$C615),0)))) ,1),0),0))"),"")</f>
        <v/>
      </c>
      <c r="L616" s="147" t="str">
        <f t="shared" si="14"/>
        <v/>
      </c>
      <c r="M616" s="147" t="str">
        <f t="shared" si="15"/>
        <v/>
      </c>
      <c r="N616" s="147" t="str">
        <f t="shared" si="16"/>
        <v/>
      </c>
      <c r="O616" s="147" t="str">
        <f t="shared" si="6"/>
        <v/>
      </c>
      <c r="P616" s="150" t="str">
        <f t="shared" si="7"/>
        <v/>
      </c>
      <c r="Q616" s="151" t="str">
        <f>IFERROR(VLOOKUP(C616,Ativos!$A$1:$G2000,5,),)</f>
        <v/>
      </c>
    </row>
    <row r="617" ht="21.0" customHeight="1">
      <c r="A617" s="152"/>
      <c r="B617" s="160"/>
      <c r="C617" s="153"/>
      <c r="D617" s="169"/>
      <c r="E617" s="139"/>
      <c r="F617" s="141"/>
      <c r="G617" s="170" t="str">
        <f>IFERROR(__xludf.DUMMYFUNCTION("if($C617="""","""",iferror(if(row()&lt;&gt;2,INDEX(arrayformula(filter($H$2:$H616,$C$2:$C616&lt;&gt;"""",row($C$2:$C616)=max(if($C$2:$C616=C617,row($C$2:$C616),0)))) ,1),0),0))"),"")</f>
        <v/>
      </c>
      <c r="H617" s="170" t="str">
        <f t="shared" si="8"/>
        <v/>
      </c>
      <c r="I617" s="147" t="str">
        <f t="shared" si="1"/>
        <v/>
      </c>
      <c r="J617" s="147" t="str">
        <f t="shared" si="13"/>
        <v/>
      </c>
      <c r="K617" s="147" t="str">
        <f>IFERROR(__xludf.DUMMYFUNCTION("if(C617="""","""",iferror(if(row()&lt;&gt;2,INDEX(arrayformula(filter($L$2:$L616,$C$2:$C616&lt;&gt;"""",row($C$2:$C616)=max(if($C$2:$C616=C617,row($C$2:$C616),0)))) ,1),0),0))"),"")</f>
        <v/>
      </c>
      <c r="L617" s="147" t="str">
        <f t="shared" si="14"/>
        <v/>
      </c>
      <c r="M617" s="147" t="str">
        <f t="shared" si="15"/>
        <v/>
      </c>
      <c r="N617" s="147" t="str">
        <f t="shared" si="16"/>
        <v/>
      </c>
      <c r="O617" s="147" t="str">
        <f t="shared" si="6"/>
        <v/>
      </c>
      <c r="P617" s="150" t="str">
        <f t="shared" si="7"/>
        <v/>
      </c>
      <c r="Q617" s="151" t="str">
        <f>IFERROR(VLOOKUP(C617,Ativos!$A$1:$G2000,5,),)</f>
        <v/>
      </c>
    </row>
    <row r="618" ht="21.0" customHeight="1">
      <c r="A618" s="152"/>
      <c r="B618" s="160"/>
      <c r="C618" s="153"/>
      <c r="D618" s="169"/>
      <c r="E618" s="139"/>
      <c r="F618" s="141"/>
      <c r="G618" s="170" t="str">
        <f>IFERROR(__xludf.DUMMYFUNCTION("if($C618="""","""",iferror(if(row()&lt;&gt;2,INDEX(arrayformula(filter($H$2:$H617,$C$2:$C617&lt;&gt;"""",row($C$2:$C617)=max(if($C$2:$C617=C618,row($C$2:$C617),0)))) ,1),0),0))"),"")</f>
        <v/>
      </c>
      <c r="H618" s="170" t="str">
        <f t="shared" si="8"/>
        <v/>
      </c>
      <c r="I618" s="147" t="str">
        <f t="shared" si="1"/>
        <v/>
      </c>
      <c r="J618" s="147" t="str">
        <f t="shared" si="13"/>
        <v/>
      </c>
      <c r="K618" s="147" t="str">
        <f>IFERROR(__xludf.DUMMYFUNCTION("if(C618="""","""",iferror(if(row()&lt;&gt;2,INDEX(arrayformula(filter($L$2:$L617,$C$2:$C617&lt;&gt;"""",row($C$2:$C617)=max(if($C$2:$C617=C618,row($C$2:$C617),0)))) ,1),0),0))"),"")</f>
        <v/>
      </c>
      <c r="L618" s="147" t="str">
        <f t="shared" si="14"/>
        <v/>
      </c>
      <c r="M618" s="147" t="str">
        <f t="shared" si="15"/>
        <v/>
      </c>
      <c r="N618" s="147" t="str">
        <f t="shared" si="16"/>
        <v/>
      </c>
      <c r="O618" s="147" t="str">
        <f t="shared" si="6"/>
        <v/>
      </c>
      <c r="P618" s="150" t="str">
        <f t="shared" si="7"/>
        <v/>
      </c>
      <c r="Q618" s="151" t="str">
        <f>IFERROR(VLOOKUP(C618,Ativos!$A$1:$G2000,5,),)</f>
        <v/>
      </c>
    </row>
    <row r="619" ht="21.0" customHeight="1">
      <c r="A619" s="152"/>
      <c r="B619" s="160"/>
      <c r="C619" s="153"/>
      <c r="D619" s="169"/>
      <c r="E619" s="139"/>
      <c r="F619" s="141"/>
      <c r="G619" s="170" t="str">
        <f>IFERROR(__xludf.DUMMYFUNCTION("if($C619="""","""",iferror(if(row()&lt;&gt;2,INDEX(arrayformula(filter($H$2:$H618,$C$2:$C618&lt;&gt;"""",row($C$2:$C618)=max(if($C$2:$C618=C619,row($C$2:$C618),0)))) ,1),0),0))"),"")</f>
        <v/>
      </c>
      <c r="H619" s="170" t="str">
        <f t="shared" si="8"/>
        <v/>
      </c>
      <c r="I619" s="147" t="str">
        <f t="shared" si="1"/>
        <v/>
      </c>
      <c r="J619" s="147" t="str">
        <f t="shared" si="13"/>
        <v/>
      </c>
      <c r="K619" s="147" t="str">
        <f>IFERROR(__xludf.DUMMYFUNCTION("if(C619="""","""",iferror(if(row()&lt;&gt;2,INDEX(arrayformula(filter($L$2:$L618,$C$2:$C618&lt;&gt;"""",row($C$2:$C618)=max(if($C$2:$C618=C619,row($C$2:$C618),0)))) ,1),0),0))"),"")</f>
        <v/>
      </c>
      <c r="L619" s="147" t="str">
        <f t="shared" si="14"/>
        <v/>
      </c>
      <c r="M619" s="147" t="str">
        <f t="shared" si="15"/>
        <v/>
      </c>
      <c r="N619" s="147" t="str">
        <f t="shared" si="16"/>
        <v/>
      </c>
      <c r="O619" s="147" t="str">
        <f t="shared" si="6"/>
        <v/>
      </c>
      <c r="P619" s="150" t="str">
        <f t="shared" si="7"/>
        <v/>
      </c>
      <c r="Q619" s="151" t="str">
        <f>IFERROR(VLOOKUP(C619,Ativos!$A$1:$G2000,5,),)</f>
        <v/>
      </c>
    </row>
    <row r="620" ht="21.0" customHeight="1">
      <c r="A620" s="152"/>
      <c r="B620" s="160"/>
      <c r="C620" s="153"/>
      <c r="D620" s="169"/>
      <c r="E620" s="139"/>
      <c r="F620" s="141"/>
      <c r="G620" s="170" t="str">
        <f>IFERROR(__xludf.DUMMYFUNCTION("if($C620="""","""",iferror(if(row()&lt;&gt;2,INDEX(arrayformula(filter($H$2:$H619,$C$2:$C619&lt;&gt;"""",row($C$2:$C619)=max(if($C$2:$C619=C620,row($C$2:$C619),0)))) ,1),0),0))"),"")</f>
        <v/>
      </c>
      <c r="H620" s="170" t="str">
        <f t="shared" si="8"/>
        <v/>
      </c>
      <c r="I620" s="147" t="str">
        <f t="shared" si="1"/>
        <v/>
      </c>
      <c r="J620" s="147" t="str">
        <f t="shared" si="13"/>
        <v/>
      </c>
      <c r="K620" s="147" t="str">
        <f>IFERROR(__xludf.DUMMYFUNCTION("if(C620="""","""",iferror(if(row()&lt;&gt;2,INDEX(arrayformula(filter($L$2:$L619,$C$2:$C619&lt;&gt;"""",row($C$2:$C619)=max(if($C$2:$C619=C620,row($C$2:$C619),0)))) ,1),0),0))"),"")</f>
        <v/>
      </c>
      <c r="L620" s="147" t="str">
        <f t="shared" si="14"/>
        <v/>
      </c>
      <c r="M620" s="147" t="str">
        <f t="shared" si="15"/>
        <v/>
      </c>
      <c r="N620" s="147" t="str">
        <f t="shared" si="16"/>
        <v/>
      </c>
      <c r="O620" s="147" t="str">
        <f t="shared" si="6"/>
        <v/>
      </c>
      <c r="P620" s="150" t="str">
        <f t="shared" si="7"/>
        <v/>
      </c>
      <c r="Q620" s="151" t="str">
        <f>IFERROR(VLOOKUP(C620,Ativos!$A$1:$G2000,5,),)</f>
        <v/>
      </c>
    </row>
    <row r="621" ht="21.0" customHeight="1">
      <c r="A621" s="152"/>
      <c r="B621" s="160"/>
      <c r="C621" s="153"/>
      <c r="D621" s="169"/>
      <c r="E621" s="139"/>
      <c r="F621" s="141"/>
      <c r="G621" s="170" t="str">
        <f>IFERROR(__xludf.DUMMYFUNCTION("if($C621="""","""",iferror(if(row()&lt;&gt;2,INDEX(arrayformula(filter($H$2:$H620,$C$2:$C620&lt;&gt;"""",row($C$2:$C620)=max(if($C$2:$C620=C621,row($C$2:$C620),0)))) ,1),0),0))"),"")</f>
        <v/>
      </c>
      <c r="H621" s="170" t="str">
        <f t="shared" si="8"/>
        <v/>
      </c>
      <c r="I621" s="147" t="str">
        <f t="shared" si="1"/>
        <v/>
      </c>
      <c r="J621" s="147" t="str">
        <f t="shared" si="13"/>
        <v/>
      </c>
      <c r="K621" s="147" t="str">
        <f>IFERROR(__xludf.DUMMYFUNCTION("if(C621="""","""",iferror(if(row()&lt;&gt;2,INDEX(arrayformula(filter($L$2:$L620,$C$2:$C620&lt;&gt;"""",row($C$2:$C620)=max(if($C$2:$C620=C621,row($C$2:$C620),0)))) ,1),0),0))"),"")</f>
        <v/>
      </c>
      <c r="L621" s="147" t="str">
        <f t="shared" si="14"/>
        <v/>
      </c>
      <c r="M621" s="147" t="str">
        <f t="shared" si="15"/>
        <v/>
      </c>
      <c r="N621" s="147" t="str">
        <f t="shared" si="16"/>
        <v/>
      </c>
      <c r="O621" s="147" t="str">
        <f t="shared" si="6"/>
        <v/>
      </c>
      <c r="P621" s="150" t="str">
        <f t="shared" si="7"/>
        <v/>
      </c>
      <c r="Q621" s="151" t="str">
        <f>IFERROR(VLOOKUP(C621,Ativos!$A$1:$G2000,5,),)</f>
        <v/>
      </c>
    </row>
    <row r="622" ht="21.0" customHeight="1">
      <c r="A622" s="152"/>
      <c r="B622" s="160"/>
      <c r="C622" s="153"/>
      <c r="D622" s="169"/>
      <c r="E622" s="139"/>
      <c r="F622" s="141"/>
      <c r="G622" s="170" t="str">
        <f>IFERROR(__xludf.DUMMYFUNCTION("if($C622="""","""",iferror(if(row()&lt;&gt;2,INDEX(arrayformula(filter($H$2:$H621,$C$2:$C621&lt;&gt;"""",row($C$2:$C621)=max(if($C$2:$C621=C622,row($C$2:$C621),0)))) ,1),0),0))"),"")</f>
        <v/>
      </c>
      <c r="H622" s="170" t="str">
        <f t="shared" si="8"/>
        <v/>
      </c>
      <c r="I622" s="147" t="str">
        <f t="shared" si="1"/>
        <v/>
      </c>
      <c r="J622" s="147" t="str">
        <f t="shared" si="13"/>
        <v/>
      </c>
      <c r="K622" s="147" t="str">
        <f>IFERROR(__xludf.DUMMYFUNCTION("if(C622="""","""",iferror(if(row()&lt;&gt;2,INDEX(arrayformula(filter($L$2:$L621,$C$2:$C621&lt;&gt;"""",row($C$2:$C621)=max(if($C$2:$C621=C622,row($C$2:$C621),0)))) ,1),0),0))"),"")</f>
        <v/>
      </c>
      <c r="L622" s="147" t="str">
        <f t="shared" si="14"/>
        <v/>
      </c>
      <c r="M622" s="147" t="str">
        <f t="shared" si="15"/>
        <v/>
      </c>
      <c r="N622" s="147" t="str">
        <f t="shared" si="16"/>
        <v/>
      </c>
      <c r="O622" s="147" t="str">
        <f t="shared" si="6"/>
        <v/>
      </c>
      <c r="P622" s="150" t="str">
        <f t="shared" si="7"/>
        <v/>
      </c>
      <c r="Q622" s="151" t="str">
        <f>IFERROR(VLOOKUP(C622,Ativos!$A$1:$G2000,5,),)</f>
        <v/>
      </c>
    </row>
    <row r="623" ht="21.0" customHeight="1">
      <c r="A623" s="152"/>
      <c r="B623" s="160"/>
      <c r="C623" s="153"/>
      <c r="D623" s="169"/>
      <c r="E623" s="139"/>
      <c r="F623" s="141"/>
      <c r="G623" s="170" t="str">
        <f>IFERROR(__xludf.DUMMYFUNCTION("if($C623="""","""",iferror(if(row()&lt;&gt;2,INDEX(arrayformula(filter($H$2:$H622,$C$2:$C622&lt;&gt;"""",row($C$2:$C622)=max(if($C$2:$C622=C623,row($C$2:$C622),0)))) ,1),0),0))"),"")</f>
        <v/>
      </c>
      <c r="H623" s="170" t="str">
        <f t="shared" si="8"/>
        <v/>
      </c>
      <c r="I623" s="147" t="str">
        <f t="shared" si="1"/>
        <v/>
      </c>
      <c r="J623" s="147" t="str">
        <f t="shared" si="13"/>
        <v/>
      </c>
      <c r="K623" s="147" t="str">
        <f>IFERROR(__xludf.DUMMYFUNCTION("if(C623="""","""",iferror(if(row()&lt;&gt;2,INDEX(arrayformula(filter($L$2:$L622,$C$2:$C622&lt;&gt;"""",row($C$2:$C622)=max(if($C$2:$C622=C623,row($C$2:$C622),0)))) ,1),0),0))"),"")</f>
        <v/>
      </c>
      <c r="L623" s="147" t="str">
        <f t="shared" si="14"/>
        <v/>
      </c>
      <c r="M623" s="147" t="str">
        <f t="shared" si="15"/>
        <v/>
      </c>
      <c r="N623" s="147" t="str">
        <f t="shared" si="16"/>
        <v/>
      </c>
      <c r="O623" s="147" t="str">
        <f t="shared" si="6"/>
        <v/>
      </c>
      <c r="P623" s="150" t="str">
        <f t="shared" si="7"/>
        <v/>
      </c>
      <c r="Q623" s="151" t="str">
        <f>IFERROR(VLOOKUP(C623,Ativos!$A$1:$G2000,5,),)</f>
        <v/>
      </c>
    </row>
    <row r="624" ht="21.0" customHeight="1">
      <c r="A624" s="152"/>
      <c r="B624" s="160"/>
      <c r="C624" s="153"/>
      <c r="D624" s="169"/>
      <c r="E624" s="139"/>
      <c r="F624" s="141"/>
      <c r="G624" s="170" t="str">
        <f>IFERROR(__xludf.DUMMYFUNCTION("if($C624="""","""",iferror(if(row()&lt;&gt;2,INDEX(arrayformula(filter($H$2:$H623,$C$2:$C623&lt;&gt;"""",row($C$2:$C623)=max(if($C$2:$C623=C624,row($C$2:$C623),0)))) ,1),0),0))"),"")</f>
        <v/>
      </c>
      <c r="H624" s="170" t="str">
        <f t="shared" si="8"/>
        <v/>
      </c>
      <c r="I624" s="147" t="str">
        <f t="shared" si="1"/>
        <v/>
      </c>
      <c r="J624" s="147" t="str">
        <f t="shared" si="13"/>
        <v/>
      </c>
      <c r="K624" s="147" t="str">
        <f>IFERROR(__xludf.DUMMYFUNCTION("if(C624="""","""",iferror(if(row()&lt;&gt;2,INDEX(arrayformula(filter($L$2:$L623,$C$2:$C623&lt;&gt;"""",row($C$2:$C623)=max(if($C$2:$C623=C624,row($C$2:$C623),0)))) ,1),0),0))"),"")</f>
        <v/>
      </c>
      <c r="L624" s="147" t="str">
        <f t="shared" si="14"/>
        <v/>
      </c>
      <c r="M624" s="147" t="str">
        <f t="shared" si="15"/>
        <v/>
      </c>
      <c r="N624" s="147" t="str">
        <f t="shared" si="16"/>
        <v/>
      </c>
      <c r="O624" s="147" t="str">
        <f t="shared" si="6"/>
        <v/>
      </c>
      <c r="P624" s="150" t="str">
        <f t="shared" si="7"/>
        <v/>
      </c>
      <c r="Q624" s="151" t="str">
        <f>IFERROR(VLOOKUP(C624,Ativos!$A$1:$G2000,5,),)</f>
        <v/>
      </c>
    </row>
    <row r="625" ht="21.0" customHeight="1">
      <c r="A625" s="152"/>
      <c r="B625" s="160"/>
      <c r="C625" s="153"/>
      <c r="D625" s="169"/>
      <c r="E625" s="139"/>
      <c r="F625" s="141"/>
      <c r="G625" s="170" t="str">
        <f>IFERROR(__xludf.DUMMYFUNCTION("if($C625="""","""",iferror(if(row()&lt;&gt;2,INDEX(arrayformula(filter($H$2:$H624,$C$2:$C624&lt;&gt;"""",row($C$2:$C624)=max(if($C$2:$C624=C625,row($C$2:$C624),0)))) ,1),0),0))"),"")</f>
        <v/>
      </c>
      <c r="H625" s="170" t="str">
        <f t="shared" si="8"/>
        <v/>
      </c>
      <c r="I625" s="147" t="str">
        <f t="shared" si="1"/>
        <v/>
      </c>
      <c r="J625" s="147" t="str">
        <f t="shared" si="13"/>
        <v/>
      </c>
      <c r="K625" s="147" t="str">
        <f>IFERROR(__xludf.DUMMYFUNCTION("if(C625="""","""",iferror(if(row()&lt;&gt;2,INDEX(arrayformula(filter($L$2:$L624,$C$2:$C624&lt;&gt;"""",row($C$2:$C624)=max(if($C$2:$C624=C625,row($C$2:$C624),0)))) ,1),0),0))"),"")</f>
        <v/>
      </c>
      <c r="L625" s="147" t="str">
        <f t="shared" si="14"/>
        <v/>
      </c>
      <c r="M625" s="147" t="str">
        <f t="shared" si="15"/>
        <v/>
      </c>
      <c r="N625" s="147" t="str">
        <f t="shared" si="16"/>
        <v/>
      </c>
      <c r="O625" s="147" t="str">
        <f t="shared" si="6"/>
        <v/>
      </c>
      <c r="P625" s="150" t="str">
        <f t="shared" si="7"/>
        <v/>
      </c>
      <c r="Q625" s="151" t="str">
        <f>IFERROR(VLOOKUP(C625,Ativos!$A$1:$G2000,5,),)</f>
        <v/>
      </c>
    </row>
    <row r="626" ht="21.0" customHeight="1">
      <c r="A626" s="152"/>
      <c r="B626" s="160"/>
      <c r="C626" s="153"/>
      <c r="D626" s="169"/>
      <c r="E626" s="139"/>
      <c r="F626" s="141"/>
      <c r="G626" s="170" t="str">
        <f>IFERROR(__xludf.DUMMYFUNCTION("if($C626="""","""",iferror(if(row()&lt;&gt;2,INDEX(arrayformula(filter($H$2:$H625,$C$2:$C625&lt;&gt;"""",row($C$2:$C625)=max(if($C$2:$C625=C626,row($C$2:$C625),0)))) ,1),0),0))"),"")</f>
        <v/>
      </c>
      <c r="H626" s="170" t="str">
        <f t="shared" si="8"/>
        <v/>
      </c>
      <c r="I626" s="147" t="str">
        <f t="shared" si="1"/>
        <v/>
      </c>
      <c r="J626" s="147" t="str">
        <f t="shared" si="13"/>
        <v/>
      </c>
      <c r="K626" s="147" t="str">
        <f>IFERROR(__xludf.DUMMYFUNCTION("if(C626="""","""",iferror(if(row()&lt;&gt;2,INDEX(arrayformula(filter($L$2:$L625,$C$2:$C625&lt;&gt;"""",row($C$2:$C625)=max(if($C$2:$C625=C626,row($C$2:$C625),0)))) ,1),0),0))"),"")</f>
        <v/>
      </c>
      <c r="L626" s="147" t="str">
        <f t="shared" si="14"/>
        <v/>
      </c>
      <c r="M626" s="147" t="str">
        <f t="shared" si="15"/>
        <v/>
      </c>
      <c r="N626" s="147" t="str">
        <f t="shared" si="16"/>
        <v/>
      </c>
      <c r="O626" s="147" t="str">
        <f t="shared" si="6"/>
        <v/>
      </c>
      <c r="P626" s="150" t="str">
        <f t="shared" si="7"/>
        <v/>
      </c>
      <c r="Q626" s="151" t="str">
        <f>IFERROR(VLOOKUP(C626,Ativos!$A$1:$G2000,5,),)</f>
        <v/>
      </c>
    </row>
    <row r="627" ht="21.0" customHeight="1">
      <c r="A627" s="152"/>
      <c r="B627" s="160"/>
      <c r="C627" s="153"/>
      <c r="D627" s="169"/>
      <c r="E627" s="139"/>
      <c r="F627" s="141"/>
      <c r="G627" s="170" t="str">
        <f>IFERROR(__xludf.DUMMYFUNCTION("if($C627="""","""",iferror(if(row()&lt;&gt;2,INDEX(arrayformula(filter($H$2:$H626,$C$2:$C626&lt;&gt;"""",row($C$2:$C626)=max(if($C$2:$C626=C627,row($C$2:$C626),0)))) ,1),0),0))"),"")</f>
        <v/>
      </c>
      <c r="H627" s="170" t="str">
        <f t="shared" si="8"/>
        <v/>
      </c>
      <c r="I627" s="147" t="str">
        <f t="shared" si="1"/>
        <v/>
      </c>
      <c r="J627" s="147" t="str">
        <f t="shared" si="13"/>
        <v/>
      </c>
      <c r="K627" s="147" t="str">
        <f>IFERROR(__xludf.DUMMYFUNCTION("if(C627="""","""",iferror(if(row()&lt;&gt;2,INDEX(arrayformula(filter($L$2:$L626,$C$2:$C626&lt;&gt;"""",row($C$2:$C626)=max(if($C$2:$C626=C627,row($C$2:$C626),0)))) ,1),0),0))"),"")</f>
        <v/>
      </c>
      <c r="L627" s="147" t="str">
        <f t="shared" si="14"/>
        <v/>
      </c>
      <c r="M627" s="147" t="str">
        <f t="shared" si="15"/>
        <v/>
      </c>
      <c r="N627" s="147" t="str">
        <f t="shared" si="16"/>
        <v/>
      </c>
      <c r="O627" s="147" t="str">
        <f t="shared" si="6"/>
        <v/>
      </c>
      <c r="P627" s="150" t="str">
        <f t="shared" si="7"/>
        <v/>
      </c>
      <c r="Q627" s="151" t="str">
        <f>IFERROR(VLOOKUP(C627,Ativos!$A$1:$G2000,5,),)</f>
        <v/>
      </c>
    </row>
    <row r="628" ht="21.0" customHeight="1">
      <c r="A628" s="152"/>
      <c r="B628" s="160"/>
      <c r="C628" s="153"/>
      <c r="D628" s="169"/>
      <c r="E628" s="139"/>
      <c r="F628" s="141"/>
      <c r="G628" s="170" t="str">
        <f>IFERROR(__xludf.DUMMYFUNCTION("if($C628="""","""",iferror(if(row()&lt;&gt;2,INDEX(arrayformula(filter($H$2:$H627,$C$2:$C627&lt;&gt;"""",row($C$2:$C627)=max(if($C$2:$C627=C628,row($C$2:$C627),0)))) ,1),0),0))"),"")</f>
        <v/>
      </c>
      <c r="H628" s="170" t="str">
        <f t="shared" si="8"/>
        <v/>
      </c>
      <c r="I628" s="147" t="str">
        <f t="shared" si="1"/>
        <v/>
      </c>
      <c r="J628" s="147" t="str">
        <f t="shared" si="13"/>
        <v/>
      </c>
      <c r="K628" s="147" t="str">
        <f>IFERROR(__xludf.DUMMYFUNCTION("if(C628="""","""",iferror(if(row()&lt;&gt;2,INDEX(arrayformula(filter($L$2:$L627,$C$2:$C627&lt;&gt;"""",row($C$2:$C627)=max(if($C$2:$C627=C628,row($C$2:$C627),0)))) ,1),0),0))"),"")</f>
        <v/>
      </c>
      <c r="L628" s="147" t="str">
        <f t="shared" si="14"/>
        <v/>
      </c>
      <c r="M628" s="147" t="str">
        <f t="shared" si="15"/>
        <v/>
      </c>
      <c r="N628" s="147" t="str">
        <f t="shared" si="16"/>
        <v/>
      </c>
      <c r="O628" s="147" t="str">
        <f t="shared" si="6"/>
        <v/>
      </c>
      <c r="P628" s="150" t="str">
        <f t="shared" si="7"/>
        <v/>
      </c>
      <c r="Q628" s="151" t="str">
        <f>IFERROR(VLOOKUP(C628,Ativos!$A$1:$G2000,5,),)</f>
        <v/>
      </c>
    </row>
    <row r="629" ht="21.0" customHeight="1">
      <c r="A629" s="152"/>
      <c r="B629" s="160"/>
      <c r="C629" s="153"/>
      <c r="D629" s="169"/>
      <c r="E629" s="139"/>
      <c r="F629" s="141"/>
      <c r="G629" s="170" t="str">
        <f>IFERROR(__xludf.DUMMYFUNCTION("if($C629="""","""",iferror(if(row()&lt;&gt;2,INDEX(arrayformula(filter($H$2:$H628,$C$2:$C628&lt;&gt;"""",row($C$2:$C628)=max(if($C$2:$C628=C629,row($C$2:$C628),0)))) ,1),0),0))"),"")</f>
        <v/>
      </c>
      <c r="H629" s="170" t="str">
        <f t="shared" si="8"/>
        <v/>
      </c>
      <c r="I629" s="147" t="str">
        <f t="shared" si="1"/>
        <v/>
      </c>
      <c r="J629" s="147" t="str">
        <f t="shared" si="13"/>
        <v/>
      </c>
      <c r="K629" s="147" t="str">
        <f>IFERROR(__xludf.DUMMYFUNCTION("if(C629="""","""",iferror(if(row()&lt;&gt;2,INDEX(arrayformula(filter($L$2:$L628,$C$2:$C628&lt;&gt;"""",row($C$2:$C628)=max(if($C$2:$C628=C629,row($C$2:$C628),0)))) ,1),0),0))"),"")</f>
        <v/>
      </c>
      <c r="L629" s="147" t="str">
        <f t="shared" si="14"/>
        <v/>
      </c>
      <c r="M629" s="147" t="str">
        <f t="shared" si="15"/>
        <v/>
      </c>
      <c r="N629" s="147" t="str">
        <f t="shared" si="16"/>
        <v/>
      </c>
      <c r="O629" s="147" t="str">
        <f t="shared" si="6"/>
        <v/>
      </c>
      <c r="P629" s="150" t="str">
        <f t="shared" si="7"/>
        <v/>
      </c>
      <c r="Q629" s="151" t="str">
        <f>IFERROR(VLOOKUP(C629,Ativos!$A$1:$G2000,5,),)</f>
        <v/>
      </c>
    </row>
    <row r="630" ht="21.0" customHeight="1">
      <c r="A630" s="152"/>
      <c r="B630" s="160"/>
      <c r="C630" s="153"/>
      <c r="D630" s="169"/>
      <c r="E630" s="139"/>
      <c r="F630" s="141"/>
      <c r="G630" s="170" t="str">
        <f>IFERROR(__xludf.DUMMYFUNCTION("if($C630="""","""",iferror(if(row()&lt;&gt;2,INDEX(arrayformula(filter($H$2:$H629,$C$2:$C629&lt;&gt;"""",row($C$2:$C629)=max(if($C$2:$C629=C630,row($C$2:$C629),0)))) ,1),0),0))"),"")</f>
        <v/>
      </c>
      <c r="H630" s="170" t="str">
        <f t="shared" si="8"/>
        <v/>
      </c>
      <c r="I630" s="147" t="str">
        <f t="shared" si="1"/>
        <v/>
      </c>
      <c r="J630" s="147" t="str">
        <f t="shared" si="13"/>
        <v/>
      </c>
      <c r="K630" s="147" t="str">
        <f>IFERROR(__xludf.DUMMYFUNCTION("if(C630="""","""",iferror(if(row()&lt;&gt;2,INDEX(arrayformula(filter($L$2:$L629,$C$2:$C629&lt;&gt;"""",row($C$2:$C629)=max(if($C$2:$C629=C630,row($C$2:$C629),0)))) ,1),0),0))"),"")</f>
        <v/>
      </c>
      <c r="L630" s="147" t="str">
        <f t="shared" si="14"/>
        <v/>
      </c>
      <c r="M630" s="147" t="str">
        <f t="shared" si="15"/>
        <v/>
      </c>
      <c r="N630" s="147" t="str">
        <f t="shared" si="16"/>
        <v/>
      </c>
      <c r="O630" s="147" t="str">
        <f t="shared" si="6"/>
        <v/>
      </c>
      <c r="P630" s="150" t="str">
        <f t="shared" si="7"/>
        <v/>
      </c>
      <c r="Q630" s="151" t="str">
        <f>IFERROR(VLOOKUP(C630,Ativos!$A$1:$G2000,5,),)</f>
        <v/>
      </c>
    </row>
    <row r="631" ht="21.0" customHeight="1">
      <c r="A631" s="152"/>
      <c r="B631" s="160"/>
      <c r="C631" s="153"/>
      <c r="D631" s="169"/>
      <c r="E631" s="139"/>
      <c r="F631" s="141"/>
      <c r="G631" s="170" t="str">
        <f>IFERROR(__xludf.DUMMYFUNCTION("if($C631="""","""",iferror(if(row()&lt;&gt;2,INDEX(arrayformula(filter($H$2:$H630,$C$2:$C630&lt;&gt;"""",row($C$2:$C630)=max(if($C$2:$C630=C631,row($C$2:$C630),0)))) ,1),0),0))"),"")</f>
        <v/>
      </c>
      <c r="H631" s="170" t="str">
        <f t="shared" si="8"/>
        <v/>
      </c>
      <c r="I631" s="147" t="str">
        <f t="shared" si="1"/>
        <v/>
      </c>
      <c r="J631" s="147" t="str">
        <f t="shared" si="13"/>
        <v/>
      </c>
      <c r="K631" s="147" t="str">
        <f>IFERROR(__xludf.DUMMYFUNCTION("if(C631="""","""",iferror(if(row()&lt;&gt;2,INDEX(arrayformula(filter($L$2:$L630,$C$2:$C630&lt;&gt;"""",row($C$2:$C630)=max(if($C$2:$C630=C631,row($C$2:$C630),0)))) ,1),0),0))"),"")</f>
        <v/>
      </c>
      <c r="L631" s="147" t="str">
        <f t="shared" si="14"/>
        <v/>
      </c>
      <c r="M631" s="147" t="str">
        <f t="shared" si="15"/>
        <v/>
      </c>
      <c r="N631" s="147" t="str">
        <f t="shared" si="16"/>
        <v/>
      </c>
      <c r="O631" s="147" t="str">
        <f t="shared" si="6"/>
        <v/>
      </c>
      <c r="P631" s="150" t="str">
        <f t="shared" si="7"/>
        <v/>
      </c>
      <c r="Q631" s="151" t="str">
        <f>IFERROR(VLOOKUP(C631,Ativos!$A$1:$G2000,5,),)</f>
        <v/>
      </c>
    </row>
    <row r="632" ht="21.0" customHeight="1">
      <c r="A632" s="152"/>
      <c r="B632" s="160"/>
      <c r="C632" s="153"/>
      <c r="D632" s="169"/>
      <c r="E632" s="139"/>
      <c r="F632" s="141"/>
      <c r="G632" s="170" t="str">
        <f>IFERROR(__xludf.DUMMYFUNCTION("if($C632="""","""",iferror(if(row()&lt;&gt;2,INDEX(arrayformula(filter($H$2:$H631,$C$2:$C631&lt;&gt;"""",row($C$2:$C631)=max(if($C$2:$C631=C632,row($C$2:$C631),0)))) ,1),0),0))"),"")</f>
        <v/>
      </c>
      <c r="H632" s="170" t="str">
        <f t="shared" si="8"/>
        <v/>
      </c>
      <c r="I632" s="147" t="str">
        <f t="shared" si="1"/>
        <v/>
      </c>
      <c r="J632" s="147" t="str">
        <f t="shared" si="13"/>
        <v/>
      </c>
      <c r="K632" s="147" t="str">
        <f>IFERROR(__xludf.DUMMYFUNCTION("if(C632="""","""",iferror(if(row()&lt;&gt;2,INDEX(arrayformula(filter($L$2:$L631,$C$2:$C631&lt;&gt;"""",row($C$2:$C631)=max(if($C$2:$C631=C632,row($C$2:$C631),0)))) ,1),0),0))"),"")</f>
        <v/>
      </c>
      <c r="L632" s="147" t="str">
        <f t="shared" si="14"/>
        <v/>
      </c>
      <c r="M632" s="147" t="str">
        <f t="shared" si="15"/>
        <v/>
      </c>
      <c r="N632" s="147" t="str">
        <f t="shared" si="16"/>
        <v/>
      </c>
      <c r="O632" s="147" t="str">
        <f t="shared" si="6"/>
        <v/>
      </c>
      <c r="P632" s="150" t="str">
        <f t="shared" si="7"/>
        <v/>
      </c>
      <c r="Q632" s="151" t="str">
        <f>IFERROR(VLOOKUP(C632,Ativos!$A$1:$G2000,5,),)</f>
        <v/>
      </c>
    </row>
    <row r="633" ht="21.0" customHeight="1">
      <c r="A633" s="152"/>
      <c r="B633" s="160"/>
      <c r="C633" s="153"/>
      <c r="D633" s="169"/>
      <c r="E633" s="139"/>
      <c r="F633" s="141"/>
      <c r="G633" s="170" t="str">
        <f>IFERROR(__xludf.DUMMYFUNCTION("if($C633="""","""",iferror(if(row()&lt;&gt;2,INDEX(arrayformula(filter($H$2:$H632,$C$2:$C632&lt;&gt;"""",row($C$2:$C632)=max(if($C$2:$C632=C633,row($C$2:$C632),0)))) ,1),0),0))"),"")</f>
        <v/>
      </c>
      <c r="H633" s="170" t="str">
        <f t="shared" si="8"/>
        <v/>
      </c>
      <c r="I633" s="147" t="str">
        <f t="shared" si="1"/>
        <v/>
      </c>
      <c r="J633" s="147" t="str">
        <f t="shared" si="13"/>
        <v/>
      </c>
      <c r="K633" s="147" t="str">
        <f>IFERROR(__xludf.DUMMYFUNCTION("if(C633="""","""",iferror(if(row()&lt;&gt;2,INDEX(arrayformula(filter($L$2:$L632,$C$2:$C632&lt;&gt;"""",row($C$2:$C632)=max(if($C$2:$C632=C633,row($C$2:$C632),0)))) ,1),0),0))"),"")</f>
        <v/>
      </c>
      <c r="L633" s="147" t="str">
        <f t="shared" si="14"/>
        <v/>
      </c>
      <c r="M633" s="147" t="str">
        <f t="shared" si="15"/>
        <v/>
      </c>
      <c r="N633" s="147" t="str">
        <f t="shared" si="16"/>
        <v/>
      </c>
      <c r="O633" s="147" t="str">
        <f t="shared" si="6"/>
        <v/>
      </c>
      <c r="P633" s="150" t="str">
        <f t="shared" si="7"/>
        <v/>
      </c>
      <c r="Q633" s="151" t="str">
        <f>IFERROR(VLOOKUP(C633,Ativos!$A$1:$G2000,5,),)</f>
        <v/>
      </c>
    </row>
    <row r="634" ht="21.0" customHeight="1">
      <c r="A634" s="152"/>
      <c r="B634" s="160"/>
      <c r="C634" s="153"/>
      <c r="D634" s="169"/>
      <c r="E634" s="139"/>
      <c r="F634" s="141"/>
      <c r="G634" s="170" t="str">
        <f>IFERROR(__xludf.DUMMYFUNCTION("if($C634="""","""",iferror(if(row()&lt;&gt;2,INDEX(arrayformula(filter($H$2:$H633,$C$2:$C633&lt;&gt;"""",row($C$2:$C633)=max(if($C$2:$C633=C634,row($C$2:$C633),0)))) ,1),0),0))"),"")</f>
        <v/>
      </c>
      <c r="H634" s="170" t="str">
        <f t="shared" si="8"/>
        <v/>
      </c>
      <c r="I634" s="147" t="str">
        <f t="shared" si="1"/>
        <v/>
      </c>
      <c r="J634" s="147" t="str">
        <f t="shared" si="13"/>
        <v/>
      </c>
      <c r="K634" s="147" t="str">
        <f>IFERROR(__xludf.DUMMYFUNCTION("if(C634="""","""",iferror(if(row()&lt;&gt;2,INDEX(arrayformula(filter($L$2:$L633,$C$2:$C633&lt;&gt;"""",row($C$2:$C633)=max(if($C$2:$C633=C634,row($C$2:$C633),0)))) ,1),0),0))"),"")</f>
        <v/>
      </c>
      <c r="L634" s="147" t="str">
        <f t="shared" si="14"/>
        <v/>
      </c>
      <c r="M634" s="147" t="str">
        <f t="shared" si="15"/>
        <v/>
      </c>
      <c r="N634" s="147" t="str">
        <f t="shared" si="16"/>
        <v/>
      </c>
      <c r="O634" s="147" t="str">
        <f t="shared" si="6"/>
        <v/>
      </c>
      <c r="P634" s="150" t="str">
        <f t="shared" si="7"/>
        <v/>
      </c>
      <c r="Q634" s="151" t="str">
        <f>IFERROR(VLOOKUP(C634,Ativos!$A$1:$G2000,5,),)</f>
        <v/>
      </c>
    </row>
    <row r="635" ht="21.0" customHeight="1">
      <c r="A635" s="152"/>
      <c r="B635" s="160"/>
      <c r="C635" s="153"/>
      <c r="D635" s="169"/>
      <c r="E635" s="139"/>
      <c r="F635" s="141"/>
      <c r="G635" s="170" t="str">
        <f>IFERROR(__xludf.DUMMYFUNCTION("if($C635="""","""",iferror(if(row()&lt;&gt;2,INDEX(arrayformula(filter($H$2:$H634,$C$2:$C634&lt;&gt;"""",row($C$2:$C634)=max(if($C$2:$C634=C635,row($C$2:$C634),0)))) ,1),0),0))"),"")</f>
        <v/>
      </c>
      <c r="H635" s="170" t="str">
        <f t="shared" si="8"/>
        <v/>
      </c>
      <c r="I635" s="147" t="str">
        <f t="shared" si="1"/>
        <v/>
      </c>
      <c r="J635" s="147" t="str">
        <f t="shared" si="13"/>
        <v/>
      </c>
      <c r="K635" s="147" t="str">
        <f>IFERROR(__xludf.DUMMYFUNCTION("if(C635="""","""",iferror(if(row()&lt;&gt;2,INDEX(arrayformula(filter($L$2:$L634,$C$2:$C634&lt;&gt;"""",row($C$2:$C634)=max(if($C$2:$C634=C635,row($C$2:$C634),0)))) ,1),0),0))"),"")</f>
        <v/>
      </c>
      <c r="L635" s="147" t="str">
        <f t="shared" si="14"/>
        <v/>
      </c>
      <c r="M635" s="147" t="str">
        <f t="shared" si="15"/>
        <v/>
      </c>
      <c r="N635" s="147" t="str">
        <f t="shared" si="16"/>
        <v/>
      </c>
      <c r="O635" s="147" t="str">
        <f t="shared" si="6"/>
        <v/>
      </c>
      <c r="P635" s="150" t="str">
        <f t="shared" si="7"/>
        <v/>
      </c>
      <c r="Q635" s="151" t="str">
        <f>IFERROR(VLOOKUP(C635,Ativos!$A$1:$G2000,5,),)</f>
        <v/>
      </c>
    </row>
    <row r="636" ht="21.0" customHeight="1">
      <c r="A636" s="152"/>
      <c r="B636" s="160"/>
      <c r="C636" s="153"/>
      <c r="D636" s="169"/>
      <c r="E636" s="139"/>
      <c r="F636" s="141"/>
      <c r="G636" s="170" t="str">
        <f>IFERROR(__xludf.DUMMYFUNCTION("if($C636="""","""",iferror(if(row()&lt;&gt;2,INDEX(arrayformula(filter($H$2:$H635,$C$2:$C635&lt;&gt;"""",row($C$2:$C635)=max(if($C$2:$C635=C636,row($C$2:$C635),0)))) ,1),0),0))"),"")</f>
        <v/>
      </c>
      <c r="H636" s="170" t="str">
        <f t="shared" si="8"/>
        <v/>
      </c>
      <c r="I636" s="147" t="str">
        <f t="shared" si="1"/>
        <v/>
      </c>
      <c r="J636" s="147" t="str">
        <f t="shared" si="13"/>
        <v/>
      </c>
      <c r="K636" s="147" t="str">
        <f>IFERROR(__xludf.DUMMYFUNCTION("if(C636="""","""",iferror(if(row()&lt;&gt;2,INDEX(arrayformula(filter($L$2:$L635,$C$2:$C635&lt;&gt;"""",row($C$2:$C635)=max(if($C$2:$C635=C636,row($C$2:$C635),0)))) ,1),0),0))"),"")</f>
        <v/>
      </c>
      <c r="L636" s="147" t="str">
        <f t="shared" si="14"/>
        <v/>
      </c>
      <c r="M636" s="147" t="str">
        <f t="shared" si="15"/>
        <v/>
      </c>
      <c r="N636" s="147" t="str">
        <f t="shared" si="16"/>
        <v/>
      </c>
      <c r="O636" s="147" t="str">
        <f t="shared" si="6"/>
        <v/>
      </c>
      <c r="P636" s="150" t="str">
        <f t="shared" si="7"/>
        <v/>
      </c>
      <c r="Q636" s="151" t="str">
        <f>IFERROR(VLOOKUP(C636,Ativos!$A$1:$G2000,5,),)</f>
        <v/>
      </c>
    </row>
    <row r="637" ht="21.0" customHeight="1">
      <c r="A637" s="152"/>
      <c r="B637" s="160"/>
      <c r="C637" s="153"/>
      <c r="D637" s="169"/>
      <c r="E637" s="139"/>
      <c r="F637" s="141"/>
      <c r="G637" s="170" t="str">
        <f>IFERROR(__xludf.DUMMYFUNCTION("if($C637="""","""",iferror(if(row()&lt;&gt;2,INDEX(arrayformula(filter($H$2:$H636,$C$2:$C636&lt;&gt;"""",row($C$2:$C636)=max(if($C$2:$C636=C637,row($C$2:$C636),0)))) ,1),0),0))"),"")</f>
        <v/>
      </c>
      <c r="H637" s="170" t="str">
        <f t="shared" si="8"/>
        <v/>
      </c>
      <c r="I637" s="147" t="str">
        <f t="shared" si="1"/>
        <v/>
      </c>
      <c r="J637" s="147" t="str">
        <f t="shared" si="13"/>
        <v/>
      </c>
      <c r="K637" s="147" t="str">
        <f>IFERROR(__xludf.DUMMYFUNCTION("if(C637="""","""",iferror(if(row()&lt;&gt;2,INDEX(arrayformula(filter($L$2:$L636,$C$2:$C636&lt;&gt;"""",row($C$2:$C636)=max(if($C$2:$C636=C637,row($C$2:$C636),0)))) ,1),0),0))"),"")</f>
        <v/>
      </c>
      <c r="L637" s="147" t="str">
        <f t="shared" si="14"/>
        <v/>
      </c>
      <c r="M637" s="147" t="str">
        <f t="shared" si="15"/>
        <v/>
      </c>
      <c r="N637" s="147" t="str">
        <f t="shared" si="16"/>
        <v/>
      </c>
      <c r="O637" s="147" t="str">
        <f t="shared" si="6"/>
        <v/>
      </c>
      <c r="P637" s="150" t="str">
        <f t="shared" si="7"/>
        <v/>
      </c>
      <c r="Q637" s="151" t="str">
        <f>IFERROR(VLOOKUP(C637,Ativos!$A$1:$G2000,5,),)</f>
        <v/>
      </c>
    </row>
    <row r="638" ht="21.0" customHeight="1">
      <c r="A638" s="152"/>
      <c r="B638" s="160"/>
      <c r="C638" s="153"/>
      <c r="D638" s="169"/>
      <c r="E638" s="139"/>
      <c r="F638" s="141"/>
      <c r="G638" s="170" t="str">
        <f>IFERROR(__xludf.DUMMYFUNCTION("if($C638="""","""",iferror(if(row()&lt;&gt;2,INDEX(arrayformula(filter($H$2:$H637,$C$2:$C637&lt;&gt;"""",row($C$2:$C637)=max(if($C$2:$C637=C638,row($C$2:$C637),0)))) ,1),0),0))"),"")</f>
        <v/>
      </c>
      <c r="H638" s="170" t="str">
        <f t="shared" si="8"/>
        <v/>
      </c>
      <c r="I638" s="147" t="str">
        <f t="shared" si="1"/>
        <v/>
      </c>
      <c r="J638" s="147" t="str">
        <f t="shared" si="13"/>
        <v/>
      </c>
      <c r="K638" s="147" t="str">
        <f>IFERROR(__xludf.DUMMYFUNCTION("if(C638="""","""",iferror(if(row()&lt;&gt;2,INDEX(arrayformula(filter($L$2:$L637,$C$2:$C637&lt;&gt;"""",row($C$2:$C637)=max(if($C$2:$C637=C638,row($C$2:$C637),0)))) ,1),0),0))"),"")</f>
        <v/>
      </c>
      <c r="L638" s="147" t="str">
        <f t="shared" si="14"/>
        <v/>
      </c>
      <c r="M638" s="147" t="str">
        <f t="shared" si="15"/>
        <v/>
      </c>
      <c r="N638" s="147" t="str">
        <f t="shared" si="16"/>
        <v/>
      </c>
      <c r="O638" s="147" t="str">
        <f t="shared" si="6"/>
        <v/>
      </c>
      <c r="P638" s="150" t="str">
        <f t="shared" si="7"/>
        <v/>
      </c>
      <c r="Q638" s="151" t="str">
        <f>IFERROR(VLOOKUP(C638,Ativos!$A$1:$G2000,5,),)</f>
        <v/>
      </c>
    </row>
    <row r="639" ht="21.0" customHeight="1">
      <c r="A639" s="152"/>
      <c r="B639" s="160"/>
      <c r="C639" s="153"/>
      <c r="D639" s="169"/>
      <c r="E639" s="139"/>
      <c r="F639" s="141"/>
      <c r="G639" s="170" t="str">
        <f>IFERROR(__xludf.DUMMYFUNCTION("if($C639="""","""",iferror(if(row()&lt;&gt;2,INDEX(arrayformula(filter($H$2:$H638,$C$2:$C638&lt;&gt;"""",row($C$2:$C638)=max(if($C$2:$C638=C639,row($C$2:$C638),0)))) ,1),0),0))"),"")</f>
        <v/>
      </c>
      <c r="H639" s="170" t="str">
        <f t="shared" si="8"/>
        <v/>
      </c>
      <c r="I639" s="147" t="str">
        <f t="shared" si="1"/>
        <v/>
      </c>
      <c r="J639" s="147" t="str">
        <f t="shared" si="13"/>
        <v/>
      </c>
      <c r="K639" s="147" t="str">
        <f>IFERROR(__xludf.DUMMYFUNCTION("if(C639="""","""",iferror(if(row()&lt;&gt;2,INDEX(arrayformula(filter($L$2:$L638,$C$2:$C638&lt;&gt;"""",row($C$2:$C638)=max(if($C$2:$C638=C639,row($C$2:$C638),0)))) ,1),0),0))"),"")</f>
        <v/>
      </c>
      <c r="L639" s="147" t="str">
        <f t="shared" si="14"/>
        <v/>
      </c>
      <c r="M639" s="147" t="str">
        <f t="shared" si="15"/>
        <v/>
      </c>
      <c r="N639" s="147" t="str">
        <f t="shared" si="16"/>
        <v/>
      </c>
      <c r="O639" s="147" t="str">
        <f t="shared" si="6"/>
        <v/>
      </c>
      <c r="P639" s="150" t="str">
        <f t="shared" si="7"/>
        <v/>
      </c>
      <c r="Q639" s="151" t="str">
        <f>IFERROR(VLOOKUP(C639,Ativos!$A$1:$G2000,5,),)</f>
        <v/>
      </c>
    </row>
    <row r="640" ht="21.0" customHeight="1">
      <c r="A640" s="152"/>
      <c r="B640" s="160"/>
      <c r="C640" s="153"/>
      <c r="D640" s="169"/>
      <c r="E640" s="139"/>
      <c r="F640" s="141"/>
      <c r="G640" s="170" t="str">
        <f>IFERROR(__xludf.DUMMYFUNCTION("if($C640="""","""",iferror(if(row()&lt;&gt;2,INDEX(arrayformula(filter($H$2:$H639,$C$2:$C639&lt;&gt;"""",row($C$2:$C639)=max(if($C$2:$C639=C640,row($C$2:$C639),0)))) ,1),0),0))"),"")</f>
        <v/>
      </c>
      <c r="H640" s="170" t="str">
        <f t="shared" si="8"/>
        <v/>
      </c>
      <c r="I640" s="147" t="str">
        <f t="shared" si="1"/>
        <v/>
      </c>
      <c r="J640" s="147" t="str">
        <f t="shared" si="13"/>
        <v/>
      </c>
      <c r="K640" s="147" t="str">
        <f>IFERROR(__xludf.DUMMYFUNCTION("if(C640="""","""",iferror(if(row()&lt;&gt;2,INDEX(arrayformula(filter($L$2:$L639,$C$2:$C639&lt;&gt;"""",row($C$2:$C639)=max(if($C$2:$C639=C640,row($C$2:$C639),0)))) ,1),0),0))"),"")</f>
        <v/>
      </c>
      <c r="L640" s="147" t="str">
        <f t="shared" si="14"/>
        <v/>
      </c>
      <c r="M640" s="147" t="str">
        <f t="shared" si="15"/>
        <v/>
      </c>
      <c r="N640" s="147" t="str">
        <f t="shared" si="16"/>
        <v/>
      </c>
      <c r="O640" s="147" t="str">
        <f t="shared" si="6"/>
        <v/>
      </c>
      <c r="P640" s="150" t="str">
        <f t="shared" si="7"/>
        <v/>
      </c>
      <c r="Q640" s="151" t="str">
        <f>IFERROR(VLOOKUP(C640,Ativos!$A$1:$G2000,5,),)</f>
        <v/>
      </c>
    </row>
    <row r="641" ht="21.0" customHeight="1">
      <c r="A641" s="152"/>
      <c r="B641" s="160"/>
      <c r="C641" s="153"/>
      <c r="D641" s="169"/>
      <c r="E641" s="139"/>
      <c r="F641" s="141"/>
      <c r="G641" s="170" t="str">
        <f>IFERROR(__xludf.DUMMYFUNCTION("if($C641="""","""",iferror(if(row()&lt;&gt;2,INDEX(arrayformula(filter($H$2:$H640,$C$2:$C640&lt;&gt;"""",row($C$2:$C640)=max(if($C$2:$C640=C641,row($C$2:$C640),0)))) ,1),0),0))"),"")</f>
        <v/>
      </c>
      <c r="H641" s="170" t="str">
        <f t="shared" si="8"/>
        <v/>
      </c>
      <c r="I641" s="147" t="str">
        <f t="shared" si="1"/>
        <v/>
      </c>
      <c r="J641" s="147" t="str">
        <f t="shared" si="13"/>
        <v/>
      </c>
      <c r="K641" s="147" t="str">
        <f>IFERROR(__xludf.DUMMYFUNCTION("if(C641="""","""",iferror(if(row()&lt;&gt;2,INDEX(arrayformula(filter($L$2:$L640,$C$2:$C640&lt;&gt;"""",row($C$2:$C640)=max(if($C$2:$C640=C641,row($C$2:$C640),0)))) ,1),0),0))"),"")</f>
        <v/>
      </c>
      <c r="L641" s="147" t="str">
        <f t="shared" si="14"/>
        <v/>
      </c>
      <c r="M641" s="147" t="str">
        <f t="shared" si="15"/>
        <v/>
      </c>
      <c r="N641" s="147" t="str">
        <f t="shared" si="16"/>
        <v/>
      </c>
      <c r="O641" s="147" t="str">
        <f t="shared" si="6"/>
        <v/>
      </c>
      <c r="P641" s="150" t="str">
        <f t="shared" si="7"/>
        <v/>
      </c>
      <c r="Q641" s="151" t="str">
        <f>IFERROR(VLOOKUP(C641,Ativos!$A$1:$G2000,5,),)</f>
        <v/>
      </c>
    </row>
    <row r="642" ht="21.0" customHeight="1">
      <c r="A642" s="152"/>
      <c r="B642" s="160"/>
      <c r="C642" s="153"/>
      <c r="D642" s="169"/>
      <c r="E642" s="139"/>
      <c r="F642" s="141"/>
      <c r="G642" s="170" t="str">
        <f>IFERROR(__xludf.DUMMYFUNCTION("if($C642="""","""",iferror(if(row()&lt;&gt;2,INDEX(arrayformula(filter($H$2:$H641,$C$2:$C641&lt;&gt;"""",row($C$2:$C641)=max(if($C$2:$C641=C642,row($C$2:$C641),0)))) ,1),0),0))"),"")</f>
        <v/>
      </c>
      <c r="H642" s="170" t="str">
        <f t="shared" si="8"/>
        <v/>
      </c>
      <c r="I642" s="147" t="str">
        <f t="shared" si="1"/>
        <v/>
      </c>
      <c r="J642" s="147" t="str">
        <f t="shared" si="13"/>
        <v/>
      </c>
      <c r="K642" s="147" t="str">
        <f>IFERROR(__xludf.DUMMYFUNCTION("if(C642="""","""",iferror(if(row()&lt;&gt;2,INDEX(arrayformula(filter($L$2:$L641,$C$2:$C641&lt;&gt;"""",row($C$2:$C641)=max(if($C$2:$C641=C642,row($C$2:$C641),0)))) ,1),0),0))"),"")</f>
        <v/>
      </c>
      <c r="L642" s="147" t="str">
        <f t="shared" si="14"/>
        <v/>
      </c>
      <c r="M642" s="147" t="str">
        <f t="shared" si="15"/>
        <v/>
      </c>
      <c r="N642" s="147" t="str">
        <f t="shared" si="16"/>
        <v/>
      </c>
      <c r="O642" s="147" t="str">
        <f t="shared" si="6"/>
        <v/>
      </c>
      <c r="P642" s="150" t="str">
        <f t="shared" si="7"/>
        <v/>
      </c>
      <c r="Q642" s="151" t="str">
        <f>IFERROR(VLOOKUP(C642,Ativos!$A$1:$G2000,5,),)</f>
        <v/>
      </c>
    </row>
    <row r="643" ht="21.0" customHeight="1">
      <c r="A643" s="152"/>
      <c r="B643" s="160"/>
      <c r="C643" s="153"/>
      <c r="D643" s="169"/>
      <c r="E643" s="139"/>
      <c r="F643" s="141"/>
      <c r="G643" s="170" t="str">
        <f>IFERROR(__xludf.DUMMYFUNCTION("if($C643="""","""",iferror(if(row()&lt;&gt;2,INDEX(arrayformula(filter($H$2:$H642,$C$2:$C642&lt;&gt;"""",row($C$2:$C642)=max(if($C$2:$C642=C643,row($C$2:$C642),0)))) ,1),0),0))"),"")</f>
        <v/>
      </c>
      <c r="H643" s="170" t="str">
        <f t="shared" si="8"/>
        <v/>
      </c>
      <c r="I643" s="147" t="str">
        <f t="shared" si="1"/>
        <v/>
      </c>
      <c r="J643" s="147" t="str">
        <f t="shared" si="13"/>
        <v/>
      </c>
      <c r="K643" s="147" t="str">
        <f>IFERROR(__xludf.DUMMYFUNCTION("if(C643="""","""",iferror(if(row()&lt;&gt;2,INDEX(arrayformula(filter($L$2:$L642,$C$2:$C642&lt;&gt;"""",row($C$2:$C642)=max(if($C$2:$C642=C643,row($C$2:$C642),0)))) ,1),0),0))"),"")</f>
        <v/>
      </c>
      <c r="L643" s="147" t="str">
        <f t="shared" si="14"/>
        <v/>
      </c>
      <c r="M643" s="147" t="str">
        <f t="shared" si="15"/>
        <v/>
      </c>
      <c r="N643" s="147" t="str">
        <f t="shared" si="16"/>
        <v/>
      </c>
      <c r="O643" s="147" t="str">
        <f t="shared" si="6"/>
        <v/>
      </c>
      <c r="P643" s="150" t="str">
        <f t="shared" si="7"/>
        <v/>
      </c>
      <c r="Q643" s="151" t="str">
        <f>IFERROR(VLOOKUP(C643,Ativos!$A$1:$G2000,5,),)</f>
        <v/>
      </c>
    </row>
    <row r="644" ht="21.0" customHeight="1">
      <c r="A644" s="152"/>
      <c r="B644" s="160"/>
      <c r="C644" s="153"/>
      <c r="D644" s="169"/>
      <c r="E644" s="139"/>
      <c r="F644" s="141"/>
      <c r="G644" s="170" t="str">
        <f>IFERROR(__xludf.DUMMYFUNCTION("if($C644="""","""",iferror(if(row()&lt;&gt;2,INDEX(arrayformula(filter($H$2:$H643,$C$2:$C643&lt;&gt;"""",row($C$2:$C643)=max(if($C$2:$C643=C644,row($C$2:$C643),0)))) ,1),0),0))"),"")</f>
        <v/>
      </c>
      <c r="H644" s="170" t="str">
        <f t="shared" si="8"/>
        <v/>
      </c>
      <c r="I644" s="147" t="str">
        <f t="shared" si="1"/>
        <v/>
      </c>
      <c r="J644" s="147" t="str">
        <f t="shared" si="13"/>
        <v/>
      </c>
      <c r="K644" s="147" t="str">
        <f>IFERROR(__xludf.DUMMYFUNCTION("if(C644="""","""",iferror(if(row()&lt;&gt;2,INDEX(arrayformula(filter($L$2:$L643,$C$2:$C643&lt;&gt;"""",row($C$2:$C643)=max(if($C$2:$C643=C644,row($C$2:$C643),0)))) ,1),0),0))"),"")</f>
        <v/>
      </c>
      <c r="L644" s="147" t="str">
        <f t="shared" si="14"/>
        <v/>
      </c>
      <c r="M644" s="147" t="str">
        <f t="shared" si="15"/>
        <v/>
      </c>
      <c r="N644" s="147" t="str">
        <f t="shared" si="16"/>
        <v/>
      </c>
      <c r="O644" s="147" t="str">
        <f t="shared" si="6"/>
        <v/>
      </c>
      <c r="P644" s="150" t="str">
        <f t="shared" si="7"/>
        <v/>
      </c>
      <c r="Q644" s="151" t="str">
        <f>IFERROR(VLOOKUP(C644,Ativos!$A$1:$G2000,5,),)</f>
        <v/>
      </c>
    </row>
    <row r="645" ht="21.0" customHeight="1">
      <c r="A645" s="152"/>
      <c r="B645" s="160"/>
      <c r="C645" s="153"/>
      <c r="D645" s="169"/>
      <c r="E645" s="139"/>
      <c r="F645" s="141"/>
      <c r="G645" s="170" t="str">
        <f>IFERROR(__xludf.DUMMYFUNCTION("if($C645="""","""",iferror(if(row()&lt;&gt;2,INDEX(arrayformula(filter($H$2:$H644,$C$2:$C644&lt;&gt;"""",row($C$2:$C644)=max(if($C$2:$C644=C645,row($C$2:$C644),0)))) ,1),0),0))"),"")</f>
        <v/>
      </c>
      <c r="H645" s="170" t="str">
        <f t="shared" si="8"/>
        <v/>
      </c>
      <c r="I645" s="147" t="str">
        <f t="shared" si="1"/>
        <v/>
      </c>
      <c r="J645" s="147" t="str">
        <f t="shared" si="13"/>
        <v/>
      </c>
      <c r="K645" s="147" t="str">
        <f>IFERROR(__xludf.DUMMYFUNCTION("if(C645="""","""",iferror(if(row()&lt;&gt;2,INDEX(arrayformula(filter($L$2:$L644,$C$2:$C644&lt;&gt;"""",row($C$2:$C644)=max(if($C$2:$C644=C645,row($C$2:$C644),0)))) ,1),0),0))"),"")</f>
        <v/>
      </c>
      <c r="L645" s="147" t="str">
        <f t="shared" si="14"/>
        <v/>
      </c>
      <c r="M645" s="147" t="str">
        <f t="shared" si="15"/>
        <v/>
      </c>
      <c r="N645" s="147" t="str">
        <f t="shared" si="16"/>
        <v/>
      </c>
      <c r="O645" s="147" t="str">
        <f t="shared" si="6"/>
        <v/>
      </c>
      <c r="P645" s="150" t="str">
        <f t="shared" si="7"/>
        <v/>
      </c>
      <c r="Q645" s="151" t="str">
        <f>IFERROR(VLOOKUP(C645,Ativos!$A$1:$G2000,5,),)</f>
        <v/>
      </c>
    </row>
    <row r="646" ht="21.0" customHeight="1">
      <c r="A646" s="152"/>
      <c r="B646" s="160"/>
      <c r="C646" s="153"/>
      <c r="D646" s="169"/>
      <c r="E646" s="139"/>
      <c r="F646" s="141"/>
      <c r="G646" s="170" t="str">
        <f>IFERROR(__xludf.DUMMYFUNCTION("if($C646="""","""",iferror(if(row()&lt;&gt;2,INDEX(arrayformula(filter($H$2:$H645,$C$2:$C645&lt;&gt;"""",row($C$2:$C645)=max(if($C$2:$C645=C646,row($C$2:$C645),0)))) ,1),0),0))"),"")</f>
        <v/>
      </c>
      <c r="H646" s="170" t="str">
        <f t="shared" si="8"/>
        <v/>
      </c>
      <c r="I646" s="147" t="str">
        <f t="shared" si="1"/>
        <v/>
      </c>
      <c r="J646" s="147" t="str">
        <f t="shared" si="13"/>
        <v/>
      </c>
      <c r="K646" s="147" t="str">
        <f>IFERROR(__xludf.DUMMYFUNCTION("if(C646="""","""",iferror(if(row()&lt;&gt;2,INDEX(arrayformula(filter($L$2:$L645,$C$2:$C645&lt;&gt;"""",row($C$2:$C645)=max(if($C$2:$C645=C646,row($C$2:$C645),0)))) ,1),0),0))"),"")</f>
        <v/>
      </c>
      <c r="L646" s="147" t="str">
        <f t="shared" si="14"/>
        <v/>
      </c>
      <c r="M646" s="147" t="str">
        <f t="shared" si="15"/>
        <v/>
      </c>
      <c r="N646" s="147" t="str">
        <f t="shared" si="16"/>
        <v/>
      </c>
      <c r="O646" s="147" t="str">
        <f t="shared" si="6"/>
        <v/>
      </c>
      <c r="P646" s="150" t="str">
        <f t="shared" si="7"/>
        <v/>
      </c>
      <c r="Q646" s="151" t="str">
        <f>IFERROR(VLOOKUP(C646,Ativos!$A$1:$G2000,5,),)</f>
        <v/>
      </c>
    </row>
    <row r="647" ht="21.0" customHeight="1">
      <c r="A647" s="152"/>
      <c r="B647" s="160"/>
      <c r="C647" s="153"/>
      <c r="D647" s="169"/>
      <c r="E647" s="139"/>
      <c r="F647" s="141"/>
      <c r="G647" s="170" t="str">
        <f>IFERROR(__xludf.DUMMYFUNCTION("if($C647="""","""",iferror(if(row()&lt;&gt;2,INDEX(arrayformula(filter($H$2:$H646,$C$2:$C646&lt;&gt;"""",row($C$2:$C646)=max(if($C$2:$C646=C647,row($C$2:$C646),0)))) ,1),0),0))"),"")</f>
        <v/>
      </c>
      <c r="H647" s="170" t="str">
        <f t="shared" si="8"/>
        <v/>
      </c>
      <c r="I647" s="147" t="str">
        <f t="shared" si="1"/>
        <v/>
      </c>
      <c r="J647" s="147" t="str">
        <f t="shared" si="13"/>
        <v/>
      </c>
      <c r="K647" s="147" t="str">
        <f>IFERROR(__xludf.DUMMYFUNCTION("if(C647="""","""",iferror(if(row()&lt;&gt;2,INDEX(arrayformula(filter($L$2:$L646,$C$2:$C646&lt;&gt;"""",row($C$2:$C646)=max(if($C$2:$C646=C647,row($C$2:$C646),0)))) ,1),0),0))"),"")</f>
        <v/>
      </c>
      <c r="L647" s="147" t="str">
        <f t="shared" si="14"/>
        <v/>
      </c>
      <c r="M647" s="147" t="str">
        <f t="shared" si="15"/>
        <v/>
      </c>
      <c r="N647" s="147" t="str">
        <f t="shared" si="16"/>
        <v/>
      </c>
      <c r="O647" s="147" t="str">
        <f t="shared" si="6"/>
        <v/>
      </c>
      <c r="P647" s="150" t="str">
        <f t="shared" si="7"/>
        <v/>
      </c>
      <c r="Q647" s="151" t="str">
        <f>IFERROR(VLOOKUP(C647,Ativos!$A$1:$G2000,5,),)</f>
        <v/>
      </c>
    </row>
    <row r="648" ht="21.0" customHeight="1">
      <c r="A648" s="152"/>
      <c r="B648" s="160"/>
      <c r="C648" s="153"/>
      <c r="D648" s="169"/>
      <c r="E648" s="139"/>
      <c r="F648" s="141"/>
      <c r="G648" s="170" t="str">
        <f>IFERROR(__xludf.DUMMYFUNCTION("if($C648="""","""",iferror(if(row()&lt;&gt;2,INDEX(arrayformula(filter($H$2:$H647,$C$2:$C647&lt;&gt;"""",row($C$2:$C647)=max(if($C$2:$C647=C648,row($C$2:$C647),0)))) ,1),0),0))"),"")</f>
        <v/>
      </c>
      <c r="H648" s="170" t="str">
        <f t="shared" si="8"/>
        <v/>
      </c>
      <c r="I648" s="147" t="str">
        <f t="shared" si="1"/>
        <v/>
      </c>
      <c r="J648" s="147" t="str">
        <f t="shared" si="13"/>
        <v/>
      </c>
      <c r="K648" s="147" t="str">
        <f>IFERROR(__xludf.DUMMYFUNCTION("if(C648="""","""",iferror(if(row()&lt;&gt;2,INDEX(arrayformula(filter($L$2:$L647,$C$2:$C647&lt;&gt;"""",row($C$2:$C647)=max(if($C$2:$C647=C648,row($C$2:$C647),0)))) ,1),0),0))"),"")</f>
        <v/>
      </c>
      <c r="L648" s="147" t="str">
        <f t="shared" si="14"/>
        <v/>
      </c>
      <c r="M648" s="147" t="str">
        <f t="shared" si="15"/>
        <v/>
      </c>
      <c r="N648" s="147" t="str">
        <f t="shared" si="16"/>
        <v/>
      </c>
      <c r="O648" s="147" t="str">
        <f t="shared" si="6"/>
        <v/>
      </c>
      <c r="P648" s="150" t="str">
        <f t="shared" si="7"/>
        <v/>
      </c>
      <c r="Q648" s="151" t="str">
        <f>IFERROR(VLOOKUP(C648,Ativos!$A$1:$G2000,5,),)</f>
        <v/>
      </c>
    </row>
    <row r="649" ht="21.0" customHeight="1">
      <c r="A649" s="152"/>
      <c r="B649" s="160"/>
      <c r="C649" s="153"/>
      <c r="D649" s="169"/>
      <c r="E649" s="139"/>
      <c r="F649" s="141"/>
      <c r="G649" s="170" t="str">
        <f>IFERROR(__xludf.DUMMYFUNCTION("if($C649="""","""",iferror(if(row()&lt;&gt;2,INDEX(arrayformula(filter($H$2:$H648,$C$2:$C648&lt;&gt;"""",row($C$2:$C648)=max(if($C$2:$C648=C649,row($C$2:$C648),0)))) ,1),0),0))"),"")</f>
        <v/>
      </c>
      <c r="H649" s="170" t="str">
        <f t="shared" si="8"/>
        <v/>
      </c>
      <c r="I649" s="147" t="str">
        <f t="shared" si="1"/>
        <v/>
      </c>
      <c r="J649" s="147" t="str">
        <f t="shared" si="13"/>
        <v/>
      </c>
      <c r="K649" s="147" t="str">
        <f>IFERROR(__xludf.DUMMYFUNCTION("if(C649="""","""",iferror(if(row()&lt;&gt;2,INDEX(arrayformula(filter($L$2:$L648,$C$2:$C648&lt;&gt;"""",row($C$2:$C648)=max(if($C$2:$C648=C649,row($C$2:$C648),0)))) ,1),0),0))"),"")</f>
        <v/>
      </c>
      <c r="L649" s="147" t="str">
        <f t="shared" si="14"/>
        <v/>
      </c>
      <c r="M649" s="147" t="str">
        <f t="shared" si="15"/>
        <v/>
      </c>
      <c r="N649" s="147" t="str">
        <f t="shared" si="16"/>
        <v/>
      </c>
      <c r="O649" s="147" t="str">
        <f t="shared" si="6"/>
        <v/>
      </c>
      <c r="P649" s="150" t="str">
        <f t="shared" si="7"/>
        <v/>
      </c>
      <c r="Q649" s="151" t="str">
        <f>IFERROR(VLOOKUP(C649,Ativos!$A$1:$G2000,5,),)</f>
        <v/>
      </c>
    </row>
    <row r="650" ht="21.0" customHeight="1">
      <c r="A650" s="152"/>
      <c r="B650" s="160"/>
      <c r="C650" s="153"/>
      <c r="D650" s="169"/>
      <c r="E650" s="139"/>
      <c r="F650" s="141"/>
      <c r="G650" s="170" t="str">
        <f>IFERROR(__xludf.DUMMYFUNCTION("if($C650="""","""",iferror(if(row()&lt;&gt;2,INDEX(arrayformula(filter($H$2:$H649,$C$2:$C649&lt;&gt;"""",row($C$2:$C649)=max(if($C$2:$C649=C650,row($C$2:$C649),0)))) ,1),0),0))"),"")</f>
        <v/>
      </c>
      <c r="H650" s="170" t="str">
        <f t="shared" si="8"/>
        <v/>
      </c>
      <c r="I650" s="147" t="str">
        <f t="shared" si="1"/>
        <v/>
      </c>
      <c r="J650" s="147" t="str">
        <f t="shared" si="13"/>
        <v/>
      </c>
      <c r="K650" s="147" t="str">
        <f>IFERROR(__xludf.DUMMYFUNCTION("if(C650="""","""",iferror(if(row()&lt;&gt;2,INDEX(arrayformula(filter($L$2:$L649,$C$2:$C649&lt;&gt;"""",row($C$2:$C649)=max(if($C$2:$C649=C650,row($C$2:$C649),0)))) ,1),0),0))"),"")</f>
        <v/>
      </c>
      <c r="L650" s="147" t="str">
        <f t="shared" si="14"/>
        <v/>
      </c>
      <c r="M650" s="147" t="str">
        <f t="shared" si="15"/>
        <v/>
      </c>
      <c r="N650" s="147" t="str">
        <f t="shared" si="16"/>
        <v/>
      </c>
      <c r="O650" s="147" t="str">
        <f t="shared" si="6"/>
        <v/>
      </c>
      <c r="P650" s="150" t="str">
        <f t="shared" si="7"/>
        <v/>
      </c>
      <c r="Q650" s="151" t="str">
        <f>IFERROR(VLOOKUP(C650,Ativos!$A$1:$G2000,5,),)</f>
        <v/>
      </c>
    </row>
    <row r="651" ht="21.0" customHeight="1">
      <c r="A651" s="152"/>
      <c r="B651" s="160"/>
      <c r="C651" s="153"/>
      <c r="D651" s="169"/>
      <c r="E651" s="139"/>
      <c r="F651" s="141"/>
      <c r="G651" s="170" t="str">
        <f>IFERROR(__xludf.DUMMYFUNCTION("if($C651="""","""",iferror(if(row()&lt;&gt;2,INDEX(arrayformula(filter($H$2:$H650,$C$2:$C650&lt;&gt;"""",row($C$2:$C650)=max(if($C$2:$C650=C651,row($C$2:$C650),0)))) ,1),0),0))"),"")</f>
        <v/>
      </c>
      <c r="H651" s="170" t="str">
        <f t="shared" si="8"/>
        <v/>
      </c>
      <c r="I651" s="147" t="str">
        <f t="shared" si="1"/>
        <v/>
      </c>
      <c r="J651" s="147" t="str">
        <f t="shared" si="13"/>
        <v/>
      </c>
      <c r="K651" s="147" t="str">
        <f>IFERROR(__xludf.DUMMYFUNCTION("if(C651="""","""",iferror(if(row()&lt;&gt;2,INDEX(arrayformula(filter($L$2:$L650,$C$2:$C650&lt;&gt;"""",row($C$2:$C650)=max(if($C$2:$C650=C651,row($C$2:$C650),0)))) ,1),0),0))"),"")</f>
        <v/>
      </c>
      <c r="L651" s="147" t="str">
        <f t="shared" si="14"/>
        <v/>
      </c>
      <c r="M651" s="147" t="str">
        <f t="shared" si="15"/>
        <v/>
      </c>
      <c r="N651" s="147" t="str">
        <f t="shared" si="16"/>
        <v/>
      </c>
      <c r="O651" s="147" t="str">
        <f t="shared" si="6"/>
        <v/>
      </c>
      <c r="P651" s="150" t="str">
        <f t="shared" si="7"/>
        <v/>
      </c>
      <c r="Q651" s="151" t="str">
        <f>IFERROR(VLOOKUP(C651,Ativos!$A$1:$G2000,5,),)</f>
        <v/>
      </c>
    </row>
    <row r="652" ht="21.0" customHeight="1">
      <c r="A652" s="152"/>
      <c r="B652" s="160"/>
      <c r="C652" s="153"/>
      <c r="D652" s="169"/>
      <c r="E652" s="139"/>
      <c r="F652" s="141"/>
      <c r="G652" s="170" t="str">
        <f>IFERROR(__xludf.DUMMYFUNCTION("if($C652="""","""",iferror(if(row()&lt;&gt;2,INDEX(arrayformula(filter($H$2:$H651,$C$2:$C651&lt;&gt;"""",row($C$2:$C651)=max(if($C$2:$C651=C652,row($C$2:$C651),0)))) ,1),0),0))"),"")</f>
        <v/>
      </c>
      <c r="H652" s="170" t="str">
        <f t="shared" si="8"/>
        <v/>
      </c>
      <c r="I652" s="147" t="str">
        <f t="shared" si="1"/>
        <v/>
      </c>
      <c r="J652" s="147" t="str">
        <f t="shared" si="13"/>
        <v/>
      </c>
      <c r="K652" s="147" t="str">
        <f>IFERROR(__xludf.DUMMYFUNCTION("if(C652="""","""",iferror(if(row()&lt;&gt;2,INDEX(arrayformula(filter($L$2:$L651,$C$2:$C651&lt;&gt;"""",row($C$2:$C651)=max(if($C$2:$C651=C652,row($C$2:$C651),0)))) ,1),0),0))"),"")</f>
        <v/>
      </c>
      <c r="L652" s="147" t="str">
        <f t="shared" si="14"/>
        <v/>
      </c>
      <c r="M652" s="147" t="str">
        <f t="shared" si="15"/>
        <v/>
      </c>
      <c r="N652" s="147" t="str">
        <f t="shared" si="16"/>
        <v/>
      </c>
      <c r="O652" s="147" t="str">
        <f t="shared" si="6"/>
        <v/>
      </c>
      <c r="P652" s="150" t="str">
        <f t="shared" si="7"/>
        <v/>
      </c>
      <c r="Q652" s="151" t="str">
        <f>IFERROR(VLOOKUP(C652,Ativos!$A$1:$G2000,5,),)</f>
        <v/>
      </c>
    </row>
    <row r="653" ht="21.0" customHeight="1">
      <c r="A653" s="152"/>
      <c r="B653" s="160"/>
      <c r="C653" s="153"/>
      <c r="D653" s="169"/>
      <c r="E653" s="139"/>
      <c r="F653" s="141"/>
      <c r="G653" s="170" t="str">
        <f>IFERROR(__xludf.DUMMYFUNCTION("if($C653="""","""",iferror(if(row()&lt;&gt;2,INDEX(arrayformula(filter($H$2:$H652,$C$2:$C652&lt;&gt;"""",row($C$2:$C652)=max(if($C$2:$C652=C653,row($C$2:$C652),0)))) ,1),0),0))"),"")</f>
        <v/>
      </c>
      <c r="H653" s="170" t="str">
        <f t="shared" si="8"/>
        <v/>
      </c>
      <c r="I653" s="147" t="str">
        <f t="shared" si="1"/>
        <v/>
      </c>
      <c r="J653" s="147" t="str">
        <f t="shared" si="13"/>
        <v/>
      </c>
      <c r="K653" s="147" t="str">
        <f>IFERROR(__xludf.DUMMYFUNCTION("if(C653="""","""",iferror(if(row()&lt;&gt;2,INDEX(arrayformula(filter($L$2:$L652,$C$2:$C652&lt;&gt;"""",row($C$2:$C652)=max(if($C$2:$C652=C653,row($C$2:$C652),0)))) ,1),0),0))"),"")</f>
        <v/>
      </c>
      <c r="L653" s="147" t="str">
        <f t="shared" si="14"/>
        <v/>
      </c>
      <c r="M653" s="147" t="str">
        <f t="shared" si="15"/>
        <v/>
      </c>
      <c r="N653" s="147" t="str">
        <f t="shared" si="16"/>
        <v/>
      </c>
      <c r="O653" s="147" t="str">
        <f t="shared" si="6"/>
        <v/>
      </c>
      <c r="P653" s="150" t="str">
        <f t="shared" si="7"/>
        <v/>
      </c>
      <c r="Q653" s="151" t="str">
        <f>IFERROR(VLOOKUP(C653,Ativos!$A$1:$G2000,5,),)</f>
        <v/>
      </c>
    </row>
    <row r="654" ht="21.0" customHeight="1">
      <c r="A654" s="152"/>
      <c r="B654" s="160"/>
      <c r="C654" s="153"/>
      <c r="D654" s="169"/>
      <c r="E654" s="139"/>
      <c r="F654" s="141"/>
      <c r="G654" s="170" t="str">
        <f>IFERROR(__xludf.DUMMYFUNCTION("if($C654="""","""",iferror(if(row()&lt;&gt;2,INDEX(arrayformula(filter($H$2:$H653,$C$2:$C653&lt;&gt;"""",row($C$2:$C653)=max(if($C$2:$C653=C654,row($C$2:$C653),0)))) ,1),0),0))"),"")</f>
        <v/>
      </c>
      <c r="H654" s="170" t="str">
        <f t="shared" si="8"/>
        <v/>
      </c>
      <c r="I654" s="147" t="str">
        <f t="shared" si="1"/>
        <v/>
      </c>
      <c r="J654" s="147" t="str">
        <f t="shared" si="13"/>
        <v/>
      </c>
      <c r="K654" s="147" t="str">
        <f>IFERROR(__xludf.DUMMYFUNCTION("if(C654="""","""",iferror(if(row()&lt;&gt;2,INDEX(arrayformula(filter($L$2:$L653,$C$2:$C653&lt;&gt;"""",row($C$2:$C653)=max(if($C$2:$C653=C654,row($C$2:$C653),0)))) ,1),0),0))"),"")</f>
        <v/>
      </c>
      <c r="L654" s="147" t="str">
        <f t="shared" si="14"/>
        <v/>
      </c>
      <c r="M654" s="147" t="str">
        <f t="shared" si="15"/>
        <v/>
      </c>
      <c r="N654" s="147" t="str">
        <f t="shared" si="16"/>
        <v/>
      </c>
      <c r="O654" s="147" t="str">
        <f t="shared" si="6"/>
        <v/>
      </c>
      <c r="P654" s="150" t="str">
        <f t="shared" si="7"/>
        <v/>
      </c>
      <c r="Q654" s="151" t="str">
        <f>IFERROR(VLOOKUP(C654,Ativos!$A$1:$G2000,5,),)</f>
        <v/>
      </c>
    </row>
    <row r="655" ht="21.0" customHeight="1">
      <c r="A655" s="152"/>
      <c r="B655" s="160"/>
      <c r="C655" s="153"/>
      <c r="D655" s="169"/>
      <c r="E655" s="139"/>
      <c r="F655" s="141"/>
      <c r="G655" s="170" t="str">
        <f>IFERROR(__xludf.DUMMYFUNCTION("if($C655="""","""",iferror(if(row()&lt;&gt;2,INDEX(arrayformula(filter($H$2:$H654,$C$2:$C654&lt;&gt;"""",row($C$2:$C654)=max(if($C$2:$C654=C655,row($C$2:$C654),0)))) ,1),0),0))"),"")</f>
        <v/>
      </c>
      <c r="H655" s="170" t="str">
        <f t="shared" si="8"/>
        <v/>
      </c>
      <c r="I655" s="147" t="str">
        <f t="shared" si="1"/>
        <v/>
      </c>
      <c r="J655" s="147" t="str">
        <f t="shared" si="13"/>
        <v/>
      </c>
      <c r="K655" s="147" t="str">
        <f>IFERROR(__xludf.DUMMYFUNCTION("if(C655="""","""",iferror(if(row()&lt;&gt;2,INDEX(arrayformula(filter($L$2:$L654,$C$2:$C654&lt;&gt;"""",row($C$2:$C654)=max(if($C$2:$C654=C655,row($C$2:$C654),0)))) ,1),0),0))"),"")</f>
        <v/>
      </c>
      <c r="L655" s="147" t="str">
        <f t="shared" si="14"/>
        <v/>
      </c>
      <c r="M655" s="147" t="str">
        <f t="shared" si="15"/>
        <v/>
      </c>
      <c r="N655" s="147" t="str">
        <f t="shared" si="16"/>
        <v/>
      </c>
      <c r="O655" s="147" t="str">
        <f t="shared" si="6"/>
        <v/>
      </c>
      <c r="P655" s="150" t="str">
        <f t="shared" si="7"/>
        <v/>
      </c>
      <c r="Q655" s="151" t="str">
        <f>IFERROR(VLOOKUP(C655,Ativos!$A$1:$G2000,5,),)</f>
        <v/>
      </c>
    </row>
    <row r="656" ht="21.0" customHeight="1">
      <c r="A656" s="152"/>
      <c r="B656" s="160"/>
      <c r="C656" s="153"/>
      <c r="D656" s="169"/>
      <c r="E656" s="139"/>
      <c r="F656" s="141"/>
      <c r="G656" s="170" t="str">
        <f>IFERROR(__xludf.DUMMYFUNCTION("if($C656="""","""",iferror(if(row()&lt;&gt;2,INDEX(arrayformula(filter($H$2:$H655,$C$2:$C655&lt;&gt;"""",row($C$2:$C655)=max(if($C$2:$C655=C656,row($C$2:$C655),0)))) ,1),0),0))"),"")</f>
        <v/>
      </c>
      <c r="H656" s="170" t="str">
        <f t="shared" si="8"/>
        <v/>
      </c>
      <c r="I656" s="147" t="str">
        <f t="shared" si="1"/>
        <v/>
      </c>
      <c r="J656" s="147" t="str">
        <f t="shared" si="13"/>
        <v/>
      </c>
      <c r="K656" s="147" t="str">
        <f>IFERROR(__xludf.DUMMYFUNCTION("if(C656="""","""",iferror(if(row()&lt;&gt;2,INDEX(arrayformula(filter($L$2:$L655,$C$2:$C655&lt;&gt;"""",row($C$2:$C655)=max(if($C$2:$C655=C656,row($C$2:$C655),0)))) ,1),0),0))"),"")</f>
        <v/>
      </c>
      <c r="L656" s="147" t="str">
        <f t="shared" si="14"/>
        <v/>
      </c>
      <c r="M656" s="147" t="str">
        <f t="shared" si="15"/>
        <v/>
      </c>
      <c r="N656" s="147" t="str">
        <f t="shared" si="16"/>
        <v/>
      </c>
      <c r="O656" s="147" t="str">
        <f t="shared" si="6"/>
        <v/>
      </c>
      <c r="P656" s="150" t="str">
        <f t="shared" si="7"/>
        <v/>
      </c>
      <c r="Q656" s="151" t="str">
        <f>IFERROR(VLOOKUP(C656,Ativos!$A$1:$G2000,5,),)</f>
        <v/>
      </c>
    </row>
    <row r="657" ht="21.0" customHeight="1">
      <c r="A657" s="152"/>
      <c r="B657" s="160"/>
      <c r="C657" s="153"/>
      <c r="D657" s="169"/>
      <c r="E657" s="139"/>
      <c r="F657" s="141"/>
      <c r="G657" s="170" t="str">
        <f>IFERROR(__xludf.DUMMYFUNCTION("if($C657="""","""",iferror(if(row()&lt;&gt;2,INDEX(arrayformula(filter($H$2:$H656,$C$2:$C656&lt;&gt;"""",row($C$2:$C656)=max(if($C$2:$C656=C657,row($C$2:$C656),0)))) ,1),0),0))"),"")</f>
        <v/>
      </c>
      <c r="H657" s="170" t="str">
        <f t="shared" si="8"/>
        <v/>
      </c>
      <c r="I657" s="147" t="str">
        <f t="shared" si="1"/>
        <v/>
      </c>
      <c r="J657" s="147" t="str">
        <f t="shared" si="13"/>
        <v/>
      </c>
      <c r="K657" s="147" t="str">
        <f>IFERROR(__xludf.DUMMYFUNCTION("if(C657="""","""",iferror(if(row()&lt;&gt;2,INDEX(arrayformula(filter($L$2:$L656,$C$2:$C656&lt;&gt;"""",row($C$2:$C656)=max(if($C$2:$C656=C657,row($C$2:$C656),0)))) ,1),0),0))"),"")</f>
        <v/>
      </c>
      <c r="L657" s="147" t="str">
        <f t="shared" si="14"/>
        <v/>
      </c>
      <c r="M657" s="147" t="str">
        <f t="shared" si="15"/>
        <v/>
      </c>
      <c r="N657" s="147" t="str">
        <f t="shared" si="16"/>
        <v/>
      </c>
      <c r="O657" s="147" t="str">
        <f t="shared" si="6"/>
        <v/>
      </c>
      <c r="P657" s="150" t="str">
        <f t="shared" si="7"/>
        <v/>
      </c>
      <c r="Q657" s="151" t="str">
        <f>IFERROR(VLOOKUP(C657,Ativos!$A$1:$G2000,5,),)</f>
        <v/>
      </c>
    </row>
    <row r="658" ht="21.0" customHeight="1">
      <c r="A658" s="152"/>
      <c r="B658" s="160"/>
      <c r="C658" s="153"/>
      <c r="D658" s="169"/>
      <c r="E658" s="139"/>
      <c r="F658" s="141"/>
      <c r="G658" s="170" t="str">
        <f>IFERROR(__xludf.DUMMYFUNCTION("if($C658="""","""",iferror(if(row()&lt;&gt;2,INDEX(arrayformula(filter($H$2:$H657,$C$2:$C657&lt;&gt;"""",row($C$2:$C657)=max(if($C$2:$C657=C658,row($C$2:$C657),0)))) ,1),0),0))"),"")</f>
        <v/>
      </c>
      <c r="H658" s="170" t="str">
        <f t="shared" si="8"/>
        <v/>
      </c>
      <c r="I658" s="147" t="str">
        <f t="shared" si="1"/>
        <v/>
      </c>
      <c r="J658" s="147" t="str">
        <f t="shared" si="13"/>
        <v/>
      </c>
      <c r="K658" s="147" t="str">
        <f>IFERROR(__xludf.DUMMYFUNCTION("if(C658="""","""",iferror(if(row()&lt;&gt;2,INDEX(arrayformula(filter($L$2:$L657,$C$2:$C657&lt;&gt;"""",row($C$2:$C657)=max(if($C$2:$C657=C658,row($C$2:$C657),0)))) ,1),0),0))"),"")</f>
        <v/>
      </c>
      <c r="L658" s="147" t="str">
        <f t="shared" si="14"/>
        <v/>
      </c>
      <c r="M658" s="147" t="str">
        <f t="shared" si="15"/>
        <v/>
      </c>
      <c r="N658" s="147" t="str">
        <f t="shared" si="16"/>
        <v/>
      </c>
      <c r="O658" s="147" t="str">
        <f t="shared" si="6"/>
        <v/>
      </c>
      <c r="P658" s="150" t="str">
        <f t="shared" si="7"/>
        <v/>
      </c>
      <c r="Q658" s="151" t="str">
        <f>IFERROR(VLOOKUP(C658,Ativos!$A$1:$G2000,5,),)</f>
        <v/>
      </c>
    </row>
    <row r="659" ht="21.0" customHeight="1">
      <c r="A659" s="152"/>
      <c r="B659" s="160"/>
      <c r="C659" s="153"/>
      <c r="D659" s="169"/>
      <c r="E659" s="139"/>
      <c r="F659" s="141"/>
      <c r="G659" s="170" t="str">
        <f>IFERROR(__xludf.DUMMYFUNCTION("if($C659="""","""",iferror(if(row()&lt;&gt;2,INDEX(arrayformula(filter($H$2:$H658,$C$2:$C658&lt;&gt;"""",row($C$2:$C658)=max(if($C$2:$C658=C659,row($C$2:$C658),0)))) ,1),0),0))"),"")</f>
        <v/>
      </c>
      <c r="H659" s="170" t="str">
        <f t="shared" si="8"/>
        <v/>
      </c>
      <c r="I659" s="147" t="str">
        <f t="shared" si="1"/>
        <v/>
      </c>
      <c r="J659" s="147" t="str">
        <f t="shared" si="13"/>
        <v/>
      </c>
      <c r="K659" s="147" t="str">
        <f>IFERROR(__xludf.DUMMYFUNCTION("if(C659="""","""",iferror(if(row()&lt;&gt;2,INDEX(arrayformula(filter($L$2:$L658,$C$2:$C658&lt;&gt;"""",row($C$2:$C658)=max(if($C$2:$C658=C659,row($C$2:$C658),0)))) ,1),0),0))"),"")</f>
        <v/>
      </c>
      <c r="L659" s="147" t="str">
        <f t="shared" si="14"/>
        <v/>
      </c>
      <c r="M659" s="147" t="str">
        <f t="shared" si="15"/>
        <v/>
      </c>
      <c r="N659" s="147" t="str">
        <f t="shared" si="16"/>
        <v/>
      </c>
      <c r="O659" s="147" t="str">
        <f t="shared" si="6"/>
        <v/>
      </c>
      <c r="P659" s="150" t="str">
        <f t="shared" si="7"/>
        <v/>
      </c>
      <c r="Q659" s="151" t="str">
        <f>IFERROR(VLOOKUP(C659,Ativos!$A$1:$G2000,5,),)</f>
        <v/>
      </c>
    </row>
    <row r="660" ht="21.0" customHeight="1">
      <c r="A660" s="152"/>
      <c r="B660" s="160"/>
      <c r="C660" s="153"/>
      <c r="D660" s="169"/>
      <c r="E660" s="139"/>
      <c r="F660" s="141"/>
      <c r="G660" s="170" t="str">
        <f>IFERROR(__xludf.DUMMYFUNCTION("if($C660="""","""",iferror(if(row()&lt;&gt;2,INDEX(arrayformula(filter($H$2:$H659,$C$2:$C659&lt;&gt;"""",row($C$2:$C659)=max(if($C$2:$C659=C660,row($C$2:$C659),0)))) ,1),0),0))"),"")</f>
        <v/>
      </c>
      <c r="H660" s="170" t="str">
        <f t="shared" si="8"/>
        <v/>
      </c>
      <c r="I660" s="147" t="str">
        <f t="shared" si="1"/>
        <v/>
      </c>
      <c r="J660" s="147" t="str">
        <f t="shared" si="13"/>
        <v/>
      </c>
      <c r="K660" s="147" t="str">
        <f>IFERROR(__xludf.DUMMYFUNCTION("if(C660="""","""",iferror(if(row()&lt;&gt;2,INDEX(arrayformula(filter($L$2:$L659,$C$2:$C659&lt;&gt;"""",row($C$2:$C659)=max(if($C$2:$C659=C660,row($C$2:$C659),0)))) ,1),0),0))"),"")</f>
        <v/>
      </c>
      <c r="L660" s="147" t="str">
        <f t="shared" si="14"/>
        <v/>
      </c>
      <c r="M660" s="147" t="str">
        <f t="shared" si="15"/>
        <v/>
      </c>
      <c r="N660" s="147" t="str">
        <f t="shared" si="16"/>
        <v/>
      </c>
      <c r="O660" s="147" t="str">
        <f t="shared" si="6"/>
        <v/>
      </c>
      <c r="P660" s="150" t="str">
        <f t="shared" si="7"/>
        <v/>
      </c>
      <c r="Q660" s="151" t="str">
        <f>IFERROR(VLOOKUP(C660,Ativos!$A$1:$G2000,5,),)</f>
        <v/>
      </c>
    </row>
    <row r="661" ht="21.0" customHeight="1">
      <c r="A661" s="152"/>
      <c r="B661" s="160"/>
      <c r="C661" s="153"/>
      <c r="D661" s="169"/>
      <c r="E661" s="139"/>
      <c r="F661" s="141"/>
      <c r="G661" s="170" t="str">
        <f>IFERROR(__xludf.DUMMYFUNCTION("if($C661="""","""",iferror(if(row()&lt;&gt;2,INDEX(arrayformula(filter($H$2:$H660,$C$2:$C660&lt;&gt;"""",row($C$2:$C660)=max(if($C$2:$C660=C661,row($C$2:$C660),0)))) ,1),0),0))"),"")</f>
        <v/>
      </c>
      <c r="H661" s="170" t="str">
        <f t="shared" si="8"/>
        <v/>
      </c>
      <c r="I661" s="147" t="str">
        <f t="shared" si="1"/>
        <v/>
      </c>
      <c r="J661" s="147" t="str">
        <f t="shared" si="13"/>
        <v/>
      </c>
      <c r="K661" s="147" t="str">
        <f>IFERROR(__xludf.DUMMYFUNCTION("if(C661="""","""",iferror(if(row()&lt;&gt;2,INDEX(arrayformula(filter($L$2:$L660,$C$2:$C660&lt;&gt;"""",row($C$2:$C660)=max(if($C$2:$C660=C661,row($C$2:$C660),0)))) ,1),0),0))"),"")</f>
        <v/>
      </c>
      <c r="L661" s="147" t="str">
        <f t="shared" si="14"/>
        <v/>
      </c>
      <c r="M661" s="147" t="str">
        <f t="shared" si="15"/>
        <v/>
      </c>
      <c r="N661" s="147" t="str">
        <f t="shared" si="16"/>
        <v/>
      </c>
      <c r="O661" s="147" t="str">
        <f t="shared" si="6"/>
        <v/>
      </c>
      <c r="P661" s="150" t="str">
        <f t="shared" si="7"/>
        <v/>
      </c>
      <c r="Q661" s="151" t="str">
        <f>IFERROR(VLOOKUP(C661,Ativos!$A$1:$G2000,5,),)</f>
        <v/>
      </c>
    </row>
    <row r="662" ht="21.0" customHeight="1">
      <c r="A662" s="152"/>
      <c r="B662" s="160"/>
      <c r="C662" s="153"/>
      <c r="D662" s="169"/>
      <c r="E662" s="139"/>
      <c r="F662" s="141"/>
      <c r="G662" s="170" t="str">
        <f>IFERROR(__xludf.DUMMYFUNCTION("if($C662="""","""",iferror(if(row()&lt;&gt;2,INDEX(arrayformula(filter($H$2:$H661,$C$2:$C661&lt;&gt;"""",row($C$2:$C661)=max(if($C$2:$C661=C662,row($C$2:$C661),0)))) ,1),0),0))"),"")</f>
        <v/>
      </c>
      <c r="H662" s="170" t="str">
        <f t="shared" si="8"/>
        <v/>
      </c>
      <c r="I662" s="147" t="str">
        <f t="shared" si="1"/>
        <v/>
      </c>
      <c r="J662" s="147" t="str">
        <f t="shared" si="13"/>
        <v/>
      </c>
      <c r="K662" s="147" t="str">
        <f>IFERROR(__xludf.DUMMYFUNCTION("if(C662="""","""",iferror(if(row()&lt;&gt;2,INDEX(arrayformula(filter($L$2:$L661,$C$2:$C661&lt;&gt;"""",row($C$2:$C661)=max(if($C$2:$C661=C662,row($C$2:$C661),0)))) ,1),0),0))"),"")</f>
        <v/>
      </c>
      <c r="L662" s="147" t="str">
        <f t="shared" si="14"/>
        <v/>
      </c>
      <c r="M662" s="147" t="str">
        <f t="shared" si="15"/>
        <v/>
      </c>
      <c r="N662" s="147" t="str">
        <f t="shared" si="16"/>
        <v/>
      </c>
      <c r="O662" s="147" t="str">
        <f t="shared" si="6"/>
        <v/>
      </c>
      <c r="P662" s="150" t="str">
        <f t="shared" si="7"/>
        <v/>
      </c>
      <c r="Q662" s="151" t="str">
        <f>IFERROR(VLOOKUP(C662,Ativos!$A$1:$G2000,5,),)</f>
        <v/>
      </c>
    </row>
    <row r="663" ht="21.0" customHeight="1">
      <c r="A663" s="152"/>
      <c r="B663" s="160"/>
      <c r="C663" s="153"/>
      <c r="D663" s="169"/>
      <c r="E663" s="139"/>
      <c r="F663" s="141"/>
      <c r="G663" s="170" t="str">
        <f>IFERROR(__xludf.DUMMYFUNCTION("if($C663="""","""",iferror(if(row()&lt;&gt;2,INDEX(arrayformula(filter($H$2:$H662,$C$2:$C662&lt;&gt;"""",row($C$2:$C662)=max(if($C$2:$C662=C663,row($C$2:$C662),0)))) ,1),0),0))"),"")</f>
        <v/>
      </c>
      <c r="H663" s="170" t="str">
        <f t="shared" si="8"/>
        <v/>
      </c>
      <c r="I663" s="147" t="str">
        <f t="shared" si="1"/>
        <v/>
      </c>
      <c r="J663" s="147" t="str">
        <f t="shared" si="13"/>
        <v/>
      </c>
      <c r="K663" s="147" t="str">
        <f>IFERROR(__xludf.DUMMYFUNCTION("if(C663="""","""",iferror(if(row()&lt;&gt;2,INDEX(arrayformula(filter($L$2:$L662,$C$2:$C662&lt;&gt;"""",row($C$2:$C662)=max(if($C$2:$C662=C663,row($C$2:$C662),0)))) ,1),0),0))"),"")</f>
        <v/>
      </c>
      <c r="L663" s="147" t="str">
        <f t="shared" si="14"/>
        <v/>
      </c>
      <c r="M663" s="147" t="str">
        <f t="shared" si="15"/>
        <v/>
      </c>
      <c r="N663" s="147" t="str">
        <f t="shared" si="16"/>
        <v/>
      </c>
      <c r="O663" s="147" t="str">
        <f t="shared" si="6"/>
        <v/>
      </c>
      <c r="P663" s="150" t="str">
        <f t="shared" si="7"/>
        <v/>
      </c>
      <c r="Q663" s="151" t="str">
        <f>IFERROR(VLOOKUP(C663,Ativos!$A$1:$G2000,5,),)</f>
        <v/>
      </c>
    </row>
    <row r="664" ht="21.0" customHeight="1">
      <c r="A664" s="152"/>
      <c r="B664" s="160"/>
      <c r="C664" s="153"/>
      <c r="D664" s="169"/>
      <c r="E664" s="139"/>
      <c r="F664" s="141"/>
      <c r="G664" s="170" t="str">
        <f>IFERROR(__xludf.DUMMYFUNCTION("if($C664="""","""",iferror(if(row()&lt;&gt;2,INDEX(arrayformula(filter($H$2:$H663,$C$2:$C663&lt;&gt;"""",row($C$2:$C663)=max(if($C$2:$C663=C664,row($C$2:$C663),0)))) ,1),0),0))"),"")</f>
        <v/>
      </c>
      <c r="H664" s="170" t="str">
        <f t="shared" si="8"/>
        <v/>
      </c>
      <c r="I664" s="147" t="str">
        <f t="shared" si="1"/>
        <v/>
      </c>
      <c r="J664" s="147" t="str">
        <f t="shared" si="13"/>
        <v/>
      </c>
      <c r="K664" s="147" t="str">
        <f>IFERROR(__xludf.DUMMYFUNCTION("if(C664="""","""",iferror(if(row()&lt;&gt;2,INDEX(arrayformula(filter($L$2:$L663,$C$2:$C663&lt;&gt;"""",row($C$2:$C663)=max(if($C$2:$C663=C664,row($C$2:$C663),0)))) ,1),0),0))"),"")</f>
        <v/>
      </c>
      <c r="L664" s="147" t="str">
        <f t="shared" si="14"/>
        <v/>
      </c>
      <c r="M664" s="147" t="str">
        <f t="shared" si="15"/>
        <v/>
      </c>
      <c r="N664" s="147" t="str">
        <f t="shared" si="16"/>
        <v/>
      </c>
      <c r="O664" s="147" t="str">
        <f t="shared" si="6"/>
        <v/>
      </c>
      <c r="P664" s="150" t="str">
        <f t="shared" si="7"/>
        <v/>
      </c>
      <c r="Q664" s="151" t="str">
        <f>IFERROR(VLOOKUP(C664,Ativos!$A$1:$G2000,5,),)</f>
        <v/>
      </c>
    </row>
    <row r="665" ht="21.0" customHeight="1">
      <c r="A665" s="152"/>
      <c r="B665" s="160"/>
      <c r="C665" s="153"/>
      <c r="D665" s="169"/>
      <c r="E665" s="139"/>
      <c r="F665" s="141"/>
      <c r="G665" s="170" t="str">
        <f>IFERROR(__xludf.DUMMYFUNCTION("if($C665="""","""",iferror(if(row()&lt;&gt;2,INDEX(arrayformula(filter($H$2:$H664,$C$2:$C664&lt;&gt;"""",row($C$2:$C664)=max(if($C$2:$C664=C665,row($C$2:$C664),0)))) ,1),0),0))"),"")</f>
        <v/>
      </c>
      <c r="H665" s="170" t="str">
        <f t="shared" si="8"/>
        <v/>
      </c>
      <c r="I665" s="147" t="str">
        <f t="shared" si="1"/>
        <v/>
      </c>
      <c r="J665" s="147" t="str">
        <f t="shared" si="13"/>
        <v/>
      </c>
      <c r="K665" s="147" t="str">
        <f>IFERROR(__xludf.DUMMYFUNCTION("if(C665="""","""",iferror(if(row()&lt;&gt;2,INDEX(arrayformula(filter($L$2:$L664,$C$2:$C664&lt;&gt;"""",row($C$2:$C664)=max(if($C$2:$C664=C665,row($C$2:$C664),0)))) ,1),0),0))"),"")</f>
        <v/>
      </c>
      <c r="L665" s="147" t="str">
        <f t="shared" si="14"/>
        <v/>
      </c>
      <c r="M665" s="147" t="str">
        <f t="shared" si="15"/>
        <v/>
      </c>
      <c r="N665" s="147" t="str">
        <f t="shared" si="16"/>
        <v/>
      </c>
      <c r="O665" s="147" t="str">
        <f t="shared" si="6"/>
        <v/>
      </c>
      <c r="P665" s="150" t="str">
        <f t="shared" si="7"/>
        <v/>
      </c>
      <c r="Q665" s="151" t="str">
        <f>IFERROR(VLOOKUP(C665,Ativos!$A$1:$G2000,5,),)</f>
        <v/>
      </c>
    </row>
    <row r="666" ht="21.0" customHeight="1">
      <c r="A666" s="152"/>
      <c r="B666" s="160"/>
      <c r="C666" s="153"/>
      <c r="D666" s="169"/>
      <c r="E666" s="139"/>
      <c r="F666" s="141"/>
      <c r="G666" s="170" t="str">
        <f>IFERROR(__xludf.DUMMYFUNCTION("if($C666="""","""",iferror(if(row()&lt;&gt;2,INDEX(arrayformula(filter($H$2:$H665,$C$2:$C665&lt;&gt;"""",row($C$2:$C665)=max(if($C$2:$C665=C666,row($C$2:$C665),0)))) ,1),0),0))"),"")</f>
        <v/>
      </c>
      <c r="H666" s="170" t="str">
        <f t="shared" si="8"/>
        <v/>
      </c>
      <c r="I666" s="147" t="str">
        <f t="shared" si="1"/>
        <v/>
      </c>
      <c r="J666" s="147" t="str">
        <f t="shared" si="13"/>
        <v/>
      </c>
      <c r="K666" s="147" t="str">
        <f>IFERROR(__xludf.DUMMYFUNCTION("if(C666="""","""",iferror(if(row()&lt;&gt;2,INDEX(arrayformula(filter($L$2:$L665,$C$2:$C665&lt;&gt;"""",row($C$2:$C665)=max(if($C$2:$C665=C666,row($C$2:$C665),0)))) ,1),0),0))"),"")</f>
        <v/>
      </c>
      <c r="L666" s="147" t="str">
        <f t="shared" si="14"/>
        <v/>
      </c>
      <c r="M666" s="147" t="str">
        <f t="shared" si="15"/>
        <v/>
      </c>
      <c r="N666" s="147" t="str">
        <f t="shared" si="16"/>
        <v/>
      </c>
      <c r="O666" s="147" t="str">
        <f t="shared" si="6"/>
        <v/>
      </c>
      <c r="P666" s="150" t="str">
        <f t="shared" si="7"/>
        <v/>
      </c>
      <c r="Q666" s="151" t="str">
        <f>IFERROR(VLOOKUP(C666,Ativos!$A$1:$G2000,5,),)</f>
        <v/>
      </c>
    </row>
    <row r="667" ht="21.0" customHeight="1">
      <c r="A667" s="152"/>
      <c r="B667" s="160"/>
      <c r="C667" s="153"/>
      <c r="D667" s="169"/>
      <c r="E667" s="139"/>
      <c r="F667" s="141"/>
      <c r="G667" s="170" t="str">
        <f>IFERROR(__xludf.DUMMYFUNCTION("if($C667="""","""",iferror(if(row()&lt;&gt;2,INDEX(arrayformula(filter($H$2:$H666,$C$2:$C666&lt;&gt;"""",row($C$2:$C666)=max(if($C$2:$C666=C667,row($C$2:$C666),0)))) ,1),0),0))"),"")</f>
        <v/>
      </c>
      <c r="H667" s="170" t="str">
        <f t="shared" si="8"/>
        <v/>
      </c>
      <c r="I667" s="147" t="str">
        <f t="shared" si="1"/>
        <v/>
      </c>
      <c r="J667" s="147" t="str">
        <f t="shared" si="13"/>
        <v/>
      </c>
      <c r="K667" s="147" t="str">
        <f>IFERROR(__xludf.DUMMYFUNCTION("if(C667="""","""",iferror(if(row()&lt;&gt;2,INDEX(arrayformula(filter($L$2:$L666,$C$2:$C666&lt;&gt;"""",row($C$2:$C666)=max(if($C$2:$C666=C667,row($C$2:$C666),0)))) ,1),0),0))"),"")</f>
        <v/>
      </c>
      <c r="L667" s="147" t="str">
        <f t="shared" si="14"/>
        <v/>
      </c>
      <c r="M667" s="147" t="str">
        <f t="shared" si="15"/>
        <v/>
      </c>
      <c r="N667" s="147" t="str">
        <f t="shared" si="16"/>
        <v/>
      </c>
      <c r="O667" s="147" t="str">
        <f t="shared" si="6"/>
        <v/>
      </c>
      <c r="P667" s="150" t="str">
        <f t="shared" si="7"/>
        <v/>
      </c>
      <c r="Q667" s="151" t="str">
        <f>IFERROR(VLOOKUP(C667,Ativos!$A$1:$G2000,5,),)</f>
        <v/>
      </c>
    </row>
    <row r="668" ht="21.0" customHeight="1">
      <c r="A668" s="152"/>
      <c r="B668" s="160"/>
      <c r="C668" s="153"/>
      <c r="D668" s="169"/>
      <c r="E668" s="139"/>
      <c r="F668" s="141"/>
      <c r="G668" s="170" t="str">
        <f>IFERROR(__xludf.DUMMYFUNCTION("if($C668="""","""",iferror(if(row()&lt;&gt;2,INDEX(arrayformula(filter($H$2:$H667,$C$2:$C667&lt;&gt;"""",row($C$2:$C667)=max(if($C$2:$C667=C668,row($C$2:$C667),0)))) ,1),0),0))"),"")</f>
        <v/>
      </c>
      <c r="H668" s="170" t="str">
        <f t="shared" si="8"/>
        <v/>
      </c>
      <c r="I668" s="147" t="str">
        <f t="shared" si="1"/>
        <v/>
      </c>
      <c r="J668" s="147" t="str">
        <f t="shared" si="13"/>
        <v/>
      </c>
      <c r="K668" s="147" t="str">
        <f>IFERROR(__xludf.DUMMYFUNCTION("if(C668="""","""",iferror(if(row()&lt;&gt;2,INDEX(arrayformula(filter($L$2:$L667,$C$2:$C667&lt;&gt;"""",row($C$2:$C667)=max(if($C$2:$C667=C668,row($C$2:$C667),0)))) ,1),0),0))"),"")</f>
        <v/>
      </c>
      <c r="L668" s="147" t="str">
        <f t="shared" si="14"/>
        <v/>
      </c>
      <c r="M668" s="147" t="str">
        <f t="shared" si="15"/>
        <v/>
      </c>
      <c r="N668" s="147" t="str">
        <f t="shared" si="16"/>
        <v/>
      </c>
      <c r="O668" s="147" t="str">
        <f t="shared" si="6"/>
        <v/>
      </c>
      <c r="P668" s="150" t="str">
        <f t="shared" si="7"/>
        <v/>
      </c>
      <c r="Q668" s="151" t="str">
        <f>IFERROR(VLOOKUP(C668,Ativos!$A$1:$G2000,5,),)</f>
        <v/>
      </c>
    </row>
    <row r="669" ht="21.0" customHeight="1">
      <c r="A669" s="152"/>
      <c r="B669" s="160"/>
      <c r="C669" s="153"/>
      <c r="D669" s="169"/>
      <c r="E669" s="139"/>
      <c r="F669" s="141"/>
      <c r="G669" s="170" t="str">
        <f>IFERROR(__xludf.DUMMYFUNCTION("if($C669="""","""",iferror(if(row()&lt;&gt;2,INDEX(arrayformula(filter($H$2:$H668,$C$2:$C668&lt;&gt;"""",row($C$2:$C668)=max(if($C$2:$C668=C669,row($C$2:$C668),0)))) ,1),0),0))"),"")</f>
        <v/>
      </c>
      <c r="H669" s="170" t="str">
        <f t="shared" si="8"/>
        <v/>
      </c>
      <c r="I669" s="147" t="str">
        <f t="shared" si="1"/>
        <v/>
      </c>
      <c r="J669" s="147" t="str">
        <f t="shared" si="13"/>
        <v/>
      </c>
      <c r="K669" s="147" t="str">
        <f>IFERROR(__xludf.DUMMYFUNCTION("if(C669="""","""",iferror(if(row()&lt;&gt;2,INDEX(arrayformula(filter($L$2:$L668,$C$2:$C668&lt;&gt;"""",row($C$2:$C668)=max(if($C$2:$C668=C669,row($C$2:$C668),0)))) ,1),0),0))"),"")</f>
        <v/>
      </c>
      <c r="L669" s="147" t="str">
        <f t="shared" si="14"/>
        <v/>
      </c>
      <c r="M669" s="147" t="str">
        <f t="shared" si="15"/>
        <v/>
      </c>
      <c r="N669" s="147" t="str">
        <f t="shared" si="16"/>
        <v/>
      </c>
      <c r="O669" s="147" t="str">
        <f t="shared" si="6"/>
        <v/>
      </c>
      <c r="P669" s="150" t="str">
        <f t="shared" si="7"/>
        <v/>
      </c>
      <c r="Q669" s="151" t="str">
        <f>IFERROR(VLOOKUP(C669,Ativos!$A$1:$G2000,5,),)</f>
        <v/>
      </c>
    </row>
    <row r="670" ht="21.0" customHeight="1">
      <c r="A670" s="152"/>
      <c r="B670" s="160"/>
      <c r="C670" s="153"/>
      <c r="D670" s="169"/>
      <c r="E670" s="139"/>
      <c r="F670" s="141"/>
      <c r="G670" s="170" t="str">
        <f>IFERROR(__xludf.DUMMYFUNCTION("if($C670="""","""",iferror(if(row()&lt;&gt;2,INDEX(arrayformula(filter($H$2:$H669,$C$2:$C669&lt;&gt;"""",row($C$2:$C669)=max(if($C$2:$C669=C670,row($C$2:$C669),0)))) ,1),0),0))"),"")</f>
        <v/>
      </c>
      <c r="H670" s="170" t="str">
        <f t="shared" si="8"/>
        <v/>
      </c>
      <c r="I670" s="147" t="str">
        <f t="shared" si="1"/>
        <v/>
      </c>
      <c r="J670" s="147" t="str">
        <f t="shared" si="13"/>
        <v/>
      </c>
      <c r="K670" s="147" t="str">
        <f>IFERROR(__xludf.DUMMYFUNCTION("if(C670="""","""",iferror(if(row()&lt;&gt;2,INDEX(arrayformula(filter($L$2:$L669,$C$2:$C669&lt;&gt;"""",row($C$2:$C669)=max(if($C$2:$C669=C670,row($C$2:$C669),0)))) ,1),0),0))"),"")</f>
        <v/>
      </c>
      <c r="L670" s="147" t="str">
        <f t="shared" si="14"/>
        <v/>
      </c>
      <c r="M670" s="147" t="str">
        <f t="shared" si="15"/>
        <v/>
      </c>
      <c r="N670" s="147" t="str">
        <f t="shared" si="16"/>
        <v/>
      </c>
      <c r="O670" s="147" t="str">
        <f t="shared" si="6"/>
        <v/>
      </c>
      <c r="P670" s="150" t="str">
        <f t="shared" si="7"/>
        <v/>
      </c>
      <c r="Q670" s="151" t="str">
        <f>IFERROR(VLOOKUP(C670,Ativos!$A$1:$G2000,5,),)</f>
        <v/>
      </c>
    </row>
    <row r="671" ht="21.0" customHeight="1">
      <c r="A671" s="152"/>
      <c r="B671" s="160"/>
      <c r="C671" s="153"/>
      <c r="D671" s="169"/>
      <c r="E671" s="139"/>
      <c r="F671" s="141"/>
      <c r="G671" s="170" t="str">
        <f>IFERROR(__xludf.DUMMYFUNCTION("if($C671="""","""",iferror(if(row()&lt;&gt;2,INDEX(arrayformula(filter($H$2:$H670,$C$2:$C670&lt;&gt;"""",row($C$2:$C670)=max(if($C$2:$C670=C671,row($C$2:$C670),0)))) ,1),0),0))"),"")</f>
        <v/>
      </c>
      <c r="H671" s="170" t="str">
        <f t="shared" si="8"/>
        <v/>
      </c>
      <c r="I671" s="147" t="str">
        <f t="shared" si="1"/>
        <v/>
      </c>
      <c r="J671" s="147" t="str">
        <f t="shared" si="13"/>
        <v/>
      </c>
      <c r="K671" s="147" t="str">
        <f>IFERROR(__xludf.DUMMYFUNCTION("if(C671="""","""",iferror(if(row()&lt;&gt;2,INDEX(arrayformula(filter($L$2:$L670,$C$2:$C670&lt;&gt;"""",row($C$2:$C670)=max(if($C$2:$C670=C671,row($C$2:$C670),0)))) ,1),0),0))"),"")</f>
        <v/>
      </c>
      <c r="L671" s="147" t="str">
        <f t="shared" si="14"/>
        <v/>
      </c>
      <c r="M671" s="147" t="str">
        <f t="shared" si="15"/>
        <v/>
      </c>
      <c r="N671" s="147" t="str">
        <f t="shared" si="16"/>
        <v/>
      </c>
      <c r="O671" s="147" t="str">
        <f t="shared" si="6"/>
        <v/>
      </c>
      <c r="P671" s="150" t="str">
        <f t="shared" si="7"/>
        <v/>
      </c>
      <c r="Q671" s="151" t="str">
        <f>IFERROR(VLOOKUP(C671,Ativos!$A$1:$G2000,5,),)</f>
        <v/>
      </c>
    </row>
    <row r="672" ht="21.0" customHeight="1">
      <c r="A672" s="152"/>
      <c r="B672" s="160"/>
      <c r="C672" s="153"/>
      <c r="D672" s="169"/>
      <c r="E672" s="139"/>
      <c r="F672" s="141"/>
      <c r="G672" s="170" t="str">
        <f>IFERROR(__xludf.DUMMYFUNCTION("if($C672="""","""",iferror(if(row()&lt;&gt;2,INDEX(arrayformula(filter($H$2:$H671,$C$2:$C671&lt;&gt;"""",row($C$2:$C671)=max(if($C$2:$C671=C672,row($C$2:$C671),0)))) ,1),0),0))"),"")</f>
        <v/>
      </c>
      <c r="H672" s="170" t="str">
        <f t="shared" si="8"/>
        <v/>
      </c>
      <c r="I672" s="147" t="str">
        <f t="shared" si="1"/>
        <v/>
      </c>
      <c r="J672" s="147" t="str">
        <f t="shared" si="13"/>
        <v/>
      </c>
      <c r="K672" s="147" t="str">
        <f>IFERROR(__xludf.DUMMYFUNCTION("if(C672="""","""",iferror(if(row()&lt;&gt;2,INDEX(arrayformula(filter($L$2:$L671,$C$2:$C671&lt;&gt;"""",row($C$2:$C671)=max(if($C$2:$C671=C672,row($C$2:$C671),0)))) ,1),0),0))"),"")</f>
        <v/>
      </c>
      <c r="L672" s="147" t="str">
        <f t="shared" si="14"/>
        <v/>
      </c>
      <c r="M672" s="147" t="str">
        <f t="shared" si="15"/>
        <v/>
      </c>
      <c r="N672" s="147" t="str">
        <f t="shared" si="16"/>
        <v/>
      </c>
      <c r="O672" s="147" t="str">
        <f t="shared" si="6"/>
        <v/>
      </c>
      <c r="P672" s="150" t="str">
        <f t="shared" si="7"/>
        <v/>
      </c>
      <c r="Q672" s="151" t="str">
        <f>IFERROR(VLOOKUP(C672,Ativos!$A$1:$G2000,5,),)</f>
        <v/>
      </c>
    </row>
    <row r="673" ht="21.0" customHeight="1">
      <c r="A673" s="152"/>
      <c r="B673" s="160"/>
      <c r="C673" s="153"/>
      <c r="D673" s="169"/>
      <c r="E673" s="139"/>
      <c r="F673" s="141"/>
      <c r="G673" s="170" t="str">
        <f>IFERROR(__xludf.DUMMYFUNCTION("if($C673="""","""",iferror(if(row()&lt;&gt;2,INDEX(arrayformula(filter($H$2:$H672,$C$2:$C672&lt;&gt;"""",row($C$2:$C672)=max(if($C$2:$C672=C673,row($C$2:$C672),0)))) ,1),0),0))"),"")</f>
        <v/>
      </c>
      <c r="H673" s="170" t="str">
        <f t="shared" si="8"/>
        <v/>
      </c>
      <c r="I673" s="147" t="str">
        <f t="shared" si="1"/>
        <v/>
      </c>
      <c r="J673" s="147" t="str">
        <f t="shared" si="13"/>
        <v/>
      </c>
      <c r="K673" s="147" t="str">
        <f>IFERROR(__xludf.DUMMYFUNCTION("if(C673="""","""",iferror(if(row()&lt;&gt;2,INDEX(arrayformula(filter($L$2:$L672,$C$2:$C672&lt;&gt;"""",row($C$2:$C672)=max(if($C$2:$C672=C673,row($C$2:$C672),0)))) ,1),0),0))"),"")</f>
        <v/>
      </c>
      <c r="L673" s="147" t="str">
        <f t="shared" si="14"/>
        <v/>
      </c>
      <c r="M673" s="147" t="str">
        <f t="shared" si="15"/>
        <v/>
      </c>
      <c r="N673" s="147" t="str">
        <f t="shared" si="16"/>
        <v/>
      </c>
      <c r="O673" s="147" t="str">
        <f t="shared" si="6"/>
        <v/>
      </c>
      <c r="P673" s="150" t="str">
        <f t="shared" si="7"/>
        <v/>
      </c>
      <c r="Q673" s="151" t="str">
        <f>IFERROR(VLOOKUP(C673,Ativos!$A$1:$G2000,5,),)</f>
        <v/>
      </c>
    </row>
    <row r="674" ht="21.0" customHeight="1">
      <c r="A674" s="152"/>
      <c r="B674" s="160"/>
      <c r="C674" s="153"/>
      <c r="D674" s="169"/>
      <c r="E674" s="139"/>
      <c r="F674" s="141"/>
      <c r="G674" s="170" t="str">
        <f>IFERROR(__xludf.DUMMYFUNCTION("if($C674="""","""",iferror(if(row()&lt;&gt;2,INDEX(arrayformula(filter($H$2:$H673,$C$2:$C673&lt;&gt;"""",row($C$2:$C673)=max(if($C$2:$C673=C674,row($C$2:$C673),0)))) ,1),0),0))"),"")</f>
        <v/>
      </c>
      <c r="H674" s="170" t="str">
        <f t="shared" si="8"/>
        <v/>
      </c>
      <c r="I674" s="147" t="str">
        <f t="shared" si="1"/>
        <v/>
      </c>
      <c r="J674" s="147" t="str">
        <f t="shared" si="13"/>
        <v/>
      </c>
      <c r="K674" s="147" t="str">
        <f>IFERROR(__xludf.DUMMYFUNCTION("if(C674="""","""",iferror(if(row()&lt;&gt;2,INDEX(arrayformula(filter($L$2:$L673,$C$2:$C673&lt;&gt;"""",row($C$2:$C673)=max(if($C$2:$C673=C674,row($C$2:$C673),0)))) ,1),0),0))"),"")</f>
        <v/>
      </c>
      <c r="L674" s="147" t="str">
        <f t="shared" si="14"/>
        <v/>
      </c>
      <c r="M674" s="147" t="str">
        <f t="shared" si="15"/>
        <v/>
      </c>
      <c r="N674" s="147" t="str">
        <f t="shared" si="16"/>
        <v/>
      </c>
      <c r="O674" s="147" t="str">
        <f t="shared" si="6"/>
        <v/>
      </c>
      <c r="P674" s="150" t="str">
        <f t="shared" si="7"/>
        <v/>
      </c>
      <c r="Q674" s="151" t="str">
        <f>IFERROR(VLOOKUP(C674,Ativos!$A$1:$G2000,5,),)</f>
        <v/>
      </c>
    </row>
    <row r="675" ht="21.0" customHeight="1">
      <c r="A675" s="152"/>
      <c r="B675" s="160"/>
      <c r="C675" s="153"/>
      <c r="D675" s="169"/>
      <c r="E675" s="139"/>
      <c r="F675" s="141"/>
      <c r="G675" s="170" t="str">
        <f>IFERROR(__xludf.DUMMYFUNCTION("if($C675="""","""",iferror(if(row()&lt;&gt;2,INDEX(arrayformula(filter($H$2:$H674,$C$2:$C674&lt;&gt;"""",row($C$2:$C674)=max(if($C$2:$C674=C675,row($C$2:$C674),0)))) ,1),0),0))"),"")</f>
        <v/>
      </c>
      <c r="H675" s="170" t="str">
        <f t="shared" si="8"/>
        <v/>
      </c>
      <c r="I675" s="147" t="str">
        <f t="shared" si="1"/>
        <v/>
      </c>
      <c r="J675" s="147" t="str">
        <f t="shared" si="13"/>
        <v/>
      </c>
      <c r="K675" s="147" t="str">
        <f>IFERROR(__xludf.DUMMYFUNCTION("if(C675="""","""",iferror(if(row()&lt;&gt;2,INDEX(arrayformula(filter($L$2:$L674,$C$2:$C674&lt;&gt;"""",row($C$2:$C674)=max(if($C$2:$C674=C675,row($C$2:$C674),0)))) ,1),0),0))"),"")</f>
        <v/>
      </c>
      <c r="L675" s="147" t="str">
        <f t="shared" si="14"/>
        <v/>
      </c>
      <c r="M675" s="147" t="str">
        <f t="shared" si="15"/>
        <v/>
      </c>
      <c r="N675" s="147" t="str">
        <f t="shared" si="16"/>
        <v/>
      </c>
      <c r="O675" s="147" t="str">
        <f t="shared" si="6"/>
        <v/>
      </c>
      <c r="P675" s="150" t="str">
        <f t="shared" si="7"/>
        <v/>
      </c>
      <c r="Q675" s="151" t="str">
        <f>IFERROR(VLOOKUP(C675,Ativos!$A$1:$G2000,5,),)</f>
        <v/>
      </c>
    </row>
    <row r="676" ht="21.0" customHeight="1">
      <c r="A676" s="152"/>
      <c r="B676" s="160"/>
      <c r="C676" s="153"/>
      <c r="D676" s="169"/>
      <c r="E676" s="139"/>
      <c r="F676" s="141"/>
      <c r="G676" s="170" t="str">
        <f>IFERROR(__xludf.DUMMYFUNCTION("if($C676="""","""",iferror(if(row()&lt;&gt;2,INDEX(arrayformula(filter($H$2:$H675,$C$2:$C675&lt;&gt;"""",row($C$2:$C675)=max(if($C$2:$C675=C676,row($C$2:$C675),0)))) ,1),0),0))"),"")</f>
        <v/>
      </c>
      <c r="H676" s="170" t="str">
        <f t="shared" si="8"/>
        <v/>
      </c>
      <c r="I676" s="147" t="str">
        <f t="shared" si="1"/>
        <v/>
      </c>
      <c r="J676" s="147" t="str">
        <f t="shared" si="13"/>
        <v/>
      </c>
      <c r="K676" s="147" t="str">
        <f>IFERROR(__xludf.DUMMYFUNCTION("if(C676="""","""",iferror(if(row()&lt;&gt;2,INDEX(arrayformula(filter($L$2:$L675,$C$2:$C675&lt;&gt;"""",row($C$2:$C675)=max(if($C$2:$C675=C676,row($C$2:$C675),0)))) ,1),0),0))"),"")</f>
        <v/>
      </c>
      <c r="L676" s="147" t="str">
        <f t="shared" si="14"/>
        <v/>
      </c>
      <c r="M676" s="147" t="str">
        <f t="shared" si="15"/>
        <v/>
      </c>
      <c r="N676" s="147" t="str">
        <f t="shared" si="16"/>
        <v/>
      </c>
      <c r="O676" s="147" t="str">
        <f t="shared" si="6"/>
        <v/>
      </c>
      <c r="P676" s="150" t="str">
        <f t="shared" si="7"/>
        <v/>
      </c>
      <c r="Q676" s="151" t="str">
        <f>IFERROR(VLOOKUP(C676,Ativos!$A$1:$G2000,5,),)</f>
        <v/>
      </c>
    </row>
    <row r="677" ht="21.0" customHeight="1">
      <c r="A677" s="152"/>
      <c r="B677" s="160"/>
      <c r="C677" s="153"/>
      <c r="D677" s="169"/>
      <c r="E677" s="139"/>
      <c r="F677" s="141"/>
      <c r="G677" s="170" t="str">
        <f>IFERROR(__xludf.DUMMYFUNCTION("if($C677="""","""",iferror(if(row()&lt;&gt;2,INDEX(arrayformula(filter($H$2:$H676,$C$2:$C676&lt;&gt;"""",row($C$2:$C676)=max(if($C$2:$C676=C677,row($C$2:$C676),0)))) ,1),0),0))"),"")</f>
        <v/>
      </c>
      <c r="H677" s="170" t="str">
        <f t="shared" si="8"/>
        <v/>
      </c>
      <c r="I677" s="147" t="str">
        <f t="shared" si="1"/>
        <v/>
      </c>
      <c r="J677" s="147" t="str">
        <f t="shared" si="13"/>
        <v/>
      </c>
      <c r="K677" s="147" t="str">
        <f>IFERROR(__xludf.DUMMYFUNCTION("if(C677="""","""",iferror(if(row()&lt;&gt;2,INDEX(arrayformula(filter($L$2:$L676,$C$2:$C676&lt;&gt;"""",row($C$2:$C676)=max(if($C$2:$C676=C677,row($C$2:$C676),0)))) ,1),0),0))"),"")</f>
        <v/>
      </c>
      <c r="L677" s="147" t="str">
        <f t="shared" si="14"/>
        <v/>
      </c>
      <c r="M677" s="147" t="str">
        <f t="shared" si="15"/>
        <v/>
      </c>
      <c r="N677" s="147" t="str">
        <f t="shared" si="16"/>
        <v/>
      </c>
      <c r="O677" s="147" t="str">
        <f t="shared" si="6"/>
        <v/>
      </c>
      <c r="P677" s="150" t="str">
        <f t="shared" si="7"/>
        <v/>
      </c>
      <c r="Q677" s="151" t="str">
        <f>IFERROR(VLOOKUP(C677,Ativos!$A$1:$G2000,5,),)</f>
        <v/>
      </c>
    </row>
    <row r="678" ht="21.0" customHeight="1">
      <c r="A678" s="152"/>
      <c r="B678" s="160"/>
      <c r="C678" s="153"/>
      <c r="D678" s="169"/>
      <c r="E678" s="139"/>
      <c r="F678" s="141"/>
      <c r="G678" s="170" t="str">
        <f>IFERROR(__xludf.DUMMYFUNCTION("if($C678="""","""",iferror(if(row()&lt;&gt;2,INDEX(arrayformula(filter($H$2:$H677,$C$2:$C677&lt;&gt;"""",row($C$2:$C677)=max(if($C$2:$C677=C678,row($C$2:$C677),0)))) ,1),0),0))"),"")</f>
        <v/>
      </c>
      <c r="H678" s="170" t="str">
        <f t="shared" si="8"/>
        <v/>
      </c>
      <c r="I678" s="147" t="str">
        <f t="shared" si="1"/>
        <v/>
      </c>
      <c r="J678" s="147" t="str">
        <f t="shared" si="13"/>
        <v/>
      </c>
      <c r="K678" s="147" t="str">
        <f>IFERROR(__xludf.DUMMYFUNCTION("if(C678="""","""",iferror(if(row()&lt;&gt;2,INDEX(arrayformula(filter($L$2:$L677,$C$2:$C677&lt;&gt;"""",row($C$2:$C677)=max(if($C$2:$C677=C678,row($C$2:$C677),0)))) ,1),0),0))"),"")</f>
        <v/>
      </c>
      <c r="L678" s="147" t="str">
        <f t="shared" si="14"/>
        <v/>
      </c>
      <c r="M678" s="147" t="str">
        <f t="shared" si="15"/>
        <v/>
      </c>
      <c r="N678" s="147" t="str">
        <f t="shared" si="16"/>
        <v/>
      </c>
      <c r="O678" s="147" t="str">
        <f t="shared" si="6"/>
        <v/>
      </c>
      <c r="P678" s="150" t="str">
        <f t="shared" si="7"/>
        <v/>
      </c>
      <c r="Q678" s="151" t="str">
        <f>IFERROR(VLOOKUP(C678,Ativos!$A$1:$G2000,5,),)</f>
        <v/>
      </c>
    </row>
    <row r="679" ht="21.0" customHeight="1">
      <c r="A679" s="152"/>
      <c r="B679" s="160"/>
      <c r="C679" s="153"/>
      <c r="D679" s="169"/>
      <c r="E679" s="139"/>
      <c r="F679" s="141"/>
      <c r="G679" s="170" t="str">
        <f>IFERROR(__xludf.DUMMYFUNCTION("if($C679="""","""",iferror(if(row()&lt;&gt;2,INDEX(arrayformula(filter($H$2:$H678,$C$2:$C678&lt;&gt;"""",row($C$2:$C678)=max(if($C$2:$C678=C679,row($C$2:$C678),0)))) ,1),0),0))"),"")</f>
        <v/>
      </c>
      <c r="H679" s="170" t="str">
        <f t="shared" si="8"/>
        <v/>
      </c>
      <c r="I679" s="147" t="str">
        <f t="shared" si="1"/>
        <v/>
      </c>
      <c r="J679" s="147" t="str">
        <f t="shared" si="13"/>
        <v/>
      </c>
      <c r="K679" s="147" t="str">
        <f>IFERROR(__xludf.DUMMYFUNCTION("if(C679="""","""",iferror(if(row()&lt;&gt;2,INDEX(arrayformula(filter($L$2:$L678,$C$2:$C678&lt;&gt;"""",row($C$2:$C678)=max(if($C$2:$C678=C679,row($C$2:$C678),0)))) ,1),0),0))"),"")</f>
        <v/>
      </c>
      <c r="L679" s="147" t="str">
        <f t="shared" si="14"/>
        <v/>
      </c>
      <c r="M679" s="147" t="str">
        <f t="shared" si="15"/>
        <v/>
      </c>
      <c r="N679" s="147" t="str">
        <f t="shared" si="16"/>
        <v/>
      </c>
      <c r="O679" s="147" t="str">
        <f t="shared" si="6"/>
        <v/>
      </c>
      <c r="P679" s="150" t="str">
        <f t="shared" si="7"/>
        <v/>
      </c>
      <c r="Q679" s="151" t="str">
        <f>IFERROR(VLOOKUP(C679,Ativos!$A$1:$G2000,5,),)</f>
        <v/>
      </c>
    </row>
    <row r="680" ht="21.0" customHeight="1">
      <c r="A680" s="152"/>
      <c r="B680" s="160"/>
      <c r="C680" s="153"/>
      <c r="D680" s="169"/>
      <c r="E680" s="139"/>
      <c r="F680" s="141"/>
      <c r="G680" s="170" t="str">
        <f>IFERROR(__xludf.DUMMYFUNCTION("if($C680="""","""",iferror(if(row()&lt;&gt;2,INDEX(arrayformula(filter($H$2:$H679,$C$2:$C679&lt;&gt;"""",row($C$2:$C679)=max(if($C$2:$C679=C680,row($C$2:$C679),0)))) ,1),0),0))"),"")</f>
        <v/>
      </c>
      <c r="H680" s="170" t="str">
        <f t="shared" si="8"/>
        <v/>
      </c>
      <c r="I680" s="147" t="str">
        <f t="shared" si="1"/>
        <v/>
      </c>
      <c r="J680" s="147" t="str">
        <f t="shared" si="13"/>
        <v/>
      </c>
      <c r="K680" s="147" t="str">
        <f>IFERROR(__xludf.DUMMYFUNCTION("if(C680="""","""",iferror(if(row()&lt;&gt;2,INDEX(arrayformula(filter($L$2:$L679,$C$2:$C679&lt;&gt;"""",row($C$2:$C679)=max(if($C$2:$C679=C680,row($C$2:$C679),0)))) ,1),0),0))"),"")</f>
        <v/>
      </c>
      <c r="L680" s="147" t="str">
        <f t="shared" si="14"/>
        <v/>
      </c>
      <c r="M680" s="147" t="str">
        <f t="shared" si="15"/>
        <v/>
      </c>
      <c r="N680" s="147" t="str">
        <f t="shared" si="16"/>
        <v/>
      </c>
      <c r="O680" s="147" t="str">
        <f t="shared" si="6"/>
        <v/>
      </c>
      <c r="P680" s="150" t="str">
        <f t="shared" si="7"/>
        <v/>
      </c>
      <c r="Q680" s="151" t="str">
        <f>IFERROR(VLOOKUP(C680,Ativos!$A$1:$G2000,5,),)</f>
        <v/>
      </c>
    </row>
    <row r="681" ht="21.0" customHeight="1">
      <c r="A681" s="152"/>
      <c r="B681" s="160"/>
      <c r="C681" s="153"/>
      <c r="D681" s="169"/>
      <c r="E681" s="139"/>
      <c r="F681" s="141"/>
      <c r="G681" s="170" t="str">
        <f>IFERROR(__xludf.DUMMYFUNCTION("if($C681="""","""",iferror(if(row()&lt;&gt;2,INDEX(arrayformula(filter($H$2:$H680,$C$2:$C680&lt;&gt;"""",row($C$2:$C680)=max(if($C$2:$C680=C681,row($C$2:$C680),0)))) ,1),0),0))"),"")</f>
        <v/>
      </c>
      <c r="H681" s="170" t="str">
        <f t="shared" si="8"/>
        <v/>
      </c>
      <c r="I681" s="147" t="str">
        <f t="shared" si="1"/>
        <v/>
      </c>
      <c r="J681" s="147" t="str">
        <f t="shared" si="13"/>
        <v/>
      </c>
      <c r="K681" s="147" t="str">
        <f>IFERROR(__xludf.DUMMYFUNCTION("if(C681="""","""",iferror(if(row()&lt;&gt;2,INDEX(arrayformula(filter($L$2:$L680,$C$2:$C680&lt;&gt;"""",row($C$2:$C680)=max(if($C$2:$C680=C681,row($C$2:$C680),0)))) ,1),0),0))"),"")</f>
        <v/>
      </c>
      <c r="L681" s="147" t="str">
        <f t="shared" si="14"/>
        <v/>
      </c>
      <c r="M681" s="147" t="str">
        <f t="shared" si="15"/>
        <v/>
      </c>
      <c r="N681" s="147" t="str">
        <f t="shared" si="16"/>
        <v/>
      </c>
      <c r="O681" s="147" t="str">
        <f t="shared" si="6"/>
        <v/>
      </c>
      <c r="P681" s="150" t="str">
        <f t="shared" si="7"/>
        <v/>
      </c>
      <c r="Q681" s="151" t="str">
        <f>IFERROR(VLOOKUP(C681,Ativos!$A$1:$G2000,5,),)</f>
        <v/>
      </c>
    </row>
    <row r="682" ht="21.0" customHeight="1">
      <c r="A682" s="152"/>
      <c r="B682" s="160"/>
      <c r="C682" s="153"/>
      <c r="D682" s="169"/>
      <c r="E682" s="139"/>
      <c r="F682" s="141"/>
      <c r="G682" s="170" t="str">
        <f>IFERROR(__xludf.DUMMYFUNCTION("if($C682="""","""",iferror(if(row()&lt;&gt;2,INDEX(arrayformula(filter($H$2:$H681,$C$2:$C681&lt;&gt;"""",row($C$2:$C681)=max(if($C$2:$C681=C682,row($C$2:$C681),0)))) ,1),0),0))"),"")</f>
        <v/>
      </c>
      <c r="H682" s="170" t="str">
        <f t="shared" si="8"/>
        <v/>
      </c>
      <c r="I682" s="147" t="str">
        <f t="shared" si="1"/>
        <v/>
      </c>
      <c r="J682" s="147" t="str">
        <f t="shared" si="13"/>
        <v/>
      </c>
      <c r="K682" s="147" t="str">
        <f>IFERROR(__xludf.DUMMYFUNCTION("if(C682="""","""",iferror(if(row()&lt;&gt;2,INDEX(arrayformula(filter($L$2:$L681,$C$2:$C681&lt;&gt;"""",row($C$2:$C681)=max(if($C$2:$C681=C682,row($C$2:$C681),0)))) ,1),0),0))"),"")</f>
        <v/>
      </c>
      <c r="L682" s="147" t="str">
        <f t="shared" si="14"/>
        <v/>
      </c>
      <c r="M682" s="147" t="str">
        <f t="shared" si="15"/>
        <v/>
      </c>
      <c r="N682" s="147" t="str">
        <f t="shared" si="16"/>
        <v/>
      </c>
      <c r="O682" s="147" t="str">
        <f t="shared" si="6"/>
        <v/>
      </c>
      <c r="P682" s="150" t="str">
        <f t="shared" si="7"/>
        <v/>
      </c>
      <c r="Q682" s="151" t="str">
        <f>IFERROR(VLOOKUP(C682,Ativos!$A$1:$G2000,5,),)</f>
        <v/>
      </c>
    </row>
    <row r="683" ht="21.0" customHeight="1">
      <c r="A683" s="152"/>
      <c r="B683" s="160"/>
      <c r="C683" s="153"/>
      <c r="D683" s="169"/>
      <c r="E683" s="139"/>
      <c r="F683" s="141"/>
      <c r="G683" s="170" t="str">
        <f>IFERROR(__xludf.DUMMYFUNCTION("if($C683="""","""",iferror(if(row()&lt;&gt;2,INDEX(arrayformula(filter($H$2:$H682,$C$2:$C682&lt;&gt;"""",row($C$2:$C682)=max(if($C$2:$C682=C683,row($C$2:$C682),0)))) ,1),0),0))"),"")</f>
        <v/>
      </c>
      <c r="H683" s="170" t="str">
        <f t="shared" si="8"/>
        <v/>
      </c>
      <c r="I683" s="147" t="str">
        <f t="shared" si="1"/>
        <v/>
      </c>
      <c r="J683" s="147" t="str">
        <f t="shared" si="13"/>
        <v/>
      </c>
      <c r="K683" s="147" t="str">
        <f>IFERROR(__xludf.DUMMYFUNCTION("if(C683="""","""",iferror(if(row()&lt;&gt;2,INDEX(arrayformula(filter($L$2:$L682,$C$2:$C682&lt;&gt;"""",row($C$2:$C682)=max(if($C$2:$C682=C683,row($C$2:$C682),0)))) ,1),0),0))"),"")</f>
        <v/>
      </c>
      <c r="L683" s="147" t="str">
        <f t="shared" si="14"/>
        <v/>
      </c>
      <c r="M683" s="147" t="str">
        <f t="shared" si="15"/>
        <v/>
      </c>
      <c r="N683" s="147" t="str">
        <f t="shared" si="16"/>
        <v/>
      </c>
      <c r="O683" s="147" t="str">
        <f t="shared" si="6"/>
        <v/>
      </c>
      <c r="P683" s="150" t="str">
        <f t="shared" si="7"/>
        <v/>
      </c>
      <c r="Q683" s="151" t="str">
        <f>IFERROR(VLOOKUP(C683,Ativos!$A$1:$G2000,5,),)</f>
        <v/>
      </c>
    </row>
    <row r="684" ht="21.0" customHeight="1">
      <c r="A684" s="152"/>
      <c r="B684" s="160"/>
      <c r="C684" s="153"/>
      <c r="D684" s="169"/>
      <c r="E684" s="139"/>
      <c r="F684" s="141"/>
      <c r="G684" s="170" t="str">
        <f>IFERROR(__xludf.DUMMYFUNCTION("if($C684="""","""",iferror(if(row()&lt;&gt;2,INDEX(arrayformula(filter($H$2:$H683,$C$2:$C683&lt;&gt;"""",row($C$2:$C683)=max(if($C$2:$C683=C684,row($C$2:$C683),0)))) ,1),0),0))"),"")</f>
        <v/>
      </c>
      <c r="H684" s="170" t="str">
        <f t="shared" si="8"/>
        <v/>
      </c>
      <c r="I684" s="147" t="str">
        <f t="shared" si="1"/>
        <v/>
      </c>
      <c r="J684" s="147" t="str">
        <f t="shared" si="13"/>
        <v/>
      </c>
      <c r="K684" s="147" t="str">
        <f>IFERROR(__xludf.DUMMYFUNCTION("if(C684="""","""",iferror(if(row()&lt;&gt;2,INDEX(arrayformula(filter($L$2:$L683,$C$2:$C683&lt;&gt;"""",row($C$2:$C683)=max(if($C$2:$C683=C684,row($C$2:$C683),0)))) ,1),0),0))"),"")</f>
        <v/>
      </c>
      <c r="L684" s="147" t="str">
        <f t="shared" si="14"/>
        <v/>
      </c>
      <c r="M684" s="147" t="str">
        <f t="shared" si="15"/>
        <v/>
      </c>
      <c r="N684" s="147" t="str">
        <f t="shared" si="16"/>
        <v/>
      </c>
      <c r="O684" s="147" t="str">
        <f t="shared" si="6"/>
        <v/>
      </c>
      <c r="P684" s="150" t="str">
        <f t="shared" si="7"/>
        <v/>
      </c>
      <c r="Q684" s="151" t="str">
        <f>IFERROR(VLOOKUP(C684,Ativos!$A$1:$G2000,5,),)</f>
        <v/>
      </c>
    </row>
    <row r="685" ht="21.0" customHeight="1">
      <c r="A685" s="152"/>
      <c r="B685" s="160"/>
      <c r="C685" s="153"/>
      <c r="D685" s="169"/>
      <c r="E685" s="139"/>
      <c r="F685" s="141"/>
      <c r="G685" s="170" t="str">
        <f>IFERROR(__xludf.DUMMYFUNCTION("if($C685="""","""",iferror(if(row()&lt;&gt;2,INDEX(arrayformula(filter($H$2:$H684,$C$2:$C684&lt;&gt;"""",row($C$2:$C684)=max(if($C$2:$C684=C685,row($C$2:$C684),0)))) ,1),0),0))"),"")</f>
        <v/>
      </c>
      <c r="H685" s="170" t="str">
        <f t="shared" si="8"/>
        <v/>
      </c>
      <c r="I685" s="147" t="str">
        <f t="shared" si="1"/>
        <v/>
      </c>
      <c r="J685" s="147" t="str">
        <f t="shared" si="13"/>
        <v/>
      </c>
      <c r="K685" s="147" t="str">
        <f>IFERROR(__xludf.DUMMYFUNCTION("if(C685="""","""",iferror(if(row()&lt;&gt;2,INDEX(arrayformula(filter($L$2:$L684,$C$2:$C684&lt;&gt;"""",row($C$2:$C684)=max(if($C$2:$C684=C685,row($C$2:$C684),0)))) ,1),0),0))"),"")</f>
        <v/>
      </c>
      <c r="L685" s="147" t="str">
        <f t="shared" si="14"/>
        <v/>
      </c>
      <c r="M685" s="147" t="str">
        <f t="shared" si="15"/>
        <v/>
      </c>
      <c r="N685" s="147" t="str">
        <f t="shared" si="16"/>
        <v/>
      </c>
      <c r="O685" s="147" t="str">
        <f t="shared" si="6"/>
        <v/>
      </c>
      <c r="P685" s="150" t="str">
        <f t="shared" si="7"/>
        <v/>
      </c>
      <c r="Q685" s="151" t="str">
        <f>IFERROR(VLOOKUP(C685,Ativos!$A$1:$G2000,5,),)</f>
        <v/>
      </c>
    </row>
    <row r="686" ht="21.0" customHeight="1">
      <c r="A686" s="152"/>
      <c r="B686" s="160"/>
      <c r="C686" s="153"/>
      <c r="D686" s="169"/>
      <c r="E686" s="139"/>
      <c r="F686" s="141"/>
      <c r="G686" s="170" t="str">
        <f>IFERROR(__xludf.DUMMYFUNCTION("if($C686="""","""",iferror(if(row()&lt;&gt;2,INDEX(arrayformula(filter($H$2:$H685,$C$2:$C685&lt;&gt;"""",row($C$2:$C685)=max(if($C$2:$C685=C686,row($C$2:$C685),0)))) ,1),0),0))"),"")</f>
        <v/>
      </c>
      <c r="H686" s="170" t="str">
        <f t="shared" si="8"/>
        <v/>
      </c>
      <c r="I686" s="147" t="str">
        <f t="shared" si="1"/>
        <v/>
      </c>
      <c r="J686" s="147" t="str">
        <f t="shared" si="13"/>
        <v/>
      </c>
      <c r="K686" s="147" t="str">
        <f>IFERROR(__xludf.DUMMYFUNCTION("if(C686="""","""",iferror(if(row()&lt;&gt;2,INDEX(arrayformula(filter($L$2:$L685,$C$2:$C685&lt;&gt;"""",row($C$2:$C685)=max(if($C$2:$C685=C686,row($C$2:$C685),0)))) ,1),0),0))"),"")</f>
        <v/>
      </c>
      <c r="L686" s="147" t="str">
        <f t="shared" si="14"/>
        <v/>
      </c>
      <c r="M686" s="147" t="str">
        <f t="shared" si="15"/>
        <v/>
      </c>
      <c r="N686" s="147" t="str">
        <f t="shared" si="16"/>
        <v/>
      </c>
      <c r="O686" s="147" t="str">
        <f t="shared" si="6"/>
        <v/>
      </c>
      <c r="P686" s="150" t="str">
        <f t="shared" si="7"/>
        <v/>
      </c>
      <c r="Q686" s="151" t="str">
        <f>IFERROR(VLOOKUP(C686,Ativos!$A$1:$G2000,5,),)</f>
        <v/>
      </c>
    </row>
    <row r="687" ht="21.0" customHeight="1">
      <c r="A687" s="152"/>
      <c r="B687" s="160"/>
      <c r="C687" s="153"/>
      <c r="D687" s="169"/>
      <c r="E687" s="139"/>
      <c r="F687" s="141"/>
      <c r="G687" s="170" t="str">
        <f>IFERROR(__xludf.DUMMYFUNCTION("if($C687="""","""",iferror(if(row()&lt;&gt;2,INDEX(arrayformula(filter($H$2:$H686,$C$2:$C686&lt;&gt;"""",row($C$2:$C686)=max(if($C$2:$C686=C687,row($C$2:$C686),0)))) ,1),0),0))"),"")</f>
        <v/>
      </c>
      <c r="H687" s="170" t="str">
        <f t="shared" si="8"/>
        <v/>
      </c>
      <c r="I687" s="147" t="str">
        <f t="shared" si="1"/>
        <v/>
      </c>
      <c r="J687" s="147" t="str">
        <f t="shared" si="13"/>
        <v/>
      </c>
      <c r="K687" s="147" t="str">
        <f>IFERROR(__xludf.DUMMYFUNCTION("if(C687="""","""",iferror(if(row()&lt;&gt;2,INDEX(arrayformula(filter($L$2:$L686,$C$2:$C686&lt;&gt;"""",row($C$2:$C686)=max(if($C$2:$C686=C687,row($C$2:$C686),0)))) ,1),0),0))"),"")</f>
        <v/>
      </c>
      <c r="L687" s="147" t="str">
        <f t="shared" si="14"/>
        <v/>
      </c>
      <c r="M687" s="147" t="str">
        <f t="shared" si="15"/>
        <v/>
      </c>
      <c r="N687" s="147" t="str">
        <f t="shared" si="16"/>
        <v/>
      </c>
      <c r="O687" s="147" t="str">
        <f t="shared" si="6"/>
        <v/>
      </c>
      <c r="P687" s="150" t="str">
        <f t="shared" si="7"/>
        <v/>
      </c>
      <c r="Q687" s="151" t="str">
        <f>IFERROR(VLOOKUP(C687,Ativos!$A$1:$G2000,5,),)</f>
        <v/>
      </c>
    </row>
    <row r="688" ht="21.0" customHeight="1">
      <c r="A688" s="152"/>
      <c r="B688" s="160"/>
      <c r="C688" s="153"/>
      <c r="D688" s="169"/>
      <c r="E688" s="139"/>
      <c r="F688" s="141"/>
      <c r="G688" s="170" t="str">
        <f>IFERROR(__xludf.DUMMYFUNCTION("if($C688="""","""",iferror(if(row()&lt;&gt;2,INDEX(arrayformula(filter($H$2:$H687,$C$2:$C687&lt;&gt;"""",row($C$2:$C687)=max(if($C$2:$C687=C688,row($C$2:$C687),0)))) ,1),0),0))"),"")</f>
        <v/>
      </c>
      <c r="H688" s="170" t="str">
        <f t="shared" si="8"/>
        <v/>
      </c>
      <c r="I688" s="147" t="str">
        <f t="shared" si="1"/>
        <v/>
      </c>
      <c r="J688" s="147" t="str">
        <f t="shared" si="13"/>
        <v/>
      </c>
      <c r="K688" s="147" t="str">
        <f>IFERROR(__xludf.DUMMYFUNCTION("if(C688="""","""",iferror(if(row()&lt;&gt;2,INDEX(arrayformula(filter($L$2:$L687,$C$2:$C687&lt;&gt;"""",row($C$2:$C687)=max(if($C$2:$C687=C688,row($C$2:$C687),0)))) ,1),0),0))"),"")</f>
        <v/>
      </c>
      <c r="L688" s="147" t="str">
        <f t="shared" si="14"/>
        <v/>
      </c>
      <c r="M688" s="147" t="str">
        <f t="shared" si="15"/>
        <v/>
      </c>
      <c r="N688" s="147" t="str">
        <f t="shared" si="16"/>
        <v/>
      </c>
      <c r="O688" s="147" t="str">
        <f t="shared" si="6"/>
        <v/>
      </c>
      <c r="P688" s="150" t="str">
        <f t="shared" si="7"/>
        <v/>
      </c>
      <c r="Q688" s="151" t="str">
        <f>IFERROR(VLOOKUP(C688,Ativos!$A$1:$G2000,5,),)</f>
        <v/>
      </c>
    </row>
    <row r="689" ht="21.0" customHeight="1">
      <c r="A689" s="152"/>
      <c r="B689" s="160"/>
      <c r="C689" s="153"/>
      <c r="D689" s="169"/>
      <c r="E689" s="139"/>
      <c r="F689" s="141"/>
      <c r="G689" s="170" t="str">
        <f>IFERROR(__xludf.DUMMYFUNCTION("if($C689="""","""",iferror(if(row()&lt;&gt;2,INDEX(arrayformula(filter($H$2:$H688,$C$2:$C688&lt;&gt;"""",row($C$2:$C688)=max(if($C$2:$C688=C689,row($C$2:$C688),0)))) ,1),0),0))"),"")</f>
        <v/>
      </c>
      <c r="H689" s="170" t="str">
        <f t="shared" si="8"/>
        <v/>
      </c>
      <c r="I689" s="147" t="str">
        <f t="shared" si="1"/>
        <v/>
      </c>
      <c r="J689" s="147" t="str">
        <f t="shared" si="13"/>
        <v/>
      </c>
      <c r="K689" s="147" t="str">
        <f>IFERROR(__xludf.DUMMYFUNCTION("if(C689="""","""",iferror(if(row()&lt;&gt;2,INDEX(arrayformula(filter($L$2:$L688,$C$2:$C688&lt;&gt;"""",row($C$2:$C688)=max(if($C$2:$C688=C689,row($C$2:$C688),0)))) ,1),0),0))"),"")</f>
        <v/>
      </c>
      <c r="L689" s="147" t="str">
        <f t="shared" si="14"/>
        <v/>
      </c>
      <c r="M689" s="147" t="str">
        <f t="shared" si="15"/>
        <v/>
      </c>
      <c r="N689" s="147" t="str">
        <f t="shared" si="16"/>
        <v/>
      </c>
      <c r="O689" s="147" t="str">
        <f t="shared" si="6"/>
        <v/>
      </c>
      <c r="P689" s="150" t="str">
        <f t="shared" si="7"/>
        <v/>
      </c>
      <c r="Q689" s="151" t="str">
        <f>IFERROR(VLOOKUP(C689,Ativos!$A$1:$G2000,5,),)</f>
        <v/>
      </c>
    </row>
    <row r="690" ht="21.0" customHeight="1">
      <c r="A690" s="152"/>
      <c r="B690" s="160"/>
      <c r="C690" s="153"/>
      <c r="D690" s="169"/>
      <c r="E690" s="139"/>
      <c r="F690" s="141"/>
      <c r="G690" s="170" t="str">
        <f>IFERROR(__xludf.DUMMYFUNCTION("if($C690="""","""",iferror(if(row()&lt;&gt;2,INDEX(arrayformula(filter($H$2:$H689,$C$2:$C689&lt;&gt;"""",row($C$2:$C689)=max(if($C$2:$C689=C690,row($C$2:$C689),0)))) ,1),0),0))"),"")</f>
        <v/>
      </c>
      <c r="H690" s="170" t="str">
        <f t="shared" si="8"/>
        <v/>
      </c>
      <c r="I690" s="147" t="str">
        <f t="shared" si="1"/>
        <v/>
      </c>
      <c r="J690" s="147" t="str">
        <f t="shared" si="13"/>
        <v/>
      </c>
      <c r="K690" s="147" t="str">
        <f>IFERROR(__xludf.DUMMYFUNCTION("if(C690="""","""",iferror(if(row()&lt;&gt;2,INDEX(arrayformula(filter($L$2:$L689,$C$2:$C689&lt;&gt;"""",row($C$2:$C689)=max(if($C$2:$C689=C690,row($C$2:$C689),0)))) ,1),0),0))"),"")</f>
        <v/>
      </c>
      <c r="L690" s="147" t="str">
        <f t="shared" si="14"/>
        <v/>
      </c>
      <c r="M690" s="147" t="str">
        <f t="shared" si="15"/>
        <v/>
      </c>
      <c r="N690" s="147" t="str">
        <f t="shared" si="16"/>
        <v/>
      </c>
      <c r="O690" s="147" t="str">
        <f t="shared" si="6"/>
        <v/>
      </c>
      <c r="P690" s="150" t="str">
        <f t="shared" si="7"/>
        <v/>
      </c>
      <c r="Q690" s="151" t="str">
        <f>IFERROR(VLOOKUP(C690,Ativos!$A$1:$G2000,5,),)</f>
        <v/>
      </c>
    </row>
    <row r="691" ht="21.0" customHeight="1">
      <c r="A691" s="152"/>
      <c r="B691" s="160"/>
      <c r="C691" s="153"/>
      <c r="D691" s="169"/>
      <c r="E691" s="139"/>
      <c r="F691" s="141"/>
      <c r="G691" s="170" t="str">
        <f>IFERROR(__xludf.DUMMYFUNCTION("if($C691="""","""",iferror(if(row()&lt;&gt;2,INDEX(arrayformula(filter($H$2:$H690,$C$2:$C690&lt;&gt;"""",row($C$2:$C690)=max(if($C$2:$C690=C691,row($C$2:$C690),0)))) ,1),0),0))"),"")</f>
        <v/>
      </c>
      <c r="H691" s="170" t="str">
        <f t="shared" si="8"/>
        <v/>
      </c>
      <c r="I691" s="147" t="str">
        <f t="shared" si="1"/>
        <v/>
      </c>
      <c r="J691" s="147" t="str">
        <f t="shared" si="13"/>
        <v/>
      </c>
      <c r="K691" s="147" t="str">
        <f>IFERROR(__xludf.DUMMYFUNCTION("if(C691="""","""",iferror(if(row()&lt;&gt;2,INDEX(arrayformula(filter($L$2:$L690,$C$2:$C690&lt;&gt;"""",row($C$2:$C690)=max(if($C$2:$C690=C691,row($C$2:$C690),0)))) ,1),0),0))"),"")</f>
        <v/>
      </c>
      <c r="L691" s="147" t="str">
        <f t="shared" si="14"/>
        <v/>
      </c>
      <c r="M691" s="147" t="str">
        <f t="shared" si="15"/>
        <v/>
      </c>
      <c r="N691" s="147" t="str">
        <f t="shared" si="16"/>
        <v/>
      </c>
      <c r="O691" s="147" t="str">
        <f t="shared" si="6"/>
        <v/>
      </c>
      <c r="P691" s="150" t="str">
        <f t="shared" si="7"/>
        <v/>
      </c>
      <c r="Q691" s="151" t="str">
        <f>IFERROR(VLOOKUP(C691,Ativos!$A$1:$G2000,5,),)</f>
        <v/>
      </c>
    </row>
    <row r="692" ht="21.0" customHeight="1">
      <c r="A692" s="152"/>
      <c r="B692" s="160"/>
      <c r="C692" s="153"/>
      <c r="D692" s="169"/>
      <c r="E692" s="139"/>
      <c r="F692" s="141"/>
      <c r="G692" s="170" t="str">
        <f>IFERROR(__xludf.DUMMYFUNCTION("if($C692="""","""",iferror(if(row()&lt;&gt;2,INDEX(arrayformula(filter($H$2:$H691,$C$2:$C691&lt;&gt;"""",row($C$2:$C691)=max(if($C$2:$C691=C692,row($C$2:$C691),0)))) ,1),0),0))"),"")</f>
        <v/>
      </c>
      <c r="H692" s="170" t="str">
        <f t="shared" si="8"/>
        <v/>
      </c>
      <c r="I692" s="147" t="str">
        <f t="shared" si="1"/>
        <v/>
      </c>
      <c r="J692" s="147" t="str">
        <f t="shared" si="13"/>
        <v/>
      </c>
      <c r="K692" s="147" t="str">
        <f>IFERROR(__xludf.DUMMYFUNCTION("if(C692="""","""",iferror(if(row()&lt;&gt;2,INDEX(arrayformula(filter($L$2:$L691,$C$2:$C691&lt;&gt;"""",row($C$2:$C691)=max(if($C$2:$C691=C692,row($C$2:$C691),0)))) ,1),0),0))"),"")</f>
        <v/>
      </c>
      <c r="L692" s="147" t="str">
        <f t="shared" si="14"/>
        <v/>
      </c>
      <c r="M692" s="147" t="str">
        <f t="shared" si="15"/>
        <v/>
      </c>
      <c r="N692" s="147" t="str">
        <f t="shared" si="16"/>
        <v/>
      </c>
      <c r="O692" s="147" t="str">
        <f t="shared" si="6"/>
        <v/>
      </c>
      <c r="P692" s="150" t="str">
        <f t="shared" si="7"/>
        <v/>
      </c>
      <c r="Q692" s="151" t="str">
        <f>IFERROR(VLOOKUP(C692,Ativos!$A$1:$G2000,5,),)</f>
        <v/>
      </c>
    </row>
    <row r="693" ht="21.0" customHeight="1">
      <c r="A693" s="152"/>
      <c r="B693" s="160"/>
      <c r="C693" s="153"/>
      <c r="D693" s="169"/>
      <c r="E693" s="139"/>
      <c r="F693" s="141"/>
      <c r="G693" s="170" t="str">
        <f>IFERROR(__xludf.DUMMYFUNCTION("if($C693="""","""",iferror(if(row()&lt;&gt;2,INDEX(arrayformula(filter($H$2:$H692,$C$2:$C692&lt;&gt;"""",row($C$2:$C692)=max(if($C$2:$C692=C693,row($C$2:$C692),0)))) ,1),0),0))"),"")</f>
        <v/>
      </c>
      <c r="H693" s="170" t="str">
        <f t="shared" si="8"/>
        <v/>
      </c>
      <c r="I693" s="147" t="str">
        <f t="shared" si="1"/>
        <v/>
      </c>
      <c r="J693" s="147" t="str">
        <f t="shared" si="13"/>
        <v/>
      </c>
      <c r="K693" s="147" t="str">
        <f>IFERROR(__xludf.DUMMYFUNCTION("if(C693="""","""",iferror(if(row()&lt;&gt;2,INDEX(arrayformula(filter($L$2:$L692,$C$2:$C692&lt;&gt;"""",row($C$2:$C692)=max(if($C$2:$C692=C693,row($C$2:$C692),0)))) ,1),0),0))"),"")</f>
        <v/>
      </c>
      <c r="L693" s="147" t="str">
        <f t="shared" si="14"/>
        <v/>
      </c>
      <c r="M693" s="147" t="str">
        <f t="shared" si="15"/>
        <v/>
      </c>
      <c r="N693" s="147" t="str">
        <f t="shared" si="16"/>
        <v/>
      </c>
      <c r="O693" s="147" t="str">
        <f t="shared" si="6"/>
        <v/>
      </c>
      <c r="P693" s="150" t="str">
        <f t="shared" si="7"/>
        <v/>
      </c>
      <c r="Q693" s="151" t="str">
        <f>IFERROR(VLOOKUP(C693,Ativos!$A$1:$G2000,5,),)</f>
        <v/>
      </c>
    </row>
    <row r="694" ht="21.0" customHeight="1">
      <c r="A694" s="152"/>
      <c r="B694" s="160"/>
      <c r="C694" s="153"/>
      <c r="D694" s="169"/>
      <c r="E694" s="139"/>
      <c r="F694" s="141"/>
      <c r="G694" s="170" t="str">
        <f>IFERROR(__xludf.DUMMYFUNCTION("if($C694="""","""",iferror(if(row()&lt;&gt;2,INDEX(arrayformula(filter($H$2:$H693,$C$2:$C693&lt;&gt;"""",row($C$2:$C693)=max(if($C$2:$C693=C694,row($C$2:$C693),0)))) ,1),0),0))"),"")</f>
        <v/>
      </c>
      <c r="H694" s="170" t="str">
        <f t="shared" si="8"/>
        <v/>
      </c>
      <c r="I694" s="147" t="str">
        <f t="shared" si="1"/>
        <v/>
      </c>
      <c r="J694" s="147" t="str">
        <f t="shared" si="13"/>
        <v/>
      </c>
      <c r="K694" s="147" t="str">
        <f>IFERROR(__xludf.DUMMYFUNCTION("if(C694="""","""",iferror(if(row()&lt;&gt;2,INDEX(arrayformula(filter($L$2:$L693,$C$2:$C693&lt;&gt;"""",row($C$2:$C693)=max(if($C$2:$C693=C694,row($C$2:$C693),0)))) ,1),0),0))"),"")</f>
        <v/>
      </c>
      <c r="L694" s="147" t="str">
        <f t="shared" si="14"/>
        <v/>
      </c>
      <c r="M694" s="147" t="str">
        <f t="shared" si="15"/>
        <v/>
      </c>
      <c r="N694" s="147" t="str">
        <f t="shared" si="16"/>
        <v/>
      </c>
      <c r="O694" s="147" t="str">
        <f t="shared" si="6"/>
        <v/>
      </c>
      <c r="P694" s="150" t="str">
        <f t="shared" si="7"/>
        <v/>
      </c>
      <c r="Q694" s="151" t="str">
        <f>IFERROR(VLOOKUP(C694,Ativos!$A$1:$G2000,5,),)</f>
        <v/>
      </c>
    </row>
    <row r="695" ht="21.0" customHeight="1">
      <c r="A695" s="152"/>
      <c r="B695" s="160"/>
      <c r="C695" s="153"/>
      <c r="D695" s="169"/>
      <c r="E695" s="139"/>
      <c r="F695" s="141"/>
      <c r="G695" s="170" t="str">
        <f>IFERROR(__xludf.DUMMYFUNCTION("if($C695="""","""",iferror(if(row()&lt;&gt;2,INDEX(arrayformula(filter($H$2:$H694,$C$2:$C694&lt;&gt;"""",row($C$2:$C694)=max(if($C$2:$C694=C695,row($C$2:$C694),0)))) ,1),0),0))"),"")</f>
        <v/>
      </c>
      <c r="H695" s="170" t="str">
        <f t="shared" si="8"/>
        <v/>
      </c>
      <c r="I695" s="147" t="str">
        <f t="shared" si="1"/>
        <v/>
      </c>
      <c r="J695" s="147" t="str">
        <f t="shared" si="13"/>
        <v/>
      </c>
      <c r="K695" s="147" t="str">
        <f>IFERROR(__xludf.DUMMYFUNCTION("if(C695="""","""",iferror(if(row()&lt;&gt;2,INDEX(arrayformula(filter($L$2:$L694,$C$2:$C694&lt;&gt;"""",row($C$2:$C694)=max(if($C$2:$C694=C695,row($C$2:$C694),0)))) ,1),0),0))"),"")</f>
        <v/>
      </c>
      <c r="L695" s="147" t="str">
        <f t="shared" si="14"/>
        <v/>
      </c>
      <c r="M695" s="147" t="str">
        <f t="shared" si="15"/>
        <v/>
      </c>
      <c r="N695" s="147" t="str">
        <f t="shared" si="16"/>
        <v/>
      </c>
      <c r="O695" s="147" t="str">
        <f t="shared" si="6"/>
        <v/>
      </c>
      <c r="P695" s="150" t="str">
        <f t="shared" si="7"/>
        <v/>
      </c>
      <c r="Q695" s="151" t="str">
        <f>IFERROR(VLOOKUP(C695,Ativos!$A$1:$G2000,5,),)</f>
        <v/>
      </c>
    </row>
    <row r="696" ht="21.0" customHeight="1">
      <c r="A696" s="152"/>
      <c r="B696" s="160"/>
      <c r="C696" s="153"/>
      <c r="D696" s="169"/>
      <c r="E696" s="139"/>
      <c r="F696" s="141"/>
      <c r="G696" s="170" t="str">
        <f>IFERROR(__xludf.DUMMYFUNCTION("if($C696="""","""",iferror(if(row()&lt;&gt;2,INDEX(arrayformula(filter($H$2:$H695,$C$2:$C695&lt;&gt;"""",row($C$2:$C695)=max(if($C$2:$C695=C696,row($C$2:$C695),0)))) ,1),0),0))"),"")</f>
        <v/>
      </c>
      <c r="H696" s="170" t="str">
        <f t="shared" si="8"/>
        <v/>
      </c>
      <c r="I696" s="147" t="str">
        <f t="shared" si="1"/>
        <v/>
      </c>
      <c r="J696" s="147" t="str">
        <f t="shared" si="13"/>
        <v/>
      </c>
      <c r="K696" s="147" t="str">
        <f>IFERROR(__xludf.DUMMYFUNCTION("if(C696="""","""",iferror(if(row()&lt;&gt;2,INDEX(arrayformula(filter($L$2:$L695,$C$2:$C695&lt;&gt;"""",row($C$2:$C695)=max(if($C$2:$C695=C696,row($C$2:$C695),0)))) ,1),0),0))"),"")</f>
        <v/>
      </c>
      <c r="L696" s="147" t="str">
        <f t="shared" si="14"/>
        <v/>
      </c>
      <c r="M696" s="147" t="str">
        <f t="shared" si="15"/>
        <v/>
      </c>
      <c r="N696" s="147" t="str">
        <f t="shared" si="16"/>
        <v/>
      </c>
      <c r="O696" s="147" t="str">
        <f t="shared" si="6"/>
        <v/>
      </c>
      <c r="P696" s="150" t="str">
        <f t="shared" si="7"/>
        <v/>
      </c>
      <c r="Q696" s="151" t="str">
        <f>IFERROR(VLOOKUP(C696,Ativos!$A$1:$G2000,5,),)</f>
        <v/>
      </c>
    </row>
    <row r="697" ht="21.0" customHeight="1">
      <c r="A697" s="152"/>
      <c r="B697" s="160"/>
      <c r="C697" s="153"/>
      <c r="D697" s="169"/>
      <c r="E697" s="139"/>
      <c r="F697" s="141"/>
      <c r="G697" s="170" t="str">
        <f>IFERROR(__xludf.DUMMYFUNCTION("if($C697="""","""",iferror(if(row()&lt;&gt;2,INDEX(arrayformula(filter($H$2:$H696,$C$2:$C696&lt;&gt;"""",row($C$2:$C696)=max(if($C$2:$C696=C697,row($C$2:$C696),0)))) ,1),0),0))"),"")</f>
        <v/>
      </c>
      <c r="H697" s="170" t="str">
        <f t="shared" si="8"/>
        <v/>
      </c>
      <c r="I697" s="147" t="str">
        <f t="shared" si="1"/>
        <v/>
      </c>
      <c r="J697" s="147" t="str">
        <f t="shared" si="13"/>
        <v/>
      </c>
      <c r="K697" s="147" t="str">
        <f>IFERROR(__xludf.DUMMYFUNCTION("if(C697="""","""",iferror(if(row()&lt;&gt;2,INDEX(arrayformula(filter($L$2:$L696,$C$2:$C696&lt;&gt;"""",row($C$2:$C696)=max(if($C$2:$C696=C697,row($C$2:$C696),0)))) ,1),0),0))"),"")</f>
        <v/>
      </c>
      <c r="L697" s="147" t="str">
        <f t="shared" si="14"/>
        <v/>
      </c>
      <c r="M697" s="147" t="str">
        <f t="shared" si="15"/>
        <v/>
      </c>
      <c r="N697" s="147" t="str">
        <f t="shared" si="16"/>
        <v/>
      </c>
      <c r="O697" s="147" t="str">
        <f t="shared" si="6"/>
        <v/>
      </c>
      <c r="P697" s="150" t="str">
        <f t="shared" si="7"/>
        <v/>
      </c>
      <c r="Q697" s="151" t="str">
        <f>IFERROR(VLOOKUP(C697,Ativos!$A$1:$G2000,5,),)</f>
        <v/>
      </c>
    </row>
    <row r="698" ht="21.0" customHeight="1">
      <c r="A698" s="152"/>
      <c r="B698" s="160"/>
      <c r="C698" s="153"/>
      <c r="D698" s="169"/>
      <c r="E698" s="139"/>
      <c r="F698" s="141"/>
      <c r="G698" s="170" t="str">
        <f>IFERROR(__xludf.DUMMYFUNCTION("if($C698="""","""",iferror(if(row()&lt;&gt;2,INDEX(arrayformula(filter($H$2:$H697,$C$2:$C697&lt;&gt;"""",row($C$2:$C697)=max(if($C$2:$C697=C698,row($C$2:$C697),0)))) ,1),0),0))"),"")</f>
        <v/>
      </c>
      <c r="H698" s="170" t="str">
        <f t="shared" si="8"/>
        <v/>
      </c>
      <c r="I698" s="147" t="str">
        <f t="shared" si="1"/>
        <v/>
      </c>
      <c r="J698" s="147" t="str">
        <f t="shared" si="13"/>
        <v/>
      </c>
      <c r="K698" s="147" t="str">
        <f>IFERROR(__xludf.DUMMYFUNCTION("if(C698="""","""",iferror(if(row()&lt;&gt;2,INDEX(arrayformula(filter($L$2:$L697,$C$2:$C697&lt;&gt;"""",row($C$2:$C697)=max(if($C$2:$C697=C698,row($C$2:$C697),0)))) ,1),0),0))"),"")</f>
        <v/>
      </c>
      <c r="L698" s="147" t="str">
        <f t="shared" si="14"/>
        <v/>
      </c>
      <c r="M698" s="147" t="str">
        <f t="shared" si="15"/>
        <v/>
      </c>
      <c r="N698" s="147" t="str">
        <f t="shared" si="16"/>
        <v/>
      </c>
      <c r="O698" s="147" t="str">
        <f t="shared" si="6"/>
        <v/>
      </c>
      <c r="P698" s="150" t="str">
        <f t="shared" si="7"/>
        <v/>
      </c>
      <c r="Q698" s="151" t="str">
        <f>IFERROR(VLOOKUP(C698,Ativos!$A$1:$G2000,5,),)</f>
        <v/>
      </c>
    </row>
    <row r="699" ht="21.0" customHeight="1">
      <c r="A699" s="152"/>
      <c r="B699" s="160"/>
      <c r="C699" s="153"/>
      <c r="D699" s="169"/>
      <c r="E699" s="139"/>
      <c r="F699" s="141"/>
      <c r="G699" s="170" t="str">
        <f>IFERROR(__xludf.DUMMYFUNCTION("if($C699="""","""",iferror(if(row()&lt;&gt;2,INDEX(arrayformula(filter($H$2:$H698,$C$2:$C698&lt;&gt;"""",row($C$2:$C698)=max(if($C$2:$C698=C699,row($C$2:$C698),0)))) ,1),0),0))"),"")</f>
        <v/>
      </c>
      <c r="H699" s="170" t="str">
        <f t="shared" si="8"/>
        <v/>
      </c>
      <c r="I699" s="147" t="str">
        <f t="shared" si="1"/>
        <v/>
      </c>
      <c r="J699" s="147" t="str">
        <f t="shared" si="13"/>
        <v/>
      </c>
      <c r="K699" s="147" t="str">
        <f>IFERROR(__xludf.DUMMYFUNCTION("if(C699="""","""",iferror(if(row()&lt;&gt;2,INDEX(arrayformula(filter($L$2:$L698,$C$2:$C698&lt;&gt;"""",row($C$2:$C698)=max(if($C$2:$C698=C699,row($C$2:$C698),0)))) ,1),0),0))"),"")</f>
        <v/>
      </c>
      <c r="L699" s="147" t="str">
        <f t="shared" si="14"/>
        <v/>
      </c>
      <c r="M699" s="147" t="str">
        <f t="shared" si="15"/>
        <v/>
      </c>
      <c r="N699" s="147" t="str">
        <f t="shared" si="16"/>
        <v/>
      </c>
      <c r="O699" s="147" t="str">
        <f t="shared" si="6"/>
        <v/>
      </c>
      <c r="P699" s="150" t="str">
        <f t="shared" si="7"/>
        <v/>
      </c>
      <c r="Q699" s="151" t="str">
        <f>IFERROR(VLOOKUP(C699,Ativos!$A$1:$G2000,5,),)</f>
        <v/>
      </c>
    </row>
    <row r="700" ht="21.0" customHeight="1">
      <c r="A700" s="152"/>
      <c r="B700" s="160"/>
      <c r="C700" s="153"/>
      <c r="D700" s="169"/>
      <c r="E700" s="139"/>
      <c r="F700" s="141"/>
      <c r="G700" s="170" t="str">
        <f>IFERROR(__xludf.DUMMYFUNCTION("if($C700="""","""",iferror(if(row()&lt;&gt;2,INDEX(arrayformula(filter($H$2:$H699,$C$2:$C699&lt;&gt;"""",row($C$2:$C699)=max(if($C$2:$C699=C700,row($C$2:$C699),0)))) ,1),0),0))"),"")</f>
        <v/>
      </c>
      <c r="H700" s="170" t="str">
        <f t="shared" si="8"/>
        <v/>
      </c>
      <c r="I700" s="147" t="str">
        <f t="shared" si="1"/>
        <v/>
      </c>
      <c r="J700" s="147" t="str">
        <f t="shared" si="13"/>
        <v/>
      </c>
      <c r="K700" s="147" t="str">
        <f>IFERROR(__xludf.DUMMYFUNCTION("if(C700="""","""",iferror(if(row()&lt;&gt;2,INDEX(arrayformula(filter($L$2:$L699,$C$2:$C699&lt;&gt;"""",row($C$2:$C699)=max(if($C$2:$C699=C700,row($C$2:$C699),0)))) ,1),0),0))"),"")</f>
        <v/>
      </c>
      <c r="L700" s="147" t="str">
        <f t="shared" si="14"/>
        <v/>
      </c>
      <c r="M700" s="147" t="str">
        <f t="shared" si="15"/>
        <v/>
      </c>
      <c r="N700" s="147" t="str">
        <f t="shared" si="16"/>
        <v/>
      </c>
      <c r="O700" s="147" t="str">
        <f t="shared" si="6"/>
        <v/>
      </c>
      <c r="P700" s="150" t="str">
        <f t="shared" si="7"/>
        <v/>
      </c>
      <c r="Q700" s="151" t="str">
        <f>IFERROR(VLOOKUP(C700,Ativos!$A$1:$G2000,5,),)</f>
        <v/>
      </c>
    </row>
    <row r="701" ht="21.0" customHeight="1">
      <c r="A701" s="152"/>
      <c r="B701" s="160"/>
      <c r="C701" s="153"/>
      <c r="D701" s="169"/>
      <c r="E701" s="139"/>
      <c r="F701" s="141"/>
      <c r="G701" s="170" t="str">
        <f>IFERROR(__xludf.DUMMYFUNCTION("if($C701="""","""",iferror(if(row()&lt;&gt;2,INDEX(arrayformula(filter($H$2:$H700,$C$2:$C700&lt;&gt;"""",row($C$2:$C700)=max(if($C$2:$C700=C701,row($C$2:$C700),0)))) ,1),0),0))"),"")</f>
        <v/>
      </c>
      <c r="H701" s="170" t="str">
        <f t="shared" si="8"/>
        <v/>
      </c>
      <c r="I701" s="147" t="str">
        <f t="shared" si="1"/>
        <v/>
      </c>
      <c r="J701" s="147" t="str">
        <f t="shared" si="13"/>
        <v/>
      </c>
      <c r="K701" s="147" t="str">
        <f>IFERROR(__xludf.DUMMYFUNCTION("if(C701="""","""",iferror(if(row()&lt;&gt;2,INDEX(arrayformula(filter($L$2:$L700,$C$2:$C700&lt;&gt;"""",row($C$2:$C700)=max(if($C$2:$C700=C701,row($C$2:$C700),0)))) ,1),0),0))"),"")</f>
        <v/>
      </c>
      <c r="L701" s="147" t="str">
        <f t="shared" si="14"/>
        <v/>
      </c>
      <c r="M701" s="147" t="str">
        <f t="shared" si="15"/>
        <v/>
      </c>
      <c r="N701" s="147" t="str">
        <f t="shared" si="16"/>
        <v/>
      </c>
      <c r="O701" s="147" t="str">
        <f t="shared" si="6"/>
        <v/>
      </c>
      <c r="P701" s="150" t="str">
        <f t="shared" si="7"/>
        <v/>
      </c>
      <c r="Q701" s="151" t="str">
        <f>IFERROR(VLOOKUP(C701,Ativos!$A$1:$G2000,5,),)</f>
        <v/>
      </c>
    </row>
    <row r="702" ht="21.0" customHeight="1">
      <c r="A702" s="152"/>
      <c r="B702" s="160"/>
      <c r="C702" s="153"/>
      <c r="D702" s="169"/>
      <c r="E702" s="139"/>
      <c r="F702" s="141"/>
      <c r="G702" s="170" t="str">
        <f>IFERROR(__xludf.DUMMYFUNCTION("if($C702="""","""",iferror(if(row()&lt;&gt;2,INDEX(arrayformula(filter($H$2:$H701,$C$2:$C701&lt;&gt;"""",row($C$2:$C701)=max(if($C$2:$C701=C702,row($C$2:$C701),0)))) ,1),0),0))"),"")</f>
        <v/>
      </c>
      <c r="H702" s="170" t="str">
        <f t="shared" si="8"/>
        <v/>
      </c>
      <c r="I702" s="147" t="str">
        <f t="shared" si="1"/>
        <v/>
      </c>
      <c r="J702" s="147" t="str">
        <f t="shared" si="13"/>
        <v/>
      </c>
      <c r="K702" s="147" t="str">
        <f>IFERROR(__xludf.DUMMYFUNCTION("if(C702="""","""",iferror(if(row()&lt;&gt;2,INDEX(arrayformula(filter($L$2:$L701,$C$2:$C701&lt;&gt;"""",row($C$2:$C701)=max(if($C$2:$C701=C702,row($C$2:$C701),0)))) ,1),0),0))"),"")</f>
        <v/>
      </c>
      <c r="L702" s="147" t="str">
        <f t="shared" si="14"/>
        <v/>
      </c>
      <c r="M702" s="147" t="str">
        <f t="shared" si="15"/>
        <v/>
      </c>
      <c r="N702" s="147" t="str">
        <f t="shared" si="16"/>
        <v/>
      </c>
      <c r="O702" s="147" t="str">
        <f t="shared" si="6"/>
        <v/>
      </c>
      <c r="P702" s="150" t="str">
        <f t="shared" si="7"/>
        <v/>
      </c>
      <c r="Q702" s="151" t="str">
        <f>IFERROR(VLOOKUP(C702,Ativos!$A$1:$G2000,5,),)</f>
        <v/>
      </c>
    </row>
    <row r="703" ht="21.0" customHeight="1">
      <c r="A703" s="152"/>
      <c r="B703" s="160"/>
      <c r="C703" s="153"/>
      <c r="D703" s="169"/>
      <c r="E703" s="139"/>
      <c r="F703" s="141"/>
      <c r="G703" s="170" t="str">
        <f>IFERROR(__xludf.DUMMYFUNCTION("if($C703="""","""",iferror(if(row()&lt;&gt;2,INDEX(arrayformula(filter($H$2:$H702,$C$2:$C702&lt;&gt;"""",row($C$2:$C702)=max(if($C$2:$C702=C703,row($C$2:$C702),0)))) ,1),0),0))"),"")</f>
        <v/>
      </c>
      <c r="H703" s="170" t="str">
        <f t="shared" si="8"/>
        <v/>
      </c>
      <c r="I703" s="147" t="str">
        <f t="shared" si="1"/>
        <v/>
      </c>
      <c r="J703" s="147" t="str">
        <f t="shared" si="13"/>
        <v/>
      </c>
      <c r="K703" s="147" t="str">
        <f>IFERROR(__xludf.DUMMYFUNCTION("if(C703="""","""",iferror(if(row()&lt;&gt;2,INDEX(arrayformula(filter($L$2:$L702,$C$2:$C702&lt;&gt;"""",row($C$2:$C702)=max(if($C$2:$C702=C703,row($C$2:$C702),0)))) ,1),0),0))"),"")</f>
        <v/>
      </c>
      <c r="L703" s="147" t="str">
        <f t="shared" si="14"/>
        <v/>
      </c>
      <c r="M703" s="147" t="str">
        <f t="shared" si="15"/>
        <v/>
      </c>
      <c r="N703" s="147" t="str">
        <f t="shared" si="16"/>
        <v/>
      </c>
      <c r="O703" s="147" t="str">
        <f t="shared" si="6"/>
        <v/>
      </c>
      <c r="P703" s="150" t="str">
        <f t="shared" si="7"/>
        <v/>
      </c>
      <c r="Q703" s="151" t="str">
        <f>IFERROR(VLOOKUP(C703,Ativos!$A$1:$G2000,5,),)</f>
        <v/>
      </c>
    </row>
    <row r="704" ht="21.0" customHeight="1">
      <c r="A704" s="152"/>
      <c r="B704" s="160"/>
      <c r="C704" s="153"/>
      <c r="D704" s="169"/>
      <c r="E704" s="139"/>
      <c r="F704" s="141"/>
      <c r="G704" s="170" t="str">
        <f>IFERROR(__xludf.DUMMYFUNCTION("if($C704="""","""",iferror(if(row()&lt;&gt;2,INDEX(arrayformula(filter($H$2:$H703,$C$2:$C703&lt;&gt;"""",row($C$2:$C703)=max(if($C$2:$C703=C704,row($C$2:$C703),0)))) ,1),0),0))"),"")</f>
        <v/>
      </c>
      <c r="H704" s="170" t="str">
        <f t="shared" si="8"/>
        <v/>
      </c>
      <c r="I704" s="147" t="str">
        <f t="shared" si="1"/>
        <v/>
      </c>
      <c r="J704" s="147" t="str">
        <f t="shared" si="13"/>
        <v/>
      </c>
      <c r="K704" s="147" t="str">
        <f>IFERROR(__xludf.DUMMYFUNCTION("if(C704="""","""",iferror(if(row()&lt;&gt;2,INDEX(arrayformula(filter($L$2:$L703,$C$2:$C703&lt;&gt;"""",row($C$2:$C703)=max(if($C$2:$C703=C704,row($C$2:$C703),0)))) ,1),0),0))"),"")</f>
        <v/>
      </c>
      <c r="L704" s="147" t="str">
        <f t="shared" si="14"/>
        <v/>
      </c>
      <c r="M704" s="147" t="str">
        <f t="shared" si="15"/>
        <v/>
      </c>
      <c r="N704" s="147" t="str">
        <f t="shared" si="16"/>
        <v/>
      </c>
      <c r="O704" s="147" t="str">
        <f t="shared" si="6"/>
        <v/>
      </c>
      <c r="P704" s="150" t="str">
        <f t="shared" si="7"/>
        <v/>
      </c>
      <c r="Q704" s="151" t="str">
        <f>IFERROR(VLOOKUP(C704,Ativos!$A$1:$G2000,5,),)</f>
        <v/>
      </c>
    </row>
    <row r="705" ht="21.0" customHeight="1">
      <c r="A705" s="152"/>
      <c r="B705" s="160"/>
      <c r="C705" s="153"/>
      <c r="D705" s="169"/>
      <c r="E705" s="139"/>
      <c r="F705" s="141"/>
      <c r="G705" s="170" t="str">
        <f>IFERROR(__xludf.DUMMYFUNCTION("if($C705="""","""",iferror(if(row()&lt;&gt;2,INDEX(arrayformula(filter($H$2:$H704,$C$2:$C704&lt;&gt;"""",row($C$2:$C704)=max(if($C$2:$C704=C705,row($C$2:$C704),0)))) ,1),0),0))"),"")</f>
        <v/>
      </c>
      <c r="H705" s="170" t="str">
        <f t="shared" si="8"/>
        <v/>
      </c>
      <c r="I705" s="147" t="str">
        <f t="shared" si="1"/>
        <v/>
      </c>
      <c r="J705" s="147" t="str">
        <f t="shared" si="13"/>
        <v/>
      </c>
      <c r="K705" s="147" t="str">
        <f>IFERROR(__xludf.DUMMYFUNCTION("if(C705="""","""",iferror(if(row()&lt;&gt;2,INDEX(arrayformula(filter($L$2:$L704,$C$2:$C704&lt;&gt;"""",row($C$2:$C704)=max(if($C$2:$C704=C705,row($C$2:$C704),0)))) ,1),0),0))"),"")</f>
        <v/>
      </c>
      <c r="L705" s="147" t="str">
        <f t="shared" si="14"/>
        <v/>
      </c>
      <c r="M705" s="147" t="str">
        <f t="shared" si="15"/>
        <v/>
      </c>
      <c r="N705" s="147" t="str">
        <f t="shared" si="16"/>
        <v/>
      </c>
      <c r="O705" s="147" t="str">
        <f t="shared" si="6"/>
        <v/>
      </c>
      <c r="P705" s="150" t="str">
        <f t="shared" si="7"/>
        <v/>
      </c>
      <c r="Q705" s="151" t="str">
        <f>IFERROR(VLOOKUP(C705,Ativos!$A$1:$G2000,5,),)</f>
        <v/>
      </c>
    </row>
    <row r="706" ht="21.0" customHeight="1">
      <c r="A706" s="152"/>
      <c r="B706" s="160"/>
      <c r="C706" s="153"/>
      <c r="D706" s="169"/>
      <c r="E706" s="139"/>
      <c r="F706" s="141"/>
      <c r="G706" s="170" t="str">
        <f>IFERROR(__xludf.DUMMYFUNCTION("if($C706="""","""",iferror(if(row()&lt;&gt;2,INDEX(arrayformula(filter($H$2:$H705,$C$2:$C705&lt;&gt;"""",row($C$2:$C705)=max(if($C$2:$C705=C706,row($C$2:$C705),0)))) ,1),0),0))"),"")</f>
        <v/>
      </c>
      <c r="H706" s="170" t="str">
        <f t="shared" si="8"/>
        <v/>
      </c>
      <c r="I706" s="147" t="str">
        <f t="shared" si="1"/>
        <v/>
      </c>
      <c r="J706" s="147" t="str">
        <f t="shared" si="13"/>
        <v/>
      </c>
      <c r="K706" s="147" t="str">
        <f>IFERROR(__xludf.DUMMYFUNCTION("if(C706="""","""",iferror(if(row()&lt;&gt;2,INDEX(arrayformula(filter($L$2:$L705,$C$2:$C705&lt;&gt;"""",row($C$2:$C705)=max(if($C$2:$C705=C706,row($C$2:$C705),0)))) ,1),0),0))"),"")</f>
        <v/>
      </c>
      <c r="L706" s="147" t="str">
        <f t="shared" si="14"/>
        <v/>
      </c>
      <c r="M706" s="147" t="str">
        <f t="shared" si="15"/>
        <v/>
      </c>
      <c r="N706" s="147" t="str">
        <f t="shared" si="16"/>
        <v/>
      </c>
      <c r="O706" s="147" t="str">
        <f t="shared" si="6"/>
        <v/>
      </c>
      <c r="P706" s="150" t="str">
        <f t="shared" si="7"/>
        <v/>
      </c>
      <c r="Q706" s="151" t="str">
        <f>IFERROR(VLOOKUP(C706,Ativos!$A$1:$G2000,5,),)</f>
        <v/>
      </c>
    </row>
    <row r="707" ht="21.0" customHeight="1">
      <c r="A707" s="152"/>
      <c r="B707" s="160"/>
      <c r="C707" s="153"/>
      <c r="D707" s="169"/>
      <c r="E707" s="139"/>
      <c r="F707" s="141"/>
      <c r="G707" s="170" t="str">
        <f>IFERROR(__xludf.DUMMYFUNCTION("if($C707="""","""",iferror(if(row()&lt;&gt;2,INDEX(arrayformula(filter($H$2:$H706,$C$2:$C706&lt;&gt;"""",row($C$2:$C706)=max(if($C$2:$C706=C707,row($C$2:$C706),0)))) ,1),0),0))"),"")</f>
        <v/>
      </c>
      <c r="H707" s="170" t="str">
        <f t="shared" si="8"/>
        <v/>
      </c>
      <c r="I707" s="147" t="str">
        <f t="shared" si="1"/>
        <v/>
      </c>
      <c r="J707" s="147" t="str">
        <f t="shared" si="13"/>
        <v/>
      </c>
      <c r="K707" s="147" t="str">
        <f>IFERROR(__xludf.DUMMYFUNCTION("if(C707="""","""",iferror(if(row()&lt;&gt;2,INDEX(arrayformula(filter($L$2:$L706,$C$2:$C706&lt;&gt;"""",row($C$2:$C706)=max(if($C$2:$C706=C707,row($C$2:$C706),0)))) ,1),0),0))"),"")</f>
        <v/>
      </c>
      <c r="L707" s="147" t="str">
        <f t="shared" si="14"/>
        <v/>
      </c>
      <c r="M707" s="147" t="str">
        <f t="shared" si="15"/>
        <v/>
      </c>
      <c r="N707" s="147" t="str">
        <f t="shared" si="16"/>
        <v/>
      </c>
      <c r="O707" s="147" t="str">
        <f t="shared" si="6"/>
        <v/>
      </c>
      <c r="P707" s="150" t="str">
        <f t="shared" si="7"/>
        <v/>
      </c>
      <c r="Q707" s="151" t="str">
        <f>IFERROR(VLOOKUP(C707,Ativos!$A$1:$G2000,5,),)</f>
        <v/>
      </c>
    </row>
    <row r="708" ht="21.0" customHeight="1">
      <c r="A708" s="152"/>
      <c r="B708" s="160"/>
      <c r="C708" s="153"/>
      <c r="D708" s="169"/>
      <c r="E708" s="139"/>
      <c r="F708" s="141"/>
      <c r="G708" s="170" t="str">
        <f>IFERROR(__xludf.DUMMYFUNCTION("if($C708="""","""",iferror(if(row()&lt;&gt;2,INDEX(arrayformula(filter($H$2:$H707,$C$2:$C707&lt;&gt;"""",row($C$2:$C707)=max(if($C$2:$C707=C708,row($C$2:$C707),0)))) ,1),0),0))"),"")</f>
        <v/>
      </c>
      <c r="H708" s="170" t="str">
        <f t="shared" si="8"/>
        <v/>
      </c>
      <c r="I708" s="147" t="str">
        <f t="shared" si="1"/>
        <v/>
      </c>
      <c r="J708" s="147" t="str">
        <f t="shared" si="13"/>
        <v/>
      </c>
      <c r="K708" s="147" t="str">
        <f>IFERROR(__xludf.DUMMYFUNCTION("if(C708="""","""",iferror(if(row()&lt;&gt;2,INDEX(arrayformula(filter($L$2:$L707,$C$2:$C707&lt;&gt;"""",row($C$2:$C707)=max(if($C$2:$C707=C708,row($C$2:$C707),0)))) ,1),0),0))"),"")</f>
        <v/>
      </c>
      <c r="L708" s="147" t="str">
        <f t="shared" si="14"/>
        <v/>
      </c>
      <c r="M708" s="147" t="str">
        <f t="shared" si="15"/>
        <v/>
      </c>
      <c r="N708" s="147" t="str">
        <f t="shared" si="16"/>
        <v/>
      </c>
      <c r="O708" s="147" t="str">
        <f t="shared" si="6"/>
        <v/>
      </c>
      <c r="P708" s="150" t="str">
        <f t="shared" si="7"/>
        <v/>
      </c>
      <c r="Q708" s="151" t="str">
        <f>IFERROR(VLOOKUP(C708,Ativos!$A$1:$G2000,5,),)</f>
        <v/>
      </c>
    </row>
    <row r="709" ht="21.0" customHeight="1">
      <c r="A709" s="152"/>
      <c r="B709" s="160"/>
      <c r="C709" s="153"/>
      <c r="D709" s="169"/>
      <c r="E709" s="139"/>
      <c r="F709" s="141"/>
      <c r="G709" s="170" t="str">
        <f>IFERROR(__xludf.DUMMYFUNCTION("if($C709="""","""",iferror(if(row()&lt;&gt;2,INDEX(arrayformula(filter($H$2:$H708,$C$2:$C708&lt;&gt;"""",row($C$2:$C708)=max(if($C$2:$C708=C709,row($C$2:$C708),0)))) ,1),0),0))"),"")</f>
        <v/>
      </c>
      <c r="H709" s="170" t="str">
        <f t="shared" si="8"/>
        <v/>
      </c>
      <c r="I709" s="147" t="str">
        <f t="shared" si="1"/>
        <v/>
      </c>
      <c r="J709" s="147" t="str">
        <f t="shared" si="13"/>
        <v/>
      </c>
      <c r="K709" s="147" t="str">
        <f>IFERROR(__xludf.DUMMYFUNCTION("if(C709="""","""",iferror(if(row()&lt;&gt;2,INDEX(arrayformula(filter($L$2:$L708,$C$2:$C708&lt;&gt;"""",row($C$2:$C708)=max(if($C$2:$C708=C709,row($C$2:$C708),0)))) ,1),0),0))"),"")</f>
        <v/>
      </c>
      <c r="L709" s="147" t="str">
        <f t="shared" si="14"/>
        <v/>
      </c>
      <c r="M709" s="147" t="str">
        <f t="shared" si="15"/>
        <v/>
      </c>
      <c r="N709" s="147" t="str">
        <f t="shared" si="16"/>
        <v/>
      </c>
      <c r="O709" s="147" t="str">
        <f t="shared" si="6"/>
        <v/>
      </c>
      <c r="P709" s="150" t="str">
        <f t="shared" si="7"/>
        <v/>
      </c>
      <c r="Q709" s="151" t="str">
        <f>IFERROR(VLOOKUP(C709,Ativos!$A$1:$G2000,5,),)</f>
        <v/>
      </c>
    </row>
    <row r="710" ht="21.0" customHeight="1">
      <c r="A710" s="152"/>
      <c r="B710" s="160"/>
      <c r="C710" s="153"/>
      <c r="D710" s="169"/>
      <c r="E710" s="139"/>
      <c r="F710" s="141"/>
      <c r="G710" s="170" t="str">
        <f>IFERROR(__xludf.DUMMYFUNCTION("if($C710="""","""",iferror(if(row()&lt;&gt;2,INDEX(arrayformula(filter($H$2:$H709,$C$2:$C709&lt;&gt;"""",row($C$2:$C709)=max(if($C$2:$C709=C710,row($C$2:$C709),0)))) ,1),0),0))"),"")</f>
        <v/>
      </c>
      <c r="H710" s="170" t="str">
        <f t="shared" si="8"/>
        <v/>
      </c>
      <c r="I710" s="147" t="str">
        <f t="shared" si="1"/>
        <v/>
      </c>
      <c r="J710" s="147" t="str">
        <f t="shared" si="13"/>
        <v/>
      </c>
      <c r="K710" s="147" t="str">
        <f>IFERROR(__xludf.DUMMYFUNCTION("if(C710="""","""",iferror(if(row()&lt;&gt;2,INDEX(arrayformula(filter($L$2:$L709,$C$2:$C709&lt;&gt;"""",row($C$2:$C709)=max(if($C$2:$C709=C710,row($C$2:$C709),0)))) ,1),0),0))"),"")</f>
        <v/>
      </c>
      <c r="L710" s="147" t="str">
        <f t="shared" si="14"/>
        <v/>
      </c>
      <c r="M710" s="147" t="str">
        <f t="shared" si="15"/>
        <v/>
      </c>
      <c r="N710" s="147" t="str">
        <f t="shared" si="16"/>
        <v/>
      </c>
      <c r="O710" s="147" t="str">
        <f t="shared" si="6"/>
        <v/>
      </c>
      <c r="P710" s="150" t="str">
        <f t="shared" si="7"/>
        <v/>
      </c>
      <c r="Q710" s="151" t="str">
        <f>IFERROR(VLOOKUP(C710,Ativos!$A$1:$G2000,5,),)</f>
        <v/>
      </c>
    </row>
    <row r="711" ht="21.0" customHeight="1">
      <c r="A711" s="152"/>
      <c r="B711" s="160"/>
      <c r="C711" s="153"/>
      <c r="D711" s="169"/>
      <c r="E711" s="139"/>
      <c r="F711" s="141"/>
      <c r="G711" s="170" t="str">
        <f>IFERROR(__xludf.DUMMYFUNCTION("if($C711="""","""",iferror(if(row()&lt;&gt;2,INDEX(arrayformula(filter($H$2:$H710,$C$2:$C710&lt;&gt;"""",row($C$2:$C710)=max(if($C$2:$C710=C711,row($C$2:$C710),0)))) ,1),0),0))"),"")</f>
        <v/>
      </c>
      <c r="H711" s="170" t="str">
        <f t="shared" si="8"/>
        <v/>
      </c>
      <c r="I711" s="147" t="str">
        <f t="shared" si="1"/>
        <v/>
      </c>
      <c r="J711" s="147" t="str">
        <f t="shared" si="13"/>
        <v/>
      </c>
      <c r="K711" s="147" t="str">
        <f>IFERROR(__xludf.DUMMYFUNCTION("if(C711="""","""",iferror(if(row()&lt;&gt;2,INDEX(arrayformula(filter($L$2:$L710,$C$2:$C710&lt;&gt;"""",row($C$2:$C710)=max(if($C$2:$C710=C711,row($C$2:$C710),0)))) ,1),0),0))"),"")</f>
        <v/>
      </c>
      <c r="L711" s="147" t="str">
        <f t="shared" si="14"/>
        <v/>
      </c>
      <c r="M711" s="147" t="str">
        <f t="shared" si="15"/>
        <v/>
      </c>
      <c r="N711" s="147" t="str">
        <f t="shared" si="16"/>
        <v/>
      </c>
      <c r="O711" s="147" t="str">
        <f t="shared" si="6"/>
        <v/>
      </c>
      <c r="P711" s="150" t="str">
        <f t="shared" si="7"/>
        <v/>
      </c>
      <c r="Q711" s="151" t="str">
        <f>IFERROR(VLOOKUP(C711,Ativos!$A$1:$G2000,5,),)</f>
        <v/>
      </c>
    </row>
    <row r="712" ht="21.0" customHeight="1">
      <c r="A712" s="152"/>
      <c r="B712" s="160"/>
      <c r="C712" s="153"/>
      <c r="D712" s="169"/>
      <c r="E712" s="139"/>
      <c r="F712" s="141"/>
      <c r="G712" s="170" t="str">
        <f>IFERROR(__xludf.DUMMYFUNCTION("if($C712="""","""",iferror(if(row()&lt;&gt;2,INDEX(arrayformula(filter($H$2:$H711,$C$2:$C711&lt;&gt;"""",row($C$2:$C711)=max(if($C$2:$C711=C712,row($C$2:$C711),0)))) ,1),0),0))"),"")</f>
        <v/>
      </c>
      <c r="H712" s="170" t="str">
        <f t="shared" si="8"/>
        <v/>
      </c>
      <c r="I712" s="147" t="str">
        <f t="shared" si="1"/>
        <v/>
      </c>
      <c r="J712" s="147" t="str">
        <f t="shared" si="13"/>
        <v/>
      </c>
      <c r="K712" s="147" t="str">
        <f>IFERROR(__xludf.DUMMYFUNCTION("if(C712="""","""",iferror(if(row()&lt;&gt;2,INDEX(arrayformula(filter($L$2:$L711,$C$2:$C711&lt;&gt;"""",row($C$2:$C711)=max(if($C$2:$C711=C712,row($C$2:$C711),0)))) ,1),0),0))"),"")</f>
        <v/>
      </c>
      <c r="L712" s="147" t="str">
        <f t="shared" si="14"/>
        <v/>
      </c>
      <c r="M712" s="147" t="str">
        <f t="shared" si="15"/>
        <v/>
      </c>
      <c r="N712" s="147" t="str">
        <f t="shared" si="16"/>
        <v/>
      </c>
      <c r="O712" s="147" t="str">
        <f t="shared" si="6"/>
        <v/>
      </c>
      <c r="P712" s="150" t="str">
        <f t="shared" si="7"/>
        <v/>
      </c>
      <c r="Q712" s="151" t="str">
        <f>IFERROR(VLOOKUP(C712,Ativos!$A$1:$G2000,5,),)</f>
        <v/>
      </c>
    </row>
    <row r="713" ht="21.0" customHeight="1">
      <c r="A713" s="152"/>
      <c r="B713" s="160"/>
      <c r="C713" s="153"/>
      <c r="D713" s="169"/>
      <c r="E713" s="139"/>
      <c r="F713" s="141"/>
      <c r="G713" s="170" t="str">
        <f>IFERROR(__xludf.DUMMYFUNCTION("if($C713="""","""",iferror(if(row()&lt;&gt;2,INDEX(arrayformula(filter($H$2:$H712,$C$2:$C712&lt;&gt;"""",row($C$2:$C712)=max(if($C$2:$C712=C713,row($C$2:$C712),0)))) ,1),0),0))"),"")</f>
        <v/>
      </c>
      <c r="H713" s="170" t="str">
        <f t="shared" si="8"/>
        <v/>
      </c>
      <c r="I713" s="147" t="str">
        <f t="shared" si="1"/>
        <v/>
      </c>
      <c r="J713" s="147" t="str">
        <f t="shared" si="13"/>
        <v/>
      </c>
      <c r="K713" s="147" t="str">
        <f>IFERROR(__xludf.DUMMYFUNCTION("if(C713="""","""",iferror(if(row()&lt;&gt;2,INDEX(arrayformula(filter($L$2:$L712,$C$2:$C712&lt;&gt;"""",row($C$2:$C712)=max(if($C$2:$C712=C713,row($C$2:$C712),0)))) ,1),0),0))"),"")</f>
        <v/>
      </c>
      <c r="L713" s="147" t="str">
        <f t="shared" si="14"/>
        <v/>
      </c>
      <c r="M713" s="147" t="str">
        <f t="shared" si="15"/>
        <v/>
      </c>
      <c r="N713" s="147" t="str">
        <f t="shared" si="16"/>
        <v/>
      </c>
      <c r="O713" s="147" t="str">
        <f t="shared" si="6"/>
        <v/>
      </c>
      <c r="P713" s="150" t="str">
        <f t="shared" si="7"/>
        <v/>
      </c>
      <c r="Q713" s="151" t="str">
        <f>IFERROR(VLOOKUP(C713,Ativos!$A$1:$G2000,5,),)</f>
        <v/>
      </c>
    </row>
    <row r="714" ht="21.0" customHeight="1">
      <c r="A714" s="152"/>
      <c r="B714" s="160"/>
      <c r="C714" s="153"/>
      <c r="D714" s="169"/>
      <c r="E714" s="139"/>
      <c r="F714" s="141"/>
      <c r="G714" s="170" t="str">
        <f>IFERROR(__xludf.DUMMYFUNCTION("if($C714="""","""",iferror(if(row()&lt;&gt;2,INDEX(arrayformula(filter($H$2:$H713,$C$2:$C713&lt;&gt;"""",row($C$2:$C713)=max(if($C$2:$C713=C714,row($C$2:$C713),0)))) ,1),0),0))"),"")</f>
        <v/>
      </c>
      <c r="H714" s="170" t="str">
        <f t="shared" si="8"/>
        <v/>
      </c>
      <c r="I714" s="147" t="str">
        <f t="shared" si="1"/>
        <v/>
      </c>
      <c r="J714" s="147" t="str">
        <f t="shared" si="13"/>
        <v/>
      </c>
      <c r="K714" s="147" t="str">
        <f>IFERROR(__xludf.DUMMYFUNCTION("if(C714="""","""",iferror(if(row()&lt;&gt;2,INDEX(arrayformula(filter($L$2:$L713,$C$2:$C713&lt;&gt;"""",row($C$2:$C713)=max(if($C$2:$C713=C714,row($C$2:$C713),0)))) ,1),0),0))"),"")</f>
        <v/>
      </c>
      <c r="L714" s="147" t="str">
        <f t="shared" si="14"/>
        <v/>
      </c>
      <c r="M714" s="147" t="str">
        <f t="shared" si="15"/>
        <v/>
      </c>
      <c r="N714" s="147" t="str">
        <f t="shared" si="16"/>
        <v/>
      </c>
      <c r="O714" s="147" t="str">
        <f t="shared" si="6"/>
        <v/>
      </c>
      <c r="P714" s="150" t="str">
        <f t="shared" si="7"/>
        <v/>
      </c>
      <c r="Q714" s="151" t="str">
        <f>IFERROR(VLOOKUP(C714,Ativos!$A$1:$G2000,5,),)</f>
        <v/>
      </c>
    </row>
    <row r="715" ht="21.0" customHeight="1">
      <c r="A715" s="152"/>
      <c r="B715" s="160"/>
      <c r="C715" s="153"/>
      <c r="D715" s="169"/>
      <c r="E715" s="139"/>
      <c r="F715" s="141"/>
      <c r="G715" s="170" t="str">
        <f>IFERROR(__xludf.DUMMYFUNCTION("if($C715="""","""",iferror(if(row()&lt;&gt;2,INDEX(arrayformula(filter($H$2:$H714,$C$2:$C714&lt;&gt;"""",row($C$2:$C714)=max(if($C$2:$C714=C715,row($C$2:$C714),0)))) ,1),0),0))"),"")</f>
        <v/>
      </c>
      <c r="H715" s="170" t="str">
        <f t="shared" si="8"/>
        <v/>
      </c>
      <c r="I715" s="147" t="str">
        <f t="shared" si="1"/>
        <v/>
      </c>
      <c r="J715" s="147" t="str">
        <f t="shared" si="13"/>
        <v/>
      </c>
      <c r="K715" s="147" t="str">
        <f>IFERROR(__xludf.DUMMYFUNCTION("if(C715="""","""",iferror(if(row()&lt;&gt;2,INDEX(arrayformula(filter($L$2:$L714,$C$2:$C714&lt;&gt;"""",row($C$2:$C714)=max(if($C$2:$C714=C715,row($C$2:$C714),0)))) ,1),0),0))"),"")</f>
        <v/>
      </c>
      <c r="L715" s="147" t="str">
        <f t="shared" si="14"/>
        <v/>
      </c>
      <c r="M715" s="147" t="str">
        <f t="shared" si="15"/>
        <v/>
      </c>
      <c r="N715" s="147" t="str">
        <f t="shared" si="16"/>
        <v/>
      </c>
      <c r="O715" s="147" t="str">
        <f t="shared" si="6"/>
        <v/>
      </c>
      <c r="P715" s="150" t="str">
        <f t="shared" si="7"/>
        <v/>
      </c>
      <c r="Q715" s="151" t="str">
        <f>IFERROR(VLOOKUP(C715,Ativos!$A$1:$G2000,5,),)</f>
        <v/>
      </c>
    </row>
    <row r="716" ht="21.0" customHeight="1">
      <c r="A716" s="152"/>
      <c r="B716" s="160"/>
      <c r="C716" s="153"/>
      <c r="D716" s="169"/>
      <c r="E716" s="139"/>
      <c r="F716" s="141"/>
      <c r="G716" s="170" t="str">
        <f>IFERROR(__xludf.DUMMYFUNCTION("if($C716="""","""",iferror(if(row()&lt;&gt;2,INDEX(arrayformula(filter($H$2:$H715,$C$2:$C715&lt;&gt;"""",row($C$2:$C715)=max(if($C$2:$C715=C716,row($C$2:$C715),0)))) ,1),0),0))"),"")</f>
        <v/>
      </c>
      <c r="H716" s="170" t="str">
        <f t="shared" si="8"/>
        <v/>
      </c>
      <c r="I716" s="147" t="str">
        <f t="shared" si="1"/>
        <v/>
      </c>
      <c r="J716" s="147" t="str">
        <f t="shared" si="13"/>
        <v/>
      </c>
      <c r="K716" s="147" t="str">
        <f>IFERROR(__xludf.DUMMYFUNCTION("if(C716="""","""",iferror(if(row()&lt;&gt;2,INDEX(arrayformula(filter($L$2:$L715,$C$2:$C715&lt;&gt;"""",row($C$2:$C715)=max(if($C$2:$C715=C716,row($C$2:$C715),0)))) ,1),0),0))"),"")</f>
        <v/>
      </c>
      <c r="L716" s="147" t="str">
        <f t="shared" si="14"/>
        <v/>
      </c>
      <c r="M716" s="147" t="str">
        <f t="shared" si="15"/>
        <v/>
      </c>
      <c r="N716" s="147" t="str">
        <f t="shared" si="16"/>
        <v/>
      </c>
      <c r="O716" s="147" t="str">
        <f t="shared" si="6"/>
        <v/>
      </c>
      <c r="P716" s="150" t="str">
        <f t="shared" si="7"/>
        <v/>
      </c>
      <c r="Q716" s="151" t="str">
        <f>IFERROR(VLOOKUP(C716,Ativos!$A$1:$G2000,5,),)</f>
        <v/>
      </c>
    </row>
    <row r="717" ht="21.0" customHeight="1">
      <c r="A717" s="152"/>
      <c r="B717" s="160"/>
      <c r="C717" s="153"/>
      <c r="D717" s="169"/>
      <c r="E717" s="139"/>
      <c r="F717" s="141"/>
      <c r="G717" s="170" t="str">
        <f>IFERROR(__xludf.DUMMYFUNCTION("if($C717="""","""",iferror(if(row()&lt;&gt;2,INDEX(arrayformula(filter($H$2:$H716,$C$2:$C716&lt;&gt;"""",row($C$2:$C716)=max(if($C$2:$C716=C717,row($C$2:$C716),0)))) ,1),0),0))"),"")</f>
        <v/>
      </c>
      <c r="H717" s="170" t="str">
        <f t="shared" si="8"/>
        <v/>
      </c>
      <c r="I717" s="147" t="str">
        <f t="shared" si="1"/>
        <v/>
      </c>
      <c r="J717" s="147" t="str">
        <f t="shared" si="13"/>
        <v/>
      </c>
      <c r="K717" s="147" t="str">
        <f>IFERROR(__xludf.DUMMYFUNCTION("if(C717="""","""",iferror(if(row()&lt;&gt;2,INDEX(arrayformula(filter($L$2:$L716,$C$2:$C716&lt;&gt;"""",row($C$2:$C716)=max(if($C$2:$C716=C717,row($C$2:$C716),0)))) ,1),0),0))"),"")</f>
        <v/>
      </c>
      <c r="L717" s="147" t="str">
        <f t="shared" si="14"/>
        <v/>
      </c>
      <c r="M717" s="147" t="str">
        <f t="shared" si="15"/>
        <v/>
      </c>
      <c r="N717" s="147" t="str">
        <f t="shared" si="16"/>
        <v/>
      </c>
      <c r="O717" s="147" t="str">
        <f t="shared" si="6"/>
        <v/>
      </c>
      <c r="P717" s="150" t="str">
        <f t="shared" si="7"/>
        <v/>
      </c>
      <c r="Q717" s="151" t="str">
        <f>IFERROR(VLOOKUP(C717,Ativos!$A$1:$G2000,5,),)</f>
        <v/>
      </c>
    </row>
    <row r="718" ht="21.0" customHeight="1">
      <c r="A718" s="152"/>
      <c r="B718" s="160"/>
      <c r="C718" s="153"/>
      <c r="D718" s="169"/>
      <c r="E718" s="139"/>
      <c r="F718" s="141"/>
      <c r="G718" s="170" t="str">
        <f>IFERROR(__xludf.DUMMYFUNCTION("if($C718="""","""",iferror(if(row()&lt;&gt;2,INDEX(arrayformula(filter($H$2:$H717,$C$2:$C717&lt;&gt;"""",row($C$2:$C717)=max(if($C$2:$C717=C718,row($C$2:$C717),0)))) ,1),0),0))"),"")</f>
        <v/>
      </c>
      <c r="H718" s="170" t="str">
        <f t="shared" si="8"/>
        <v/>
      </c>
      <c r="I718" s="147" t="str">
        <f t="shared" si="1"/>
        <v/>
      </c>
      <c r="J718" s="147" t="str">
        <f t="shared" si="13"/>
        <v/>
      </c>
      <c r="K718" s="147" t="str">
        <f>IFERROR(__xludf.DUMMYFUNCTION("if(C718="""","""",iferror(if(row()&lt;&gt;2,INDEX(arrayformula(filter($L$2:$L717,$C$2:$C717&lt;&gt;"""",row($C$2:$C717)=max(if($C$2:$C717=C718,row($C$2:$C717),0)))) ,1),0),0))"),"")</f>
        <v/>
      </c>
      <c r="L718" s="147" t="str">
        <f t="shared" si="14"/>
        <v/>
      </c>
      <c r="M718" s="147" t="str">
        <f t="shared" si="15"/>
        <v/>
      </c>
      <c r="N718" s="147" t="str">
        <f t="shared" si="16"/>
        <v/>
      </c>
      <c r="O718" s="147" t="str">
        <f t="shared" si="6"/>
        <v/>
      </c>
      <c r="P718" s="150" t="str">
        <f t="shared" si="7"/>
        <v/>
      </c>
      <c r="Q718" s="151" t="str">
        <f>IFERROR(VLOOKUP(C718,Ativos!$A$1:$G2000,5,),)</f>
        <v/>
      </c>
    </row>
    <row r="719" ht="21.0" customHeight="1">
      <c r="A719" s="152"/>
      <c r="B719" s="160"/>
      <c r="C719" s="153"/>
      <c r="D719" s="169"/>
      <c r="E719" s="139"/>
      <c r="F719" s="141"/>
      <c r="G719" s="170" t="str">
        <f>IFERROR(__xludf.DUMMYFUNCTION("if($C719="""","""",iferror(if(row()&lt;&gt;2,INDEX(arrayformula(filter($H$2:$H718,$C$2:$C718&lt;&gt;"""",row($C$2:$C718)=max(if($C$2:$C718=C719,row($C$2:$C718),0)))) ,1),0),0))"),"")</f>
        <v/>
      </c>
      <c r="H719" s="170" t="str">
        <f t="shared" si="8"/>
        <v/>
      </c>
      <c r="I719" s="147" t="str">
        <f t="shared" si="1"/>
        <v/>
      </c>
      <c r="J719" s="147" t="str">
        <f t="shared" si="13"/>
        <v/>
      </c>
      <c r="K719" s="147" t="str">
        <f>IFERROR(__xludf.DUMMYFUNCTION("if(C719="""","""",iferror(if(row()&lt;&gt;2,INDEX(arrayformula(filter($L$2:$L718,$C$2:$C718&lt;&gt;"""",row($C$2:$C718)=max(if($C$2:$C718=C719,row($C$2:$C718),0)))) ,1),0),0))"),"")</f>
        <v/>
      </c>
      <c r="L719" s="147" t="str">
        <f t="shared" si="14"/>
        <v/>
      </c>
      <c r="M719" s="147" t="str">
        <f t="shared" si="15"/>
        <v/>
      </c>
      <c r="N719" s="147" t="str">
        <f t="shared" si="16"/>
        <v/>
      </c>
      <c r="O719" s="147" t="str">
        <f t="shared" si="6"/>
        <v/>
      </c>
      <c r="P719" s="150" t="str">
        <f t="shared" si="7"/>
        <v/>
      </c>
      <c r="Q719" s="151" t="str">
        <f>IFERROR(VLOOKUP(C719,Ativos!$A$1:$G2000,5,),)</f>
        <v/>
      </c>
    </row>
    <row r="720" ht="21.0" customHeight="1">
      <c r="A720" s="152"/>
      <c r="B720" s="160"/>
      <c r="C720" s="153"/>
      <c r="D720" s="169"/>
      <c r="E720" s="139"/>
      <c r="F720" s="141"/>
      <c r="G720" s="170" t="str">
        <f>IFERROR(__xludf.DUMMYFUNCTION("if($C720="""","""",iferror(if(row()&lt;&gt;2,INDEX(arrayformula(filter($H$2:$H719,$C$2:$C719&lt;&gt;"""",row($C$2:$C719)=max(if($C$2:$C719=C720,row($C$2:$C719),0)))) ,1),0),0))"),"")</f>
        <v/>
      </c>
      <c r="H720" s="170" t="str">
        <f t="shared" si="8"/>
        <v/>
      </c>
      <c r="I720" s="147" t="str">
        <f t="shared" si="1"/>
        <v/>
      </c>
      <c r="J720" s="147" t="str">
        <f t="shared" si="13"/>
        <v/>
      </c>
      <c r="K720" s="147" t="str">
        <f>IFERROR(__xludf.DUMMYFUNCTION("if(C720="""","""",iferror(if(row()&lt;&gt;2,INDEX(arrayformula(filter($L$2:$L719,$C$2:$C719&lt;&gt;"""",row($C$2:$C719)=max(if($C$2:$C719=C720,row($C$2:$C719),0)))) ,1),0),0))"),"")</f>
        <v/>
      </c>
      <c r="L720" s="147" t="str">
        <f t="shared" si="14"/>
        <v/>
      </c>
      <c r="M720" s="147" t="str">
        <f t="shared" si="15"/>
        <v/>
      </c>
      <c r="N720" s="147" t="str">
        <f t="shared" si="16"/>
        <v/>
      </c>
      <c r="O720" s="147" t="str">
        <f t="shared" si="6"/>
        <v/>
      </c>
      <c r="P720" s="150" t="str">
        <f t="shared" si="7"/>
        <v/>
      </c>
      <c r="Q720" s="151" t="str">
        <f>IFERROR(VLOOKUP(C720,Ativos!$A$1:$G2000,5,),)</f>
        <v/>
      </c>
    </row>
    <row r="721" ht="21.0" customHeight="1">
      <c r="A721" s="152"/>
      <c r="B721" s="160"/>
      <c r="C721" s="153"/>
      <c r="D721" s="169"/>
      <c r="E721" s="139"/>
      <c r="F721" s="141"/>
      <c r="G721" s="170" t="str">
        <f>IFERROR(__xludf.DUMMYFUNCTION("if($C721="""","""",iferror(if(row()&lt;&gt;2,INDEX(arrayformula(filter($H$2:$H720,$C$2:$C720&lt;&gt;"""",row($C$2:$C720)=max(if($C$2:$C720=C721,row($C$2:$C720),0)))) ,1),0),0))"),"")</f>
        <v/>
      </c>
      <c r="H721" s="170" t="str">
        <f t="shared" si="8"/>
        <v/>
      </c>
      <c r="I721" s="147" t="str">
        <f t="shared" si="1"/>
        <v/>
      </c>
      <c r="J721" s="147" t="str">
        <f t="shared" si="13"/>
        <v/>
      </c>
      <c r="K721" s="147" t="str">
        <f>IFERROR(__xludf.DUMMYFUNCTION("if(C721="""","""",iferror(if(row()&lt;&gt;2,INDEX(arrayformula(filter($L$2:$L720,$C$2:$C720&lt;&gt;"""",row($C$2:$C720)=max(if($C$2:$C720=C721,row($C$2:$C720),0)))) ,1),0),0))"),"")</f>
        <v/>
      </c>
      <c r="L721" s="147" t="str">
        <f t="shared" si="14"/>
        <v/>
      </c>
      <c r="M721" s="147" t="str">
        <f t="shared" si="15"/>
        <v/>
      </c>
      <c r="N721" s="147" t="str">
        <f t="shared" si="16"/>
        <v/>
      </c>
      <c r="O721" s="147" t="str">
        <f t="shared" si="6"/>
        <v/>
      </c>
      <c r="P721" s="150" t="str">
        <f t="shared" si="7"/>
        <v/>
      </c>
      <c r="Q721" s="151" t="str">
        <f>IFERROR(VLOOKUP(C721,Ativos!$A$1:$G2000,5,),)</f>
        <v/>
      </c>
    </row>
    <row r="722" ht="21.0" customHeight="1">
      <c r="A722" s="152"/>
      <c r="B722" s="160"/>
      <c r="C722" s="153"/>
      <c r="D722" s="169"/>
      <c r="E722" s="139"/>
      <c r="F722" s="141"/>
      <c r="G722" s="170" t="str">
        <f>IFERROR(__xludf.DUMMYFUNCTION("if($C722="""","""",iferror(if(row()&lt;&gt;2,INDEX(arrayformula(filter($H$2:$H721,$C$2:$C721&lt;&gt;"""",row($C$2:$C721)=max(if($C$2:$C721=C722,row($C$2:$C721),0)))) ,1),0),0))"),"")</f>
        <v/>
      </c>
      <c r="H722" s="170" t="str">
        <f t="shared" si="8"/>
        <v/>
      </c>
      <c r="I722" s="147" t="str">
        <f t="shared" si="1"/>
        <v/>
      </c>
      <c r="J722" s="147" t="str">
        <f t="shared" si="13"/>
        <v/>
      </c>
      <c r="K722" s="147" t="str">
        <f>IFERROR(__xludf.DUMMYFUNCTION("if(C722="""","""",iferror(if(row()&lt;&gt;2,INDEX(arrayformula(filter($L$2:$L721,$C$2:$C721&lt;&gt;"""",row($C$2:$C721)=max(if($C$2:$C721=C722,row($C$2:$C721),0)))) ,1),0),0))"),"")</f>
        <v/>
      </c>
      <c r="L722" s="147" t="str">
        <f t="shared" si="14"/>
        <v/>
      </c>
      <c r="M722" s="147" t="str">
        <f t="shared" si="15"/>
        <v/>
      </c>
      <c r="N722" s="147" t="str">
        <f t="shared" si="16"/>
        <v/>
      </c>
      <c r="O722" s="147" t="str">
        <f t="shared" si="6"/>
        <v/>
      </c>
      <c r="P722" s="150" t="str">
        <f t="shared" si="7"/>
        <v/>
      </c>
      <c r="Q722" s="151" t="str">
        <f>IFERROR(VLOOKUP(C722,Ativos!$A$1:$G2000,5,),)</f>
        <v/>
      </c>
    </row>
    <row r="723" ht="21.0" customHeight="1">
      <c r="A723" s="152"/>
      <c r="B723" s="160"/>
      <c r="C723" s="153"/>
      <c r="D723" s="169"/>
      <c r="E723" s="139"/>
      <c r="F723" s="141"/>
      <c r="G723" s="170" t="str">
        <f>IFERROR(__xludf.DUMMYFUNCTION("if($C723="""","""",iferror(if(row()&lt;&gt;2,INDEX(arrayformula(filter($H$2:$H722,$C$2:$C722&lt;&gt;"""",row($C$2:$C722)=max(if($C$2:$C722=C723,row($C$2:$C722),0)))) ,1),0),0))"),"")</f>
        <v/>
      </c>
      <c r="H723" s="170" t="str">
        <f t="shared" si="8"/>
        <v/>
      </c>
      <c r="I723" s="147" t="str">
        <f t="shared" si="1"/>
        <v/>
      </c>
      <c r="J723" s="147" t="str">
        <f t="shared" si="13"/>
        <v/>
      </c>
      <c r="K723" s="147" t="str">
        <f>IFERROR(__xludf.DUMMYFUNCTION("if(C723="""","""",iferror(if(row()&lt;&gt;2,INDEX(arrayformula(filter($L$2:$L722,$C$2:$C722&lt;&gt;"""",row($C$2:$C722)=max(if($C$2:$C722=C723,row($C$2:$C722),0)))) ,1),0),0))"),"")</f>
        <v/>
      </c>
      <c r="L723" s="147" t="str">
        <f t="shared" si="14"/>
        <v/>
      </c>
      <c r="M723" s="147" t="str">
        <f t="shared" si="15"/>
        <v/>
      </c>
      <c r="N723" s="147" t="str">
        <f t="shared" si="16"/>
        <v/>
      </c>
      <c r="O723" s="147" t="str">
        <f t="shared" si="6"/>
        <v/>
      </c>
      <c r="P723" s="150" t="str">
        <f t="shared" si="7"/>
        <v/>
      </c>
      <c r="Q723" s="151" t="str">
        <f>IFERROR(VLOOKUP(C723,Ativos!$A$1:$G2000,5,),)</f>
        <v/>
      </c>
    </row>
    <row r="724" ht="21.0" customHeight="1">
      <c r="A724" s="152"/>
      <c r="B724" s="160"/>
      <c r="C724" s="153"/>
      <c r="D724" s="169"/>
      <c r="E724" s="139"/>
      <c r="F724" s="141"/>
      <c r="G724" s="170" t="str">
        <f>IFERROR(__xludf.DUMMYFUNCTION("if($C724="""","""",iferror(if(row()&lt;&gt;2,INDEX(arrayformula(filter($H$2:$H723,$C$2:$C723&lt;&gt;"""",row($C$2:$C723)=max(if($C$2:$C723=C724,row($C$2:$C723),0)))) ,1),0),0))"),"")</f>
        <v/>
      </c>
      <c r="H724" s="170" t="str">
        <f t="shared" si="8"/>
        <v/>
      </c>
      <c r="I724" s="147" t="str">
        <f t="shared" si="1"/>
        <v/>
      </c>
      <c r="J724" s="147" t="str">
        <f t="shared" si="13"/>
        <v/>
      </c>
      <c r="K724" s="147" t="str">
        <f>IFERROR(__xludf.DUMMYFUNCTION("if(C724="""","""",iferror(if(row()&lt;&gt;2,INDEX(arrayformula(filter($L$2:$L723,$C$2:$C723&lt;&gt;"""",row($C$2:$C723)=max(if($C$2:$C723=C724,row($C$2:$C723),0)))) ,1),0),0))"),"")</f>
        <v/>
      </c>
      <c r="L724" s="147" t="str">
        <f t="shared" si="14"/>
        <v/>
      </c>
      <c r="M724" s="147" t="str">
        <f t="shared" si="15"/>
        <v/>
      </c>
      <c r="N724" s="147" t="str">
        <f t="shared" si="16"/>
        <v/>
      </c>
      <c r="O724" s="147" t="str">
        <f t="shared" si="6"/>
        <v/>
      </c>
      <c r="P724" s="150" t="str">
        <f t="shared" si="7"/>
        <v/>
      </c>
      <c r="Q724" s="151" t="str">
        <f>IFERROR(VLOOKUP(C724,Ativos!$A$1:$G2000,5,),)</f>
        <v/>
      </c>
    </row>
    <row r="725" ht="21.0" customHeight="1">
      <c r="A725" s="152"/>
      <c r="B725" s="160"/>
      <c r="C725" s="153"/>
      <c r="D725" s="169"/>
      <c r="E725" s="139"/>
      <c r="F725" s="141"/>
      <c r="G725" s="170" t="str">
        <f>IFERROR(__xludf.DUMMYFUNCTION("if($C725="""","""",iferror(if(row()&lt;&gt;2,INDEX(arrayformula(filter($H$2:$H724,$C$2:$C724&lt;&gt;"""",row($C$2:$C724)=max(if($C$2:$C724=C725,row($C$2:$C724),0)))) ,1),0),0))"),"")</f>
        <v/>
      </c>
      <c r="H725" s="170" t="str">
        <f t="shared" si="8"/>
        <v/>
      </c>
      <c r="I725" s="147" t="str">
        <f t="shared" si="1"/>
        <v/>
      </c>
      <c r="J725" s="147" t="str">
        <f t="shared" si="13"/>
        <v/>
      </c>
      <c r="K725" s="147" t="str">
        <f>IFERROR(__xludf.DUMMYFUNCTION("if(C725="""","""",iferror(if(row()&lt;&gt;2,INDEX(arrayformula(filter($L$2:$L724,$C$2:$C724&lt;&gt;"""",row($C$2:$C724)=max(if($C$2:$C724=C725,row($C$2:$C724),0)))) ,1),0),0))"),"")</f>
        <v/>
      </c>
      <c r="L725" s="147" t="str">
        <f t="shared" si="14"/>
        <v/>
      </c>
      <c r="M725" s="147" t="str">
        <f t="shared" si="15"/>
        <v/>
      </c>
      <c r="N725" s="147" t="str">
        <f t="shared" si="16"/>
        <v/>
      </c>
      <c r="O725" s="147" t="str">
        <f t="shared" si="6"/>
        <v/>
      </c>
      <c r="P725" s="150" t="str">
        <f t="shared" si="7"/>
        <v/>
      </c>
      <c r="Q725" s="151" t="str">
        <f>IFERROR(VLOOKUP(C725,Ativos!$A$1:$G2000,5,),)</f>
        <v/>
      </c>
    </row>
    <row r="726" ht="21.0" customHeight="1">
      <c r="A726" s="152"/>
      <c r="B726" s="160"/>
      <c r="C726" s="153"/>
      <c r="D726" s="169"/>
      <c r="E726" s="139"/>
      <c r="F726" s="141"/>
      <c r="G726" s="170" t="str">
        <f>IFERROR(__xludf.DUMMYFUNCTION("if($C726="""","""",iferror(if(row()&lt;&gt;2,INDEX(arrayformula(filter($H$2:$H725,$C$2:$C725&lt;&gt;"""",row($C$2:$C725)=max(if($C$2:$C725=C726,row($C$2:$C725),0)))) ,1),0),0))"),"")</f>
        <v/>
      </c>
      <c r="H726" s="170" t="str">
        <f t="shared" si="8"/>
        <v/>
      </c>
      <c r="I726" s="147" t="str">
        <f t="shared" si="1"/>
        <v/>
      </c>
      <c r="J726" s="147" t="str">
        <f t="shared" si="13"/>
        <v/>
      </c>
      <c r="K726" s="147" t="str">
        <f>IFERROR(__xludf.DUMMYFUNCTION("if(C726="""","""",iferror(if(row()&lt;&gt;2,INDEX(arrayformula(filter($L$2:$L725,$C$2:$C725&lt;&gt;"""",row($C$2:$C725)=max(if($C$2:$C725=C726,row($C$2:$C725),0)))) ,1),0),0))"),"")</f>
        <v/>
      </c>
      <c r="L726" s="147" t="str">
        <f t="shared" si="14"/>
        <v/>
      </c>
      <c r="M726" s="147" t="str">
        <f t="shared" si="15"/>
        <v/>
      </c>
      <c r="N726" s="147" t="str">
        <f t="shared" si="16"/>
        <v/>
      </c>
      <c r="O726" s="147" t="str">
        <f t="shared" si="6"/>
        <v/>
      </c>
      <c r="P726" s="150" t="str">
        <f t="shared" si="7"/>
        <v/>
      </c>
      <c r="Q726" s="151" t="str">
        <f>IFERROR(VLOOKUP(C726,Ativos!$A$1:$G2000,5,),)</f>
        <v/>
      </c>
    </row>
    <row r="727" ht="21.0" customHeight="1">
      <c r="A727" s="152"/>
      <c r="B727" s="160"/>
      <c r="C727" s="153"/>
      <c r="D727" s="169"/>
      <c r="E727" s="139"/>
      <c r="F727" s="141"/>
      <c r="G727" s="170" t="str">
        <f>IFERROR(__xludf.DUMMYFUNCTION("if($C727="""","""",iferror(if(row()&lt;&gt;2,INDEX(arrayformula(filter($H$2:$H726,$C$2:$C726&lt;&gt;"""",row($C$2:$C726)=max(if($C$2:$C726=C727,row($C$2:$C726),0)))) ,1),0),0))"),"")</f>
        <v/>
      </c>
      <c r="H727" s="170" t="str">
        <f t="shared" si="8"/>
        <v/>
      </c>
      <c r="I727" s="147" t="str">
        <f t="shared" si="1"/>
        <v/>
      </c>
      <c r="J727" s="147" t="str">
        <f t="shared" si="13"/>
        <v/>
      </c>
      <c r="K727" s="147" t="str">
        <f>IFERROR(__xludf.DUMMYFUNCTION("if(C727="""","""",iferror(if(row()&lt;&gt;2,INDEX(arrayformula(filter($L$2:$L726,$C$2:$C726&lt;&gt;"""",row($C$2:$C726)=max(if($C$2:$C726=C727,row($C$2:$C726),0)))) ,1),0),0))"),"")</f>
        <v/>
      </c>
      <c r="L727" s="147" t="str">
        <f t="shared" si="14"/>
        <v/>
      </c>
      <c r="M727" s="147" t="str">
        <f t="shared" si="15"/>
        <v/>
      </c>
      <c r="N727" s="147" t="str">
        <f t="shared" si="16"/>
        <v/>
      </c>
      <c r="O727" s="147" t="str">
        <f t="shared" si="6"/>
        <v/>
      </c>
      <c r="P727" s="150" t="str">
        <f t="shared" si="7"/>
        <v/>
      </c>
      <c r="Q727" s="151" t="str">
        <f>IFERROR(VLOOKUP(C727,Ativos!$A$1:$G2000,5,),)</f>
        <v/>
      </c>
    </row>
    <row r="728" ht="21.0" customHeight="1">
      <c r="A728" s="152"/>
      <c r="B728" s="160"/>
      <c r="C728" s="153"/>
      <c r="D728" s="169"/>
      <c r="E728" s="139"/>
      <c r="F728" s="141"/>
      <c r="G728" s="170" t="str">
        <f>IFERROR(__xludf.DUMMYFUNCTION("if($C728="""","""",iferror(if(row()&lt;&gt;2,INDEX(arrayformula(filter($H$2:$H727,$C$2:$C727&lt;&gt;"""",row($C$2:$C727)=max(if($C$2:$C727=C728,row($C$2:$C727),0)))) ,1),0),0))"),"")</f>
        <v/>
      </c>
      <c r="H728" s="170" t="str">
        <f t="shared" si="8"/>
        <v/>
      </c>
      <c r="I728" s="147" t="str">
        <f t="shared" si="1"/>
        <v/>
      </c>
      <c r="J728" s="147" t="str">
        <f t="shared" si="13"/>
        <v/>
      </c>
      <c r="K728" s="147" t="str">
        <f>IFERROR(__xludf.DUMMYFUNCTION("if(C728="""","""",iferror(if(row()&lt;&gt;2,INDEX(arrayformula(filter($L$2:$L727,$C$2:$C727&lt;&gt;"""",row($C$2:$C727)=max(if($C$2:$C727=C728,row($C$2:$C727),0)))) ,1),0),0))"),"")</f>
        <v/>
      </c>
      <c r="L728" s="147" t="str">
        <f t="shared" si="14"/>
        <v/>
      </c>
      <c r="M728" s="147" t="str">
        <f t="shared" si="15"/>
        <v/>
      </c>
      <c r="N728" s="147" t="str">
        <f t="shared" si="16"/>
        <v/>
      </c>
      <c r="O728" s="147" t="str">
        <f t="shared" si="6"/>
        <v/>
      </c>
      <c r="P728" s="150" t="str">
        <f t="shared" si="7"/>
        <v/>
      </c>
      <c r="Q728" s="151" t="str">
        <f>IFERROR(VLOOKUP(C728,Ativos!$A$1:$G2000,5,),)</f>
        <v/>
      </c>
    </row>
    <row r="729" ht="21.0" customHeight="1">
      <c r="A729" s="152"/>
      <c r="B729" s="160"/>
      <c r="C729" s="153"/>
      <c r="D729" s="169"/>
      <c r="E729" s="139"/>
      <c r="F729" s="141"/>
      <c r="G729" s="170" t="str">
        <f>IFERROR(__xludf.DUMMYFUNCTION("if($C729="""","""",iferror(if(row()&lt;&gt;2,INDEX(arrayformula(filter($H$2:$H728,$C$2:$C728&lt;&gt;"""",row($C$2:$C728)=max(if($C$2:$C728=C729,row($C$2:$C728),0)))) ,1),0),0))"),"")</f>
        <v/>
      </c>
      <c r="H729" s="170" t="str">
        <f t="shared" si="8"/>
        <v/>
      </c>
      <c r="I729" s="147" t="str">
        <f t="shared" si="1"/>
        <v/>
      </c>
      <c r="J729" s="147" t="str">
        <f t="shared" si="13"/>
        <v/>
      </c>
      <c r="K729" s="147" t="str">
        <f>IFERROR(__xludf.DUMMYFUNCTION("if(C729="""","""",iferror(if(row()&lt;&gt;2,INDEX(arrayformula(filter($L$2:$L728,$C$2:$C728&lt;&gt;"""",row($C$2:$C728)=max(if($C$2:$C728=C729,row($C$2:$C728),0)))) ,1),0),0))"),"")</f>
        <v/>
      </c>
      <c r="L729" s="147" t="str">
        <f t="shared" si="14"/>
        <v/>
      </c>
      <c r="M729" s="147" t="str">
        <f t="shared" si="15"/>
        <v/>
      </c>
      <c r="N729" s="147" t="str">
        <f t="shared" si="16"/>
        <v/>
      </c>
      <c r="O729" s="147" t="str">
        <f t="shared" si="6"/>
        <v/>
      </c>
      <c r="P729" s="150" t="str">
        <f t="shared" si="7"/>
        <v/>
      </c>
      <c r="Q729" s="151" t="str">
        <f>IFERROR(VLOOKUP(C729,Ativos!$A$1:$G2000,5,),)</f>
        <v/>
      </c>
    </row>
    <row r="730" ht="21.0" customHeight="1">
      <c r="A730" s="152"/>
      <c r="B730" s="160"/>
      <c r="C730" s="153"/>
      <c r="D730" s="169"/>
      <c r="E730" s="139"/>
      <c r="F730" s="141"/>
      <c r="G730" s="170" t="str">
        <f>IFERROR(__xludf.DUMMYFUNCTION("if($C730="""","""",iferror(if(row()&lt;&gt;2,INDEX(arrayformula(filter($H$2:$H729,$C$2:$C729&lt;&gt;"""",row($C$2:$C729)=max(if($C$2:$C729=C730,row($C$2:$C729),0)))) ,1),0),0))"),"")</f>
        <v/>
      </c>
      <c r="H730" s="170" t="str">
        <f t="shared" si="8"/>
        <v/>
      </c>
      <c r="I730" s="147" t="str">
        <f t="shared" si="1"/>
        <v/>
      </c>
      <c r="J730" s="147" t="str">
        <f t="shared" si="13"/>
        <v/>
      </c>
      <c r="K730" s="147" t="str">
        <f>IFERROR(__xludf.DUMMYFUNCTION("if(C730="""","""",iferror(if(row()&lt;&gt;2,INDEX(arrayformula(filter($L$2:$L729,$C$2:$C729&lt;&gt;"""",row($C$2:$C729)=max(if($C$2:$C729=C730,row($C$2:$C729),0)))) ,1),0),0))"),"")</f>
        <v/>
      </c>
      <c r="L730" s="147" t="str">
        <f t="shared" si="14"/>
        <v/>
      </c>
      <c r="M730" s="147" t="str">
        <f t="shared" si="15"/>
        <v/>
      </c>
      <c r="N730" s="147" t="str">
        <f t="shared" si="16"/>
        <v/>
      </c>
      <c r="O730" s="147" t="str">
        <f t="shared" si="6"/>
        <v/>
      </c>
      <c r="P730" s="150" t="str">
        <f t="shared" si="7"/>
        <v/>
      </c>
      <c r="Q730" s="151" t="str">
        <f>IFERROR(VLOOKUP(C730,Ativos!$A$1:$G2000,5,),)</f>
        <v/>
      </c>
    </row>
    <row r="731" ht="21.0" customHeight="1">
      <c r="A731" s="152"/>
      <c r="B731" s="160"/>
      <c r="C731" s="153"/>
      <c r="D731" s="169"/>
      <c r="E731" s="139"/>
      <c r="F731" s="141"/>
      <c r="G731" s="170" t="str">
        <f>IFERROR(__xludf.DUMMYFUNCTION("if($C731="""","""",iferror(if(row()&lt;&gt;2,INDEX(arrayformula(filter($H$2:$H730,$C$2:$C730&lt;&gt;"""",row($C$2:$C730)=max(if($C$2:$C730=C731,row($C$2:$C730),0)))) ,1),0),0))"),"")</f>
        <v/>
      </c>
      <c r="H731" s="170" t="str">
        <f t="shared" si="8"/>
        <v/>
      </c>
      <c r="I731" s="147" t="str">
        <f t="shared" si="1"/>
        <v/>
      </c>
      <c r="J731" s="147" t="str">
        <f t="shared" si="13"/>
        <v/>
      </c>
      <c r="K731" s="147" t="str">
        <f>IFERROR(__xludf.DUMMYFUNCTION("if(C731="""","""",iferror(if(row()&lt;&gt;2,INDEX(arrayformula(filter($L$2:$L730,$C$2:$C730&lt;&gt;"""",row($C$2:$C730)=max(if($C$2:$C730=C731,row($C$2:$C730),0)))) ,1),0),0))"),"")</f>
        <v/>
      </c>
      <c r="L731" s="147" t="str">
        <f t="shared" si="14"/>
        <v/>
      </c>
      <c r="M731" s="147" t="str">
        <f t="shared" si="15"/>
        <v/>
      </c>
      <c r="N731" s="147" t="str">
        <f t="shared" si="16"/>
        <v/>
      </c>
      <c r="O731" s="147" t="str">
        <f t="shared" si="6"/>
        <v/>
      </c>
      <c r="P731" s="150" t="str">
        <f t="shared" si="7"/>
        <v/>
      </c>
      <c r="Q731" s="151" t="str">
        <f>IFERROR(VLOOKUP(C731,Ativos!$A$1:$G2000,5,),)</f>
        <v/>
      </c>
    </row>
    <row r="732" ht="21.0" customHeight="1">
      <c r="A732" s="152"/>
      <c r="B732" s="160"/>
      <c r="C732" s="153"/>
      <c r="D732" s="169"/>
      <c r="E732" s="139"/>
      <c r="F732" s="141"/>
      <c r="G732" s="170" t="str">
        <f>IFERROR(__xludf.DUMMYFUNCTION("if($C732="""","""",iferror(if(row()&lt;&gt;2,INDEX(arrayformula(filter($H$2:$H731,$C$2:$C731&lt;&gt;"""",row($C$2:$C731)=max(if($C$2:$C731=C732,row($C$2:$C731),0)))) ,1),0),0))"),"")</f>
        <v/>
      </c>
      <c r="H732" s="170" t="str">
        <f t="shared" si="8"/>
        <v/>
      </c>
      <c r="I732" s="147" t="str">
        <f t="shared" si="1"/>
        <v/>
      </c>
      <c r="J732" s="147" t="str">
        <f t="shared" si="13"/>
        <v/>
      </c>
      <c r="K732" s="147" t="str">
        <f>IFERROR(__xludf.DUMMYFUNCTION("if(C732="""","""",iferror(if(row()&lt;&gt;2,INDEX(arrayformula(filter($L$2:$L731,$C$2:$C731&lt;&gt;"""",row($C$2:$C731)=max(if($C$2:$C731=C732,row($C$2:$C731),0)))) ,1),0),0))"),"")</f>
        <v/>
      </c>
      <c r="L732" s="147" t="str">
        <f t="shared" si="14"/>
        <v/>
      </c>
      <c r="M732" s="147" t="str">
        <f t="shared" si="15"/>
        <v/>
      </c>
      <c r="N732" s="147" t="str">
        <f t="shared" si="16"/>
        <v/>
      </c>
      <c r="O732" s="147" t="str">
        <f t="shared" si="6"/>
        <v/>
      </c>
      <c r="P732" s="150" t="str">
        <f t="shared" si="7"/>
        <v/>
      </c>
      <c r="Q732" s="151" t="str">
        <f>IFERROR(VLOOKUP(C732,Ativos!$A$1:$G2000,5,),)</f>
        <v/>
      </c>
    </row>
    <row r="733" ht="21.0" customHeight="1">
      <c r="A733" s="152"/>
      <c r="B733" s="160"/>
      <c r="C733" s="153"/>
      <c r="D733" s="169"/>
      <c r="E733" s="139"/>
      <c r="F733" s="141"/>
      <c r="G733" s="170" t="str">
        <f>IFERROR(__xludf.DUMMYFUNCTION("if($C733="""","""",iferror(if(row()&lt;&gt;2,INDEX(arrayformula(filter($H$2:$H732,$C$2:$C732&lt;&gt;"""",row($C$2:$C732)=max(if($C$2:$C732=C733,row($C$2:$C732),0)))) ,1),0),0))"),"")</f>
        <v/>
      </c>
      <c r="H733" s="170" t="str">
        <f t="shared" si="8"/>
        <v/>
      </c>
      <c r="I733" s="147" t="str">
        <f t="shared" si="1"/>
        <v/>
      </c>
      <c r="J733" s="147" t="str">
        <f t="shared" si="13"/>
        <v/>
      </c>
      <c r="K733" s="147" t="str">
        <f>IFERROR(__xludf.DUMMYFUNCTION("if(C733="""","""",iferror(if(row()&lt;&gt;2,INDEX(arrayformula(filter($L$2:$L732,$C$2:$C732&lt;&gt;"""",row($C$2:$C732)=max(if($C$2:$C732=C733,row($C$2:$C732),0)))) ,1),0),0))"),"")</f>
        <v/>
      </c>
      <c r="L733" s="147" t="str">
        <f t="shared" si="14"/>
        <v/>
      </c>
      <c r="M733" s="147" t="str">
        <f t="shared" si="15"/>
        <v/>
      </c>
      <c r="N733" s="147" t="str">
        <f t="shared" si="16"/>
        <v/>
      </c>
      <c r="O733" s="147" t="str">
        <f t="shared" si="6"/>
        <v/>
      </c>
      <c r="P733" s="150" t="str">
        <f t="shared" si="7"/>
        <v/>
      </c>
      <c r="Q733" s="151" t="str">
        <f>IFERROR(VLOOKUP(C733,Ativos!$A$1:$G2000,5,),)</f>
        <v/>
      </c>
    </row>
    <row r="734" ht="21.0" customHeight="1">
      <c r="A734" s="152"/>
      <c r="B734" s="160"/>
      <c r="C734" s="153"/>
      <c r="D734" s="169"/>
      <c r="E734" s="139"/>
      <c r="F734" s="141"/>
      <c r="G734" s="170" t="str">
        <f>IFERROR(__xludf.DUMMYFUNCTION("if($C734="""","""",iferror(if(row()&lt;&gt;2,INDEX(arrayformula(filter($H$2:$H733,$C$2:$C733&lt;&gt;"""",row($C$2:$C733)=max(if($C$2:$C733=C734,row($C$2:$C733),0)))) ,1),0),0))"),"")</f>
        <v/>
      </c>
      <c r="H734" s="170" t="str">
        <f t="shared" si="8"/>
        <v/>
      </c>
      <c r="I734" s="147" t="str">
        <f t="shared" si="1"/>
        <v/>
      </c>
      <c r="J734" s="147" t="str">
        <f t="shared" si="13"/>
        <v/>
      </c>
      <c r="K734" s="147" t="str">
        <f>IFERROR(__xludf.DUMMYFUNCTION("if(C734="""","""",iferror(if(row()&lt;&gt;2,INDEX(arrayformula(filter($L$2:$L733,$C$2:$C733&lt;&gt;"""",row($C$2:$C733)=max(if($C$2:$C733=C734,row($C$2:$C733),0)))) ,1),0),0))"),"")</f>
        <v/>
      </c>
      <c r="L734" s="147" t="str">
        <f t="shared" si="14"/>
        <v/>
      </c>
      <c r="M734" s="147" t="str">
        <f t="shared" si="15"/>
        <v/>
      </c>
      <c r="N734" s="147" t="str">
        <f t="shared" si="16"/>
        <v/>
      </c>
      <c r="O734" s="147" t="str">
        <f t="shared" si="6"/>
        <v/>
      </c>
      <c r="P734" s="150" t="str">
        <f t="shared" si="7"/>
        <v/>
      </c>
      <c r="Q734" s="151" t="str">
        <f>IFERROR(VLOOKUP(C734,Ativos!$A$1:$G2000,5,),)</f>
        <v/>
      </c>
    </row>
    <row r="735" ht="21.0" customHeight="1">
      <c r="A735" s="152"/>
      <c r="B735" s="160"/>
      <c r="C735" s="153"/>
      <c r="D735" s="169"/>
      <c r="E735" s="139"/>
      <c r="F735" s="141"/>
      <c r="G735" s="170" t="str">
        <f>IFERROR(__xludf.DUMMYFUNCTION("if($C735="""","""",iferror(if(row()&lt;&gt;2,INDEX(arrayformula(filter($H$2:$H734,$C$2:$C734&lt;&gt;"""",row($C$2:$C734)=max(if($C$2:$C734=C735,row($C$2:$C734),0)))) ,1),0),0))"),"")</f>
        <v/>
      </c>
      <c r="H735" s="170" t="str">
        <f t="shared" si="8"/>
        <v/>
      </c>
      <c r="I735" s="147" t="str">
        <f t="shared" si="1"/>
        <v/>
      </c>
      <c r="J735" s="147" t="str">
        <f t="shared" si="13"/>
        <v/>
      </c>
      <c r="K735" s="147" t="str">
        <f>IFERROR(__xludf.DUMMYFUNCTION("if(C735="""","""",iferror(if(row()&lt;&gt;2,INDEX(arrayformula(filter($L$2:$L734,$C$2:$C734&lt;&gt;"""",row($C$2:$C734)=max(if($C$2:$C734=C735,row($C$2:$C734),0)))) ,1),0),0))"),"")</f>
        <v/>
      </c>
      <c r="L735" s="147" t="str">
        <f t="shared" si="14"/>
        <v/>
      </c>
      <c r="M735" s="147" t="str">
        <f t="shared" si="15"/>
        <v/>
      </c>
      <c r="N735" s="147" t="str">
        <f t="shared" si="16"/>
        <v/>
      </c>
      <c r="O735" s="147" t="str">
        <f t="shared" si="6"/>
        <v/>
      </c>
      <c r="P735" s="150" t="str">
        <f t="shared" si="7"/>
        <v/>
      </c>
      <c r="Q735" s="151" t="str">
        <f>IFERROR(VLOOKUP(C735,Ativos!$A$1:$G2000,5,),)</f>
        <v/>
      </c>
    </row>
    <row r="736" ht="21.0" customHeight="1">
      <c r="A736" s="152"/>
      <c r="B736" s="160"/>
      <c r="C736" s="153"/>
      <c r="D736" s="169"/>
      <c r="E736" s="139"/>
      <c r="F736" s="141"/>
      <c r="G736" s="170" t="str">
        <f>IFERROR(__xludf.DUMMYFUNCTION("if($C736="""","""",iferror(if(row()&lt;&gt;2,INDEX(arrayformula(filter($H$2:$H735,$C$2:$C735&lt;&gt;"""",row($C$2:$C735)=max(if($C$2:$C735=C736,row($C$2:$C735),0)))) ,1),0),0))"),"")</f>
        <v/>
      </c>
      <c r="H736" s="170" t="str">
        <f t="shared" si="8"/>
        <v/>
      </c>
      <c r="I736" s="147" t="str">
        <f t="shared" si="1"/>
        <v/>
      </c>
      <c r="J736" s="147" t="str">
        <f t="shared" si="13"/>
        <v/>
      </c>
      <c r="K736" s="147" t="str">
        <f>IFERROR(__xludf.DUMMYFUNCTION("if(C736="""","""",iferror(if(row()&lt;&gt;2,INDEX(arrayformula(filter($L$2:$L735,$C$2:$C735&lt;&gt;"""",row($C$2:$C735)=max(if($C$2:$C735=C736,row($C$2:$C735),0)))) ,1),0),0))"),"")</f>
        <v/>
      </c>
      <c r="L736" s="147" t="str">
        <f t="shared" si="14"/>
        <v/>
      </c>
      <c r="M736" s="147" t="str">
        <f t="shared" si="15"/>
        <v/>
      </c>
      <c r="N736" s="147" t="str">
        <f t="shared" si="16"/>
        <v/>
      </c>
      <c r="O736" s="147" t="str">
        <f t="shared" si="6"/>
        <v/>
      </c>
      <c r="P736" s="150" t="str">
        <f t="shared" si="7"/>
        <v/>
      </c>
      <c r="Q736" s="151" t="str">
        <f>IFERROR(VLOOKUP(C736,Ativos!$A$1:$G2000,5,),)</f>
        <v/>
      </c>
    </row>
    <row r="737" ht="21.0" customHeight="1">
      <c r="A737" s="152"/>
      <c r="B737" s="160"/>
      <c r="C737" s="153"/>
      <c r="D737" s="169"/>
      <c r="E737" s="139"/>
      <c r="F737" s="141"/>
      <c r="G737" s="170" t="str">
        <f>IFERROR(__xludf.DUMMYFUNCTION("if($C737="""","""",iferror(if(row()&lt;&gt;2,INDEX(arrayformula(filter($H$2:$H736,$C$2:$C736&lt;&gt;"""",row($C$2:$C736)=max(if($C$2:$C736=C737,row($C$2:$C736),0)))) ,1),0),0))"),"")</f>
        <v/>
      </c>
      <c r="H737" s="170" t="str">
        <f t="shared" si="8"/>
        <v/>
      </c>
      <c r="I737" s="147" t="str">
        <f t="shared" si="1"/>
        <v/>
      </c>
      <c r="J737" s="147" t="str">
        <f t="shared" si="13"/>
        <v/>
      </c>
      <c r="K737" s="147" t="str">
        <f>IFERROR(__xludf.DUMMYFUNCTION("if(C737="""","""",iferror(if(row()&lt;&gt;2,INDEX(arrayformula(filter($L$2:$L736,$C$2:$C736&lt;&gt;"""",row($C$2:$C736)=max(if($C$2:$C736=C737,row($C$2:$C736),0)))) ,1),0),0))"),"")</f>
        <v/>
      </c>
      <c r="L737" s="147" t="str">
        <f t="shared" si="14"/>
        <v/>
      </c>
      <c r="M737" s="147" t="str">
        <f t="shared" si="15"/>
        <v/>
      </c>
      <c r="N737" s="147" t="str">
        <f t="shared" si="16"/>
        <v/>
      </c>
      <c r="O737" s="147" t="str">
        <f t="shared" si="6"/>
        <v/>
      </c>
      <c r="P737" s="150" t="str">
        <f t="shared" si="7"/>
        <v/>
      </c>
      <c r="Q737" s="151" t="str">
        <f>IFERROR(VLOOKUP(C737,Ativos!$A$1:$G2000,5,),)</f>
        <v/>
      </c>
    </row>
    <row r="738" ht="21.0" customHeight="1">
      <c r="A738" s="152"/>
      <c r="B738" s="160"/>
      <c r="C738" s="153"/>
      <c r="D738" s="169"/>
      <c r="E738" s="139"/>
      <c r="F738" s="141"/>
      <c r="G738" s="170" t="str">
        <f>IFERROR(__xludf.DUMMYFUNCTION("if($C738="""","""",iferror(if(row()&lt;&gt;2,INDEX(arrayformula(filter($H$2:$H737,$C$2:$C737&lt;&gt;"""",row($C$2:$C737)=max(if($C$2:$C737=C738,row($C$2:$C737),0)))) ,1),0),0))"),"")</f>
        <v/>
      </c>
      <c r="H738" s="170" t="str">
        <f t="shared" si="8"/>
        <v/>
      </c>
      <c r="I738" s="147" t="str">
        <f t="shared" si="1"/>
        <v/>
      </c>
      <c r="J738" s="147" t="str">
        <f t="shared" si="13"/>
        <v/>
      </c>
      <c r="K738" s="147" t="str">
        <f>IFERROR(__xludf.DUMMYFUNCTION("if(C738="""","""",iferror(if(row()&lt;&gt;2,INDEX(arrayformula(filter($L$2:$L737,$C$2:$C737&lt;&gt;"""",row($C$2:$C737)=max(if($C$2:$C737=C738,row($C$2:$C737),0)))) ,1),0),0))"),"")</f>
        <v/>
      </c>
      <c r="L738" s="147" t="str">
        <f t="shared" si="14"/>
        <v/>
      </c>
      <c r="M738" s="147" t="str">
        <f t="shared" si="15"/>
        <v/>
      </c>
      <c r="N738" s="147" t="str">
        <f t="shared" si="16"/>
        <v/>
      </c>
      <c r="O738" s="147" t="str">
        <f t="shared" si="6"/>
        <v/>
      </c>
      <c r="P738" s="150" t="str">
        <f t="shared" si="7"/>
        <v/>
      </c>
      <c r="Q738" s="151" t="str">
        <f>IFERROR(VLOOKUP(C738,Ativos!$A$1:$G2000,5,),)</f>
        <v/>
      </c>
    </row>
    <row r="739" ht="21.0" customHeight="1">
      <c r="A739" s="152"/>
      <c r="B739" s="160"/>
      <c r="C739" s="153"/>
      <c r="D739" s="169"/>
      <c r="E739" s="139"/>
      <c r="F739" s="141"/>
      <c r="G739" s="170" t="str">
        <f>IFERROR(__xludf.DUMMYFUNCTION("if($C739="""","""",iferror(if(row()&lt;&gt;2,INDEX(arrayformula(filter($H$2:$H738,$C$2:$C738&lt;&gt;"""",row($C$2:$C738)=max(if($C$2:$C738=C739,row($C$2:$C738),0)))) ,1),0),0))"),"")</f>
        <v/>
      </c>
      <c r="H739" s="170" t="str">
        <f t="shared" si="8"/>
        <v/>
      </c>
      <c r="I739" s="147" t="str">
        <f t="shared" si="1"/>
        <v/>
      </c>
      <c r="J739" s="147" t="str">
        <f t="shared" si="13"/>
        <v/>
      </c>
      <c r="K739" s="147" t="str">
        <f>IFERROR(__xludf.DUMMYFUNCTION("if(C739="""","""",iferror(if(row()&lt;&gt;2,INDEX(arrayformula(filter($L$2:$L738,$C$2:$C738&lt;&gt;"""",row($C$2:$C738)=max(if($C$2:$C738=C739,row($C$2:$C738),0)))) ,1),0),0))"),"")</f>
        <v/>
      </c>
      <c r="L739" s="147" t="str">
        <f t="shared" si="14"/>
        <v/>
      </c>
      <c r="M739" s="147" t="str">
        <f t="shared" si="15"/>
        <v/>
      </c>
      <c r="N739" s="147" t="str">
        <f t="shared" si="16"/>
        <v/>
      </c>
      <c r="O739" s="147" t="str">
        <f t="shared" si="6"/>
        <v/>
      </c>
      <c r="P739" s="150" t="str">
        <f t="shared" si="7"/>
        <v/>
      </c>
      <c r="Q739" s="151" t="str">
        <f>IFERROR(VLOOKUP(C739,Ativos!$A$1:$G2000,5,),)</f>
        <v/>
      </c>
    </row>
    <row r="740" ht="21.0" customHeight="1">
      <c r="A740" s="152"/>
      <c r="B740" s="160"/>
      <c r="C740" s="153"/>
      <c r="D740" s="169"/>
      <c r="E740" s="139"/>
      <c r="F740" s="141"/>
      <c r="G740" s="170" t="str">
        <f>IFERROR(__xludf.DUMMYFUNCTION("if($C740="""","""",iferror(if(row()&lt;&gt;2,INDEX(arrayformula(filter($H$2:$H739,$C$2:$C739&lt;&gt;"""",row($C$2:$C739)=max(if($C$2:$C739=C740,row($C$2:$C739),0)))) ,1),0),0))"),"")</f>
        <v/>
      </c>
      <c r="H740" s="170" t="str">
        <f t="shared" si="8"/>
        <v/>
      </c>
      <c r="I740" s="147" t="str">
        <f t="shared" si="1"/>
        <v/>
      </c>
      <c r="J740" s="147" t="str">
        <f t="shared" si="13"/>
        <v/>
      </c>
      <c r="K740" s="147" t="str">
        <f>IFERROR(__xludf.DUMMYFUNCTION("if(C740="""","""",iferror(if(row()&lt;&gt;2,INDEX(arrayformula(filter($L$2:$L739,$C$2:$C739&lt;&gt;"""",row($C$2:$C739)=max(if($C$2:$C739=C740,row($C$2:$C739),0)))) ,1),0),0))"),"")</f>
        <v/>
      </c>
      <c r="L740" s="147" t="str">
        <f t="shared" si="14"/>
        <v/>
      </c>
      <c r="M740" s="147" t="str">
        <f t="shared" si="15"/>
        <v/>
      </c>
      <c r="N740" s="147" t="str">
        <f t="shared" si="16"/>
        <v/>
      </c>
      <c r="O740" s="147" t="str">
        <f t="shared" si="6"/>
        <v/>
      </c>
      <c r="P740" s="150" t="str">
        <f t="shared" si="7"/>
        <v/>
      </c>
      <c r="Q740" s="151" t="str">
        <f>IFERROR(VLOOKUP(C740,Ativos!$A$1:$G2000,5,),)</f>
        <v/>
      </c>
    </row>
    <row r="741" ht="21.0" customHeight="1">
      <c r="A741" s="152"/>
      <c r="B741" s="160"/>
      <c r="C741" s="153"/>
      <c r="D741" s="169"/>
      <c r="E741" s="139"/>
      <c r="F741" s="141"/>
      <c r="G741" s="170" t="str">
        <f>IFERROR(__xludf.DUMMYFUNCTION("if($C741="""","""",iferror(if(row()&lt;&gt;2,INDEX(arrayformula(filter($H$2:$H740,$C$2:$C740&lt;&gt;"""",row($C$2:$C740)=max(if($C$2:$C740=C741,row($C$2:$C740),0)))) ,1),0),0))"),"")</f>
        <v/>
      </c>
      <c r="H741" s="170" t="str">
        <f t="shared" si="8"/>
        <v/>
      </c>
      <c r="I741" s="147" t="str">
        <f t="shared" si="1"/>
        <v/>
      </c>
      <c r="J741" s="147" t="str">
        <f t="shared" si="13"/>
        <v/>
      </c>
      <c r="K741" s="147" t="str">
        <f>IFERROR(__xludf.DUMMYFUNCTION("if(C741="""","""",iferror(if(row()&lt;&gt;2,INDEX(arrayformula(filter($L$2:$L740,$C$2:$C740&lt;&gt;"""",row($C$2:$C740)=max(if($C$2:$C740=C741,row($C$2:$C740),0)))) ,1),0),0))"),"")</f>
        <v/>
      </c>
      <c r="L741" s="147" t="str">
        <f t="shared" si="14"/>
        <v/>
      </c>
      <c r="M741" s="147" t="str">
        <f t="shared" si="15"/>
        <v/>
      </c>
      <c r="N741" s="147" t="str">
        <f t="shared" si="16"/>
        <v/>
      </c>
      <c r="O741" s="147" t="str">
        <f t="shared" si="6"/>
        <v/>
      </c>
      <c r="P741" s="150" t="str">
        <f t="shared" si="7"/>
        <v/>
      </c>
      <c r="Q741" s="151" t="str">
        <f>IFERROR(VLOOKUP(C741,Ativos!$A$1:$G2000,5,),)</f>
        <v/>
      </c>
    </row>
    <row r="742" ht="21.0" customHeight="1">
      <c r="A742" s="152"/>
      <c r="B742" s="160"/>
      <c r="C742" s="153"/>
      <c r="D742" s="169"/>
      <c r="E742" s="139"/>
      <c r="F742" s="141"/>
      <c r="G742" s="170" t="str">
        <f>IFERROR(__xludf.DUMMYFUNCTION("if($C742="""","""",iferror(if(row()&lt;&gt;2,INDEX(arrayformula(filter($H$2:$H741,$C$2:$C741&lt;&gt;"""",row($C$2:$C741)=max(if($C$2:$C741=C742,row($C$2:$C741),0)))) ,1),0),0))"),"")</f>
        <v/>
      </c>
      <c r="H742" s="170" t="str">
        <f t="shared" si="8"/>
        <v/>
      </c>
      <c r="I742" s="147" t="str">
        <f t="shared" si="1"/>
        <v/>
      </c>
      <c r="J742" s="147" t="str">
        <f t="shared" si="13"/>
        <v/>
      </c>
      <c r="K742" s="147" t="str">
        <f>IFERROR(__xludf.DUMMYFUNCTION("if(C742="""","""",iferror(if(row()&lt;&gt;2,INDEX(arrayformula(filter($L$2:$L741,$C$2:$C741&lt;&gt;"""",row($C$2:$C741)=max(if($C$2:$C741=C742,row($C$2:$C741),0)))) ,1),0),0))"),"")</f>
        <v/>
      </c>
      <c r="L742" s="147" t="str">
        <f t="shared" si="14"/>
        <v/>
      </c>
      <c r="M742" s="147" t="str">
        <f t="shared" si="15"/>
        <v/>
      </c>
      <c r="N742" s="147" t="str">
        <f t="shared" si="16"/>
        <v/>
      </c>
      <c r="O742" s="147" t="str">
        <f t="shared" si="6"/>
        <v/>
      </c>
      <c r="P742" s="150" t="str">
        <f t="shared" si="7"/>
        <v/>
      </c>
      <c r="Q742" s="151" t="str">
        <f>IFERROR(VLOOKUP(C742,Ativos!$A$1:$G2000,5,),)</f>
        <v/>
      </c>
    </row>
    <row r="743" ht="21.0" customHeight="1">
      <c r="A743" s="152"/>
      <c r="B743" s="160"/>
      <c r="C743" s="153"/>
      <c r="D743" s="169"/>
      <c r="E743" s="139"/>
      <c r="F743" s="141"/>
      <c r="G743" s="170" t="str">
        <f>IFERROR(__xludf.DUMMYFUNCTION("if($C743="""","""",iferror(if(row()&lt;&gt;2,INDEX(arrayformula(filter($H$2:$H742,$C$2:$C742&lt;&gt;"""",row($C$2:$C742)=max(if($C$2:$C742=C743,row($C$2:$C742),0)))) ,1),0),0))"),"")</f>
        <v/>
      </c>
      <c r="H743" s="170" t="str">
        <f t="shared" si="8"/>
        <v/>
      </c>
      <c r="I743" s="147" t="str">
        <f t="shared" si="1"/>
        <v/>
      </c>
      <c r="J743" s="147" t="str">
        <f t="shared" si="13"/>
        <v/>
      </c>
      <c r="K743" s="147" t="str">
        <f>IFERROR(__xludf.DUMMYFUNCTION("if(C743="""","""",iferror(if(row()&lt;&gt;2,INDEX(arrayformula(filter($L$2:$L742,$C$2:$C742&lt;&gt;"""",row($C$2:$C742)=max(if($C$2:$C742=C743,row($C$2:$C742),0)))) ,1),0),0))"),"")</f>
        <v/>
      </c>
      <c r="L743" s="147" t="str">
        <f t="shared" si="14"/>
        <v/>
      </c>
      <c r="M743" s="147" t="str">
        <f t="shared" si="15"/>
        <v/>
      </c>
      <c r="N743" s="147" t="str">
        <f t="shared" si="16"/>
        <v/>
      </c>
      <c r="O743" s="147" t="str">
        <f t="shared" si="6"/>
        <v/>
      </c>
      <c r="P743" s="150" t="str">
        <f t="shared" si="7"/>
        <v/>
      </c>
      <c r="Q743" s="151" t="str">
        <f>IFERROR(VLOOKUP(C743,Ativos!$A$1:$G2000,5,),)</f>
        <v/>
      </c>
    </row>
    <row r="744" ht="21.0" customHeight="1">
      <c r="A744" s="152"/>
      <c r="B744" s="160"/>
      <c r="C744" s="153"/>
      <c r="D744" s="169"/>
      <c r="E744" s="139"/>
      <c r="F744" s="141"/>
      <c r="G744" s="170" t="str">
        <f>IFERROR(__xludf.DUMMYFUNCTION("if($C744="""","""",iferror(if(row()&lt;&gt;2,INDEX(arrayformula(filter($H$2:$H743,$C$2:$C743&lt;&gt;"""",row($C$2:$C743)=max(if($C$2:$C743=C744,row($C$2:$C743),0)))) ,1),0),0))"),"")</f>
        <v/>
      </c>
      <c r="H744" s="170" t="str">
        <f t="shared" si="8"/>
        <v/>
      </c>
      <c r="I744" s="147" t="str">
        <f t="shared" si="1"/>
        <v/>
      </c>
      <c r="J744" s="147" t="str">
        <f t="shared" si="13"/>
        <v/>
      </c>
      <c r="K744" s="147" t="str">
        <f>IFERROR(__xludf.DUMMYFUNCTION("if(C744="""","""",iferror(if(row()&lt;&gt;2,INDEX(arrayformula(filter($L$2:$L743,$C$2:$C743&lt;&gt;"""",row($C$2:$C743)=max(if($C$2:$C743=C744,row($C$2:$C743),0)))) ,1),0),0))"),"")</f>
        <v/>
      </c>
      <c r="L744" s="147" t="str">
        <f t="shared" si="14"/>
        <v/>
      </c>
      <c r="M744" s="147" t="str">
        <f t="shared" si="15"/>
        <v/>
      </c>
      <c r="N744" s="147" t="str">
        <f t="shared" si="16"/>
        <v/>
      </c>
      <c r="O744" s="147" t="str">
        <f t="shared" si="6"/>
        <v/>
      </c>
      <c r="P744" s="150" t="str">
        <f t="shared" si="7"/>
        <v/>
      </c>
      <c r="Q744" s="151" t="str">
        <f>IFERROR(VLOOKUP(C744,Ativos!$A$1:$G2000,5,),)</f>
        <v/>
      </c>
    </row>
    <row r="745" ht="21.0" customHeight="1">
      <c r="A745" s="152"/>
      <c r="B745" s="160"/>
      <c r="C745" s="153"/>
      <c r="D745" s="169"/>
      <c r="E745" s="139"/>
      <c r="F745" s="141"/>
      <c r="G745" s="170" t="str">
        <f>IFERROR(__xludf.DUMMYFUNCTION("if($C745="""","""",iferror(if(row()&lt;&gt;2,INDEX(arrayformula(filter($H$2:$H744,$C$2:$C744&lt;&gt;"""",row($C$2:$C744)=max(if($C$2:$C744=C745,row($C$2:$C744),0)))) ,1),0),0))"),"")</f>
        <v/>
      </c>
      <c r="H745" s="170" t="str">
        <f t="shared" si="8"/>
        <v/>
      </c>
      <c r="I745" s="147" t="str">
        <f t="shared" si="1"/>
        <v/>
      </c>
      <c r="J745" s="147" t="str">
        <f t="shared" si="13"/>
        <v/>
      </c>
      <c r="K745" s="147" t="str">
        <f>IFERROR(__xludf.DUMMYFUNCTION("if(C745="""","""",iferror(if(row()&lt;&gt;2,INDEX(arrayformula(filter($L$2:$L744,$C$2:$C744&lt;&gt;"""",row($C$2:$C744)=max(if($C$2:$C744=C745,row($C$2:$C744),0)))) ,1),0),0))"),"")</f>
        <v/>
      </c>
      <c r="L745" s="147" t="str">
        <f t="shared" si="14"/>
        <v/>
      </c>
      <c r="M745" s="147" t="str">
        <f t="shared" si="15"/>
        <v/>
      </c>
      <c r="N745" s="147" t="str">
        <f t="shared" si="16"/>
        <v/>
      </c>
      <c r="O745" s="147" t="str">
        <f t="shared" si="6"/>
        <v/>
      </c>
      <c r="P745" s="150" t="str">
        <f t="shared" si="7"/>
        <v/>
      </c>
      <c r="Q745" s="151" t="str">
        <f>IFERROR(VLOOKUP(C745,Ativos!$A$1:$G2000,5,),)</f>
        <v/>
      </c>
    </row>
    <row r="746" ht="21.0" customHeight="1">
      <c r="A746" s="152"/>
      <c r="B746" s="160"/>
      <c r="C746" s="153"/>
      <c r="D746" s="169"/>
      <c r="E746" s="139"/>
      <c r="F746" s="141"/>
      <c r="G746" s="170" t="str">
        <f>IFERROR(__xludf.DUMMYFUNCTION("if($C746="""","""",iferror(if(row()&lt;&gt;2,INDEX(arrayformula(filter($H$2:$H745,$C$2:$C745&lt;&gt;"""",row($C$2:$C745)=max(if($C$2:$C745=C746,row($C$2:$C745),0)))) ,1),0),0))"),"")</f>
        <v/>
      </c>
      <c r="H746" s="170" t="str">
        <f t="shared" si="8"/>
        <v/>
      </c>
      <c r="I746" s="147" t="str">
        <f t="shared" si="1"/>
        <v/>
      </c>
      <c r="J746" s="147" t="str">
        <f t="shared" si="13"/>
        <v/>
      </c>
      <c r="K746" s="147" t="str">
        <f>IFERROR(__xludf.DUMMYFUNCTION("if(C746="""","""",iferror(if(row()&lt;&gt;2,INDEX(arrayformula(filter($L$2:$L745,$C$2:$C745&lt;&gt;"""",row($C$2:$C745)=max(if($C$2:$C745=C746,row($C$2:$C745),0)))) ,1),0),0))"),"")</f>
        <v/>
      </c>
      <c r="L746" s="147" t="str">
        <f t="shared" si="14"/>
        <v/>
      </c>
      <c r="M746" s="147" t="str">
        <f t="shared" si="15"/>
        <v/>
      </c>
      <c r="N746" s="147" t="str">
        <f t="shared" si="16"/>
        <v/>
      </c>
      <c r="O746" s="147" t="str">
        <f t="shared" si="6"/>
        <v/>
      </c>
      <c r="P746" s="150" t="str">
        <f t="shared" si="7"/>
        <v/>
      </c>
      <c r="Q746" s="151" t="str">
        <f>IFERROR(VLOOKUP(C746,Ativos!$A$1:$G2000,5,),)</f>
        <v/>
      </c>
    </row>
    <row r="747" ht="21.0" customHeight="1">
      <c r="A747" s="152"/>
      <c r="B747" s="160"/>
      <c r="C747" s="153"/>
      <c r="D747" s="169"/>
      <c r="E747" s="139"/>
      <c r="F747" s="141"/>
      <c r="G747" s="170" t="str">
        <f>IFERROR(__xludf.DUMMYFUNCTION("if($C747="""","""",iferror(if(row()&lt;&gt;2,INDEX(arrayformula(filter($H$2:$H746,$C$2:$C746&lt;&gt;"""",row($C$2:$C746)=max(if($C$2:$C746=C747,row($C$2:$C746),0)))) ,1),0),0))"),"")</f>
        <v/>
      </c>
      <c r="H747" s="170" t="str">
        <f t="shared" si="8"/>
        <v/>
      </c>
      <c r="I747" s="147" t="str">
        <f t="shared" si="1"/>
        <v/>
      </c>
      <c r="J747" s="147" t="str">
        <f t="shared" si="13"/>
        <v/>
      </c>
      <c r="K747" s="147" t="str">
        <f>IFERROR(__xludf.DUMMYFUNCTION("if(C747="""","""",iferror(if(row()&lt;&gt;2,INDEX(arrayformula(filter($L$2:$L746,$C$2:$C746&lt;&gt;"""",row($C$2:$C746)=max(if($C$2:$C746=C747,row($C$2:$C746),0)))) ,1),0),0))"),"")</f>
        <v/>
      </c>
      <c r="L747" s="147" t="str">
        <f t="shared" si="14"/>
        <v/>
      </c>
      <c r="M747" s="147" t="str">
        <f t="shared" si="15"/>
        <v/>
      </c>
      <c r="N747" s="147" t="str">
        <f t="shared" si="16"/>
        <v/>
      </c>
      <c r="O747" s="147" t="str">
        <f t="shared" si="6"/>
        <v/>
      </c>
      <c r="P747" s="150" t="str">
        <f t="shared" si="7"/>
        <v/>
      </c>
      <c r="Q747" s="151" t="str">
        <f>IFERROR(VLOOKUP(C747,Ativos!$A$1:$G2000,5,),)</f>
        <v/>
      </c>
    </row>
    <row r="748" ht="21.0" customHeight="1">
      <c r="A748" s="152"/>
      <c r="B748" s="160"/>
      <c r="C748" s="153"/>
      <c r="D748" s="169"/>
      <c r="E748" s="139"/>
      <c r="F748" s="141"/>
      <c r="G748" s="170" t="str">
        <f>IFERROR(__xludf.DUMMYFUNCTION("if($C748="""","""",iferror(if(row()&lt;&gt;2,INDEX(arrayformula(filter($H$2:$H747,$C$2:$C747&lt;&gt;"""",row($C$2:$C747)=max(if($C$2:$C747=C748,row($C$2:$C747),0)))) ,1),0),0))"),"")</f>
        <v/>
      </c>
      <c r="H748" s="170" t="str">
        <f t="shared" si="8"/>
        <v/>
      </c>
      <c r="I748" s="147" t="str">
        <f t="shared" si="1"/>
        <v/>
      </c>
      <c r="J748" s="147" t="str">
        <f t="shared" si="13"/>
        <v/>
      </c>
      <c r="K748" s="147" t="str">
        <f>IFERROR(__xludf.DUMMYFUNCTION("if(C748="""","""",iferror(if(row()&lt;&gt;2,INDEX(arrayformula(filter($L$2:$L747,$C$2:$C747&lt;&gt;"""",row($C$2:$C747)=max(if($C$2:$C747=C748,row($C$2:$C747),0)))) ,1),0),0))"),"")</f>
        <v/>
      </c>
      <c r="L748" s="147" t="str">
        <f t="shared" si="14"/>
        <v/>
      </c>
      <c r="M748" s="147" t="str">
        <f t="shared" si="15"/>
        <v/>
      </c>
      <c r="N748" s="147" t="str">
        <f t="shared" si="16"/>
        <v/>
      </c>
      <c r="O748" s="147" t="str">
        <f t="shared" si="6"/>
        <v/>
      </c>
      <c r="P748" s="150" t="str">
        <f t="shared" si="7"/>
        <v/>
      </c>
      <c r="Q748" s="151" t="str">
        <f>IFERROR(VLOOKUP(C748,Ativos!$A$1:$G2000,5,),)</f>
        <v/>
      </c>
    </row>
    <row r="749" ht="21.0" customHeight="1">
      <c r="A749" s="152"/>
      <c r="B749" s="160"/>
      <c r="C749" s="153"/>
      <c r="D749" s="169"/>
      <c r="E749" s="139"/>
      <c r="F749" s="141"/>
      <c r="G749" s="170" t="str">
        <f>IFERROR(__xludf.DUMMYFUNCTION("if($C749="""","""",iferror(if(row()&lt;&gt;2,INDEX(arrayformula(filter($H$2:$H748,$C$2:$C748&lt;&gt;"""",row($C$2:$C748)=max(if($C$2:$C748=C749,row($C$2:$C748),0)))) ,1),0),0))"),"")</f>
        <v/>
      </c>
      <c r="H749" s="170" t="str">
        <f t="shared" si="8"/>
        <v/>
      </c>
      <c r="I749" s="147" t="str">
        <f t="shared" si="1"/>
        <v/>
      </c>
      <c r="J749" s="147" t="str">
        <f t="shared" si="13"/>
        <v/>
      </c>
      <c r="K749" s="147" t="str">
        <f>IFERROR(__xludf.DUMMYFUNCTION("if(C749="""","""",iferror(if(row()&lt;&gt;2,INDEX(arrayformula(filter($L$2:$L748,$C$2:$C748&lt;&gt;"""",row($C$2:$C748)=max(if($C$2:$C748=C749,row($C$2:$C748),0)))) ,1),0),0))"),"")</f>
        <v/>
      </c>
      <c r="L749" s="147" t="str">
        <f t="shared" si="14"/>
        <v/>
      </c>
      <c r="M749" s="147" t="str">
        <f t="shared" si="15"/>
        <v/>
      </c>
      <c r="N749" s="147" t="str">
        <f t="shared" si="16"/>
        <v/>
      </c>
      <c r="O749" s="147" t="str">
        <f t="shared" si="6"/>
        <v/>
      </c>
      <c r="P749" s="150" t="str">
        <f t="shared" si="7"/>
        <v/>
      </c>
      <c r="Q749" s="151" t="str">
        <f>IFERROR(VLOOKUP(C749,Ativos!$A$1:$G2000,5,),)</f>
        <v/>
      </c>
    </row>
    <row r="750" ht="21.0" customHeight="1">
      <c r="A750" s="152"/>
      <c r="B750" s="160"/>
      <c r="C750" s="153"/>
      <c r="D750" s="169"/>
      <c r="E750" s="139"/>
      <c r="F750" s="141"/>
      <c r="G750" s="170" t="str">
        <f>IFERROR(__xludf.DUMMYFUNCTION("if($C750="""","""",iferror(if(row()&lt;&gt;2,INDEX(arrayformula(filter($H$2:$H749,$C$2:$C749&lt;&gt;"""",row($C$2:$C749)=max(if($C$2:$C749=C750,row($C$2:$C749),0)))) ,1),0),0))"),"")</f>
        <v/>
      </c>
      <c r="H750" s="170" t="str">
        <f t="shared" si="8"/>
        <v/>
      </c>
      <c r="I750" s="147" t="str">
        <f t="shared" si="1"/>
        <v/>
      </c>
      <c r="J750" s="147" t="str">
        <f t="shared" si="13"/>
        <v/>
      </c>
      <c r="K750" s="147" t="str">
        <f>IFERROR(__xludf.DUMMYFUNCTION("if(C750="""","""",iferror(if(row()&lt;&gt;2,INDEX(arrayformula(filter($L$2:$L749,$C$2:$C749&lt;&gt;"""",row($C$2:$C749)=max(if($C$2:$C749=C750,row($C$2:$C749),0)))) ,1),0),0))"),"")</f>
        <v/>
      </c>
      <c r="L750" s="147" t="str">
        <f t="shared" si="14"/>
        <v/>
      </c>
      <c r="M750" s="147" t="str">
        <f t="shared" si="15"/>
        <v/>
      </c>
      <c r="N750" s="147" t="str">
        <f t="shared" si="16"/>
        <v/>
      </c>
      <c r="O750" s="147" t="str">
        <f t="shared" si="6"/>
        <v/>
      </c>
      <c r="P750" s="150" t="str">
        <f t="shared" si="7"/>
        <v/>
      </c>
      <c r="Q750" s="151" t="str">
        <f>IFERROR(VLOOKUP(C750,Ativos!$A$1:$G2000,5,),)</f>
        <v/>
      </c>
    </row>
    <row r="751" ht="21.0" customHeight="1">
      <c r="A751" s="152"/>
      <c r="B751" s="160"/>
      <c r="C751" s="153"/>
      <c r="D751" s="169"/>
      <c r="E751" s="139"/>
      <c r="F751" s="141"/>
      <c r="G751" s="170" t="str">
        <f>IFERROR(__xludf.DUMMYFUNCTION("if($C751="""","""",iferror(if(row()&lt;&gt;2,INDEX(arrayformula(filter($H$2:$H750,$C$2:$C750&lt;&gt;"""",row($C$2:$C750)=max(if($C$2:$C750=C751,row($C$2:$C750),0)))) ,1),0),0))"),"")</f>
        <v/>
      </c>
      <c r="H751" s="170" t="str">
        <f t="shared" si="8"/>
        <v/>
      </c>
      <c r="I751" s="147" t="str">
        <f t="shared" si="1"/>
        <v/>
      </c>
      <c r="J751" s="147" t="str">
        <f t="shared" si="13"/>
        <v/>
      </c>
      <c r="K751" s="147" t="str">
        <f>IFERROR(__xludf.DUMMYFUNCTION("if(C751="""","""",iferror(if(row()&lt;&gt;2,INDEX(arrayformula(filter($L$2:$L750,$C$2:$C750&lt;&gt;"""",row($C$2:$C750)=max(if($C$2:$C750=C751,row($C$2:$C750),0)))) ,1),0),0))"),"")</f>
        <v/>
      </c>
      <c r="L751" s="147" t="str">
        <f t="shared" si="14"/>
        <v/>
      </c>
      <c r="M751" s="147" t="str">
        <f t="shared" si="15"/>
        <v/>
      </c>
      <c r="N751" s="147" t="str">
        <f t="shared" si="16"/>
        <v/>
      </c>
      <c r="O751" s="147" t="str">
        <f t="shared" si="6"/>
        <v/>
      </c>
      <c r="P751" s="150" t="str">
        <f t="shared" si="7"/>
        <v/>
      </c>
      <c r="Q751" s="151" t="str">
        <f>IFERROR(VLOOKUP(C751,Ativos!$A$1:$G2000,5,),)</f>
        <v/>
      </c>
    </row>
    <row r="752" ht="21.0" customHeight="1">
      <c r="A752" s="152"/>
      <c r="B752" s="160"/>
      <c r="C752" s="153"/>
      <c r="D752" s="169"/>
      <c r="E752" s="139"/>
      <c r="F752" s="141"/>
      <c r="G752" s="170" t="str">
        <f>IFERROR(__xludf.DUMMYFUNCTION("if($C752="""","""",iferror(if(row()&lt;&gt;2,INDEX(arrayformula(filter($H$2:$H751,$C$2:$C751&lt;&gt;"""",row($C$2:$C751)=max(if($C$2:$C751=C752,row($C$2:$C751),0)))) ,1),0),0))"),"")</f>
        <v/>
      </c>
      <c r="H752" s="170" t="str">
        <f t="shared" si="8"/>
        <v/>
      </c>
      <c r="I752" s="147" t="str">
        <f t="shared" si="1"/>
        <v/>
      </c>
      <c r="J752" s="147" t="str">
        <f t="shared" si="13"/>
        <v/>
      </c>
      <c r="K752" s="147" t="str">
        <f>IFERROR(__xludf.DUMMYFUNCTION("if(C752="""","""",iferror(if(row()&lt;&gt;2,INDEX(arrayformula(filter($L$2:$L751,$C$2:$C751&lt;&gt;"""",row($C$2:$C751)=max(if($C$2:$C751=C752,row($C$2:$C751),0)))) ,1),0),0))"),"")</f>
        <v/>
      </c>
      <c r="L752" s="147" t="str">
        <f t="shared" si="14"/>
        <v/>
      </c>
      <c r="M752" s="147" t="str">
        <f t="shared" si="15"/>
        <v/>
      </c>
      <c r="N752" s="147" t="str">
        <f t="shared" si="16"/>
        <v/>
      </c>
      <c r="O752" s="147" t="str">
        <f t="shared" si="6"/>
        <v/>
      </c>
      <c r="P752" s="150" t="str">
        <f t="shared" si="7"/>
        <v/>
      </c>
      <c r="Q752" s="151" t="str">
        <f>IFERROR(VLOOKUP(C752,Ativos!$A$1:$G2000,5,),)</f>
        <v/>
      </c>
    </row>
    <row r="753" ht="21.0" customHeight="1">
      <c r="A753" s="152"/>
      <c r="B753" s="160"/>
      <c r="C753" s="153"/>
      <c r="D753" s="169"/>
      <c r="E753" s="139"/>
      <c r="F753" s="141"/>
      <c r="G753" s="170" t="str">
        <f>IFERROR(__xludf.DUMMYFUNCTION("if($C753="""","""",iferror(if(row()&lt;&gt;2,INDEX(arrayformula(filter($H$2:$H752,$C$2:$C752&lt;&gt;"""",row($C$2:$C752)=max(if($C$2:$C752=C753,row($C$2:$C752),0)))) ,1),0),0))"),"")</f>
        <v/>
      </c>
      <c r="H753" s="170" t="str">
        <f t="shared" si="8"/>
        <v/>
      </c>
      <c r="I753" s="147" t="str">
        <f t="shared" si="1"/>
        <v/>
      </c>
      <c r="J753" s="147" t="str">
        <f t="shared" si="13"/>
        <v/>
      </c>
      <c r="K753" s="147" t="str">
        <f>IFERROR(__xludf.DUMMYFUNCTION("if(C753="""","""",iferror(if(row()&lt;&gt;2,INDEX(arrayformula(filter($L$2:$L752,$C$2:$C752&lt;&gt;"""",row($C$2:$C752)=max(if($C$2:$C752=C753,row($C$2:$C752),0)))) ,1),0),0))"),"")</f>
        <v/>
      </c>
      <c r="L753" s="147" t="str">
        <f t="shared" si="14"/>
        <v/>
      </c>
      <c r="M753" s="147" t="str">
        <f t="shared" si="15"/>
        <v/>
      </c>
      <c r="N753" s="147" t="str">
        <f t="shared" si="16"/>
        <v/>
      </c>
      <c r="O753" s="147" t="str">
        <f t="shared" si="6"/>
        <v/>
      </c>
      <c r="P753" s="150" t="str">
        <f t="shared" si="7"/>
        <v/>
      </c>
      <c r="Q753" s="151" t="str">
        <f>IFERROR(VLOOKUP(C753,Ativos!$A$1:$G2000,5,),)</f>
        <v/>
      </c>
    </row>
    <row r="754" ht="21.0" customHeight="1">
      <c r="A754" s="152"/>
      <c r="B754" s="160"/>
      <c r="C754" s="153"/>
      <c r="D754" s="169"/>
      <c r="E754" s="139"/>
      <c r="F754" s="141"/>
      <c r="G754" s="170" t="str">
        <f>IFERROR(__xludf.DUMMYFUNCTION("if($C754="""","""",iferror(if(row()&lt;&gt;2,INDEX(arrayformula(filter($H$2:$H753,$C$2:$C753&lt;&gt;"""",row($C$2:$C753)=max(if($C$2:$C753=C754,row($C$2:$C753),0)))) ,1),0),0))"),"")</f>
        <v/>
      </c>
      <c r="H754" s="170" t="str">
        <f t="shared" si="8"/>
        <v/>
      </c>
      <c r="I754" s="147" t="str">
        <f t="shared" si="1"/>
        <v/>
      </c>
      <c r="J754" s="147" t="str">
        <f t="shared" si="13"/>
        <v/>
      </c>
      <c r="K754" s="147" t="str">
        <f>IFERROR(__xludf.DUMMYFUNCTION("if(C754="""","""",iferror(if(row()&lt;&gt;2,INDEX(arrayformula(filter($L$2:$L753,$C$2:$C753&lt;&gt;"""",row($C$2:$C753)=max(if($C$2:$C753=C754,row($C$2:$C753),0)))) ,1),0),0))"),"")</f>
        <v/>
      </c>
      <c r="L754" s="147" t="str">
        <f t="shared" si="14"/>
        <v/>
      </c>
      <c r="M754" s="147" t="str">
        <f t="shared" si="15"/>
        <v/>
      </c>
      <c r="N754" s="147" t="str">
        <f t="shared" si="16"/>
        <v/>
      </c>
      <c r="O754" s="147" t="str">
        <f t="shared" si="6"/>
        <v/>
      </c>
      <c r="P754" s="150" t="str">
        <f t="shared" si="7"/>
        <v/>
      </c>
      <c r="Q754" s="151" t="str">
        <f>IFERROR(VLOOKUP(C754,Ativos!$A$1:$G2000,5,),)</f>
        <v/>
      </c>
    </row>
    <row r="755" ht="21.0" customHeight="1">
      <c r="A755" s="152"/>
      <c r="B755" s="160"/>
      <c r="C755" s="153"/>
      <c r="D755" s="169"/>
      <c r="E755" s="139"/>
      <c r="F755" s="141"/>
      <c r="G755" s="170" t="str">
        <f>IFERROR(__xludf.DUMMYFUNCTION("if($C755="""","""",iferror(if(row()&lt;&gt;2,INDEX(arrayformula(filter($H$2:$H754,$C$2:$C754&lt;&gt;"""",row($C$2:$C754)=max(if($C$2:$C754=C755,row($C$2:$C754),0)))) ,1),0),0))"),"")</f>
        <v/>
      </c>
      <c r="H755" s="170" t="str">
        <f t="shared" si="8"/>
        <v/>
      </c>
      <c r="I755" s="147" t="str">
        <f t="shared" si="1"/>
        <v/>
      </c>
      <c r="J755" s="147" t="str">
        <f t="shared" si="13"/>
        <v/>
      </c>
      <c r="K755" s="147" t="str">
        <f>IFERROR(__xludf.DUMMYFUNCTION("if(C755="""","""",iferror(if(row()&lt;&gt;2,INDEX(arrayformula(filter($L$2:$L754,$C$2:$C754&lt;&gt;"""",row($C$2:$C754)=max(if($C$2:$C754=C755,row($C$2:$C754),0)))) ,1),0),0))"),"")</f>
        <v/>
      </c>
      <c r="L755" s="147" t="str">
        <f t="shared" si="14"/>
        <v/>
      </c>
      <c r="M755" s="147" t="str">
        <f t="shared" si="15"/>
        <v/>
      </c>
      <c r="N755" s="147" t="str">
        <f t="shared" si="16"/>
        <v/>
      </c>
      <c r="O755" s="147" t="str">
        <f t="shared" si="6"/>
        <v/>
      </c>
      <c r="P755" s="150" t="str">
        <f t="shared" si="7"/>
        <v/>
      </c>
      <c r="Q755" s="151" t="str">
        <f>IFERROR(VLOOKUP(C755,Ativos!$A$1:$G2000,5,),)</f>
        <v/>
      </c>
    </row>
    <row r="756" ht="21.0" customHeight="1">
      <c r="A756" s="152"/>
      <c r="B756" s="160"/>
      <c r="C756" s="153"/>
      <c r="D756" s="169"/>
      <c r="E756" s="139"/>
      <c r="F756" s="141"/>
      <c r="G756" s="170" t="str">
        <f>IFERROR(__xludf.DUMMYFUNCTION("if($C756="""","""",iferror(if(row()&lt;&gt;2,INDEX(arrayformula(filter($H$2:$H755,$C$2:$C755&lt;&gt;"""",row($C$2:$C755)=max(if($C$2:$C755=C756,row($C$2:$C755),0)))) ,1),0),0))"),"")</f>
        <v/>
      </c>
      <c r="H756" s="170" t="str">
        <f t="shared" si="8"/>
        <v/>
      </c>
      <c r="I756" s="147" t="str">
        <f t="shared" si="1"/>
        <v/>
      </c>
      <c r="J756" s="147" t="str">
        <f t="shared" si="13"/>
        <v/>
      </c>
      <c r="K756" s="147" t="str">
        <f>IFERROR(__xludf.DUMMYFUNCTION("if(C756="""","""",iferror(if(row()&lt;&gt;2,INDEX(arrayformula(filter($L$2:$L755,$C$2:$C755&lt;&gt;"""",row($C$2:$C755)=max(if($C$2:$C755=C756,row($C$2:$C755),0)))) ,1),0),0))"),"")</f>
        <v/>
      </c>
      <c r="L756" s="147" t="str">
        <f t="shared" si="14"/>
        <v/>
      </c>
      <c r="M756" s="147" t="str">
        <f t="shared" si="15"/>
        <v/>
      </c>
      <c r="N756" s="147" t="str">
        <f t="shared" si="16"/>
        <v/>
      </c>
      <c r="O756" s="147" t="str">
        <f t="shared" si="6"/>
        <v/>
      </c>
      <c r="P756" s="150" t="str">
        <f t="shared" si="7"/>
        <v/>
      </c>
      <c r="Q756" s="151" t="str">
        <f>IFERROR(VLOOKUP(C756,Ativos!$A$1:$G2000,5,),)</f>
        <v/>
      </c>
    </row>
    <row r="757" ht="21.0" customHeight="1">
      <c r="A757" s="152"/>
      <c r="B757" s="160"/>
      <c r="C757" s="153"/>
      <c r="D757" s="169"/>
      <c r="E757" s="139"/>
      <c r="F757" s="141"/>
      <c r="G757" s="170" t="str">
        <f>IFERROR(__xludf.DUMMYFUNCTION("if($C757="""","""",iferror(if(row()&lt;&gt;2,INDEX(arrayformula(filter($H$2:$H756,$C$2:$C756&lt;&gt;"""",row($C$2:$C756)=max(if($C$2:$C756=C757,row($C$2:$C756),0)))) ,1),0),0))"),"")</f>
        <v/>
      </c>
      <c r="H757" s="170" t="str">
        <f t="shared" si="8"/>
        <v/>
      </c>
      <c r="I757" s="147" t="str">
        <f t="shared" si="1"/>
        <v/>
      </c>
      <c r="J757" s="147" t="str">
        <f t="shared" si="13"/>
        <v/>
      </c>
      <c r="K757" s="147" t="str">
        <f>IFERROR(__xludf.DUMMYFUNCTION("if(C757="""","""",iferror(if(row()&lt;&gt;2,INDEX(arrayformula(filter($L$2:$L756,$C$2:$C756&lt;&gt;"""",row($C$2:$C756)=max(if($C$2:$C756=C757,row($C$2:$C756),0)))) ,1),0),0))"),"")</f>
        <v/>
      </c>
      <c r="L757" s="147" t="str">
        <f t="shared" si="14"/>
        <v/>
      </c>
      <c r="M757" s="147" t="str">
        <f t="shared" si="15"/>
        <v/>
      </c>
      <c r="N757" s="147" t="str">
        <f t="shared" si="16"/>
        <v/>
      </c>
      <c r="O757" s="147" t="str">
        <f t="shared" si="6"/>
        <v/>
      </c>
      <c r="P757" s="150" t="str">
        <f t="shared" si="7"/>
        <v/>
      </c>
      <c r="Q757" s="151" t="str">
        <f>IFERROR(VLOOKUP(C757,Ativos!$A$1:$G2000,5,),)</f>
        <v/>
      </c>
    </row>
    <row r="758" ht="21.0" customHeight="1">
      <c r="A758" s="152"/>
      <c r="B758" s="160"/>
      <c r="C758" s="153"/>
      <c r="D758" s="169"/>
      <c r="E758" s="139"/>
      <c r="F758" s="141"/>
      <c r="G758" s="170" t="str">
        <f>IFERROR(__xludf.DUMMYFUNCTION("if($C758="""","""",iferror(if(row()&lt;&gt;2,INDEX(arrayformula(filter($H$2:$H757,$C$2:$C757&lt;&gt;"""",row($C$2:$C757)=max(if($C$2:$C757=C758,row($C$2:$C757),0)))) ,1),0),0))"),"")</f>
        <v/>
      </c>
      <c r="H758" s="170" t="str">
        <f t="shared" si="8"/>
        <v/>
      </c>
      <c r="I758" s="147" t="str">
        <f t="shared" si="1"/>
        <v/>
      </c>
      <c r="J758" s="147" t="str">
        <f t="shared" si="13"/>
        <v/>
      </c>
      <c r="K758" s="147" t="str">
        <f>IFERROR(__xludf.DUMMYFUNCTION("if(C758="""","""",iferror(if(row()&lt;&gt;2,INDEX(arrayformula(filter($L$2:$L757,$C$2:$C757&lt;&gt;"""",row($C$2:$C757)=max(if($C$2:$C757=C758,row($C$2:$C757),0)))) ,1),0),0))"),"")</f>
        <v/>
      </c>
      <c r="L758" s="147" t="str">
        <f t="shared" si="14"/>
        <v/>
      </c>
      <c r="M758" s="147" t="str">
        <f t="shared" si="15"/>
        <v/>
      </c>
      <c r="N758" s="147" t="str">
        <f t="shared" si="16"/>
        <v/>
      </c>
      <c r="O758" s="147" t="str">
        <f t="shared" si="6"/>
        <v/>
      </c>
      <c r="P758" s="150" t="str">
        <f t="shared" si="7"/>
        <v/>
      </c>
      <c r="Q758" s="151" t="str">
        <f>IFERROR(VLOOKUP(C758,Ativos!$A$1:$G2000,5,),)</f>
        <v/>
      </c>
    </row>
    <row r="759" ht="21.0" customHeight="1">
      <c r="A759" s="152"/>
      <c r="B759" s="160"/>
      <c r="C759" s="153"/>
      <c r="D759" s="169"/>
      <c r="E759" s="139"/>
      <c r="F759" s="141"/>
      <c r="G759" s="170" t="str">
        <f>IFERROR(__xludf.DUMMYFUNCTION("if($C759="""","""",iferror(if(row()&lt;&gt;2,INDEX(arrayformula(filter($H$2:$H758,$C$2:$C758&lt;&gt;"""",row($C$2:$C758)=max(if($C$2:$C758=C759,row($C$2:$C758),0)))) ,1),0),0))"),"")</f>
        <v/>
      </c>
      <c r="H759" s="170" t="str">
        <f t="shared" si="8"/>
        <v/>
      </c>
      <c r="I759" s="147" t="str">
        <f t="shared" si="1"/>
        <v/>
      </c>
      <c r="J759" s="147" t="str">
        <f t="shared" si="13"/>
        <v/>
      </c>
      <c r="K759" s="147" t="str">
        <f>IFERROR(__xludf.DUMMYFUNCTION("if(C759="""","""",iferror(if(row()&lt;&gt;2,INDEX(arrayformula(filter($L$2:$L758,$C$2:$C758&lt;&gt;"""",row($C$2:$C758)=max(if($C$2:$C758=C759,row($C$2:$C758),0)))) ,1),0),0))"),"")</f>
        <v/>
      </c>
      <c r="L759" s="147" t="str">
        <f t="shared" si="14"/>
        <v/>
      </c>
      <c r="M759" s="147" t="str">
        <f t="shared" si="15"/>
        <v/>
      </c>
      <c r="N759" s="147" t="str">
        <f t="shared" si="16"/>
        <v/>
      </c>
      <c r="O759" s="147" t="str">
        <f t="shared" si="6"/>
        <v/>
      </c>
      <c r="P759" s="150" t="str">
        <f t="shared" si="7"/>
        <v/>
      </c>
      <c r="Q759" s="151" t="str">
        <f>IFERROR(VLOOKUP(C759,Ativos!$A$1:$G2000,5,),)</f>
        <v/>
      </c>
    </row>
    <row r="760" ht="21.0" customHeight="1">
      <c r="A760" s="152"/>
      <c r="B760" s="160"/>
      <c r="C760" s="153"/>
      <c r="D760" s="169"/>
      <c r="E760" s="139"/>
      <c r="F760" s="141"/>
      <c r="G760" s="170" t="str">
        <f>IFERROR(__xludf.DUMMYFUNCTION("if($C760="""","""",iferror(if(row()&lt;&gt;2,INDEX(arrayformula(filter($H$2:$H759,$C$2:$C759&lt;&gt;"""",row($C$2:$C759)=max(if($C$2:$C759=C760,row($C$2:$C759),0)))) ,1),0),0))"),"")</f>
        <v/>
      </c>
      <c r="H760" s="170" t="str">
        <f t="shared" si="8"/>
        <v/>
      </c>
      <c r="I760" s="147" t="str">
        <f t="shared" si="1"/>
        <v/>
      </c>
      <c r="J760" s="147" t="str">
        <f t="shared" si="13"/>
        <v/>
      </c>
      <c r="K760" s="147" t="str">
        <f>IFERROR(__xludf.DUMMYFUNCTION("if(C760="""","""",iferror(if(row()&lt;&gt;2,INDEX(arrayformula(filter($L$2:$L759,$C$2:$C759&lt;&gt;"""",row($C$2:$C759)=max(if($C$2:$C759=C760,row($C$2:$C759),0)))) ,1),0),0))"),"")</f>
        <v/>
      </c>
      <c r="L760" s="147" t="str">
        <f t="shared" si="14"/>
        <v/>
      </c>
      <c r="M760" s="147" t="str">
        <f t="shared" si="15"/>
        <v/>
      </c>
      <c r="N760" s="147" t="str">
        <f t="shared" si="16"/>
        <v/>
      </c>
      <c r="O760" s="147" t="str">
        <f t="shared" si="6"/>
        <v/>
      </c>
      <c r="P760" s="150" t="str">
        <f t="shared" si="7"/>
        <v/>
      </c>
      <c r="Q760" s="151" t="str">
        <f>IFERROR(VLOOKUP(C760,Ativos!$A$1:$G2000,5,),)</f>
        <v/>
      </c>
    </row>
    <row r="761" ht="21.0" customHeight="1">
      <c r="A761" s="152"/>
      <c r="B761" s="160"/>
      <c r="C761" s="153"/>
      <c r="D761" s="169"/>
      <c r="E761" s="139"/>
      <c r="F761" s="141"/>
      <c r="G761" s="170" t="str">
        <f>IFERROR(__xludf.DUMMYFUNCTION("if($C761="""","""",iferror(if(row()&lt;&gt;2,INDEX(arrayformula(filter($H$2:$H760,$C$2:$C760&lt;&gt;"""",row($C$2:$C760)=max(if($C$2:$C760=C761,row($C$2:$C760),0)))) ,1),0),0))"),"")</f>
        <v/>
      </c>
      <c r="H761" s="170" t="str">
        <f t="shared" si="8"/>
        <v/>
      </c>
      <c r="I761" s="147" t="str">
        <f t="shared" si="1"/>
        <v/>
      </c>
      <c r="J761" s="147" t="str">
        <f t="shared" si="13"/>
        <v/>
      </c>
      <c r="K761" s="147" t="str">
        <f>IFERROR(__xludf.DUMMYFUNCTION("if(C761="""","""",iferror(if(row()&lt;&gt;2,INDEX(arrayformula(filter($L$2:$L760,$C$2:$C760&lt;&gt;"""",row($C$2:$C760)=max(if($C$2:$C760=C761,row($C$2:$C760),0)))) ,1),0),0))"),"")</f>
        <v/>
      </c>
      <c r="L761" s="147" t="str">
        <f t="shared" si="14"/>
        <v/>
      </c>
      <c r="M761" s="147" t="str">
        <f t="shared" si="15"/>
        <v/>
      </c>
      <c r="N761" s="147" t="str">
        <f t="shared" si="16"/>
        <v/>
      </c>
      <c r="O761" s="147" t="str">
        <f t="shared" si="6"/>
        <v/>
      </c>
      <c r="P761" s="150" t="str">
        <f t="shared" si="7"/>
        <v/>
      </c>
      <c r="Q761" s="151" t="str">
        <f>IFERROR(VLOOKUP(C761,Ativos!$A$1:$G2000,5,),)</f>
        <v/>
      </c>
    </row>
    <row r="762" ht="21.0" customHeight="1">
      <c r="A762" s="152"/>
      <c r="B762" s="160"/>
      <c r="C762" s="153"/>
      <c r="D762" s="169"/>
      <c r="E762" s="139"/>
      <c r="F762" s="141"/>
      <c r="G762" s="170" t="str">
        <f>IFERROR(__xludf.DUMMYFUNCTION("if($C762="""","""",iferror(if(row()&lt;&gt;2,INDEX(arrayformula(filter($H$2:$H761,$C$2:$C761&lt;&gt;"""",row($C$2:$C761)=max(if($C$2:$C761=C762,row($C$2:$C761),0)))) ,1),0),0))"),"")</f>
        <v/>
      </c>
      <c r="H762" s="170" t="str">
        <f t="shared" si="8"/>
        <v/>
      </c>
      <c r="I762" s="147" t="str">
        <f t="shared" si="1"/>
        <v/>
      </c>
      <c r="J762" s="147" t="str">
        <f t="shared" si="13"/>
        <v/>
      </c>
      <c r="K762" s="147" t="str">
        <f>IFERROR(__xludf.DUMMYFUNCTION("if(C762="""","""",iferror(if(row()&lt;&gt;2,INDEX(arrayformula(filter($L$2:$L761,$C$2:$C761&lt;&gt;"""",row($C$2:$C761)=max(if($C$2:$C761=C762,row($C$2:$C761),0)))) ,1),0),0))"),"")</f>
        <v/>
      </c>
      <c r="L762" s="147" t="str">
        <f t="shared" si="14"/>
        <v/>
      </c>
      <c r="M762" s="147" t="str">
        <f t="shared" si="15"/>
        <v/>
      </c>
      <c r="N762" s="147" t="str">
        <f t="shared" si="16"/>
        <v/>
      </c>
      <c r="O762" s="147" t="str">
        <f t="shared" si="6"/>
        <v/>
      </c>
      <c r="P762" s="150" t="str">
        <f t="shared" si="7"/>
        <v/>
      </c>
      <c r="Q762" s="151" t="str">
        <f>IFERROR(VLOOKUP(C762,Ativos!$A$1:$G2000,5,),)</f>
        <v/>
      </c>
    </row>
    <row r="763" ht="21.0" customHeight="1">
      <c r="A763" s="152"/>
      <c r="B763" s="160"/>
      <c r="C763" s="153"/>
      <c r="D763" s="169"/>
      <c r="E763" s="139"/>
      <c r="F763" s="141"/>
      <c r="G763" s="170" t="str">
        <f>IFERROR(__xludf.DUMMYFUNCTION("if($C763="""","""",iferror(if(row()&lt;&gt;2,INDEX(arrayformula(filter($H$2:$H762,$C$2:$C762&lt;&gt;"""",row($C$2:$C762)=max(if($C$2:$C762=C763,row($C$2:$C762),0)))) ,1),0),0))"),"")</f>
        <v/>
      </c>
      <c r="H763" s="170" t="str">
        <f t="shared" si="8"/>
        <v/>
      </c>
      <c r="I763" s="147" t="str">
        <f t="shared" si="1"/>
        <v/>
      </c>
      <c r="J763" s="147" t="str">
        <f t="shared" si="13"/>
        <v/>
      </c>
      <c r="K763" s="147" t="str">
        <f>IFERROR(__xludf.DUMMYFUNCTION("if(C763="""","""",iferror(if(row()&lt;&gt;2,INDEX(arrayformula(filter($L$2:$L762,$C$2:$C762&lt;&gt;"""",row($C$2:$C762)=max(if($C$2:$C762=C763,row($C$2:$C762),0)))) ,1),0),0))"),"")</f>
        <v/>
      </c>
      <c r="L763" s="147" t="str">
        <f t="shared" si="14"/>
        <v/>
      </c>
      <c r="M763" s="147" t="str">
        <f t="shared" si="15"/>
        <v/>
      </c>
      <c r="N763" s="147" t="str">
        <f t="shared" si="16"/>
        <v/>
      </c>
      <c r="O763" s="147" t="str">
        <f t="shared" si="6"/>
        <v/>
      </c>
      <c r="P763" s="150" t="str">
        <f t="shared" si="7"/>
        <v/>
      </c>
      <c r="Q763" s="151" t="str">
        <f>IFERROR(VLOOKUP(C763,Ativos!$A$1:$G2000,5,),)</f>
        <v/>
      </c>
    </row>
    <row r="764" ht="21.0" customHeight="1">
      <c r="A764" s="152"/>
      <c r="B764" s="160"/>
      <c r="C764" s="153"/>
      <c r="D764" s="169"/>
      <c r="E764" s="139"/>
      <c r="F764" s="141"/>
      <c r="G764" s="170" t="str">
        <f>IFERROR(__xludf.DUMMYFUNCTION("if($C764="""","""",iferror(if(row()&lt;&gt;2,INDEX(arrayformula(filter($H$2:$H763,$C$2:$C763&lt;&gt;"""",row($C$2:$C763)=max(if($C$2:$C763=C764,row($C$2:$C763),0)))) ,1),0),0))"),"")</f>
        <v/>
      </c>
      <c r="H764" s="170" t="str">
        <f t="shared" si="8"/>
        <v/>
      </c>
      <c r="I764" s="147" t="str">
        <f t="shared" si="1"/>
        <v/>
      </c>
      <c r="J764" s="147" t="str">
        <f t="shared" si="13"/>
        <v/>
      </c>
      <c r="K764" s="147" t="str">
        <f>IFERROR(__xludf.DUMMYFUNCTION("if(C764="""","""",iferror(if(row()&lt;&gt;2,INDEX(arrayformula(filter($L$2:$L763,$C$2:$C763&lt;&gt;"""",row($C$2:$C763)=max(if($C$2:$C763=C764,row($C$2:$C763),0)))) ,1),0),0))"),"")</f>
        <v/>
      </c>
      <c r="L764" s="147" t="str">
        <f t="shared" si="14"/>
        <v/>
      </c>
      <c r="M764" s="147" t="str">
        <f t="shared" si="15"/>
        <v/>
      </c>
      <c r="N764" s="147" t="str">
        <f t="shared" si="16"/>
        <v/>
      </c>
      <c r="O764" s="147" t="str">
        <f t="shared" si="6"/>
        <v/>
      </c>
      <c r="P764" s="150" t="str">
        <f t="shared" si="7"/>
        <v/>
      </c>
      <c r="Q764" s="151" t="str">
        <f>IFERROR(VLOOKUP(C764,Ativos!$A$1:$G2000,5,),)</f>
        <v/>
      </c>
    </row>
    <row r="765" ht="21.0" customHeight="1">
      <c r="A765" s="152"/>
      <c r="B765" s="160"/>
      <c r="C765" s="153"/>
      <c r="D765" s="169"/>
      <c r="E765" s="139"/>
      <c r="F765" s="141"/>
      <c r="G765" s="170" t="str">
        <f>IFERROR(__xludf.DUMMYFUNCTION("if($C765="""","""",iferror(if(row()&lt;&gt;2,INDEX(arrayformula(filter($H$2:$H764,$C$2:$C764&lt;&gt;"""",row($C$2:$C764)=max(if($C$2:$C764=C765,row($C$2:$C764),0)))) ,1),0),0))"),"")</f>
        <v/>
      </c>
      <c r="H765" s="170" t="str">
        <f t="shared" si="8"/>
        <v/>
      </c>
      <c r="I765" s="147" t="str">
        <f t="shared" si="1"/>
        <v/>
      </c>
      <c r="J765" s="147" t="str">
        <f t="shared" si="13"/>
        <v/>
      </c>
      <c r="K765" s="147" t="str">
        <f>IFERROR(__xludf.DUMMYFUNCTION("if(C765="""","""",iferror(if(row()&lt;&gt;2,INDEX(arrayformula(filter($L$2:$L764,$C$2:$C764&lt;&gt;"""",row($C$2:$C764)=max(if($C$2:$C764=C765,row($C$2:$C764),0)))) ,1),0),0))"),"")</f>
        <v/>
      </c>
      <c r="L765" s="147" t="str">
        <f t="shared" si="14"/>
        <v/>
      </c>
      <c r="M765" s="147" t="str">
        <f t="shared" si="15"/>
        <v/>
      </c>
      <c r="N765" s="147" t="str">
        <f t="shared" si="16"/>
        <v/>
      </c>
      <c r="O765" s="147" t="str">
        <f t="shared" si="6"/>
        <v/>
      </c>
      <c r="P765" s="150" t="str">
        <f t="shared" si="7"/>
        <v/>
      </c>
      <c r="Q765" s="151" t="str">
        <f>IFERROR(VLOOKUP(C765,Ativos!$A$1:$G2000,5,),)</f>
        <v/>
      </c>
    </row>
    <row r="766" ht="21.0" customHeight="1">
      <c r="A766" s="152"/>
      <c r="B766" s="160"/>
      <c r="C766" s="153"/>
      <c r="D766" s="169"/>
      <c r="E766" s="139"/>
      <c r="F766" s="141"/>
      <c r="G766" s="170" t="str">
        <f>IFERROR(__xludf.DUMMYFUNCTION("if($C766="""","""",iferror(if(row()&lt;&gt;2,INDEX(arrayformula(filter($H$2:$H765,$C$2:$C765&lt;&gt;"""",row($C$2:$C765)=max(if($C$2:$C765=C766,row($C$2:$C765),0)))) ,1),0),0))"),"")</f>
        <v/>
      </c>
      <c r="H766" s="170" t="str">
        <f t="shared" si="8"/>
        <v/>
      </c>
      <c r="I766" s="147" t="str">
        <f t="shared" si="1"/>
        <v/>
      </c>
      <c r="J766" s="147" t="str">
        <f t="shared" si="13"/>
        <v/>
      </c>
      <c r="K766" s="147" t="str">
        <f>IFERROR(__xludf.DUMMYFUNCTION("if(C766="""","""",iferror(if(row()&lt;&gt;2,INDEX(arrayformula(filter($L$2:$L765,$C$2:$C765&lt;&gt;"""",row($C$2:$C765)=max(if($C$2:$C765=C766,row($C$2:$C765),0)))) ,1),0),0))"),"")</f>
        <v/>
      </c>
      <c r="L766" s="147" t="str">
        <f t="shared" si="14"/>
        <v/>
      </c>
      <c r="M766" s="147" t="str">
        <f t="shared" si="15"/>
        <v/>
      </c>
      <c r="N766" s="147" t="str">
        <f t="shared" si="16"/>
        <v/>
      </c>
      <c r="O766" s="147" t="str">
        <f t="shared" si="6"/>
        <v/>
      </c>
      <c r="P766" s="150" t="str">
        <f t="shared" si="7"/>
        <v/>
      </c>
      <c r="Q766" s="151" t="str">
        <f>IFERROR(VLOOKUP(C766,Ativos!$A$1:$G2000,5,),)</f>
        <v/>
      </c>
    </row>
    <row r="767" ht="21.0" customHeight="1">
      <c r="A767" s="152"/>
      <c r="B767" s="160"/>
      <c r="C767" s="153"/>
      <c r="D767" s="169"/>
      <c r="E767" s="139"/>
      <c r="F767" s="141"/>
      <c r="G767" s="170" t="str">
        <f>IFERROR(__xludf.DUMMYFUNCTION("if($C767="""","""",iferror(if(row()&lt;&gt;2,INDEX(arrayformula(filter($H$2:$H766,$C$2:$C766&lt;&gt;"""",row($C$2:$C766)=max(if($C$2:$C766=C767,row($C$2:$C766),0)))) ,1),0),0))"),"")</f>
        <v/>
      </c>
      <c r="H767" s="170" t="str">
        <f t="shared" si="8"/>
        <v/>
      </c>
      <c r="I767" s="147" t="str">
        <f t="shared" si="1"/>
        <v/>
      </c>
      <c r="J767" s="147" t="str">
        <f t="shared" si="13"/>
        <v/>
      </c>
      <c r="K767" s="147" t="str">
        <f>IFERROR(__xludf.DUMMYFUNCTION("if(C767="""","""",iferror(if(row()&lt;&gt;2,INDEX(arrayformula(filter($L$2:$L766,$C$2:$C766&lt;&gt;"""",row($C$2:$C766)=max(if($C$2:$C766=C767,row($C$2:$C766),0)))) ,1),0),0))"),"")</f>
        <v/>
      </c>
      <c r="L767" s="147" t="str">
        <f t="shared" si="14"/>
        <v/>
      </c>
      <c r="M767" s="147" t="str">
        <f t="shared" si="15"/>
        <v/>
      </c>
      <c r="N767" s="147" t="str">
        <f t="shared" si="16"/>
        <v/>
      </c>
      <c r="O767" s="147" t="str">
        <f t="shared" si="6"/>
        <v/>
      </c>
      <c r="P767" s="150" t="str">
        <f t="shared" si="7"/>
        <v/>
      </c>
      <c r="Q767" s="151" t="str">
        <f>IFERROR(VLOOKUP(C767,Ativos!$A$1:$G2000,5,),)</f>
        <v/>
      </c>
    </row>
    <row r="768" ht="21.0" customHeight="1">
      <c r="A768" s="152"/>
      <c r="B768" s="160"/>
      <c r="C768" s="153"/>
      <c r="D768" s="169"/>
      <c r="E768" s="139"/>
      <c r="F768" s="141"/>
      <c r="G768" s="170" t="str">
        <f>IFERROR(__xludf.DUMMYFUNCTION("if($C768="""","""",iferror(if(row()&lt;&gt;2,INDEX(arrayformula(filter($H$2:$H767,$C$2:$C767&lt;&gt;"""",row($C$2:$C767)=max(if($C$2:$C767=C768,row($C$2:$C767),0)))) ,1),0),0))"),"")</f>
        <v/>
      </c>
      <c r="H768" s="170" t="str">
        <f t="shared" si="8"/>
        <v/>
      </c>
      <c r="I768" s="147" t="str">
        <f t="shared" si="1"/>
        <v/>
      </c>
      <c r="J768" s="147" t="str">
        <f t="shared" si="13"/>
        <v/>
      </c>
      <c r="K768" s="147" t="str">
        <f>IFERROR(__xludf.DUMMYFUNCTION("if(C768="""","""",iferror(if(row()&lt;&gt;2,INDEX(arrayformula(filter($L$2:$L767,$C$2:$C767&lt;&gt;"""",row($C$2:$C767)=max(if($C$2:$C767=C768,row($C$2:$C767),0)))) ,1),0),0))"),"")</f>
        <v/>
      </c>
      <c r="L768" s="147" t="str">
        <f t="shared" si="14"/>
        <v/>
      </c>
      <c r="M768" s="147" t="str">
        <f t="shared" si="15"/>
        <v/>
      </c>
      <c r="N768" s="147" t="str">
        <f t="shared" si="16"/>
        <v/>
      </c>
      <c r="O768" s="147" t="str">
        <f t="shared" si="6"/>
        <v/>
      </c>
      <c r="P768" s="150" t="str">
        <f t="shared" si="7"/>
        <v/>
      </c>
      <c r="Q768" s="151" t="str">
        <f>IFERROR(VLOOKUP(C768,Ativos!$A$1:$G2000,5,),)</f>
        <v/>
      </c>
    </row>
    <row r="769" ht="21.0" customHeight="1">
      <c r="A769" s="152"/>
      <c r="B769" s="160"/>
      <c r="C769" s="153"/>
      <c r="D769" s="169"/>
      <c r="E769" s="139"/>
      <c r="F769" s="141"/>
      <c r="G769" s="170" t="str">
        <f>IFERROR(__xludf.DUMMYFUNCTION("if($C769="""","""",iferror(if(row()&lt;&gt;2,INDEX(arrayformula(filter($H$2:$H768,$C$2:$C768&lt;&gt;"""",row($C$2:$C768)=max(if($C$2:$C768=C769,row($C$2:$C768),0)))) ,1),0),0))"),"")</f>
        <v/>
      </c>
      <c r="H769" s="170" t="str">
        <f t="shared" si="8"/>
        <v/>
      </c>
      <c r="I769" s="147" t="str">
        <f t="shared" si="1"/>
        <v/>
      </c>
      <c r="J769" s="147" t="str">
        <f t="shared" si="13"/>
        <v/>
      </c>
      <c r="K769" s="147" t="str">
        <f>IFERROR(__xludf.DUMMYFUNCTION("if(C769="""","""",iferror(if(row()&lt;&gt;2,INDEX(arrayformula(filter($L$2:$L768,$C$2:$C768&lt;&gt;"""",row($C$2:$C768)=max(if($C$2:$C768=C769,row($C$2:$C768),0)))) ,1),0),0))"),"")</f>
        <v/>
      </c>
      <c r="L769" s="147" t="str">
        <f t="shared" si="14"/>
        <v/>
      </c>
      <c r="M769" s="147" t="str">
        <f t="shared" si="15"/>
        <v/>
      </c>
      <c r="N769" s="147" t="str">
        <f t="shared" si="16"/>
        <v/>
      </c>
      <c r="O769" s="147" t="str">
        <f t="shared" si="6"/>
        <v/>
      </c>
      <c r="P769" s="150" t="str">
        <f t="shared" si="7"/>
        <v/>
      </c>
      <c r="Q769" s="151" t="str">
        <f>IFERROR(VLOOKUP(C769,Ativos!$A$1:$G2000,5,),)</f>
        <v/>
      </c>
    </row>
    <row r="770" ht="21.0" customHeight="1">
      <c r="A770" s="152"/>
      <c r="B770" s="160"/>
      <c r="C770" s="153"/>
      <c r="D770" s="169"/>
      <c r="E770" s="139"/>
      <c r="F770" s="141"/>
      <c r="G770" s="170" t="str">
        <f>IFERROR(__xludf.DUMMYFUNCTION("if($C770="""","""",iferror(if(row()&lt;&gt;2,INDEX(arrayformula(filter($H$2:$H769,$C$2:$C769&lt;&gt;"""",row($C$2:$C769)=max(if($C$2:$C769=C770,row($C$2:$C769),0)))) ,1),0),0))"),"")</f>
        <v/>
      </c>
      <c r="H770" s="170" t="str">
        <f t="shared" si="8"/>
        <v/>
      </c>
      <c r="I770" s="147" t="str">
        <f t="shared" si="1"/>
        <v/>
      </c>
      <c r="J770" s="147" t="str">
        <f t="shared" si="13"/>
        <v/>
      </c>
      <c r="K770" s="147" t="str">
        <f>IFERROR(__xludf.DUMMYFUNCTION("if(C770="""","""",iferror(if(row()&lt;&gt;2,INDEX(arrayformula(filter($L$2:$L769,$C$2:$C769&lt;&gt;"""",row($C$2:$C769)=max(if($C$2:$C769=C770,row($C$2:$C769),0)))) ,1),0),0))"),"")</f>
        <v/>
      </c>
      <c r="L770" s="147" t="str">
        <f t="shared" si="14"/>
        <v/>
      </c>
      <c r="M770" s="147" t="str">
        <f t="shared" si="15"/>
        <v/>
      </c>
      <c r="N770" s="147" t="str">
        <f t="shared" si="16"/>
        <v/>
      </c>
      <c r="O770" s="147" t="str">
        <f t="shared" si="6"/>
        <v/>
      </c>
      <c r="P770" s="150" t="str">
        <f t="shared" si="7"/>
        <v/>
      </c>
      <c r="Q770" s="151" t="str">
        <f>IFERROR(VLOOKUP(C770,Ativos!$A$1:$G2000,5,),)</f>
        <v/>
      </c>
    </row>
    <row r="771" ht="21.0" customHeight="1">
      <c r="A771" s="152"/>
      <c r="B771" s="160"/>
      <c r="C771" s="153"/>
      <c r="D771" s="169"/>
      <c r="E771" s="139"/>
      <c r="F771" s="141"/>
      <c r="G771" s="170" t="str">
        <f>IFERROR(__xludf.DUMMYFUNCTION("if($C771="""","""",iferror(if(row()&lt;&gt;2,INDEX(arrayformula(filter($H$2:$H770,$C$2:$C770&lt;&gt;"""",row($C$2:$C770)=max(if($C$2:$C770=C771,row($C$2:$C770),0)))) ,1),0),0))"),"")</f>
        <v/>
      </c>
      <c r="H771" s="170" t="str">
        <f t="shared" si="8"/>
        <v/>
      </c>
      <c r="I771" s="147" t="str">
        <f t="shared" si="1"/>
        <v/>
      </c>
      <c r="J771" s="147" t="str">
        <f t="shared" si="13"/>
        <v/>
      </c>
      <c r="K771" s="147" t="str">
        <f>IFERROR(__xludf.DUMMYFUNCTION("if(C771="""","""",iferror(if(row()&lt;&gt;2,INDEX(arrayformula(filter($L$2:$L770,$C$2:$C770&lt;&gt;"""",row($C$2:$C770)=max(if($C$2:$C770=C771,row($C$2:$C770),0)))) ,1),0),0))"),"")</f>
        <v/>
      </c>
      <c r="L771" s="147" t="str">
        <f t="shared" si="14"/>
        <v/>
      </c>
      <c r="M771" s="147" t="str">
        <f t="shared" si="15"/>
        <v/>
      </c>
      <c r="N771" s="147" t="str">
        <f t="shared" si="16"/>
        <v/>
      </c>
      <c r="O771" s="147" t="str">
        <f t="shared" si="6"/>
        <v/>
      </c>
      <c r="P771" s="150" t="str">
        <f t="shared" si="7"/>
        <v/>
      </c>
      <c r="Q771" s="151" t="str">
        <f>IFERROR(VLOOKUP(C771,Ativos!$A$1:$G2000,5,),)</f>
        <v/>
      </c>
    </row>
    <row r="772" ht="21.0" customHeight="1">
      <c r="A772" s="152"/>
      <c r="B772" s="160"/>
      <c r="C772" s="153"/>
      <c r="D772" s="169"/>
      <c r="E772" s="139"/>
      <c r="F772" s="141"/>
      <c r="G772" s="170" t="str">
        <f>IFERROR(__xludf.DUMMYFUNCTION("if($C772="""","""",iferror(if(row()&lt;&gt;2,INDEX(arrayformula(filter($H$2:$H771,$C$2:$C771&lt;&gt;"""",row($C$2:$C771)=max(if($C$2:$C771=C772,row($C$2:$C771),0)))) ,1),0),0))"),"")</f>
        <v/>
      </c>
      <c r="H772" s="170" t="str">
        <f t="shared" si="8"/>
        <v/>
      </c>
      <c r="I772" s="147" t="str">
        <f t="shared" si="1"/>
        <v/>
      </c>
      <c r="J772" s="147" t="str">
        <f t="shared" si="13"/>
        <v/>
      </c>
      <c r="K772" s="147" t="str">
        <f>IFERROR(__xludf.DUMMYFUNCTION("if(C772="""","""",iferror(if(row()&lt;&gt;2,INDEX(arrayformula(filter($L$2:$L771,$C$2:$C771&lt;&gt;"""",row($C$2:$C771)=max(if($C$2:$C771=C772,row($C$2:$C771),0)))) ,1),0),0))"),"")</f>
        <v/>
      </c>
      <c r="L772" s="147" t="str">
        <f t="shared" si="14"/>
        <v/>
      </c>
      <c r="M772" s="147" t="str">
        <f t="shared" si="15"/>
        <v/>
      </c>
      <c r="N772" s="147" t="str">
        <f t="shared" si="16"/>
        <v/>
      </c>
      <c r="O772" s="147" t="str">
        <f t="shared" si="6"/>
        <v/>
      </c>
      <c r="P772" s="150" t="str">
        <f t="shared" si="7"/>
        <v/>
      </c>
      <c r="Q772" s="151" t="str">
        <f>IFERROR(VLOOKUP(C772,Ativos!$A$1:$G2000,5,),)</f>
        <v/>
      </c>
    </row>
    <row r="773" ht="21.0" customHeight="1">
      <c r="A773" s="152"/>
      <c r="B773" s="160"/>
      <c r="C773" s="153"/>
      <c r="D773" s="169"/>
      <c r="E773" s="139"/>
      <c r="F773" s="141"/>
      <c r="G773" s="170" t="str">
        <f>IFERROR(__xludf.DUMMYFUNCTION("if($C773="""","""",iferror(if(row()&lt;&gt;2,INDEX(arrayformula(filter($H$2:$H772,$C$2:$C772&lt;&gt;"""",row($C$2:$C772)=max(if($C$2:$C772=C773,row($C$2:$C772),0)))) ,1),0),0))"),"")</f>
        <v/>
      </c>
      <c r="H773" s="170" t="str">
        <f t="shared" si="8"/>
        <v/>
      </c>
      <c r="I773" s="147" t="str">
        <f t="shared" si="1"/>
        <v/>
      </c>
      <c r="J773" s="147" t="str">
        <f t="shared" si="13"/>
        <v/>
      </c>
      <c r="K773" s="147" t="str">
        <f>IFERROR(__xludf.DUMMYFUNCTION("if(C773="""","""",iferror(if(row()&lt;&gt;2,INDEX(arrayformula(filter($L$2:$L772,$C$2:$C772&lt;&gt;"""",row($C$2:$C772)=max(if($C$2:$C772=C773,row($C$2:$C772),0)))) ,1),0),0))"),"")</f>
        <v/>
      </c>
      <c r="L773" s="147" t="str">
        <f t="shared" si="14"/>
        <v/>
      </c>
      <c r="M773" s="147" t="str">
        <f t="shared" si="15"/>
        <v/>
      </c>
      <c r="N773" s="147" t="str">
        <f t="shared" si="16"/>
        <v/>
      </c>
      <c r="O773" s="147" t="str">
        <f t="shared" si="6"/>
        <v/>
      </c>
      <c r="P773" s="150" t="str">
        <f t="shared" si="7"/>
        <v/>
      </c>
      <c r="Q773" s="151" t="str">
        <f>IFERROR(VLOOKUP(C773,Ativos!$A$1:$G2000,5,),)</f>
        <v/>
      </c>
    </row>
    <row r="774" ht="21.0" customHeight="1">
      <c r="A774" s="152"/>
      <c r="B774" s="160"/>
      <c r="C774" s="153"/>
      <c r="D774" s="169"/>
      <c r="E774" s="139"/>
      <c r="F774" s="141"/>
      <c r="G774" s="170" t="str">
        <f>IFERROR(__xludf.DUMMYFUNCTION("if($C774="""","""",iferror(if(row()&lt;&gt;2,INDEX(arrayformula(filter($H$2:$H773,$C$2:$C773&lt;&gt;"""",row($C$2:$C773)=max(if($C$2:$C773=C774,row($C$2:$C773),0)))) ,1),0),0))"),"")</f>
        <v/>
      </c>
      <c r="H774" s="170" t="str">
        <f t="shared" si="8"/>
        <v/>
      </c>
      <c r="I774" s="147" t="str">
        <f t="shared" si="1"/>
        <v/>
      </c>
      <c r="J774" s="147" t="str">
        <f t="shared" si="13"/>
        <v/>
      </c>
      <c r="K774" s="147" t="str">
        <f>IFERROR(__xludf.DUMMYFUNCTION("if(C774="""","""",iferror(if(row()&lt;&gt;2,INDEX(arrayformula(filter($L$2:$L773,$C$2:$C773&lt;&gt;"""",row($C$2:$C773)=max(if($C$2:$C773=C774,row($C$2:$C773),0)))) ,1),0),0))"),"")</f>
        <v/>
      </c>
      <c r="L774" s="147" t="str">
        <f t="shared" si="14"/>
        <v/>
      </c>
      <c r="M774" s="147" t="str">
        <f t="shared" si="15"/>
        <v/>
      </c>
      <c r="N774" s="147" t="str">
        <f t="shared" si="16"/>
        <v/>
      </c>
      <c r="O774" s="147" t="str">
        <f t="shared" si="6"/>
        <v/>
      </c>
      <c r="P774" s="150" t="str">
        <f t="shared" si="7"/>
        <v/>
      </c>
      <c r="Q774" s="151" t="str">
        <f>IFERROR(VLOOKUP(C774,Ativos!$A$1:$G2000,5,),)</f>
        <v/>
      </c>
    </row>
    <row r="775" ht="21.0" customHeight="1">
      <c r="A775" s="152"/>
      <c r="B775" s="160"/>
      <c r="C775" s="153"/>
      <c r="D775" s="169"/>
      <c r="E775" s="139"/>
      <c r="F775" s="141"/>
      <c r="G775" s="170" t="str">
        <f>IFERROR(__xludf.DUMMYFUNCTION("if($C775="""","""",iferror(if(row()&lt;&gt;2,INDEX(arrayformula(filter($H$2:$H774,$C$2:$C774&lt;&gt;"""",row($C$2:$C774)=max(if($C$2:$C774=C775,row($C$2:$C774),0)))) ,1),0),0))"),"")</f>
        <v/>
      </c>
      <c r="H775" s="170" t="str">
        <f t="shared" si="8"/>
        <v/>
      </c>
      <c r="I775" s="147" t="str">
        <f t="shared" si="1"/>
        <v/>
      </c>
      <c r="J775" s="147" t="str">
        <f t="shared" si="13"/>
        <v/>
      </c>
      <c r="K775" s="147" t="str">
        <f>IFERROR(__xludf.DUMMYFUNCTION("if(C775="""","""",iferror(if(row()&lt;&gt;2,INDEX(arrayformula(filter($L$2:$L774,$C$2:$C774&lt;&gt;"""",row($C$2:$C774)=max(if($C$2:$C774=C775,row($C$2:$C774),0)))) ,1),0),0))"),"")</f>
        <v/>
      </c>
      <c r="L775" s="147" t="str">
        <f t="shared" si="14"/>
        <v/>
      </c>
      <c r="M775" s="147" t="str">
        <f t="shared" si="15"/>
        <v/>
      </c>
      <c r="N775" s="147" t="str">
        <f t="shared" si="16"/>
        <v/>
      </c>
      <c r="O775" s="147" t="str">
        <f t="shared" si="6"/>
        <v/>
      </c>
      <c r="P775" s="150" t="str">
        <f t="shared" si="7"/>
        <v/>
      </c>
      <c r="Q775" s="151" t="str">
        <f>IFERROR(VLOOKUP(C775,Ativos!$A$1:$G2000,5,),)</f>
        <v/>
      </c>
    </row>
    <row r="776" ht="21.0" customHeight="1">
      <c r="A776" s="152"/>
      <c r="B776" s="160"/>
      <c r="C776" s="153"/>
      <c r="D776" s="169"/>
      <c r="E776" s="139"/>
      <c r="F776" s="141"/>
      <c r="G776" s="170" t="str">
        <f>IFERROR(__xludf.DUMMYFUNCTION("if($C776="""","""",iferror(if(row()&lt;&gt;2,INDEX(arrayformula(filter($H$2:$H775,$C$2:$C775&lt;&gt;"""",row($C$2:$C775)=max(if($C$2:$C775=C776,row($C$2:$C775),0)))) ,1),0),0))"),"")</f>
        <v/>
      </c>
      <c r="H776" s="170" t="str">
        <f t="shared" si="8"/>
        <v/>
      </c>
      <c r="I776" s="147" t="str">
        <f t="shared" si="1"/>
        <v/>
      </c>
      <c r="J776" s="147" t="str">
        <f t="shared" si="13"/>
        <v/>
      </c>
      <c r="K776" s="147" t="str">
        <f>IFERROR(__xludf.DUMMYFUNCTION("if(C776="""","""",iferror(if(row()&lt;&gt;2,INDEX(arrayformula(filter($L$2:$L775,$C$2:$C775&lt;&gt;"""",row($C$2:$C775)=max(if($C$2:$C775=C776,row($C$2:$C775),0)))) ,1),0),0))"),"")</f>
        <v/>
      </c>
      <c r="L776" s="147" t="str">
        <f t="shared" si="14"/>
        <v/>
      </c>
      <c r="M776" s="147" t="str">
        <f t="shared" si="15"/>
        <v/>
      </c>
      <c r="N776" s="147" t="str">
        <f t="shared" si="16"/>
        <v/>
      </c>
      <c r="O776" s="147" t="str">
        <f t="shared" si="6"/>
        <v/>
      </c>
      <c r="P776" s="150" t="str">
        <f t="shared" si="7"/>
        <v/>
      </c>
      <c r="Q776" s="151" t="str">
        <f>IFERROR(VLOOKUP(C776,Ativos!$A$1:$G2000,5,),)</f>
        <v/>
      </c>
    </row>
    <row r="777" ht="21.0" customHeight="1">
      <c r="A777" s="152"/>
      <c r="B777" s="160"/>
      <c r="C777" s="153"/>
      <c r="D777" s="169"/>
      <c r="E777" s="139"/>
      <c r="F777" s="141"/>
      <c r="G777" s="170" t="str">
        <f>IFERROR(__xludf.DUMMYFUNCTION("if($C777="""","""",iferror(if(row()&lt;&gt;2,INDEX(arrayformula(filter($H$2:$H776,$C$2:$C776&lt;&gt;"""",row($C$2:$C776)=max(if($C$2:$C776=C777,row($C$2:$C776),0)))) ,1),0),0))"),"")</f>
        <v/>
      </c>
      <c r="H777" s="170" t="str">
        <f t="shared" si="8"/>
        <v/>
      </c>
      <c r="I777" s="147" t="str">
        <f t="shared" si="1"/>
        <v/>
      </c>
      <c r="J777" s="147" t="str">
        <f t="shared" si="13"/>
        <v/>
      </c>
      <c r="K777" s="147" t="str">
        <f>IFERROR(__xludf.DUMMYFUNCTION("if(C777="""","""",iferror(if(row()&lt;&gt;2,INDEX(arrayformula(filter($L$2:$L776,$C$2:$C776&lt;&gt;"""",row($C$2:$C776)=max(if($C$2:$C776=C777,row($C$2:$C776),0)))) ,1),0),0))"),"")</f>
        <v/>
      </c>
      <c r="L777" s="147" t="str">
        <f t="shared" si="14"/>
        <v/>
      </c>
      <c r="M777" s="147" t="str">
        <f t="shared" si="15"/>
        <v/>
      </c>
      <c r="N777" s="147" t="str">
        <f t="shared" si="16"/>
        <v/>
      </c>
      <c r="O777" s="147" t="str">
        <f t="shared" si="6"/>
        <v/>
      </c>
      <c r="P777" s="150" t="str">
        <f t="shared" si="7"/>
        <v/>
      </c>
      <c r="Q777" s="151" t="str">
        <f>IFERROR(VLOOKUP(C777,Ativos!$A$1:$G2000,5,),)</f>
        <v/>
      </c>
    </row>
    <row r="778" ht="21.0" customHeight="1">
      <c r="A778" s="152"/>
      <c r="B778" s="160"/>
      <c r="C778" s="153"/>
      <c r="D778" s="169"/>
      <c r="E778" s="139"/>
      <c r="F778" s="141"/>
      <c r="G778" s="170" t="str">
        <f>IFERROR(__xludf.DUMMYFUNCTION("if($C778="""","""",iferror(if(row()&lt;&gt;2,INDEX(arrayformula(filter($H$2:$H777,$C$2:$C777&lt;&gt;"""",row($C$2:$C777)=max(if($C$2:$C777=C778,row($C$2:$C777),0)))) ,1),0),0))"),"")</f>
        <v/>
      </c>
      <c r="H778" s="170" t="str">
        <f t="shared" si="8"/>
        <v/>
      </c>
      <c r="I778" s="147" t="str">
        <f t="shared" si="1"/>
        <v/>
      </c>
      <c r="J778" s="147" t="str">
        <f t="shared" si="13"/>
        <v/>
      </c>
      <c r="K778" s="147" t="str">
        <f>IFERROR(__xludf.DUMMYFUNCTION("if(C778="""","""",iferror(if(row()&lt;&gt;2,INDEX(arrayformula(filter($L$2:$L777,$C$2:$C777&lt;&gt;"""",row($C$2:$C777)=max(if($C$2:$C777=C778,row($C$2:$C777),0)))) ,1),0),0))"),"")</f>
        <v/>
      </c>
      <c r="L778" s="147" t="str">
        <f t="shared" si="14"/>
        <v/>
      </c>
      <c r="M778" s="147" t="str">
        <f t="shared" si="15"/>
        <v/>
      </c>
      <c r="N778" s="147" t="str">
        <f t="shared" si="16"/>
        <v/>
      </c>
      <c r="O778" s="147" t="str">
        <f t="shared" si="6"/>
        <v/>
      </c>
      <c r="P778" s="150" t="str">
        <f t="shared" si="7"/>
        <v/>
      </c>
      <c r="Q778" s="151" t="str">
        <f>IFERROR(VLOOKUP(C778,Ativos!$A$1:$G2000,5,),)</f>
        <v/>
      </c>
    </row>
    <row r="779" ht="21.0" customHeight="1">
      <c r="A779" s="152"/>
      <c r="B779" s="160"/>
      <c r="C779" s="153"/>
      <c r="D779" s="169"/>
      <c r="E779" s="139"/>
      <c r="F779" s="141"/>
      <c r="G779" s="170" t="str">
        <f>IFERROR(__xludf.DUMMYFUNCTION("if($C779="""","""",iferror(if(row()&lt;&gt;2,INDEX(arrayformula(filter($H$2:$H778,$C$2:$C778&lt;&gt;"""",row($C$2:$C778)=max(if($C$2:$C778=C779,row($C$2:$C778),0)))) ,1),0),0))"),"")</f>
        <v/>
      </c>
      <c r="H779" s="170" t="str">
        <f t="shared" si="8"/>
        <v/>
      </c>
      <c r="I779" s="147" t="str">
        <f t="shared" si="1"/>
        <v/>
      </c>
      <c r="J779" s="147" t="str">
        <f t="shared" si="13"/>
        <v/>
      </c>
      <c r="K779" s="147" t="str">
        <f>IFERROR(__xludf.DUMMYFUNCTION("if(C779="""","""",iferror(if(row()&lt;&gt;2,INDEX(arrayformula(filter($L$2:$L778,$C$2:$C778&lt;&gt;"""",row($C$2:$C778)=max(if($C$2:$C778=C779,row($C$2:$C778),0)))) ,1),0),0))"),"")</f>
        <v/>
      </c>
      <c r="L779" s="147" t="str">
        <f t="shared" si="14"/>
        <v/>
      </c>
      <c r="M779" s="147" t="str">
        <f t="shared" si="15"/>
        <v/>
      </c>
      <c r="N779" s="147" t="str">
        <f t="shared" si="16"/>
        <v/>
      </c>
      <c r="O779" s="147" t="str">
        <f t="shared" si="6"/>
        <v/>
      </c>
      <c r="P779" s="150" t="str">
        <f t="shared" si="7"/>
        <v/>
      </c>
      <c r="Q779" s="151" t="str">
        <f>IFERROR(VLOOKUP(C779,Ativos!$A$1:$G2000,5,),)</f>
        <v/>
      </c>
    </row>
    <row r="780" ht="21.0" customHeight="1">
      <c r="A780" s="152"/>
      <c r="B780" s="160"/>
      <c r="C780" s="153"/>
      <c r="D780" s="169"/>
      <c r="E780" s="139"/>
      <c r="F780" s="141"/>
      <c r="G780" s="170" t="str">
        <f>IFERROR(__xludf.DUMMYFUNCTION("if($C780="""","""",iferror(if(row()&lt;&gt;2,INDEX(arrayformula(filter($H$2:$H779,$C$2:$C779&lt;&gt;"""",row($C$2:$C779)=max(if($C$2:$C779=C780,row($C$2:$C779),0)))) ,1),0),0))"),"")</f>
        <v/>
      </c>
      <c r="H780" s="170" t="str">
        <f t="shared" si="8"/>
        <v/>
      </c>
      <c r="I780" s="147" t="str">
        <f t="shared" si="1"/>
        <v/>
      </c>
      <c r="J780" s="147" t="str">
        <f t="shared" si="13"/>
        <v/>
      </c>
      <c r="K780" s="147" t="str">
        <f>IFERROR(__xludf.DUMMYFUNCTION("if(C780="""","""",iferror(if(row()&lt;&gt;2,INDEX(arrayformula(filter($L$2:$L779,$C$2:$C779&lt;&gt;"""",row($C$2:$C779)=max(if($C$2:$C779=C780,row($C$2:$C779),0)))) ,1),0),0))"),"")</f>
        <v/>
      </c>
      <c r="L780" s="147" t="str">
        <f t="shared" si="14"/>
        <v/>
      </c>
      <c r="M780" s="147" t="str">
        <f t="shared" si="15"/>
        <v/>
      </c>
      <c r="N780" s="147" t="str">
        <f t="shared" si="16"/>
        <v/>
      </c>
      <c r="O780" s="147" t="str">
        <f t="shared" si="6"/>
        <v/>
      </c>
      <c r="P780" s="150" t="str">
        <f t="shared" si="7"/>
        <v/>
      </c>
      <c r="Q780" s="151" t="str">
        <f>IFERROR(VLOOKUP(C780,Ativos!$A$1:$G2000,5,),)</f>
        <v/>
      </c>
    </row>
    <row r="781" ht="21.0" customHeight="1">
      <c r="A781" s="152"/>
      <c r="B781" s="160"/>
      <c r="C781" s="153"/>
      <c r="D781" s="169"/>
      <c r="E781" s="139"/>
      <c r="F781" s="141"/>
      <c r="G781" s="170" t="str">
        <f>IFERROR(__xludf.DUMMYFUNCTION("if($C781="""","""",iferror(if(row()&lt;&gt;2,INDEX(arrayformula(filter($H$2:$H780,$C$2:$C780&lt;&gt;"""",row($C$2:$C780)=max(if($C$2:$C780=C781,row($C$2:$C780),0)))) ,1),0),0))"),"")</f>
        <v/>
      </c>
      <c r="H781" s="170" t="str">
        <f t="shared" si="8"/>
        <v/>
      </c>
      <c r="I781" s="147" t="str">
        <f t="shared" si="1"/>
        <v/>
      </c>
      <c r="J781" s="147" t="str">
        <f t="shared" si="13"/>
        <v/>
      </c>
      <c r="K781" s="147" t="str">
        <f>IFERROR(__xludf.DUMMYFUNCTION("if(C781="""","""",iferror(if(row()&lt;&gt;2,INDEX(arrayformula(filter($L$2:$L780,$C$2:$C780&lt;&gt;"""",row($C$2:$C780)=max(if($C$2:$C780=C781,row($C$2:$C780),0)))) ,1),0),0))"),"")</f>
        <v/>
      </c>
      <c r="L781" s="147" t="str">
        <f t="shared" si="14"/>
        <v/>
      </c>
      <c r="M781" s="147" t="str">
        <f t="shared" si="15"/>
        <v/>
      </c>
      <c r="N781" s="147" t="str">
        <f t="shared" si="16"/>
        <v/>
      </c>
      <c r="O781" s="147" t="str">
        <f t="shared" si="6"/>
        <v/>
      </c>
      <c r="P781" s="150" t="str">
        <f t="shared" si="7"/>
        <v/>
      </c>
      <c r="Q781" s="151" t="str">
        <f>IFERROR(VLOOKUP(C781,Ativos!$A$1:$G2000,5,),)</f>
        <v/>
      </c>
    </row>
    <row r="782" ht="21.0" customHeight="1">
      <c r="A782" s="152"/>
      <c r="B782" s="160"/>
      <c r="C782" s="153"/>
      <c r="D782" s="169"/>
      <c r="E782" s="139"/>
      <c r="F782" s="141"/>
      <c r="G782" s="170" t="str">
        <f>IFERROR(__xludf.DUMMYFUNCTION("if($C782="""","""",iferror(if(row()&lt;&gt;2,INDEX(arrayformula(filter($H$2:$H781,$C$2:$C781&lt;&gt;"""",row($C$2:$C781)=max(if($C$2:$C781=C782,row($C$2:$C781),0)))) ,1),0),0))"),"")</f>
        <v/>
      </c>
      <c r="H782" s="170" t="str">
        <f t="shared" si="8"/>
        <v/>
      </c>
      <c r="I782" s="147" t="str">
        <f t="shared" si="1"/>
        <v/>
      </c>
      <c r="J782" s="147" t="str">
        <f t="shared" si="13"/>
        <v/>
      </c>
      <c r="K782" s="147" t="str">
        <f>IFERROR(__xludf.DUMMYFUNCTION("if(C782="""","""",iferror(if(row()&lt;&gt;2,INDEX(arrayformula(filter($L$2:$L781,$C$2:$C781&lt;&gt;"""",row($C$2:$C781)=max(if($C$2:$C781=C782,row($C$2:$C781),0)))) ,1),0),0))"),"")</f>
        <v/>
      </c>
      <c r="L782" s="147" t="str">
        <f t="shared" si="14"/>
        <v/>
      </c>
      <c r="M782" s="147" t="str">
        <f t="shared" si="15"/>
        <v/>
      </c>
      <c r="N782" s="147" t="str">
        <f t="shared" si="16"/>
        <v/>
      </c>
      <c r="O782" s="147" t="str">
        <f t="shared" si="6"/>
        <v/>
      </c>
      <c r="P782" s="150" t="str">
        <f t="shared" si="7"/>
        <v/>
      </c>
      <c r="Q782" s="151" t="str">
        <f>IFERROR(VLOOKUP(C782,Ativos!$A$1:$G2000,5,),)</f>
        <v/>
      </c>
    </row>
    <row r="783" ht="21.0" customHeight="1">
      <c r="A783" s="152"/>
      <c r="B783" s="160"/>
      <c r="C783" s="153"/>
      <c r="D783" s="169"/>
      <c r="E783" s="139"/>
      <c r="F783" s="141"/>
      <c r="G783" s="170" t="str">
        <f>IFERROR(__xludf.DUMMYFUNCTION("if($C783="""","""",iferror(if(row()&lt;&gt;2,INDEX(arrayformula(filter($H$2:$H782,$C$2:$C782&lt;&gt;"""",row($C$2:$C782)=max(if($C$2:$C782=C783,row($C$2:$C782),0)))) ,1),0),0))"),"")</f>
        <v/>
      </c>
      <c r="H783" s="170" t="str">
        <f t="shared" si="8"/>
        <v/>
      </c>
      <c r="I783" s="147" t="str">
        <f t="shared" si="1"/>
        <v/>
      </c>
      <c r="J783" s="147" t="str">
        <f t="shared" si="13"/>
        <v/>
      </c>
      <c r="K783" s="147" t="str">
        <f>IFERROR(__xludf.DUMMYFUNCTION("if(C783="""","""",iferror(if(row()&lt;&gt;2,INDEX(arrayformula(filter($L$2:$L782,$C$2:$C782&lt;&gt;"""",row($C$2:$C782)=max(if($C$2:$C782=C783,row($C$2:$C782),0)))) ,1),0),0))"),"")</f>
        <v/>
      </c>
      <c r="L783" s="147" t="str">
        <f t="shared" si="14"/>
        <v/>
      </c>
      <c r="M783" s="147" t="str">
        <f t="shared" si="15"/>
        <v/>
      </c>
      <c r="N783" s="147" t="str">
        <f t="shared" si="16"/>
        <v/>
      </c>
      <c r="O783" s="147" t="str">
        <f t="shared" si="6"/>
        <v/>
      </c>
      <c r="P783" s="150" t="str">
        <f t="shared" si="7"/>
        <v/>
      </c>
      <c r="Q783" s="151" t="str">
        <f>IFERROR(VLOOKUP(C783,Ativos!$A$1:$G2000,5,),)</f>
        <v/>
      </c>
    </row>
    <row r="784" ht="21.0" customHeight="1">
      <c r="A784" s="152"/>
      <c r="B784" s="160"/>
      <c r="C784" s="153"/>
      <c r="D784" s="169"/>
      <c r="E784" s="139"/>
      <c r="F784" s="141"/>
      <c r="G784" s="170" t="str">
        <f>IFERROR(__xludf.DUMMYFUNCTION("if($C784="""","""",iferror(if(row()&lt;&gt;2,INDEX(arrayformula(filter($H$2:$H783,$C$2:$C783&lt;&gt;"""",row($C$2:$C783)=max(if($C$2:$C783=C784,row($C$2:$C783),0)))) ,1),0),0))"),"")</f>
        <v/>
      </c>
      <c r="H784" s="170" t="str">
        <f t="shared" si="8"/>
        <v/>
      </c>
      <c r="I784" s="147" t="str">
        <f t="shared" si="1"/>
        <v/>
      </c>
      <c r="J784" s="147" t="str">
        <f t="shared" si="13"/>
        <v/>
      </c>
      <c r="K784" s="147" t="str">
        <f>IFERROR(__xludf.DUMMYFUNCTION("if(C784="""","""",iferror(if(row()&lt;&gt;2,INDEX(arrayformula(filter($L$2:$L783,$C$2:$C783&lt;&gt;"""",row($C$2:$C783)=max(if($C$2:$C783=C784,row($C$2:$C783),0)))) ,1),0),0))"),"")</f>
        <v/>
      </c>
      <c r="L784" s="147" t="str">
        <f t="shared" si="14"/>
        <v/>
      </c>
      <c r="M784" s="147" t="str">
        <f t="shared" si="15"/>
        <v/>
      </c>
      <c r="N784" s="147" t="str">
        <f t="shared" si="16"/>
        <v/>
      </c>
      <c r="O784" s="147" t="str">
        <f t="shared" si="6"/>
        <v/>
      </c>
      <c r="P784" s="150" t="str">
        <f t="shared" si="7"/>
        <v/>
      </c>
      <c r="Q784" s="151" t="str">
        <f>IFERROR(VLOOKUP(C784,Ativos!$A$1:$G2000,5,),)</f>
        <v/>
      </c>
    </row>
    <row r="785" ht="21.0" customHeight="1">
      <c r="A785" s="152"/>
      <c r="B785" s="160"/>
      <c r="C785" s="153"/>
      <c r="D785" s="169"/>
      <c r="E785" s="139"/>
      <c r="F785" s="141"/>
      <c r="G785" s="170" t="str">
        <f>IFERROR(__xludf.DUMMYFUNCTION("if($C785="""","""",iferror(if(row()&lt;&gt;2,INDEX(arrayformula(filter($H$2:$H784,$C$2:$C784&lt;&gt;"""",row($C$2:$C784)=max(if($C$2:$C784=C785,row($C$2:$C784),0)))) ,1),0),0))"),"")</f>
        <v/>
      </c>
      <c r="H785" s="170" t="str">
        <f t="shared" si="8"/>
        <v/>
      </c>
      <c r="I785" s="147" t="str">
        <f t="shared" si="1"/>
        <v/>
      </c>
      <c r="J785" s="147" t="str">
        <f t="shared" si="13"/>
        <v/>
      </c>
      <c r="K785" s="147" t="str">
        <f>IFERROR(__xludf.DUMMYFUNCTION("if(C785="""","""",iferror(if(row()&lt;&gt;2,INDEX(arrayformula(filter($L$2:$L784,$C$2:$C784&lt;&gt;"""",row($C$2:$C784)=max(if($C$2:$C784=C785,row($C$2:$C784),0)))) ,1),0),0))"),"")</f>
        <v/>
      </c>
      <c r="L785" s="147" t="str">
        <f t="shared" si="14"/>
        <v/>
      </c>
      <c r="M785" s="147" t="str">
        <f t="shared" si="15"/>
        <v/>
      </c>
      <c r="N785" s="147" t="str">
        <f t="shared" si="16"/>
        <v/>
      </c>
      <c r="O785" s="147" t="str">
        <f t="shared" si="6"/>
        <v/>
      </c>
      <c r="P785" s="150" t="str">
        <f t="shared" si="7"/>
        <v/>
      </c>
      <c r="Q785" s="151" t="str">
        <f>IFERROR(VLOOKUP(C785,Ativos!$A$1:$G2000,5,),)</f>
        <v/>
      </c>
    </row>
    <row r="786" ht="21.0" customHeight="1">
      <c r="A786" s="152"/>
      <c r="B786" s="160"/>
      <c r="C786" s="153"/>
      <c r="D786" s="169"/>
      <c r="E786" s="139"/>
      <c r="F786" s="141"/>
      <c r="G786" s="170" t="str">
        <f>IFERROR(__xludf.DUMMYFUNCTION("if($C786="""","""",iferror(if(row()&lt;&gt;2,INDEX(arrayformula(filter($H$2:$H785,$C$2:$C785&lt;&gt;"""",row($C$2:$C785)=max(if($C$2:$C785=C786,row($C$2:$C785),0)))) ,1),0),0))"),"")</f>
        <v/>
      </c>
      <c r="H786" s="170" t="str">
        <f t="shared" si="8"/>
        <v/>
      </c>
      <c r="I786" s="147" t="str">
        <f t="shared" si="1"/>
        <v/>
      </c>
      <c r="J786" s="147" t="str">
        <f t="shared" si="13"/>
        <v/>
      </c>
      <c r="K786" s="147" t="str">
        <f>IFERROR(__xludf.DUMMYFUNCTION("if(C786="""","""",iferror(if(row()&lt;&gt;2,INDEX(arrayformula(filter($L$2:$L785,$C$2:$C785&lt;&gt;"""",row($C$2:$C785)=max(if($C$2:$C785=C786,row($C$2:$C785),0)))) ,1),0),0))"),"")</f>
        <v/>
      </c>
      <c r="L786" s="147" t="str">
        <f t="shared" si="14"/>
        <v/>
      </c>
      <c r="M786" s="147" t="str">
        <f t="shared" si="15"/>
        <v/>
      </c>
      <c r="N786" s="147" t="str">
        <f t="shared" si="16"/>
        <v/>
      </c>
      <c r="O786" s="147" t="str">
        <f t="shared" si="6"/>
        <v/>
      </c>
      <c r="P786" s="150" t="str">
        <f t="shared" si="7"/>
        <v/>
      </c>
      <c r="Q786" s="151" t="str">
        <f>IFERROR(VLOOKUP(C786,Ativos!$A$1:$G2000,5,),)</f>
        <v/>
      </c>
    </row>
    <row r="787" ht="21.0" customHeight="1">
      <c r="A787" s="152"/>
      <c r="B787" s="160"/>
      <c r="C787" s="153"/>
      <c r="D787" s="169"/>
      <c r="E787" s="139"/>
      <c r="F787" s="141"/>
      <c r="G787" s="170" t="str">
        <f>IFERROR(__xludf.DUMMYFUNCTION("if($C787="""","""",iferror(if(row()&lt;&gt;2,INDEX(arrayformula(filter($H$2:$H786,$C$2:$C786&lt;&gt;"""",row($C$2:$C786)=max(if($C$2:$C786=C787,row($C$2:$C786),0)))) ,1),0),0))"),"")</f>
        <v/>
      </c>
      <c r="H787" s="170" t="str">
        <f t="shared" si="8"/>
        <v/>
      </c>
      <c r="I787" s="147" t="str">
        <f t="shared" si="1"/>
        <v/>
      </c>
      <c r="J787" s="147" t="str">
        <f t="shared" si="13"/>
        <v/>
      </c>
      <c r="K787" s="147" t="str">
        <f>IFERROR(__xludf.DUMMYFUNCTION("if(C787="""","""",iferror(if(row()&lt;&gt;2,INDEX(arrayformula(filter($L$2:$L786,$C$2:$C786&lt;&gt;"""",row($C$2:$C786)=max(if($C$2:$C786=C787,row($C$2:$C786),0)))) ,1),0),0))"),"")</f>
        <v/>
      </c>
      <c r="L787" s="147" t="str">
        <f t="shared" si="14"/>
        <v/>
      </c>
      <c r="M787" s="147" t="str">
        <f t="shared" si="15"/>
        <v/>
      </c>
      <c r="N787" s="147" t="str">
        <f t="shared" si="16"/>
        <v/>
      </c>
      <c r="O787" s="147" t="str">
        <f t="shared" si="6"/>
        <v/>
      </c>
      <c r="P787" s="150" t="str">
        <f t="shared" si="7"/>
        <v/>
      </c>
      <c r="Q787" s="151" t="str">
        <f>IFERROR(VLOOKUP(C787,Ativos!$A$1:$G2000,5,),)</f>
        <v/>
      </c>
    </row>
    <row r="788" ht="21.0" customHeight="1">
      <c r="A788" s="152"/>
      <c r="B788" s="160"/>
      <c r="C788" s="153"/>
      <c r="D788" s="169"/>
      <c r="E788" s="139"/>
      <c r="F788" s="141"/>
      <c r="G788" s="170" t="str">
        <f>IFERROR(__xludf.DUMMYFUNCTION("if($C788="""","""",iferror(if(row()&lt;&gt;2,INDEX(arrayformula(filter($H$2:$H787,$C$2:$C787&lt;&gt;"""",row($C$2:$C787)=max(if($C$2:$C787=C788,row($C$2:$C787),0)))) ,1),0),0))"),"")</f>
        <v/>
      </c>
      <c r="H788" s="170" t="str">
        <f t="shared" si="8"/>
        <v/>
      </c>
      <c r="I788" s="147" t="str">
        <f t="shared" si="1"/>
        <v/>
      </c>
      <c r="J788" s="147" t="str">
        <f t="shared" si="13"/>
        <v/>
      </c>
      <c r="K788" s="147" t="str">
        <f>IFERROR(__xludf.DUMMYFUNCTION("if(C788="""","""",iferror(if(row()&lt;&gt;2,INDEX(arrayformula(filter($L$2:$L787,$C$2:$C787&lt;&gt;"""",row($C$2:$C787)=max(if($C$2:$C787=C788,row($C$2:$C787),0)))) ,1),0),0))"),"")</f>
        <v/>
      </c>
      <c r="L788" s="147" t="str">
        <f t="shared" si="14"/>
        <v/>
      </c>
      <c r="M788" s="147" t="str">
        <f t="shared" si="15"/>
        <v/>
      </c>
      <c r="N788" s="147" t="str">
        <f t="shared" si="16"/>
        <v/>
      </c>
      <c r="O788" s="147" t="str">
        <f t="shared" si="6"/>
        <v/>
      </c>
      <c r="P788" s="150" t="str">
        <f t="shared" si="7"/>
        <v/>
      </c>
      <c r="Q788" s="151" t="str">
        <f>IFERROR(VLOOKUP(C788,Ativos!$A$1:$G2000,5,),)</f>
        <v/>
      </c>
    </row>
    <row r="789" ht="21.0" customHeight="1">
      <c r="A789" s="152"/>
      <c r="B789" s="160"/>
      <c r="C789" s="153"/>
      <c r="D789" s="169"/>
      <c r="E789" s="139"/>
      <c r="F789" s="141"/>
      <c r="G789" s="170" t="str">
        <f>IFERROR(__xludf.DUMMYFUNCTION("if($C789="""","""",iferror(if(row()&lt;&gt;2,INDEX(arrayformula(filter($H$2:$H788,$C$2:$C788&lt;&gt;"""",row($C$2:$C788)=max(if($C$2:$C788=C789,row($C$2:$C788),0)))) ,1),0),0))"),"")</f>
        <v/>
      </c>
      <c r="H789" s="170" t="str">
        <f t="shared" si="8"/>
        <v/>
      </c>
      <c r="I789" s="147" t="str">
        <f t="shared" si="1"/>
        <v/>
      </c>
      <c r="J789" s="147" t="str">
        <f t="shared" si="13"/>
        <v/>
      </c>
      <c r="K789" s="147" t="str">
        <f>IFERROR(__xludf.DUMMYFUNCTION("if(C789="""","""",iferror(if(row()&lt;&gt;2,INDEX(arrayformula(filter($L$2:$L788,$C$2:$C788&lt;&gt;"""",row($C$2:$C788)=max(if($C$2:$C788=C789,row($C$2:$C788),0)))) ,1),0),0))"),"")</f>
        <v/>
      </c>
      <c r="L789" s="147" t="str">
        <f t="shared" si="14"/>
        <v/>
      </c>
      <c r="M789" s="147" t="str">
        <f t="shared" si="15"/>
        <v/>
      </c>
      <c r="N789" s="147" t="str">
        <f t="shared" si="16"/>
        <v/>
      </c>
      <c r="O789" s="147" t="str">
        <f t="shared" si="6"/>
        <v/>
      </c>
      <c r="P789" s="150" t="str">
        <f t="shared" si="7"/>
        <v/>
      </c>
      <c r="Q789" s="151" t="str">
        <f>IFERROR(VLOOKUP(C789,Ativos!$A$1:$G2000,5,),)</f>
        <v/>
      </c>
    </row>
    <row r="790" ht="21.0" customHeight="1">
      <c r="A790" s="152"/>
      <c r="B790" s="160"/>
      <c r="C790" s="153"/>
      <c r="D790" s="169"/>
      <c r="E790" s="139"/>
      <c r="F790" s="141"/>
      <c r="G790" s="170" t="str">
        <f>IFERROR(__xludf.DUMMYFUNCTION("if($C790="""","""",iferror(if(row()&lt;&gt;2,INDEX(arrayformula(filter($H$2:$H789,$C$2:$C789&lt;&gt;"""",row($C$2:$C789)=max(if($C$2:$C789=C790,row($C$2:$C789),0)))) ,1),0),0))"),"")</f>
        <v/>
      </c>
      <c r="H790" s="170" t="str">
        <f t="shared" si="8"/>
        <v/>
      </c>
      <c r="I790" s="147" t="str">
        <f t="shared" si="1"/>
        <v/>
      </c>
      <c r="J790" s="147" t="str">
        <f t="shared" si="13"/>
        <v/>
      </c>
      <c r="K790" s="147" t="str">
        <f>IFERROR(__xludf.DUMMYFUNCTION("if(C790="""","""",iferror(if(row()&lt;&gt;2,INDEX(arrayformula(filter($L$2:$L789,$C$2:$C789&lt;&gt;"""",row($C$2:$C789)=max(if($C$2:$C789=C790,row($C$2:$C789),0)))) ,1),0),0))"),"")</f>
        <v/>
      </c>
      <c r="L790" s="147" t="str">
        <f t="shared" si="14"/>
        <v/>
      </c>
      <c r="M790" s="147" t="str">
        <f t="shared" si="15"/>
        <v/>
      </c>
      <c r="N790" s="147" t="str">
        <f t="shared" si="16"/>
        <v/>
      </c>
      <c r="O790" s="147" t="str">
        <f t="shared" si="6"/>
        <v/>
      </c>
      <c r="P790" s="150" t="str">
        <f t="shared" si="7"/>
        <v/>
      </c>
      <c r="Q790" s="151" t="str">
        <f>IFERROR(VLOOKUP(C790,Ativos!$A$1:$G2000,5,),)</f>
        <v/>
      </c>
    </row>
    <row r="791" ht="21.0" customHeight="1">
      <c r="A791" s="152"/>
      <c r="B791" s="160"/>
      <c r="C791" s="153"/>
      <c r="D791" s="169"/>
      <c r="E791" s="139"/>
      <c r="F791" s="141"/>
      <c r="G791" s="170" t="str">
        <f>IFERROR(__xludf.DUMMYFUNCTION("if($C791="""","""",iferror(if(row()&lt;&gt;2,INDEX(arrayformula(filter($H$2:$H790,$C$2:$C790&lt;&gt;"""",row($C$2:$C790)=max(if($C$2:$C790=C791,row($C$2:$C790),0)))) ,1),0),0))"),"")</f>
        <v/>
      </c>
      <c r="H791" s="170" t="str">
        <f t="shared" si="8"/>
        <v/>
      </c>
      <c r="I791" s="147" t="str">
        <f t="shared" si="1"/>
        <v/>
      </c>
      <c r="J791" s="147" t="str">
        <f t="shared" si="13"/>
        <v/>
      </c>
      <c r="K791" s="147" t="str">
        <f>IFERROR(__xludf.DUMMYFUNCTION("if(C791="""","""",iferror(if(row()&lt;&gt;2,INDEX(arrayformula(filter($L$2:$L790,$C$2:$C790&lt;&gt;"""",row($C$2:$C790)=max(if($C$2:$C790=C791,row($C$2:$C790),0)))) ,1),0),0))"),"")</f>
        <v/>
      </c>
      <c r="L791" s="147" t="str">
        <f t="shared" si="14"/>
        <v/>
      </c>
      <c r="M791" s="147" t="str">
        <f t="shared" si="15"/>
        <v/>
      </c>
      <c r="N791" s="147" t="str">
        <f t="shared" si="16"/>
        <v/>
      </c>
      <c r="O791" s="147" t="str">
        <f t="shared" si="6"/>
        <v/>
      </c>
      <c r="P791" s="150" t="str">
        <f t="shared" si="7"/>
        <v/>
      </c>
      <c r="Q791" s="151" t="str">
        <f>IFERROR(VLOOKUP(C791,Ativos!$A$1:$G2000,5,),)</f>
        <v/>
      </c>
    </row>
    <row r="792" ht="21.0" customHeight="1">
      <c r="A792" s="152"/>
      <c r="B792" s="160"/>
      <c r="C792" s="153"/>
      <c r="D792" s="169"/>
      <c r="E792" s="139"/>
      <c r="F792" s="141"/>
      <c r="G792" s="170" t="str">
        <f>IFERROR(__xludf.DUMMYFUNCTION("if($C792="""","""",iferror(if(row()&lt;&gt;2,INDEX(arrayformula(filter($H$2:$H791,$C$2:$C791&lt;&gt;"""",row($C$2:$C791)=max(if($C$2:$C791=C792,row($C$2:$C791),0)))) ,1),0),0))"),"")</f>
        <v/>
      </c>
      <c r="H792" s="170" t="str">
        <f t="shared" si="8"/>
        <v/>
      </c>
      <c r="I792" s="147" t="str">
        <f t="shared" si="1"/>
        <v/>
      </c>
      <c r="J792" s="147" t="str">
        <f t="shared" si="13"/>
        <v/>
      </c>
      <c r="K792" s="147" t="str">
        <f>IFERROR(__xludf.DUMMYFUNCTION("if(C792="""","""",iferror(if(row()&lt;&gt;2,INDEX(arrayformula(filter($L$2:$L791,$C$2:$C791&lt;&gt;"""",row($C$2:$C791)=max(if($C$2:$C791=C792,row($C$2:$C791),0)))) ,1),0),0))"),"")</f>
        <v/>
      </c>
      <c r="L792" s="147" t="str">
        <f t="shared" si="14"/>
        <v/>
      </c>
      <c r="M792" s="147" t="str">
        <f t="shared" si="15"/>
        <v/>
      </c>
      <c r="N792" s="147" t="str">
        <f t="shared" si="16"/>
        <v/>
      </c>
      <c r="O792" s="147" t="str">
        <f t="shared" si="6"/>
        <v/>
      </c>
      <c r="P792" s="150" t="str">
        <f t="shared" si="7"/>
        <v/>
      </c>
      <c r="Q792" s="151" t="str">
        <f>IFERROR(VLOOKUP(C792,Ativos!$A$1:$G2000,5,),)</f>
        <v/>
      </c>
    </row>
    <row r="793" ht="21.0" customHeight="1">
      <c r="A793" s="152"/>
      <c r="B793" s="160"/>
      <c r="C793" s="153"/>
      <c r="D793" s="169"/>
      <c r="E793" s="139"/>
      <c r="F793" s="141"/>
      <c r="G793" s="170" t="str">
        <f>IFERROR(__xludf.DUMMYFUNCTION("if($C793="""","""",iferror(if(row()&lt;&gt;2,INDEX(arrayformula(filter($H$2:$H792,$C$2:$C792&lt;&gt;"""",row($C$2:$C792)=max(if($C$2:$C792=C793,row($C$2:$C792),0)))) ,1),0),0))"),"")</f>
        <v/>
      </c>
      <c r="H793" s="170" t="str">
        <f t="shared" si="8"/>
        <v/>
      </c>
      <c r="I793" s="147" t="str">
        <f t="shared" si="1"/>
        <v/>
      </c>
      <c r="J793" s="147" t="str">
        <f t="shared" si="13"/>
        <v/>
      </c>
      <c r="K793" s="147" t="str">
        <f>IFERROR(__xludf.DUMMYFUNCTION("if(C793="""","""",iferror(if(row()&lt;&gt;2,INDEX(arrayformula(filter($L$2:$L792,$C$2:$C792&lt;&gt;"""",row($C$2:$C792)=max(if($C$2:$C792=C793,row($C$2:$C792),0)))) ,1),0),0))"),"")</f>
        <v/>
      </c>
      <c r="L793" s="147" t="str">
        <f t="shared" si="14"/>
        <v/>
      </c>
      <c r="M793" s="147" t="str">
        <f t="shared" si="15"/>
        <v/>
      </c>
      <c r="N793" s="147" t="str">
        <f t="shared" si="16"/>
        <v/>
      </c>
      <c r="O793" s="147" t="str">
        <f t="shared" si="6"/>
        <v/>
      </c>
      <c r="P793" s="150" t="str">
        <f t="shared" si="7"/>
        <v/>
      </c>
      <c r="Q793" s="151" t="str">
        <f>IFERROR(VLOOKUP(C793,Ativos!$A$1:$G2000,5,),)</f>
        <v/>
      </c>
    </row>
    <row r="794" ht="21.0" customHeight="1">
      <c r="A794" s="152"/>
      <c r="B794" s="160"/>
      <c r="C794" s="153"/>
      <c r="D794" s="169"/>
      <c r="E794" s="139"/>
      <c r="F794" s="141"/>
      <c r="G794" s="170" t="str">
        <f>IFERROR(__xludf.DUMMYFUNCTION("if($C794="""","""",iferror(if(row()&lt;&gt;2,INDEX(arrayformula(filter($H$2:$H793,$C$2:$C793&lt;&gt;"""",row($C$2:$C793)=max(if($C$2:$C793=C794,row($C$2:$C793),0)))) ,1),0),0))"),"")</f>
        <v/>
      </c>
      <c r="H794" s="170" t="str">
        <f t="shared" si="8"/>
        <v/>
      </c>
      <c r="I794" s="147" t="str">
        <f t="shared" si="1"/>
        <v/>
      </c>
      <c r="J794" s="147" t="str">
        <f t="shared" si="13"/>
        <v/>
      </c>
      <c r="K794" s="147" t="str">
        <f>IFERROR(__xludf.DUMMYFUNCTION("if(C794="""","""",iferror(if(row()&lt;&gt;2,INDEX(arrayformula(filter($L$2:$L793,$C$2:$C793&lt;&gt;"""",row($C$2:$C793)=max(if($C$2:$C793=C794,row($C$2:$C793),0)))) ,1),0),0))"),"")</f>
        <v/>
      </c>
      <c r="L794" s="147" t="str">
        <f t="shared" si="14"/>
        <v/>
      </c>
      <c r="M794" s="147" t="str">
        <f t="shared" si="15"/>
        <v/>
      </c>
      <c r="N794" s="147" t="str">
        <f t="shared" si="16"/>
        <v/>
      </c>
      <c r="O794" s="147" t="str">
        <f t="shared" si="6"/>
        <v/>
      </c>
      <c r="P794" s="150" t="str">
        <f t="shared" si="7"/>
        <v/>
      </c>
      <c r="Q794" s="151" t="str">
        <f>IFERROR(VLOOKUP(C794,Ativos!$A$1:$G2000,5,),)</f>
        <v/>
      </c>
    </row>
    <row r="795" ht="21.0" customHeight="1">
      <c r="A795" s="152"/>
      <c r="B795" s="160"/>
      <c r="C795" s="153"/>
      <c r="D795" s="169"/>
      <c r="E795" s="139"/>
      <c r="F795" s="141"/>
      <c r="G795" s="170" t="str">
        <f>IFERROR(__xludf.DUMMYFUNCTION("if($C795="""","""",iferror(if(row()&lt;&gt;2,INDEX(arrayformula(filter($H$2:$H794,$C$2:$C794&lt;&gt;"""",row($C$2:$C794)=max(if($C$2:$C794=C795,row($C$2:$C794),0)))) ,1),0),0))"),"")</f>
        <v/>
      </c>
      <c r="H795" s="170" t="str">
        <f t="shared" si="8"/>
        <v/>
      </c>
      <c r="I795" s="147" t="str">
        <f t="shared" si="1"/>
        <v/>
      </c>
      <c r="J795" s="147" t="str">
        <f t="shared" si="13"/>
        <v/>
      </c>
      <c r="K795" s="147" t="str">
        <f>IFERROR(__xludf.DUMMYFUNCTION("if(C795="""","""",iferror(if(row()&lt;&gt;2,INDEX(arrayformula(filter($L$2:$L794,$C$2:$C794&lt;&gt;"""",row($C$2:$C794)=max(if($C$2:$C794=C795,row($C$2:$C794),0)))) ,1),0),0))"),"")</f>
        <v/>
      </c>
      <c r="L795" s="147" t="str">
        <f t="shared" si="14"/>
        <v/>
      </c>
      <c r="M795" s="147" t="str">
        <f t="shared" si="15"/>
        <v/>
      </c>
      <c r="N795" s="147" t="str">
        <f t="shared" si="16"/>
        <v/>
      </c>
      <c r="O795" s="147" t="str">
        <f t="shared" si="6"/>
        <v/>
      </c>
      <c r="P795" s="150" t="str">
        <f t="shared" si="7"/>
        <v/>
      </c>
      <c r="Q795" s="151" t="str">
        <f>IFERROR(VLOOKUP(C795,Ativos!$A$1:$G2000,5,),)</f>
        <v/>
      </c>
    </row>
    <row r="796" ht="21.0" customHeight="1">
      <c r="A796" s="152"/>
      <c r="B796" s="160"/>
      <c r="C796" s="153"/>
      <c r="D796" s="169"/>
      <c r="E796" s="139"/>
      <c r="F796" s="141"/>
      <c r="G796" s="170" t="str">
        <f>IFERROR(__xludf.DUMMYFUNCTION("if($C796="""","""",iferror(if(row()&lt;&gt;2,INDEX(arrayformula(filter($H$2:$H795,$C$2:$C795&lt;&gt;"""",row($C$2:$C795)=max(if($C$2:$C795=C796,row($C$2:$C795),0)))) ,1),0),0))"),"")</f>
        <v/>
      </c>
      <c r="H796" s="170" t="str">
        <f t="shared" si="8"/>
        <v/>
      </c>
      <c r="I796" s="147" t="str">
        <f t="shared" si="1"/>
        <v/>
      </c>
      <c r="J796" s="147" t="str">
        <f t="shared" si="13"/>
        <v/>
      </c>
      <c r="K796" s="147" t="str">
        <f>IFERROR(__xludf.DUMMYFUNCTION("if(C796="""","""",iferror(if(row()&lt;&gt;2,INDEX(arrayformula(filter($L$2:$L795,$C$2:$C795&lt;&gt;"""",row($C$2:$C795)=max(if($C$2:$C795=C796,row($C$2:$C795),0)))) ,1),0),0))"),"")</f>
        <v/>
      </c>
      <c r="L796" s="147" t="str">
        <f t="shared" si="14"/>
        <v/>
      </c>
      <c r="M796" s="147" t="str">
        <f t="shared" si="15"/>
        <v/>
      </c>
      <c r="N796" s="147" t="str">
        <f t="shared" si="16"/>
        <v/>
      </c>
      <c r="O796" s="147" t="str">
        <f t="shared" si="6"/>
        <v/>
      </c>
      <c r="P796" s="150" t="str">
        <f t="shared" si="7"/>
        <v/>
      </c>
      <c r="Q796" s="151" t="str">
        <f>IFERROR(VLOOKUP(C796,Ativos!$A$1:$G2000,5,),)</f>
        <v/>
      </c>
    </row>
    <row r="797" ht="21.0" customHeight="1">
      <c r="A797" s="152"/>
      <c r="B797" s="160"/>
      <c r="C797" s="153"/>
      <c r="D797" s="169"/>
      <c r="E797" s="139"/>
      <c r="F797" s="141"/>
      <c r="G797" s="170" t="str">
        <f>IFERROR(__xludf.DUMMYFUNCTION("if($C797="""","""",iferror(if(row()&lt;&gt;2,INDEX(arrayformula(filter($H$2:$H796,$C$2:$C796&lt;&gt;"""",row($C$2:$C796)=max(if($C$2:$C796=C797,row($C$2:$C796),0)))) ,1),0),0))"),"")</f>
        <v/>
      </c>
      <c r="H797" s="170" t="str">
        <f t="shared" si="8"/>
        <v/>
      </c>
      <c r="I797" s="147" t="str">
        <f t="shared" si="1"/>
        <v/>
      </c>
      <c r="J797" s="147" t="str">
        <f t="shared" si="13"/>
        <v/>
      </c>
      <c r="K797" s="147" t="str">
        <f>IFERROR(__xludf.DUMMYFUNCTION("if(C797="""","""",iferror(if(row()&lt;&gt;2,INDEX(arrayformula(filter($L$2:$L796,$C$2:$C796&lt;&gt;"""",row($C$2:$C796)=max(if($C$2:$C796=C797,row($C$2:$C796),0)))) ,1),0),0))"),"")</f>
        <v/>
      </c>
      <c r="L797" s="147" t="str">
        <f t="shared" si="14"/>
        <v/>
      </c>
      <c r="M797" s="147" t="str">
        <f t="shared" si="15"/>
        <v/>
      </c>
      <c r="N797" s="147" t="str">
        <f t="shared" si="16"/>
        <v/>
      </c>
      <c r="O797" s="147" t="str">
        <f t="shared" si="6"/>
        <v/>
      </c>
      <c r="P797" s="150" t="str">
        <f t="shared" si="7"/>
        <v/>
      </c>
      <c r="Q797" s="151" t="str">
        <f>IFERROR(VLOOKUP(C797,Ativos!$A$1:$G2000,5,),)</f>
        <v/>
      </c>
    </row>
    <row r="798" ht="21.0" customHeight="1">
      <c r="A798" s="152"/>
      <c r="B798" s="160"/>
      <c r="C798" s="153"/>
      <c r="D798" s="169"/>
      <c r="E798" s="139"/>
      <c r="F798" s="141"/>
      <c r="G798" s="170" t="str">
        <f>IFERROR(__xludf.DUMMYFUNCTION("if($C798="""","""",iferror(if(row()&lt;&gt;2,INDEX(arrayformula(filter($H$2:$H797,$C$2:$C797&lt;&gt;"""",row($C$2:$C797)=max(if($C$2:$C797=C798,row($C$2:$C797),0)))) ,1),0),0))"),"")</f>
        <v/>
      </c>
      <c r="H798" s="170" t="str">
        <f t="shared" si="8"/>
        <v/>
      </c>
      <c r="I798" s="147" t="str">
        <f t="shared" si="1"/>
        <v/>
      </c>
      <c r="J798" s="147" t="str">
        <f t="shared" si="13"/>
        <v/>
      </c>
      <c r="K798" s="147" t="str">
        <f>IFERROR(__xludf.DUMMYFUNCTION("if(C798="""","""",iferror(if(row()&lt;&gt;2,INDEX(arrayformula(filter($L$2:$L797,$C$2:$C797&lt;&gt;"""",row($C$2:$C797)=max(if($C$2:$C797=C798,row($C$2:$C797),0)))) ,1),0),0))"),"")</f>
        <v/>
      </c>
      <c r="L798" s="147" t="str">
        <f t="shared" si="14"/>
        <v/>
      </c>
      <c r="M798" s="147" t="str">
        <f t="shared" si="15"/>
        <v/>
      </c>
      <c r="N798" s="147" t="str">
        <f t="shared" si="16"/>
        <v/>
      </c>
      <c r="O798" s="147" t="str">
        <f t="shared" si="6"/>
        <v/>
      </c>
      <c r="P798" s="150" t="str">
        <f t="shared" si="7"/>
        <v/>
      </c>
      <c r="Q798" s="151" t="str">
        <f>IFERROR(VLOOKUP(C798,Ativos!$A$1:$G2000,5,),)</f>
        <v/>
      </c>
    </row>
    <row r="799" ht="21.0" customHeight="1">
      <c r="A799" s="152"/>
      <c r="B799" s="160"/>
      <c r="C799" s="153"/>
      <c r="D799" s="169"/>
      <c r="E799" s="139"/>
      <c r="F799" s="141"/>
      <c r="G799" s="170" t="str">
        <f>IFERROR(__xludf.DUMMYFUNCTION("if($C799="""","""",iferror(if(row()&lt;&gt;2,INDEX(arrayformula(filter($H$2:$H798,$C$2:$C798&lt;&gt;"""",row($C$2:$C798)=max(if($C$2:$C798=C799,row($C$2:$C798),0)))) ,1),0),0))"),"")</f>
        <v/>
      </c>
      <c r="H799" s="170" t="str">
        <f t="shared" si="8"/>
        <v/>
      </c>
      <c r="I799" s="147" t="str">
        <f t="shared" si="1"/>
        <v/>
      </c>
      <c r="J799" s="147" t="str">
        <f t="shared" si="13"/>
        <v/>
      </c>
      <c r="K799" s="147" t="str">
        <f>IFERROR(__xludf.DUMMYFUNCTION("if(C799="""","""",iferror(if(row()&lt;&gt;2,INDEX(arrayformula(filter($L$2:$L798,$C$2:$C798&lt;&gt;"""",row($C$2:$C798)=max(if($C$2:$C798=C799,row($C$2:$C798),0)))) ,1),0),0))"),"")</f>
        <v/>
      </c>
      <c r="L799" s="147" t="str">
        <f t="shared" si="14"/>
        <v/>
      </c>
      <c r="M799" s="147" t="str">
        <f t="shared" si="15"/>
        <v/>
      </c>
      <c r="N799" s="147" t="str">
        <f t="shared" si="16"/>
        <v/>
      </c>
      <c r="O799" s="147" t="str">
        <f t="shared" si="6"/>
        <v/>
      </c>
      <c r="P799" s="150" t="str">
        <f t="shared" si="7"/>
        <v/>
      </c>
      <c r="Q799" s="151" t="str">
        <f>IFERROR(VLOOKUP(C799,Ativos!$A$1:$G2000,5,),)</f>
        <v/>
      </c>
    </row>
    <row r="800" ht="21.0" customHeight="1">
      <c r="A800" s="152"/>
      <c r="B800" s="160"/>
      <c r="C800" s="153"/>
      <c r="D800" s="169"/>
      <c r="E800" s="139"/>
      <c r="F800" s="141"/>
      <c r="G800" s="170" t="str">
        <f>IFERROR(__xludf.DUMMYFUNCTION("if($C800="""","""",iferror(if(row()&lt;&gt;2,INDEX(arrayformula(filter($H$2:$H799,$C$2:$C799&lt;&gt;"""",row($C$2:$C799)=max(if($C$2:$C799=C800,row($C$2:$C799),0)))) ,1),0),0))"),"")</f>
        <v/>
      </c>
      <c r="H800" s="170" t="str">
        <f t="shared" si="8"/>
        <v/>
      </c>
      <c r="I800" s="147" t="str">
        <f t="shared" si="1"/>
        <v/>
      </c>
      <c r="J800" s="147" t="str">
        <f t="shared" si="13"/>
        <v/>
      </c>
      <c r="K800" s="147" t="str">
        <f>IFERROR(__xludf.DUMMYFUNCTION("if(C800="""","""",iferror(if(row()&lt;&gt;2,INDEX(arrayformula(filter($L$2:$L799,$C$2:$C799&lt;&gt;"""",row($C$2:$C799)=max(if($C$2:$C799=C800,row($C$2:$C799),0)))) ,1),0),0))"),"")</f>
        <v/>
      </c>
      <c r="L800" s="147" t="str">
        <f t="shared" si="14"/>
        <v/>
      </c>
      <c r="M800" s="147" t="str">
        <f t="shared" si="15"/>
        <v/>
      </c>
      <c r="N800" s="147" t="str">
        <f t="shared" si="16"/>
        <v/>
      </c>
      <c r="O800" s="147" t="str">
        <f t="shared" si="6"/>
        <v/>
      </c>
      <c r="P800" s="150" t="str">
        <f t="shared" si="7"/>
        <v/>
      </c>
      <c r="Q800" s="151" t="str">
        <f>IFERROR(VLOOKUP(C800,Ativos!$A$1:$G2000,5,),)</f>
        <v/>
      </c>
    </row>
    <row r="801" ht="21.0" customHeight="1">
      <c r="A801" s="152"/>
      <c r="B801" s="160"/>
      <c r="C801" s="153"/>
      <c r="D801" s="169"/>
      <c r="E801" s="139"/>
      <c r="F801" s="141"/>
      <c r="G801" s="170" t="str">
        <f>IFERROR(__xludf.DUMMYFUNCTION("if($C801="""","""",iferror(if(row()&lt;&gt;2,INDEX(arrayformula(filter($H$2:$H800,$C$2:$C800&lt;&gt;"""",row($C$2:$C800)=max(if($C$2:$C800=C801,row($C$2:$C800),0)))) ,1),0),0))"),"")</f>
        <v/>
      </c>
      <c r="H801" s="170" t="str">
        <f t="shared" si="8"/>
        <v/>
      </c>
      <c r="I801" s="147" t="str">
        <f t="shared" si="1"/>
        <v/>
      </c>
      <c r="J801" s="147" t="str">
        <f t="shared" si="13"/>
        <v/>
      </c>
      <c r="K801" s="147" t="str">
        <f>IFERROR(__xludf.DUMMYFUNCTION("if(C801="""","""",iferror(if(row()&lt;&gt;2,INDEX(arrayformula(filter($L$2:$L800,$C$2:$C800&lt;&gt;"""",row($C$2:$C800)=max(if($C$2:$C800=C801,row($C$2:$C800),0)))) ,1),0),0))"),"")</f>
        <v/>
      </c>
      <c r="L801" s="147" t="str">
        <f t="shared" si="14"/>
        <v/>
      </c>
      <c r="M801" s="147" t="str">
        <f t="shared" si="15"/>
        <v/>
      </c>
      <c r="N801" s="147" t="str">
        <f t="shared" si="16"/>
        <v/>
      </c>
      <c r="O801" s="147" t="str">
        <f t="shared" si="6"/>
        <v/>
      </c>
      <c r="P801" s="150" t="str">
        <f t="shared" si="7"/>
        <v/>
      </c>
      <c r="Q801" s="151" t="str">
        <f>IFERROR(VLOOKUP(C801,Ativos!$A$1:$G2000,5,),)</f>
        <v/>
      </c>
    </row>
    <row r="802" ht="21.0" customHeight="1">
      <c r="A802" s="152"/>
      <c r="B802" s="160"/>
      <c r="C802" s="153"/>
      <c r="D802" s="169"/>
      <c r="E802" s="139"/>
      <c r="F802" s="141"/>
      <c r="G802" s="170" t="str">
        <f>IFERROR(__xludf.DUMMYFUNCTION("if($C802="""","""",iferror(if(row()&lt;&gt;2,INDEX(arrayformula(filter($H$2:$H801,$C$2:$C801&lt;&gt;"""",row($C$2:$C801)=max(if($C$2:$C801=C802,row($C$2:$C801),0)))) ,1),0),0))"),"")</f>
        <v/>
      </c>
      <c r="H802" s="170" t="str">
        <f t="shared" si="8"/>
        <v/>
      </c>
      <c r="I802" s="147" t="str">
        <f t="shared" si="1"/>
        <v/>
      </c>
      <c r="J802" s="147" t="str">
        <f t="shared" si="13"/>
        <v/>
      </c>
      <c r="K802" s="147" t="str">
        <f>IFERROR(__xludf.DUMMYFUNCTION("if(C802="""","""",iferror(if(row()&lt;&gt;2,INDEX(arrayformula(filter($L$2:$L801,$C$2:$C801&lt;&gt;"""",row($C$2:$C801)=max(if($C$2:$C801=C802,row($C$2:$C801),0)))) ,1),0),0))"),"")</f>
        <v/>
      </c>
      <c r="L802" s="147" t="str">
        <f t="shared" si="14"/>
        <v/>
      </c>
      <c r="M802" s="147" t="str">
        <f t="shared" si="15"/>
        <v/>
      </c>
      <c r="N802" s="147" t="str">
        <f t="shared" si="16"/>
        <v/>
      </c>
      <c r="O802" s="147" t="str">
        <f t="shared" si="6"/>
        <v/>
      </c>
      <c r="P802" s="150" t="str">
        <f t="shared" si="7"/>
        <v/>
      </c>
      <c r="Q802" s="151" t="str">
        <f>IFERROR(VLOOKUP(C802,Ativos!$A$1:$G2000,5,),)</f>
        <v/>
      </c>
    </row>
    <row r="803" ht="21.0" customHeight="1">
      <c r="A803" s="152"/>
      <c r="B803" s="160"/>
      <c r="C803" s="153"/>
      <c r="D803" s="169"/>
      <c r="E803" s="139"/>
      <c r="F803" s="141"/>
      <c r="G803" s="170" t="str">
        <f>IFERROR(__xludf.DUMMYFUNCTION("if($C803="""","""",iferror(if(row()&lt;&gt;2,INDEX(arrayformula(filter($H$2:$H802,$C$2:$C802&lt;&gt;"""",row($C$2:$C802)=max(if($C$2:$C802=C803,row($C$2:$C802),0)))) ,1),0),0))"),"")</f>
        <v/>
      </c>
      <c r="H803" s="170" t="str">
        <f t="shared" si="8"/>
        <v/>
      </c>
      <c r="I803" s="147" t="str">
        <f t="shared" si="1"/>
        <v/>
      </c>
      <c r="J803" s="147" t="str">
        <f t="shared" si="13"/>
        <v/>
      </c>
      <c r="K803" s="147" t="str">
        <f>IFERROR(__xludf.DUMMYFUNCTION("if(C803="""","""",iferror(if(row()&lt;&gt;2,INDEX(arrayformula(filter($L$2:$L802,$C$2:$C802&lt;&gt;"""",row($C$2:$C802)=max(if($C$2:$C802=C803,row($C$2:$C802),0)))) ,1),0),0))"),"")</f>
        <v/>
      </c>
      <c r="L803" s="147" t="str">
        <f t="shared" si="14"/>
        <v/>
      </c>
      <c r="M803" s="147" t="str">
        <f t="shared" si="15"/>
        <v/>
      </c>
      <c r="N803" s="147" t="str">
        <f t="shared" si="16"/>
        <v/>
      </c>
      <c r="O803" s="147" t="str">
        <f t="shared" si="6"/>
        <v/>
      </c>
      <c r="P803" s="150" t="str">
        <f t="shared" si="7"/>
        <v/>
      </c>
      <c r="Q803" s="151" t="str">
        <f>IFERROR(VLOOKUP(C803,Ativos!$A$1:$G2000,5,),)</f>
        <v/>
      </c>
    </row>
    <row r="804" ht="21.0" customHeight="1">
      <c r="A804" s="152"/>
      <c r="B804" s="160"/>
      <c r="C804" s="153"/>
      <c r="D804" s="169"/>
      <c r="E804" s="139"/>
      <c r="F804" s="141"/>
      <c r="G804" s="170" t="str">
        <f>IFERROR(__xludf.DUMMYFUNCTION("if($C804="""","""",iferror(if(row()&lt;&gt;2,INDEX(arrayformula(filter($H$2:$H803,$C$2:$C803&lt;&gt;"""",row($C$2:$C803)=max(if($C$2:$C803=C804,row($C$2:$C803),0)))) ,1),0),0))"),"")</f>
        <v/>
      </c>
      <c r="H804" s="170" t="str">
        <f t="shared" si="8"/>
        <v/>
      </c>
      <c r="I804" s="147" t="str">
        <f t="shared" si="1"/>
        <v/>
      </c>
      <c r="J804" s="147" t="str">
        <f t="shared" si="13"/>
        <v/>
      </c>
      <c r="K804" s="147" t="str">
        <f>IFERROR(__xludf.DUMMYFUNCTION("if(C804="""","""",iferror(if(row()&lt;&gt;2,INDEX(arrayformula(filter($L$2:$L803,$C$2:$C803&lt;&gt;"""",row($C$2:$C803)=max(if($C$2:$C803=C804,row($C$2:$C803),0)))) ,1),0),0))"),"")</f>
        <v/>
      </c>
      <c r="L804" s="147" t="str">
        <f t="shared" si="14"/>
        <v/>
      </c>
      <c r="M804" s="147" t="str">
        <f t="shared" si="15"/>
        <v/>
      </c>
      <c r="N804" s="147" t="str">
        <f t="shared" si="16"/>
        <v/>
      </c>
      <c r="O804" s="147" t="str">
        <f t="shared" si="6"/>
        <v/>
      </c>
      <c r="P804" s="150" t="str">
        <f t="shared" si="7"/>
        <v/>
      </c>
      <c r="Q804" s="151" t="str">
        <f>IFERROR(VLOOKUP(C804,Ativos!$A$1:$G2000,5,),)</f>
        <v/>
      </c>
    </row>
    <row r="805" ht="21.0" customHeight="1">
      <c r="A805" s="152"/>
      <c r="B805" s="160"/>
      <c r="C805" s="153"/>
      <c r="D805" s="169"/>
      <c r="E805" s="139"/>
      <c r="F805" s="141"/>
      <c r="G805" s="170" t="str">
        <f>IFERROR(__xludf.DUMMYFUNCTION("if($C805="""","""",iferror(if(row()&lt;&gt;2,INDEX(arrayformula(filter($H$2:$H804,$C$2:$C804&lt;&gt;"""",row($C$2:$C804)=max(if($C$2:$C804=C805,row($C$2:$C804),0)))) ,1),0),0))"),"")</f>
        <v/>
      </c>
      <c r="H805" s="170" t="str">
        <f t="shared" si="8"/>
        <v/>
      </c>
      <c r="I805" s="147" t="str">
        <f t="shared" si="1"/>
        <v/>
      </c>
      <c r="J805" s="147" t="str">
        <f t="shared" si="13"/>
        <v/>
      </c>
      <c r="K805" s="147" t="str">
        <f>IFERROR(__xludf.DUMMYFUNCTION("if(C805="""","""",iferror(if(row()&lt;&gt;2,INDEX(arrayformula(filter($L$2:$L804,$C$2:$C804&lt;&gt;"""",row($C$2:$C804)=max(if($C$2:$C804=C805,row($C$2:$C804),0)))) ,1),0),0))"),"")</f>
        <v/>
      </c>
      <c r="L805" s="147" t="str">
        <f t="shared" si="14"/>
        <v/>
      </c>
      <c r="M805" s="147" t="str">
        <f t="shared" si="15"/>
        <v/>
      </c>
      <c r="N805" s="147" t="str">
        <f t="shared" si="16"/>
        <v/>
      </c>
      <c r="O805" s="147" t="str">
        <f t="shared" si="6"/>
        <v/>
      </c>
      <c r="P805" s="150" t="str">
        <f t="shared" si="7"/>
        <v/>
      </c>
      <c r="Q805" s="151" t="str">
        <f>IFERROR(VLOOKUP(C805,Ativos!$A$1:$G2000,5,),)</f>
        <v/>
      </c>
    </row>
    <row r="806" ht="21.0" customHeight="1">
      <c r="A806" s="152"/>
      <c r="B806" s="160"/>
      <c r="C806" s="153"/>
      <c r="D806" s="169"/>
      <c r="E806" s="139"/>
      <c r="F806" s="141"/>
      <c r="G806" s="170" t="str">
        <f>IFERROR(__xludf.DUMMYFUNCTION("if($C806="""","""",iferror(if(row()&lt;&gt;2,INDEX(arrayformula(filter($H$2:$H805,$C$2:$C805&lt;&gt;"""",row($C$2:$C805)=max(if($C$2:$C805=C806,row($C$2:$C805),0)))) ,1),0),0))"),"")</f>
        <v/>
      </c>
      <c r="H806" s="170" t="str">
        <f t="shared" si="8"/>
        <v/>
      </c>
      <c r="I806" s="147" t="str">
        <f t="shared" si="1"/>
        <v/>
      </c>
      <c r="J806" s="147" t="str">
        <f t="shared" si="13"/>
        <v/>
      </c>
      <c r="K806" s="147" t="str">
        <f>IFERROR(__xludf.DUMMYFUNCTION("if(C806="""","""",iferror(if(row()&lt;&gt;2,INDEX(arrayformula(filter($L$2:$L805,$C$2:$C805&lt;&gt;"""",row($C$2:$C805)=max(if($C$2:$C805=C806,row($C$2:$C805),0)))) ,1),0),0))"),"")</f>
        <v/>
      </c>
      <c r="L806" s="147" t="str">
        <f t="shared" si="14"/>
        <v/>
      </c>
      <c r="M806" s="147" t="str">
        <f t="shared" si="15"/>
        <v/>
      </c>
      <c r="N806" s="147" t="str">
        <f t="shared" si="16"/>
        <v/>
      </c>
      <c r="O806" s="147" t="str">
        <f t="shared" si="6"/>
        <v/>
      </c>
      <c r="P806" s="150" t="str">
        <f t="shared" si="7"/>
        <v/>
      </c>
      <c r="Q806" s="151" t="str">
        <f>IFERROR(VLOOKUP(C806,Ativos!$A$1:$G2000,5,),)</f>
        <v/>
      </c>
    </row>
    <row r="807" ht="21.0" customHeight="1">
      <c r="A807" s="152"/>
      <c r="B807" s="160"/>
      <c r="C807" s="153"/>
      <c r="D807" s="169"/>
      <c r="E807" s="139"/>
      <c r="F807" s="141"/>
      <c r="G807" s="170" t="str">
        <f>IFERROR(__xludf.DUMMYFUNCTION("if($C807="""","""",iferror(if(row()&lt;&gt;2,INDEX(arrayformula(filter($H$2:$H806,$C$2:$C806&lt;&gt;"""",row($C$2:$C806)=max(if($C$2:$C806=C807,row($C$2:$C806),0)))) ,1),0),0))"),"")</f>
        <v/>
      </c>
      <c r="H807" s="170" t="str">
        <f t="shared" si="8"/>
        <v/>
      </c>
      <c r="I807" s="147" t="str">
        <f t="shared" si="1"/>
        <v/>
      </c>
      <c r="J807" s="147" t="str">
        <f t="shared" si="13"/>
        <v/>
      </c>
      <c r="K807" s="147" t="str">
        <f>IFERROR(__xludf.DUMMYFUNCTION("if(C807="""","""",iferror(if(row()&lt;&gt;2,INDEX(arrayformula(filter($L$2:$L806,$C$2:$C806&lt;&gt;"""",row($C$2:$C806)=max(if($C$2:$C806=C807,row($C$2:$C806),0)))) ,1),0),0))"),"")</f>
        <v/>
      </c>
      <c r="L807" s="147" t="str">
        <f t="shared" si="14"/>
        <v/>
      </c>
      <c r="M807" s="147" t="str">
        <f t="shared" si="15"/>
        <v/>
      </c>
      <c r="N807" s="147" t="str">
        <f t="shared" si="16"/>
        <v/>
      </c>
      <c r="O807" s="147" t="str">
        <f t="shared" si="6"/>
        <v/>
      </c>
      <c r="P807" s="150" t="str">
        <f t="shared" si="7"/>
        <v/>
      </c>
      <c r="Q807" s="151" t="str">
        <f>IFERROR(VLOOKUP(C807,Ativos!$A$1:$G2000,5,),)</f>
        <v/>
      </c>
    </row>
    <row r="808" ht="21.0" customHeight="1">
      <c r="A808" s="152"/>
      <c r="B808" s="160"/>
      <c r="C808" s="153"/>
      <c r="D808" s="169"/>
      <c r="E808" s="139"/>
      <c r="F808" s="141"/>
      <c r="G808" s="170" t="str">
        <f>IFERROR(__xludf.DUMMYFUNCTION("if($C808="""","""",iferror(if(row()&lt;&gt;2,INDEX(arrayformula(filter($H$2:$H807,$C$2:$C807&lt;&gt;"""",row($C$2:$C807)=max(if($C$2:$C807=C808,row($C$2:$C807),0)))) ,1),0),0))"),"")</f>
        <v/>
      </c>
      <c r="H808" s="170" t="str">
        <f t="shared" si="8"/>
        <v/>
      </c>
      <c r="I808" s="147" t="str">
        <f t="shared" si="1"/>
        <v/>
      </c>
      <c r="J808" s="147" t="str">
        <f t="shared" si="13"/>
        <v/>
      </c>
      <c r="K808" s="147" t="str">
        <f>IFERROR(__xludf.DUMMYFUNCTION("if(C808="""","""",iferror(if(row()&lt;&gt;2,INDEX(arrayformula(filter($L$2:$L807,$C$2:$C807&lt;&gt;"""",row($C$2:$C807)=max(if($C$2:$C807=C808,row($C$2:$C807),0)))) ,1),0),0))"),"")</f>
        <v/>
      </c>
      <c r="L808" s="147" t="str">
        <f t="shared" si="14"/>
        <v/>
      </c>
      <c r="M808" s="147" t="str">
        <f t="shared" si="15"/>
        <v/>
      </c>
      <c r="N808" s="147" t="str">
        <f t="shared" si="16"/>
        <v/>
      </c>
      <c r="O808" s="147" t="str">
        <f t="shared" si="6"/>
        <v/>
      </c>
      <c r="P808" s="150" t="str">
        <f t="shared" si="7"/>
        <v/>
      </c>
      <c r="Q808" s="151" t="str">
        <f>IFERROR(VLOOKUP(C808,Ativos!$A$1:$G2000,5,),)</f>
        <v/>
      </c>
    </row>
    <row r="809" ht="21.0" customHeight="1">
      <c r="A809" s="152"/>
      <c r="B809" s="160"/>
      <c r="C809" s="153"/>
      <c r="D809" s="169"/>
      <c r="E809" s="139"/>
      <c r="F809" s="141"/>
      <c r="G809" s="170" t="str">
        <f>IFERROR(__xludf.DUMMYFUNCTION("if($C809="""","""",iferror(if(row()&lt;&gt;2,INDEX(arrayformula(filter($H$2:$H808,$C$2:$C808&lt;&gt;"""",row($C$2:$C808)=max(if($C$2:$C808=C809,row($C$2:$C808),0)))) ,1),0),0))"),"")</f>
        <v/>
      </c>
      <c r="H809" s="170" t="str">
        <f t="shared" si="8"/>
        <v/>
      </c>
      <c r="I809" s="147" t="str">
        <f t="shared" si="1"/>
        <v/>
      </c>
      <c r="J809" s="147" t="str">
        <f t="shared" si="13"/>
        <v/>
      </c>
      <c r="K809" s="147" t="str">
        <f>IFERROR(__xludf.DUMMYFUNCTION("if(C809="""","""",iferror(if(row()&lt;&gt;2,INDEX(arrayformula(filter($L$2:$L808,$C$2:$C808&lt;&gt;"""",row($C$2:$C808)=max(if($C$2:$C808=C809,row($C$2:$C808),0)))) ,1),0),0))"),"")</f>
        <v/>
      </c>
      <c r="L809" s="147" t="str">
        <f t="shared" si="14"/>
        <v/>
      </c>
      <c r="M809" s="147" t="str">
        <f t="shared" si="15"/>
        <v/>
      </c>
      <c r="N809" s="147" t="str">
        <f t="shared" si="16"/>
        <v/>
      </c>
      <c r="O809" s="147" t="str">
        <f t="shared" si="6"/>
        <v/>
      </c>
      <c r="P809" s="150" t="str">
        <f t="shared" si="7"/>
        <v/>
      </c>
      <c r="Q809" s="151" t="str">
        <f>IFERROR(VLOOKUP(C809,Ativos!$A$1:$G2000,5,),)</f>
        <v/>
      </c>
    </row>
    <row r="810" ht="21.0" customHeight="1">
      <c r="A810" s="152"/>
      <c r="B810" s="160"/>
      <c r="C810" s="153"/>
      <c r="D810" s="169"/>
      <c r="E810" s="139"/>
      <c r="F810" s="141"/>
      <c r="G810" s="170" t="str">
        <f>IFERROR(__xludf.DUMMYFUNCTION("if($C810="""","""",iferror(if(row()&lt;&gt;2,INDEX(arrayformula(filter($H$2:$H809,$C$2:$C809&lt;&gt;"""",row($C$2:$C809)=max(if($C$2:$C809=C810,row($C$2:$C809),0)))) ,1),0),0))"),"")</f>
        <v/>
      </c>
      <c r="H810" s="170" t="str">
        <f t="shared" si="8"/>
        <v/>
      </c>
      <c r="I810" s="147" t="str">
        <f t="shared" si="1"/>
        <v/>
      </c>
      <c r="J810" s="147" t="str">
        <f t="shared" si="13"/>
        <v/>
      </c>
      <c r="K810" s="147" t="str">
        <f>IFERROR(__xludf.DUMMYFUNCTION("if(C810="""","""",iferror(if(row()&lt;&gt;2,INDEX(arrayformula(filter($L$2:$L809,$C$2:$C809&lt;&gt;"""",row($C$2:$C809)=max(if($C$2:$C809=C810,row($C$2:$C809),0)))) ,1),0),0))"),"")</f>
        <v/>
      </c>
      <c r="L810" s="147" t="str">
        <f t="shared" si="14"/>
        <v/>
      </c>
      <c r="M810" s="147" t="str">
        <f t="shared" si="15"/>
        <v/>
      </c>
      <c r="N810" s="147" t="str">
        <f t="shared" si="16"/>
        <v/>
      </c>
      <c r="O810" s="147" t="str">
        <f t="shared" si="6"/>
        <v/>
      </c>
      <c r="P810" s="150" t="str">
        <f t="shared" si="7"/>
        <v/>
      </c>
      <c r="Q810" s="151" t="str">
        <f>IFERROR(VLOOKUP(C810,Ativos!$A$1:$G2000,5,),)</f>
        <v/>
      </c>
    </row>
    <row r="811" ht="21.0" customHeight="1">
      <c r="A811" s="152"/>
      <c r="B811" s="160"/>
      <c r="C811" s="153"/>
      <c r="D811" s="169"/>
      <c r="E811" s="139"/>
      <c r="F811" s="141"/>
      <c r="G811" s="170" t="str">
        <f>IFERROR(__xludf.DUMMYFUNCTION("if($C811="""","""",iferror(if(row()&lt;&gt;2,INDEX(arrayformula(filter($H$2:$H810,$C$2:$C810&lt;&gt;"""",row($C$2:$C810)=max(if($C$2:$C810=C811,row($C$2:$C810),0)))) ,1),0),0))"),"")</f>
        <v/>
      </c>
      <c r="H811" s="170" t="str">
        <f t="shared" si="8"/>
        <v/>
      </c>
      <c r="I811" s="147" t="str">
        <f t="shared" si="1"/>
        <v/>
      </c>
      <c r="J811" s="147" t="str">
        <f t="shared" si="13"/>
        <v/>
      </c>
      <c r="K811" s="147" t="str">
        <f>IFERROR(__xludf.DUMMYFUNCTION("if(C811="""","""",iferror(if(row()&lt;&gt;2,INDEX(arrayformula(filter($L$2:$L810,$C$2:$C810&lt;&gt;"""",row($C$2:$C810)=max(if($C$2:$C810=C811,row($C$2:$C810),0)))) ,1),0),0))"),"")</f>
        <v/>
      </c>
      <c r="L811" s="147" t="str">
        <f t="shared" si="14"/>
        <v/>
      </c>
      <c r="M811" s="147" t="str">
        <f t="shared" si="15"/>
        <v/>
      </c>
      <c r="N811" s="147" t="str">
        <f t="shared" si="16"/>
        <v/>
      </c>
      <c r="O811" s="147" t="str">
        <f t="shared" si="6"/>
        <v/>
      </c>
      <c r="P811" s="150" t="str">
        <f t="shared" si="7"/>
        <v/>
      </c>
      <c r="Q811" s="151" t="str">
        <f>IFERROR(VLOOKUP(C811,Ativos!$A$1:$G2000,5,),)</f>
        <v/>
      </c>
    </row>
    <row r="812" ht="21.0" customHeight="1">
      <c r="A812" s="152"/>
      <c r="B812" s="160"/>
      <c r="C812" s="153"/>
      <c r="D812" s="169"/>
      <c r="E812" s="139"/>
      <c r="F812" s="141"/>
      <c r="G812" s="170" t="str">
        <f>IFERROR(__xludf.DUMMYFUNCTION("if($C812="""","""",iferror(if(row()&lt;&gt;2,INDEX(arrayformula(filter($H$2:$H811,$C$2:$C811&lt;&gt;"""",row($C$2:$C811)=max(if($C$2:$C811=C812,row($C$2:$C811),0)))) ,1),0),0))"),"")</f>
        <v/>
      </c>
      <c r="H812" s="170" t="str">
        <f t="shared" si="8"/>
        <v/>
      </c>
      <c r="I812" s="147" t="str">
        <f t="shared" si="1"/>
        <v/>
      </c>
      <c r="J812" s="147" t="str">
        <f t="shared" si="13"/>
        <v/>
      </c>
      <c r="K812" s="147" t="str">
        <f>IFERROR(__xludf.DUMMYFUNCTION("if(C812="""","""",iferror(if(row()&lt;&gt;2,INDEX(arrayformula(filter($L$2:$L811,$C$2:$C811&lt;&gt;"""",row($C$2:$C811)=max(if($C$2:$C811=C812,row($C$2:$C811),0)))) ,1),0),0))"),"")</f>
        <v/>
      </c>
      <c r="L812" s="147" t="str">
        <f t="shared" si="14"/>
        <v/>
      </c>
      <c r="M812" s="147" t="str">
        <f t="shared" si="15"/>
        <v/>
      </c>
      <c r="N812" s="147" t="str">
        <f t="shared" si="16"/>
        <v/>
      </c>
      <c r="O812" s="147" t="str">
        <f t="shared" si="6"/>
        <v/>
      </c>
      <c r="P812" s="150" t="str">
        <f t="shared" si="7"/>
        <v/>
      </c>
      <c r="Q812" s="151" t="str">
        <f>IFERROR(VLOOKUP(C812,Ativos!$A$1:$G2000,5,),)</f>
        <v/>
      </c>
    </row>
    <row r="813" ht="21.0" customHeight="1">
      <c r="A813" s="152"/>
      <c r="B813" s="160"/>
      <c r="C813" s="153"/>
      <c r="D813" s="169"/>
      <c r="E813" s="139"/>
      <c r="F813" s="141"/>
      <c r="G813" s="170" t="str">
        <f>IFERROR(__xludf.DUMMYFUNCTION("if($C813="""","""",iferror(if(row()&lt;&gt;2,INDEX(arrayformula(filter($H$2:$H812,$C$2:$C812&lt;&gt;"""",row($C$2:$C812)=max(if($C$2:$C812=C813,row($C$2:$C812),0)))) ,1),0),0))"),"")</f>
        <v/>
      </c>
      <c r="H813" s="170" t="str">
        <f t="shared" si="8"/>
        <v/>
      </c>
      <c r="I813" s="147" t="str">
        <f t="shared" si="1"/>
        <v/>
      </c>
      <c r="J813" s="147" t="str">
        <f t="shared" si="13"/>
        <v/>
      </c>
      <c r="K813" s="147" t="str">
        <f>IFERROR(__xludf.DUMMYFUNCTION("if(C813="""","""",iferror(if(row()&lt;&gt;2,INDEX(arrayformula(filter($L$2:$L812,$C$2:$C812&lt;&gt;"""",row($C$2:$C812)=max(if($C$2:$C812=C813,row($C$2:$C812),0)))) ,1),0),0))"),"")</f>
        <v/>
      </c>
      <c r="L813" s="147" t="str">
        <f t="shared" si="14"/>
        <v/>
      </c>
      <c r="M813" s="147" t="str">
        <f t="shared" si="15"/>
        <v/>
      </c>
      <c r="N813" s="147" t="str">
        <f t="shared" si="16"/>
        <v/>
      </c>
      <c r="O813" s="147" t="str">
        <f t="shared" si="6"/>
        <v/>
      </c>
      <c r="P813" s="150" t="str">
        <f t="shared" si="7"/>
        <v/>
      </c>
      <c r="Q813" s="151" t="str">
        <f>IFERROR(VLOOKUP(C813,Ativos!$A$1:$G2000,5,),)</f>
        <v/>
      </c>
    </row>
    <row r="814" ht="21.0" customHeight="1">
      <c r="A814" s="152"/>
      <c r="B814" s="160"/>
      <c r="C814" s="153"/>
      <c r="D814" s="169"/>
      <c r="E814" s="139"/>
      <c r="F814" s="141"/>
      <c r="G814" s="170" t="str">
        <f>IFERROR(__xludf.DUMMYFUNCTION("if($C814="""","""",iferror(if(row()&lt;&gt;2,INDEX(arrayformula(filter($H$2:$H813,$C$2:$C813&lt;&gt;"""",row($C$2:$C813)=max(if($C$2:$C813=C814,row($C$2:$C813),0)))) ,1),0),0))"),"")</f>
        <v/>
      </c>
      <c r="H814" s="170" t="str">
        <f t="shared" si="8"/>
        <v/>
      </c>
      <c r="I814" s="147" t="str">
        <f t="shared" si="1"/>
        <v/>
      </c>
      <c r="J814" s="147" t="str">
        <f t="shared" si="13"/>
        <v/>
      </c>
      <c r="K814" s="147" t="str">
        <f>IFERROR(__xludf.DUMMYFUNCTION("if(C814="""","""",iferror(if(row()&lt;&gt;2,INDEX(arrayformula(filter($L$2:$L813,$C$2:$C813&lt;&gt;"""",row($C$2:$C813)=max(if($C$2:$C813=C814,row($C$2:$C813),0)))) ,1),0),0))"),"")</f>
        <v/>
      </c>
      <c r="L814" s="147" t="str">
        <f t="shared" si="14"/>
        <v/>
      </c>
      <c r="M814" s="147" t="str">
        <f t="shared" si="15"/>
        <v/>
      </c>
      <c r="N814" s="147" t="str">
        <f t="shared" si="16"/>
        <v/>
      </c>
      <c r="O814" s="147" t="str">
        <f t="shared" si="6"/>
        <v/>
      </c>
      <c r="P814" s="150" t="str">
        <f t="shared" si="7"/>
        <v/>
      </c>
      <c r="Q814" s="151" t="str">
        <f>IFERROR(VLOOKUP(C814,Ativos!$A$1:$G2000,5,),)</f>
        <v/>
      </c>
    </row>
    <row r="815" ht="21.0" customHeight="1">
      <c r="A815" s="152"/>
      <c r="B815" s="160"/>
      <c r="C815" s="153"/>
      <c r="D815" s="169"/>
      <c r="E815" s="139"/>
      <c r="F815" s="141"/>
      <c r="G815" s="170" t="str">
        <f>IFERROR(__xludf.DUMMYFUNCTION("if($C815="""","""",iferror(if(row()&lt;&gt;2,INDEX(arrayformula(filter($H$2:$H814,$C$2:$C814&lt;&gt;"""",row($C$2:$C814)=max(if($C$2:$C814=C815,row($C$2:$C814),0)))) ,1),0),0))"),"")</f>
        <v/>
      </c>
      <c r="H815" s="170" t="str">
        <f t="shared" si="8"/>
        <v/>
      </c>
      <c r="I815" s="147" t="str">
        <f t="shared" si="1"/>
        <v/>
      </c>
      <c r="J815" s="147" t="str">
        <f t="shared" si="13"/>
        <v/>
      </c>
      <c r="K815" s="147" t="str">
        <f>IFERROR(__xludf.DUMMYFUNCTION("if(C815="""","""",iferror(if(row()&lt;&gt;2,INDEX(arrayformula(filter($L$2:$L814,$C$2:$C814&lt;&gt;"""",row($C$2:$C814)=max(if($C$2:$C814=C815,row($C$2:$C814),0)))) ,1),0),0))"),"")</f>
        <v/>
      </c>
      <c r="L815" s="147" t="str">
        <f t="shared" si="14"/>
        <v/>
      </c>
      <c r="M815" s="147" t="str">
        <f t="shared" si="15"/>
        <v/>
      </c>
      <c r="N815" s="147" t="str">
        <f t="shared" si="16"/>
        <v/>
      </c>
      <c r="O815" s="147" t="str">
        <f t="shared" si="6"/>
        <v/>
      </c>
      <c r="P815" s="150" t="str">
        <f t="shared" si="7"/>
        <v/>
      </c>
      <c r="Q815" s="151" t="str">
        <f>IFERROR(VLOOKUP(C815,Ativos!$A$1:$G2000,5,),)</f>
        <v/>
      </c>
    </row>
    <row r="816" ht="21.0" customHeight="1">
      <c r="A816" s="152"/>
      <c r="B816" s="160"/>
      <c r="C816" s="153"/>
      <c r="D816" s="169"/>
      <c r="E816" s="139"/>
      <c r="F816" s="141"/>
      <c r="G816" s="170" t="str">
        <f>IFERROR(__xludf.DUMMYFUNCTION("if($C816="""","""",iferror(if(row()&lt;&gt;2,INDEX(arrayformula(filter($H$2:$H815,$C$2:$C815&lt;&gt;"""",row($C$2:$C815)=max(if($C$2:$C815=C816,row($C$2:$C815),0)))) ,1),0),0))"),"")</f>
        <v/>
      </c>
      <c r="H816" s="170" t="str">
        <f t="shared" si="8"/>
        <v/>
      </c>
      <c r="I816" s="147" t="str">
        <f t="shared" si="1"/>
        <v/>
      </c>
      <c r="J816" s="147" t="str">
        <f t="shared" si="13"/>
        <v/>
      </c>
      <c r="K816" s="147" t="str">
        <f>IFERROR(__xludf.DUMMYFUNCTION("if(C816="""","""",iferror(if(row()&lt;&gt;2,INDEX(arrayformula(filter($L$2:$L815,$C$2:$C815&lt;&gt;"""",row($C$2:$C815)=max(if($C$2:$C815=C816,row($C$2:$C815),0)))) ,1),0),0))"),"")</f>
        <v/>
      </c>
      <c r="L816" s="147" t="str">
        <f t="shared" si="14"/>
        <v/>
      </c>
      <c r="M816" s="147" t="str">
        <f t="shared" si="15"/>
        <v/>
      </c>
      <c r="N816" s="147" t="str">
        <f t="shared" si="16"/>
        <v/>
      </c>
      <c r="O816" s="147" t="str">
        <f t="shared" si="6"/>
        <v/>
      </c>
      <c r="P816" s="150" t="str">
        <f t="shared" si="7"/>
        <v/>
      </c>
      <c r="Q816" s="151" t="str">
        <f>IFERROR(VLOOKUP(C816,Ativos!$A$1:$G2000,5,),)</f>
        <v/>
      </c>
    </row>
    <row r="817" ht="21.0" customHeight="1">
      <c r="A817" s="152"/>
      <c r="B817" s="160"/>
      <c r="C817" s="153"/>
      <c r="D817" s="169"/>
      <c r="E817" s="139"/>
      <c r="F817" s="141"/>
      <c r="G817" s="170" t="str">
        <f>IFERROR(__xludf.DUMMYFUNCTION("if($C817="""","""",iferror(if(row()&lt;&gt;2,INDEX(arrayformula(filter($H$2:$H816,$C$2:$C816&lt;&gt;"""",row($C$2:$C816)=max(if($C$2:$C816=C817,row($C$2:$C816),0)))) ,1),0),0))"),"")</f>
        <v/>
      </c>
      <c r="H817" s="170" t="str">
        <f t="shared" si="8"/>
        <v/>
      </c>
      <c r="I817" s="147" t="str">
        <f t="shared" si="1"/>
        <v/>
      </c>
      <c r="J817" s="147" t="str">
        <f t="shared" si="13"/>
        <v/>
      </c>
      <c r="K817" s="147" t="str">
        <f>IFERROR(__xludf.DUMMYFUNCTION("if(C817="""","""",iferror(if(row()&lt;&gt;2,INDEX(arrayformula(filter($L$2:$L816,$C$2:$C816&lt;&gt;"""",row($C$2:$C816)=max(if($C$2:$C816=C817,row($C$2:$C816),0)))) ,1),0),0))"),"")</f>
        <v/>
      </c>
      <c r="L817" s="147" t="str">
        <f t="shared" si="14"/>
        <v/>
      </c>
      <c r="M817" s="147" t="str">
        <f t="shared" si="15"/>
        <v/>
      </c>
      <c r="N817" s="147" t="str">
        <f t="shared" si="16"/>
        <v/>
      </c>
      <c r="O817" s="147" t="str">
        <f t="shared" si="6"/>
        <v/>
      </c>
      <c r="P817" s="150" t="str">
        <f t="shared" si="7"/>
        <v/>
      </c>
      <c r="Q817" s="151" t="str">
        <f>IFERROR(VLOOKUP(C817,Ativos!$A$1:$G2000,5,),)</f>
        <v/>
      </c>
    </row>
    <row r="818" ht="21.0" customHeight="1">
      <c r="A818" s="152"/>
      <c r="B818" s="160"/>
      <c r="C818" s="153"/>
      <c r="D818" s="169"/>
      <c r="E818" s="139"/>
      <c r="F818" s="141"/>
      <c r="G818" s="170" t="str">
        <f>IFERROR(__xludf.DUMMYFUNCTION("if($C818="""","""",iferror(if(row()&lt;&gt;2,INDEX(arrayformula(filter($H$2:$H817,$C$2:$C817&lt;&gt;"""",row($C$2:$C817)=max(if($C$2:$C817=C818,row($C$2:$C817),0)))) ,1),0),0))"),"")</f>
        <v/>
      </c>
      <c r="H818" s="170" t="str">
        <f t="shared" si="8"/>
        <v/>
      </c>
      <c r="I818" s="147" t="str">
        <f t="shared" si="1"/>
        <v/>
      </c>
      <c r="J818" s="147" t="str">
        <f t="shared" si="13"/>
        <v/>
      </c>
      <c r="K818" s="147" t="str">
        <f>IFERROR(__xludf.DUMMYFUNCTION("if(C818="""","""",iferror(if(row()&lt;&gt;2,INDEX(arrayformula(filter($L$2:$L817,$C$2:$C817&lt;&gt;"""",row($C$2:$C817)=max(if($C$2:$C817=C818,row($C$2:$C817),0)))) ,1),0),0))"),"")</f>
        <v/>
      </c>
      <c r="L818" s="147" t="str">
        <f t="shared" si="14"/>
        <v/>
      </c>
      <c r="M818" s="147" t="str">
        <f t="shared" si="15"/>
        <v/>
      </c>
      <c r="N818" s="147" t="str">
        <f t="shared" si="16"/>
        <v/>
      </c>
      <c r="O818" s="147" t="str">
        <f t="shared" si="6"/>
        <v/>
      </c>
      <c r="P818" s="150" t="str">
        <f t="shared" si="7"/>
        <v/>
      </c>
      <c r="Q818" s="151" t="str">
        <f>IFERROR(VLOOKUP(C818,Ativos!$A$1:$G2000,5,),)</f>
        <v/>
      </c>
    </row>
    <row r="819" ht="21.0" customHeight="1">
      <c r="A819" s="152"/>
      <c r="B819" s="160"/>
      <c r="C819" s="153"/>
      <c r="D819" s="169"/>
      <c r="E819" s="139"/>
      <c r="F819" s="141"/>
      <c r="G819" s="170" t="str">
        <f>IFERROR(__xludf.DUMMYFUNCTION("if($C819="""","""",iferror(if(row()&lt;&gt;2,INDEX(arrayformula(filter($H$2:$H818,$C$2:$C818&lt;&gt;"""",row($C$2:$C818)=max(if($C$2:$C818=C819,row($C$2:$C818),0)))) ,1),0),0))"),"")</f>
        <v/>
      </c>
      <c r="H819" s="170" t="str">
        <f t="shared" si="8"/>
        <v/>
      </c>
      <c r="I819" s="147" t="str">
        <f t="shared" si="1"/>
        <v/>
      </c>
      <c r="J819" s="147" t="str">
        <f t="shared" si="13"/>
        <v/>
      </c>
      <c r="K819" s="147" t="str">
        <f>IFERROR(__xludf.DUMMYFUNCTION("if(C819="""","""",iferror(if(row()&lt;&gt;2,INDEX(arrayformula(filter($L$2:$L818,$C$2:$C818&lt;&gt;"""",row($C$2:$C818)=max(if($C$2:$C818=C819,row($C$2:$C818),0)))) ,1),0),0))"),"")</f>
        <v/>
      </c>
      <c r="L819" s="147" t="str">
        <f t="shared" si="14"/>
        <v/>
      </c>
      <c r="M819" s="147" t="str">
        <f t="shared" si="15"/>
        <v/>
      </c>
      <c r="N819" s="147" t="str">
        <f t="shared" si="16"/>
        <v/>
      </c>
      <c r="O819" s="147" t="str">
        <f t="shared" si="6"/>
        <v/>
      </c>
      <c r="P819" s="150" t="str">
        <f t="shared" si="7"/>
        <v/>
      </c>
      <c r="Q819" s="151" t="str">
        <f>IFERROR(VLOOKUP(C819,Ativos!$A$1:$G2000,5,),)</f>
        <v/>
      </c>
    </row>
    <row r="820" ht="21.0" customHeight="1">
      <c r="A820" s="152"/>
      <c r="B820" s="160"/>
      <c r="C820" s="153"/>
      <c r="D820" s="169"/>
      <c r="E820" s="139"/>
      <c r="F820" s="141"/>
      <c r="G820" s="170" t="str">
        <f>IFERROR(__xludf.DUMMYFUNCTION("if($C820="""","""",iferror(if(row()&lt;&gt;2,INDEX(arrayformula(filter($H$2:$H819,$C$2:$C819&lt;&gt;"""",row($C$2:$C819)=max(if($C$2:$C819=C820,row($C$2:$C819),0)))) ,1),0),0))"),"")</f>
        <v/>
      </c>
      <c r="H820" s="170" t="str">
        <f t="shared" si="8"/>
        <v/>
      </c>
      <c r="I820" s="147" t="str">
        <f t="shared" si="1"/>
        <v/>
      </c>
      <c r="J820" s="147" t="str">
        <f t="shared" si="13"/>
        <v/>
      </c>
      <c r="K820" s="147" t="str">
        <f>IFERROR(__xludf.DUMMYFUNCTION("if(C820="""","""",iferror(if(row()&lt;&gt;2,INDEX(arrayformula(filter($L$2:$L819,$C$2:$C819&lt;&gt;"""",row($C$2:$C819)=max(if($C$2:$C819=C820,row($C$2:$C819),0)))) ,1),0),0))"),"")</f>
        <v/>
      </c>
      <c r="L820" s="147" t="str">
        <f t="shared" si="14"/>
        <v/>
      </c>
      <c r="M820" s="147" t="str">
        <f t="shared" si="15"/>
        <v/>
      </c>
      <c r="N820" s="147" t="str">
        <f t="shared" si="16"/>
        <v/>
      </c>
      <c r="O820" s="147" t="str">
        <f t="shared" si="6"/>
        <v/>
      </c>
      <c r="P820" s="150" t="str">
        <f t="shared" si="7"/>
        <v/>
      </c>
      <c r="Q820" s="151" t="str">
        <f>IFERROR(VLOOKUP(C820,Ativos!$A$1:$G2000,5,),)</f>
        <v/>
      </c>
    </row>
    <row r="821" ht="21.0" customHeight="1">
      <c r="A821" s="152"/>
      <c r="B821" s="160"/>
      <c r="C821" s="153"/>
      <c r="D821" s="169"/>
      <c r="E821" s="139"/>
      <c r="F821" s="141"/>
      <c r="G821" s="170" t="str">
        <f>IFERROR(__xludf.DUMMYFUNCTION("if($C821="""","""",iferror(if(row()&lt;&gt;2,INDEX(arrayformula(filter($H$2:$H820,$C$2:$C820&lt;&gt;"""",row($C$2:$C820)=max(if($C$2:$C820=C821,row($C$2:$C820),0)))) ,1),0),0))"),"")</f>
        <v/>
      </c>
      <c r="H821" s="170" t="str">
        <f t="shared" si="8"/>
        <v/>
      </c>
      <c r="I821" s="147" t="str">
        <f t="shared" si="1"/>
        <v/>
      </c>
      <c r="J821" s="147" t="str">
        <f t="shared" si="13"/>
        <v/>
      </c>
      <c r="K821" s="147" t="str">
        <f>IFERROR(__xludf.DUMMYFUNCTION("if(C821="""","""",iferror(if(row()&lt;&gt;2,INDEX(arrayformula(filter($L$2:$L820,$C$2:$C820&lt;&gt;"""",row($C$2:$C820)=max(if($C$2:$C820=C821,row($C$2:$C820),0)))) ,1),0),0))"),"")</f>
        <v/>
      </c>
      <c r="L821" s="147" t="str">
        <f t="shared" si="14"/>
        <v/>
      </c>
      <c r="M821" s="147" t="str">
        <f t="shared" si="15"/>
        <v/>
      </c>
      <c r="N821" s="147" t="str">
        <f t="shared" si="16"/>
        <v/>
      </c>
      <c r="O821" s="147" t="str">
        <f t="shared" si="6"/>
        <v/>
      </c>
      <c r="P821" s="150" t="str">
        <f t="shared" si="7"/>
        <v/>
      </c>
      <c r="Q821" s="151" t="str">
        <f>IFERROR(VLOOKUP(C821,Ativos!$A$1:$G2000,5,),)</f>
        <v/>
      </c>
    </row>
    <row r="822" ht="21.0" customHeight="1">
      <c r="A822" s="152"/>
      <c r="B822" s="160"/>
      <c r="C822" s="153"/>
      <c r="D822" s="169"/>
      <c r="E822" s="139"/>
      <c r="F822" s="141"/>
      <c r="G822" s="170" t="str">
        <f>IFERROR(__xludf.DUMMYFUNCTION("if($C822="""","""",iferror(if(row()&lt;&gt;2,INDEX(arrayformula(filter($H$2:$H821,$C$2:$C821&lt;&gt;"""",row($C$2:$C821)=max(if($C$2:$C821=C822,row($C$2:$C821),0)))) ,1),0),0))"),"")</f>
        <v/>
      </c>
      <c r="H822" s="170" t="str">
        <f t="shared" si="8"/>
        <v/>
      </c>
      <c r="I822" s="147" t="str">
        <f t="shared" si="1"/>
        <v/>
      </c>
      <c r="J822" s="147" t="str">
        <f t="shared" si="13"/>
        <v/>
      </c>
      <c r="K822" s="147" t="str">
        <f>IFERROR(__xludf.DUMMYFUNCTION("if(C822="""","""",iferror(if(row()&lt;&gt;2,INDEX(arrayformula(filter($L$2:$L821,$C$2:$C821&lt;&gt;"""",row($C$2:$C821)=max(if($C$2:$C821=C822,row($C$2:$C821),0)))) ,1),0),0))"),"")</f>
        <v/>
      </c>
      <c r="L822" s="147" t="str">
        <f t="shared" si="14"/>
        <v/>
      </c>
      <c r="M822" s="147" t="str">
        <f t="shared" si="15"/>
        <v/>
      </c>
      <c r="N822" s="147" t="str">
        <f t="shared" si="16"/>
        <v/>
      </c>
      <c r="O822" s="147" t="str">
        <f t="shared" si="6"/>
        <v/>
      </c>
      <c r="P822" s="150" t="str">
        <f t="shared" si="7"/>
        <v/>
      </c>
      <c r="Q822" s="151" t="str">
        <f>IFERROR(VLOOKUP(C822,Ativos!$A$1:$G2000,5,),)</f>
        <v/>
      </c>
    </row>
    <row r="823" ht="21.0" customHeight="1">
      <c r="A823" s="152"/>
      <c r="B823" s="160"/>
      <c r="C823" s="153"/>
      <c r="D823" s="169"/>
      <c r="E823" s="139"/>
      <c r="F823" s="141"/>
      <c r="G823" s="170" t="str">
        <f>IFERROR(__xludf.DUMMYFUNCTION("if($C823="""","""",iferror(if(row()&lt;&gt;2,INDEX(arrayformula(filter($H$2:$H822,$C$2:$C822&lt;&gt;"""",row($C$2:$C822)=max(if($C$2:$C822=C823,row($C$2:$C822),0)))) ,1),0),0))"),"")</f>
        <v/>
      </c>
      <c r="H823" s="170" t="str">
        <f t="shared" si="8"/>
        <v/>
      </c>
      <c r="I823" s="147" t="str">
        <f t="shared" si="1"/>
        <v/>
      </c>
      <c r="J823" s="147" t="str">
        <f t="shared" si="13"/>
        <v/>
      </c>
      <c r="K823" s="147" t="str">
        <f>IFERROR(__xludf.DUMMYFUNCTION("if(C823="""","""",iferror(if(row()&lt;&gt;2,INDEX(arrayformula(filter($L$2:$L822,$C$2:$C822&lt;&gt;"""",row($C$2:$C822)=max(if($C$2:$C822=C823,row($C$2:$C822),0)))) ,1),0),0))"),"")</f>
        <v/>
      </c>
      <c r="L823" s="147" t="str">
        <f t="shared" si="14"/>
        <v/>
      </c>
      <c r="M823" s="147" t="str">
        <f t="shared" si="15"/>
        <v/>
      </c>
      <c r="N823" s="147" t="str">
        <f t="shared" si="16"/>
        <v/>
      </c>
      <c r="O823" s="147" t="str">
        <f t="shared" si="6"/>
        <v/>
      </c>
      <c r="P823" s="150" t="str">
        <f t="shared" si="7"/>
        <v/>
      </c>
      <c r="Q823" s="151" t="str">
        <f>IFERROR(VLOOKUP(C823,Ativos!$A$1:$G2000,5,),)</f>
        <v/>
      </c>
    </row>
    <row r="824" ht="21.0" customHeight="1">
      <c r="A824" s="152"/>
      <c r="B824" s="160"/>
      <c r="C824" s="153"/>
      <c r="D824" s="169"/>
      <c r="E824" s="139"/>
      <c r="F824" s="141"/>
      <c r="G824" s="170" t="str">
        <f>IFERROR(__xludf.DUMMYFUNCTION("if($C824="""","""",iferror(if(row()&lt;&gt;2,INDEX(arrayformula(filter($H$2:$H823,$C$2:$C823&lt;&gt;"""",row($C$2:$C823)=max(if($C$2:$C823=C824,row($C$2:$C823),0)))) ,1),0),0))"),"")</f>
        <v/>
      </c>
      <c r="H824" s="170" t="str">
        <f t="shared" si="8"/>
        <v/>
      </c>
      <c r="I824" s="147" t="str">
        <f t="shared" si="1"/>
        <v/>
      </c>
      <c r="J824" s="147" t="str">
        <f t="shared" si="13"/>
        <v/>
      </c>
      <c r="K824" s="147" t="str">
        <f>IFERROR(__xludf.DUMMYFUNCTION("if(C824="""","""",iferror(if(row()&lt;&gt;2,INDEX(arrayformula(filter($L$2:$L823,$C$2:$C823&lt;&gt;"""",row($C$2:$C823)=max(if($C$2:$C823=C824,row($C$2:$C823),0)))) ,1),0),0))"),"")</f>
        <v/>
      </c>
      <c r="L824" s="147" t="str">
        <f t="shared" si="14"/>
        <v/>
      </c>
      <c r="M824" s="147" t="str">
        <f t="shared" si="15"/>
        <v/>
      </c>
      <c r="N824" s="147" t="str">
        <f t="shared" si="16"/>
        <v/>
      </c>
      <c r="O824" s="147" t="str">
        <f t="shared" si="6"/>
        <v/>
      </c>
      <c r="P824" s="150" t="str">
        <f t="shared" si="7"/>
        <v/>
      </c>
      <c r="Q824" s="151" t="str">
        <f>IFERROR(VLOOKUP(C824,Ativos!$A$1:$G2000,5,),)</f>
        <v/>
      </c>
    </row>
    <row r="825" ht="21.0" customHeight="1">
      <c r="A825" s="152"/>
      <c r="B825" s="160"/>
      <c r="C825" s="153"/>
      <c r="D825" s="169"/>
      <c r="E825" s="139"/>
      <c r="F825" s="141"/>
      <c r="G825" s="170" t="str">
        <f>IFERROR(__xludf.DUMMYFUNCTION("if($C825="""","""",iferror(if(row()&lt;&gt;2,INDEX(arrayformula(filter($H$2:$H824,$C$2:$C824&lt;&gt;"""",row($C$2:$C824)=max(if($C$2:$C824=C825,row($C$2:$C824),0)))) ,1),0),0))"),"")</f>
        <v/>
      </c>
      <c r="H825" s="170" t="str">
        <f t="shared" si="8"/>
        <v/>
      </c>
      <c r="I825" s="147" t="str">
        <f t="shared" si="1"/>
        <v/>
      </c>
      <c r="J825" s="147" t="str">
        <f t="shared" si="13"/>
        <v/>
      </c>
      <c r="K825" s="147" t="str">
        <f>IFERROR(__xludf.DUMMYFUNCTION("if(C825="""","""",iferror(if(row()&lt;&gt;2,INDEX(arrayformula(filter($L$2:$L824,$C$2:$C824&lt;&gt;"""",row($C$2:$C824)=max(if($C$2:$C824=C825,row($C$2:$C824),0)))) ,1),0),0))"),"")</f>
        <v/>
      </c>
      <c r="L825" s="147" t="str">
        <f t="shared" si="14"/>
        <v/>
      </c>
      <c r="M825" s="147" t="str">
        <f t="shared" si="15"/>
        <v/>
      </c>
      <c r="N825" s="147" t="str">
        <f t="shared" si="16"/>
        <v/>
      </c>
      <c r="O825" s="147" t="str">
        <f t="shared" si="6"/>
        <v/>
      </c>
      <c r="P825" s="150" t="str">
        <f t="shared" si="7"/>
        <v/>
      </c>
      <c r="Q825" s="151" t="str">
        <f>IFERROR(VLOOKUP(C825,Ativos!$A$1:$G2000,5,),)</f>
        <v/>
      </c>
    </row>
    <row r="826" ht="21.0" customHeight="1">
      <c r="A826" s="152"/>
      <c r="B826" s="160"/>
      <c r="C826" s="153"/>
      <c r="D826" s="169"/>
      <c r="E826" s="139"/>
      <c r="F826" s="141"/>
      <c r="G826" s="170" t="str">
        <f>IFERROR(__xludf.DUMMYFUNCTION("if($C826="""","""",iferror(if(row()&lt;&gt;2,INDEX(arrayformula(filter($H$2:$H825,$C$2:$C825&lt;&gt;"""",row($C$2:$C825)=max(if($C$2:$C825=C826,row($C$2:$C825),0)))) ,1),0),0))"),"")</f>
        <v/>
      </c>
      <c r="H826" s="170" t="str">
        <f t="shared" si="8"/>
        <v/>
      </c>
      <c r="I826" s="147" t="str">
        <f t="shared" si="1"/>
        <v/>
      </c>
      <c r="J826" s="147" t="str">
        <f t="shared" si="13"/>
        <v/>
      </c>
      <c r="K826" s="147" t="str">
        <f>IFERROR(__xludf.DUMMYFUNCTION("if(C826="""","""",iferror(if(row()&lt;&gt;2,INDEX(arrayformula(filter($L$2:$L825,$C$2:$C825&lt;&gt;"""",row($C$2:$C825)=max(if($C$2:$C825=C826,row($C$2:$C825),0)))) ,1),0),0))"),"")</f>
        <v/>
      </c>
      <c r="L826" s="147" t="str">
        <f t="shared" si="14"/>
        <v/>
      </c>
      <c r="M826" s="147" t="str">
        <f t="shared" si="15"/>
        <v/>
      </c>
      <c r="N826" s="147" t="str">
        <f t="shared" si="16"/>
        <v/>
      </c>
      <c r="O826" s="147" t="str">
        <f t="shared" si="6"/>
        <v/>
      </c>
      <c r="P826" s="150" t="str">
        <f t="shared" si="7"/>
        <v/>
      </c>
      <c r="Q826" s="151" t="str">
        <f>IFERROR(VLOOKUP(C826,Ativos!$A$1:$G2000,5,),)</f>
        <v/>
      </c>
    </row>
    <row r="827" ht="21.0" customHeight="1">
      <c r="A827" s="152"/>
      <c r="B827" s="160"/>
      <c r="C827" s="153"/>
      <c r="D827" s="169"/>
      <c r="E827" s="139"/>
      <c r="F827" s="141"/>
      <c r="G827" s="170" t="str">
        <f>IFERROR(__xludf.DUMMYFUNCTION("if($C827="""","""",iferror(if(row()&lt;&gt;2,INDEX(arrayformula(filter($H$2:$H826,$C$2:$C826&lt;&gt;"""",row($C$2:$C826)=max(if($C$2:$C826=C827,row($C$2:$C826),0)))) ,1),0),0))"),"")</f>
        <v/>
      </c>
      <c r="H827" s="170" t="str">
        <f t="shared" si="8"/>
        <v/>
      </c>
      <c r="I827" s="147" t="str">
        <f t="shared" si="1"/>
        <v/>
      </c>
      <c r="J827" s="147" t="str">
        <f t="shared" si="13"/>
        <v/>
      </c>
      <c r="K827" s="147" t="str">
        <f>IFERROR(__xludf.DUMMYFUNCTION("if(C827="""","""",iferror(if(row()&lt;&gt;2,INDEX(arrayformula(filter($L$2:$L826,$C$2:$C826&lt;&gt;"""",row($C$2:$C826)=max(if($C$2:$C826=C827,row($C$2:$C826),0)))) ,1),0),0))"),"")</f>
        <v/>
      </c>
      <c r="L827" s="147" t="str">
        <f t="shared" si="14"/>
        <v/>
      </c>
      <c r="M827" s="147" t="str">
        <f t="shared" si="15"/>
        <v/>
      </c>
      <c r="N827" s="147" t="str">
        <f t="shared" si="16"/>
        <v/>
      </c>
      <c r="O827" s="147" t="str">
        <f t="shared" si="6"/>
        <v/>
      </c>
      <c r="P827" s="150" t="str">
        <f t="shared" si="7"/>
        <v/>
      </c>
      <c r="Q827" s="151" t="str">
        <f>IFERROR(VLOOKUP(C827,Ativos!$A$1:$G2000,5,),)</f>
        <v/>
      </c>
    </row>
    <row r="828" ht="21.0" customHeight="1">
      <c r="A828" s="152"/>
      <c r="B828" s="160"/>
      <c r="C828" s="153"/>
      <c r="D828" s="169"/>
      <c r="E828" s="139"/>
      <c r="F828" s="141"/>
      <c r="G828" s="170" t="str">
        <f>IFERROR(__xludf.DUMMYFUNCTION("if($C828="""","""",iferror(if(row()&lt;&gt;2,INDEX(arrayformula(filter($H$2:$H827,$C$2:$C827&lt;&gt;"""",row($C$2:$C827)=max(if($C$2:$C827=C828,row($C$2:$C827),0)))) ,1),0),0))"),"")</f>
        <v/>
      </c>
      <c r="H828" s="170" t="str">
        <f t="shared" si="8"/>
        <v/>
      </c>
      <c r="I828" s="147" t="str">
        <f t="shared" si="1"/>
        <v/>
      </c>
      <c r="J828" s="147" t="str">
        <f t="shared" si="13"/>
        <v/>
      </c>
      <c r="K828" s="147" t="str">
        <f>IFERROR(__xludf.DUMMYFUNCTION("if(C828="""","""",iferror(if(row()&lt;&gt;2,INDEX(arrayformula(filter($L$2:$L827,$C$2:$C827&lt;&gt;"""",row($C$2:$C827)=max(if($C$2:$C827=C828,row($C$2:$C827),0)))) ,1),0),0))"),"")</f>
        <v/>
      </c>
      <c r="L828" s="147" t="str">
        <f t="shared" si="14"/>
        <v/>
      </c>
      <c r="M828" s="147" t="str">
        <f t="shared" si="15"/>
        <v/>
      </c>
      <c r="N828" s="147" t="str">
        <f t="shared" si="16"/>
        <v/>
      </c>
      <c r="O828" s="147" t="str">
        <f t="shared" si="6"/>
        <v/>
      </c>
      <c r="P828" s="150" t="str">
        <f t="shared" si="7"/>
        <v/>
      </c>
      <c r="Q828" s="151" t="str">
        <f>IFERROR(VLOOKUP(C828,Ativos!$A$1:$G2000,5,),)</f>
        <v/>
      </c>
    </row>
    <row r="829" ht="21.0" customHeight="1">
      <c r="A829" s="152"/>
      <c r="B829" s="160"/>
      <c r="C829" s="153"/>
      <c r="D829" s="169"/>
      <c r="E829" s="139"/>
      <c r="F829" s="141"/>
      <c r="G829" s="170" t="str">
        <f>IFERROR(__xludf.DUMMYFUNCTION("if($C829="""","""",iferror(if(row()&lt;&gt;2,INDEX(arrayformula(filter($H$2:$H828,$C$2:$C828&lt;&gt;"""",row($C$2:$C828)=max(if($C$2:$C828=C829,row($C$2:$C828),0)))) ,1),0),0))"),"")</f>
        <v/>
      </c>
      <c r="H829" s="170" t="str">
        <f t="shared" si="8"/>
        <v/>
      </c>
      <c r="I829" s="147" t="str">
        <f t="shared" si="1"/>
        <v/>
      </c>
      <c r="J829" s="147" t="str">
        <f t="shared" si="13"/>
        <v/>
      </c>
      <c r="K829" s="147" t="str">
        <f>IFERROR(__xludf.DUMMYFUNCTION("if(C829="""","""",iferror(if(row()&lt;&gt;2,INDEX(arrayformula(filter($L$2:$L828,$C$2:$C828&lt;&gt;"""",row($C$2:$C828)=max(if($C$2:$C828=C829,row($C$2:$C828),0)))) ,1),0),0))"),"")</f>
        <v/>
      </c>
      <c r="L829" s="147" t="str">
        <f t="shared" si="14"/>
        <v/>
      </c>
      <c r="M829" s="147" t="str">
        <f t="shared" si="15"/>
        <v/>
      </c>
      <c r="N829" s="147" t="str">
        <f t="shared" si="16"/>
        <v/>
      </c>
      <c r="O829" s="147" t="str">
        <f t="shared" si="6"/>
        <v/>
      </c>
      <c r="P829" s="150" t="str">
        <f t="shared" si="7"/>
        <v/>
      </c>
      <c r="Q829" s="151" t="str">
        <f>IFERROR(VLOOKUP(C829,Ativos!$A$1:$G2000,5,),)</f>
        <v/>
      </c>
    </row>
    <row r="830" ht="21.0" customHeight="1">
      <c r="A830" s="152"/>
      <c r="B830" s="160"/>
      <c r="C830" s="153"/>
      <c r="D830" s="169"/>
      <c r="E830" s="139"/>
      <c r="F830" s="141"/>
      <c r="G830" s="170" t="str">
        <f>IFERROR(__xludf.DUMMYFUNCTION("if($C830="""","""",iferror(if(row()&lt;&gt;2,INDEX(arrayformula(filter($H$2:$H829,$C$2:$C829&lt;&gt;"""",row($C$2:$C829)=max(if($C$2:$C829=C830,row($C$2:$C829),0)))) ,1),0),0))"),"")</f>
        <v/>
      </c>
      <c r="H830" s="170" t="str">
        <f t="shared" si="8"/>
        <v/>
      </c>
      <c r="I830" s="147" t="str">
        <f t="shared" si="1"/>
        <v/>
      </c>
      <c r="J830" s="147" t="str">
        <f t="shared" si="13"/>
        <v/>
      </c>
      <c r="K830" s="147" t="str">
        <f>IFERROR(__xludf.DUMMYFUNCTION("if(C830="""","""",iferror(if(row()&lt;&gt;2,INDEX(arrayformula(filter($L$2:$L829,$C$2:$C829&lt;&gt;"""",row($C$2:$C829)=max(if($C$2:$C829=C830,row($C$2:$C829),0)))) ,1),0),0))"),"")</f>
        <v/>
      </c>
      <c r="L830" s="147" t="str">
        <f t="shared" si="14"/>
        <v/>
      </c>
      <c r="M830" s="147" t="str">
        <f t="shared" si="15"/>
        <v/>
      </c>
      <c r="N830" s="147" t="str">
        <f t="shared" si="16"/>
        <v/>
      </c>
      <c r="O830" s="147" t="str">
        <f t="shared" si="6"/>
        <v/>
      </c>
      <c r="P830" s="150" t="str">
        <f t="shared" si="7"/>
        <v/>
      </c>
      <c r="Q830" s="151" t="str">
        <f>IFERROR(VLOOKUP(C830,Ativos!$A$1:$G2000,5,),)</f>
        <v/>
      </c>
    </row>
    <row r="831" ht="21.0" customHeight="1">
      <c r="A831" s="152"/>
      <c r="B831" s="160"/>
      <c r="C831" s="153"/>
      <c r="D831" s="169"/>
      <c r="E831" s="139"/>
      <c r="F831" s="141"/>
      <c r="G831" s="170" t="str">
        <f>IFERROR(__xludf.DUMMYFUNCTION("if($C831="""","""",iferror(if(row()&lt;&gt;2,INDEX(arrayformula(filter($H$2:$H830,$C$2:$C830&lt;&gt;"""",row($C$2:$C830)=max(if($C$2:$C830=C831,row($C$2:$C830),0)))) ,1),0),0))"),"")</f>
        <v/>
      </c>
      <c r="H831" s="170" t="str">
        <f t="shared" si="8"/>
        <v/>
      </c>
      <c r="I831" s="147" t="str">
        <f t="shared" si="1"/>
        <v/>
      </c>
      <c r="J831" s="147" t="str">
        <f t="shared" si="13"/>
        <v/>
      </c>
      <c r="K831" s="147" t="str">
        <f>IFERROR(__xludf.DUMMYFUNCTION("if(C831="""","""",iferror(if(row()&lt;&gt;2,INDEX(arrayformula(filter($L$2:$L830,$C$2:$C830&lt;&gt;"""",row($C$2:$C830)=max(if($C$2:$C830=C831,row($C$2:$C830),0)))) ,1),0),0))"),"")</f>
        <v/>
      </c>
      <c r="L831" s="147" t="str">
        <f t="shared" si="14"/>
        <v/>
      </c>
      <c r="M831" s="147" t="str">
        <f t="shared" si="15"/>
        <v/>
      </c>
      <c r="N831" s="147" t="str">
        <f t="shared" si="16"/>
        <v/>
      </c>
      <c r="O831" s="147" t="str">
        <f t="shared" si="6"/>
        <v/>
      </c>
      <c r="P831" s="150" t="str">
        <f t="shared" si="7"/>
        <v/>
      </c>
      <c r="Q831" s="151" t="str">
        <f>IFERROR(VLOOKUP(C831,Ativos!$A$1:$G2000,5,),)</f>
        <v/>
      </c>
    </row>
    <row r="832" ht="21.0" customHeight="1">
      <c r="A832" s="152"/>
      <c r="B832" s="160"/>
      <c r="C832" s="153"/>
      <c r="D832" s="169"/>
      <c r="E832" s="139"/>
      <c r="F832" s="141"/>
      <c r="G832" s="170" t="str">
        <f>IFERROR(__xludf.DUMMYFUNCTION("if($C832="""","""",iferror(if(row()&lt;&gt;2,INDEX(arrayformula(filter($H$2:$H831,$C$2:$C831&lt;&gt;"""",row($C$2:$C831)=max(if($C$2:$C831=C832,row($C$2:$C831),0)))) ,1),0),0))"),"")</f>
        <v/>
      </c>
      <c r="H832" s="170" t="str">
        <f t="shared" si="8"/>
        <v/>
      </c>
      <c r="I832" s="147" t="str">
        <f t="shared" si="1"/>
        <v/>
      </c>
      <c r="J832" s="147" t="str">
        <f t="shared" si="13"/>
        <v/>
      </c>
      <c r="K832" s="147" t="str">
        <f>IFERROR(__xludf.DUMMYFUNCTION("if(C832="""","""",iferror(if(row()&lt;&gt;2,INDEX(arrayformula(filter($L$2:$L831,$C$2:$C831&lt;&gt;"""",row($C$2:$C831)=max(if($C$2:$C831=C832,row($C$2:$C831),0)))) ,1),0),0))"),"")</f>
        <v/>
      </c>
      <c r="L832" s="147" t="str">
        <f t="shared" si="14"/>
        <v/>
      </c>
      <c r="M832" s="147" t="str">
        <f t="shared" si="15"/>
        <v/>
      </c>
      <c r="N832" s="147" t="str">
        <f t="shared" si="16"/>
        <v/>
      </c>
      <c r="O832" s="147" t="str">
        <f t="shared" si="6"/>
        <v/>
      </c>
      <c r="P832" s="150" t="str">
        <f t="shared" si="7"/>
        <v/>
      </c>
      <c r="Q832" s="151" t="str">
        <f>IFERROR(VLOOKUP(C832,Ativos!$A$1:$G2000,5,),)</f>
        <v/>
      </c>
    </row>
    <row r="833" ht="21.0" customHeight="1">
      <c r="A833" s="152"/>
      <c r="B833" s="160"/>
      <c r="C833" s="153"/>
      <c r="D833" s="169"/>
      <c r="E833" s="139"/>
      <c r="F833" s="141"/>
      <c r="G833" s="170" t="str">
        <f>IFERROR(__xludf.DUMMYFUNCTION("if($C833="""","""",iferror(if(row()&lt;&gt;2,INDEX(arrayformula(filter($H$2:$H832,$C$2:$C832&lt;&gt;"""",row($C$2:$C832)=max(if($C$2:$C832=C833,row($C$2:$C832),0)))) ,1),0),0))"),"")</f>
        <v/>
      </c>
      <c r="H833" s="170" t="str">
        <f t="shared" si="8"/>
        <v/>
      </c>
      <c r="I833" s="147" t="str">
        <f t="shared" si="1"/>
        <v/>
      </c>
      <c r="J833" s="147" t="str">
        <f t="shared" si="13"/>
        <v/>
      </c>
      <c r="K833" s="147" t="str">
        <f>IFERROR(__xludf.DUMMYFUNCTION("if(C833="""","""",iferror(if(row()&lt;&gt;2,INDEX(arrayformula(filter($L$2:$L832,$C$2:$C832&lt;&gt;"""",row($C$2:$C832)=max(if($C$2:$C832=C833,row($C$2:$C832),0)))) ,1),0),0))"),"")</f>
        <v/>
      </c>
      <c r="L833" s="147" t="str">
        <f t="shared" si="14"/>
        <v/>
      </c>
      <c r="M833" s="147" t="str">
        <f t="shared" si="15"/>
        <v/>
      </c>
      <c r="N833" s="147" t="str">
        <f t="shared" si="16"/>
        <v/>
      </c>
      <c r="O833" s="147" t="str">
        <f t="shared" si="6"/>
        <v/>
      </c>
      <c r="P833" s="150" t="str">
        <f t="shared" si="7"/>
        <v/>
      </c>
      <c r="Q833" s="151" t="str">
        <f>IFERROR(VLOOKUP(C833,Ativos!$A$1:$G2000,5,),)</f>
        <v/>
      </c>
    </row>
    <row r="834" ht="21.0" customHeight="1">
      <c r="A834" s="152"/>
      <c r="B834" s="160"/>
      <c r="C834" s="153"/>
      <c r="D834" s="169"/>
      <c r="E834" s="139"/>
      <c r="F834" s="141"/>
      <c r="G834" s="170" t="str">
        <f>IFERROR(__xludf.DUMMYFUNCTION("if($C834="""","""",iferror(if(row()&lt;&gt;2,INDEX(arrayformula(filter($H$2:$H833,$C$2:$C833&lt;&gt;"""",row($C$2:$C833)=max(if($C$2:$C833=C834,row($C$2:$C833),0)))) ,1),0),0))"),"")</f>
        <v/>
      </c>
      <c r="H834" s="170" t="str">
        <f t="shared" si="8"/>
        <v/>
      </c>
      <c r="I834" s="147" t="str">
        <f t="shared" si="1"/>
        <v/>
      </c>
      <c r="J834" s="147" t="str">
        <f t="shared" si="13"/>
        <v/>
      </c>
      <c r="K834" s="147" t="str">
        <f>IFERROR(__xludf.DUMMYFUNCTION("if(C834="""","""",iferror(if(row()&lt;&gt;2,INDEX(arrayformula(filter($L$2:$L833,$C$2:$C833&lt;&gt;"""",row($C$2:$C833)=max(if($C$2:$C833=C834,row($C$2:$C833),0)))) ,1),0),0))"),"")</f>
        <v/>
      </c>
      <c r="L834" s="147" t="str">
        <f t="shared" si="14"/>
        <v/>
      </c>
      <c r="M834" s="147" t="str">
        <f t="shared" si="15"/>
        <v/>
      </c>
      <c r="N834" s="147" t="str">
        <f t="shared" si="16"/>
        <v/>
      </c>
      <c r="O834" s="147" t="str">
        <f t="shared" si="6"/>
        <v/>
      </c>
      <c r="P834" s="150" t="str">
        <f t="shared" si="7"/>
        <v/>
      </c>
      <c r="Q834" s="151" t="str">
        <f>IFERROR(VLOOKUP(C834,Ativos!$A$1:$G2000,5,),)</f>
        <v/>
      </c>
    </row>
    <row r="835" ht="21.0" customHeight="1">
      <c r="A835" s="152"/>
      <c r="B835" s="160"/>
      <c r="C835" s="153"/>
      <c r="D835" s="169"/>
      <c r="E835" s="139"/>
      <c r="F835" s="141"/>
      <c r="G835" s="170" t="str">
        <f>IFERROR(__xludf.DUMMYFUNCTION("if($C835="""","""",iferror(if(row()&lt;&gt;2,INDEX(arrayformula(filter($H$2:$H834,$C$2:$C834&lt;&gt;"""",row($C$2:$C834)=max(if($C$2:$C834=C835,row($C$2:$C834),0)))) ,1),0),0))"),"")</f>
        <v/>
      </c>
      <c r="H835" s="170" t="str">
        <f t="shared" si="8"/>
        <v/>
      </c>
      <c r="I835" s="147" t="str">
        <f t="shared" si="1"/>
        <v/>
      </c>
      <c r="J835" s="147" t="str">
        <f t="shared" si="13"/>
        <v/>
      </c>
      <c r="K835" s="147" t="str">
        <f>IFERROR(__xludf.DUMMYFUNCTION("if(C835="""","""",iferror(if(row()&lt;&gt;2,INDEX(arrayformula(filter($L$2:$L834,$C$2:$C834&lt;&gt;"""",row($C$2:$C834)=max(if($C$2:$C834=C835,row($C$2:$C834),0)))) ,1),0),0))"),"")</f>
        <v/>
      </c>
      <c r="L835" s="147" t="str">
        <f t="shared" si="14"/>
        <v/>
      </c>
      <c r="M835" s="147" t="str">
        <f t="shared" si="15"/>
        <v/>
      </c>
      <c r="N835" s="147" t="str">
        <f t="shared" si="16"/>
        <v/>
      </c>
      <c r="O835" s="147" t="str">
        <f t="shared" si="6"/>
        <v/>
      </c>
      <c r="P835" s="150" t="str">
        <f t="shared" si="7"/>
        <v/>
      </c>
      <c r="Q835" s="151" t="str">
        <f>IFERROR(VLOOKUP(C835,Ativos!$A$1:$G2000,5,),)</f>
        <v/>
      </c>
    </row>
    <row r="836" ht="21.0" customHeight="1">
      <c r="A836" s="152"/>
      <c r="B836" s="160"/>
      <c r="C836" s="153"/>
      <c r="D836" s="169"/>
      <c r="E836" s="139"/>
      <c r="F836" s="141"/>
      <c r="G836" s="170" t="str">
        <f>IFERROR(__xludf.DUMMYFUNCTION("if($C836="""","""",iferror(if(row()&lt;&gt;2,INDEX(arrayformula(filter($H$2:$H835,$C$2:$C835&lt;&gt;"""",row($C$2:$C835)=max(if($C$2:$C835=C836,row($C$2:$C835),0)))) ,1),0),0))"),"")</f>
        <v/>
      </c>
      <c r="H836" s="170" t="str">
        <f t="shared" si="8"/>
        <v/>
      </c>
      <c r="I836" s="147" t="str">
        <f t="shared" si="1"/>
        <v/>
      </c>
      <c r="J836" s="147" t="str">
        <f t="shared" si="13"/>
        <v/>
      </c>
      <c r="K836" s="147" t="str">
        <f>IFERROR(__xludf.DUMMYFUNCTION("if(C836="""","""",iferror(if(row()&lt;&gt;2,INDEX(arrayformula(filter($L$2:$L835,$C$2:$C835&lt;&gt;"""",row($C$2:$C835)=max(if($C$2:$C835=C836,row($C$2:$C835),0)))) ,1),0),0))"),"")</f>
        <v/>
      </c>
      <c r="L836" s="147" t="str">
        <f t="shared" si="14"/>
        <v/>
      </c>
      <c r="M836" s="147" t="str">
        <f t="shared" si="15"/>
        <v/>
      </c>
      <c r="N836" s="147" t="str">
        <f t="shared" si="16"/>
        <v/>
      </c>
      <c r="O836" s="147" t="str">
        <f t="shared" si="6"/>
        <v/>
      </c>
      <c r="P836" s="150" t="str">
        <f t="shared" si="7"/>
        <v/>
      </c>
      <c r="Q836" s="151" t="str">
        <f>IFERROR(VLOOKUP(C836,Ativos!$A$1:$G2000,5,),)</f>
        <v/>
      </c>
    </row>
    <row r="837" ht="21.0" customHeight="1">
      <c r="A837" s="152"/>
      <c r="B837" s="160"/>
      <c r="C837" s="153"/>
      <c r="D837" s="169"/>
      <c r="E837" s="139"/>
      <c r="F837" s="141"/>
      <c r="G837" s="170" t="str">
        <f>IFERROR(__xludf.DUMMYFUNCTION("if($C837="""","""",iferror(if(row()&lt;&gt;2,INDEX(arrayformula(filter($H$2:$H836,$C$2:$C836&lt;&gt;"""",row($C$2:$C836)=max(if($C$2:$C836=C837,row($C$2:$C836),0)))) ,1),0),0))"),"")</f>
        <v/>
      </c>
      <c r="H837" s="170" t="str">
        <f t="shared" si="8"/>
        <v/>
      </c>
      <c r="I837" s="147" t="str">
        <f t="shared" si="1"/>
        <v/>
      </c>
      <c r="J837" s="147" t="str">
        <f t="shared" si="13"/>
        <v/>
      </c>
      <c r="K837" s="147" t="str">
        <f>IFERROR(__xludf.DUMMYFUNCTION("if(C837="""","""",iferror(if(row()&lt;&gt;2,INDEX(arrayformula(filter($L$2:$L836,$C$2:$C836&lt;&gt;"""",row($C$2:$C836)=max(if($C$2:$C836=C837,row($C$2:$C836),0)))) ,1),0),0))"),"")</f>
        <v/>
      </c>
      <c r="L837" s="147" t="str">
        <f t="shared" si="14"/>
        <v/>
      </c>
      <c r="M837" s="147" t="str">
        <f t="shared" si="15"/>
        <v/>
      </c>
      <c r="N837" s="147" t="str">
        <f t="shared" si="16"/>
        <v/>
      </c>
      <c r="O837" s="147" t="str">
        <f t="shared" si="6"/>
        <v/>
      </c>
      <c r="P837" s="150" t="str">
        <f t="shared" si="7"/>
        <v/>
      </c>
      <c r="Q837" s="151" t="str">
        <f>IFERROR(VLOOKUP(C837,Ativos!$A$1:$G2000,5,),)</f>
        <v/>
      </c>
    </row>
    <row r="838" ht="21.0" customHeight="1">
      <c r="A838" s="152"/>
      <c r="B838" s="160"/>
      <c r="C838" s="153"/>
      <c r="D838" s="169"/>
      <c r="E838" s="139"/>
      <c r="F838" s="141"/>
      <c r="G838" s="170" t="str">
        <f>IFERROR(__xludf.DUMMYFUNCTION("if($C838="""","""",iferror(if(row()&lt;&gt;2,INDEX(arrayformula(filter($H$2:$H837,$C$2:$C837&lt;&gt;"""",row($C$2:$C837)=max(if($C$2:$C837=C838,row($C$2:$C837),0)))) ,1),0),0))"),"")</f>
        <v/>
      </c>
      <c r="H838" s="170" t="str">
        <f t="shared" si="8"/>
        <v/>
      </c>
      <c r="I838" s="147" t="str">
        <f t="shared" si="1"/>
        <v/>
      </c>
      <c r="J838" s="147" t="str">
        <f t="shared" si="13"/>
        <v/>
      </c>
      <c r="K838" s="147" t="str">
        <f>IFERROR(__xludf.DUMMYFUNCTION("if(C838="""","""",iferror(if(row()&lt;&gt;2,INDEX(arrayformula(filter($L$2:$L837,$C$2:$C837&lt;&gt;"""",row($C$2:$C837)=max(if($C$2:$C837=C838,row($C$2:$C837),0)))) ,1),0),0))"),"")</f>
        <v/>
      </c>
      <c r="L838" s="147" t="str">
        <f t="shared" si="14"/>
        <v/>
      </c>
      <c r="M838" s="147" t="str">
        <f t="shared" si="15"/>
        <v/>
      </c>
      <c r="N838" s="147" t="str">
        <f t="shared" si="16"/>
        <v/>
      </c>
      <c r="O838" s="147" t="str">
        <f t="shared" si="6"/>
        <v/>
      </c>
      <c r="P838" s="150" t="str">
        <f t="shared" si="7"/>
        <v/>
      </c>
      <c r="Q838" s="151" t="str">
        <f>IFERROR(VLOOKUP(C838,Ativos!$A$1:$G2000,5,),)</f>
        <v/>
      </c>
    </row>
    <row r="839" ht="21.0" customHeight="1">
      <c r="A839" s="152"/>
      <c r="B839" s="160"/>
      <c r="C839" s="153"/>
      <c r="D839" s="169"/>
      <c r="E839" s="139"/>
      <c r="F839" s="141"/>
      <c r="G839" s="170" t="str">
        <f>IFERROR(__xludf.DUMMYFUNCTION("if($C839="""","""",iferror(if(row()&lt;&gt;2,INDEX(arrayformula(filter($H$2:$H838,$C$2:$C838&lt;&gt;"""",row($C$2:$C838)=max(if($C$2:$C838=C839,row($C$2:$C838),0)))) ,1),0),0))"),"")</f>
        <v/>
      </c>
      <c r="H839" s="170" t="str">
        <f t="shared" si="8"/>
        <v/>
      </c>
      <c r="I839" s="147" t="str">
        <f t="shared" si="1"/>
        <v/>
      </c>
      <c r="J839" s="147" t="str">
        <f t="shared" si="13"/>
        <v/>
      </c>
      <c r="K839" s="147" t="str">
        <f>IFERROR(__xludf.DUMMYFUNCTION("if(C839="""","""",iferror(if(row()&lt;&gt;2,INDEX(arrayformula(filter($L$2:$L838,$C$2:$C838&lt;&gt;"""",row($C$2:$C838)=max(if($C$2:$C838=C839,row($C$2:$C838),0)))) ,1),0),0))"),"")</f>
        <v/>
      </c>
      <c r="L839" s="147" t="str">
        <f t="shared" si="14"/>
        <v/>
      </c>
      <c r="M839" s="147" t="str">
        <f t="shared" si="15"/>
        <v/>
      </c>
      <c r="N839" s="147" t="str">
        <f t="shared" si="16"/>
        <v/>
      </c>
      <c r="O839" s="147" t="str">
        <f t="shared" si="6"/>
        <v/>
      </c>
      <c r="P839" s="150" t="str">
        <f t="shared" si="7"/>
        <v/>
      </c>
      <c r="Q839" s="151" t="str">
        <f>IFERROR(VLOOKUP(C839,Ativos!$A$1:$G2000,5,),)</f>
        <v/>
      </c>
    </row>
    <row r="840" ht="21.0" customHeight="1">
      <c r="A840" s="152"/>
      <c r="B840" s="160"/>
      <c r="C840" s="153"/>
      <c r="D840" s="169"/>
      <c r="E840" s="139"/>
      <c r="F840" s="141"/>
      <c r="G840" s="170" t="str">
        <f>IFERROR(__xludf.DUMMYFUNCTION("if($C840="""","""",iferror(if(row()&lt;&gt;2,INDEX(arrayformula(filter($H$2:$H839,$C$2:$C839&lt;&gt;"""",row($C$2:$C839)=max(if($C$2:$C839=C840,row($C$2:$C839),0)))) ,1),0),0))"),"")</f>
        <v/>
      </c>
      <c r="H840" s="170" t="str">
        <f t="shared" si="8"/>
        <v/>
      </c>
      <c r="I840" s="147" t="str">
        <f t="shared" si="1"/>
        <v/>
      </c>
      <c r="J840" s="147" t="str">
        <f t="shared" si="13"/>
        <v/>
      </c>
      <c r="K840" s="147" t="str">
        <f>IFERROR(__xludf.DUMMYFUNCTION("if(C840="""","""",iferror(if(row()&lt;&gt;2,INDEX(arrayformula(filter($L$2:$L839,$C$2:$C839&lt;&gt;"""",row($C$2:$C839)=max(if($C$2:$C839=C840,row($C$2:$C839),0)))) ,1),0),0))"),"")</f>
        <v/>
      </c>
      <c r="L840" s="147" t="str">
        <f t="shared" si="14"/>
        <v/>
      </c>
      <c r="M840" s="147" t="str">
        <f t="shared" si="15"/>
        <v/>
      </c>
      <c r="N840" s="147" t="str">
        <f t="shared" si="16"/>
        <v/>
      </c>
      <c r="O840" s="147" t="str">
        <f t="shared" si="6"/>
        <v/>
      </c>
      <c r="P840" s="150" t="str">
        <f t="shared" si="7"/>
        <v/>
      </c>
      <c r="Q840" s="151" t="str">
        <f>IFERROR(VLOOKUP(C840,Ativos!$A$1:$G2000,5,),)</f>
        <v/>
      </c>
    </row>
    <row r="841" ht="21.0" customHeight="1">
      <c r="A841" s="152"/>
      <c r="B841" s="160"/>
      <c r="C841" s="153"/>
      <c r="D841" s="169"/>
      <c r="E841" s="139"/>
      <c r="F841" s="141"/>
      <c r="G841" s="170" t="str">
        <f>IFERROR(__xludf.DUMMYFUNCTION("if($C841="""","""",iferror(if(row()&lt;&gt;2,INDEX(arrayformula(filter($H$2:$H840,$C$2:$C840&lt;&gt;"""",row($C$2:$C840)=max(if($C$2:$C840=C841,row($C$2:$C840),0)))) ,1),0),0))"),"")</f>
        <v/>
      </c>
      <c r="H841" s="170" t="str">
        <f t="shared" si="8"/>
        <v/>
      </c>
      <c r="I841" s="147" t="str">
        <f t="shared" si="1"/>
        <v/>
      </c>
      <c r="J841" s="147" t="str">
        <f t="shared" si="13"/>
        <v/>
      </c>
      <c r="K841" s="147" t="str">
        <f>IFERROR(__xludf.DUMMYFUNCTION("if(C841="""","""",iferror(if(row()&lt;&gt;2,INDEX(arrayformula(filter($L$2:$L840,$C$2:$C840&lt;&gt;"""",row($C$2:$C840)=max(if($C$2:$C840=C841,row($C$2:$C840),0)))) ,1),0),0))"),"")</f>
        <v/>
      </c>
      <c r="L841" s="147" t="str">
        <f t="shared" si="14"/>
        <v/>
      </c>
      <c r="M841" s="147" t="str">
        <f t="shared" si="15"/>
        <v/>
      </c>
      <c r="N841" s="147" t="str">
        <f t="shared" si="16"/>
        <v/>
      </c>
      <c r="O841" s="147" t="str">
        <f t="shared" si="6"/>
        <v/>
      </c>
      <c r="P841" s="150" t="str">
        <f t="shared" si="7"/>
        <v/>
      </c>
      <c r="Q841" s="151" t="str">
        <f>IFERROR(VLOOKUP(C841,Ativos!$A$1:$G2000,5,),)</f>
        <v/>
      </c>
    </row>
    <row r="842" ht="21.0" customHeight="1">
      <c r="A842" s="152"/>
      <c r="B842" s="160"/>
      <c r="C842" s="153"/>
      <c r="D842" s="169"/>
      <c r="E842" s="139"/>
      <c r="F842" s="141"/>
      <c r="G842" s="170" t="str">
        <f>IFERROR(__xludf.DUMMYFUNCTION("if($C842="""","""",iferror(if(row()&lt;&gt;2,INDEX(arrayformula(filter($H$2:$H841,$C$2:$C841&lt;&gt;"""",row($C$2:$C841)=max(if($C$2:$C841=C842,row($C$2:$C841),0)))) ,1),0),0))"),"")</f>
        <v/>
      </c>
      <c r="H842" s="170" t="str">
        <f t="shared" si="8"/>
        <v/>
      </c>
      <c r="I842" s="147" t="str">
        <f t="shared" si="1"/>
        <v/>
      </c>
      <c r="J842" s="147" t="str">
        <f t="shared" si="13"/>
        <v/>
      </c>
      <c r="K842" s="147" t="str">
        <f>IFERROR(__xludf.DUMMYFUNCTION("if(C842="""","""",iferror(if(row()&lt;&gt;2,INDEX(arrayformula(filter($L$2:$L841,$C$2:$C841&lt;&gt;"""",row($C$2:$C841)=max(if($C$2:$C841=C842,row($C$2:$C841),0)))) ,1),0),0))"),"")</f>
        <v/>
      </c>
      <c r="L842" s="147" t="str">
        <f t="shared" si="14"/>
        <v/>
      </c>
      <c r="M842" s="147" t="str">
        <f t="shared" si="15"/>
        <v/>
      </c>
      <c r="N842" s="147" t="str">
        <f t="shared" si="16"/>
        <v/>
      </c>
      <c r="O842" s="147" t="str">
        <f t="shared" si="6"/>
        <v/>
      </c>
      <c r="P842" s="150" t="str">
        <f t="shared" si="7"/>
        <v/>
      </c>
      <c r="Q842" s="151" t="str">
        <f>IFERROR(VLOOKUP(C842,Ativos!$A$1:$G2000,5,),)</f>
        <v/>
      </c>
    </row>
    <row r="843" ht="21.0" customHeight="1">
      <c r="A843" s="152"/>
      <c r="B843" s="160"/>
      <c r="C843" s="153"/>
      <c r="D843" s="169"/>
      <c r="E843" s="139"/>
      <c r="F843" s="141"/>
      <c r="G843" s="170" t="str">
        <f>IFERROR(__xludf.DUMMYFUNCTION("if($C843="""","""",iferror(if(row()&lt;&gt;2,INDEX(arrayformula(filter($H$2:$H842,$C$2:$C842&lt;&gt;"""",row($C$2:$C842)=max(if($C$2:$C842=C843,row($C$2:$C842),0)))) ,1),0),0))"),"")</f>
        <v/>
      </c>
      <c r="H843" s="170" t="str">
        <f t="shared" si="8"/>
        <v/>
      </c>
      <c r="I843" s="147" t="str">
        <f t="shared" si="1"/>
        <v/>
      </c>
      <c r="J843" s="147" t="str">
        <f t="shared" si="13"/>
        <v/>
      </c>
      <c r="K843" s="147" t="str">
        <f>IFERROR(__xludf.DUMMYFUNCTION("if(C843="""","""",iferror(if(row()&lt;&gt;2,INDEX(arrayformula(filter($L$2:$L842,$C$2:$C842&lt;&gt;"""",row($C$2:$C842)=max(if($C$2:$C842=C843,row($C$2:$C842),0)))) ,1),0),0))"),"")</f>
        <v/>
      </c>
      <c r="L843" s="147" t="str">
        <f t="shared" si="14"/>
        <v/>
      </c>
      <c r="M843" s="147" t="str">
        <f t="shared" si="15"/>
        <v/>
      </c>
      <c r="N843" s="147" t="str">
        <f t="shared" si="16"/>
        <v/>
      </c>
      <c r="O843" s="147" t="str">
        <f t="shared" si="6"/>
        <v/>
      </c>
      <c r="P843" s="150" t="str">
        <f t="shared" si="7"/>
        <v/>
      </c>
      <c r="Q843" s="151" t="str">
        <f>IFERROR(VLOOKUP(C843,Ativos!$A$1:$G2000,5,),)</f>
        <v/>
      </c>
    </row>
    <row r="844" ht="21.0" customHeight="1">
      <c r="A844" s="152"/>
      <c r="B844" s="160"/>
      <c r="C844" s="153"/>
      <c r="D844" s="169"/>
      <c r="E844" s="139"/>
      <c r="F844" s="141"/>
      <c r="G844" s="170" t="str">
        <f>IFERROR(__xludf.DUMMYFUNCTION("if($C844="""","""",iferror(if(row()&lt;&gt;2,INDEX(arrayformula(filter($H$2:$H843,$C$2:$C843&lt;&gt;"""",row($C$2:$C843)=max(if($C$2:$C843=C844,row($C$2:$C843),0)))) ,1),0),0))"),"")</f>
        <v/>
      </c>
      <c r="H844" s="170" t="str">
        <f t="shared" si="8"/>
        <v/>
      </c>
      <c r="I844" s="147" t="str">
        <f t="shared" si="1"/>
        <v/>
      </c>
      <c r="J844" s="147" t="str">
        <f t="shared" si="13"/>
        <v/>
      </c>
      <c r="K844" s="147" t="str">
        <f>IFERROR(__xludf.DUMMYFUNCTION("if(C844="""","""",iferror(if(row()&lt;&gt;2,INDEX(arrayformula(filter($L$2:$L843,$C$2:$C843&lt;&gt;"""",row($C$2:$C843)=max(if($C$2:$C843=C844,row($C$2:$C843),0)))) ,1),0),0))"),"")</f>
        <v/>
      </c>
      <c r="L844" s="147" t="str">
        <f t="shared" si="14"/>
        <v/>
      </c>
      <c r="M844" s="147" t="str">
        <f t="shared" si="15"/>
        <v/>
      </c>
      <c r="N844" s="147" t="str">
        <f t="shared" si="16"/>
        <v/>
      </c>
      <c r="O844" s="147" t="str">
        <f t="shared" si="6"/>
        <v/>
      </c>
      <c r="P844" s="150" t="str">
        <f t="shared" si="7"/>
        <v/>
      </c>
      <c r="Q844" s="151" t="str">
        <f>IFERROR(VLOOKUP(C844,Ativos!$A$1:$G2000,5,),)</f>
        <v/>
      </c>
    </row>
    <row r="845" ht="21.0" customHeight="1">
      <c r="A845" s="152"/>
      <c r="B845" s="160"/>
      <c r="C845" s="153"/>
      <c r="D845" s="169"/>
      <c r="E845" s="139"/>
      <c r="F845" s="141"/>
      <c r="G845" s="170" t="str">
        <f>IFERROR(__xludf.DUMMYFUNCTION("if($C845="""","""",iferror(if(row()&lt;&gt;2,INDEX(arrayformula(filter($H$2:$H844,$C$2:$C844&lt;&gt;"""",row($C$2:$C844)=max(if($C$2:$C844=C845,row($C$2:$C844),0)))) ,1),0),0))"),"")</f>
        <v/>
      </c>
      <c r="H845" s="170" t="str">
        <f t="shared" si="8"/>
        <v/>
      </c>
      <c r="I845" s="147" t="str">
        <f t="shared" si="1"/>
        <v/>
      </c>
      <c r="J845" s="147" t="str">
        <f t="shared" si="13"/>
        <v/>
      </c>
      <c r="K845" s="147" t="str">
        <f>IFERROR(__xludf.DUMMYFUNCTION("if(C845="""","""",iferror(if(row()&lt;&gt;2,INDEX(arrayformula(filter($L$2:$L844,$C$2:$C844&lt;&gt;"""",row($C$2:$C844)=max(if($C$2:$C844=C845,row($C$2:$C844),0)))) ,1),0),0))"),"")</f>
        <v/>
      </c>
      <c r="L845" s="147" t="str">
        <f t="shared" si="14"/>
        <v/>
      </c>
      <c r="M845" s="147" t="str">
        <f t="shared" si="15"/>
        <v/>
      </c>
      <c r="N845" s="147" t="str">
        <f t="shared" si="16"/>
        <v/>
      </c>
      <c r="O845" s="147" t="str">
        <f t="shared" si="6"/>
        <v/>
      </c>
      <c r="P845" s="150" t="str">
        <f t="shared" si="7"/>
        <v/>
      </c>
      <c r="Q845" s="151" t="str">
        <f>IFERROR(VLOOKUP(C845,Ativos!$A$1:$G2000,5,),)</f>
        <v/>
      </c>
    </row>
    <row r="846" ht="21.0" customHeight="1">
      <c r="A846" s="152"/>
      <c r="B846" s="160"/>
      <c r="C846" s="153"/>
      <c r="D846" s="169"/>
      <c r="E846" s="139"/>
      <c r="F846" s="141"/>
      <c r="G846" s="170" t="str">
        <f>IFERROR(__xludf.DUMMYFUNCTION("if($C846="""","""",iferror(if(row()&lt;&gt;2,INDEX(arrayformula(filter($H$2:$H845,$C$2:$C845&lt;&gt;"""",row($C$2:$C845)=max(if($C$2:$C845=C846,row($C$2:$C845),0)))) ,1),0),0))"),"")</f>
        <v/>
      </c>
      <c r="H846" s="170" t="str">
        <f t="shared" si="8"/>
        <v/>
      </c>
      <c r="I846" s="147" t="str">
        <f t="shared" si="1"/>
        <v/>
      </c>
      <c r="J846" s="147" t="str">
        <f t="shared" si="13"/>
        <v/>
      </c>
      <c r="K846" s="147" t="str">
        <f>IFERROR(__xludf.DUMMYFUNCTION("if(C846="""","""",iferror(if(row()&lt;&gt;2,INDEX(arrayformula(filter($L$2:$L845,$C$2:$C845&lt;&gt;"""",row($C$2:$C845)=max(if($C$2:$C845=C846,row($C$2:$C845),0)))) ,1),0),0))"),"")</f>
        <v/>
      </c>
      <c r="L846" s="147" t="str">
        <f t="shared" si="14"/>
        <v/>
      </c>
      <c r="M846" s="147" t="str">
        <f t="shared" si="15"/>
        <v/>
      </c>
      <c r="N846" s="147" t="str">
        <f t="shared" si="16"/>
        <v/>
      </c>
      <c r="O846" s="147" t="str">
        <f t="shared" si="6"/>
        <v/>
      </c>
      <c r="P846" s="150" t="str">
        <f t="shared" si="7"/>
        <v/>
      </c>
      <c r="Q846" s="151" t="str">
        <f>IFERROR(VLOOKUP(C846,Ativos!$A$1:$G2000,5,),)</f>
        <v/>
      </c>
    </row>
    <row r="847" ht="21.0" customHeight="1">
      <c r="A847" s="152"/>
      <c r="B847" s="160"/>
      <c r="C847" s="153"/>
      <c r="D847" s="169"/>
      <c r="E847" s="139"/>
      <c r="F847" s="141"/>
      <c r="G847" s="170" t="str">
        <f>IFERROR(__xludf.DUMMYFUNCTION("if($C847="""","""",iferror(if(row()&lt;&gt;2,INDEX(arrayformula(filter($H$2:$H846,$C$2:$C846&lt;&gt;"""",row($C$2:$C846)=max(if($C$2:$C846=C847,row($C$2:$C846),0)))) ,1),0),0))"),"")</f>
        <v/>
      </c>
      <c r="H847" s="170" t="str">
        <f t="shared" si="8"/>
        <v/>
      </c>
      <c r="I847" s="147" t="str">
        <f t="shared" si="1"/>
        <v/>
      </c>
      <c r="J847" s="147" t="str">
        <f t="shared" si="13"/>
        <v/>
      </c>
      <c r="K847" s="147" t="str">
        <f>IFERROR(__xludf.DUMMYFUNCTION("if(C847="""","""",iferror(if(row()&lt;&gt;2,INDEX(arrayformula(filter($L$2:$L846,$C$2:$C846&lt;&gt;"""",row($C$2:$C846)=max(if($C$2:$C846=C847,row($C$2:$C846),0)))) ,1),0),0))"),"")</f>
        <v/>
      </c>
      <c r="L847" s="147" t="str">
        <f t="shared" si="14"/>
        <v/>
      </c>
      <c r="M847" s="147" t="str">
        <f t="shared" si="15"/>
        <v/>
      </c>
      <c r="N847" s="147" t="str">
        <f t="shared" si="16"/>
        <v/>
      </c>
      <c r="O847" s="147" t="str">
        <f t="shared" si="6"/>
        <v/>
      </c>
      <c r="P847" s="150" t="str">
        <f t="shared" si="7"/>
        <v/>
      </c>
      <c r="Q847" s="151" t="str">
        <f>IFERROR(VLOOKUP(C847,Ativos!$A$1:$G2000,5,),)</f>
        <v/>
      </c>
    </row>
    <row r="848" ht="21.0" customHeight="1">
      <c r="A848" s="152"/>
      <c r="B848" s="160"/>
      <c r="C848" s="153"/>
      <c r="D848" s="169"/>
      <c r="E848" s="139"/>
      <c r="F848" s="141"/>
      <c r="G848" s="170" t="str">
        <f>IFERROR(__xludf.DUMMYFUNCTION("if($C848="""","""",iferror(if(row()&lt;&gt;2,INDEX(arrayformula(filter($H$2:$H847,$C$2:$C847&lt;&gt;"""",row($C$2:$C847)=max(if($C$2:$C847=C848,row($C$2:$C847),0)))) ,1),0),0))"),"")</f>
        <v/>
      </c>
      <c r="H848" s="170" t="str">
        <f t="shared" si="8"/>
        <v/>
      </c>
      <c r="I848" s="147" t="str">
        <f t="shared" si="1"/>
        <v/>
      </c>
      <c r="J848" s="147" t="str">
        <f t="shared" si="13"/>
        <v/>
      </c>
      <c r="K848" s="147" t="str">
        <f>IFERROR(__xludf.DUMMYFUNCTION("if(C848="""","""",iferror(if(row()&lt;&gt;2,INDEX(arrayformula(filter($L$2:$L847,$C$2:$C847&lt;&gt;"""",row($C$2:$C847)=max(if($C$2:$C847=C848,row($C$2:$C847),0)))) ,1),0),0))"),"")</f>
        <v/>
      </c>
      <c r="L848" s="147" t="str">
        <f t="shared" si="14"/>
        <v/>
      </c>
      <c r="M848" s="147" t="str">
        <f t="shared" si="15"/>
        <v/>
      </c>
      <c r="N848" s="147" t="str">
        <f t="shared" si="16"/>
        <v/>
      </c>
      <c r="O848" s="147" t="str">
        <f t="shared" si="6"/>
        <v/>
      </c>
      <c r="P848" s="150" t="str">
        <f t="shared" si="7"/>
        <v/>
      </c>
      <c r="Q848" s="151" t="str">
        <f>IFERROR(VLOOKUP(C848,Ativos!$A$1:$G2000,5,),)</f>
        <v/>
      </c>
    </row>
    <row r="849" ht="21.0" customHeight="1">
      <c r="A849" s="152"/>
      <c r="B849" s="160"/>
      <c r="C849" s="153"/>
      <c r="D849" s="169"/>
      <c r="E849" s="139"/>
      <c r="F849" s="141"/>
      <c r="G849" s="170" t="str">
        <f>IFERROR(__xludf.DUMMYFUNCTION("if($C849="""","""",iferror(if(row()&lt;&gt;2,INDEX(arrayformula(filter($H$2:$H848,$C$2:$C848&lt;&gt;"""",row($C$2:$C848)=max(if($C$2:$C848=C849,row($C$2:$C848),0)))) ,1),0),0))"),"")</f>
        <v/>
      </c>
      <c r="H849" s="170" t="str">
        <f t="shared" si="8"/>
        <v/>
      </c>
      <c r="I849" s="147" t="str">
        <f t="shared" si="1"/>
        <v/>
      </c>
      <c r="J849" s="147" t="str">
        <f t="shared" si="13"/>
        <v/>
      </c>
      <c r="K849" s="147" t="str">
        <f>IFERROR(__xludf.DUMMYFUNCTION("if(C849="""","""",iferror(if(row()&lt;&gt;2,INDEX(arrayformula(filter($L$2:$L848,$C$2:$C848&lt;&gt;"""",row($C$2:$C848)=max(if($C$2:$C848=C849,row($C$2:$C848),0)))) ,1),0),0))"),"")</f>
        <v/>
      </c>
      <c r="L849" s="147" t="str">
        <f t="shared" si="14"/>
        <v/>
      </c>
      <c r="M849" s="147" t="str">
        <f t="shared" si="15"/>
        <v/>
      </c>
      <c r="N849" s="147" t="str">
        <f t="shared" si="16"/>
        <v/>
      </c>
      <c r="O849" s="147" t="str">
        <f t="shared" si="6"/>
        <v/>
      </c>
      <c r="P849" s="150" t="str">
        <f t="shared" si="7"/>
        <v/>
      </c>
      <c r="Q849" s="151" t="str">
        <f>IFERROR(VLOOKUP(C849,Ativos!$A$1:$G2000,5,),)</f>
        <v/>
      </c>
    </row>
    <row r="850" ht="21.0" customHeight="1">
      <c r="A850" s="152"/>
      <c r="B850" s="160"/>
      <c r="C850" s="153"/>
      <c r="D850" s="169"/>
      <c r="E850" s="139"/>
      <c r="F850" s="141"/>
      <c r="G850" s="170" t="str">
        <f>IFERROR(__xludf.DUMMYFUNCTION("if($C850="""","""",iferror(if(row()&lt;&gt;2,INDEX(arrayformula(filter($H$2:$H849,$C$2:$C849&lt;&gt;"""",row($C$2:$C849)=max(if($C$2:$C849=C850,row($C$2:$C849),0)))) ,1),0),0))"),"")</f>
        <v/>
      </c>
      <c r="H850" s="170" t="str">
        <f t="shared" si="8"/>
        <v/>
      </c>
      <c r="I850" s="147" t="str">
        <f t="shared" si="1"/>
        <v/>
      </c>
      <c r="J850" s="147" t="str">
        <f t="shared" si="13"/>
        <v/>
      </c>
      <c r="K850" s="147" t="str">
        <f>IFERROR(__xludf.DUMMYFUNCTION("if(C850="""","""",iferror(if(row()&lt;&gt;2,INDEX(arrayformula(filter($L$2:$L849,$C$2:$C849&lt;&gt;"""",row($C$2:$C849)=max(if($C$2:$C849=C850,row($C$2:$C849),0)))) ,1),0),0))"),"")</f>
        <v/>
      </c>
      <c r="L850" s="147" t="str">
        <f t="shared" si="14"/>
        <v/>
      </c>
      <c r="M850" s="147" t="str">
        <f t="shared" si="15"/>
        <v/>
      </c>
      <c r="N850" s="147" t="str">
        <f t="shared" si="16"/>
        <v/>
      </c>
      <c r="O850" s="147" t="str">
        <f t="shared" si="6"/>
        <v/>
      </c>
      <c r="P850" s="150" t="str">
        <f t="shared" si="7"/>
        <v/>
      </c>
      <c r="Q850" s="151" t="str">
        <f>IFERROR(VLOOKUP(C850,Ativos!$A$1:$G2000,5,),)</f>
        <v/>
      </c>
    </row>
    <row r="851" ht="21.0" customHeight="1">
      <c r="A851" s="152"/>
      <c r="B851" s="160"/>
      <c r="C851" s="153"/>
      <c r="D851" s="169"/>
      <c r="E851" s="139"/>
      <c r="F851" s="141"/>
      <c r="G851" s="170" t="str">
        <f>IFERROR(__xludf.DUMMYFUNCTION("if($C851="""","""",iferror(if(row()&lt;&gt;2,INDEX(arrayformula(filter($H$2:$H850,$C$2:$C850&lt;&gt;"""",row($C$2:$C850)=max(if($C$2:$C850=C851,row($C$2:$C850),0)))) ,1),0),0))"),"")</f>
        <v/>
      </c>
      <c r="H851" s="170" t="str">
        <f t="shared" si="8"/>
        <v/>
      </c>
      <c r="I851" s="147" t="str">
        <f t="shared" si="1"/>
        <v/>
      </c>
      <c r="J851" s="147" t="str">
        <f t="shared" si="13"/>
        <v/>
      </c>
      <c r="K851" s="147" t="str">
        <f>IFERROR(__xludf.DUMMYFUNCTION("if(C851="""","""",iferror(if(row()&lt;&gt;2,INDEX(arrayformula(filter($L$2:$L850,$C$2:$C850&lt;&gt;"""",row($C$2:$C850)=max(if($C$2:$C850=C851,row($C$2:$C850),0)))) ,1),0),0))"),"")</f>
        <v/>
      </c>
      <c r="L851" s="147" t="str">
        <f t="shared" si="14"/>
        <v/>
      </c>
      <c r="M851" s="147" t="str">
        <f t="shared" si="15"/>
        <v/>
      </c>
      <c r="N851" s="147" t="str">
        <f t="shared" si="16"/>
        <v/>
      </c>
      <c r="O851" s="147" t="str">
        <f t="shared" si="6"/>
        <v/>
      </c>
      <c r="P851" s="150" t="str">
        <f t="shared" si="7"/>
        <v/>
      </c>
      <c r="Q851" s="151" t="str">
        <f>IFERROR(VLOOKUP(C851,Ativos!$A$1:$G2000,5,),)</f>
        <v/>
      </c>
    </row>
    <row r="852" ht="21.0" customHeight="1">
      <c r="A852" s="152"/>
      <c r="B852" s="160"/>
      <c r="C852" s="153"/>
      <c r="D852" s="169"/>
      <c r="E852" s="139"/>
      <c r="F852" s="141"/>
      <c r="G852" s="170" t="str">
        <f>IFERROR(__xludf.DUMMYFUNCTION("if($C852="""","""",iferror(if(row()&lt;&gt;2,INDEX(arrayformula(filter($H$2:$H851,$C$2:$C851&lt;&gt;"""",row($C$2:$C851)=max(if($C$2:$C851=C852,row($C$2:$C851),0)))) ,1),0),0))"),"")</f>
        <v/>
      </c>
      <c r="H852" s="170" t="str">
        <f t="shared" si="8"/>
        <v/>
      </c>
      <c r="I852" s="147" t="str">
        <f t="shared" si="1"/>
        <v/>
      </c>
      <c r="J852" s="147" t="str">
        <f t="shared" si="13"/>
        <v/>
      </c>
      <c r="K852" s="147" t="str">
        <f>IFERROR(__xludf.DUMMYFUNCTION("if(C852="""","""",iferror(if(row()&lt;&gt;2,INDEX(arrayformula(filter($L$2:$L851,$C$2:$C851&lt;&gt;"""",row($C$2:$C851)=max(if($C$2:$C851=C852,row($C$2:$C851),0)))) ,1),0),0))"),"")</f>
        <v/>
      </c>
      <c r="L852" s="147" t="str">
        <f t="shared" si="14"/>
        <v/>
      </c>
      <c r="M852" s="147" t="str">
        <f t="shared" si="15"/>
        <v/>
      </c>
      <c r="N852" s="147" t="str">
        <f t="shared" si="16"/>
        <v/>
      </c>
      <c r="O852" s="147" t="str">
        <f t="shared" si="6"/>
        <v/>
      </c>
      <c r="P852" s="150" t="str">
        <f t="shared" si="7"/>
        <v/>
      </c>
      <c r="Q852" s="151" t="str">
        <f>IFERROR(VLOOKUP(C852,Ativos!$A$1:$G2000,5,),)</f>
        <v/>
      </c>
    </row>
    <row r="853" ht="21.0" customHeight="1">
      <c r="A853" s="152"/>
      <c r="B853" s="160"/>
      <c r="C853" s="153"/>
      <c r="D853" s="169"/>
      <c r="E853" s="139"/>
      <c r="F853" s="141"/>
      <c r="G853" s="170" t="str">
        <f>IFERROR(__xludf.DUMMYFUNCTION("if($C853="""","""",iferror(if(row()&lt;&gt;2,INDEX(arrayformula(filter($H$2:$H852,$C$2:$C852&lt;&gt;"""",row($C$2:$C852)=max(if($C$2:$C852=C853,row($C$2:$C852),0)))) ,1),0),0))"),"")</f>
        <v/>
      </c>
      <c r="H853" s="170" t="str">
        <f t="shared" si="8"/>
        <v/>
      </c>
      <c r="I853" s="147" t="str">
        <f t="shared" si="1"/>
        <v/>
      </c>
      <c r="J853" s="147" t="str">
        <f t="shared" si="13"/>
        <v/>
      </c>
      <c r="K853" s="147" t="str">
        <f>IFERROR(__xludf.DUMMYFUNCTION("if(C853="""","""",iferror(if(row()&lt;&gt;2,INDEX(arrayformula(filter($L$2:$L852,$C$2:$C852&lt;&gt;"""",row($C$2:$C852)=max(if($C$2:$C852=C853,row($C$2:$C852),0)))) ,1),0),0))"),"")</f>
        <v/>
      </c>
      <c r="L853" s="147" t="str">
        <f t="shared" si="14"/>
        <v/>
      </c>
      <c r="M853" s="147" t="str">
        <f t="shared" si="15"/>
        <v/>
      </c>
      <c r="N853" s="147" t="str">
        <f t="shared" si="16"/>
        <v/>
      </c>
      <c r="O853" s="147" t="str">
        <f t="shared" si="6"/>
        <v/>
      </c>
      <c r="P853" s="150" t="str">
        <f t="shared" si="7"/>
        <v/>
      </c>
      <c r="Q853" s="151" t="str">
        <f>IFERROR(VLOOKUP(C853,Ativos!$A$1:$G2000,5,),)</f>
        <v/>
      </c>
    </row>
    <row r="854" ht="21.0" customHeight="1">
      <c r="A854" s="152"/>
      <c r="B854" s="160"/>
      <c r="C854" s="153"/>
      <c r="D854" s="169"/>
      <c r="E854" s="139"/>
      <c r="F854" s="141"/>
      <c r="G854" s="170" t="str">
        <f>IFERROR(__xludf.DUMMYFUNCTION("if($C854="""","""",iferror(if(row()&lt;&gt;2,INDEX(arrayformula(filter($H$2:$H853,$C$2:$C853&lt;&gt;"""",row($C$2:$C853)=max(if($C$2:$C853=C854,row($C$2:$C853),0)))) ,1),0),0))"),"")</f>
        <v/>
      </c>
      <c r="H854" s="170" t="str">
        <f t="shared" si="8"/>
        <v/>
      </c>
      <c r="I854" s="147" t="str">
        <f t="shared" si="1"/>
        <v/>
      </c>
      <c r="J854" s="147" t="str">
        <f t="shared" si="13"/>
        <v/>
      </c>
      <c r="K854" s="147" t="str">
        <f>IFERROR(__xludf.DUMMYFUNCTION("if(C854="""","""",iferror(if(row()&lt;&gt;2,INDEX(arrayformula(filter($L$2:$L853,$C$2:$C853&lt;&gt;"""",row($C$2:$C853)=max(if($C$2:$C853=C854,row($C$2:$C853),0)))) ,1),0),0))"),"")</f>
        <v/>
      </c>
      <c r="L854" s="147" t="str">
        <f t="shared" si="14"/>
        <v/>
      </c>
      <c r="M854" s="147" t="str">
        <f t="shared" si="15"/>
        <v/>
      </c>
      <c r="N854" s="147" t="str">
        <f t="shared" si="16"/>
        <v/>
      </c>
      <c r="O854" s="147" t="str">
        <f t="shared" si="6"/>
        <v/>
      </c>
      <c r="P854" s="150" t="str">
        <f t="shared" si="7"/>
        <v/>
      </c>
      <c r="Q854" s="151" t="str">
        <f>IFERROR(VLOOKUP(C854,Ativos!$A$1:$G2000,5,),)</f>
        <v/>
      </c>
    </row>
    <row r="855" ht="21.0" customHeight="1">
      <c r="A855" s="152"/>
      <c r="B855" s="160"/>
      <c r="C855" s="153"/>
      <c r="D855" s="169"/>
      <c r="E855" s="139"/>
      <c r="F855" s="141"/>
      <c r="G855" s="170" t="str">
        <f>IFERROR(__xludf.DUMMYFUNCTION("if($C855="""","""",iferror(if(row()&lt;&gt;2,INDEX(arrayformula(filter($H$2:$H854,$C$2:$C854&lt;&gt;"""",row($C$2:$C854)=max(if($C$2:$C854=C855,row($C$2:$C854),0)))) ,1),0),0))"),"")</f>
        <v/>
      </c>
      <c r="H855" s="170" t="str">
        <f t="shared" si="8"/>
        <v/>
      </c>
      <c r="I855" s="147" t="str">
        <f t="shared" si="1"/>
        <v/>
      </c>
      <c r="J855" s="147" t="str">
        <f t="shared" si="13"/>
        <v/>
      </c>
      <c r="K855" s="147" t="str">
        <f>IFERROR(__xludf.DUMMYFUNCTION("if(C855="""","""",iferror(if(row()&lt;&gt;2,INDEX(arrayformula(filter($L$2:$L854,$C$2:$C854&lt;&gt;"""",row($C$2:$C854)=max(if($C$2:$C854=C855,row($C$2:$C854),0)))) ,1),0),0))"),"")</f>
        <v/>
      </c>
      <c r="L855" s="147" t="str">
        <f t="shared" si="14"/>
        <v/>
      </c>
      <c r="M855" s="147" t="str">
        <f t="shared" si="15"/>
        <v/>
      </c>
      <c r="N855" s="147" t="str">
        <f t="shared" si="16"/>
        <v/>
      </c>
      <c r="O855" s="147" t="str">
        <f t="shared" si="6"/>
        <v/>
      </c>
      <c r="P855" s="150" t="str">
        <f t="shared" si="7"/>
        <v/>
      </c>
      <c r="Q855" s="151" t="str">
        <f>IFERROR(VLOOKUP(C855,Ativos!$A$1:$G2000,5,),)</f>
        <v/>
      </c>
    </row>
    <row r="856" ht="21.0" customHeight="1">
      <c r="A856" s="152"/>
      <c r="B856" s="160"/>
      <c r="C856" s="153"/>
      <c r="D856" s="169"/>
      <c r="E856" s="139"/>
      <c r="F856" s="141"/>
      <c r="G856" s="170" t="str">
        <f>IFERROR(__xludf.DUMMYFUNCTION("if($C856="""","""",iferror(if(row()&lt;&gt;2,INDEX(arrayformula(filter($H$2:$H855,$C$2:$C855&lt;&gt;"""",row($C$2:$C855)=max(if($C$2:$C855=C856,row($C$2:$C855),0)))) ,1),0),0))"),"")</f>
        <v/>
      </c>
      <c r="H856" s="170" t="str">
        <f t="shared" si="8"/>
        <v/>
      </c>
      <c r="I856" s="147" t="str">
        <f t="shared" si="1"/>
        <v/>
      </c>
      <c r="J856" s="147" t="str">
        <f t="shared" si="13"/>
        <v/>
      </c>
      <c r="K856" s="147" t="str">
        <f>IFERROR(__xludf.DUMMYFUNCTION("if(C856="""","""",iferror(if(row()&lt;&gt;2,INDEX(arrayformula(filter($L$2:$L855,$C$2:$C855&lt;&gt;"""",row($C$2:$C855)=max(if($C$2:$C855=C856,row($C$2:$C855),0)))) ,1),0),0))"),"")</f>
        <v/>
      </c>
      <c r="L856" s="147" t="str">
        <f t="shared" si="14"/>
        <v/>
      </c>
      <c r="M856" s="147" t="str">
        <f t="shared" si="15"/>
        <v/>
      </c>
      <c r="N856" s="147" t="str">
        <f t="shared" si="16"/>
        <v/>
      </c>
      <c r="O856" s="147" t="str">
        <f t="shared" si="6"/>
        <v/>
      </c>
      <c r="P856" s="150" t="str">
        <f t="shared" si="7"/>
        <v/>
      </c>
      <c r="Q856" s="151" t="str">
        <f>IFERROR(VLOOKUP(C856,Ativos!$A$1:$G2000,5,),)</f>
        <v/>
      </c>
    </row>
    <row r="857" ht="21.0" customHeight="1">
      <c r="A857" s="152"/>
      <c r="B857" s="160"/>
      <c r="C857" s="153"/>
      <c r="D857" s="169"/>
      <c r="E857" s="139"/>
      <c r="F857" s="141"/>
      <c r="G857" s="170" t="str">
        <f>IFERROR(__xludf.DUMMYFUNCTION("if($C857="""","""",iferror(if(row()&lt;&gt;2,INDEX(arrayformula(filter($H$2:$H856,$C$2:$C856&lt;&gt;"""",row($C$2:$C856)=max(if($C$2:$C856=C857,row($C$2:$C856),0)))) ,1),0),0))"),"")</f>
        <v/>
      </c>
      <c r="H857" s="170" t="str">
        <f t="shared" si="8"/>
        <v/>
      </c>
      <c r="I857" s="147" t="str">
        <f t="shared" si="1"/>
        <v/>
      </c>
      <c r="J857" s="147" t="str">
        <f t="shared" si="13"/>
        <v/>
      </c>
      <c r="K857" s="147" t="str">
        <f>IFERROR(__xludf.DUMMYFUNCTION("if(C857="""","""",iferror(if(row()&lt;&gt;2,INDEX(arrayformula(filter($L$2:$L856,$C$2:$C856&lt;&gt;"""",row($C$2:$C856)=max(if($C$2:$C856=C857,row($C$2:$C856),0)))) ,1),0),0))"),"")</f>
        <v/>
      </c>
      <c r="L857" s="147" t="str">
        <f t="shared" si="14"/>
        <v/>
      </c>
      <c r="M857" s="147" t="str">
        <f t="shared" si="15"/>
        <v/>
      </c>
      <c r="N857" s="147" t="str">
        <f t="shared" si="16"/>
        <v/>
      </c>
      <c r="O857" s="147" t="str">
        <f t="shared" si="6"/>
        <v/>
      </c>
      <c r="P857" s="150" t="str">
        <f t="shared" si="7"/>
        <v/>
      </c>
      <c r="Q857" s="151" t="str">
        <f>IFERROR(VLOOKUP(C857,Ativos!$A$1:$G2000,5,),)</f>
        <v/>
      </c>
    </row>
    <row r="858" ht="21.0" customHeight="1">
      <c r="A858" s="152"/>
      <c r="B858" s="160"/>
      <c r="C858" s="153"/>
      <c r="D858" s="169"/>
      <c r="E858" s="139"/>
      <c r="F858" s="141"/>
      <c r="G858" s="170" t="str">
        <f>IFERROR(__xludf.DUMMYFUNCTION("if($C858="""","""",iferror(if(row()&lt;&gt;2,INDEX(arrayformula(filter($H$2:$H857,$C$2:$C857&lt;&gt;"""",row($C$2:$C857)=max(if($C$2:$C857=C858,row($C$2:$C857),0)))) ,1),0),0))"),"")</f>
        <v/>
      </c>
      <c r="H858" s="170" t="str">
        <f t="shared" si="8"/>
        <v/>
      </c>
      <c r="I858" s="147" t="str">
        <f t="shared" si="1"/>
        <v/>
      </c>
      <c r="J858" s="147" t="str">
        <f t="shared" si="13"/>
        <v/>
      </c>
      <c r="K858" s="147" t="str">
        <f>IFERROR(__xludf.DUMMYFUNCTION("if(C858="""","""",iferror(if(row()&lt;&gt;2,INDEX(arrayformula(filter($L$2:$L857,$C$2:$C857&lt;&gt;"""",row($C$2:$C857)=max(if($C$2:$C857=C858,row($C$2:$C857),0)))) ,1),0),0))"),"")</f>
        <v/>
      </c>
      <c r="L858" s="147" t="str">
        <f t="shared" si="14"/>
        <v/>
      </c>
      <c r="M858" s="147" t="str">
        <f t="shared" si="15"/>
        <v/>
      </c>
      <c r="N858" s="147" t="str">
        <f t="shared" si="16"/>
        <v/>
      </c>
      <c r="O858" s="147" t="str">
        <f t="shared" si="6"/>
        <v/>
      </c>
      <c r="P858" s="150" t="str">
        <f t="shared" si="7"/>
        <v/>
      </c>
      <c r="Q858" s="151" t="str">
        <f>IFERROR(VLOOKUP(C858,Ativos!$A$1:$G2000,5,),)</f>
        <v/>
      </c>
    </row>
    <row r="859" ht="21.0" customHeight="1">
      <c r="A859" s="152"/>
      <c r="B859" s="160"/>
      <c r="C859" s="153"/>
      <c r="D859" s="169"/>
      <c r="E859" s="139"/>
      <c r="F859" s="141"/>
      <c r="G859" s="170" t="str">
        <f>IFERROR(__xludf.DUMMYFUNCTION("if($C859="""","""",iferror(if(row()&lt;&gt;2,INDEX(arrayformula(filter($H$2:$H858,$C$2:$C858&lt;&gt;"""",row($C$2:$C858)=max(if($C$2:$C858=C859,row($C$2:$C858),0)))) ,1),0),0))"),"")</f>
        <v/>
      </c>
      <c r="H859" s="170" t="str">
        <f t="shared" si="8"/>
        <v/>
      </c>
      <c r="I859" s="147" t="str">
        <f t="shared" si="1"/>
        <v/>
      </c>
      <c r="J859" s="147" t="str">
        <f t="shared" si="13"/>
        <v/>
      </c>
      <c r="K859" s="147" t="str">
        <f>IFERROR(__xludf.DUMMYFUNCTION("if(C859="""","""",iferror(if(row()&lt;&gt;2,INDEX(arrayformula(filter($L$2:$L858,$C$2:$C858&lt;&gt;"""",row($C$2:$C858)=max(if($C$2:$C858=C859,row($C$2:$C858),0)))) ,1),0),0))"),"")</f>
        <v/>
      </c>
      <c r="L859" s="147" t="str">
        <f t="shared" si="14"/>
        <v/>
      </c>
      <c r="M859" s="147" t="str">
        <f t="shared" si="15"/>
        <v/>
      </c>
      <c r="N859" s="147" t="str">
        <f t="shared" si="16"/>
        <v/>
      </c>
      <c r="O859" s="147" t="str">
        <f t="shared" si="6"/>
        <v/>
      </c>
      <c r="P859" s="150" t="str">
        <f t="shared" si="7"/>
        <v/>
      </c>
      <c r="Q859" s="151" t="str">
        <f>IFERROR(VLOOKUP(C859,Ativos!$A$1:$G2000,5,),)</f>
        <v/>
      </c>
    </row>
    <row r="860" ht="21.0" customHeight="1">
      <c r="A860" s="152"/>
      <c r="B860" s="160"/>
      <c r="C860" s="153"/>
      <c r="D860" s="169"/>
      <c r="E860" s="139"/>
      <c r="F860" s="141"/>
      <c r="G860" s="170" t="str">
        <f>IFERROR(__xludf.DUMMYFUNCTION("if($C860="""","""",iferror(if(row()&lt;&gt;2,INDEX(arrayformula(filter($H$2:$H859,$C$2:$C859&lt;&gt;"""",row($C$2:$C859)=max(if($C$2:$C859=C860,row($C$2:$C859),0)))) ,1),0),0))"),"")</f>
        <v/>
      </c>
      <c r="H860" s="170" t="str">
        <f t="shared" si="8"/>
        <v/>
      </c>
      <c r="I860" s="147" t="str">
        <f t="shared" si="1"/>
        <v/>
      </c>
      <c r="J860" s="147" t="str">
        <f t="shared" si="13"/>
        <v/>
      </c>
      <c r="K860" s="147" t="str">
        <f>IFERROR(__xludf.DUMMYFUNCTION("if(C860="""","""",iferror(if(row()&lt;&gt;2,INDEX(arrayformula(filter($L$2:$L859,$C$2:$C859&lt;&gt;"""",row($C$2:$C859)=max(if($C$2:$C859=C860,row($C$2:$C859),0)))) ,1),0),0))"),"")</f>
        <v/>
      </c>
      <c r="L860" s="147" t="str">
        <f t="shared" si="14"/>
        <v/>
      </c>
      <c r="M860" s="147" t="str">
        <f t="shared" si="15"/>
        <v/>
      </c>
      <c r="N860" s="147" t="str">
        <f t="shared" si="16"/>
        <v/>
      </c>
      <c r="O860" s="147" t="str">
        <f t="shared" si="6"/>
        <v/>
      </c>
      <c r="P860" s="150" t="str">
        <f t="shared" si="7"/>
        <v/>
      </c>
      <c r="Q860" s="151" t="str">
        <f>IFERROR(VLOOKUP(C860,Ativos!$A$1:$G2000,5,),)</f>
        <v/>
      </c>
    </row>
    <row r="861" ht="21.0" customHeight="1">
      <c r="A861" s="152"/>
      <c r="B861" s="160"/>
      <c r="C861" s="153"/>
      <c r="D861" s="169"/>
      <c r="E861" s="139"/>
      <c r="F861" s="141"/>
      <c r="G861" s="170" t="str">
        <f>IFERROR(__xludf.DUMMYFUNCTION("if($C861="""","""",iferror(if(row()&lt;&gt;2,INDEX(arrayformula(filter($H$2:$H860,$C$2:$C860&lt;&gt;"""",row($C$2:$C860)=max(if($C$2:$C860=C861,row($C$2:$C860),0)))) ,1),0),0))"),"")</f>
        <v/>
      </c>
      <c r="H861" s="170" t="str">
        <f t="shared" si="8"/>
        <v/>
      </c>
      <c r="I861" s="147" t="str">
        <f t="shared" si="1"/>
        <v/>
      </c>
      <c r="J861" s="147" t="str">
        <f t="shared" si="13"/>
        <v/>
      </c>
      <c r="K861" s="147" t="str">
        <f>IFERROR(__xludf.DUMMYFUNCTION("if(C861="""","""",iferror(if(row()&lt;&gt;2,INDEX(arrayformula(filter($L$2:$L860,$C$2:$C860&lt;&gt;"""",row($C$2:$C860)=max(if($C$2:$C860=C861,row($C$2:$C860),0)))) ,1),0),0))"),"")</f>
        <v/>
      </c>
      <c r="L861" s="147" t="str">
        <f t="shared" si="14"/>
        <v/>
      </c>
      <c r="M861" s="147" t="str">
        <f t="shared" si="15"/>
        <v/>
      </c>
      <c r="N861" s="147" t="str">
        <f t="shared" si="16"/>
        <v/>
      </c>
      <c r="O861" s="147" t="str">
        <f t="shared" si="6"/>
        <v/>
      </c>
      <c r="P861" s="150" t="str">
        <f t="shared" si="7"/>
        <v/>
      </c>
      <c r="Q861" s="151" t="str">
        <f>IFERROR(VLOOKUP(C861,Ativos!$A$1:$G2000,5,),)</f>
        <v/>
      </c>
    </row>
    <row r="862" ht="21.0" customHeight="1">
      <c r="A862" s="152"/>
      <c r="B862" s="160"/>
      <c r="C862" s="153"/>
      <c r="D862" s="169"/>
      <c r="E862" s="139"/>
      <c r="F862" s="141"/>
      <c r="G862" s="170" t="str">
        <f>IFERROR(__xludf.DUMMYFUNCTION("if($C862="""","""",iferror(if(row()&lt;&gt;2,INDEX(arrayformula(filter($H$2:$H861,$C$2:$C861&lt;&gt;"""",row($C$2:$C861)=max(if($C$2:$C861=C862,row($C$2:$C861),0)))) ,1),0),0))"),"")</f>
        <v/>
      </c>
      <c r="H862" s="170" t="str">
        <f t="shared" si="8"/>
        <v/>
      </c>
      <c r="I862" s="147" t="str">
        <f t="shared" si="1"/>
        <v/>
      </c>
      <c r="J862" s="147" t="str">
        <f t="shared" si="13"/>
        <v/>
      </c>
      <c r="K862" s="147" t="str">
        <f>IFERROR(__xludf.DUMMYFUNCTION("if(C862="""","""",iferror(if(row()&lt;&gt;2,INDEX(arrayformula(filter($L$2:$L861,$C$2:$C861&lt;&gt;"""",row($C$2:$C861)=max(if($C$2:$C861=C862,row($C$2:$C861),0)))) ,1),0),0))"),"")</f>
        <v/>
      </c>
      <c r="L862" s="147" t="str">
        <f t="shared" si="14"/>
        <v/>
      </c>
      <c r="M862" s="147" t="str">
        <f t="shared" si="15"/>
        <v/>
      </c>
      <c r="N862" s="147" t="str">
        <f t="shared" si="16"/>
        <v/>
      </c>
      <c r="O862" s="147" t="str">
        <f t="shared" si="6"/>
        <v/>
      </c>
      <c r="P862" s="150" t="str">
        <f t="shared" si="7"/>
        <v/>
      </c>
      <c r="Q862" s="151" t="str">
        <f>IFERROR(VLOOKUP(C862,Ativos!$A$1:$G2000,5,),)</f>
        <v/>
      </c>
    </row>
    <row r="863" ht="21.0" customHeight="1">
      <c r="A863" s="152"/>
      <c r="B863" s="160"/>
      <c r="C863" s="153"/>
      <c r="D863" s="169"/>
      <c r="E863" s="139"/>
      <c r="F863" s="141"/>
      <c r="G863" s="170" t="str">
        <f>IFERROR(__xludf.DUMMYFUNCTION("if($C863="""","""",iferror(if(row()&lt;&gt;2,INDEX(arrayformula(filter($H$2:$H862,$C$2:$C862&lt;&gt;"""",row($C$2:$C862)=max(if($C$2:$C862=C863,row($C$2:$C862),0)))) ,1),0),0))"),"")</f>
        <v/>
      </c>
      <c r="H863" s="170" t="str">
        <f t="shared" si="8"/>
        <v/>
      </c>
      <c r="I863" s="147" t="str">
        <f t="shared" si="1"/>
        <v/>
      </c>
      <c r="J863" s="147" t="str">
        <f t="shared" si="13"/>
        <v/>
      </c>
      <c r="K863" s="147" t="str">
        <f>IFERROR(__xludf.DUMMYFUNCTION("if(C863="""","""",iferror(if(row()&lt;&gt;2,INDEX(arrayformula(filter($L$2:$L862,$C$2:$C862&lt;&gt;"""",row($C$2:$C862)=max(if($C$2:$C862=C863,row($C$2:$C862),0)))) ,1),0),0))"),"")</f>
        <v/>
      </c>
      <c r="L863" s="147" t="str">
        <f t="shared" si="14"/>
        <v/>
      </c>
      <c r="M863" s="147" t="str">
        <f t="shared" si="15"/>
        <v/>
      </c>
      <c r="N863" s="147" t="str">
        <f t="shared" si="16"/>
        <v/>
      </c>
      <c r="O863" s="147" t="str">
        <f t="shared" si="6"/>
        <v/>
      </c>
      <c r="P863" s="150" t="str">
        <f t="shared" si="7"/>
        <v/>
      </c>
      <c r="Q863" s="151" t="str">
        <f>IFERROR(VLOOKUP(C863,Ativos!$A$1:$G2000,5,),)</f>
        <v/>
      </c>
    </row>
    <row r="864" ht="21.0" customHeight="1">
      <c r="A864" s="152"/>
      <c r="B864" s="160"/>
      <c r="C864" s="153"/>
      <c r="D864" s="169"/>
      <c r="E864" s="139"/>
      <c r="F864" s="141"/>
      <c r="G864" s="170" t="str">
        <f>IFERROR(__xludf.DUMMYFUNCTION("if($C864="""","""",iferror(if(row()&lt;&gt;2,INDEX(arrayformula(filter($H$2:$H863,$C$2:$C863&lt;&gt;"""",row($C$2:$C863)=max(if($C$2:$C863=C864,row($C$2:$C863),0)))) ,1),0),0))"),"")</f>
        <v/>
      </c>
      <c r="H864" s="170" t="str">
        <f t="shared" si="8"/>
        <v/>
      </c>
      <c r="I864" s="147" t="str">
        <f t="shared" si="1"/>
        <v/>
      </c>
      <c r="J864" s="147" t="str">
        <f t="shared" si="13"/>
        <v/>
      </c>
      <c r="K864" s="147" t="str">
        <f>IFERROR(__xludf.DUMMYFUNCTION("if(C864="""","""",iferror(if(row()&lt;&gt;2,INDEX(arrayformula(filter($L$2:$L863,$C$2:$C863&lt;&gt;"""",row($C$2:$C863)=max(if($C$2:$C863=C864,row($C$2:$C863),0)))) ,1),0),0))"),"")</f>
        <v/>
      </c>
      <c r="L864" s="147" t="str">
        <f t="shared" si="14"/>
        <v/>
      </c>
      <c r="M864" s="147" t="str">
        <f t="shared" si="15"/>
        <v/>
      </c>
      <c r="N864" s="147" t="str">
        <f t="shared" si="16"/>
        <v/>
      </c>
      <c r="O864" s="147" t="str">
        <f t="shared" si="6"/>
        <v/>
      </c>
      <c r="P864" s="150" t="str">
        <f t="shared" si="7"/>
        <v/>
      </c>
      <c r="Q864" s="151" t="str">
        <f>IFERROR(VLOOKUP(C864,Ativos!$A$1:$G2000,5,),)</f>
        <v/>
      </c>
    </row>
    <row r="865" ht="21.0" customHeight="1">
      <c r="A865" s="152"/>
      <c r="B865" s="160"/>
      <c r="C865" s="153"/>
      <c r="D865" s="169"/>
      <c r="E865" s="139"/>
      <c r="F865" s="141"/>
      <c r="G865" s="170" t="str">
        <f>IFERROR(__xludf.DUMMYFUNCTION("if($C865="""","""",iferror(if(row()&lt;&gt;2,INDEX(arrayformula(filter($H$2:$H864,$C$2:$C864&lt;&gt;"""",row($C$2:$C864)=max(if($C$2:$C864=C865,row($C$2:$C864),0)))) ,1),0),0))"),"")</f>
        <v/>
      </c>
      <c r="H865" s="170" t="str">
        <f t="shared" si="8"/>
        <v/>
      </c>
      <c r="I865" s="147" t="str">
        <f t="shared" si="1"/>
        <v/>
      </c>
      <c r="J865" s="147" t="str">
        <f t="shared" si="13"/>
        <v/>
      </c>
      <c r="K865" s="147" t="str">
        <f>IFERROR(__xludf.DUMMYFUNCTION("if(C865="""","""",iferror(if(row()&lt;&gt;2,INDEX(arrayformula(filter($L$2:$L864,$C$2:$C864&lt;&gt;"""",row($C$2:$C864)=max(if($C$2:$C864=C865,row($C$2:$C864),0)))) ,1),0),0))"),"")</f>
        <v/>
      </c>
      <c r="L865" s="147" t="str">
        <f t="shared" si="14"/>
        <v/>
      </c>
      <c r="M865" s="147" t="str">
        <f t="shared" si="15"/>
        <v/>
      </c>
      <c r="N865" s="147" t="str">
        <f t="shared" si="16"/>
        <v/>
      </c>
      <c r="O865" s="147" t="str">
        <f t="shared" si="6"/>
        <v/>
      </c>
      <c r="P865" s="150" t="str">
        <f t="shared" si="7"/>
        <v/>
      </c>
      <c r="Q865" s="151" t="str">
        <f>IFERROR(VLOOKUP(C865,Ativos!$A$1:$G2000,5,),)</f>
        <v/>
      </c>
    </row>
    <row r="866" ht="21.0" customHeight="1">
      <c r="A866" s="152"/>
      <c r="B866" s="160"/>
      <c r="C866" s="153"/>
      <c r="D866" s="169"/>
      <c r="E866" s="139"/>
      <c r="F866" s="141"/>
      <c r="G866" s="170" t="str">
        <f>IFERROR(__xludf.DUMMYFUNCTION("if($C866="""","""",iferror(if(row()&lt;&gt;2,INDEX(arrayformula(filter($H$2:$H865,$C$2:$C865&lt;&gt;"""",row($C$2:$C865)=max(if($C$2:$C865=C866,row($C$2:$C865),0)))) ,1),0),0))"),"")</f>
        <v/>
      </c>
      <c r="H866" s="170" t="str">
        <f t="shared" si="8"/>
        <v/>
      </c>
      <c r="I866" s="147" t="str">
        <f t="shared" si="1"/>
        <v/>
      </c>
      <c r="J866" s="147" t="str">
        <f t="shared" si="13"/>
        <v/>
      </c>
      <c r="K866" s="147" t="str">
        <f>IFERROR(__xludf.DUMMYFUNCTION("if(C866="""","""",iferror(if(row()&lt;&gt;2,INDEX(arrayformula(filter($L$2:$L865,$C$2:$C865&lt;&gt;"""",row($C$2:$C865)=max(if($C$2:$C865=C866,row($C$2:$C865),0)))) ,1),0),0))"),"")</f>
        <v/>
      </c>
      <c r="L866" s="147" t="str">
        <f t="shared" si="14"/>
        <v/>
      </c>
      <c r="M866" s="147" t="str">
        <f t="shared" si="15"/>
        <v/>
      </c>
      <c r="N866" s="147" t="str">
        <f t="shared" si="16"/>
        <v/>
      </c>
      <c r="O866" s="147" t="str">
        <f t="shared" si="6"/>
        <v/>
      </c>
      <c r="P866" s="150" t="str">
        <f t="shared" si="7"/>
        <v/>
      </c>
      <c r="Q866" s="151" t="str">
        <f>IFERROR(VLOOKUP(C866,Ativos!$A$1:$G2000,5,),)</f>
        <v/>
      </c>
    </row>
    <row r="867" ht="21.0" customHeight="1">
      <c r="A867" s="152"/>
      <c r="B867" s="160"/>
      <c r="C867" s="153"/>
      <c r="D867" s="169"/>
      <c r="E867" s="139"/>
      <c r="F867" s="141"/>
      <c r="G867" s="170" t="str">
        <f>IFERROR(__xludf.DUMMYFUNCTION("if($C867="""","""",iferror(if(row()&lt;&gt;2,INDEX(arrayformula(filter($H$2:$H866,$C$2:$C866&lt;&gt;"""",row($C$2:$C866)=max(if($C$2:$C866=C867,row($C$2:$C866),0)))) ,1),0),0))"),"")</f>
        <v/>
      </c>
      <c r="H867" s="170" t="str">
        <f t="shared" si="8"/>
        <v/>
      </c>
      <c r="I867" s="147" t="str">
        <f t="shared" si="1"/>
        <v/>
      </c>
      <c r="J867" s="147" t="str">
        <f t="shared" si="13"/>
        <v/>
      </c>
      <c r="K867" s="147" t="str">
        <f>IFERROR(__xludf.DUMMYFUNCTION("if(C867="""","""",iferror(if(row()&lt;&gt;2,INDEX(arrayformula(filter($L$2:$L866,$C$2:$C866&lt;&gt;"""",row($C$2:$C866)=max(if($C$2:$C866=C867,row($C$2:$C866),0)))) ,1),0),0))"),"")</f>
        <v/>
      </c>
      <c r="L867" s="147" t="str">
        <f t="shared" si="14"/>
        <v/>
      </c>
      <c r="M867" s="147" t="str">
        <f t="shared" si="15"/>
        <v/>
      </c>
      <c r="N867" s="147" t="str">
        <f t="shared" si="16"/>
        <v/>
      </c>
      <c r="O867" s="147" t="str">
        <f t="shared" si="6"/>
        <v/>
      </c>
      <c r="P867" s="150" t="str">
        <f t="shared" si="7"/>
        <v/>
      </c>
      <c r="Q867" s="151" t="str">
        <f>IFERROR(VLOOKUP(C867,Ativos!$A$1:$G2000,5,),)</f>
        <v/>
      </c>
    </row>
    <row r="868" ht="21.0" customHeight="1">
      <c r="A868" s="152"/>
      <c r="B868" s="160"/>
      <c r="C868" s="153"/>
      <c r="D868" s="169"/>
      <c r="E868" s="139"/>
      <c r="F868" s="141"/>
      <c r="G868" s="170" t="str">
        <f>IFERROR(__xludf.DUMMYFUNCTION("if($C868="""","""",iferror(if(row()&lt;&gt;2,INDEX(arrayformula(filter($H$2:$H867,$C$2:$C867&lt;&gt;"""",row($C$2:$C867)=max(if($C$2:$C867=C868,row($C$2:$C867),0)))) ,1),0),0))"),"")</f>
        <v/>
      </c>
      <c r="H868" s="170" t="str">
        <f t="shared" si="8"/>
        <v/>
      </c>
      <c r="I868" s="147" t="str">
        <f t="shared" si="1"/>
        <v/>
      </c>
      <c r="J868" s="147" t="str">
        <f t="shared" si="13"/>
        <v/>
      </c>
      <c r="K868" s="147" t="str">
        <f>IFERROR(__xludf.DUMMYFUNCTION("if(C868="""","""",iferror(if(row()&lt;&gt;2,INDEX(arrayformula(filter($L$2:$L867,$C$2:$C867&lt;&gt;"""",row($C$2:$C867)=max(if($C$2:$C867=C868,row($C$2:$C867),0)))) ,1),0),0))"),"")</f>
        <v/>
      </c>
      <c r="L868" s="147" t="str">
        <f t="shared" si="14"/>
        <v/>
      </c>
      <c r="M868" s="147" t="str">
        <f t="shared" si="15"/>
        <v/>
      </c>
      <c r="N868" s="147" t="str">
        <f t="shared" si="16"/>
        <v/>
      </c>
      <c r="O868" s="147" t="str">
        <f t="shared" si="6"/>
        <v/>
      </c>
      <c r="P868" s="150" t="str">
        <f t="shared" si="7"/>
        <v/>
      </c>
      <c r="Q868" s="151" t="str">
        <f>IFERROR(VLOOKUP(C868,Ativos!$A$1:$G2000,5,),)</f>
        <v/>
      </c>
    </row>
    <row r="869" ht="21.0" customHeight="1">
      <c r="A869" s="152"/>
      <c r="B869" s="160"/>
      <c r="C869" s="153"/>
      <c r="D869" s="169"/>
      <c r="E869" s="139"/>
      <c r="F869" s="141"/>
      <c r="G869" s="170" t="str">
        <f>IFERROR(__xludf.DUMMYFUNCTION("if($C869="""","""",iferror(if(row()&lt;&gt;2,INDEX(arrayformula(filter($H$2:$H868,$C$2:$C868&lt;&gt;"""",row($C$2:$C868)=max(if($C$2:$C868=C869,row($C$2:$C868),0)))) ,1),0),0))"),"")</f>
        <v/>
      </c>
      <c r="H869" s="170" t="str">
        <f t="shared" si="8"/>
        <v/>
      </c>
      <c r="I869" s="147" t="str">
        <f t="shared" si="1"/>
        <v/>
      </c>
      <c r="J869" s="147" t="str">
        <f t="shared" si="13"/>
        <v/>
      </c>
      <c r="K869" s="147" t="str">
        <f>IFERROR(__xludf.DUMMYFUNCTION("if(C869="""","""",iferror(if(row()&lt;&gt;2,INDEX(arrayformula(filter($L$2:$L868,$C$2:$C868&lt;&gt;"""",row($C$2:$C868)=max(if($C$2:$C868=C869,row($C$2:$C868),0)))) ,1),0),0))"),"")</f>
        <v/>
      </c>
      <c r="L869" s="147" t="str">
        <f t="shared" si="14"/>
        <v/>
      </c>
      <c r="M869" s="147" t="str">
        <f t="shared" si="15"/>
        <v/>
      </c>
      <c r="N869" s="147" t="str">
        <f t="shared" si="16"/>
        <v/>
      </c>
      <c r="O869" s="147" t="str">
        <f t="shared" si="6"/>
        <v/>
      </c>
      <c r="P869" s="150" t="str">
        <f t="shared" si="7"/>
        <v/>
      </c>
      <c r="Q869" s="151" t="str">
        <f>IFERROR(VLOOKUP(C869,Ativos!$A$1:$G2000,5,),)</f>
        <v/>
      </c>
    </row>
    <row r="870" ht="21.0" customHeight="1">
      <c r="A870" s="152"/>
      <c r="B870" s="160"/>
      <c r="C870" s="153"/>
      <c r="D870" s="169"/>
      <c r="E870" s="139"/>
      <c r="F870" s="141"/>
      <c r="G870" s="170" t="str">
        <f>IFERROR(__xludf.DUMMYFUNCTION("if($C870="""","""",iferror(if(row()&lt;&gt;2,INDEX(arrayformula(filter($H$2:$H869,$C$2:$C869&lt;&gt;"""",row($C$2:$C869)=max(if($C$2:$C869=C870,row($C$2:$C869),0)))) ,1),0),0))"),"")</f>
        <v/>
      </c>
      <c r="H870" s="170" t="str">
        <f t="shared" si="8"/>
        <v/>
      </c>
      <c r="I870" s="147" t="str">
        <f t="shared" si="1"/>
        <v/>
      </c>
      <c r="J870" s="147" t="str">
        <f t="shared" si="13"/>
        <v/>
      </c>
      <c r="K870" s="147" t="str">
        <f>IFERROR(__xludf.DUMMYFUNCTION("if(C870="""","""",iferror(if(row()&lt;&gt;2,INDEX(arrayformula(filter($L$2:$L869,$C$2:$C869&lt;&gt;"""",row($C$2:$C869)=max(if($C$2:$C869=C870,row($C$2:$C869),0)))) ,1),0),0))"),"")</f>
        <v/>
      </c>
      <c r="L870" s="147" t="str">
        <f t="shared" si="14"/>
        <v/>
      </c>
      <c r="M870" s="147" t="str">
        <f t="shared" si="15"/>
        <v/>
      </c>
      <c r="N870" s="147" t="str">
        <f t="shared" si="16"/>
        <v/>
      </c>
      <c r="O870" s="147" t="str">
        <f t="shared" si="6"/>
        <v/>
      </c>
      <c r="P870" s="150" t="str">
        <f t="shared" si="7"/>
        <v/>
      </c>
      <c r="Q870" s="151" t="str">
        <f>IFERROR(VLOOKUP(C870,Ativos!$A$1:$G2000,5,),)</f>
        <v/>
      </c>
    </row>
    <row r="871" ht="21.0" customHeight="1">
      <c r="A871" s="152"/>
      <c r="B871" s="160"/>
      <c r="C871" s="153"/>
      <c r="D871" s="169"/>
      <c r="E871" s="139"/>
      <c r="F871" s="141"/>
      <c r="G871" s="170" t="str">
        <f>IFERROR(__xludf.DUMMYFUNCTION("if($C871="""","""",iferror(if(row()&lt;&gt;2,INDEX(arrayformula(filter($H$2:$H870,$C$2:$C870&lt;&gt;"""",row($C$2:$C870)=max(if($C$2:$C870=C871,row($C$2:$C870),0)))) ,1),0),0))"),"")</f>
        <v/>
      </c>
      <c r="H871" s="170" t="str">
        <f t="shared" si="8"/>
        <v/>
      </c>
      <c r="I871" s="147" t="str">
        <f t="shared" si="1"/>
        <v/>
      </c>
      <c r="J871" s="147" t="str">
        <f t="shared" si="13"/>
        <v/>
      </c>
      <c r="K871" s="147" t="str">
        <f>IFERROR(__xludf.DUMMYFUNCTION("if(C871="""","""",iferror(if(row()&lt;&gt;2,INDEX(arrayformula(filter($L$2:$L870,$C$2:$C870&lt;&gt;"""",row($C$2:$C870)=max(if($C$2:$C870=C871,row($C$2:$C870),0)))) ,1),0),0))"),"")</f>
        <v/>
      </c>
      <c r="L871" s="147" t="str">
        <f t="shared" si="14"/>
        <v/>
      </c>
      <c r="M871" s="147" t="str">
        <f t="shared" si="15"/>
        <v/>
      </c>
      <c r="N871" s="147" t="str">
        <f t="shared" si="16"/>
        <v/>
      </c>
      <c r="O871" s="147" t="str">
        <f t="shared" si="6"/>
        <v/>
      </c>
      <c r="P871" s="150" t="str">
        <f t="shared" si="7"/>
        <v/>
      </c>
      <c r="Q871" s="151" t="str">
        <f>IFERROR(VLOOKUP(C871,Ativos!$A$1:$G2000,5,),)</f>
        <v/>
      </c>
    </row>
    <row r="872" ht="21.0" customHeight="1">
      <c r="A872" s="152"/>
      <c r="B872" s="160"/>
      <c r="C872" s="153"/>
      <c r="D872" s="169"/>
      <c r="E872" s="139"/>
      <c r="F872" s="141"/>
      <c r="G872" s="170" t="str">
        <f>IFERROR(__xludf.DUMMYFUNCTION("if($C872="""","""",iferror(if(row()&lt;&gt;2,INDEX(arrayformula(filter($H$2:$H871,$C$2:$C871&lt;&gt;"""",row($C$2:$C871)=max(if($C$2:$C871=C872,row($C$2:$C871),0)))) ,1),0),0))"),"")</f>
        <v/>
      </c>
      <c r="H872" s="170" t="str">
        <f t="shared" si="8"/>
        <v/>
      </c>
      <c r="I872" s="147" t="str">
        <f t="shared" si="1"/>
        <v/>
      </c>
      <c r="J872" s="147" t="str">
        <f t="shared" si="13"/>
        <v/>
      </c>
      <c r="K872" s="147" t="str">
        <f>IFERROR(__xludf.DUMMYFUNCTION("if(C872="""","""",iferror(if(row()&lt;&gt;2,INDEX(arrayformula(filter($L$2:$L871,$C$2:$C871&lt;&gt;"""",row($C$2:$C871)=max(if($C$2:$C871=C872,row($C$2:$C871),0)))) ,1),0),0))"),"")</f>
        <v/>
      </c>
      <c r="L872" s="147" t="str">
        <f t="shared" si="14"/>
        <v/>
      </c>
      <c r="M872" s="147" t="str">
        <f t="shared" si="15"/>
        <v/>
      </c>
      <c r="N872" s="147" t="str">
        <f t="shared" si="16"/>
        <v/>
      </c>
      <c r="O872" s="147" t="str">
        <f t="shared" si="6"/>
        <v/>
      </c>
      <c r="P872" s="150" t="str">
        <f t="shared" si="7"/>
        <v/>
      </c>
      <c r="Q872" s="151" t="str">
        <f>IFERROR(VLOOKUP(C872,Ativos!$A$1:$G2000,5,),)</f>
        <v/>
      </c>
    </row>
    <row r="873" ht="21.0" customHeight="1">
      <c r="A873" s="152"/>
      <c r="B873" s="160"/>
      <c r="C873" s="153"/>
      <c r="D873" s="169"/>
      <c r="E873" s="139"/>
      <c r="F873" s="141"/>
      <c r="G873" s="170" t="str">
        <f>IFERROR(__xludf.DUMMYFUNCTION("if($C873="""","""",iferror(if(row()&lt;&gt;2,INDEX(arrayformula(filter($H$2:$H872,$C$2:$C872&lt;&gt;"""",row($C$2:$C872)=max(if($C$2:$C872=C873,row($C$2:$C872),0)))) ,1),0),0))"),"")</f>
        <v/>
      </c>
      <c r="H873" s="170" t="str">
        <f t="shared" si="8"/>
        <v/>
      </c>
      <c r="I873" s="147" t="str">
        <f t="shared" si="1"/>
        <v/>
      </c>
      <c r="J873" s="147" t="str">
        <f t="shared" si="13"/>
        <v/>
      </c>
      <c r="K873" s="147" t="str">
        <f>IFERROR(__xludf.DUMMYFUNCTION("if(C873="""","""",iferror(if(row()&lt;&gt;2,INDEX(arrayformula(filter($L$2:$L872,$C$2:$C872&lt;&gt;"""",row($C$2:$C872)=max(if($C$2:$C872=C873,row($C$2:$C872),0)))) ,1),0),0))"),"")</f>
        <v/>
      </c>
      <c r="L873" s="147" t="str">
        <f t="shared" si="14"/>
        <v/>
      </c>
      <c r="M873" s="147" t="str">
        <f t="shared" si="15"/>
        <v/>
      </c>
      <c r="N873" s="147" t="str">
        <f t="shared" si="16"/>
        <v/>
      </c>
      <c r="O873" s="147" t="str">
        <f t="shared" si="6"/>
        <v/>
      </c>
      <c r="P873" s="150" t="str">
        <f t="shared" si="7"/>
        <v/>
      </c>
      <c r="Q873" s="151" t="str">
        <f>IFERROR(VLOOKUP(C873,Ativos!$A$1:$G2000,5,),)</f>
        <v/>
      </c>
    </row>
    <row r="874" ht="21.0" customHeight="1">
      <c r="A874" s="152"/>
      <c r="B874" s="160"/>
      <c r="C874" s="153"/>
      <c r="D874" s="169"/>
      <c r="E874" s="139"/>
      <c r="F874" s="141"/>
      <c r="G874" s="170" t="str">
        <f>IFERROR(__xludf.DUMMYFUNCTION("if($C874="""","""",iferror(if(row()&lt;&gt;2,INDEX(arrayformula(filter($H$2:$H873,$C$2:$C873&lt;&gt;"""",row($C$2:$C873)=max(if($C$2:$C873=C874,row($C$2:$C873),0)))) ,1),0),0))"),"")</f>
        <v/>
      </c>
      <c r="H874" s="170" t="str">
        <f t="shared" si="8"/>
        <v/>
      </c>
      <c r="I874" s="147" t="str">
        <f t="shared" si="1"/>
        <v/>
      </c>
      <c r="J874" s="147" t="str">
        <f t="shared" si="13"/>
        <v/>
      </c>
      <c r="K874" s="147" t="str">
        <f>IFERROR(__xludf.DUMMYFUNCTION("if(C874="""","""",iferror(if(row()&lt;&gt;2,INDEX(arrayformula(filter($L$2:$L873,$C$2:$C873&lt;&gt;"""",row($C$2:$C873)=max(if($C$2:$C873=C874,row($C$2:$C873),0)))) ,1),0),0))"),"")</f>
        <v/>
      </c>
      <c r="L874" s="147" t="str">
        <f t="shared" si="14"/>
        <v/>
      </c>
      <c r="M874" s="147" t="str">
        <f t="shared" si="15"/>
        <v/>
      </c>
      <c r="N874" s="147" t="str">
        <f t="shared" si="16"/>
        <v/>
      </c>
      <c r="O874" s="147" t="str">
        <f t="shared" si="6"/>
        <v/>
      </c>
      <c r="P874" s="150" t="str">
        <f t="shared" si="7"/>
        <v/>
      </c>
      <c r="Q874" s="151" t="str">
        <f>IFERROR(VLOOKUP(C874,Ativos!$A$1:$G2000,5,),)</f>
        <v/>
      </c>
    </row>
    <row r="875" ht="21.0" customHeight="1">
      <c r="A875" s="152"/>
      <c r="B875" s="160"/>
      <c r="C875" s="153"/>
      <c r="D875" s="169"/>
      <c r="E875" s="139"/>
      <c r="F875" s="141"/>
      <c r="G875" s="170" t="str">
        <f>IFERROR(__xludf.DUMMYFUNCTION("if($C875="""","""",iferror(if(row()&lt;&gt;2,INDEX(arrayformula(filter($H$2:$H874,$C$2:$C874&lt;&gt;"""",row($C$2:$C874)=max(if($C$2:$C874=C875,row($C$2:$C874),0)))) ,1),0),0))"),"")</f>
        <v/>
      </c>
      <c r="H875" s="170" t="str">
        <f t="shared" si="8"/>
        <v/>
      </c>
      <c r="I875" s="147" t="str">
        <f t="shared" si="1"/>
        <v/>
      </c>
      <c r="J875" s="147" t="str">
        <f t="shared" si="13"/>
        <v/>
      </c>
      <c r="K875" s="147" t="str">
        <f>IFERROR(__xludf.DUMMYFUNCTION("if(C875="""","""",iferror(if(row()&lt;&gt;2,INDEX(arrayformula(filter($L$2:$L874,$C$2:$C874&lt;&gt;"""",row($C$2:$C874)=max(if($C$2:$C874=C875,row($C$2:$C874),0)))) ,1),0),0))"),"")</f>
        <v/>
      </c>
      <c r="L875" s="147" t="str">
        <f t="shared" si="14"/>
        <v/>
      </c>
      <c r="M875" s="147" t="str">
        <f t="shared" si="15"/>
        <v/>
      </c>
      <c r="N875" s="147" t="str">
        <f t="shared" si="16"/>
        <v/>
      </c>
      <c r="O875" s="147" t="str">
        <f t="shared" si="6"/>
        <v/>
      </c>
      <c r="P875" s="150" t="str">
        <f t="shared" si="7"/>
        <v/>
      </c>
      <c r="Q875" s="151" t="str">
        <f>IFERROR(VLOOKUP(C875,Ativos!$A$1:$G2000,5,),)</f>
        <v/>
      </c>
    </row>
    <row r="876" ht="21.0" customHeight="1">
      <c r="A876" s="152"/>
      <c r="B876" s="160"/>
      <c r="C876" s="153"/>
      <c r="D876" s="169"/>
      <c r="E876" s="139"/>
      <c r="F876" s="141"/>
      <c r="G876" s="170" t="str">
        <f>IFERROR(__xludf.DUMMYFUNCTION("if($C876="""","""",iferror(if(row()&lt;&gt;2,INDEX(arrayformula(filter($H$2:$H875,$C$2:$C875&lt;&gt;"""",row($C$2:$C875)=max(if($C$2:$C875=C876,row($C$2:$C875),0)))) ,1),0),0))"),"")</f>
        <v/>
      </c>
      <c r="H876" s="170" t="str">
        <f t="shared" si="8"/>
        <v/>
      </c>
      <c r="I876" s="147" t="str">
        <f t="shared" si="1"/>
        <v/>
      </c>
      <c r="J876" s="147" t="str">
        <f t="shared" si="13"/>
        <v/>
      </c>
      <c r="K876" s="147" t="str">
        <f>IFERROR(__xludf.DUMMYFUNCTION("if(C876="""","""",iferror(if(row()&lt;&gt;2,INDEX(arrayformula(filter($L$2:$L875,$C$2:$C875&lt;&gt;"""",row($C$2:$C875)=max(if($C$2:$C875=C876,row($C$2:$C875),0)))) ,1),0),0))"),"")</f>
        <v/>
      </c>
      <c r="L876" s="147" t="str">
        <f t="shared" si="14"/>
        <v/>
      </c>
      <c r="M876" s="147" t="str">
        <f t="shared" si="15"/>
        <v/>
      </c>
      <c r="N876" s="147" t="str">
        <f t="shared" si="16"/>
        <v/>
      </c>
      <c r="O876" s="147" t="str">
        <f t="shared" si="6"/>
        <v/>
      </c>
      <c r="P876" s="150" t="str">
        <f t="shared" si="7"/>
        <v/>
      </c>
      <c r="Q876" s="151" t="str">
        <f>IFERROR(VLOOKUP(C876,Ativos!$A$1:$G2000,5,),)</f>
        <v/>
      </c>
    </row>
    <row r="877" ht="21.0" customHeight="1">
      <c r="A877" s="152"/>
      <c r="B877" s="160"/>
      <c r="C877" s="153"/>
      <c r="D877" s="169"/>
      <c r="E877" s="139"/>
      <c r="F877" s="141"/>
      <c r="G877" s="170" t="str">
        <f>IFERROR(__xludf.DUMMYFUNCTION("if($C877="""","""",iferror(if(row()&lt;&gt;2,INDEX(arrayformula(filter($H$2:$H876,$C$2:$C876&lt;&gt;"""",row($C$2:$C876)=max(if($C$2:$C876=C877,row($C$2:$C876),0)))) ,1),0),0))"),"")</f>
        <v/>
      </c>
      <c r="H877" s="170" t="str">
        <f t="shared" si="8"/>
        <v/>
      </c>
      <c r="I877" s="147" t="str">
        <f t="shared" si="1"/>
        <v/>
      </c>
      <c r="J877" s="147" t="str">
        <f t="shared" si="13"/>
        <v/>
      </c>
      <c r="K877" s="147" t="str">
        <f>IFERROR(__xludf.DUMMYFUNCTION("if(C877="""","""",iferror(if(row()&lt;&gt;2,INDEX(arrayformula(filter($L$2:$L876,$C$2:$C876&lt;&gt;"""",row($C$2:$C876)=max(if($C$2:$C876=C877,row($C$2:$C876),0)))) ,1),0),0))"),"")</f>
        <v/>
      </c>
      <c r="L877" s="147" t="str">
        <f t="shared" si="14"/>
        <v/>
      </c>
      <c r="M877" s="147" t="str">
        <f t="shared" si="15"/>
        <v/>
      </c>
      <c r="N877" s="147" t="str">
        <f t="shared" si="16"/>
        <v/>
      </c>
      <c r="O877" s="147" t="str">
        <f t="shared" si="6"/>
        <v/>
      </c>
      <c r="P877" s="150" t="str">
        <f t="shared" si="7"/>
        <v/>
      </c>
      <c r="Q877" s="151" t="str">
        <f>IFERROR(VLOOKUP(C877,Ativos!$A$1:$G2000,5,),)</f>
        <v/>
      </c>
    </row>
    <row r="878" ht="21.0" customHeight="1">
      <c r="A878" s="152"/>
      <c r="B878" s="160"/>
      <c r="C878" s="153"/>
      <c r="D878" s="169"/>
      <c r="E878" s="139"/>
      <c r="F878" s="141"/>
      <c r="G878" s="170" t="str">
        <f>IFERROR(__xludf.DUMMYFUNCTION("if($C878="""","""",iferror(if(row()&lt;&gt;2,INDEX(arrayformula(filter($H$2:$H877,$C$2:$C877&lt;&gt;"""",row($C$2:$C877)=max(if($C$2:$C877=C878,row($C$2:$C877),0)))) ,1),0),0))"),"")</f>
        <v/>
      </c>
      <c r="H878" s="170" t="str">
        <f t="shared" si="8"/>
        <v/>
      </c>
      <c r="I878" s="147" t="str">
        <f t="shared" si="1"/>
        <v/>
      </c>
      <c r="J878" s="147" t="str">
        <f t="shared" si="13"/>
        <v/>
      </c>
      <c r="K878" s="147" t="str">
        <f>IFERROR(__xludf.DUMMYFUNCTION("if(C878="""","""",iferror(if(row()&lt;&gt;2,INDEX(arrayformula(filter($L$2:$L877,$C$2:$C877&lt;&gt;"""",row($C$2:$C877)=max(if($C$2:$C877=C878,row($C$2:$C877),0)))) ,1),0),0))"),"")</f>
        <v/>
      </c>
      <c r="L878" s="147" t="str">
        <f t="shared" si="14"/>
        <v/>
      </c>
      <c r="M878" s="147" t="str">
        <f t="shared" si="15"/>
        <v/>
      </c>
      <c r="N878" s="147" t="str">
        <f t="shared" si="16"/>
        <v/>
      </c>
      <c r="O878" s="147" t="str">
        <f t="shared" si="6"/>
        <v/>
      </c>
      <c r="P878" s="150" t="str">
        <f t="shared" si="7"/>
        <v/>
      </c>
      <c r="Q878" s="151" t="str">
        <f>IFERROR(VLOOKUP(C878,Ativos!$A$1:$G2000,5,),)</f>
        <v/>
      </c>
    </row>
    <row r="879" ht="21.0" customHeight="1">
      <c r="A879" s="152"/>
      <c r="B879" s="160"/>
      <c r="C879" s="153"/>
      <c r="D879" s="169"/>
      <c r="E879" s="139"/>
      <c r="F879" s="141"/>
      <c r="G879" s="170" t="str">
        <f>IFERROR(__xludf.DUMMYFUNCTION("if($C879="""","""",iferror(if(row()&lt;&gt;2,INDEX(arrayformula(filter($H$2:$H878,$C$2:$C878&lt;&gt;"""",row($C$2:$C878)=max(if($C$2:$C878=C879,row($C$2:$C878),0)))) ,1),0),0))"),"")</f>
        <v/>
      </c>
      <c r="H879" s="170" t="str">
        <f t="shared" si="8"/>
        <v/>
      </c>
      <c r="I879" s="147" t="str">
        <f t="shared" si="1"/>
        <v/>
      </c>
      <c r="J879" s="147" t="str">
        <f t="shared" si="13"/>
        <v/>
      </c>
      <c r="K879" s="147" t="str">
        <f>IFERROR(__xludf.DUMMYFUNCTION("if(C879="""","""",iferror(if(row()&lt;&gt;2,INDEX(arrayformula(filter($L$2:$L878,$C$2:$C878&lt;&gt;"""",row($C$2:$C878)=max(if($C$2:$C878=C879,row($C$2:$C878),0)))) ,1),0),0))"),"")</f>
        <v/>
      </c>
      <c r="L879" s="147" t="str">
        <f t="shared" si="14"/>
        <v/>
      </c>
      <c r="M879" s="147" t="str">
        <f t="shared" si="15"/>
        <v/>
      </c>
      <c r="N879" s="147" t="str">
        <f t="shared" si="16"/>
        <v/>
      </c>
      <c r="O879" s="147" t="str">
        <f t="shared" si="6"/>
        <v/>
      </c>
      <c r="P879" s="150" t="str">
        <f t="shared" si="7"/>
        <v/>
      </c>
      <c r="Q879" s="151" t="str">
        <f>IFERROR(VLOOKUP(C879,Ativos!$A$1:$G2000,5,),)</f>
        <v/>
      </c>
    </row>
    <row r="880" ht="21.0" customHeight="1">
      <c r="A880" s="152"/>
      <c r="B880" s="160"/>
      <c r="C880" s="153"/>
      <c r="D880" s="169"/>
      <c r="E880" s="139"/>
      <c r="F880" s="141"/>
      <c r="G880" s="170" t="str">
        <f>IFERROR(__xludf.DUMMYFUNCTION("if($C880="""","""",iferror(if(row()&lt;&gt;2,INDEX(arrayformula(filter($H$2:$H879,$C$2:$C879&lt;&gt;"""",row($C$2:$C879)=max(if($C$2:$C879=C880,row($C$2:$C879),0)))) ,1),0),0))"),"")</f>
        <v/>
      </c>
      <c r="H880" s="170" t="str">
        <f t="shared" si="8"/>
        <v/>
      </c>
      <c r="I880" s="147" t="str">
        <f t="shared" si="1"/>
        <v/>
      </c>
      <c r="J880" s="147" t="str">
        <f t="shared" si="13"/>
        <v/>
      </c>
      <c r="K880" s="147" t="str">
        <f>IFERROR(__xludf.DUMMYFUNCTION("if(C880="""","""",iferror(if(row()&lt;&gt;2,INDEX(arrayformula(filter($L$2:$L879,$C$2:$C879&lt;&gt;"""",row($C$2:$C879)=max(if($C$2:$C879=C880,row($C$2:$C879),0)))) ,1),0),0))"),"")</f>
        <v/>
      </c>
      <c r="L880" s="147" t="str">
        <f t="shared" si="14"/>
        <v/>
      </c>
      <c r="M880" s="147" t="str">
        <f t="shared" si="15"/>
        <v/>
      </c>
      <c r="N880" s="147" t="str">
        <f t="shared" si="16"/>
        <v/>
      </c>
      <c r="O880" s="147" t="str">
        <f t="shared" si="6"/>
        <v/>
      </c>
      <c r="P880" s="150" t="str">
        <f t="shared" si="7"/>
        <v/>
      </c>
      <c r="Q880" s="151" t="str">
        <f>IFERROR(VLOOKUP(C880,Ativos!$A$1:$G2000,5,),)</f>
        <v/>
      </c>
    </row>
    <row r="881" ht="21.0" customHeight="1">
      <c r="A881" s="152"/>
      <c r="B881" s="160"/>
      <c r="C881" s="153"/>
      <c r="D881" s="169"/>
      <c r="E881" s="139"/>
      <c r="F881" s="141"/>
      <c r="G881" s="170" t="str">
        <f>IFERROR(__xludf.DUMMYFUNCTION("if($C881="""","""",iferror(if(row()&lt;&gt;2,INDEX(arrayformula(filter($H$2:$H880,$C$2:$C880&lt;&gt;"""",row($C$2:$C880)=max(if($C$2:$C880=C881,row($C$2:$C880),0)))) ,1),0),0))"),"")</f>
        <v/>
      </c>
      <c r="H881" s="170" t="str">
        <f t="shared" si="8"/>
        <v/>
      </c>
      <c r="I881" s="147" t="str">
        <f t="shared" si="1"/>
        <v/>
      </c>
      <c r="J881" s="147" t="str">
        <f t="shared" si="13"/>
        <v/>
      </c>
      <c r="K881" s="147" t="str">
        <f>IFERROR(__xludf.DUMMYFUNCTION("if(C881="""","""",iferror(if(row()&lt;&gt;2,INDEX(arrayformula(filter($L$2:$L880,$C$2:$C880&lt;&gt;"""",row($C$2:$C880)=max(if($C$2:$C880=C881,row($C$2:$C880),0)))) ,1),0),0))"),"")</f>
        <v/>
      </c>
      <c r="L881" s="147" t="str">
        <f t="shared" si="14"/>
        <v/>
      </c>
      <c r="M881" s="147" t="str">
        <f t="shared" si="15"/>
        <v/>
      </c>
      <c r="N881" s="147" t="str">
        <f t="shared" si="16"/>
        <v/>
      </c>
      <c r="O881" s="147" t="str">
        <f t="shared" si="6"/>
        <v/>
      </c>
      <c r="P881" s="150" t="str">
        <f t="shared" si="7"/>
        <v/>
      </c>
      <c r="Q881" s="151" t="str">
        <f>IFERROR(VLOOKUP(C881,Ativos!$A$1:$G2000,5,),)</f>
        <v/>
      </c>
    </row>
    <row r="882" ht="21.0" customHeight="1">
      <c r="A882" s="152"/>
      <c r="B882" s="160"/>
      <c r="C882" s="153"/>
      <c r="D882" s="169"/>
      <c r="E882" s="139"/>
      <c r="F882" s="141"/>
      <c r="G882" s="170" t="str">
        <f>IFERROR(__xludf.DUMMYFUNCTION("if($C882="""","""",iferror(if(row()&lt;&gt;2,INDEX(arrayformula(filter($H$2:$H881,$C$2:$C881&lt;&gt;"""",row($C$2:$C881)=max(if($C$2:$C881=C882,row($C$2:$C881),0)))) ,1),0),0))"),"")</f>
        <v/>
      </c>
      <c r="H882" s="170" t="str">
        <f t="shared" si="8"/>
        <v/>
      </c>
      <c r="I882" s="147" t="str">
        <f t="shared" si="1"/>
        <v/>
      </c>
      <c r="J882" s="147" t="str">
        <f t="shared" si="13"/>
        <v/>
      </c>
      <c r="K882" s="147" t="str">
        <f>IFERROR(__xludf.DUMMYFUNCTION("if(C882="""","""",iferror(if(row()&lt;&gt;2,INDEX(arrayformula(filter($L$2:$L881,$C$2:$C881&lt;&gt;"""",row($C$2:$C881)=max(if($C$2:$C881=C882,row($C$2:$C881),0)))) ,1),0),0))"),"")</f>
        <v/>
      </c>
      <c r="L882" s="147" t="str">
        <f t="shared" si="14"/>
        <v/>
      </c>
      <c r="M882" s="147" t="str">
        <f t="shared" si="15"/>
        <v/>
      </c>
      <c r="N882" s="147" t="str">
        <f t="shared" si="16"/>
        <v/>
      </c>
      <c r="O882" s="147" t="str">
        <f t="shared" si="6"/>
        <v/>
      </c>
      <c r="P882" s="150" t="str">
        <f t="shared" si="7"/>
        <v/>
      </c>
      <c r="Q882" s="151" t="str">
        <f>IFERROR(VLOOKUP(C882,Ativos!$A$1:$G2000,5,),)</f>
        <v/>
      </c>
    </row>
    <row r="883" ht="21.0" customHeight="1">
      <c r="A883" s="152"/>
      <c r="B883" s="160"/>
      <c r="C883" s="153"/>
      <c r="D883" s="169"/>
      <c r="E883" s="139"/>
      <c r="F883" s="141"/>
      <c r="G883" s="170" t="str">
        <f>IFERROR(__xludf.DUMMYFUNCTION("if($C883="""","""",iferror(if(row()&lt;&gt;2,INDEX(arrayformula(filter($H$2:$H882,$C$2:$C882&lt;&gt;"""",row($C$2:$C882)=max(if($C$2:$C882=C883,row($C$2:$C882),0)))) ,1),0),0))"),"")</f>
        <v/>
      </c>
      <c r="H883" s="170" t="str">
        <f t="shared" si="8"/>
        <v/>
      </c>
      <c r="I883" s="147" t="str">
        <f t="shared" si="1"/>
        <v/>
      </c>
      <c r="J883" s="147" t="str">
        <f t="shared" si="13"/>
        <v/>
      </c>
      <c r="K883" s="147" t="str">
        <f>IFERROR(__xludf.DUMMYFUNCTION("if(C883="""","""",iferror(if(row()&lt;&gt;2,INDEX(arrayformula(filter($L$2:$L882,$C$2:$C882&lt;&gt;"""",row($C$2:$C882)=max(if($C$2:$C882=C883,row($C$2:$C882),0)))) ,1),0),0))"),"")</f>
        <v/>
      </c>
      <c r="L883" s="147" t="str">
        <f t="shared" si="14"/>
        <v/>
      </c>
      <c r="M883" s="147" t="str">
        <f t="shared" si="15"/>
        <v/>
      </c>
      <c r="N883" s="147" t="str">
        <f t="shared" si="16"/>
        <v/>
      </c>
      <c r="O883" s="147" t="str">
        <f t="shared" si="6"/>
        <v/>
      </c>
      <c r="P883" s="150" t="str">
        <f t="shared" si="7"/>
        <v/>
      </c>
      <c r="Q883" s="151" t="str">
        <f>IFERROR(VLOOKUP(C883,Ativos!$A$1:$G2000,5,),)</f>
        <v/>
      </c>
    </row>
    <row r="884" ht="21.0" customHeight="1">
      <c r="A884" s="152"/>
      <c r="B884" s="160"/>
      <c r="C884" s="153"/>
      <c r="D884" s="169"/>
      <c r="E884" s="139"/>
      <c r="F884" s="141"/>
      <c r="G884" s="170" t="str">
        <f>IFERROR(__xludf.DUMMYFUNCTION("if($C884="""","""",iferror(if(row()&lt;&gt;2,INDEX(arrayformula(filter($H$2:$H883,$C$2:$C883&lt;&gt;"""",row($C$2:$C883)=max(if($C$2:$C883=C884,row($C$2:$C883),0)))) ,1),0),0))"),"")</f>
        <v/>
      </c>
      <c r="H884" s="170" t="str">
        <f t="shared" si="8"/>
        <v/>
      </c>
      <c r="I884" s="147" t="str">
        <f t="shared" si="1"/>
        <v/>
      </c>
      <c r="J884" s="147" t="str">
        <f t="shared" si="13"/>
        <v/>
      </c>
      <c r="K884" s="147" t="str">
        <f>IFERROR(__xludf.DUMMYFUNCTION("if(C884="""","""",iferror(if(row()&lt;&gt;2,INDEX(arrayformula(filter($L$2:$L883,$C$2:$C883&lt;&gt;"""",row($C$2:$C883)=max(if($C$2:$C883=C884,row($C$2:$C883),0)))) ,1),0),0))"),"")</f>
        <v/>
      </c>
      <c r="L884" s="147" t="str">
        <f t="shared" si="14"/>
        <v/>
      </c>
      <c r="M884" s="147" t="str">
        <f t="shared" si="15"/>
        <v/>
      </c>
      <c r="N884" s="147" t="str">
        <f t="shared" si="16"/>
        <v/>
      </c>
      <c r="O884" s="147" t="str">
        <f t="shared" si="6"/>
        <v/>
      </c>
      <c r="P884" s="150" t="str">
        <f t="shared" si="7"/>
        <v/>
      </c>
      <c r="Q884" s="151" t="str">
        <f>IFERROR(VLOOKUP(C884,Ativos!$A$1:$G2000,5,),)</f>
        <v/>
      </c>
    </row>
    <row r="885" ht="21.0" customHeight="1">
      <c r="A885" s="152"/>
      <c r="B885" s="160"/>
      <c r="C885" s="153"/>
      <c r="D885" s="169"/>
      <c r="E885" s="139"/>
      <c r="F885" s="141"/>
      <c r="G885" s="170" t="str">
        <f>IFERROR(__xludf.DUMMYFUNCTION("if($C885="""","""",iferror(if(row()&lt;&gt;2,INDEX(arrayformula(filter($H$2:$H884,$C$2:$C884&lt;&gt;"""",row($C$2:$C884)=max(if($C$2:$C884=C885,row($C$2:$C884),0)))) ,1),0),0))"),"")</f>
        <v/>
      </c>
      <c r="H885" s="170" t="str">
        <f t="shared" si="8"/>
        <v/>
      </c>
      <c r="I885" s="147" t="str">
        <f t="shared" si="1"/>
        <v/>
      </c>
      <c r="J885" s="147" t="str">
        <f t="shared" si="13"/>
        <v/>
      </c>
      <c r="K885" s="147" t="str">
        <f>IFERROR(__xludf.DUMMYFUNCTION("if(C885="""","""",iferror(if(row()&lt;&gt;2,INDEX(arrayformula(filter($L$2:$L884,$C$2:$C884&lt;&gt;"""",row($C$2:$C884)=max(if($C$2:$C884=C885,row($C$2:$C884),0)))) ,1),0),0))"),"")</f>
        <v/>
      </c>
      <c r="L885" s="147" t="str">
        <f t="shared" si="14"/>
        <v/>
      </c>
      <c r="M885" s="147" t="str">
        <f t="shared" si="15"/>
        <v/>
      </c>
      <c r="N885" s="147" t="str">
        <f t="shared" si="16"/>
        <v/>
      </c>
      <c r="O885" s="147" t="str">
        <f t="shared" si="6"/>
        <v/>
      </c>
      <c r="P885" s="150" t="str">
        <f t="shared" si="7"/>
        <v/>
      </c>
      <c r="Q885" s="151" t="str">
        <f>IFERROR(VLOOKUP(C885,Ativos!$A$1:$G2000,5,),)</f>
        <v/>
      </c>
    </row>
    <row r="886" ht="21.0" customHeight="1">
      <c r="A886" s="152"/>
      <c r="B886" s="160"/>
      <c r="C886" s="153"/>
      <c r="D886" s="169"/>
      <c r="E886" s="139"/>
      <c r="F886" s="141"/>
      <c r="G886" s="170" t="str">
        <f>IFERROR(__xludf.DUMMYFUNCTION("if($C886="""","""",iferror(if(row()&lt;&gt;2,INDEX(arrayformula(filter($H$2:$H885,$C$2:$C885&lt;&gt;"""",row($C$2:$C885)=max(if($C$2:$C885=C886,row($C$2:$C885),0)))) ,1),0),0))"),"")</f>
        <v/>
      </c>
      <c r="H886" s="170" t="str">
        <f t="shared" si="8"/>
        <v/>
      </c>
      <c r="I886" s="147" t="str">
        <f t="shared" si="1"/>
        <v/>
      </c>
      <c r="J886" s="147" t="str">
        <f t="shared" si="13"/>
        <v/>
      </c>
      <c r="K886" s="147" t="str">
        <f>IFERROR(__xludf.DUMMYFUNCTION("if(C886="""","""",iferror(if(row()&lt;&gt;2,INDEX(arrayformula(filter($L$2:$L885,$C$2:$C885&lt;&gt;"""",row($C$2:$C885)=max(if($C$2:$C885=C886,row($C$2:$C885),0)))) ,1),0),0))"),"")</f>
        <v/>
      </c>
      <c r="L886" s="147" t="str">
        <f t="shared" si="14"/>
        <v/>
      </c>
      <c r="M886" s="147" t="str">
        <f t="shared" si="15"/>
        <v/>
      </c>
      <c r="N886" s="147" t="str">
        <f t="shared" si="16"/>
        <v/>
      </c>
      <c r="O886" s="147" t="str">
        <f t="shared" si="6"/>
        <v/>
      </c>
      <c r="P886" s="150" t="str">
        <f t="shared" si="7"/>
        <v/>
      </c>
      <c r="Q886" s="151" t="str">
        <f>IFERROR(VLOOKUP(C886,Ativos!$A$1:$G2000,5,),)</f>
        <v/>
      </c>
    </row>
    <row r="887" ht="21.0" customHeight="1">
      <c r="A887" s="152"/>
      <c r="B887" s="160"/>
      <c r="C887" s="153"/>
      <c r="D887" s="169"/>
      <c r="E887" s="139"/>
      <c r="F887" s="141"/>
      <c r="G887" s="170" t="str">
        <f>IFERROR(__xludf.DUMMYFUNCTION("if($C887="""","""",iferror(if(row()&lt;&gt;2,INDEX(arrayformula(filter($H$2:$H886,$C$2:$C886&lt;&gt;"""",row($C$2:$C886)=max(if($C$2:$C886=C887,row($C$2:$C886),0)))) ,1),0),0))"),"")</f>
        <v/>
      </c>
      <c r="H887" s="170" t="str">
        <f t="shared" si="8"/>
        <v/>
      </c>
      <c r="I887" s="147" t="str">
        <f t="shared" si="1"/>
        <v/>
      </c>
      <c r="J887" s="147" t="str">
        <f t="shared" si="13"/>
        <v/>
      </c>
      <c r="K887" s="147" t="str">
        <f>IFERROR(__xludf.DUMMYFUNCTION("if(C887="""","""",iferror(if(row()&lt;&gt;2,INDEX(arrayformula(filter($L$2:$L886,$C$2:$C886&lt;&gt;"""",row($C$2:$C886)=max(if($C$2:$C886=C887,row($C$2:$C886),0)))) ,1),0),0))"),"")</f>
        <v/>
      </c>
      <c r="L887" s="147" t="str">
        <f t="shared" si="14"/>
        <v/>
      </c>
      <c r="M887" s="147" t="str">
        <f t="shared" si="15"/>
        <v/>
      </c>
      <c r="N887" s="147" t="str">
        <f t="shared" si="16"/>
        <v/>
      </c>
      <c r="O887" s="147" t="str">
        <f t="shared" si="6"/>
        <v/>
      </c>
      <c r="P887" s="150" t="str">
        <f t="shared" si="7"/>
        <v/>
      </c>
      <c r="Q887" s="151" t="str">
        <f>IFERROR(VLOOKUP(C887,Ativos!$A$1:$G2000,5,),)</f>
        <v/>
      </c>
    </row>
    <row r="888" ht="21.0" customHeight="1">
      <c r="A888" s="152"/>
      <c r="B888" s="160"/>
      <c r="C888" s="153"/>
      <c r="D888" s="169"/>
      <c r="E888" s="139"/>
      <c r="F888" s="141"/>
      <c r="G888" s="170" t="str">
        <f>IFERROR(__xludf.DUMMYFUNCTION("if($C888="""","""",iferror(if(row()&lt;&gt;2,INDEX(arrayformula(filter($H$2:$H887,$C$2:$C887&lt;&gt;"""",row($C$2:$C887)=max(if($C$2:$C887=C888,row($C$2:$C887),0)))) ,1),0),0))"),"")</f>
        <v/>
      </c>
      <c r="H888" s="170" t="str">
        <f t="shared" si="8"/>
        <v/>
      </c>
      <c r="I888" s="147" t="str">
        <f t="shared" si="1"/>
        <v/>
      </c>
      <c r="J888" s="147" t="str">
        <f t="shared" si="13"/>
        <v/>
      </c>
      <c r="K888" s="147" t="str">
        <f>IFERROR(__xludf.DUMMYFUNCTION("if(C888="""","""",iferror(if(row()&lt;&gt;2,INDEX(arrayformula(filter($L$2:$L887,$C$2:$C887&lt;&gt;"""",row($C$2:$C887)=max(if($C$2:$C887=C888,row($C$2:$C887),0)))) ,1),0),0))"),"")</f>
        <v/>
      </c>
      <c r="L888" s="147" t="str">
        <f t="shared" si="14"/>
        <v/>
      </c>
      <c r="M888" s="147" t="str">
        <f t="shared" si="15"/>
        <v/>
      </c>
      <c r="N888" s="147" t="str">
        <f t="shared" si="16"/>
        <v/>
      </c>
      <c r="O888" s="147" t="str">
        <f t="shared" si="6"/>
        <v/>
      </c>
      <c r="P888" s="150" t="str">
        <f t="shared" si="7"/>
        <v/>
      </c>
      <c r="Q888" s="151" t="str">
        <f>IFERROR(VLOOKUP(C888,Ativos!$A$1:$G2000,5,),)</f>
        <v/>
      </c>
    </row>
    <row r="889" ht="21.0" customHeight="1">
      <c r="A889" s="152"/>
      <c r="B889" s="160"/>
      <c r="C889" s="153"/>
      <c r="D889" s="169"/>
      <c r="E889" s="139"/>
      <c r="F889" s="141"/>
      <c r="G889" s="170" t="str">
        <f>IFERROR(__xludf.DUMMYFUNCTION("if($C889="""","""",iferror(if(row()&lt;&gt;2,INDEX(arrayformula(filter($H$2:$H888,$C$2:$C888&lt;&gt;"""",row($C$2:$C888)=max(if($C$2:$C888=C889,row($C$2:$C888),0)))) ,1),0),0))"),"")</f>
        <v/>
      </c>
      <c r="H889" s="170" t="str">
        <f t="shared" si="8"/>
        <v/>
      </c>
      <c r="I889" s="147" t="str">
        <f t="shared" si="1"/>
        <v/>
      </c>
      <c r="J889" s="147" t="str">
        <f t="shared" si="13"/>
        <v/>
      </c>
      <c r="K889" s="147" t="str">
        <f>IFERROR(__xludf.DUMMYFUNCTION("if(C889="""","""",iferror(if(row()&lt;&gt;2,INDEX(arrayformula(filter($L$2:$L888,$C$2:$C888&lt;&gt;"""",row($C$2:$C888)=max(if($C$2:$C888=C889,row($C$2:$C888),0)))) ,1),0),0))"),"")</f>
        <v/>
      </c>
      <c r="L889" s="147" t="str">
        <f t="shared" si="14"/>
        <v/>
      </c>
      <c r="M889" s="147" t="str">
        <f t="shared" si="15"/>
        <v/>
      </c>
      <c r="N889" s="147" t="str">
        <f t="shared" si="16"/>
        <v/>
      </c>
      <c r="O889" s="147" t="str">
        <f t="shared" si="6"/>
        <v/>
      </c>
      <c r="P889" s="150" t="str">
        <f t="shared" si="7"/>
        <v/>
      </c>
      <c r="Q889" s="151" t="str">
        <f>IFERROR(VLOOKUP(C889,Ativos!$A$1:$G2000,5,),)</f>
        <v/>
      </c>
    </row>
    <row r="890" ht="21.0" customHeight="1">
      <c r="A890" s="152"/>
      <c r="B890" s="160"/>
      <c r="C890" s="153"/>
      <c r="D890" s="169"/>
      <c r="E890" s="139"/>
      <c r="F890" s="141"/>
      <c r="G890" s="170" t="str">
        <f>IFERROR(__xludf.DUMMYFUNCTION("if($C890="""","""",iferror(if(row()&lt;&gt;2,INDEX(arrayformula(filter($H$2:$H889,$C$2:$C889&lt;&gt;"""",row($C$2:$C889)=max(if($C$2:$C889=C890,row($C$2:$C889),0)))) ,1),0),0))"),"")</f>
        <v/>
      </c>
      <c r="H890" s="170" t="str">
        <f t="shared" si="8"/>
        <v/>
      </c>
      <c r="I890" s="147" t="str">
        <f t="shared" si="1"/>
        <v/>
      </c>
      <c r="J890" s="147" t="str">
        <f t="shared" si="13"/>
        <v/>
      </c>
      <c r="K890" s="147" t="str">
        <f>IFERROR(__xludf.DUMMYFUNCTION("if(C890="""","""",iferror(if(row()&lt;&gt;2,INDEX(arrayformula(filter($L$2:$L889,$C$2:$C889&lt;&gt;"""",row($C$2:$C889)=max(if($C$2:$C889=C890,row($C$2:$C889),0)))) ,1),0),0))"),"")</f>
        <v/>
      </c>
      <c r="L890" s="147" t="str">
        <f t="shared" si="14"/>
        <v/>
      </c>
      <c r="M890" s="147" t="str">
        <f t="shared" si="15"/>
        <v/>
      </c>
      <c r="N890" s="147" t="str">
        <f t="shared" si="16"/>
        <v/>
      </c>
      <c r="O890" s="147" t="str">
        <f t="shared" si="6"/>
        <v/>
      </c>
      <c r="P890" s="150" t="str">
        <f t="shared" si="7"/>
        <v/>
      </c>
      <c r="Q890" s="151" t="str">
        <f>IFERROR(VLOOKUP(C890,Ativos!$A$1:$G2000,5,),)</f>
        <v/>
      </c>
    </row>
    <row r="891" ht="21.0" customHeight="1">
      <c r="A891" s="152"/>
      <c r="B891" s="160"/>
      <c r="C891" s="153"/>
      <c r="D891" s="169"/>
      <c r="E891" s="139"/>
      <c r="F891" s="141"/>
      <c r="G891" s="170" t="str">
        <f>IFERROR(__xludf.DUMMYFUNCTION("if($C891="""","""",iferror(if(row()&lt;&gt;2,INDEX(arrayformula(filter($H$2:$H890,$C$2:$C890&lt;&gt;"""",row($C$2:$C890)=max(if($C$2:$C890=C891,row($C$2:$C890),0)))) ,1),0),0))"),"")</f>
        <v/>
      </c>
      <c r="H891" s="170" t="str">
        <f t="shared" si="8"/>
        <v/>
      </c>
      <c r="I891" s="147" t="str">
        <f t="shared" si="1"/>
        <v/>
      </c>
      <c r="J891" s="147" t="str">
        <f t="shared" si="13"/>
        <v/>
      </c>
      <c r="K891" s="147" t="str">
        <f>IFERROR(__xludf.DUMMYFUNCTION("if(C891="""","""",iferror(if(row()&lt;&gt;2,INDEX(arrayformula(filter($L$2:$L890,$C$2:$C890&lt;&gt;"""",row($C$2:$C890)=max(if($C$2:$C890=C891,row($C$2:$C890),0)))) ,1),0),0))"),"")</f>
        <v/>
      </c>
      <c r="L891" s="147" t="str">
        <f t="shared" si="14"/>
        <v/>
      </c>
      <c r="M891" s="147" t="str">
        <f t="shared" si="15"/>
        <v/>
      </c>
      <c r="N891" s="147" t="str">
        <f t="shared" si="16"/>
        <v/>
      </c>
      <c r="O891" s="147" t="str">
        <f t="shared" si="6"/>
        <v/>
      </c>
      <c r="P891" s="150" t="str">
        <f t="shared" si="7"/>
        <v/>
      </c>
      <c r="Q891" s="151" t="str">
        <f>IFERROR(VLOOKUP(C891,Ativos!$A$1:$G2000,5,),)</f>
        <v/>
      </c>
    </row>
    <row r="892" ht="21.0" customHeight="1">
      <c r="A892" s="152"/>
      <c r="B892" s="160"/>
      <c r="C892" s="153"/>
      <c r="D892" s="169"/>
      <c r="E892" s="139"/>
      <c r="F892" s="141"/>
      <c r="G892" s="170" t="str">
        <f>IFERROR(__xludf.DUMMYFUNCTION("if($C892="""","""",iferror(if(row()&lt;&gt;2,INDEX(arrayformula(filter($H$2:$H891,$C$2:$C891&lt;&gt;"""",row($C$2:$C891)=max(if($C$2:$C891=C892,row($C$2:$C891),0)))) ,1),0),0))"),"")</f>
        <v/>
      </c>
      <c r="H892" s="170" t="str">
        <f t="shared" si="8"/>
        <v/>
      </c>
      <c r="I892" s="147" t="str">
        <f t="shared" si="1"/>
        <v/>
      </c>
      <c r="J892" s="147" t="str">
        <f t="shared" si="13"/>
        <v/>
      </c>
      <c r="K892" s="147" t="str">
        <f>IFERROR(__xludf.DUMMYFUNCTION("if(C892="""","""",iferror(if(row()&lt;&gt;2,INDEX(arrayformula(filter($L$2:$L891,$C$2:$C891&lt;&gt;"""",row($C$2:$C891)=max(if($C$2:$C891=C892,row($C$2:$C891),0)))) ,1),0),0))"),"")</f>
        <v/>
      </c>
      <c r="L892" s="147" t="str">
        <f t="shared" si="14"/>
        <v/>
      </c>
      <c r="M892" s="147" t="str">
        <f t="shared" si="15"/>
        <v/>
      </c>
      <c r="N892" s="147" t="str">
        <f t="shared" si="16"/>
        <v/>
      </c>
      <c r="O892" s="147" t="str">
        <f t="shared" si="6"/>
        <v/>
      </c>
      <c r="P892" s="150" t="str">
        <f t="shared" si="7"/>
        <v/>
      </c>
      <c r="Q892" s="151" t="str">
        <f>IFERROR(VLOOKUP(C892,Ativos!$A$1:$G2000,5,),)</f>
        <v/>
      </c>
    </row>
    <row r="893" ht="21.0" customHeight="1">
      <c r="A893" s="152"/>
      <c r="B893" s="160"/>
      <c r="C893" s="153"/>
      <c r="D893" s="169"/>
      <c r="E893" s="139"/>
      <c r="F893" s="141"/>
      <c r="G893" s="170" t="str">
        <f>IFERROR(__xludf.DUMMYFUNCTION("if($C893="""","""",iferror(if(row()&lt;&gt;2,INDEX(arrayformula(filter($H$2:$H892,$C$2:$C892&lt;&gt;"""",row($C$2:$C892)=max(if($C$2:$C892=C893,row($C$2:$C892),0)))) ,1),0),0))"),"")</f>
        <v/>
      </c>
      <c r="H893" s="170" t="str">
        <f t="shared" si="8"/>
        <v/>
      </c>
      <c r="I893" s="147" t="str">
        <f t="shared" si="1"/>
        <v/>
      </c>
      <c r="J893" s="147" t="str">
        <f t="shared" si="13"/>
        <v/>
      </c>
      <c r="K893" s="147" t="str">
        <f>IFERROR(__xludf.DUMMYFUNCTION("if(C893="""","""",iferror(if(row()&lt;&gt;2,INDEX(arrayformula(filter($L$2:$L892,$C$2:$C892&lt;&gt;"""",row($C$2:$C892)=max(if($C$2:$C892=C893,row($C$2:$C892),0)))) ,1),0),0))"),"")</f>
        <v/>
      </c>
      <c r="L893" s="147" t="str">
        <f t="shared" si="14"/>
        <v/>
      </c>
      <c r="M893" s="147" t="str">
        <f t="shared" si="15"/>
        <v/>
      </c>
      <c r="N893" s="147" t="str">
        <f t="shared" si="16"/>
        <v/>
      </c>
      <c r="O893" s="147" t="str">
        <f t="shared" si="6"/>
        <v/>
      </c>
      <c r="P893" s="150" t="str">
        <f t="shared" si="7"/>
        <v/>
      </c>
      <c r="Q893" s="151" t="str">
        <f>IFERROR(VLOOKUP(C893,Ativos!$A$1:$G2000,5,),)</f>
        <v/>
      </c>
    </row>
    <row r="894" ht="21.0" customHeight="1">
      <c r="A894" s="152"/>
      <c r="B894" s="160"/>
      <c r="C894" s="153"/>
      <c r="D894" s="169"/>
      <c r="E894" s="139"/>
      <c r="F894" s="141"/>
      <c r="G894" s="170" t="str">
        <f>IFERROR(__xludf.DUMMYFUNCTION("if($C894="""","""",iferror(if(row()&lt;&gt;2,INDEX(arrayformula(filter($H$2:$H893,$C$2:$C893&lt;&gt;"""",row($C$2:$C893)=max(if($C$2:$C893=C894,row($C$2:$C893),0)))) ,1),0),0))"),"")</f>
        <v/>
      </c>
      <c r="H894" s="170" t="str">
        <f t="shared" si="8"/>
        <v/>
      </c>
      <c r="I894" s="147" t="str">
        <f t="shared" si="1"/>
        <v/>
      </c>
      <c r="J894" s="147" t="str">
        <f t="shared" si="13"/>
        <v/>
      </c>
      <c r="K894" s="147" t="str">
        <f>IFERROR(__xludf.DUMMYFUNCTION("if(C894="""","""",iferror(if(row()&lt;&gt;2,INDEX(arrayformula(filter($L$2:$L893,$C$2:$C893&lt;&gt;"""",row($C$2:$C893)=max(if($C$2:$C893=C894,row($C$2:$C893),0)))) ,1),0),0))"),"")</f>
        <v/>
      </c>
      <c r="L894" s="147" t="str">
        <f t="shared" si="14"/>
        <v/>
      </c>
      <c r="M894" s="147" t="str">
        <f t="shared" si="15"/>
        <v/>
      </c>
      <c r="N894" s="147" t="str">
        <f t="shared" si="16"/>
        <v/>
      </c>
      <c r="O894" s="147" t="str">
        <f t="shared" si="6"/>
        <v/>
      </c>
      <c r="P894" s="150" t="str">
        <f t="shared" si="7"/>
        <v/>
      </c>
      <c r="Q894" s="151" t="str">
        <f>IFERROR(VLOOKUP(C894,Ativos!$A$1:$G2000,5,),)</f>
        <v/>
      </c>
    </row>
    <row r="895" ht="21.0" customHeight="1">
      <c r="A895" s="152"/>
      <c r="B895" s="160"/>
      <c r="C895" s="153"/>
      <c r="D895" s="169"/>
      <c r="E895" s="139"/>
      <c r="F895" s="141"/>
      <c r="G895" s="170" t="str">
        <f>IFERROR(__xludf.DUMMYFUNCTION("if($C895="""","""",iferror(if(row()&lt;&gt;2,INDEX(arrayformula(filter($H$2:$H894,$C$2:$C894&lt;&gt;"""",row($C$2:$C894)=max(if($C$2:$C894=C895,row($C$2:$C894),0)))) ,1),0),0))"),"")</f>
        <v/>
      </c>
      <c r="H895" s="170" t="str">
        <f t="shared" si="8"/>
        <v/>
      </c>
      <c r="I895" s="147" t="str">
        <f t="shared" si="1"/>
        <v/>
      </c>
      <c r="J895" s="147" t="str">
        <f t="shared" si="13"/>
        <v/>
      </c>
      <c r="K895" s="147" t="str">
        <f>IFERROR(__xludf.DUMMYFUNCTION("if(C895="""","""",iferror(if(row()&lt;&gt;2,INDEX(arrayformula(filter($L$2:$L894,$C$2:$C894&lt;&gt;"""",row($C$2:$C894)=max(if($C$2:$C894=C895,row($C$2:$C894),0)))) ,1),0),0))"),"")</f>
        <v/>
      </c>
      <c r="L895" s="147" t="str">
        <f t="shared" si="14"/>
        <v/>
      </c>
      <c r="M895" s="147" t="str">
        <f t="shared" si="15"/>
        <v/>
      </c>
      <c r="N895" s="147" t="str">
        <f t="shared" si="16"/>
        <v/>
      </c>
      <c r="O895" s="147" t="str">
        <f t="shared" si="6"/>
        <v/>
      </c>
      <c r="P895" s="150" t="str">
        <f t="shared" si="7"/>
        <v/>
      </c>
      <c r="Q895" s="151" t="str">
        <f>IFERROR(VLOOKUP(C895,Ativos!$A$1:$G2000,5,),)</f>
        <v/>
      </c>
    </row>
    <row r="896" ht="21.0" customHeight="1">
      <c r="A896" s="152"/>
      <c r="B896" s="160"/>
      <c r="C896" s="153"/>
      <c r="D896" s="169"/>
      <c r="E896" s="139"/>
      <c r="F896" s="141"/>
      <c r="G896" s="170" t="str">
        <f>IFERROR(__xludf.DUMMYFUNCTION("if($C896="""","""",iferror(if(row()&lt;&gt;2,INDEX(arrayformula(filter($H$2:$H895,$C$2:$C895&lt;&gt;"""",row($C$2:$C895)=max(if($C$2:$C895=C896,row($C$2:$C895),0)))) ,1),0),0))"),"")</f>
        <v/>
      </c>
      <c r="H896" s="170" t="str">
        <f t="shared" si="8"/>
        <v/>
      </c>
      <c r="I896" s="147" t="str">
        <f t="shared" si="1"/>
        <v/>
      </c>
      <c r="J896" s="147" t="str">
        <f t="shared" si="13"/>
        <v/>
      </c>
      <c r="K896" s="147" t="str">
        <f>IFERROR(__xludf.DUMMYFUNCTION("if(C896="""","""",iferror(if(row()&lt;&gt;2,INDEX(arrayformula(filter($L$2:$L895,$C$2:$C895&lt;&gt;"""",row($C$2:$C895)=max(if($C$2:$C895=C896,row($C$2:$C895),0)))) ,1),0),0))"),"")</f>
        <v/>
      </c>
      <c r="L896" s="147" t="str">
        <f t="shared" si="14"/>
        <v/>
      </c>
      <c r="M896" s="147" t="str">
        <f t="shared" si="15"/>
        <v/>
      </c>
      <c r="N896" s="147" t="str">
        <f t="shared" si="16"/>
        <v/>
      </c>
      <c r="O896" s="147" t="str">
        <f t="shared" si="6"/>
        <v/>
      </c>
      <c r="P896" s="150" t="str">
        <f t="shared" si="7"/>
        <v/>
      </c>
      <c r="Q896" s="151" t="str">
        <f>IFERROR(VLOOKUP(C896,Ativos!$A$1:$G2000,5,),)</f>
        <v/>
      </c>
    </row>
    <row r="897" ht="21.0" customHeight="1">
      <c r="A897" s="152"/>
      <c r="B897" s="160"/>
      <c r="C897" s="153"/>
      <c r="D897" s="169"/>
      <c r="E897" s="139"/>
      <c r="F897" s="141"/>
      <c r="G897" s="170" t="str">
        <f>IFERROR(__xludf.DUMMYFUNCTION("if($C897="""","""",iferror(if(row()&lt;&gt;2,INDEX(arrayformula(filter($H$2:$H896,$C$2:$C896&lt;&gt;"""",row($C$2:$C896)=max(if($C$2:$C896=C897,row($C$2:$C896),0)))) ,1),0),0))"),"")</f>
        <v/>
      </c>
      <c r="H897" s="170" t="str">
        <f t="shared" si="8"/>
        <v/>
      </c>
      <c r="I897" s="147" t="str">
        <f t="shared" si="1"/>
        <v/>
      </c>
      <c r="J897" s="147" t="str">
        <f t="shared" si="13"/>
        <v/>
      </c>
      <c r="K897" s="147" t="str">
        <f>IFERROR(__xludf.DUMMYFUNCTION("if(C897="""","""",iferror(if(row()&lt;&gt;2,INDEX(arrayformula(filter($L$2:$L896,$C$2:$C896&lt;&gt;"""",row($C$2:$C896)=max(if($C$2:$C896=C897,row($C$2:$C896),0)))) ,1),0),0))"),"")</f>
        <v/>
      </c>
      <c r="L897" s="147" t="str">
        <f t="shared" si="14"/>
        <v/>
      </c>
      <c r="M897" s="147" t="str">
        <f t="shared" si="15"/>
        <v/>
      </c>
      <c r="N897" s="147" t="str">
        <f t="shared" si="16"/>
        <v/>
      </c>
      <c r="O897" s="147" t="str">
        <f t="shared" si="6"/>
        <v/>
      </c>
      <c r="P897" s="150" t="str">
        <f t="shared" si="7"/>
        <v/>
      </c>
      <c r="Q897" s="151" t="str">
        <f>IFERROR(VLOOKUP(C897,Ativos!$A$1:$G2000,5,),)</f>
        <v/>
      </c>
    </row>
    <row r="898" ht="21.0" customHeight="1">
      <c r="A898" s="152"/>
      <c r="B898" s="160"/>
      <c r="C898" s="153"/>
      <c r="D898" s="169"/>
      <c r="E898" s="139"/>
      <c r="F898" s="141"/>
      <c r="G898" s="170" t="str">
        <f>IFERROR(__xludf.DUMMYFUNCTION("if($C898="""","""",iferror(if(row()&lt;&gt;2,INDEX(arrayformula(filter($H$2:$H897,$C$2:$C897&lt;&gt;"""",row($C$2:$C897)=max(if($C$2:$C897=C898,row($C$2:$C897),0)))) ,1),0),0))"),"")</f>
        <v/>
      </c>
      <c r="H898" s="170" t="str">
        <f t="shared" si="8"/>
        <v/>
      </c>
      <c r="I898" s="147" t="str">
        <f t="shared" si="1"/>
        <v/>
      </c>
      <c r="J898" s="147" t="str">
        <f t="shared" si="13"/>
        <v/>
      </c>
      <c r="K898" s="147" t="str">
        <f>IFERROR(__xludf.DUMMYFUNCTION("if(C898="""","""",iferror(if(row()&lt;&gt;2,INDEX(arrayformula(filter($L$2:$L897,$C$2:$C897&lt;&gt;"""",row($C$2:$C897)=max(if($C$2:$C897=C898,row($C$2:$C897),0)))) ,1),0),0))"),"")</f>
        <v/>
      </c>
      <c r="L898" s="147" t="str">
        <f t="shared" si="14"/>
        <v/>
      </c>
      <c r="M898" s="147" t="str">
        <f t="shared" si="15"/>
        <v/>
      </c>
      <c r="N898" s="147" t="str">
        <f t="shared" si="16"/>
        <v/>
      </c>
      <c r="O898" s="147" t="str">
        <f t="shared" si="6"/>
        <v/>
      </c>
      <c r="P898" s="150" t="str">
        <f t="shared" si="7"/>
        <v/>
      </c>
      <c r="Q898" s="151" t="str">
        <f>IFERROR(VLOOKUP(C898,Ativos!$A$1:$G2000,5,),)</f>
        <v/>
      </c>
    </row>
    <row r="899" ht="21.0" customHeight="1">
      <c r="A899" s="152"/>
      <c r="B899" s="160"/>
      <c r="C899" s="153"/>
      <c r="D899" s="169"/>
      <c r="E899" s="139"/>
      <c r="F899" s="141"/>
      <c r="G899" s="170" t="str">
        <f>IFERROR(__xludf.DUMMYFUNCTION("if($C899="""","""",iferror(if(row()&lt;&gt;2,INDEX(arrayformula(filter($H$2:$H898,$C$2:$C898&lt;&gt;"""",row($C$2:$C898)=max(if($C$2:$C898=C899,row($C$2:$C898),0)))) ,1),0),0))"),"")</f>
        <v/>
      </c>
      <c r="H899" s="170" t="str">
        <f t="shared" si="8"/>
        <v/>
      </c>
      <c r="I899" s="147" t="str">
        <f t="shared" si="1"/>
        <v/>
      </c>
      <c r="J899" s="147" t="str">
        <f t="shared" si="13"/>
        <v/>
      </c>
      <c r="K899" s="147" t="str">
        <f>IFERROR(__xludf.DUMMYFUNCTION("if(C899="""","""",iferror(if(row()&lt;&gt;2,INDEX(arrayformula(filter($L$2:$L898,$C$2:$C898&lt;&gt;"""",row($C$2:$C898)=max(if($C$2:$C898=C899,row($C$2:$C898),0)))) ,1),0),0))"),"")</f>
        <v/>
      </c>
      <c r="L899" s="147" t="str">
        <f t="shared" si="14"/>
        <v/>
      </c>
      <c r="M899" s="147" t="str">
        <f t="shared" si="15"/>
        <v/>
      </c>
      <c r="N899" s="147" t="str">
        <f t="shared" si="16"/>
        <v/>
      </c>
      <c r="O899" s="147" t="str">
        <f t="shared" si="6"/>
        <v/>
      </c>
      <c r="P899" s="150" t="str">
        <f t="shared" si="7"/>
        <v/>
      </c>
      <c r="Q899" s="151" t="str">
        <f>IFERROR(VLOOKUP(C899,Ativos!$A$1:$G2000,5,),)</f>
        <v/>
      </c>
    </row>
    <row r="900" ht="21.0" customHeight="1">
      <c r="A900" s="152"/>
      <c r="B900" s="160"/>
      <c r="C900" s="153"/>
      <c r="D900" s="169"/>
      <c r="E900" s="139"/>
      <c r="F900" s="141"/>
      <c r="G900" s="170" t="str">
        <f>IFERROR(__xludf.DUMMYFUNCTION("if($C900="""","""",iferror(if(row()&lt;&gt;2,INDEX(arrayformula(filter($H$2:$H899,$C$2:$C899&lt;&gt;"""",row($C$2:$C899)=max(if($C$2:$C899=C900,row($C$2:$C899),0)))) ,1),0),0))"),"")</f>
        <v/>
      </c>
      <c r="H900" s="170" t="str">
        <f t="shared" si="8"/>
        <v/>
      </c>
      <c r="I900" s="147" t="str">
        <f t="shared" si="1"/>
        <v/>
      </c>
      <c r="J900" s="147" t="str">
        <f t="shared" si="13"/>
        <v/>
      </c>
      <c r="K900" s="147" t="str">
        <f>IFERROR(__xludf.DUMMYFUNCTION("if(C900="""","""",iferror(if(row()&lt;&gt;2,INDEX(arrayformula(filter($L$2:$L899,$C$2:$C899&lt;&gt;"""",row($C$2:$C899)=max(if($C$2:$C899=C900,row($C$2:$C899),0)))) ,1),0),0))"),"")</f>
        <v/>
      </c>
      <c r="L900" s="147" t="str">
        <f t="shared" si="14"/>
        <v/>
      </c>
      <c r="M900" s="147" t="str">
        <f t="shared" si="15"/>
        <v/>
      </c>
      <c r="N900" s="147" t="str">
        <f t="shared" si="16"/>
        <v/>
      </c>
      <c r="O900" s="147" t="str">
        <f t="shared" si="6"/>
        <v/>
      </c>
      <c r="P900" s="150" t="str">
        <f t="shared" si="7"/>
        <v/>
      </c>
      <c r="Q900" s="151" t="str">
        <f>IFERROR(VLOOKUP(C900,Ativos!$A$1:$G2000,5,),)</f>
        <v/>
      </c>
    </row>
    <row r="901" ht="21.0" customHeight="1">
      <c r="A901" s="152"/>
      <c r="B901" s="160"/>
      <c r="C901" s="153"/>
      <c r="D901" s="169"/>
      <c r="E901" s="139"/>
      <c r="F901" s="141"/>
      <c r="G901" s="170" t="str">
        <f>IFERROR(__xludf.DUMMYFUNCTION("if($C901="""","""",iferror(if(row()&lt;&gt;2,INDEX(arrayformula(filter($H$2:$H900,$C$2:$C900&lt;&gt;"""",row($C$2:$C900)=max(if($C$2:$C900=C901,row($C$2:$C900),0)))) ,1),0),0))"),"")</f>
        <v/>
      </c>
      <c r="H901" s="170" t="str">
        <f t="shared" si="8"/>
        <v/>
      </c>
      <c r="I901" s="147" t="str">
        <f t="shared" si="1"/>
        <v/>
      </c>
      <c r="J901" s="147" t="str">
        <f t="shared" si="13"/>
        <v/>
      </c>
      <c r="K901" s="147" t="str">
        <f>IFERROR(__xludf.DUMMYFUNCTION("if(C901="""","""",iferror(if(row()&lt;&gt;2,INDEX(arrayformula(filter($L$2:$L900,$C$2:$C900&lt;&gt;"""",row($C$2:$C900)=max(if($C$2:$C900=C901,row($C$2:$C900),0)))) ,1),0),0))"),"")</f>
        <v/>
      </c>
      <c r="L901" s="147" t="str">
        <f t="shared" si="14"/>
        <v/>
      </c>
      <c r="M901" s="147" t="str">
        <f t="shared" si="15"/>
        <v/>
      </c>
      <c r="N901" s="147" t="str">
        <f t="shared" si="16"/>
        <v/>
      </c>
      <c r="O901" s="147" t="str">
        <f t="shared" si="6"/>
        <v/>
      </c>
      <c r="P901" s="150" t="str">
        <f t="shared" si="7"/>
        <v/>
      </c>
      <c r="Q901" s="151" t="str">
        <f>IFERROR(VLOOKUP(C901,Ativos!$A$1:$G2000,5,),)</f>
        <v/>
      </c>
    </row>
    <row r="902" ht="21.0" customHeight="1">
      <c r="A902" s="152"/>
      <c r="B902" s="160"/>
      <c r="C902" s="153"/>
      <c r="D902" s="169"/>
      <c r="E902" s="139"/>
      <c r="F902" s="141"/>
      <c r="G902" s="170" t="str">
        <f>IFERROR(__xludf.DUMMYFUNCTION("if($C902="""","""",iferror(if(row()&lt;&gt;2,INDEX(arrayformula(filter($H$2:$H901,$C$2:$C901&lt;&gt;"""",row($C$2:$C901)=max(if($C$2:$C901=C902,row($C$2:$C901),0)))) ,1),0),0))"),"")</f>
        <v/>
      </c>
      <c r="H902" s="170" t="str">
        <f t="shared" si="8"/>
        <v/>
      </c>
      <c r="I902" s="147" t="str">
        <f t="shared" si="1"/>
        <v/>
      </c>
      <c r="J902" s="147" t="str">
        <f t="shared" si="13"/>
        <v/>
      </c>
      <c r="K902" s="147" t="str">
        <f>IFERROR(__xludf.DUMMYFUNCTION("if(C902="""","""",iferror(if(row()&lt;&gt;2,INDEX(arrayformula(filter($L$2:$L901,$C$2:$C901&lt;&gt;"""",row($C$2:$C901)=max(if($C$2:$C901=C902,row($C$2:$C901),0)))) ,1),0),0))"),"")</f>
        <v/>
      </c>
      <c r="L902" s="147" t="str">
        <f t="shared" si="14"/>
        <v/>
      </c>
      <c r="M902" s="147" t="str">
        <f t="shared" si="15"/>
        <v/>
      </c>
      <c r="N902" s="147" t="str">
        <f t="shared" si="16"/>
        <v/>
      </c>
      <c r="O902" s="147" t="str">
        <f t="shared" si="6"/>
        <v/>
      </c>
      <c r="P902" s="150" t="str">
        <f t="shared" si="7"/>
        <v/>
      </c>
      <c r="Q902" s="151" t="str">
        <f>IFERROR(VLOOKUP(C902,Ativos!$A$1:$G2000,5,),)</f>
        <v/>
      </c>
    </row>
    <row r="903" ht="21.0" customHeight="1">
      <c r="A903" s="152"/>
      <c r="B903" s="160"/>
      <c r="C903" s="153"/>
      <c r="D903" s="169"/>
      <c r="E903" s="139"/>
      <c r="F903" s="141"/>
      <c r="G903" s="170" t="str">
        <f>IFERROR(__xludf.DUMMYFUNCTION("if($C903="""","""",iferror(if(row()&lt;&gt;2,INDEX(arrayformula(filter($H$2:$H902,$C$2:$C902&lt;&gt;"""",row($C$2:$C902)=max(if($C$2:$C902=C903,row($C$2:$C902),0)))) ,1),0),0))"),"")</f>
        <v/>
      </c>
      <c r="H903" s="170" t="str">
        <f t="shared" si="8"/>
        <v/>
      </c>
      <c r="I903" s="147" t="str">
        <f t="shared" si="1"/>
        <v/>
      </c>
      <c r="J903" s="147" t="str">
        <f t="shared" si="13"/>
        <v/>
      </c>
      <c r="K903" s="147" t="str">
        <f>IFERROR(__xludf.DUMMYFUNCTION("if(C903="""","""",iferror(if(row()&lt;&gt;2,INDEX(arrayformula(filter($L$2:$L902,$C$2:$C902&lt;&gt;"""",row($C$2:$C902)=max(if($C$2:$C902=C903,row($C$2:$C902),0)))) ,1),0),0))"),"")</f>
        <v/>
      </c>
      <c r="L903" s="147" t="str">
        <f t="shared" si="14"/>
        <v/>
      </c>
      <c r="M903" s="147" t="str">
        <f t="shared" si="15"/>
        <v/>
      </c>
      <c r="N903" s="147" t="str">
        <f t="shared" si="16"/>
        <v/>
      </c>
      <c r="O903" s="147" t="str">
        <f t="shared" si="6"/>
        <v/>
      </c>
      <c r="P903" s="150" t="str">
        <f t="shared" si="7"/>
        <v/>
      </c>
      <c r="Q903" s="151" t="str">
        <f>IFERROR(VLOOKUP(C903,Ativos!$A$1:$G2000,5,),)</f>
        <v/>
      </c>
    </row>
    <row r="904" ht="21.0" customHeight="1">
      <c r="A904" s="152"/>
      <c r="B904" s="160"/>
      <c r="C904" s="153"/>
      <c r="D904" s="169"/>
      <c r="E904" s="139"/>
      <c r="F904" s="141"/>
      <c r="G904" s="170" t="str">
        <f>IFERROR(__xludf.DUMMYFUNCTION("if($C904="""","""",iferror(if(row()&lt;&gt;2,INDEX(arrayformula(filter($H$2:$H903,$C$2:$C903&lt;&gt;"""",row($C$2:$C903)=max(if($C$2:$C903=C904,row($C$2:$C903),0)))) ,1),0),0))"),"")</f>
        <v/>
      </c>
      <c r="H904" s="170" t="str">
        <f t="shared" si="8"/>
        <v/>
      </c>
      <c r="I904" s="147" t="str">
        <f t="shared" si="1"/>
        <v/>
      </c>
      <c r="J904" s="147" t="str">
        <f t="shared" si="13"/>
        <v/>
      </c>
      <c r="K904" s="147" t="str">
        <f>IFERROR(__xludf.DUMMYFUNCTION("if(C904="""","""",iferror(if(row()&lt;&gt;2,INDEX(arrayformula(filter($L$2:$L903,$C$2:$C903&lt;&gt;"""",row($C$2:$C903)=max(if($C$2:$C903=C904,row($C$2:$C903),0)))) ,1),0),0))"),"")</f>
        <v/>
      </c>
      <c r="L904" s="147" t="str">
        <f t="shared" si="14"/>
        <v/>
      </c>
      <c r="M904" s="147" t="str">
        <f t="shared" si="15"/>
        <v/>
      </c>
      <c r="N904" s="147" t="str">
        <f t="shared" si="16"/>
        <v/>
      </c>
      <c r="O904" s="147" t="str">
        <f t="shared" si="6"/>
        <v/>
      </c>
      <c r="P904" s="150" t="str">
        <f t="shared" si="7"/>
        <v/>
      </c>
      <c r="Q904" s="151" t="str">
        <f>IFERROR(VLOOKUP(C904,Ativos!$A$1:$G2000,5,),)</f>
        <v/>
      </c>
    </row>
    <row r="905" ht="21.0" customHeight="1">
      <c r="A905" s="152"/>
      <c r="B905" s="160"/>
      <c r="C905" s="153"/>
      <c r="D905" s="169"/>
      <c r="E905" s="139"/>
      <c r="F905" s="141"/>
      <c r="G905" s="170" t="str">
        <f>IFERROR(__xludf.DUMMYFUNCTION("if($C905="""","""",iferror(if(row()&lt;&gt;2,INDEX(arrayformula(filter($H$2:$H904,$C$2:$C904&lt;&gt;"""",row($C$2:$C904)=max(if($C$2:$C904=C905,row($C$2:$C904),0)))) ,1),0),0))"),"")</f>
        <v/>
      </c>
      <c r="H905" s="170" t="str">
        <f t="shared" si="8"/>
        <v/>
      </c>
      <c r="I905" s="147" t="str">
        <f t="shared" si="1"/>
        <v/>
      </c>
      <c r="J905" s="147" t="str">
        <f t="shared" si="13"/>
        <v/>
      </c>
      <c r="K905" s="147" t="str">
        <f>IFERROR(__xludf.DUMMYFUNCTION("if(C905="""","""",iferror(if(row()&lt;&gt;2,INDEX(arrayformula(filter($L$2:$L904,$C$2:$C904&lt;&gt;"""",row($C$2:$C904)=max(if($C$2:$C904=C905,row($C$2:$C904),0)))) ,1),0),0))"),"")</f>
        <v/>
      </c>
      <c r="L905" s="147" t="str">
        <f t="shared" si="14"/>
        <v/>
      </c>
      <c r="M905" s="147" t="str">
        <f t="shared" si="15"/>
        <v/>
      </c>
      <c r="N905" s="147" t="str">
        <f t="shared" si="16"/>
        <v/>
      </c>
      <c r="O905" s="147" t="str">
        <f t="shared" si="6"/>
        <v/>
      </c>
      <c r="P905" s="150" t="str">
        <f t="shared" si="7"/>
        <v/>
      </c>
      <c r="Q905" s="151" t="str">
        <f>IFERROR(VLOOKUP(C905,Ativos!$A$1:$G2000,5,),)</f>
        <v/>
      </c>
    </row>
    <row r="906" ht="21.0" customHeight="1">
      <c r="A906" s="152"/>
      <c r="B906" s="160"/>
      <c r="C906" s="153"/>
      <c r="D906" s="169"/>
      <c r="E906" s="139"/>
      <c r="F906" s="141"/>
      <c r="G906" s="170" t="str">
        <f>IFERROR(__xludf.DUMMYFUNCTION("if($C906="""","""",iferror(if(row()&lt;&gt;2,INDEX(arrayformula(filter($H$2:$H905,$C$2:$C905&lt;&gt;"""",row($C$2:$C905)=max(if($C$2:$C905=C906,row($C$2:$C905),0)))) ,1),0),0))"),"")</f>
        <v/>
      </c>
      <c r="H906" s="170" t="str">
        <f t="shared" si="8"/>
        <v/>
      </c>
      <c r="I906" s="147" t="str">
        <f t="shared" si="1"/>
        <v/>
      </c>
      <c r="J906" s="147" t="str">
        <f t="shared" si="13"/>
        <v/>
      </c>
      <c r="K906" s="147" t="str">
        <f>IFERROR(__xludf.DUMMYFUNCTION("if(C906="""","""",iferror(if(row()&lt;&gt;2,INDEX(arrayformula(filter($L$2:$L905,$C$2:$C905&lt;&gt;"""",row($C$2:$C905)=max(if($C$2:$C905=C906,row($C$2:$C905),0)))) ,1),0),0))"),"")</f>
        <v/>
      </c>
      <c r="L906" s="147" t="str">
        <f t="shared" si="14"/>
        <v/>
      </c>
      <c r="M906" s="147" t="str">
        <f t="shared" si="15"/>
        <v/>
      </c>
      <c r="N906" s="147" t="str">
        <f t="shared" si="16"/>
        <v/>
      </c>
      <c r="O906" s="147" t="str">
        <f t="shared" si="6"/>
        <v/>
      </c>
      <c r="P906" s="150" t="str">
        <f t="shared" si="7"/>
        <v/>
      </c>
      <c r="Q906" s="151" t="str">
        <f>IFERROR(VLOOKUP(C906,Ativos!$A$1:$G2000,5,),)</f>
        <v/>
      </c>
    </row>
    <row r="907" ht="21.0" customHeight="1">
      <c r="A907" s="152"/>
      <c r="B907" s="160"/>
      <c r="C907" s="153"/>
      <c r="D907" s="169"/>
      <c r="E907" s="139"/>
      <c r="F907" s="141"/>
      <c r="G907" s="170" t="str">
        <f>IFERROR(__xludf.DUMMYFUNCTION("if($C907="""","""",iferror(if(row()&lt;&gt;2,INDEX(arrayformula(filter($H$2:$H906,$C$2:$C906&lt;&gt;"""",row($C$2:$C906)=max(if($C$2:$C906=C907,row($C$2:$C906),0)))) ,1),0),0))"),"")</f>
        <v/>
      </c>
      <c r="H907" s="170" t="str">
        <f t="shared" si="8"/>
        <v/>
      </c>
      <c r="I907" s="147" t="str">
        <f t="shared" si="1"/>
        <v/>
      </c>
      <c r="J907" s="147" t="str">
        <f t="shared" si="13"/>
        <v/>
      </c>
      <c r="K907" s="147" t="str">
        <f>IFERROR(__xludf.DUMMYFUNCTION("if(C907="""","""",iferror(if(row()&lt;&gt;2,INDEX(arrayformula(filter($L$2:$L906,$C$2:$C906&lt;&gt;"""",row($C$2:$C906)=max(if($C$2:$C906=C907,row($C$2:$C906),0)))) ,1),0),0))"),"")</f>
        <v/>
      </c>
      <c r="L907" s="147" t="str">
        <f t="shared" si="14"/>
        <v/>
      </c>
      <c r="M907" s="147" t="str">
        <f t="shared" si="15"/>
        <v/>
      </c>
      <c r="N907" s="147" t="str">
        <f t="shared" si="16"/>
        <v/>
      </c>
      <c r="O907" s="147" t="str">
        <f t="shared" si="6"/>
        <v/>
      </c>
      <c r="P907" s="150" t="str">
        <f t="shared" si="7"/>
        <v/>
      </c>
      <c r="Q907" s="151" t="str">
        <f>IFERROR(VLOOKUP(C907,Ativos!$A$1:$G2000,5,),)</f>
        <v/>
      </c>
    </row>
    <row r="908" ht="21.0" customHeight="1">
      <c r="A908" s="152"/>
      <c r="B908" s="160"/>
      <c r="C908" s="153"/>
      <c r="D908" s="169"/>
      <c r="E908" s="139"/>
      <c r="F908" s="141"/>
      <c r="G908" s="170" t="str">
        <f>IFERROR(__xludf.DUMMYFUNCTION("if($C908="""","""",iferror(if(row()&lt;&gt;2,INDEX(arrayformula(filter($H$2:$H907,$C$2:$C907&lt;&gt;"""",row($C$2:$C907)=max(if($C$2:$C907=C908,row($C$2:$C907),0)))) ,1),0),0))"),"")</f>
        <v/>
      </c>
      <c r="H908" s="170" t="str">
        <f t="shared" si="8"/>
        <v/>
      </c>
      <c r="I908" s="147" t="str">
        <f t="shared" si="1"/>
        <v/>
      </c>
      <c r="J908" s="147" t="str">
        <f t="shared" si="13"/>
        <v/>
      </c>
      <c r="K908" s="147" t="str">
        <f>IFERROR(__xludf.DUMMYFUNCTION("if(C908="""","""",iferror(if(row()&lt;&gt;2,INDEX(arrayformula(filter($L$2:$L907,$C$2:$C907&lt;&gt;"""",row($C$2:$C907)=max(if($C$2:$C907=C908,row($C$2:$C907),0)))) ,1),0),0))"),"")</f>
        <v/>
      </c>
      <c r="L908" s="147" t="str">
        <f t="shared" si="14"/>
        <v/>
      </c>
      <c r="M908" s="147" t="str">
        <f t="shared" si="15"/>
        <v/>
      </c>
      <c r="N908" s="147" t="str">
        <f t="shared" si="16"/>
        <v/>
      </c>
      <c r="O908" s="147" t="str">
        <f t="shared" si="6"/>
        <v/>
      </c>
      <c r="P908" s="150" t="str">
        <f t="shared" si="7"/>
        <v/>
      </c>
      <c r="Q908" s="151" t="str">
        <f>IFERROR(VLOOKUP(C908,Ativos!$A$1:$G2000,5,),)</f>
        <v/>
      </c>
    </row>
    <row r="909" ht="21.0" customHeight="1">
      <c r="A909" s="152"/>
      <c r="B909" s="160"/>
      <c r="C909" s="153"/>
      <c r="D909" s="169"/>
      <c r="E909" s="139"/>
      <c r="F909" s="141"/>
      <c r="G909" s="170" t="str">
        <f>IFERROR(__xludf.DUMMYFUNCTION("if($C909="""","""",iferror(if(row()&lt;&gt;2,INDEX(arrayformula(filter($H$2:$H908,$C$2:$C908&lt;&gt;"""",row($C$2:$C908)=max(if($C$2:$C908=C909,row($C$2:$C908),0)))) ,1),0),0))"),"")</f>
        <v/>
      </c>
      <c r="H909" s="170" t="str">
        <f t="shared" si="8"/>
        <v/>
      </c>
      <c r="I909" s="147" t="str">
        <f t="shared" si="1"/>
        <v/>
      </c>
      <c r="J909" s="147" t="str">
        <f t="shared" si="13"/>
        <v/>
      </c>
      <c r="K909" s="147" t="str">
        <f>IFERROR(__xludf.DUMMYFUNCTION("if(C909="""","""",iferror(if(row()&lt;&gt;2,INDEX(arrayformula(filter($L$2:$L908,$C$2:$C908&lt;&gt;"""",row($C$2:$C908)=max(if($C$2:$C908=C909,row($C$2:$C908),0)))) ,1),0),0))"),"")</f>
        <v/>
      </c>
      <c r="L909" s="147" t="str">
        <f t="shared" si="14"/>
        <v/>
      </c>
      <c r="M909" s="147" t="str">
        <f t="shared" si="15"/>
        <v/>
      </c>
      <c r="N909" s="147" t="str">
        <f t="shared" si="16"/>
        <v/>
      </c>
      <c r="O909" s="147" t="str">
        <f t="shared" si="6"/>
        <v/>
      </c>
      <c r="P909" s="150" t="str">
        <f t="shared" si="7"/>
        <v/>
      </c>
      <c r="Q909" s="151" t="str">
        <f>IFERROR(VLOOKUP(C909,Ativos!$A$1:$G2000,5,),)</f>
        <v/>
      </c>
    </row>
    <row r="910" ht="21.0" customHeight="1">
      <c r="A910" s="152"/>
      <c r="B910" s="160"/>
      <c r="C910" s="153"/>
      <c r="D910" s="169"/>
      <c r="E910" s="139"/>
      <c r="F910" s="141"/>
      <c r="G910" s="170" t="str">
        <f>IFERROR(__xludf.DUMMYFUNCTION("if($C910="""","""",iferror(if(row()&lt;&gt;2,INDEX(arrayformula(filter($H$2:$H909,$C$2:$C909&lt;&gt;"""",row($C$2:$C909)=max(if($C$2:$C909=C910,row($C$2:$C909),0)))) ,1),0),0))"),"")</f>
        <v/>
      </c>
      <c r="H910" s="170" t="str">
        <f t="shared" si="8"/>
        <v/>
      </c>
      <c r="I910" s="147" t="str">
        <f t="shared" si="1"/>
        <v/>
      </c>
      <c r="J910" s="147" t="str">
        <f t="shared" si="13"/>
        <v/>
      </c>
      <c r="K910" s="147" t="str">
        <f>IFERROR(__xludf.DUMMYFUNCTION("if(C910="""","""",iferror(if(row()&lt;&gt;2,INDEX(arrayformula(filter($L$2:$L909,$C$2:$C909&lt;&gt;"""",row($C$2:$C909)=max(if($C$2:$C909=C910,row($C$2:$C909),0)))) ,1),0),0))"),"")</f>
        <v/>
      </c>
      <c r="L910" s="147" t="str">
        <f t="shared" si="14"/>
        <v/>
      </c>
      <c r="M910" s="147" t="str">
        <f t="shared" si="15"/>
        <v/>
      </c>
      <c r="N910" s="147" t="str">
        <f t="shared" si="16"/>
        <v/>
      </c>
      <c r="O910" s="147" t="str">
        <f t="shared" si="6"/>
        <v/>
      </c>
      <c r="P910" s="150" t="str">
        <f t="shared" si="7"/>
        <v/>
      </c>
      <c r="Q910" s="151" t="str">
        <f>IFERROR(VLOOKUP(C910,Ativos!$A$1:$G2000,5,),)</f>
        <v/>
      </c>
    </row>
    <row r="911" ht="21.0" customHeight="1">
      <c r="A911" s="152"/>
      <c r="B911" s="160"/>
      <c r="C911" s="153"/>
      <c r="D911" s="169"/>
      <c r="E911" s="139"/>
      <c r="F911" s="141"/>
      <c r="G911" s="170" t="str">
        <f>IFERROR(__xludf.DUMMYFUNCTION("if($C911="""","""",iferror(if(row()&lt;&gt;2,INDEX(arrayformula(filter($H$2:$H910,$C$2:$C910&lt;&gt;"""",row($C$2:$C910)=max(if($C$2:$C910=C911,row($C$2:$C910),0)))) ,1),0),0))"),"")</f>
        <v/>
      </c>
      <c r="H911" s="170" t="str">
        <f t="shared" si="8"/>
        <v/>
      </c>
      <c r="I911" s="147" t="str">
        <f t="shared" si="1"/>
        <v/>
      </c>
      <c r="J911" s="147" t="str">
        <f t="shared" si="13"/>
        <v/>
      </c>
      <c r="K911" s="147" t="str">
        <f>IFERROR(__xludf.DUMMYFUNCTION("if(C911="""","""",iferror(if(row()&lt;&gt;2,INDEX(arrayformula(filter($L$2:$L910,$C$2:$C910&lt;&gt;"""",row($C$2:$C910)=max(if($C$2:$C910=C911,row($C$2:$C910),0)))) ,1),0),0))"),"")</f>
        <v/>
      </c>
      <c r="L911" s="147" t="str">
        <f t="shared" si="14"/>
        <v/>
      </c>
      <c r="M911" s="147" t="str">
        <f t="shared" si="15"/>
        <v/>
      </c>
      <c r="N911" s="147" t="str">
        <f t="shared" si="16"/>
        <v/>
      </c>
      <c r="O911" s="147" t="str">
        <f t="shared" si="6"/>
        <v/>
      </c>
      <c r="P911" s="150" t="str">
        <f t="shared" si="7"/>
        <v/>
      </c>
      <c r="Q911" s="151" t="str">
        <f>IFERROR(VLOOKUP(C911,Ativos!$A$1:$G2000,5,),)</f>
        <v/>
      </c>
    </row>
    <row r="912" ht="21.0" customHeight="1">
      <c r="A912" s="152"/>
      <c r="B912" s="160"/>
      <c r="C912" s="153"/>
      <c r="D912" s="169"/>
      <c r="E912" s="139"/>
      <c r="F912" s="141"/>
      <c r="G912" s="170" t="str">
        <f>IFERROR(__xludf.DUMMYFUNCTION("if($C912="""","""",iferror(if(row()&lt;&gt;2,INDEX(arrayformula(filter($H$2:$H911,$C$2:$C911&lt;&gt;"""",row($C$2:$C911)=max(if($C$2:$C911=C912,row($C$2:$C911),0)))) ,1),0),0))"),"")</f>
        <v/>
      </c>
      <c r="H912" s="170" t="str">
        <f t="shared" si="8"/>
        <v/>
      </c>
      <c r="I912" s="147" t="str">
        <f t="shared" si="1"/>
        <v/>
      </c>
      <c r="J912" s="147" t="str">
        <f t="shared" si="13"/>
        <v/>
      </c>
      <c r="K912" s="147" t="str">
        <f>IFERROR(__xludf.DUMMYFUNCTION("if(C912="""","""",iferror(if(row()&lt;&gt;2,INDEX(arrayformula(filter($L$2:$L911,$C$2:$C911&lt;&gt;"""",row($C$2:$C911)=max(if($C$2:$C911=C912,row($C$2:$C911),0)))) ,1),0),0))"),"")</f>
        <v/>
      </c>
      <c r="L912" s="147" t="str">
        <f t="shared" si="14"/>
        <v/>
      </c>
      <c r="M912" s="147" t="str">
        <f t="shared" si="15"/>
        <v/>
      </c>
      <c r="N912" s="147" t="str">
        <f t="shared" si="16"/>
        <v/>
      </c>
      <c r="O912" s="147" t="str">
        <f t="shared" si="6"/>
        <v/>
      </c>
      <c r="P912" s="150" t="str">
        <f t="shared" si="7"/>
        <v/>
      </c>
      <c r="Q912" s="151" t="str">
        <f>IFERROR(VLOOKUP(C912,Ativos!$A$1:$G2000,5,),)</f>
        <v/>
      </c>
    </row>
    <row r="913" ht="21.0" customHeight="1">
      <c r="A913" s="152"/>
      <c r="B913" s="160"/>
      <c r="C913" s="153"/>
      <c r="D913" s="169"/>
      <c r="E913" s="139"/>
      <c r="F913" s="141"/>
      <c r="G913" s="170" t="str">
        <f>IFERROR(__xludf.DUMMYFUNCTION("if($C913="""","""",iferror(if(row()&lt;&gt;2,INDEX(arrayformula(filter($H$2:$H912,$C$2:$C912&lt;&gt;"""",row($C$2:$C912)=max(if($C$2:$C912=C913,row($C$2:$C912),0)))) ,1),0),0))"),"")</f>
        <v/>
      </c>
      <c r="H913" s="170" t="str">
        <f t="shared" si="8"/>
        <v/>
      </c>
      <c r="I913" s="147" t="str">
        <f t="shared" si="1"/>
        <v/>
      </c>
      <c r="J913" s="147" t="str">
        <f t="shared" si="13"/>
        <v/>
      </c>
      <c r="K913" s="147" t="str">
        <f>IFERROR(__xludf.DUMMYFUNCTION("if(C913="""","""",iferror(if(row()&lt;&gt;2,INDEX(arrayformula(filter($L$2:$L912,$C$2:$C912&lt;&gt;"""",row($C$2:$C912)=max(if($C$2:$C912=C913,row($C$2:$C912),0)))) ,1),0),0))"),"")</f>
        <v/>
      </c>
      <c r="L913" s="147" t="str">
        <f t="shared" si="14"/>
        <v/>
      </c>
      <c r="M913" s="147" t="str">
        <f t="shared" si="15"/>
        <v/>
      </c>
      <c r="N913" s="147" t="str">
        <f t="shared" si="16"/>
        <v/>
      </c>
      <c r="O913" s="147" t="str">
        <f t="shared" si="6"/>
        <v/>
      </c>
      <c r="P913" s="150" t="str">
        <f t="shared" si="7"/>
        <v/>
      </c>
      <c r="Q913" s="151" t="str">
        <f>IFERROR(VLOOKUP(C913,Ativos!$A$1:$G2000,5,),)</f>
        <v/>
      </c>
    </row>
    <row r="914" ht="21.0" customHeight="1">
      <c r="A914" s="152"/>
      <c r="B914" s="160"/>
      <c r="C914" s="153"/>
      <c r="D914" s="169"/>
      <c r="E914" s="139"/>
      <c r="F914" s="141"/>
      <c r="G914" s="170" t="str">
        <f>IFERROR(__xludf.DUMMYFUNCTION("if($C914="""","""",iferror(if(row()&lt;&gt;2,INDEX(arrayformula(filter($H$2:$H913,$C$2:$C913&lt;&gt;"""",row($C$2:$C913)=max(if($C$2:$C913=C914,row($C$2:$C913),0)))) ,1),0),0))"),"")</f>
        <v/>
      </c>
      <c r="H914" s="170" t="str">
        <f t="shared" si="8"/>
        <v/>
      </c>
      <c r="I914" s="147" t="str">
        <f t="shared" si="1"/>
        <v/>
      </c>
      <c r="J914" s="147" t="str">
        <f t="shared" si="13"/>
        <v/>
      </c>
      <c r="K914" s="147" t="str">
        <f>IFERROR(__xludf.DUMMYFUNCTION("if(C914="""","""",iferror(if(row()&lt;&gt;2,INDEX(arrayformula(filter($L$2:$L913,$C$2:$C913&lt;&gt;"""",row($C$2:$C913)=max(if($C$2:$C913=C914,row($C$2:$C913),0)))) ,1),0),0))"),"")</f>
        <v/>
      </c>
      <c r="L914" s="147" t="str">
        <f t="shared" si="14"/>
        <v/>
      </c>
      <c r="M914" s="147" t="str">
        <f t="shared" si="15"/>
        <v/>
      </c>
      <c r="N914" s="147" t="str">
        <f t="shared" si="16"/>
        <v/>
      </c>
      <c r="O914" s="147" t="str">
        <f t="shared" si="6"/>
        <v/>
      </c>
      <c r="P914" s="150" t="str">
        <f t="shared" si="7"/>
        <v/>
      </c>
      <c r="Q914" s="151" t="str">
        <f>IFERROR(VLOOKUP(C914,Ativos!$A$1:$G2000,5,),)</f>
        <v/>
      </c>
    </row>
    <row r="915" ht="21.0" customHeight="1">
      <c r="A915" s="152"/>
      <c r="B915" s="160"/>
      <c r="C915" s="153"/>
      <c r="D915" s="169"/>
      <c r="E915" s="139"/>
      <c r="F915" s="141"/>
      <c r="G915" s="170" t="str">
        <f>IFERROR(__xludf.DUMMYFUNCTION("if($C915="""","""",iferror(if(row()&lt;&gt;2,INDEX(arrayformula(filter($H$2:$H914,$C$2:$C914&lt;&gt;"""",row($C$2:$C914)=max(if($C$2:$C914=C915,row($C$2:$C914),0)))) ,1),0),0))"),"")</f>
        <v/>
      </c>
      <c r="H915" s="170" t="str">
        <f t="shared" si="8"/>
        <v/>
      </c>
      <c r="I915" s="147" t="str">
        <f t="shared" si="1"/>
        <v/>
      </c>
      <c r="J915" s="147" t="str">
        <f t="shared" si="13"/>
        <v/>
      </c>
      <c r="K915" s="147" t="str">
        <f>IFERROR(__xludf.DUMMYFUNCTION("if(C915="""","""",iferror(if(row()&lt;&gt;2,INDEX(arrayformula(filter($L$2:$L914,$C$2:$C914&lt;&gt;"""",row($C$2:$C914)=max(if($C$2:$C914=C915,row($C$2:$C914),0)))) ,1),0),0))"),"")</f>
        <v/>
      </c>
      <c r="L915" s="147" t="str">
        <f t="shared" si="14"/>
        <v/>
      </c>
      <c r="M915" s="147" t="str">
        <f t="shared" si="15"/>
        <v/>
      </c>
      <c r="N915" s="147" t="str">
        <f t="shared" si="16"/>
        <v/>
      </c>
      <c r="O915" s="147" t="str">
        <f t="shared" si="6"/>
        <v/>
      </c>
      <c r="P915" s="150" t="str">
        <f t="shared" si="7"/>
        <v/>
      </c>
      <c r="Q915" s="151" t="str">
        <f>IFERROR(VLOOKUP(C915,Ativos!$A$1:$G2000,5,),)</f>
        <v/>
      </c>
    </row>
    <row r="916" ht="21.0" customHeight="1">
      <c r="A916" s="152"/>
      <c r="B916" s="160"/>
      <c r="C916" s="153"/>
      <c r="D916" s="169"/>
      <c r="E916" s="139"/>
      <c r="F916" s="141"/>
      <c r="G916" s="170" t="str">
        <f>IFERROR(__xludf.DUMMYFUNCTION("if($C916="""","""",iferror(if(row()&lt;&gt;2,INDEX(arrayformula(filter($H$2:$H915,$C$2:$C915&lt;&gt;"""",row($C$2:$C915)=max(if($C$2:$C915=C916,row($C$2:$C915),0)))) ,1),0),0))"),"")</f>
        <v/>
      </c>
      <c r="H916" s="170" t="str">
        <f t="shared" si="8"/>
        <v/>
      </c>
      <c r="I916" s="147" t="str">
        <f t="shared" si="1"/>
        <v/>
      </c>
      <c r="J916" s="147" t="str">
        <f t="shared" si="13"/>
        <v/>
      </c>
      <c r="K916" s="147" t="str">
        <f>IFERROR(__xludf.DUMMYFUNCTION("if(C916="""","""",iferror(if(row()&lt;&gt;2,INDEX(arrayformula(filter($L$2:$L915,$C$2:$C915&lt;&gt;"""",row($C$2:$C915)=max(if($C$2:$C915=C916,row($C$2:$C915),0)))) ,1),0),0))"),"")</f>
        <v/>
      </c>
      <c r="L916" s="147" t="str">
        <f t="shared" si="14"/>
        <v/>
      </c>
      <c r="M916" s="147" t="str">
        <f t="shared" si="15"/>
        <v/>
      </c>
      <c r="N916" s="147" t="str">
        <f t="shared" si="16"/>
        <v/>
      </c>
      <c r="O916" s="147" t="str">
        <f t="shared" si="6"/>
        <v/>
      </c>
      <c r="P916" s="150" t="str">
        <f t="shared" si="7"/>
        <v/>
      </c>
      <c r="Q916" s="151" t="str">
        <f>IFERROR(VLOOKUP(C916,Ativos!$A$1:$G2000,5,),)</f>
        <v/>
      </c>
    </row>
    <row r="917" ht="21.0" customHeight="1">
      <c r="A917" s="152"/>
      <c r="B917" s="160"/>
      <c r="C917" s="153"/>
      <c r="D917" s="169"/>
      <c r="E917" s="139"/>
      <c r="F917" s="141"/>
      <c r="G917" s="170" t="str">
        <f>IFERROR(__xludf.DUMMYFUNCTION("if($C917="""","""",iferror(if(row()&lt;&gt;2,INDEX(arrayformula(filter($H$2:$H916,$C$2:$C916&lt;&gt;"""",row($C$2:$C916)=max(if($C$2:$C916=C917,row($C$2:$C916),0)))) ,1),0),0))"),"")</f>
        <v/>
      </c>
      <c r="H917" s="170" t="str">
        <f t="shared" si="8"/>
        <v/>
      </c>
      <c r="I917" s="147" t="str">
        <f t="shared" si="1"/>
        <v/>
      </c>
      <c r="J917" s="147" t="str">
        <f t="shared" si="13"/>
        <v/>
      </c>
      <c r="K917" s="147" t="str">
        <f>IFERROR(__xludf.DUMMYFUNCTION("if(C917="""","""",iferror(if(row()&lt;&gt;2,INDEX(arrayformula(filter($L$2:$L916,$C$2:$C916&lt;&gt;"""",row($C$2:$C916)=max(if($C$2:$C916=C917,row($C$2:$C916),0)))) ,1),0),0))"),"")</f>
        <v/>
      </c>
      <c r="L917" s="147" t="str">
        <f t="shared" si="14"/>
        <v/>
      </c>
      <c r="M917" s="147" t="str">
        <f t="shared" si="15"/>
        <v/>
      </c>
      <c r="N917" s="147" t="str">
        <f t="shared" si="16"/>
        <v/>
      </c>
      <c r="O917" s="147" t="str">
        <f t="shared" si="6"/>
        <v/>
      </c>
      <c r="P917" s="150" t="str">
        <f t="shared" si="7"/>
        <v/>
      </c>
      <c r="Q917" s="151" t="str">
        <f>IFERROR(VLOOKUP(C917,Ativos!$A$1:$G2000,5,),)</f>
        <v/>
      </c>
    </row>
    <row r="918" ht="21.0" customHeight="1">
      <c r="A918" s="152"/>
      <c r="B918" s="160"/>
      <c r="C918" s="153"/>
      <c r="D918" s="169"/>
      <c r="E918" s="139"/>
      <c r="F918" s="141"/>
      <c r="G918" s="170" t="str">
        <f>IFERROR(__xludf.DUMMYFUNCTION("if($C918="""","""",iferror(if(row()&lt;&gt;2,INDEX(arrayformula(filter($H$2:$H917,$C$2:$C917&lt;&gt;"""",row($C$2:$C917)=max(if($C$2:$C917=C918,row($C$2:$C917),0)))) ,1),0),0))"),"")</f>
        <v/>
      </c>
      <c r="H918" s="170" t="str">
        <f t="shared" si="8"/>
        <v/>
      </c>
      <c r="I918" s="147" t="str">
        <f t="shared" si="1"/>
        <v/>
      </c>
      <c r="J918" s="147" t="str">
        <f t="shared" si="13"/>
        <v/>
      </c>
      <c r="K918" s="147" t="str">
        <f>IFERROR(__xludf.DUMMYFUNCTION("if(C918="""","""",iferror(if(row()&lt;&gt;2,INDEX(arrayformula(filter($L$2:$L917,$C$2:$C917&lt;&gt;"""",row($C$2:$C917)=max(if($C$2:$C917=C918,row($C$2:$C917),0)))) ,1),0),0))"),"")</f>
        <v/>
      </c>
      <c r="L918" s="147" t="str">
        <f t="shared" si="14"/>
        <v/>
      </c>
      <c r="M918" s="147" t="str">
        <f t="shared" si="15"/>
        <v/>
      </c>
      <c r="N918" s="147" t="str">
        <f t="shared" si="16"/>
        <v/>
      </c>
      <c r="O918" s="147" t="str">
        <f t="shared" si="6"/>
        <v/>
      </c>
      <c r="P918" s="150" t="str">
        <f t="shared" si="7"/>
        <v/>
      </c>
      <c r="Q918" s="151" t="str">
        <f>IFERROR(VLOOKUP(C918,Ativos!$A$1:$G2000,5,),)</f>
        <v/>
      </c>
    </row>
    <row r="919" ht="21.0" customHeight="1">
      <c r="A919" s="152"/>
      <c r="B919" s="160"/>
      <c r="C919" s="153"/>
      <c r="D919" s="169"/>
      <c r="E919" s="139"/>
      <c r="F919" s="141"/>
      <c r="G919" s="170" t="str">
        <f>IFERROR(__xludf.DUMMYFUNCTION("if($C919="""","""",iferror(if(row()&lt;&gt;2,INDEX(arrayformula(filter($H$2:$H918,$C$2:$C918&lt;&gt;"""",row($C$2:$C918)=max(if($C$2:$C918=C919,row($C$2:$C918),0)))) ,1),0),0))"),"")</f>
        <v/>
      </c>
      <c r="H919" s="170" t="str">
        <f t="shared" si="8"/>
        <v/>
      </c>
      <c r="I919" s="147" t="str">
        <f t="shared" si="1"/>
        <v/>
      </c>
      <c r="J919" s="147" t="str">
        <f t="shared" si="13"/>
        <v/>
      </c>
      <c r="K919" s="147" t="str">
        <f>IFERROR(__xludf.DUMMYFUNCTION("if(C919="""","""",iferror(if(row()&lt;&gt;2,INDEX(arrayformula(filter($L$2:$L918,$C$2:$C918&lt;&gt;"""",row($C$2:$C918)=max(if($C$2:$C918=C919,row($C$2:$C918),0)))) ,1),0),0))"),"")</f>
        <v/>
      </c>
      <c r="L919" s="147" t="str">
        <f t="shared" si="14"/>
        <v/>
      </c>
      <c r="M919" s="147" t="str">
        <f t="shared" si="15"/>
        <v/>
      </c>
      <c r="N919" s="147" t="str">
        <f t="shared" si="16"/>
        <v/>
      </c>
      <c r="O919" s="147" t="str">
        <f t="shared" si="6"/>
        <v/>
      </c>
      <c r="P919" s="150" t="str">
        <f t="shared" si="7"/>
        <v/>
      </c>
      <c r="Q919" s="151" t="str">
        <f>IFERROR(VLOOKUP(C919,Ativos!$A$1:$G2000,5,),)</f>
        <v/>
      </c>
    </row>
    <row r="920" ht="21.0" customHeight="1">
      <c r="A920" s="152"/>
      <c r="B920" s="160"/>
      <c r="C920" s="153"/>
      <c r="D920" s="169"/>
      <c r="E920" s="139"/>
      <c r="F920" s="141"/>
      <c r="G920" s="170" t="str">
        <f>IFERROR(__xludf.DUMMYFUNCTION("if($C920="""","""",iferror(if(row()&lt;&gt;2,INDEX(arrayformula(filter($H$2:$H919,$C$2:$C919&lt;&gt;"""",row($C$2:$C919)=max(if($C$2:$C919=C920,row($C$2:$C919),0)))) ,1),0),0))"),"")</f>
        <v/>
      </c>
      <c r="H920" s="170" t="str">
        <f t="shared" si="8"/>
        <v/>
      </c>
      <c r="I920" s="147" t="str">
        <f t="shared" si="1"/>
        <v/>
      </c>
      <c r="J920" s="147" t="str">
        <f t="shared" si="13"/>
        <v/>
      </c>
      <c r="K920" s="147" t="str">
        <f>IFERROR(__xludf.DUMMYFUNCTION("if(C920="""","""",iferror(if(row()&lt;&gt;2,INDEX(arrayformula(filter($L$2:$L919,$C$2:$C919&lt;&gt;"""",row($C$2:$C919)=max(if($C$2:$C919=C920,row($C$2:$C919),0)))) ,1),0),0))"),"")</f>
        <v/>
      </c>
      <c r="L920" s="147" t="str">
        <f t="shared" si="14"/>
        <v/>
      </c>
      <c r="M920" s="147" t="str">
        <f t="shared" si="15"/>
        <v/>
      </c>
      <c r="N920" s="147" t="str">
        <f t="shared" si="16"/>
        <v/>
      </c>
      <c r="O920" s="147" t="str">
        <f t="shared" si="6"/>
        <v/>
      </c>
      <c r="P920" s="150" t="str">
        <f t="shared" si="7"/>
        <v/>
      </c>
      <c r="Q920" s="151" t="str">
        <f>IFERROR(VLOOKUP(C920,Ativos!$A$1:$G2000,5,),)</f>
        <v/>
      </c>
    </row>
    <row r="921" ht="21.0" customHeight="1">
      <c r="A921" s="152"/>
      <c r="B921" s="160"/>
      <c r="C921" s="153"/>
      <c r="D921" s="169"/>
      <c r="E921" s="139"/>
      <c r="F921" s="141"/>
      <c r="G921" s="170" t="str">
        <f>IFERROR(__xludf.DUMMYFUNCTION("if($C921="""","""",iferror(if(row()&lt;&gt;2,INDEX(arrayformula(filter($H$2:$H920,$C$2:$C920&lt;&gt;"""",row($C$2:$C920)=max(if($C$2:$C920=C921,row($C$2:$C920),0)))) ,1),0),0))"),"")</f>
        <v/>
      </c>
      <c r="H921" s="170" t="str">
        <f t="shared" si="8"/>
        <v/>
      </c>
      <c r="I921" s="147" t="str">
        <f t="shared" si="1"/>
        <v/>
      </c>
      <c r="J921" s="147" t="str">
        <f t="shared" si="13"/>
        <v/>
      </c>
      <c r="K921" s="147" t="str">
        <f>IFERROR(__xludf.DUMMYFUNCTION("if(C921="""","""",iferror(if(row()&lt;&gt;2,INDEX(arrayformula(filter($L$2:$L920,$C$2:$C920&lt;&gt;"""",row($C$2:$C920)=max(if($C$2:$C920=C921,row($C$2:$C920),0)))) ,1),0),0))"),"")</f>
        <v/>
      </c>
      <c r="L921" s="147" t="str">
        <f t="shared" si="14"/>
        <v/>
      </c>
      <c r="M921" s="147" t="str">
        <f t="shared" si="15"/>
        <v/>
      </c>
      <c r="N921" s="147" t="str">
        <f t="shared" si="16"/>
        <v/>
      </c>
      <c r="O921" s="147" t="str">
        <f t="shared" si="6"/>
        <v/>
      </c>
      <c r="P921" s="150" t="str">
        <f t="shared" si="7"/>
        <v/>
      </c>
      <c r="Q921" s="151" t="str">
        <f>IFERROR(VLOOKUP(C921,Ativos!$A$1:$G2000,5,),)</f>
        <v/>
      </c>
    </row>
    <row r="922" ht="21.0" customHeight="1">
      <c r="A922" s="152"/>
      <c r="B922" s="160"/>
      <c r="C922" s="153"/>
      <c r="D922" s="169"/>
      <c r="E922" s="139"/>
      <c r="F922" s="141"/>
      <c r="G922" s="170" t="str">
        <f>IFERROR(__xludf.DUMMYFUNCTION("if($C922="""","""",iferror(if(row()&lt;&gt;2,INDEX(arrayformula(filter($H$2:$H921,$C$2:$C921&lt;&gt;"""",row($C$2:$C921)=max(if($C$2:$C921=C922,row($C$2:$C921),0)))) ,1),0),0))"),"")</f>
        <v/>
      </c>
      <c r="H922" s="170" t="str">
        <f t="shared" si="8"/>
        <v/>
      </c>
      <c r="I922" s="147" t="str">
        <f t="shared" si="1"/>
        <v/>
      </c>
      <c r="J922" s="147" t="str">
        <f t="shared" si="13"/>
        <v/>
      </c>
      <c r="K922" s="147" t="str">
        <f>IFERROR(__xludf.DUMMYFUNCTION("if(C922="""","""",iferror(if(row()&lt;&gt;2,INDEX(arrayformula(filter($L$2:$L921,$C$2:$C921&lt;&gt;"""",row($C$2:$C921)=max(if($C$2:$C921=C922,row($C$2:$C921),0)))) ,1),0),0))"),"")</f>
        <v/>
      </c>
      <c r="L922" s="147" t="str">
        <f t="shared" si="14"/>
        <v/>
      </c>
      <c r="M922" s="147" t="str">
        <f t="shared" si="15"/>
        <v/>
      </c>
      <c r="N922" s="147" t="str">
        <f t="shared" si="16"/>
        <v/>
      </c>
      <c r="O922" s="147" t="str">
        <f t="shared" si="6"/>
        <v/>
      </c>
      <c r="P922" s="150" t="str">
        <f t="shared" si="7"/>
        <v/>
      </c>
      <c r="Q922" s="151" t="str">
        <f>IFERROR(VLOOKUP(C922,Ativos!$A$1:$G2000,5,),)</f>
        <v/>
      </c>
    </row>
    <row r="923" ht="21.0" customHeight="1">
      <c r="A923" s="152"/>
      <c r="B923" s="160"/>
      <c r="C923" s="153"/>
      <c r="D923" s="169"/>
      <c r="E923" s="139"/>
      <c r="F923" s="141"/>
      <c r="G923" s="170" t="str">
        <f>IFERROR(__xludf.DUMMYFUNCTION("if($C923="""","""",iferror(if(row()&lt;&gt;2,INDEX(arrayformula(filter($H$2:$H922,$C$2:$C922&lt;&gt;"""",row($C$2:$C922)=max(if($C$2:$C922=C923,row($C$2:$C922),0)))) ,1),0),0))"),"")</f>
        <v/>
      </c>
      <c r="H923" s="170" t="str">
        <f t="shared" si="8"/>
        <v/>
      </c>
      <c r="I923" s="147" t="str">
        <f t="shared" si="1"/>
        <v/>
      </c>
      <c r="J923" s="147" t="str">
        <f t="shared" si="13"/>
        <v/>
      </c>
      <c r="K923" s="147" t="str">
        <f>IFERROR(__xludf.DUMMYFUNCTION("if(C923="""","""",iferror(if(row()&lt;&gt;2,INDEX(arrayformula(filter($L$2:$L922,$C$2:$C922&lt;&gt;"""",row($C$2:$C922)=max(if($C$2:$C922=C923,row($C$2:$C922),0)))) ,1),0),0))"),"")</f>
        <v/>
      </c>
      <c r="L923" s="147" t="str">
        <f t="shared" si="14"/>
        <v/>
      </c>
      <c r="M923" s="147" t="str">
        <f t="shared" si="15"/>
        <v/>
      </c>
      <c r="N923" s="147" t="str">
        <f t="shared" si="16"/>
        <v/>
      </c>
      <c r="O923" s="147" t="str">
        <f t="shared" si="6"/>
        <v/>
      </c>
      <c r="P923" s="150" t="str">
        <f t="shared" si="7"/>
        <v/>
      </c>
      <c r="Q923" s="151" t="str">
        <f>IFERROR(VLOOKUP(C923,Ativos!$A$1:$G2000,5,),)</f>
        <v/>
      </c>
    </row>
    <row r="924" ht="21.0" customHeight="1">
      <c r="A924" s="152"/>
      <c r="B924" s="160"/>
      <c r="C924" s="153"/>
      <c r="D924" s="169"/>
      <c r="E924" s="139"/>
      <c r="F924" s="141"/>
      <c r="G924" s="170" t="str">
        <f>IFERROR(__xludf.DUMMYFUNCTION("if($C924="""","""",iferror(if(row()&lt;&gt;2,INDEX(arrayformula(filter($H$2:$H923,$C$2:$C923&lt;&gt;"""",row($C$2:$C923)=max(if($C$2:$C923=C924,row($C$2:$C923),0)))) ,1),0),0))"),"")</f>
        <v/>
      </c>
      <c r="H924" s="170" t="str">
        <f t="shared" si="8"/>
        <v/>
      </c>
      <c r="I924" s="147" t="str">
        <f t="shared" si="1"/>
        <v/>
      </c>
      <c r="J924" s="147" t="str">
        <f t="shared" si="13"/>
        <v/>
      </c>
      <c r="K924" s="147" t="str">
        <f>IFERROR(__xludf.DUMMYFUNCTION("if(C924="""","""",iferror(if(row()&lt;&gt;2,INDEX(arrayformula(filter($L$2:$L923,$C$2:$C923&lt;&gt;"""",row($C$2:$C923)=max(if($C$2:$C923=C924,row($C$2:$C923),0)))) ,1),0),0))"),"")</f>
        <v/>
      </c>
      <c r="L924" s="147" t="str">
        <f t="shared" si="14"/>
        <v/>
      </c>
      <c r="M924" s="147" t="str">
        <f t="shared" si="15"/>
        <v/>
      </c>
      <c r="N924" s="147" t="str">
        <f t="shared" si="16"/>
        <v/>
      </c>
      <c r="O924" s="147" t="str">
        <f t="shared" si="6"/>
        <v/>
      </c>
      <c r="P924" s="150" t="str">
        <f t="shared" si="7"/>
        <v/>
      </c>
      <c r="Q924" s="151" t="str">
        <f>IFERROR(VLOOKUP(C924,Ativos!$A$1:$G2000,5,),)</f>
        <v/>
      </c>
    </row>
    <row r="925" ht="21.0" customHeight="1">
      <c r="A925" s="152"/>
      <c r="B925" s="160"/>
      <c r="C925" s="153"/>
      <c r="D925" s="169"/>
      <c r="E925" s="139"/>
      <c r="F925" s="141"/>
      <c r="G925" s="170" t="str">
        <f>IFERROR(__xludf.DUMMYFUNCTION("if($C925="""","""",iferror(if(row()&lt;&gt;2,INDEX(arrayformula(filter($H$2:$H924,$C$2:$C924&lt;&gt;"""",row($C$2:$C924)=max(if($C$2:$C924=C925,row($C$2:$C924),0)))) ,1),0),0))"),"")</f>
        <v/>
      </c>
      <c r="H925" s="170" t="str">
        <f t="shared" si="8"/>
        <v/>
      </c>
      <c r="I925" s="147" t="str">
        <f t="shared" si="1"/>
        <v/>
      </c>
      <c r="J925" s="147" t="str">
        <f t="shared" si="13"/>
        <v/>
      </c>
      <c r="K925" s="147" t="str">
        <f>IFERROR(__xludf.DUMMYFUNCTION("if(C925="""","""",iferror(if(row()&lt;&gt;2,INDEX(arrayformula(filter($L$2:$L924,$C$2:$C924&lt;&gt;"""",row($C$2:$C924)=max(if($C$2:$C924=C925,row($C$2:$C924),0)))) ,1),0),0))"),"")</f>
        <v/>
      </c>
      <c r="L925" s="147" t="str">
        <f t="shared" si="14"/>
        <v/>
      </c>
      <c r="M925" s="147" t="str">
        <f t="shared" si="15"/>
        <v/>
      </c>
      <c r="N925" s="147" t="str">
        <f t="shared" si="16"/>
        <v/>
      </c>
      <c r="O925" s="147" t="str">
        <f t="shared" si="6"/>
        <v/>
      </c>
      <c r="P925" s="150" t="str">
        <f t="shared" si="7"/>
        <v/>
      </c>
      <c r="Q925" s="151" t="str">
        <f>IFERROR(VLOOKUP(C925,Ativos!$A$1:$G2000,5,),)</f>
        <v/>
      </c>
    </row>
    <row r="926" ht="21.0" customHeight="1">
      <c r="A926" s="152"/>
      <c r="B926" s="160"/>
      <c r="C926" s="153"/>
      <c r="D926" s="169"/>
      <c r="E926" s="139"/>
      <c r="F926" s="141"/>
      <c r="G926" s="170" t="str">
        <f>IFERROR(__xludf.DUMMYFUNCTION("if($C926="""","""",iferror(if(row()&lt;&gt;2,INDEX(arrayformula(filter($H$2:$H925,$C$2:$C925&lt;&gt;"""",row($C$2:$C925)=max(if($C$2:$C925=C926,row($C$2:$C925),0)))) ,1),0),0))"),"")</f>
        <v/>
      </c>
      <c r="H926" s="170" t="str">
        <f t="shared" si="8"/>
        <v/>
      </c>
      <c r="I926" s="147" t="str">
        <f t="shared" si="1"/>
        <v/>
      </c>
      <c r="J926" s="147" t="str">
        <f t="shared" si="13"/>
        <v/>
      </c>
      <c r="K926" s="147" t="str">
        <f>IFERROR(__xludf.DUMMYFUNCTION("if(C926="""","""",iferror(if(row()&lt;&gt;2,INDEX(arrayformula(filter($L$2:$L925,$C$2:$C925&lt;&gt;"""",row($C$2:$C925)=max(if($C$2:$C925=C926,row($C$2:$C925),0)))) ,1),0),0))"),"")</f>
        <v/>
      </c>
      <c r="L926" s="147" t="str">
        <f t="shared" si="14"/>
        <v/>
      </c>
      <c r="M926" s="147" t="str">
        <f t="shared" si="15"/>
        <v/>
      </c>
      <c r="N926" s="147" t="str">
        <f t="shared" si="16"/>
        <v/>
      </c>
      <c r="O926" s="147" t="str">
        <f t="shared" si="6"/>
        <v/>
      </c>
      <c r="P926" s="150" t="str">
        <f t="shared" si="7"/>
        <v/>
      </c>
      <c r="Q926" s="151" t="str">
        <f>IFERROR(VLOOKUP(C926,Ativos!$A$1:$G2000,5,),)</f>
        <v/>
      </c>
    </row>
    <row r="927" ht="21.0" customHeight="1">
      <c r="A927" s="152"/>
      <c r="B927" s="160"/>
      <c r="C927" s="153"/>
      <c r="D927" s="169"/>
      <c r="E927" s="139"/>
      <c r="F927" s="141"/>
      <c r="G927" s="170" t="str">
        <f>IFERROR(__xludf.DUMMYFUNCTION("if($C927="""","""",iferror(if(row()&lt;&gt;2,INDEX(arrayformula(filter($H$2:$H926,$C$2:$C926&lt;&gt;"""",row($C$2:$C926)=max(if($C$2:$C926=C927,row($C$2:$C926),0)))) ,1),0),0))"),"")</f>
        <v/>
      </c>
      <c r="H927" s="170" t="str">
        <f t="shared" si="8"/>
        <v/>
      </c>
      <c r="I927" s="147" t="str">
        <f t="shared" si="1"/>
        <v/>
      </c>
      <c r="J927" s="147" t="str">
        <f t="shared" si="13"/>
        <v/>
      </c>
      <c r="K927" s="147" t="str">
        <f>IFERROR(__xludf.DUMMYFUNCTION("if(C927="""","""",iferror(if(row()&lt;&gt;2,INDEX(arrayformula(filter($L$2:$L926,$C$2:$C926&lt;&gt;"""",row($C$2:$C926)=max(if($C$2:$C926=C927,row($C$2:$C926),0)))) ,1),0),0))"),"")</f>
        <v/>
      </c>
      <c r="L927" s="147" t="str">
        <f t="shared" si="14"/>
        <v/>
      </c>
      <c r="M927" s="147" t="str">
        <f t="shared" si="15"/>
        <v/>
      </c>
      <c r="N927" s="147" t="str">
        <f t="shared" si="16"/>
        <v/>
      </c>
      <c r="O927" s="147" t="str">
        <f t="shared" si="6"/>
        <v/>
      </c>
      <c r="P927" s="150" t="str">
        <f t="shared" si="7"/>
        <v/>
      </c>
      <c r="Q927" s="151" t="str">
        <f>IFERROR(VLOOKUP(C927,Ativos!$A$1:$G2000,5,),)</f>
        <v/>
      </c>
    </row>
    <row r="928" ht="21.0" customHeight="1">
      <c r="A928" s="152"/>
      <c r="B928" s="160"/>
      <c r="C928" s="153"/>
      <c r="D928" s="169"/>
      <c r="E928" s="139"/>
      <c r="F928" s="141"/>
      <c r="G928" s="170" t="str">
        <f>IFERROR(__xludf.DUMMYFUNCTION("if($C928="""","""",iferror(if(row()&lt;&gt;2,INDEX(arrayformula(filter($H$2:$H927,$C$2:$C927&lt;&gt;"""",row($C$2:$C927)=max(if($C$2:$C927=C928,row($C$2:$C927),0)))) ,1),0),0))"),"")</f>
        <v/>
      </c>
      <c r="H928" s="170" t="str">
        <f t="shared" si="8"/>
        <v/>
      </c>
      <c r="I928" s="147" t="str">
        <f t="shared" si="1"/>
        <v/>
      </c>
      <c r="J928" s="147" t="str">
        <f t="shared" si="13"/>
        <v/>
      </c>
      <c r="K928" s="147" t="str">
        <f>IFERROR(__xludf.DUMMYFUNCTION("if(C928="""","""",iferror(if(row()&lt;&gt;2,INDEX(arrayformula(filter($L$2:$L927,$C$2:$C927&lt;&gt;"""",row($C$2:$C927)=max(if($C$2:$C927=C928,row($C$2:$C927),0)))) ,1),0),0))"),"")</f>
        <v/>
      </c>
      <c r="L928" s="147" t="str">
        <f t="shared" si="14"/>
        <v/>
      </c>
      <c r="M928" s="147" t="str">
        <f t="shared" si="15"/>
        <v/>
      </c>
      <c r="N928" s="147" t="str">
        <f t="shared" si="16"/>
        <v/>
      </c>
      <c r="O928" s="147" t="str">
        <f t="shared" si="6"/>
        <v/>
      </c>
      <c r="P928" s="150" t="str">
        <f t="shared" si="7"/>
        <v/>
      </c>
      <c r="Q928" s="151" t="str">
        <f>IFERROR(VLOOKUP(C928,Ativos!$A$1:$G2000,5,),)</f>
        <v/>
      </c>
    </row>
    <row r="929" ht="21.0" customHeight="1">
      <c r="A929" s="152"/>
      <c r="B929" s="160"/>
      <c r="C929" s="153"/>
      <c r="D929" s="169"/>
      <c r="E929" s="139"/>
      <c r="F929" s="141"/>
      <c r="G929" s="170" t="str">
        <f>IFERROR(__xludf.DUMMYFUNCTION("if($C929="""","""",iferror(if(row()&lt;&gt;2,INDEX(arrayformula(filter($H$2:$H928,$C$2:$C928&lt;&gt;"""",row($C$2:$C928)=max(if($C$2:$C928=C929,row($C$2:$C928),0)))) ,1),0),0))"),"")</f>
        <v/>
      </c>
      <c r="H929" s="170" t="str">
        <f t="shared" si="8"/>
        <v/>
      </c>
      <c r="I929" s="147" t="str">
        <f t="shared" si="1"/>
        <v/>
      </c>
      <c r="J929" s="147" t="str">
        <f t="shared" si="13"/>
        <v/>
      </c>
      <c r="K929" s="147" t="str">
        <f>IFERROR(__xludf.DUMMYFUNCTION("if(C929="""","""",iferror(if(row()&lt;&gt;2,INDEX(arrayformula(filter($L$2:$L928,$C$2:$C928&lt;&gt;"""",row($C$2:$C928)=max(if($C$2:$C928=C929,row($C$2:$C928),0)))) ,1),0),0))"),"")</f>
        <v/>
      </c>
      <c r="L929" s="147" t="str">
        <f t="shared" si="14"/>
        <v/>
      </c>
      <c r="M929" s="147" t="str">
        <f t="shared" si="15"/>
        <v/>
      </c>
      <c r="N929" s="147" t="str">
        <f t="shared" si="16"/>
        <v/>
      </c>
      <c r="O929" s="147" t="str">
        <f t="shared" si="6"/>
        <v/>
      </c>
      <c r="P929" s="150" t="str">
        <f t="shared" si="7"/>
        <v/>
      </c>
      <c r="Q929" s="151" t="str">
        <f>IFERROR(VLOOKUP(C929,Ativos!$A$1:$G2000,5,),)</f>
        <v/>
      </c>
    </row>
    <row r="930" ht="21.0" customHeight="1">
      <c r="A930" s="152"/>
      <c r="B930" s="160"/>
      <c r="C930" s="153"/>
      <c r="D930" s="169"/>
      <c r="E930" s="139"/>
      <c r="F930" s="141"/>
      <c r="G930" s="170" t="str">
        <f>IFERROR(__xludf.DUMMYFUNCTION("if($C930="""","""",iferror(if(row()&lt;&gt;2,INDEX(arrayformula(filter($H$2:$H929,$C$2:$C929&lt;&gt;"""",row($C$2:$C929)=max(if($C$2:$C929=C930,row($C$2:$C929),0)))) ,1),0),0))"),"")</f>
        <v/>
      </c>
      <c r="H930" s="170" t="str">
        <f t="shared" si="8"/>
        <v/>
      </c>
      <c r="I930" s="147" t="str">
        <f t="shared" si="1"/>
        <v/>
      </c>
      <c r="J930" s="147" t="str">
        <f t="shared" si="13"/>
        <v/>
      </c>
      <c r="K930" s="147" t="str">
        <f>IFERROR(__xludf.DUMMYFUNCTION("if(C930="""","""",iferror(if(row()&lt;&gt;2,INDEX(arrayformula(filter($L$2:$L929,$C$2:$C929&lt;&gt;"""",row($C$2:$C929)=max(if($C$2:$C929=C930,row($C$2:$C929),0)))) ,1),0),0))"),"")</f>
        <v/>
      </c>
      <c r="L930" s="147" t="str">
        <f t="shared" si="14"/>
        <v/>
      </c>
      <c r="M930" s="147" t="str">
        <f t="shared" si="15"/>
        <v/>
      </c>
      <c r="N930" s="147" t="str">
        <f t="shared" si="16"/>
        <v/>
      </c>
      <c r="O930" s="147" t="str">
        <f t="shared" si="6"/>
        <v/>
      </c>
      <c r="P930" s="150" t="str">
        <f t="shared" si="7"/>
        <v/>
      </c>
      <c r="Q930" s="151" t="str">
        <f>IFERROR(VLOOKUP(C930,Ativos!$A$1:$G2000,5,),)</f>
        <v/>
      </c>
    </row>
    <row r="931" ht="21.0" customHeight="1">
      <c r="A931" s="152"/>
      <c r="B931" s="160"/>
      <c r="C931" s="153"/>
      <c r="D931" s="169"/>
      <c r="E931" s="139"/>
      <c r="F931" s="141"/>
      <c r="G931" s="170" t="str">
        <f>IFERROR(__xludf.DUMMYFUNCTION("if($C931="""","""",iferror(if(row()&lt;&gt;2,INDEX(arrayformula(filter($H$2:$H930,$C$2:$C930&lt;&gt;"""",row($C$2:$C930)=max(if($C$2:$C930=C931,row($C$2:$C930),0)))) ,1),0),0))"),"")</f>
        <v/>
      </c>
      <c r="H931" s="170" t="str">
        <f t="shared" si="8"/>
        <v/>
      </c>
      <c r="I931" s="147" t="str">
        <f t="shared" si="1"/>
        <v/>
      </c>
      <c r="J931" s="147" t="str">
        <f t="shared" si="13"/>
        <v/>
      </c>
      <c r="K931" s="147" t="str">
        <f>IFERROR(__xludf.DUMMYFUNCTION("if(C931="""","""",iferror(if(row()&lt;&gt;2,INDEX(arrayformula(filter($L$2:$L930,$C$2:$C930&lt;&gt;"""",row($C$2:$C930)=max(if($C$2:$C930=C931,row($C$2:$C930),0)))) ,1),0),0))"),"")</f>
        <v/>
      </c>
      <c r="L931" s="147" t="str">
        <f t="shared" si="14"/>
        <v/>
      </c>
      <c r="M931" s="147" t="str">
        <f t="shared" si="15"/>
        <v/>
      </c>
      <c r="N931" s="147" t="str">
        <f t="shared" si="16"/>
        <v/>
      </c>
      <c r="O931" s="147" t="str">
        <f t="shared" si="6"/>
        <v/>
      </c>
      <c r="P931" s="150" t="str">
        <f t="shared" si="7"/>
        <v/>
      </c>
      <c r="Q931" s="151" t="str">
        <f>IFERROR(VLOOKUP(C931,Ativos!$A$1:$G2000,5,),)</f>
        <v/>
      </c>
    </row>
    <row r="932" ht="21.0" customHeight="1">
      <c r="A932" s="152"/>
      <c r="B932" s="160"/>
      <c r="C932" s="153"/>
      <c r="D932" s="169"/>
      <c r="E932" s="139"/>
      <c r="F932" s="141"/>
      <c r="G932" s="170" t="str">
        <f>IFERROR(__xludf.DUMMYFUNCTION("if($C932="""","""",iferror(if(row()&lt;&gt;2,INDEX(arrayformula(filter($H$2:$H931,$C$2:$C931&lt;&gt;"""",row($C$2:$C931)=max(if($C$2:$C931=C932,row($C$2:$C931),0)))) ,1),0),0))"),"")</f>
        <v/>
      </c>
      <c r="H932" s="170" t="str">
        <f t="shared" si="8"/>
        <v/>
      </c>
      <c r="I932" s="147" t="str">
        <f t="shared" si="1"/>
        <v/>
      </c>
      <c r="J932" s="147" t="str">
        <f t="shared" si="13"/>
        <v/>
      </c>
      <c r="K932" s="147" t="str">
        <f>IFERROR(__xludf.DUMMYFUNCTION("if(C932="""","""",iferror(if(row()&lt;&gt;2,INDEX(arrayformula(filter($L$2:$L931,$C$2:$C931&lt;&gt;"""",row($C$2:$C931)=max(if($C$2:$C931=C932,row($C$2:$C931),0)))) ,1),0),0))"),"")</f>
        <v/>
      </c>
      <c r="L932" s="147" t="str">
        <f t="shared" si="14"/>
        <v/>
      </c>
      <c r="M932" s="147" t="str">
        <f t="shared" si="15"/>
        <v/>
      </c>
      <c r="N932" s="147" t="str">
        <f t="shared" si="16"/>
        <v/>
      </c>
      <c r="O932" s="147" t="str">
        <f t="shared" si="6"/>
        <v/>
      </c>
      <c r="P932" s="150" t="str">
        <f t="shared" si="7"/>
        <v/>
      </c>
      <c r="Q932" s="151" t="str">
        <f>IFERROR(VLOOKUP(C932,Ativos!$A$1:$G2000,5,),)</f>
        <v/>
      </c>
    </row>
    <row r="933" ht="21.0" customHeight="1">
      <c r="A933" s="152"/>
      <c r="B933" s="160"/>
      <c r="C933" s="153"/>
      <c r="D933" s="169"/>
      <c r="E933" s="139"/>
      <c r="F933" s="141"/>
      <c r="G933" s="170" t="str">
        <f>IFERROR(__xludf.DUMMYFUNCTION("if($C933="""","""",iferror(if(row()&lt;&gt;2,INDEX(arrayformula(filter($H$2:$H932,$C$2:$C932&lt;&gt;"""",row($C$2:$C932)=max(if($C$2:$C932=C933,row($C$2:$C932),0)))) ,1),0),0))"),"")</f>
        <v/>
      </c>
      <c r="H933" s="170" t="str">
        <f t="shared" si="8"/>
        <v/>
      </c>
      <c r="I933" s="147" t="str">
        <f t="shared" si="1"/>
        <v/>
      </c>
      <c r="J933" s="147" t="str">
        <f t="shared" si="13"/>
        <v/>
      </c>
      <c r="K933" s="147" t="str">
        <f>IFERROR(__xludf.DUMMYFUNCTION("if(C933="""","""",iferror(if(row()&lt;&gt;2,INDEX(arrayformula(filter($L$2:$L932,$C$2:$C932&lt;&gt;"""",row($C$2:$C932)=max(if($C$2:$C932=C933,row($C$2:$C932),0)))) ,1),0),0))"),"")</f>
        <v/>
      </c>
      <c r="L933" s="147" t="str">
        <f t="shared" si="14"/>
        <v/>
      </c>
      <c r="M933" s="147" t="str">
        <f t="shared" si="15"/>
        <v/>
      </c>
      <c r="N933" s="147" t="str">
        <f t="shared" si="16"/>
        <v/>
      </c>
      <c r="O933" s="147" t="str">
        <f t="shared" si="6"/>
        <v/>
      </c>
      <c r="P933" s="150" t="str">
        <f t="shared" si="7"/>
        <v/>
      </c>
      <c r="Q933" s="151" t="str">
        <f>IFERROR(VLOOKUP(C933,Ativos!$A$1:$G2000,5,),)</f>
        <v/>
      </c>
    </row>
    <row r="934" ht="21.0" customHeight="1">
      <c r="A934" s="152"/>
      <c r="B934" s="160"/>
      <c r="C934" s="153"/>
      <c r="D934" s="169"/>
      <c r="E934" s="139"/>
      <c r="F934" s="141"/>
      <c r="G934" s="170" t="str">
        <f>IFERROR(__xludf.DUMMYFUNCTION("if($C934="""","""",iferror(if(row()&lt;&gt;2,INDEX(arrayformula(filter($H$2:$H933,$C$2:$C933&lt;&gt;"""",row($C$2:$C933)=max(if($C$2:$C933=C934,row($C$2:$C933),0)))) ,1),0),0))"),"")</f>
        <v/>
      </c>
      <c r="H934" s="170" t="str">
        <f t="shared" si="8"/>
        <v/>
      </c>
      <c r="I934" s="147" t="str">
        <f t="shared" si="1"/>
        <v/>
      </c>
      <c r="J934" s="147" t="str">
        <f t="shared" si="13"/>
        <v/>
      </c>
      <c r="K934" s="147" t="str">
        <f>IFERROR(__xludf.DUMMYFUNCTION("if(C934="""","""",iferror(if(row()&lt;&gt;2,INDEX(arrayformula(filter($L$2:$L933,$C$2:$C933&lt;&gt;"""",row($C$2:$C933)=max(if($C$2:$C933=C934,row($C$2:$C933),0)))) ,1),0),0))"),"")</f>
        <v/>
      </c>
      <c r="L934" s="147" t="str">
        <f t="shared" si="14"/>
        <v/>
      </c>
      <c r="M934" s="147" t="str">
        <f t="shared" si="15"/>
        <v/>
      </c>
      <c r="N934" s="147" t="str">
        <f t="shared" si="16"/>
        <v/>
      </c>
      <c r="O934" s="147" t="str">
        <f t="shared" si="6"/>
        <v/>
      </c>
      <c r="P934" s="150" t="str">
        <f t="shared" si="7"/>
        <v/>
      </c>
      <c r="Q934" s="151" t="str">
        <f>IFERROR(VLOOKUP(C934,Ativos!$A$1:$G2000,5,),)</f>
        <v/>
      </c>
    </row>
    <row r="935" ht="21.0" customHeight="1">
      <c r="A935" s="152"/>
      <c r="B935" s="160"/>
      <c r="C935" s="153"/>
      <c r="D935" s="169"/>
      <c r="E935" s="139"/>
      <c r="F935" s="141"/>
      <c r="G935" s="170" t="str">
        <f>IFERROR(__xludf.DUMMYFUNCTION("if($C935="""","""",iferror(if(row()&lt;&gt;2,INDEX(arrayformula(filter($H$2:$H934,$C$2:$C934&lt;&gt;"""",row($C$2:$C934)=max(if($C$2:$C934=C935,row($C$2:$C934),0)))) ,1),0),0))"),"")</f>
        <v/>
      </c>
      <c r="H935" s="170" t="str">
        <f t="shared" si="8"/>
        <v/>
      </c>
      <c r="I935" s="147" t="str">
        <f t="shared" si="1"/>
        <v/>
      </c>
      <c r="J935" s="147" t="str">
        <f t="shared" si="13"/>
        <v/>
      </c>
      <c r="K935" s="147" t="str">
        <f>IFERROR(__xludf.DUMMYFUNCTION("if(C935="""","""",iferror(if(row()&lt;&gt;2,INDEX(arrayformula(filter($L$2:$L934,$C$2:$C934&lt;&gt;"""",row($C$2:$C934)=max(if($C$2:$C934=C935,row($C$2:$C934),0)))) ,1),0),0))"),"")</f>
        <v/>
      </c>
      <c r="L935" s="147" t="str">
        <f t="shared" si="14"/>
        <v/>
      </c>
      <c r="M935" s="147" t="str">
        <f t="shared" si="15"/>
        <v/>
      </c>
      <c r="N935" s="147" t="str">
        <f t="shared" si="16"/>
        <v/>
      </c>
      <c r="O935" s="147" t="str">
        <f t="shared" si="6"/>
        <v/>
      </c>
      <c r="P935" s="150" t="str">
        <f t="shared" si="7"/>
        <v/>
      </c>
      <c r="Q935" s="151" t="str">
        <f>IFERROR(VLOOKUP(C935,Ativos!$A$1:$G2000,5,),)</f>
        <v/>
      </c>
    </row>
    <row r="936" ht="21.0" customHeight="1">
      <c r="A936" s="152"/>
      <c r="B936" s="160"/>
      <c r="C936" s="153"/>
      <c r="D936" s="169"/>
      <c r="E936" s="139"/>
      <c r="F936" s="141"/>
      <c r="G936" s="170" t="str">
        <f>IFERROR(__xludf.DUMMYFUNCTION("if($C936="""","""",iferror(if(row()&lt;&gt;2,INDEX(arrayformula(filter($H$2:$H935,$C$2:$C935&lt;&gt;"""",row($C$2:$C935)=max(if($C$2:$C935=C936,row($C$2:$C935),0)))) ,1),0),0))"),"")</f>
        <v/>
      </c>
      <c r="H936" s="170" t="str">
        <f t="shared" si="8"/>
        <v/>
      </c>
      <c r="I936" s="147" t="str">
        <f t="shared" si="1"/>
        <v/>
      </c>
      <c r="J936" s="147" t="str">
        <f t="shared" si="13"/>
        <v/>
      </c>
      <c r="K936" s="147" t="str">
        <f>IFERROR(__xludf.DUMMYFUNCTION("if(C936="""","""",iferror(if(row()&lt;&gt;2,INDEX(arrayformula(filter($L$2:$L935,$C$2:$C935&lt;&gt;"""",row($C$2:$C935)=max(if($C$2:$C935=C936,row($C$2:$C935),0)))) ,1),0),0))"),"")</f>
        <v/>
      </c>
      <c r="L936" s="147" t="str">
        <f t="shared" si="14"/>
        <v/>
      </c>
      <c r="M936" s="147" t="str">
        <f t="shared" si="15"/>
        <v/>
      </c>
      <c r="N936" s="147" t="str">
        <f t="shared" si="16"/>
        <v/>
      </c>
      <c r="O936" s="147" t="str">
        <f t="shared" si="6"/>
        <v/>
      </c>
      <c r="P936" s="150" t="str">
        <f t="shared" si="7"/>
        <v/>
      </c>
      <c r="Q936" s="151" t="str">
        <f>IFERROR(VLOOKUP(C936,Ativos!$A$1:$G2000,5,),)</f>
        <v/>
      </c>
    </row>
    <row r="937" ht="21.0" customHeight="1">
      <c r="A937" s="152"/>
      <c r="B937" s="160"/>
      <c r="C937" s="153"/>
      <c r="D937" s="169"/>
      <c r="E937" s="139"/>
      <c r="F937" s="141"/>
      <c r="G937" s="170" t="str">
        <f>IFERROR(__xludf.DUMMYFUNCTION("if($C937="""","""",iferror(if(row()&lt;&gt;2,INDEX(arrayformula(filter($H$2:$H936,$C$2:$C936&lt;&gt;"""",row($C$2:$C936)=max(if($C$2:$C936=C937,row($C$2:$C936),0)))) ,1),0),0))"),"")</f>
        <v/>
      </c>
      <c r="H937" s="170" t="str">
        <f t="shared" si="8"/>
        <v/>
      </c>
      <c r="I937" s="147" t="str">
        <f t="shared" si="1"/>
        <v/>
      </c>
      <c r="J937" s="147" t="str">
        <f t="shared" si="13"/>
        <v/>
      </c>
      <c r="K937" s="147" t="str">
        <f>IFERROR(__xludf.DUMMYFUNCTION("if(C937="""","""",iferror(if(row()&lt;&gt;2,INDEX(arrayformula(filter($L$2:$L936,$C$2:$C936&lt;&gt;"""",row($C$2:$C936)=max(if($C$2:$C936=C937,row($C$2:$C936),0)))) ,1),0),0))"),"")</f>
        <v/>
      </c>
      <c r="L937" s="147" t="str">
        <f t="shared" si="14"/>
        <v/>
      </c>
      <c r="M937" s="147" t="str">
        <f t="shared" si="15"/>
        <v/>
      </c>
      <c r="N937" s="147" t="str">
        <f t="shared" si="16"/>
        <v/>
      </c>
      <c r="O937" s="147" t="str">
        <f t="shared" si="6"/>
        <v/>
      </c>
      <c r="P937" s="150" t="str">
        <f t="shared" si="7"/>
        <v/>
      </c>
      <c r="Q937" s="151" t="str">
        <f>IFERROR(VLOOKUP(C937,Ativos!$A$1:$G2000,5,),)</f>
        <v/>
      </c>
    </row>
    <row r="938" ht="21.0" customHeight="1">
      <c r="A938" s="152"/>
      <c r="B938" s="160"/>
      <c r="C938" s="153"/>
      <c r="D938" s="169"/>
      <c r="E938" s="139"/>
      <c r="F938" s="141"/>
      <c r="G938" s="170" t="str">
        <f>IFERROR(__xludf.DUMMYFUNCTION("if($C938="""","""",iferror(if(row()&lt;&gt;2,INDEX(arrayformula(filter($H$2:$H937,$C$2:$C937&lt;&gt;"""",row($C$2:$C937)=max(if($C$2:$C937=C938,row($C$2:$C937),0)))) ,1),0),0))"),"")</f>
        <v/>
      </c>
      <c r="H938" s="170" t="str">
        <f t="shared" si="8"/>
        <v/>
      </c>
      <c r="I938" s="147" t="str">
        <f t="shared" si="1"/>
        <v/>
      </c>
      <c r="J938" s="147" t="str">
        <f t="shared" si="13"/>
        <v/>
      </c>
      <c r="K938" s="147" t="str">
        <f>IFERROR(__xludf.DUMMYFUNCTION("if(C938="""","""",iferror(if(row()&lt;&gt;2,INDEX(arrayformula(filter($L$2:$L937,$C$2:$C937&lt;&gt;"""",row($C$2:$C937)=max(if($C$2:$C937=C938,row($C$2:$C937),0)))) ,1),0),0))"),"")</f>
        <v/>
      </c>
      <c r="L938" s="147" t="str">
        <f t="shared" si="14"/>
        <v/>
      </c>
      <c r="M938" s="147" t="str">
        <f t="shared" si="15"/>
        <v/>
      </c>
      <c r="N938" s="147" t="str">
        <f t="shared" si="16"/>
        <v/>
      </c>
      <c r="O938" s="147" t="str">
        <f t="shared" si="6"/>
        <v/>
      </c>
      <c r="P938" s="150" t="str">
        <f t="shared" si="7"/>
        <v/>
      </c>
      <c r="Q938" s="151" t="str">
        <f>IFERROR(VLOOKUP(C938,Ativos!$A$1:$G2000,5,),)</f>
        <v/>
      </c>
    </row>
    <row r="939" ht="21.0" customHeight="1">
      <c r="A939" s="152"/>
      <c r="B939" s="160"/>
      <c r="C939" s="153"/>
      <c r="D939" s="169"/>
      <c r="E939" s="139"/>
      <c r="F939" s="141"/>
      <c r="G939" s="170" t="str">
        <f>IFERROR(__xludf.DUMMYFUNCTION("if($C939="""","""",iferror(if(row()&lt;&gt;2,INDEX(arrayformula(filter($H$2:$H938,$C$2:$C938&lt;&gt;"""",row($C$2:$C938)=max(if($C$2:$C938=C939,row($C$2:$C938),0)))) ,1),0),0))"),"")</f>
        <v/>
      </c>
      <c r="H939" s="170" t="str">
        <f t="shared" si="8"/>
        <v/>
      </c>
      <c r="I939" s="147" t="str">
        <f t="shared" si="1"/>
        <v/>
      </c>
      <c r="J939" s="147" t="str">
        <f t="shared" si="13"/>
        <v/>
      </c>
      <c r="K939" s="147" t="str">
        <f>IFERROR(__xludf.DUMMYFUNCTION("if(C939="""","""",iferror(if(row()&lt;&gt;2,INDEX(arrayformula(filter($L$2:$L938,$C$2:$C938&lt;&gt;"""",row($C$2:$C938)=max(if($C$2:$C938=C939,row($C$2:$C938),0)))) ,1),0),0))"),"")</f>
        <v/>
      </c>
      <c r="L939" s="147" t="str">
        <f t="shared" si="14"/>
        <v/>
      </c>
      <c r="M939" s="147" t="str">
        <f t="shared" si="15"/>
        <v/>
      </c>
      <c r="N939" s="147" t="str">
        <f t="shared" si="16"/>
        <v/>
      </c>
      <c r="O939" s="147" t="str">
        <f t="shared" si="6"/>
        <v/>
      </c>
      <c r="P939" s="150" t="str">
        <f t="shared" si="7"/>
        <v/>
      </c>
      <c r="Q939" s="151" t="str">
        <f>IFERROR(VLOOKUP(C939,Ativos!$A$1:$G2000,5,),)</f>
        <v/>
      </c>
    </row>
    <row r="940" ht="21.0" customHeight="1">
      <c r="A940" s="152"/>
      <c r="B940" s="160"/>
      <c r="C940" s="153"/>
      <c r="D940" s="169"/>
      <c r="E940" s="139"/>
      <c r="F940" s="141"/>
      <c r="G940" s="170" t="str">
        <f>IFERROR(__xludf.DUMMYFUNCTION("if($C940="""","""",iferror(if(row()&lt;&gt;2,INDEX(arrayformula(filter($H$2:$H939,$C$2:$C939&lt;&gt;"""",row($C$2:$C939)=max(if($C$2:$C939=C940,row($C$2:$C939),0)))) ,1),0),0))"),"")</f>
        <v/>
      </c>
      <c r="H940" s="170" t="str">
        <f t="shared" si="8"/>
        <v/>
      </c>
      <c r="I940" s="147" t="str">
        <f t="shared" si="1"/>
        <v/>
      </c>
      <c r="J940" s="147" t="str">
        <f t="shared" si="13"/>
        <v/>
      </c>
      <c r="K940" s="147" t="str">
        <f>IFERROR(__xludf.DUMMYFUNCTION("if(C940="""","""",iferror(if(row()&lt;&gt;2,INDEX(arrayformula(filter($L$2:$L939,$C$2:$C939&lt;&gt;"""",row($C$2:$C939)=max(if($C$2:$C939=C940,row($C$2:$C939),0)))) ,1),0),0))"),"")</f>
        <v/>
      </c>
      <c r="L940" s="147" t="str">
        <f t="shared" si="14"/>
        <v/>
      </c>
      <c r="M940" s="147" t="str">
        <f t="shared" si="15"/>
        <v/>
      </c>
      <c r="N940" s="147" t="str">
        <f t="shared" si="16"/>
        <v/>
      </c>
      <c r="O940" s="147" t="str">
        <f t="shared" si="6"/>
        <v/>
      </c>
      <c r="P940" s="150" t="str">
        <f t="shared" si="7"/>
        <v/>
      </c>
      <c r="Q940" s="151" t="str">
        <f>IFERROR(VLOOKUP(C940,Ativos!$A$1:$G2000,5,),)</f>
        <v/>
      </c>
    </row>
    <row r="941" ht="21.0" customHeight="1">
      <c r="A941" s="152"/>
      <c r="B941" s="160"/>
      <c r="C941" s="153"/>
      <c r="D941" s="169"/>
      <c r="E941" s="139"/>
      <c r="F941" s="141"/>
      <c r="G941" s="170" t="str">
        <f>IFERROR(__xludf.DUMMYFUNCTION("if($C941="""","""",iferror(if(row()&lt;&gt;2,INDEX(arrayformula(filter($H$2:$H940,$C$2:$C940&lt;&gt;"""",row($C$2:$C940)=max(if($C$2:$C940=C941,row($C$2:$C940),0)))) ,1),0),0))"),"")</f>
        <v/>
      </c>
      <c r="H941" s="170" t="str">
        <f t="shared" si="8"/>
        <v/>
      </c>
      <c r="I941" s="147" t="str">
        <f t="shared" si="1"/>
        <v/>
      </c>
      <c r="J941" s="147" t="str">
        <f t="shared" si="13"/>
        <v/>
      </c>
      <c r="K941" s="147" t="str">
        <f>IFERROR(__xludf.DUMMYFUNCTION("if(C941="""","""",iferror(if(row()&lt;&gt;2,INDEX(arrayformula(filter($L$2:$L940,$C$2:$C940&lt;&gt;"""",row($C$2:$C940)=max(if($C$2:$C940=C941,row($C$2:$C940),0)))) ,1),0),0))"),"")</f>
        <v/>
      </c>
      <c r="L941" s="147" t="str">
        <f t="shared" si="14"/>
        <v/>
      </c>
      <c r="M941" s="147" t="str">
        <f t="shared" si="15"/>
        <v/>
      </c>
      <c r="N941" s="147" t="str">
        <f t="shared" si="16"/>
        <v/>
      </c>
      <c r="O941" s="147" t="str">
        <f t="shared" si="6"/>
        <v/>
      </c>
      <c r="P941" s="150" t="str">
        <f t="shared" si="7"/>
        <v/>
      </c>
      <c r="Q941" s="151" t="str">
        <f>IFERROR(VLOOKUP(C941,Ativos!$A$1:$G2000,5,),)</f>
        <v/>
      </c>
    </row>
    <row r="942" ht="21.0" customHeight="1">
      <c r="A942" s="152"/>
      <c r="B942" s="160"/>
      <c r="C942" s="153"/>
      <c r="D942" s="169"/>
      <c r="E942" s="139"/>
      <c r="F942" s="141"/>
      <c r="G942" s="170" t="str">
        <f>IFERROR(__xludf.DUMMYFUNCTION("if($C942="""","""",iferror(if(row()&lt;&gt;2,INDEX(arrayformula(filter($H$2:$H941,$C$2:$C941&lt;&gt;"""",row($C$2:$C941)=max(if($C$2:$C941=C942,row($C$2:$C941),0)))) ,1),0),0))"),"")</f>
        <v/>
      </c>
      <c r="H942" s="170" t="str">
        <f t="shared" si="8"/>
        <v/>
      </c>
      <c r="I942" s="147" t="str">
        <f t="shared" si="1"/>
        <v/>
      </c>
      <c r="J942" s="147" t="str">
        <f t="shared" si="13"/>
        <v/>
      </c>
      <c r="K942" s="147" t="str">
        <f>IFERROR(__xludf.DUMMYFUNCTION("if(C942="""","""",iferror(if(row()&lt;&gt;2,INDEX(arrayformula(filter($L$2:$L941,$C$2:$C941&lt;&gt;"""",row($C$2:$C941)=max(if($C$2:$C941=C942,row($C$2:$C941),0)))) ,1),0),0))"),"")</f>
        <v/>
      </c>
      <c r="L942" s="147" t="str">
        <f t="shared" si="14"/>
        <v/>
      </c>
      <c r="M942" s="147" t="str">
        <f t="shared" si="15"/>
        <v/>
      </c>
      <c r="N942" s="147" t="str">
        <f t="shared" si="16"/>
        <v/>
      </c>
      <c r="O942" s="147" t="str">
        <f t="shared" si="6"/>
        <v/>
      </c>
      <c r="P942" s="150" t="str">
        <f t="shared" si="7"/>
        <v/>
      </c>
      <c r="Q942" s="151" t="str">
        <f>IFERROR(VLOOKUP(C942,Ativos!$A$1:$G2000,5,),)</f>
        <v/>
      </c>
    </row>
    <row r="943" ht="21.0" customHeight="1">
      <c r="A943" s="152"/>
      <c r="B943" s="160"/>
      <c r="C943" s="153"/>
      <c r="D943" s="169"/>
      <c r="E943" s="139"/>
      <c r="F943" s="141"/>
      <c r="G943" s="170" t="str">
        <f>IFERROR(__xludf.DUMMYFUNCTION("if($C943="""","""",iferror(if(row()&lt;&gt;2,INDEX(arrayformula(filter($H$2:$H942,$C$2:$C942&lt;&gt;"""",row($C$2:$C942)=max(if($C$2:$C942=C943,row($C$2:$C942),0)))) ,1),0),0))"),"")</f>
        <v/>
      </c>
      <c r="H943" s="170" t="str">
        <f t="shared" si="8"/>
        <v/>
      </c>
      <c r="I943" s="147" t="str">
        <f t="shared" si="1"/>
        <v/>
      </c>
      <c r="J943" s="147" t="str">
        <f t="shared" si="13"/>
        <v/>
      </c>
      <c r="K943" s="147" t="str">
        <f>IFERROR(__xludf.DUMMYFUNCTION("if(C943="""","""",iferror(if(row()&lt;&gt;2,INDEX(arrayformula(filter($L$2:$L942,$C$2:$C942&lt;&gt;"""",row($C$2:$C942)=max(if($C$2:$C942=C943,row($C$2:$C942),0)))) ,1),0),0))"),"")</f>
        <v/>
      </c>
      <c r="L943" s="147" t="str">
        <f t="shared" si="14"/>
        <v/>
      </c>
      <c r="M943" s="147" t="str">
        <f t="shared" si="15"/>
        <v/>
      </c>
      <c r="N943" s="147" t="str">
        <f t="shared" si="16"/>
        <v/>
      </c>
      <c r="O943" s="147" t="str">
        <f t="shared" si="6"/>
        <v/>
      </c>
      <c r="P943" s="150" t="str">
        <f t="shared" si="7"/>
        <v/>
      </c>
      <c r="Q943" s="151" t="str">
        <f>IFERROR(VLOOKUP(C943,Ativos!$A$1:$G2000,5,),)</f>
        <v/>
      </c>
    </row>
    <row r="944" ht="21.0" customHeight="1">
      <c r="A944" s="152"/>
      <c r="B944" s="160"/>
      <c r="C944" s="153"/>
      <c r="D944" s="169"/>
      <c r="E944" s="139"/>
      <c r="F944" s="141"/>
      <c r="G944" s="170" t="str">
        <f>IFERROR(__xludf.DUMMYFUNCTION("if($C944="""","""",iferror(if(row()&lt;&gt;2,INDEX(arrayformula(filter($H$2:$H943,$C$2:$C943&lt;&gt;"""",row($C$2:$C943)=max(if($C$2:$C943=C944,row($C$2:$C943),0)))) ,1),0),0))"),"")</f>
        <v/>
      </c>
      <c r="H944" s="170" t="str">
        <f t="shared" si="8"/>
        <v/>
      </c>
      <c r="I944" s="147" t="str">
        <f t="shared" si="1"/>
        <v/>
      </c>
      <c r="J944" s="147" t="str">
        <f t="shared" si="13"/>
        <v/>
      </c>
      <c r="K944" s="147" t="str">
        <f>IFERROR(__xludf.DUMMYFUNCTION("if(C944="""","""",iferror(if(row()&lt;&gt;2,INDEX(arrayformula(filter($L$2:$L943,$C$2:$C943&lt;&gt;"""",row($C$2:$C943)=max(if($C$2:$C943=C944,row($C$2:$C943),0)))) ,1),0),0))"),"")</f>
        <v/>
      </c>
      <c r="L944" s="147" t="str">
        <f t="shared" si="14"/>
        <v/>
      </c>
      <c r="M944" s="147" t="str">
        <f t="shared" si="15"/>
        <v/>
      </c>
      <c r="N944" s="147" t="str">
        <f t="shared" si="16"/>
        <v/>
      </c>
      <c r="O944" s="147" t="str">
        <f t="shared" si="6"/>
        <v/>
      </c>
      <c r="P944" s="150" t="str">
        <f t="shared" si="7"/>
        <v/>
      </c>
      <c r="Q944" s="151" t="str">
        <f>IFERROR(VLOOKUP(C944,Ativos!$A$1:$G2000,5,),)</f>
        <v/>
      </c>
    </row>
    <row r="945" ht="21.0" customHeight="1">
      <c r="A945" s="152"/>
      <c r="B945" s="160"/>
      <c r="C945" s="153"/>
      <c r="D945" s="169"/>
      <c r="E945" s="139"/>
      <c r="F945" s="141"/>
      <c r="G945" s="170" t="str">
        <f>IFERROR(__xludf.DUMMYFUNCTION("if($C945="""","""",iferror(if(row()&lt;&gt;2,INDEX(arrayformula(filter($H$2:$H944,$C$2:$C944&lt;&gt;"""",row($C$2:$C944)=max(if($C$2:$C944=C945,row($C$2:$C944),0)))) ,1),0),0))"),"")</f>
        <v/>
      </c>
      <c r="H945" s="170" t="str">
        <f t="shared" si="8"/>
        <v/>
      </c>
      <c r="I945" s="147" t="str">
        <f t="shared" si="1"/>
        <v/>
      </c>
      <c r="J945" s="147" t="str">
        <f t="shared" si="13"/>
        <v/>
      </c>
      <c r="K945" s="147" t="str">
        <f>IFERROR(__xludf.DUMMYFUNCTION("if(C945="""","""",iferror(if(row()&lt;&gt;2,INDEX(arrayformula(filter($L$2:$L944,$C$2:$C944&lt;&gt;"""",row($C$2:$C944)=max(if($C$2:$C944=C945,row($C$2:$C944),0)))) ,1),0),0))"),"")</f>
        <v/>
      </c>
      <c r="L945" s="147" t="str">
        <f t="shared" si="14"/>
        <v/>
      </c>
      <c r="M945" s="147" t="str">
        <f t="shared" si="15"/>
        <v/>
      </c>
      <c r="N945" s="147" t="str">
        <f t="shared" si="16"/>
        <v/>
      </c>
      <c r="O945" s="147" t="str">
        <f t="shared" si="6"/>
        <v/>
      </c>
      <c r="P945" s="150" t="str">
        <f t="shared" si="7"/>
        <v/>
      </c>
      <c r="Q945" s="151" t="str">
        <f>IFERROR(VLOOKUP(C945,Ativos!$A$1:$G2000,5,),)</f>
        <v/>
      </c>
    </row>
    <row r="946" ht="21.0" customHeight="1">
      <c r="A946" s="152"/>
      <c r="B946" s="160"/>
      <c r="C946" s="153"/>
      <c r="D946" s="169"/>
      <c r="E946" s="139"/>
      <c r="F946" s="141"/>
      <c r="G946" s="170" t="str">
        <f>IFERROR(__xludf.DUMMYFUNCTION("if($C946="""","""",iferror(if(row()&lt;&gt;2,INDEX(arrayformula(filter($H$2:$H945,$C$2:$C945&lt;&gt;"""",row($C$2:$C945)=max(if($C$2:$C945=C946,row($C$2:$C945),0)))) ,1),0),0))"),"")</f>
        <v/>
      </c>
      <c r="H946" s="170" t="str">
        <f t="shared" si="8"/>
        <v/>
      </c>
      <c r="I946" s="147" t="str">
        <f t="shared" si="1"/>
        <v/>
      </c>
      <c r="J946" s="147" t="str">
        <f t="shared" si="13"/>
        <v/>
      </c>
      <c r="K946" s="147" t="str">
        <f>IFERROR(__xludf.DUMMYFUNCTION("if(C946="""","""",iferror(if(row()&lt;&gt;2,INDEX(arrayformula(filter($L$2:$L945,$C$2:$C945&lt;&gt;"""",row($C$2:$C945)=max(if($C$2:$C945=C946,row($C$2:$C945),0)))) ,1),0),0))"),"")</f>
        <v/>
      </c>
      <c r="L946" s="147" t="str">
        <f t="shared" si="14"/>
        <v/>
      </c>
      <c r="M946" s="147" t="str">
        <f t="shared" si="15"/>
        <v/>
      </c>
      <c r="N946" s="147" t="str">
        <f t="shared" si="16"/>
        <v/>
      </c>
      <c r="O946" s="147" t="str">
        <f t="shared" si="6"/>
        <v/>
      </c>
      <c r="P946" s="150" t="str">
        <f t="shared" si="7"/>
        <v/>
      </c>
      <c r="Q946" s="151" t="str">
        <f>IFERROR(VLOOKUP(C946,Ativos!$A$1:$G2000,5,),)</f>
        <v/>
      </c>
    </row>
    <row r="947" ht="21.0" customHeight="1">
      <c r="A947" s="152"/>
      <c r="B947" s="160"/>
      <c r="C947" s="153"/>
      <c r="D947" s="169"/>
      <c r="E947" s="139"/>
      <c r="F947" s="141"/>
      <c r="G947" s="170" t="str">
        <f>IFERROR(__xludf.DUMMYFUNCTION("if($C947="""","""",iferror(if(row()&lt;&gt;2,INDEX(arrayformula(filter($H$2:$H946,$C$2:$C946&lt;&gt;"""",row($C$2:$C946)=max(if($C$2:$C946=C947,row($C$2:$C946),0)))) ,1),0),0))"),"")</f>
        <v/>
      </c>
      <c r="H947" s="170" t="str">
        <f t="shared" si="8"/>
        <v/>
      </c>
      <c r="I947" s="147" t="str">
        <f t="shared" si="1"/>
        <v/>
      </c>
      <c r="J947" s="147" t="str">
        <f t="shared" si="13"/>
        <v/>
      </c>
      <c r="K947" s="147" t="str">
        <f>IFERROR(__xludf.DUMMYFUNCTION("if(C947="""","""",iferror(if(row()&lt;&gt;2,INDEX(arrayformula(filter($L$2:$L946,$C$2:$C946&lt;&gt;"""",row($C$2:$C946)=max(if($C$2:$C946=C947,row($C$2:$C946),0)))) ,1),0),0))"),"")</f>
        <v/>
      </c>
      <c r="L947" s="147" t="str">
        <f t="shared" si="14"/>
        <v/>
      </c>
      <c r="M947" s="147" t="str">
        <f t="shared" si="15"/>
        <v/>
      </c>
      <c r="N947" s="147" t="str">
        <f t="shared" si="16"/>
        <v/>
      </c>
      <c r="O947" s="147" t="str">
        <f t="shared" si="6"/>
        <v/>
      </c>
      <c r="P947" s="150" t="str">
        <f t="shared" si="7"/>
        <v/>
      </c>
      <c r="Q947" s="151" t="str">
        <f>IFERROR(VLOOKUP(C947,Ativos!$A$1:$G2000,5,),)</f>
        <v/>
      </c>
    </row>
    <row r="948" ht="21.0" customHeight="1">
      <c r="A948" s="152"/>
      <c r="B948" s="160"/>
      <c r="C948" s="153"/>
      <c r="D948" s="169"/>
      <c r="E948" s="139"/>
      <c r="F948" s="141"/>
      <c r="G948" s="170" t="str">
        <f>IFERROR(__xludf.DUMMYFUNCTION("if($C948="""","""",iferror(if(row()&lt;&gt;2,INDEX(arrayformula(filter($H$2:$H947,$C$2:$C947&lt;&gt;"""",row($C$2:$C947)=max(if($C$2:$C947=C948,row($C$2:$C947),0)))) ,1),0),0))"),"")</f>
        <v/>
      </c>
      <c r="H948" s="170" t="str">
        <f t="shared" si="8"/>
        <v/>
      </c>
      <c r="I948" s="147" t="str">
        <f t="shared" si="1"/>
        <v/>
      </c>
      <c r="J948" s="147" t="str">
        <f t="shared" si="13"/>
        <v/>
      </c>
      <c r="K948" s="147" t="str">
        <f>IFERROR(__xludf.DUMMYFUNCTION("if(C948="""","""",iferror(if(row()&lt;&gt;2,INDEX(arrayformula(filter($L$2:$L947,$C$2:$C947&lt;&gt;"""",row($C$2:$C947)=max(if($C$2:$C947=C948,row($C$2:$C947),0)))) ,1),0),0))"),"")</f>
        <v/>
      </c>
      <c r="L948" s="147" t="str">
        <f t="shared" si="14"/>
        <v/>
      </c>
      <c r="M948" s="147" t="str">
        <f t="shared" si="15"/>
        <v/>
      </c>
      <c r="N948" s="147" t="str">
        <f t="shared" si="16"/>
        <v/>
      </c>
      <c r="O948" s="147" t="str">
        <f t="shared" si="6"/>
        <v/>
      </c>
      <c r="P948" s="150" t="str">
        <f t="shared" si="7"/>
        <v/>
      </c>
      <c r="Q948" s="151" t="str">
        <f>IFERROR(VLOOKUP(C948,Ativos!$A$1:$G2000,5,),)</f>
        <v/>
      </c>
    </row>
    <row r="949" ht="21.0" customHeight="1">
      <c r="A949" s="152"/>
      <c r="B949" s="160"/>
      <c r="C949" s="153"/>
      <c r="D949" s="169"/>
      <c r="E949" s="139"/>
      <c r="F949" s="141"/>
      <c r="G949" s="170" t="str">
        <f>IFERROR(__xludf.DUMMYFUNCTION("if($C949="""","""",iferror(if(row()&lt;&gt;2,INDEX(arrayformula(filter($H$2:$H948,$C$2:$C948&lt;&gt;"""",row($C$2:$C948)=max(if($C$2:$C948=C949,row($C$2:$C948),0)))) ,1),0),0))"),"")</f>
        <v/>
      </c>
      <c r="H949" s="170" t="str">
        <f t="shared" si="8"/>
        <v/>
      </c>
      <c r="I949" s="147" t="str">
        <f t="shared" si="1"/>
        <v/>
      </c>
      <c r="J949" s="147" t="str">
        <f t="shared" si="13"/>
        <v/>
      </c>
      <c r="K949" s="147" t="str">
        <f>IFERROR(__xludf.DUMMYFUNCTION("if(C949="""","""",iferror(if(row()&lt;&gt;2,INDEX(arrayformula(filter($L$2:$L948,$C$2:$C948&lt;&gt;"""",row($C$2:$C948)=max(if($C$2:$C948=C949,row($C$2:$C948),0)))) ,1),0),0))"),"")</f>
        <v/>
      </c>
      <c r="L949" s="147" t="str">
        <f t="shared" si="14"/>
        <v/>
      </c>
      <c r="M949" s="147" t="str">
        <f t="shared" si="15"/>
        <v/>
      </c>
      <c r="N949" s="147" t="str">
        <f t="shared" si="16"/>
        <v/>
      </c>
      <c r="O949" s="147" t="str">
        <f t="shared" si="6"/>
        <v/>
      </c>
      <c r="P949" s="150" t="str">
        <f t="shared" si="7"/>
        <v/>
      </c>
      <c r="Q949" s="151" t="str">
        <f>IFERROR(VLOOKUP(C949,Ativos!$A$1:$G2000,5,),)</f>
        <v/>
      </c>
    </row>
    <row r="950" ht="21.0" customHeight="1">
      <c r="A950" s="152"/>
      <c r="B950" s="160"/>
      <c r="C950" s="153"/>
      <c r="D950" s="169"/>
      <c r="E950" s="139"/>
      <c r="F950" s="141"/>
      <c r="G950" s="170" t="str">
        <f>IFERROR(__xludf.DUMMYFUNCTION("if($C950="""","""",iferror(if(row()&lt;&gt;2,INDEX(arrayformula(filter($H$2:$H949,$C$2:$C949&lt;&gt;"""",row($C$2:$C949)=max(if($C$2:$C949=C950,row($C$2:$C949),0)))) ,1),0),0))"),"")</f>
        <v/>
      </c>
      <c r="H950" s="170" t="str">
        <f t="shared" si="8"/>
        <v/>
      </c>
      <c r="I950" s="147" t="str">
        <f t="shared" si="1"/>
        <v/>
      </c>
      <c r="J950" s="147" t="str">
        <f t="shared" si="13"/>
        <v/>
      </c>
      <c r="K950" s="147" t="str">
        <f>IFERROR(__xludf.DUMMYFUNCTION("if(C950="""","""",iferror(if(row()&lt;&gt;2,INDEX(arrayformula(filter($L$2:$L949,$C$2:$C949&lt;&gt;"""",row($C$2:$C949)=max(if($C$2:$C949=C950,row($C$2:$C949),0)))) ,1),0),0))"),"")</f>
        <v/>
      </c>
      <c r="L950" s="147" t="str">
        <f t="shared" si="14"/>
        <v/>
      </c>
      <c r="M950" s="147" t="str">
        <f t="shared" si="15"/>
        <v/>
      </c>
      <c r="N950" s="147" t="str">
        <f t="shared" si="16"/>
        <v/>
      </c>
      <c r="O950" s="147" t="str">
        <f t="shared" si="6"/>
        <v/>
      </c>
      <c r="P950" s="150" t="str">
        <f t="shared" si="7"/>
        <v/>
      </c>
      <c r="Q950" s="151" t="str">
        <f>IFERROR(VLOOKUP(C950,Ativos!$A$1:$G2000,5,),)</f>
        <v/>
      </c>
    </row>
    <row r="951" ht="21.0" customHeight="1">
      <c r="A951" s="152"/>
      <c r="B951" s="160"/>
      <c r="C951" s="153"/>
      <c r="D951" s="169"/>
      <c r="E951" s="139"/>
      <c r="F951" s="141"/>
      <c r="G951" s="170" t="str">
        <f>IFERROR(__xludf.DUMMYFUNCTION("if($C951="""","""",iferror(if(row()&lt;&gt;2,INDEX(arrayformula(filter($H$2:$H950,$C$2:$C950&lt;&gt;"""",row($C$2:$C950)=max(if($C$2:$C950=C951,row($C$2:$C950),0)))) ,1),0),0))"),"")</f>
        <v/>
      </c>
      <c r="H951" s="170" t="str">
        <f t="shared" si="8"/>
        <v/>
      </c>
      <c r="I951" s="147" t="str">
        <f t="shared" si="1"/>
        <v/>
      </c>
      <c r="J951" s="147" t="str">
        <f t="shared" si="13"/>
        <v/>
      </c>
      <c r="K951" s="147" t="str">
        <f>IFERROR(__xludf.DUMMYFUNCTION("if(C951="""","""",iferror(if(row()&lt;&gt;2,INDEX(arrayformula(filter($L$2:$L950,$C$2:$C950&lt;&gt;"""",row($C$2:$C950)=max(if($C$2:$C950=C951,row($C$2:$C950),0)))) ,1),0),0))"),"")</f>
        <v/>
      </c>
      <c r="L951" s="147" t="str">
        <f t="shared" si="14"/>
        <v/>
      </c>
      <c r="M951" s="147" t="str">
        <f t="shared" si="15"/>
        <v/>
      </c>
      <c r="N951" s="147" t="str">
        <f t="shared" si="16"/>
        <v/>
      </c>
      <c r="O951" s="147" t="str">
        <f t="shared" si="6"/>
        <v/>
      </c>
      <c r="P951" s="150" t="str">
        <f t="shared" si="7"/>
        <v/>
      </c>
      <c r="Q951" s="151" t="str">
        <f>IFERROR(VLOOKUP(C951,Ativos!$A$1:$G2000,5,),)</f>
        <v/>
      </c>
    </row>
    <row r="952" ht="21.0" customHeight="1">
      <c r="A952" s="152"/>
      <c r="B952" s="160"/>
      <c r="C952" s="153"/>
      <c r="D952" s="169"/>
      <c r="E952" s="139"/>
      <c r="F952" s="141"/>
      <c r="G952" s="170" t="str">
        <f>IFERROR(__xludf.DUMMYFUNCTION("if($C952="""","""",iferror(if(row()&lt;&gt;2,INDEX(arrayformula(filter($H$2:$H951,$C$2:$C951&lt;&gt;"""",row($C$2:$C951)=max(if($C$2:$C951=C952,row($C$2:$C951),0)))) ,1),0),0))"),"")</f>
        <v/>
      </c>
      <c r="H952" s="170" t="str">
        <f t="shared" si="8"/>
        <v/>
      </c>
      <c r="I952" s="147" t="str">
        <f t="shared" si="1"/>
        <v/>
      </c>
      <c r="J952" s="147" t="str">
        <f t="shared" si="13"/>
        <v/>
      </c>
      <c r="K952" s="147" t="str">
        <f>IFERROR(__xludf.DUMMYFUNCTION("if(C952="""","""",iferror(if(row()&lt;&gt;2,INDEX(arrayformula(filter($L$2:$L951,$C$2:$C951&lt;&gt;"""",row($C$2:$C951)=max(if($C$2:$C951=C952,row($C$2:$C951),0)))) ,1),0),0))"),"")</f>
        <v/>
      </c>
      <c r="L952" s="147" t="str">
        <f t="shared" si="14"/>
        <v/>
      </c>
      <c r="M952" s="147" t="str">
        <f t="shared" si="15"/>
        <v/>
      </c>
      <c r="N952" s="147" t="str">
        <f t="shared" si="16"/>
        <v/>
      </c>
      <c r="O952" s="147" t="str">
        <f t="shared" si="6"/>
        <v/>
      </c>
      <c r="P952" s="150" t="str">
        <f t="shared" si="7"/>
        <v/>
      </c>
      <c r="Q952" s="151" t="str">
        <f>IFERROR(VLOOKUP(C952,Ativos!$A$1:$G2000,5,),)</f>
        <v/>
      </c>
    </row>
    <row r="953" ht="21.0" customHeight="1">
      <c r="A953" s="152"/>
      <c r="B953" s="160"/>
      <c r="C953" s="153"/>
      <c r="D953" s="169"/>
      <c r="E953" s="139"/>
      <c r="F953" s="141"/>
      <c r="G953" s="170" t="str">
        <f>IFERROR(__xludf.DUMMYFUNCTION("if($C953="""","""",iferror(if(row()&lt;&gt;2,INDEX(arrayformula(filter($H$2:$H952,$C$2:$C952&lt;&gt;"""",row($C$2:$C952)=max(if($C$2:$C952=C953,row($C$2:$C952),0)))) ,1),0),0))"),"")</f>
        <v/>
      </c>
      <c r="H953" s="170" t="str">
        <f t="shared" si="8"/>
        <v/>
      </c>
      <c r="I953" s="147" t="str">
        <f t="shared" si="1"/>
        <v/>
      </c>
      <c r="J953" s="147" t="str">
        <f t="shared" si="13"/>
        <v/>
      </c>
      <c r="K953" s="147" t="str">
        <f>IFERROR(__xludf.DUMMYFUNCTION("if(C953="""","""",iferror(if(row()&lt;&gt;2,INDEX(arrayformula(filter($L$2:$L952,$C$2:$C952&lt;&gt;"""",row($C$2:$C952)=max(if($C$2:$C952=C953,row($C$2:$C952),0)))) ,1),0),0))"),"")</f>
        <v/>
      </c>
      <c r="L953" s="147" t="str">
        <f t="shared" si="14"/>
        <v/>
      </c>
      <c r="M953" s="147" t="str">
        <f t="shared" si="15"/>
        <v/>
      </c>
      <c r="N953" s="147" t="str">
        <f t="shared" si="16"/>
        <v/>
      </c>
      <c r="O953" s="147" t="str">
        <f t="shared" si="6"/>
        <v/>
      </c>
      <c r="P953" s="150" t="str">
        <f t="shared" si="7"/>
        <v/>
      </c>
      <c r="Q953" s="151" t="str">
        <f>IFERROR(VLOOKUP(C953,Ativos!$A$1:$G2000,5,),)</f>
        <v/>
      </c>
    </row>
    <row r="954" ht="21.0" customHeight="1">
      <c r="A954" s="152"/>
      <c r="B954" s="160"/>
      <c r="C954" s="153"/>
      <c r="D954" s="169"/>
      <c r="E954" s="139"/>
      <c r="F954" s="141"/>
      <c r="G954" s="170" t="str">
        <f>IFERROR(__xludf.DUMMYFUNCTION("if($C954="""","""",iferror(if(row()&lt;&gt;2,INDEX(arrayformula(filter($H$2:$H953,$C$2:$C953&lt;&gt;"""",row($C$2:$C953)=max(if($C$2:$C953=C954,row($C$2:$C953),0)))) ,1),0),0))"),"")</f>
        <v/>
      </c>
      <c r="H954" s="170" t="str">
        <f t="shared" si="8"/>
        <v/>
      </c>
      <c r="I954" s="147" t="str">
        <f t="shared" si="1"/>
        <v/>
      </c>
      <c r="J954" s="147" t="str">
        <f t="shared" si="13"/>
        <v/>
      </c>
      <c r="K954" s="147" t="str">
        <f>IFERROR(__xludf.DUMMYFUNCTION("if(C954="""","""",iferror(if(row()&lt;&gt;2,INDEX(arrayformula(filter($L$2:$L953,$C$2:$C953&lt;&gt;"""",row($C$2:$C953)=max(if($C$2:$C953=C954,row($C$2:$C953),0)))) ,1),0),0))"),"")</f>
        <v/>
      </c>
      <c r="L954" s="147" t="str">
        <f t="shared" si="14"/>
        <v/>
      </c>
      <c r="M954" s="147" t="str">
        <f t="shared" si="15"/>
        <v/>
      </c>
      <c r="N954" s="147" t="str">
        <f t="shared" si="16"/>
        <v/>
      </c>
      <c r="O954" s="147" t="str">
        <f t="shared" si="6"/>
        <v/>
      </c>
      <c r="P954" s="150" t="str">
        <f t="shared" si="7"/>
        <v/>
      </c>
      <c r="Q954" s="151" t="str">
        <f>IFERROR(VLOOKUP(C954,Ativos!$A$1:$G2000,5,),)</f>
        <v/>
      </c>
    </row>
    <row r="955" ht="21.0" customHeight="1">
      <c r="A955" s="152"/>
      <c r="B955" s="160"/>
      <c r="C955" s="153"/>
      <c r="D955" s="169"/>
      <c r="E955" s="139"/>
      <c r="F955" s="141"/>
      <c r="G955" s="170" t="str">
        <f>IFERROR(__xludf.DUMMYFUNCTION("if($C955="""","""",iferror(if(row()&lt;&gt;2,INDEX(arrayformula(filter($H$2:$H954,$C$2:$C954&lt;&gt;"""",row($C$2:$C954)=max(if($C$2:$C954=C955,row($C$2:$C954),0)))) ,1),0),0))"),"")</f>
        <v/>
      </c>
      <c r="H955" s="170" t="str">
        <f t="shared" si="8"/>
        <v/>
      </c>
      <c r="I955" s="147" t="str">
        <f t="shared" si="1"/>
        <v/>
      </c>
      <c r="J955" s="147" t="str">
        <f t="shared" si="13"/>
        <v/>
      </c>
      <c r="K955" s="147" t="str">
        <f>IFERROR(__xludf.DUMMYFUNCTION("if(C955="""","""",iferror(if(row()&lt;&gt;2,INDEX(arrayformula(filter($L$2:$L954,$C$2:$C954&lt;&gt;"""",row($C$2:$C954)=max(if($C$2:$C954=C955,row($C$2:$C954),0)))) ,1),0),0))"),"")</f>
        <v/>
      </c>
      <c r="L955" s="147" t="str">
        <f t="shared" si="14"/>
        <v/>
      </c>
      <c r="M955" s="147" t="str">
        <f t="shared" si="15"/>
        <v/>
      </c>
      <c r="N955" s="147" t="str">
        <f t="shared" si="16"/>
        <v/>
      </c>
      <c r="O955" s="147" t="str">
        <f t="shared" si="6"/>
        <v/>
      </c>
      <c r="P955" s="150" t="str">
        <f t="shared" si="7"/>
        <v/>
      </c>
      <c r="Q955" s="151" t="str">
        <f>IFERROR(VLOOKUP(C955,Ativos!$A$1:$G2000,5,),)</f>
        <v/>
      </c>
    </row>
    <row r="956" ht="21.0" customHeight="1">
      <c r="A956" s="152"/>
      <c r="B956" s="160"/>
      <c r="C956" s="153"/>
      <c r="D956" s="169"/>
      <c r="E956" s="139"/>
      <c r="F956" s="141"/>
      <c r="G956" s="170" t="str">
        <f>IFERROR(__xludf.DUMMYFUNCTION("if($C956="""","""",iferror(if(row()&lt;&gt;2,INDEX(arrayformula(filter($H$2:$H955,$C$2:$C955&lt;&gt;"""",row($C$2:$C955)=max(if($C$2:$C955=C956,row($C$2:$C955),0)))) ,1),0),0))"),"")</f>
        <v/>
      </c>
      <c r="H956" s="170" t="str">
        <f t="shared" si="8"/>
        <v/>
      </c>
      <c r="I956" s="147" t="str">
        <f t="shared" si="1"/>
        <v/>
      </c>
      <c r="J956" s="147" t="str">
        <f t="shared" si="13"/>
        <v/>
      </c>
      <c r="K956" s="147" t="str">
        <f>IFERROR(__xludf.DUMMYFUNCTION("if(C956="""","""",iferror(if(row()&lt;&gt;2,INDEX(arrayformula(filter($L$2:$L955,$C$2:$C955&lt;&gt;"""",row($C$2:$C955)=max(if($C$2:$C955=C956,row($C$2:$C955),0)))) ,1),0),0))"),"")</f>
        <v/>
      </c>
      <c r="L956" s="147" t="str">
        <f t="shared" si="14"/>
        <v/>
      </c>
      <c r="M956" s="147" t="str">
        <f t="shared" si="15"/>
        <v/>
      </c>
      <c r="N956" s="147" t="str">
        <f t="shared" si="16"/>
        <v/>
      </c>
      <c r="O956" s="147" t="str">
        <f t="shared" si="6"/>
        <v/>
      </c>
      <c r="P956" s="150" t="str">
        <f t="shared" si="7"/>
        <v/>
      </c>
      <c r="Q956" s="151" t="str">
        <f>IFERROR(VLOOKUP(C956,Ativos!$A$1:$G2000,5,),)</f>
        <v/>
      </c>
    </row>
    <row r="957" ht="21.0" customHeight="1">
      <c r="A957" s="152"/>
      <c r="B957" s="160"/>
      <c r="C957" s="153"/>
      <c r="D957" s="169"/>
      <c r="E957" s="139"/>
      <c r="F957" s="141"/>
      <c r="G957" s="170" t="str">
        <f>IFERROR(__xludf.DUMMYFUNCTION("if($C957="""","""",iferror(if(row()&lt;&gt;2,INDEX(arrayformula(filter($H$2:$H956,$C$2:$C956&lt;&gt;"""",row($C$2:$C956)=max(if($C$2:$C956=C957,row($C$2:$C956),0)))) ,1),0),0))"),"")</f>
        <v/>
      </c>
      <c r="H957" s="170" t="str">
        <f t="shared" si="8"/>
        <v/>
      </c>
      <c r="I957" s="147" t="str">
        <f t="shared" si="1"/>
        <v/>
      </c>
      <c r="J957" s="147" t="str">
        <f t="shared" si="13"/>
        <v/>
      </c>
      <c r="K957" s="147" t="str">
        <f>IFERROR(__xludf.DUMMYFUNCTION("if(C957="""","""",iferror(if(row()&lt;&gt;2,INDEX(arrayformula(filter($L$2:$L956,$C$2:$C956&lt;&gt;"""",row($C$2:$C956)=max(if($C$2:$C956=C957,row($C$2:$C956),0)))) ,1),0),0))"),"")</f>
        <v/>
      </c>
      <c r="L957" s="147" t="str">
        <f t="shared" si="14"/>
        <v/>
      </c>
      <c r="M957" s="147" t="str">
        <f t="shared" si="15"/>
        <v/>
      </c>
      <c r="N957" s="147" t="str">
        <f t="shared" si="16"/>
        <v/>
      </c>
      <c r="O957" s="147" t="str">
        <f t="shared" si="6"/>
        <v/>
      </c>
      <c r="P957" s="150" t="str">
        <f t="shared" si="7"/>
        <v/>
      </c>
      <c r="Q957" s="151" t="str">
        <f>IFERROR(VLOOKUP(C957,Ativos!$A$1:$G2000,5,),)</f>
        <v/>
      </c>
    </row>
    <row r="958" ht="21.0" customHeight="1">
      <c r="A958" s="152"/>
      <c r="B958" s="160"/>
      <c r="C958" s="153"/>
      <c r="D958" s="169"/>
      <c r="E958" s="139"/>
      <c r="F958" s="141"/>
      <c r="G958" s="170" t="str">
        <f>IFERROR(__xludf.DUMMYFUNCTION("if($C958="""","""",iferror(if(row()&lt;&gt;2,INDEX(arrayformula(filter($H$2:$H957,$C$2:$C957&lt;&gt;"""",row($C$2:$C957)=max(if($C$2:$C957=C958,row($C$2:$C957),0)))) ,1),0),0))"),"")</f>
        <v/>
      </c>
      <c r="H958" s="170" t="str">
        <f t="shared" si="8"/>
        <v/>
      </c>
      <c r="I958" s="147" t="str">
        <f t="shared" si="1"/>
        <v/>
      </c>
      <c r="J958" s="147" t="str">
        <f t="shared" si="13"/>
        <v/>
      </c>
      <c r="K958" s="147" t="str">
        <f>IFERROR(__xludf.DUMMYFUNCTION("if(C958="""","""",iferror(if(row()&lt;&gt;2,INDEX(arrayformula(filter($L$2:$L957,$C$2:$C957&lt;&gt;"""",row($C$2:$C957)=max(if($C$2:$C957=C958,row($C$2:$C957),0)))) ,1),0),0))"),"")</f>
        <v/>
      </c>
      <c r="L958" s="147" t="str">
        <f t="shared" si="14"/>
        <v/>
      </c>
      <c r="M958" s="147" t="str">
        <f t="shared" si="15"/>
        <v/>
      </c>
      <c r="N958" s="147" t="str">
        <f t="shared" si="16"/>
        <v/>
      </c>
      <c r="O958" s="147" t="str">
        <f t="shared" si="6"/>
        <v/>
      </c>
      <c r="P958" s="150" t="str">
        <f t="shared" si="7"/>
        <v/>
      </c>
      <c r="Q958" s="151" t="str">
        <f>IFERROR(VLOOKUP(C958,Ativos!$A$1:$G2000,5,),)</f>
        <v/>
      </c>
    </row>
    <row r="959" ht="21.0" customHeight="1">
      <c r="A959" s="152"/>
      <c r="B959" s="160"/>
      <c r="C959" s="153"/>
      <c r="D959" s="169"/>
      <c r="E959" s="139"/>
      <c r="F959" s="141"/>
      <c r="G959" s="170" t="str">
        <f>IFERROR(__xludf.DUMMYFUNCTION("if($C959="""","""",iferror(if(row()&lt;&gt;2,INDEX(arrayformula(filter($H$2:$H958,$C$2:$C958&lt;&gt;"""",row($C$2:$C958)=max(if($C$2:$C958=C959,row($C$2:$C958),0)))) ,1),0),0))"),"")</f>
        <v/>
      </c>
      <c r="H959" s="170" t="str">
        <f t="shared" si="8"/>
        <v/>
      </c>
      <c r="I959" s="147" t="str">
        <f t="shared" si="1"/>
        <v/>
      </c>
      <c r="J959" s="147" t="str">
        <f t="shared" si="13"/>
        <v/>
      </c>
      <c r="K959" s="147" t="str">
        <f>IFERROR(__xludf.DUMMYFUNCTION("if(C959="""","""",iferror(if(row()&lt;&gt;2,INDEX(arrayformula(filter($L$2:$L958,$C$2:$C958&lt;&gt;"""",row($C$2:$C958)=max(if($C$2:$C958=C959,row($C$2:$C958),0)))) ,1),0),0))"),"")</f>
        <v/>
      </c>
      <c r="L959" s="147" t="str">
        <f t="shared" si="14"/>
        <v/>
      </c>
      <c r="M959" s="147" t="str">
        <f t="shared" si="15"/>
        <v/>
      </c>
      <c r="N959" s="147" t="str">
        <f t="shared" si="16"/>
        <v/>
      </c>
      <c r="O959" s="147" t="str">
        <f t="shared" si="6"/>
        <v/>
      </c>
      <c r="P959" s="150" t="str">
        <f t="shared" si="7"/>
        <v/>
      </c>
      <c r="Q959" s="151" t="str">
        <f>IFERROR(VLOOKUP(C959,Ativos!$A$1:$G2000,5,),)</f>
        <v/>
      </c>
    </row>
    <row r="960" ht="21.0" customHeight="1">
      <c r="A960" s="152"/>
      <c r="B960" s="160"/>
      <c r="C960" s="153"/>
      <c r="D960" s="169"/>
      <c r="E960" s="139"/>
      <c r="F960" s="141"/>
      <c r="G960" s="170" t="str">
        <f>IFERROR(__xludf.DUMMYFUNCTION("if($C960="""","""",iferror(if(row()&lt;&gt;2,INDEX(arrayformula(filter($H$2:$H959,$C$2:$C959&lt;&gt;"""",row($C$2:$C959)=max(if($C$2:$C959=C960,row($C$2:$C959),0)))) ,1),0),0))"),"")</f>
        <v/>
      </c>
      <c r="H960" s="170" t="str">
        <f t="shared" si="8"/>
        <v/>
      </c>
      <c r="I960" s="147" t="str">
        <f t="shared" si="1"/>
        <v/>
      </c>
      <c r="J960" s="147" t="str">
        <f t="shared" si="13"/>
        <v/>
      </c>
      <c r="K960" s="147" t="str">
        <f>IFERROR(__xludf.DUMMYFUNCTION("if(C960="""","""",iferror(if(row()&lt;&gt;2,INDEX(arrayformula(filter($L$2:$L959,$C$2:$C959&lt;&gt;"""",row($C$2:$C959)=max(if($C$2:$C959=C960,row($C$2:$C959),0)))) ,1),0),0))"),"")</f>
        <v/>
      </c>
      <c r="L960" s="147" t="str">
        <f t="shared" si="14"/>
        <v/>
      </c>
      <c r="M960" s="147" t="str">
        <f t="shared" si="15"/>
        <v/>
      </c>
      <c r="N960" s="147" t="str">
        <f t="shared" si="16"/>
        <v/>
      </c>
      <c r="O960" s="147" t="str">
        <f t="shared" si="6"/>
        <v/>
      </c>
      <c r="P960" s="150" t="str">
        <f t="shared" si="7"/>
        <v/>
      </c>
      <c r="Q960" s="151" t="str">
        <f>IFERROR(VLOOKUP(C960,Ativos!$A$1:$G2000,5,),)</f>
        <v/>
      </c>
    </row>
    <row r="961" ht="21.0" customHeight="1">
      <c r="A961" s="152"/>
      <c r="B961" s="160"/>
      <c r="C961" s="153"/>
      <c r="D961" s="169"/>
      <c r="E961" s="139"/>
      <c r="F961" s="141"/>
      <c r="G961" s="170" t="str">
        <f>IFERROR(__xludf.DUMMYFUNCTION("if($C961="""","""",iferror(if(row()&lt;&gt;2,INDEX(arrayformula(filter($H$2:$H960,$C$2:$C960&lt;&gt;"""",row($C$2:$C960)=max(if($C$2:$C960=C961,row($C$2:$C960),0)))) ,1),0),0))"),"")</f>
        <v/>
      </c>
      <c r="H961" s="170" t="str">
        <f t="shared" si="8"/>
        <v/>
      </c>
      <c r="I961" s="147" t="str">
        <f t="shared" si="1"/>
        <v/>
      </c>
      <c r="J961" s="147" t="str">
        <f t="shared" si="13"/>
        <v/>
      </c>
      <c r="K961" s="147" t="str">
        <f>IFERROR(__xludf.DUMMYFUNCTION("if(C961="""","""",iferror(if(row()&lt;&gt;2,INDEX(arrayformula(filter($L$2:$L960,$C$2:$C960&lt;&gt;"""",row($C$2:$C960)=max(if($C$2:$C960=C961,row($C$2:$C960),0)))) ,1),0),0))"),"")</f>
        <v/>
      </c>
      <c r="L961" s="147" t="str">
        <f t="shared" si="14"/>
        <v/>
      </c>
      <c r="M961" s="147" t="str">
        <f t="shared" si="15"/>
        <v/>
      </c>
      <c r="N961" s="147" t="str">
        <f t="shared" si="16"/>
        <v/>
      </c>
      <c r="O961" s="147" t="str">
        <f t="shared" si="6"/>
        <v/>
      </c>
      <c r="P961" s="150" t="str">
        <f t="shared" si="7"/>
        <v/>
      </c>
      <c r="Q961" s="151" t="str">
        <f>IFERROR(VLOOKUP(C961,Ativos!$A$1:$G2000,5,),)</f>
        <v/>
      </c>
    </row>
    <row r="962" ht="21.0" customHeight="1">
      <c r="A962" s="152"/>
      <c r="B962" s="160"/>
      <c r="C962" s="153"/>
      <c r="D962" s="169"/>
      <c r="E962" s="139"/>
      <c r="F962" s="141"/>
      <c r="G962" s="170" t="str">
        <f>IFERROR(__xludf.DUMMYFUNCTION("if($C962="""","""",iferror(if(row()&lt;&gt;2,INDEX(arrayformula(filter($H$2:$H961,$C$2:$C961&lt;&gt;"""",row($C$2:$C961)=max(if($C$2:$C961=C962,row($C$2:$C961),0)))) ,1),0),0))"),"")</f>
        <v/>
      </c>
      <c r="H962" s="170" t="str">
        <f t="shared" si="8"/>
        <v/>
      </c>
      <c r="I962" s="147" t="str">
        <f t="shared" si="1"/>
        <v/>
      </c>
      <c r="J962" s="147" t="str">
        <f t="shared" si="13"/>
        <v/>
      </c>
      <c r="K962" s="147" t="str">
        <f>IFERROR(__xludf.DUMMYFUNCTION("if(C962="""","""",iferror(if(row()&lt;&gt;2,INDEX(arrayformula(filter($L$2:$L961,$C$2:$C961&lt;&gt;"""",row($C$2:$C961)=max(if($C$2:$C961=C962,row($C$2:$C961),0)))) ,1),0),0))"),"")</f>
        <v/>
      </c>
      <c r="L962" s="147" t="str">
        <f t="shared" si="14"/>
        <v/>
      </c>
      <c r="M962" s="147" t="str">
        <f t="shared" si="15"/>
        <v/>
      </c>
      <c r="N962" s="147" t="str">
        <f t="shared" si="16"/>
        <v/>
      </c>
      <c r="O962" s="147" t="str">
        <f t="shared" si="6"/>
        <v/>
      </c>
      <c r="P962" s="150" t="str">
        <f t="shared" si="7"/>
        <v/>
      </c>
      <c r="Q962" s="151" t="str">
        <f>IFERROR(VLOOKUP(C962,Ativos!$A$1:$G2000,5,),)</f>
        <v/>
      </c>
    </row>
    <row r="963" ht="21.0" customHeight="1">
      <c r="A963" s="152"/>
      <c r="B963" s="160"/>
      <c r="C963" s="153"/>
      <c r="D963" s="169"/>
      <c r="E963" s="139"/>
      <c r="F963" s="141"/>
      <c r="G963" s="170" t="str">
        <f>IFERROR(__xludf.DUMMYFUNCTION("if($C963="""","""",iferror(if(row()&lt;&gt;2,INDEX(arrayformula(filter($H$2:$H962,$C$2:$C962&lt;&gt;"""",row($C$2:$C962)=max(if($C$2:$C962=C963,row($C$2:$C962),0)))) ,1),0),0))"),"")</f>
        <v/>
      </c>
      <c r="H963" s="170" t="str">
        <f t="shared" si="8"/>
        <v/>
      </c>
      <c r="I963" s="147" t="str">
        <f t="shared" si="1"/>
        <v/>
      </c>
      <c r="J963" s="147" t="str">
        <f t="shared" si="13"/>
        <v/>
      </c>
      <c r="K963" s="147" t="str">
        <f>IFERROR(__xludf.DUMMYFUNCTION("if(C963="""","""",iferror(if(row()&lt;&gt;2,INDEX(arrayformula(filter($L$2:$L962,$C$2:$C962&lt;&gt;"""",row($C$2:$C962)=max(if($C$2:$C962=C963,row($C$2:$C962),0)))) ,1),0),0))"),"")</f>
        <v/>
      </c>
      <c r="L963" s="147" t="str">
        <f t="shared" si="14"/>
        <v/>
      </c>
      <c r="M963" s="147" t="str">
        <f t="shared" si="15"/>
        <v/>
      </c>
      <c r="N963" s="147" t="str">
        <f t="shared" si="16"/>
        <v/>
      </c>
      <c r="O963" s="147" t="str">
        <f t="shared" si="6"/>
        <v/>
      </c>
      <c r="P963" s="150" t="str">
        <f t="shared" si="7"/>
        <v/>
      </c>
      <c r="Q963" s="151" t="str">
        <f>IFERROR(VLOOKUP(C963,Ativos!$A$1:$G2000,5,),)</f>
        <v/>
      </c>
    </row>
    <row r="964" ht="21.0" customHeight="1">
      <c r="A964" s="152"/>
      <c r="B964" s="160"/>
      <c r="C964" s="153"/>
      <c r="D964" s="169"/>
      <c r="E964" s="139"/>
      <c r="F964" s="141"/>
      <c r="G964" s="170" t="str">
        <f>IFERROR(__xludf.DUMMYFUNCTION("if($C964="""","""",iferror(if(row()&lt;&gt;2,INDEX(arrayformula(filter($H$2:$H963,$C$2:$C963&lt;&gt;"""",row($C$2:$C963)=max(if($C$2:$C963=C964,row($C$2:$C963),0)))) ,1),0),0))"),"")</f>
        <v/>
      </c>
      <c r="H964" s="170" t="str">
        <f t="shared" si="8"/>
        <v/>
      </c>
      <c r="I964" s="147" t="str">
        <f t="shared" si="1"/>
        <v/>
      </c>
      <c r="J964" s="147" t="str">
        <f t="shared" si="13"/>
        <v/>
      </c>
      <c r="K964" s="147" t="str">
        <f>IFERROR(__xludf.DUMMYFUNCTION("if(C964="""","""",iferror(if(row()&lt;&gt;2,INDEX(arrayformula(filter($L$2:$L963,$C$2:$C963&lt;&gt;"""",row($C$2:$C963)=max(if($C$2:$C963=C964,row($C$2:$C963),0)))) ,1),0),0))"),"")</f>
        <v/>
      </c>
      <c r="L964" s="147" t="str">
        <f t="shared" si="14"/>
        <v/>
      </c>
      <c r="M964" s="147" t="str">
        <f t="shared" si="15"/>
        <v/>
      </c>
      <c r="N964" s="147" t="str">
        <f t="shared" si="16"/>
        <v/>
      </c>
      <c r="O964" s="147" t="str">
        <f t="shared" si="6"/>
        <v/>
      </c>
      <c r="P964" s="150" t="str">
        <f t="shared" si="7"/>
        <v/>
      </c>
      <c r="Q964" s="151" t="str">
        <f>IFERROR(VLOOKUP(C964,Ativos!$A$1:$G2000,5,),)</f>
        <v/>
      </c>
    </row>
    <row r="965" ht="21.0" customHeight="1">
      <c r="A965" s="152"/>
      <c r="B965" s="160"/>
      <c r="C965" s="153"/>
      <c r="D965" s="169"/>
      <c r="E965" s="139"/>
      <c r="F965" s="141"/>
      <c r="G965" s="170" t="str">
        <f>IFERROR(__xludf.DUMMYFUNCTION("if($C965="""","""",iferror(if(row()&lt;&gt;2,INDEX(arrayformula(filter($H$2:$H964,$C$2:$C964&lt;&gt;"""",row($C$2:$C964)=max(if($C$2:$C964=C965,row($C$2:$C964),0)))) ,1),0),0))"),"")</f>
        <v/>
      </c>
      <c r="H965" s="170" t="str">
        <f t="shared" si="8"/>
        <v/>
      </c>
      <c r="I965" s="147" t="str">
        <f t="shared" si="1"/>
        <v/>
      </c>
      <c r="J965" s="147" t="str">
        <f t="shared" si="13"/>
        <v/>
      </c>
      <c r="K965" s="147" t="str">
        <f>IFERROR(__xludf.DUMMYFUNCTION("if(C965="""","""",iferror(if(row()&lt;&gt;2,INDEX(arrayformula(filter($L$2:$L964,$C$2:$C964&lt;&gt;"""",row($C$2:$C964)=max(if($C$2:$C964=C965,row($C$2:$C964),0)))) ,1),0),0))"),"")</f>
        <v/>
      </c>
      <c r="L965" s="147" t="str">
        <f t="shared" si="14"/>
        <v/>
      </c>
      <c r="M965" s="147" t="str">
        <f t="shared" si="15"/>
        <v/>
      </c>
      <c r="N965" s="147" t="str">
        <f t="shared" si="16"/>
        <v/>
      </c>
      <c r="O965" s="147" t="str">
        <f t="shared" si="6"/>
        <v/>
      </c>
      <c r="P965" s="150" t="str">
        <f t="shared" si="7"/>
        <v/>
      </c>
      <c r="Q965" s="151" t="str">
        <f>IFERROR(VLOOKUP(C965,Ativos!$A$1:$G2000,5,),)</f>
        <v/>
      </c>
    </row>
    <row r="966" ht="21.0" customHeight="1">
      <c r="A966" s="152"/>
      <c r="B966" s="160"/>
      <c r="C966" s="153"/>
      <c r="D966" s="169"/>
      <c r="E966" s="139"/>
      <c r="F966" s="141"/>
      <c r="G966" s="170" t="str">
        <f>IFERROR(__xludf.DUMMYFUNCTION("if($C966="""","""",iferror(if(row()&lt;&gt;2,INDEX(arrayformula(filter($H$2:$H965,$C$2:$C965&lt;&gt;"""",row($C$2:$C965)=max(if($C$2:$C965=C966,row($C$2:$C965),0)))) ,1),0),0))"),"")</f>
        <v/>
      </c>
      <c r="H966" s="170" t="str">
        <f t="shared" si="8"/>
        <v/>
      </c>
      <c r="I966" s="147" t="str">
        <f t="shared" si="1"/>
        <v/>
      </c>
      <c r="J966" s="147" t="str">
        <f t="shared" si="13"/>
        <v/>
      </c>
      <c r="K966" s="147" t="str">
        <f>IFERROR(__xludf.DUMMYFUNCTION("if(C966="""","""",iferror(if(row()&lt;&gt;2,INDEX(arrayformula(filter($L$2:$L965,$C$2:$C965&lt;&gt;"""",row($C$2:$C965)=max(if($C$2:$C965=C966,row($C$2:$C965),0)))) ,1),0),0))"),"")</f>
        <v/>
      </c>
      <c r="L966" s="147" t="str">
        <f t="shared" si="14"/>
        <v/>
      </c>
      <c r="M966" s="147" t="str">
        <f t="shared" si="15"/>
        <v/>
      </c>
      <c r="N966" s="147" t="str">
        <f t="shared" si="16"/>
        <v/>
      </c>
      <c r="O966" s="147" t="str">
        <f t="shared" si="6"/>
        <v/>
      </c>
      <c r="P966" s="150" t="str">
        <f t="shared" si="7"/>
        <v/>
      </c>
      <c r="Q966" s="151" t="str">
        <f>IFERROR(VLOOKUP(C966,Ativos!$A$1:$G2000,5,),)</f>
        <v/>
      </c>
    </row>
    <row r="967" ht="21.0" customHeight="1">
      <c r="A967" s="152"/>
      <c r="B967" s="160"/>
      <c r="C967" s="153"/>
      <c r="D967" s="169"/>
      <c r="E967" s="139"/>
      <c r="F967" s="141"/>
      <c r="G967" s="170" t="str">
        <f>IFERROR(__xludf.DUMMYFUNCTION("if($C967="""","""",iferror(if(row()&lt;&gt;2,INDEX(arrayformula(filter($H$2:$H966,$C$2:$C966&lt;&gt;"""",row($C$2:$C966)=max(if($C$2:$C966=C967,row($C$2:$C966),0)))) ,1),0),0))"),"")</f>
        <v/>
      </c>
      <c r="H967" s="170" t="str">
        <f t="shared" si="8"/>
        <v/>
      </c>
      <c r="I967" s="147" t="str">
        <f t="shared" si="1"/>
        <v/>
      </c>
      <c r="J967" s="147" t="str">
        <f t="shared" si="13"/>
        <v/>
      </c>
      <c r="K967" s="147" t="str">
        <f>IFERROR(__xludf.DUMMYFUNCTION("if(C967="""","""",iferror(if(row()&lt;&gt;2,INDEX(arrayformula(filter($L$2:$L966,$C$2:$C966&lt;&gt;"""",row($C$2:$C966)=max(if($C$2:$C966=C967,row($C$2:$C966),0)))) ,1),0),0))"),"")</f>
        <v/>
      </c>
      <c r="L967" s="147" t="str">
        <f t="shared" si="14"/>
        <v/>
      </c>
      <c r="M967" s="147" t="str">
        <f t="shared" si="15"/>
        <v/>
      </c>
      <c r="N967" s="147" t="str">
        <f t="shared" si="16"/>
        <v/>
      </c>
      <c r="O967" s="147" t="str">
        <f t="shared" si="6"/>
        <v/>
      </c>
      <c r="P967" s="150" t="str">
        <f t="shared" si="7"/>
        <v/>
      </c>
      <c r="Q967" s="151" t="str">
        <f>IFERROR(VLOOKUP(C967,Ativos!$A$1:$G2000,5,),)</f>
        <v/>
      </c>
    </row>
    <row r="968" ht="21.0" customHeight="1">
      <c r="A968" s="152"/>
      <c r="B968" s="160"/>
      <c r="C968" s="153"/>
      <c r="D968" s="169"/>
      <c r="E968" s="139"/>
      <c r="F968" s="141"/>
      <c r="G968" s="170" t="str">
        <f>IFERROR(__xludf.DUMMYFUNCTION("if($C968="""","""",iferror(if(row()&lt;&gt;2,INDEX(arrayformula(filter($H$2:$H967,$C$2:$C967&lt;&gt;"""",row($C$2:$C967)=max(if($C$2:$C967=C968,row($C$2:$C967),0)))) ,1),0),0))"),"")</f>
        <v/>
      </c>
      <c r="H968" s="170" t="str">
        <f t="shared" si="8"/>
        <v/>
      </c>
      <c r="I968" s="147" t="str">
        <f t="shared" si="1"/>
        <v/>
      </c>
      <c r="J968" s="147" t="str">
        <f t="shared" si="13"/>
        <v/>
      </c>
      <c r="K968" s="147" t="str">
        <f>IFERROR(__xludf.DUMMYFUNCTION("if(C968="""","""",iferror(if(row()&lt;&gt;2,INDEX(arrayformula(filter($L$2:$L967,$C$2:$C967&lt;&gt;"""",row($C$2:$C967)=max(if($C$2:$C967=C968,row($C$2:$C967),0)))) ,1),0),0))"),"")</f>
        <v/>
      </c>
      <c r="L968" s="147" t="str">
        <f t="shared" si="14"/>
        <v/>
      </c>
      <c r="M968" s="147" t="str">
        <f t="shared" si="15"/>
        <v/>
      </c>
      <c r="N968" s="147" t="str">
        <f t="shared" si="16"/>
        <v/>
      </c>
      <c r="O968" s="147" t="str">
        <f t="shared" si="6"/>
        <v/>
      </c>
      <c r="P968" s="150" t="str">
        <f t="shared" si="7"/>
        <v/>
      </c>
      <c r="Q968" s="151" t="str">
        <f>IFERROR(VLOOKUP(C968,Ativos!$A$1:$G2000,5,),)</f>
        <v/>
      </c>
    </row>
    <row r="969" ht="21.0" customHeight="1">
      <c r="A969" s="152"/>
      <c r="B969" s="160"/>
      <c r="C969" s="153"/>
      <c r="D969" s="169"/>
      <c r="E969" s="139"/>
      <c r="F969" s="141"/>
      <c r="G969" s="170" t="str">
        <f>IFERROR(__xludf.DUMMYFUNCTION("if($C969="""","""",iferror(if(row()&lt;&gt;2,INDEX(arrayformula(filter($H$2:$H968,$C$2:$C968&lt;&gt;"""",row($C$2:$C968)=max(if($C$2:$C968=C969,row($C$2:$C968),0)))) ,1),0),0))"),"")</f>
        <v/>
      </c>
      <c r="H969" s="170" t="str">
        <f t="shared" si="8"/>
        <v/>
      </c>
      <c r="I969" s="147" t="str">
        <f t="shared" si="1"/>
        <v/>
      </c>
      <c r="J969" s="147" t="str">
        <f t="shared" si="13"/>
        <v/>
      </c>
      <c r="K969" s="147" t="str">
        <f>IFERROR(__xludf.DUMMYFUNCTION("if(C969="""","""",iferror(if(row()&lt;&gt;2,INDEX(arrayformula(filter($L$2:$L968,$C$2:$C968&lt;&gt;"""",row($C$2:$C968)=max(if($C$2:$C968=C969,row($C$2:$C968),0)))) ,1),0),0))"),"")</f>
        <v/>
      </c>
      <c r="L969" s="147" t="str">
        <f t="shared" si="14"/>
        <v/>
      </c>
      <c r="M969" s="147" t="str">
        <f t="shared" si="15"/>
        <v/>
      </c>
      <c r="N969" s="147" t="str">
        <f t="shared" si="16"/>
        <v/>
      </c>
      <c r="O969" s="147" t="str">
        <f t="shared" si="6"/>
        <v/>
      </c>
      <c r="P969" s="150" t="str">
        <f t="shared" si="7"/>
        <v/>
      </c>
      <c r="Q969" s="151" t="str">
        <f>IFERROR(VLOOKUP(C969,Ativos!$A$1:$G2000,5,),)</f>
        <v/>
      </c>
    </row>
    <row r="970" ht="21.0" customHeight="1">
      <c r="A970" s="152"/>
      <c r="B970" s="160"/>
      <c r="C970" s="153"/>
      <c r="D970" s="169"/>
      <c r="E970" s="139"/>
      <c r="F970" s="141"/>
      <c r="G970" s="170" t="str">
        <f>IFERROR(__xludf.DUMMYFUNCTION("if($C970="""","""",iferror(if(row()&lt;&gt;2,INDEX(arrayformula(filter($H$2:$H969,$C$2:$C969&lt;&gt;"""",row($C$2:$C969)=max(if($C$2:$C969=C970,row($C$2:$C969),0)))) ,1),0),0))"),"")</f>
        <v/>
      </c>
      <c r="H970" s="170" t="str">
        <f t="shared" si="8"/>
        <v/>
      </c>
      <c r="I970" s="147" t="str">
        <f t="shared" si="1"/>
        <v/>
      </c>
      <c r="J970" s="147" t="str">
        <f t="shared" si="13"/>
        <v/>
      </c>
      <c r="K970" s="147" t="str">
        <f>IFERROR(__xludf.DUMMYFUNCTION("if(C970="""","""",iferror(if(row()&lt;&gt;2,INDEX(arrayformula(filter($L$2:$L969,$C$2:$C969&lt;&gt;"""",row($C$2:$C969)=max(if($C$2:$C969=C970,row($C$2:$C969),0)))) ,1),0),0))"),"")</f>
        <v/>
      </c>
      <c r="L970" s="147" t="str">
        <f t="shared" si="14"/>
        <v/>
      </c>
      <c r="M970" s="147" t="str">
        <f t="shared" si="15"/>
        <v/>
      </c>
      <c r="N970" s="147" t="str">
        <f t="shared" si="16"/>
        <v/>
      </c>
      <c r="O970" s="147" t="str">
        <f t="shared" si="6"/>
        <v/>
      </c>
      <c r="P970" s="150" t="str">
        <f t="shared" si="7"/>
        <v/>
      </c>
      <c r="Q970" s="151" t="str">
        <f>IFERROR(VLOOKUP(C970,Ativos!$A$1:$G2000,5,),)</f>
        <v/>
      </c>
    </row>
    <row r="971" ht="21.0" customHeight="1">
      <c r="A971" s="152"/>
      <c r="B971" s="160"/>
      <c r="C971" s="153"/>
      <c r="D971" s="169"/>
      <c r="E971" s="139"/>
      <c r="F971" s="141"/>
      <c r="G971" s="170" t="str">
        <f>IFERROR(__xludf.DUMMYFUNCTION("if($C971="""","""",iferror(if(row()&lt;&gt;2,INDEX(arrayformula(filter($H$2:$H970,$C$2:$C970&lt;&gt;"""",row($C$2:$C970)=max(if($C$2:$C970=C971,row($C$2:$C970),0)))) ,1),0),0))"),"")</f>
        <v/>
      </c>
      <c r="H971" s="170" t="str">
        <f t="shared" si="8"/>
        <v/>
      </c>
      <c r="I971" s="147" t="str">
        <f t="shared" si="1"/>
        <v/>
      </c>
      <c r="J971" s="147" t="str">
        <f t="shared" si="13"/>
        <v/>
      </c>
      <c r="K971" s="147" t="str">
        <f>IFERROR(__xludf.DUMMYFUNCTION("if(C971="""","""",iferror(if(row()&lt;&gt;2,INDEX(arrayformula(filter($L$2:$L970,$C$2:$C970&lt;&gt;"""",row($C$2:$C970)=max(if($C$2:$C970=C971,row($C$2:$C970),0)))) ,1),0),0))"),"")</f>
        <v/>
      </c>
      <c r="L971" s="147" t="str">
        <f t="shared" si="14"/>
        <v/>
      </c>
      <c r="M971" s="147" t="str">
        <f t="shared" si="15"/>
        <v/>
      </c>
      <c r="N971" s="147" t="str">
        <f t="shared" si="16"/>
        <v/>
      </c>
      <c r="O971" s="147" t="str">
        <f t="shared" si="6"/>
        <v/>
      </c>
      <c r="P971" s="150" t="str">
        <f t="shared" si="7"/>
        <v/>
      </c>
      <c r="Q971" s="151" t="str">
        <f>IFERROR(VLOOKUP(C971,Ativos!$A$1:$G2000,5,),)</f>
        <v/>
      </c>
    </row>
    <row r="972" ht="21.0" customHeight="1">
      <c r="A972" s="152"/>
      <c r="B972" s="160"/>
      <c r="C972" s="153"/>
      <c r="D972" s="169"/>
      <c r="E972" s="139"/>
      <c r="F972" s="141"/>
      <c r="G972" s="170" t="str">
        <f>IFERROR(__xludf.DUMMYFUNCTION("if($C972="""","""",iferror(if(row()&lt;&gt;2,INDEX(arrayformula(filter($H$2:$H971,$C$2:$C971&lt;&gt;"""",row($C$2:$C971)=max(if($C$2:$C971=C972,row($C$2:$C971),0)))) ,1),0),0))"),"")</f>
        <v/>
      </c>
      <c r="H972" s="170" t="str">
        <f t="shared" si="8"/>
        <v/>
      </c>
      <c r="I972" s="147" t="str">
        <f t="shared" si="1"/>
        <v/>
      </c>
      <c r="J972" s="147" t="str">
        <f t="shared" si="13"/>
        <v/>
      </c>
      <c r="K972" s="147" t="str">
        <f>IFERROR(__xludf.DUMMYFUNCTION("if(C972="""","""",iferror(if(row()&lt;&gt;2,INDEX(arrayformula(filter($L$2:$L971,$C$2:$C971&lt;&gt;"""",row($C$2:$C971)=max(if($C$2:$C971=C972,row($C$2:$C971),0)))) ,1),0),0))"),"")</f>
        <v/>
      </c>
      <c r="L972" s="147" t="str">
        <f t="shared" si="14"/>
        <v/>
      </c>
      <c r="M972" s="147" t="str">
        <f t="shared" si="15"/>
        <v/>
      </c>
      <c r="N972" s="147" t="str">
        <f t="shared" si="16"/>
        <v/>
      </c>
      <c r="O972" s="147" t="str">
        <f t="shared" si="6"/>
        <v/>
      </c>
      <c r="P972" s="150" t="str">
        <f t="shared" si="7"/>
        <v/>
      </c>
      <c r="Q972" s="151" t="str">
        <f>IFERROR(VLOOKUP(C972,Ativos!$A$1:$G2000,5,),)</f>
        <v/>
      </c>
    </row>
    <row r="973" ht="21.0" customHeight="1">
      <c r="A973" s="152"/>
      <c r="B973" s="160"/>
      <c r="C973" s="153"/>
      <c r="D973" s="169"/>
      <c r="E973" s="139"/>
      <c r="F973" s="141"/>
      <c r="G973" s="170" t="str">
        <f>IFERROR(__xludf.DUMMYFUNCTION("if($C973="""","""",iferror(if(row()&lt;&gt;2,INDEX(arrayformula(filter($H$2:$H972,$C$2:$C972&lt;&gt;"""",row($C$2:$C972)=max(if($C$2:$C972=C973,row($C$2:$C972),0)))) ,1),0),0))"),"")</f>
        <v/>
      </c>
      <c r="H973" s="170" t="str">
        <f t="shared" si="8"/>
        <v/>
      </c>
      <c r="I973" s="147" t="str">
        <f t="shared" si="1"/>
        <v/>
      </c>
      <c r="J973" s="147" t="str">
        <f t="shared" si="13"/>
        <v/>
      </c>
      <c r="K973" s="147" t="str">
        <f>IFERROR(__xludf.DUMMYFUNCTION("if(C973="""","""",iferror(if(row()&lt;&gt;2,INDEX(arrayformula(filter($L$2:$L972,$C$2:$C972&lt;&gt;"""",row($C$2:$C972)=max(if($C$2:$C972=C973,row($C$2:$C972),0)))) ,1),0),0))"),"")</f>
        <v/>
      </c>
      <c r="L973" s="147" t="str">
        <f t="shared" si="14"/>
        <v/>
      </c>
      <c r="M973" s="147" t="str">
        <f t="shared" si="15"/>
        <v/>
      </c>
      <c r="N973" s="147" t="str">
        <f t="shared" si="16"/>
        <v/>
      </c>
      <c r="O973" s="147" t="str">
        <f t="shared" si="6"/>
        <v/>
      </c>
      <c r="P973" s="150" t="str">
        <f t="shared" si="7"/>
        <v/>
      </c>
      <c r="Q973" s="151" t="str">
        <f>IFERROR(VLOOKUP(C973,Ativos!$A$1:$G2000,5,),)</f>
        <v/>
      </c>
    </row>
    <row r="974" ht="21.0" customHeight="1">
      <c r="A974" s="152"/>
      <c r="B974" s="160"/>
      <c r="C974" s="153"/>
      <c r="D974" s="169"/>
      <c r="E974" s="139"/>
      <c r="F974" s="141"/>
      <c r="G974" s="170" t="str">
        <f>IFERROR(__xludf.DUMMYFUNCTION("if($C974="""","""",iferror(if(row()&lt;&gt;2,INDEX(arrayformula(filter($H$2:$H973,$C$2:$C973&lt;&gt;"""",row($C$2:$C973)=max(if($C$2:$C973=C974,row($C$2:$C973),0)))) ,1),0),0))"),"")</f>
        <v/>
      </c>
      <c r="H974" s="170" t="str">
        <f t="shared" si="8"/>
        <v/>
      </c>
      <c r="I974" s="147" t="str">
        <f t="shared" si="1"/>
        <v/>
      </c>
      <c r="J974" s="147" t="str">
        <f t="shared" si="13"/>
        <v/>
      </c>
      <c r="K974" s="147" t="str">
        <f>IFERROR(__xludf.DUMMYFUNCTION("if(C974="""","""",iferror(if(row()&lt;&gt;2,INDEX(arrayformula(filter($L$2:$L973,$C$2:$C973&lt;&gt;"""",row($C$2:$C973)=max(if($C$2:$C973=C974,row($C$2:$C973),0)))) ,1),0),0))"),"")</f>
        <v/>
      </c>
      <c r="L974" s="147" t="str">
        <f t="shared" si="14"/>
        <v/>
      </c>
      <c r="M974" s="147" t="str">
        <f t="shared" si="15"/>
        <v/>
      </c>
      <c r="N974" s="147" t="str">
        <f t="shared" si="16"/>
        <v/>
      </c>
      <c r="O974" s="147" t="str">
        <f t="shared" si="6"/>
        <v/>
      </c>
      <c r="P974" s="150" t="str">
        <f t="shared" si="7"/>
        <v/>
      </c>
      <c r="Q974" s="151" t="str">
        <f>IFERROR(VLOOKUP(C974,Ativos!$A$1:$G2000,5,),)</f>
        <v/>
      </c>
    </row>
    <row r="975" ht="21.0" customHeight="1">
      <c r="A975" s="152"/>
      <c r="B975" s="160"/>
      <c r="C975" s="153"/>
      <c r="D975" s="169"/>
      <c r="E975" s="139"/>
      <c r="F975" s="141"/>
      <c r="G975" s="170" t="str">
        <f>IFERROR(__xludf.DUMMYFUNCTION("if($C975="""","""",iferror(if(row()&lt;&gt;2,INDEX(arrayformula(filter($H$2:$H974,$C$2:$C974&lt;&gt;"""",row($C$2:$C974)=max(if($C$2:$C974=C975,row($C$2:$C974),0)))) ,1),0),0))"),"")</f>
        <v/>
      </c>
      <c r="H975" s="170" t="str">
        <f t="shared" si="8"/>
        <v/>
      </c>
      <c r="I975" s="147" t="str">
        <f t="shared" si="1"/>
        <v/>
      </c>
      <c r="J975" s="147" t="str">
        <f t="shared" si="13"/>
        <v/>
      </c>
      <c r="K975" s="147" t="str">
        <f>IFERROR(__xludf.DUMMYFUNCTION("if(C975="""","""",iferror(if(row()&lt;&gt;2,INDEX(arrayformula(filter($L$2:$L974,$C$2:$C974&lt;&gt;"""",row($C$2:$C974)=max(if($C$2:$C974=C975,row($C$2:$C974),0)))) ,1),0),0))"),"")</f>
        <v/>
      </c>
      <c r="L975" s="147" t="str">
        <f t="shared" si="14"/>
        <v/>
      </c>
      <c r="M975" s="147" t="str">
        <f t="shared" si="15"/>
        <v/>
      </c>
      <c r="N975" s="147" t="str">
        <f t="shared" si="16"/>
        <v/>
      </c>
      <c r="O975" s="147" t="str">
        <f t="shared" si="6"/>
        <v/>
      </c>
      <c r="P975" s="150" t="str">
        <f t="shared" si="7"/>
        <v/>
      </c>
      <c r="Q975" s="151" t="str">
        <f>IFERROR(VLOOKUP(C975,Ativos!$A$1:$G2000,5,),)</f>
        <v/>
      </c>
    </row>
    <row r="976" ht="21.0" customHeight="1">
      <c r="A976" s="152"/>
      <c r="B976" s="160"/>
      <c r="C976" s="153"/>
      <c r="D976" s="169"/>
      <c r="E976" s="139"/>
      <c r="F976" s="141"/>
      <c r="G976" s="170" t="str">
        <f>IFERROR(__xludf.DUMMYFUNCTION("if($C976="""","""",iferror(if(row()&lt;&gt;2,INDEX(arrayformula(filter($H$2:$H975,$C$2:$C975&lt;&gt;"""",row($C$2:$C975)=max(if($C$2:$C975=C976,row($C$2:$C975),0)))) ,1),0),0))"),"")</f>
        <v/>
      </c>
      <c r="H976" s="170" t="str">
        <f t="shared" si="8"/>
        <v/>
      </c>
      <c r="I976" s="147" t="str">
        <f t="shared" si="1"/>
        <v/>
      </c>
      <c r="J976" s="147" t="str">
        <f t="shared" si="13"/>
        <v/>
      </c>
      <c r="K976" s="147" t="str">
        <f>IFERROR(__xludf.DUMMYFUNCTION("if(C976="""","""",iferror(if(row()&lt;&gt;2,INDEX(arrayformula(filter($L$2:$L975,$C$2:$C975&lt;&gt;"""",row($C$2:$C975)=max(if($C$2:$C975=C976,row($C$2:$C975),0)))) ,1),0),0))"),"")</f>
        <v/>
      </c>
      <c r="L976" s="147" t="str">
        <f t="shared" si="14"/>
        <v/>
      </c>
      <c r="M976" s="147" t="str">
        <f t="shared" si="15"/>
        <v/>
      </c>
      <c r="N976" s="147" t="str">
        <f t="shared" si="16"/>
        <v/>
      </c>
      <c r="O976" s="147" t="str">
        <f t="shared" si="6"/>
        <v/>
      </c>
      <c r="P976" s="150" t="str">
        <f t="shared" si="7"/>
        <v/>
      </c>
      <c r="Q976" s="151" t="str">
        <f>IFERROR(VLOOKUP(C976,Ativos!$A$1:$G2000,5,),)</f>
        <v/>
      </c>
    </row>
    <row r="977" ht="21.0" customHeight="1">
      <c r="A977" s="152"/>
      <c r="B977" s="160"/>
      <c r="C977" s="153"/>
      <c r="D977" s="169"/>
      <c r="E977" s="139"/>
      <c r="F977" s="141"/>
      <c r="G977" s="170" t="str">
        <f>IFERROR(__xludf.DUMMYFUNCTION("if($C977="""","""",iferror(if(row()&lt;&gt;2,INDEX(arrayformula(filter($H$2:$H976,$C$2:$C976&lt;&gt;"""",row($C$2:$C976)=max(if($C$2:$C976=C977,row($C$2:$C976),0)))) ,1),0),0))"),"")</f>
        <v/>
      </c>
      <c r="H977" s="170" t="str">
        <f t="shared" si="8"/>
        <v/>
      </c>
      <c r="I977" s="147" t="str">
        <f t="shared" si="1"/>
        <v/>
      </c>
      <c r="J977" s="147" t="str">
        <f t="shared" si="13"/>
        <v/>
      </c>
      <c r="K977" s="147" t="str">
        <f>IFERROR(__xludf.DUMMYFUNCTION("if(C977="""","""",iferror(if(row()&lt;&gt;2,INDEX(arrayformula(filter($L$2:$L976,$C$2:$C976&lt;&gt;"""",row($C$2:$C976)=max(if($C$2:$C976=C977,row($C$2:$C976),0)))) ,1),0),0))"),"")</f>
        <v/>
      </c>
      <c r="L977" s="147" t="str">
        <f t="shared" si="14"/>
        <v/>
      </c>
      <c r="M977" s="147" t="str">
        <f t="shared" si="15"/>
        <v/>
      </c>
      <c r="N977" s="147" t="str">
        <f t="shared" si="16"/>
        <v/>
      </c>
      <c r="O977" s="147" t="str">
        <f t="shared" si="6"/>
        <v/>
      </c>
      <c r="P977" s="150" t="str">
        <f t="shared" si="7"/>
        <v/>
      </c>
      <c r="Q977" s="151" t="str">
        <f>IFERROR(VLOOKUP(C977,Ativos!$A$1:$G2000,5,),)</f>
        <v/>
      </c>
    </row>
    <row r="978" ht="21.0" customHeight="1">
      <c r="A978" s="152"/>
      <c r="B978" s="160"/>
      <c r="C978" s="153"/>
      <c r="D978" s="169"/>
      <c r="E978" s="139"/>
      <c r="F978" s="141"/>
      <c r="G978" s="170" t="str">
        <f>IFERROR(__xludf.DUMMYFUNCTION("if($C978="""","""",iferror(if(row()&lt;&gt;2,INDEX(arrayformula(filter($H$2:$H977,$C$2:$C977&lt;&gt;"""",row($C$2:$C977)=max(if($C$2:$C977=C978,row($C$2:$C977),0)))) ,1),0),0))"),"")</f>
        <v/>
      </c>
      <c r="H978" s="170" t="str">
        <f t="shared" si="8"/>
        <v/>
      </c>
      <c r="I978" s="147" t="str">
        <f t="shared" si="1"/>
        <v/>
      </c>
      <c r="J978" s="147" t="str">
        <f t="shared" si="13"/>
        <v/>
      </c>
      <c r="K978" s="147" t="str">
        <f>IFERROR(__xludf.DUMMYFUNCTION("if(C978="""","""",iferror(if(row()&lt;&gt;2,INDEX(arrayformula(filter($L$2:$L977,$C$2:$C977&lt;&gt;"""",row($C$2:$C977)=max(if($C$2:$C977=C978,row($C$2:$C977),0)))) ,1),0),0))"),"")</f>
        <v/>
      </c>
      <c r="L978" s="147" t="str">
        <f t="shared" si="14"/>
        <v/>
      </c>
      <c r="M978" s="147" t="str">
        <f t="shared" si="15"/>
        <v/>
      </c>
      <c r="N978" s="147" t="str">
        <f t="shared" si="16"/>
        <v/>
      </c>
      <c r="O978" s="147" t="str">
        <f t="shared" si="6"/>
        <v/>
      </c>
      <c r="P978" s="150" t="str">
        <f t="shared" si="7"/>
        <v/>
      </c>
      <c r="Q978" s="151" t="str">
        <f>IFERROR(VLOOKUP(C978,Ativos!$A$1:$G2000,5,),)</f>
        <v/>
      </c>
    </row>
    <row r="979" ht="21.0" customHeight="1">
      <c r="A979" s="152"/>
      <c r="B979" s="160"/>
      <c r="C979" s="153"/>
      <c r="D979" s="169"/>
      <c r="E979" s="139"/>
      <c r="F979" s="141"/>
      <c r="G979" s="170" t="str">
        <f>IFERROR(__xludf.DUMMYFUNCTION("if($C979="""","""",iferror(if(row()&lt;&gt;2,INDEX(arrayformula(filter($H$2:$H978,$C$2:$C978&lt;&gt;"""",row($C$2:$C978)=max(if($C$2:$C978=C979,row($C$2:$C978),0)))) ,1),0),0))"),"")</f>
        <v/>
      </c>
      <c r="H979" s="170" t="str">
        <f t="shared" si="8"/>
        <v/>
      </c>
      <c r="I979" s="147" t="str">
        <f t="shared" si="1"/>
        <v/>
      </c>
      <c r="J979" s="147" t="str">
        <f t="shared" si="13"/>
        <v/>
      </c>
      <c r="K979" s="147" t="str">
        <f>IFERROR(__xludf.DUMMYFUNCTION("if(C979="""","""",iferror(if(row()&lt;&gt;2,INDEX(arrayformula(filter($L$2:$L978,$C$2:$C978&lt;&gt;"""",row($C$2:$C978)=max(if($C$2:$C978=C979,row($C$2:$C978),0)))) ,1),0),0))"),"")</f>
        <v/>
      </c>
      <c r="L979" s="147" t="str">
        <f t="shared" si="14"/>
        <v/>
      </c>
      <c r="M979" s="147" t="str">
        <f t="shared" si="15"/>
        <v/>
      </c>
      <c r="N979" s="147" t="str">
        <f t="shared" si="16"/>
        <v/>
      </c>
      <c r="O979" s="147" t="str">
        <f t="shared" si="6"/>
        <v/>
      </c>
      <c r="P979" s="150" t="str">
        <f t="shared" si="7"/>
        <v/>
      </c>
      <c r="Q979" s="151" t="str">
        <f>IFERROR(VLOOKUP(C979,Ativos!$A$1:$G2000,5,),)</f>
        <v/>
      </c>
    </row>
    <row r="980" ht="21.0" customHeight="1">
      <c r="A980" s="152"/>
      <c r="B980" s="160"/>
      <c r="C980" s="153"/>
      <c r="D980" s="169"/>
      <c r="E980" s="139"/>
      <c r="F980" s="141"/>
      <c r="G980" s="170" t="str">
        <f>IFERROR(__xludf.DUMMYFUNCTION("if($C980="""","""",iferror(if(row()&lt;&gt;2,INDEX(arrayformula(filter($H$2:$H979,$C$2:$C979&lt;&gt;"""",row($C$2:$C979)=max(if($C$2:$C979=C980,row($C$2:$C979),0)))) ,1),0),0))"),"")</f>
        <v/>
      </c>
      <c r="H980" s="170" t="str">
        <f t="shared" si="8"/>
        <v/>
      </c>
      <c r="I980" s="147" t="str">
        <f t="shared" si="1"/>
        <v/>
      </c>
      <c r="J980" s="147" t="str">
        <f t="shared" si="13"/>
        <v/>
      </c>
      <c r="K980" s="147" t="str">
        <f>IFERROR(__xludf.DUMMYFUNCTION("if(C980="""","""",iferror(if(row()&lt;&gt;2,INDEX(arrayformula(filter($L$2:$L979,$C$2:$C979&lt;&gt;"""",row($C$2:$C979)=max(if($C$2:$C979=C980,row($C$2:$C979),0)))) ,1),0),0))"),"")</f>
        <v/>
      </c>
      <c r="L980" s="147" t="str">
        <f t="shared" si="14"/>
        <v/>
      </c>
      <c r="M980" s="147" t="str">
        <f t="shared" si="15"/>
        <v/>
      </c>
      <c r="N980" s="147" t="str">
        <f t="shared" si="16"/>
        <v/>
      </c>
      <c r="O980" s="147" t="str">
        <f t="shared" si="6"/>
        <v/>
      </c>
      <c r="P980" s="150" t="str">
        <f t="shared" si="7"/>
        <v/>
      </c>
      <c r="Q980" s="151" t="str">
        <f>IFERROR(VLOOKUP(C980,Ativos!$A$1:$G2000,5,),)</f>
        <v/>
      </c>
    </row>
    <row r="981" ht="21.0" customHeight="1">
      <c r="A981" s="152"/>
      <c r="B981" s="160"/>
      <c r="C981" s="153"/>
      <c r="D981" s="169"/>
      <c r="E981" s="139"/>
      <c r="F981" s="141"/>
      <c r="G981" s="170" t="str">
        <f>IFERROR(__xludf.DUMMYFUNCTION("if($C981="""","""",iferror(if(row()&lt;&gt;2,INDEX(arrayformula(filter($H$2:$H980,$C$2:$C980&lt;&gt;"""",row($C$2:$C980)=max(if($C$2:$C980=C981,row($C$2:$C980),0)))) ,1),0),0))"),"")</f>
        <v/>
      </c>
      <c r="H981" s="170" t="str">
        <f t="shared" si="8"/>
        <v/>
      </c>
      <c r="I981" s="147" t="str">
        <f t="shared" si="1"/>
        <v/>
      </c>
      <c r="J981" s="147" t="str">
        <f t="shared" si="13"/>
        <v/>
      </c>
      <c r="K981" s="147" t="str">
        <f>IFERROR(__xludf.DUMMYFUNCTION("if(C981="""","""",iferror(if(row()&lt;&gt;2,INDEX(arrayformula(filter($L$2:$L980,$C$2:$C980&lt;&gt;"""",row($C$2:$C980)=max(if($C$2:$C980=C981,row($C$2:$C980),0)))) ,1),0),0))"),"")</f>
        <v/>
      </c>
      <c r="L981" s="147" t="str">
        <f t="shared" si="14"/>
        <v/>
      </c>
      <c r="M981" s="147" t="str">
        <f t="shared" si="15"/>
        <v/>
      </c>
      <c r="N981" s="147" t="str">
        <f t="shared" si="16"/>
        <v/>
      </c>
      <c r="O981" s="147" t="str">
        <f t="shared" si="6"/>
        <v/>
      </c>
      <c r="P981" s="150" t="str">
        <f t="shared" si="7"/>
        <v/>
      </c>
      <c r="Q981" s="151" t="str">
        <f>IFERROR(VLOOKUP(C981,Ativos!$A$1:$G2000,5,),)</f>
        <v/>
      </c>
    </row>
    <row r="982" ht="21.0" customHeight="1">
      <c r="A982" s="152"/>
      <c r="B982" s="160"/>
      <c r="C982" s="153"/>
      <c r="D982" s="169"/>
      <c r="E982" s="139"/>
      <c r="F982" s="141"/>
      <c r="G982" s="170" t="str">
        <f>IFERROR(__xludf.DUMMYFUNCTION("if($C982="""","""",iferror(if(row()&lt;&gt;2,INDEX(arrayformula(filter($H$2:$H981,$C$2:$C981&lt;&gt;"""",row($C$2:$C981)=max(if($C$2:$C981=C982,row($C$2:$C981),0)))) ,1),0),0))"),"")</f>
        <v/>
      </c>
      <c r="H982" s="170" t="str">
        <f t="shared" si="8"/>
        <v/>
      </c>
      <c r="I982" s="147" t="str">
        <f t="shared" si="1"/>
        <v/>
      </c>
      <c r="J982" s="147" t="str">
        <f t="shared" si="13"/>
        <v/>
      </c>
      <c r="K982" s="147" t="str">
        <f>IFERROR(__xludf.DUMMYFUNCTION("if(C982="""","""",iferror(if(row()&lt;&gt;2,INDEX(arrayformula(filter($L$2:$L981,$C$2:$C981&lt;&gt;"""",row($C$2:$C981)=max(if($C$2:$C981=C982,row($C$2:$C981),0)))) ,1),0),0))"),"")</f>
        <v/>
      </c>
      <c r="L982" s="147" t="str">
        <f t="shared" si="14"/>
        <v/>
      </c>
      <c r="M982" s="147" t="str">
        <f t="shared" si="15"/>
        <v/>
      </c>
      <c r="N982" s="147" t="str">
        <f t="shared" si="16"/>
        <v/>
      </c>
      <c r="O982" s="147" t="str">
        <f t="shared" si="6"/>
        <v/>
      </c>
      <c r="P982" s="150" t="str">
        <f t="shared" si="7"/>
        <v/>
      </c>
      <c r="Q982" s="151" t="str">
        <f>IFERROR(VLOOKUP(C982,Ativos!$A$1:$G2000,5,),)</f>
        <v/>
      </c>
    </row>
    <row r="983" ht="21.0" customHeight="1">
      <c r="A983" s="152"/>
      <c r="B983" s="160"/>
      <c r="C983" s="153"/>
      <c r="D983" s="169"/>
      <c r="E983" s="139"/>
      <c r="F983" s="141"/>
      <c r="G983" s="170" t="str">
        <f>IFERROR(__xludf.DUMMYFUNCTION("if($C983="""","""",iferror(if(row()&lt;&gt;2,INDEX(arrayformula(filter($H$2:$H982,$C$2:$C982&lt;&gt;"""",row($C$2:$C982)=max(if($C$2:$C982=C983,row($C$2:$C982),0)))) ,1),0),0))"),"")</f>
        <v/>
      </c>
      <c r="H983" s="170" t="str">
        <f t="shared" si="8"/>
        <v/>
      </c>
      <c r="I983" s="147" t="str">
        <f t="shared" si="1"/>
        <v/>
      </c>
      <c r="J983" s="147" t="str">
        <f t="shared" si="13"/>
        <v/>
      </c>
      <c r="K983" s="147" t="str">
        <f>IFERROR(__xludf.DUMMYFUNCTION("if(C983="""","""",iferror(if(row()&lt;&gt;2,INDEX(arrayformula(filter($L$2:$L982,$C$2:$C982&lt;&gt;"""",row($C$2:$C982)=max(if($C$2:$C982=C983,row($C$2:$C982),0)))) ,1),0),0))"),"")</f>
        <v/>
      </c>
      <c r="L983" s="147" t="str">
        <f t="shared" si="14"/>
        <v/>
      </c>
      <c r="M983" s="147" t="str">
        <f t="shared" si="15"/>
        <v/>
      </c>
      <c r="N983" s="147" t="str">
        <f t="shared" si="16"/>
        <v/>
      </c>
      <c r="O983" s="147" t="str">
        <f t="shared" si="6"/>
        <v/>
      </c>
      <c r="P983" s="150" t="str">
        <f t="shared" si="7"/>
        <v/>
      </c>
      <c r="Q983" s="151" t="str">
        <f>IFERROR(VLOOKUP(C983,Ativos!$A$1:$G2000,5,),)</f>
        <v/>
      </c>
    </row>
    <row r="984" ht="21.0" customHeight="1">
      <c r="A984" s="152"/>
      <c r="B984" s="160"/>
      <c r="C984" s="153"/>
      <c r="D984" s="169"/>
      <c r="E984" s="139"/>
      <c r="F984" s="141"/>
      <c r="G984" s="170" t="str">
        <f>IFERROR(__xludf.DUMMYFUNCTION("if($C984="""","""",iferror(if(row()&lt;&gt;2,INDEX(arrayformula(filter($H$2:$H983,$C$2:$C983&lt;&gt;"""",row($C$2:$C983)=max(if($C$2:$C983=C984,row($C$2:$C983),0)))) ,1),0),0))"),"")</f>
        <v/>
      </c>
      <c r="H984" s="170" t="str">
        <f t="shared" si="8"/>
        <v/>
      </c>
      <c r="I984" s="147" t="str">
        <f t="shared" si="1"/>
        <v/>
      </c>
      <c r="J984" s="147" t="str">
        <f t="shared" si="13"/>
        <v/>
      </c>
      <c r="K984" s="147" t="str">
        <f>IFERROR(__xludf.DUMMYFUNCTION("if(C984="""","""",iferror(if(row()&lt;&gt;2,INDEX(arrayformula(filter($L$2:$L983,$C$2:$C983&lt;&gt;"""",row($C$2:$C983)=max(if($C$2:$C983=C984,row($C$2:$C983),0)))) ,1),0),0))"),"")</f>
        <v/>
      </c>
      <c r="L984" s="147" t="str">
        <f t="shared" si="14"/>
        <v/>
      </c>
      <c r="M984" s="147" t="str">
        <f t="shared" si="15"/>
        <v/>
      </c>
      <c r="N984" s="147" t="str">
        <f t="shared" si="16"/>
        <v/>
      </c>
      <c r="O984" s="147" t="str">
        <f t="shared" si="6"/>
        <v/>
      </c>
      <c r="P984" s="150" t="str">
        <f t="shared" si="7"/>
        <v/>
      </c>
      <c r="Q984" s="151" t="str">
        <f>IFERROR(VLOOKUP(C984,Ativos!$A$1:$G2000,5,),)</f>
        <v/>
      </c>
    </row>
    <row r="985" ht="21.0" customHeight="1">
      <c r="A985" s="152"/>
      <c r="B985" s="160"/>
      <c r="C985" s="153"/>
      <c r="D985" s="169"/>
      <c r="E985" s="139"/>
      <c r="F985" s="141"/>
      <c r="G985" s="170" t="str">
        <f>IFERROR(__xludf.DUMMYFUNCTION("if($C985="""","""",iferror(if(row()&lt;&gt;2,INDEX(arrayformula(filter($H$2:$H984,$C$2:$C984&lt;&gt;"""",row($C$2:$C984)=max(if($C$2:$C984=C985,row($C$2:$C984),0)))) ,1),0),0))"),"")</f>
        <v/>
      </c>
      <c r="H985" s="170" t="str">
        <f t="shared" si="8"/>
        <v/>
      </c>
      <c r="I985" s="147" t="str">
        <f t="shared" si="1"/>
        <v/>
      </c>
      <c r="J985" s="147" t="str">
        <f t="shared" si="13"/>
        <v/>
      </c>
      <c r="K985" s="147" t="str">
        <f>IFERROR(__xludf.DUMMYFUNCTION("if(C985="""","""",iferror(if(row()&lt;&gt;2,INDEX(arrayformula(filter($L$2:$L984,$C$2:$C984&lt;&gt;"""",row($C$2:$C984)=max(if($C$2:$C984=C985,row($C$2:$C984),0)))) ,1),0),0))"),"")</f>
        <v/>
      </c>
      <c r="L985" s="147" t="str">
        <f t="shared" si="14"/>
        <v/>
      </c>
      <c r="M985" s="147" t="str">
        <f t="shared" si="15"/>
        <v/>
      </c>
      <c r="N985" s="147" t="str">
        <f t="shared" si="16"/>
        <v/>
      </c>
      <c r="O985" s="147" t="str">
        <f t="shared" si="6"/>
        <v/>
      </c>
      <c r="P985" s="150" t="str">
        <f t="shared" si="7"/>
        <v/>
      </c>
      <c r="Q985" s="151" t="str">
        <f>IFERROR(VLOOKUP(C985,Ativos!$A$1:$G2000,5,),)</f>
        <v/>
      </c>
    </row>
    <row r="986" ht="21.0" customHeight="1">
      <c r="A986" s="152"/>
      <c r="B986" s="160"/>
      <c r="C986" s="153"/>
      <c r="D986" s="169"/>
      <c r="E986" s="139"/>
      <c r="F986" s="141"/>
      <c r="G986" s="170" t="str">
        <f>IFERROR(__xludf.DUMMYFUNCTION("if($C986="""","""",iferror(if(row()&lt;&gt;2,INDEX(arrayformula(filter($H$2:$H985,$C$2:$C985&lt;&gt;"""",row($C$2:$C985)=max(if($C$2:$C985=C986,row($C$2:$C985),0)))) ,1),0),0))"),"")</f>
        <v/>
      </c>
      <c r="H986" s="170" t="str">
        <f t="shared" si="8"/>
        <v/>
      </c>
      <c r="I986" s="147" t="str">
        <f t="shared" si="1"/>
        <v/>
      </c>
      <c r="J986" s="147" t="str">
        <f t="shared" si="13"/>
        <v/>
      </c>
      <c r="K986" s="147" t="str">
        <f>IFERROR(__xludf.DUMMYFUNCTION("if(C986="""","""",iferror(if(row()&lt;&gt;2,INDEX(arrayformula(filter($L$2:$L985,$C$2:$C985&lt;&gt;"""",row($C$2:$C985)=max(if($C$2:$C985=C986,row($C$2:$C985),0)))) ,1),0),0))"),"")</f>
        <v/>
      </c>
      <c r="L986" s="147" t="str">
        <f t="shared" si="14"/>
        <v/>
      </c>
      <c r="M986" s="147" t="str">
        <f t="shared" si="15"/>
        <v/>
      </c>
      <c r="N986" s="147" t="str">
        <f t="shared" si="16"/>
        <v/>
      </c>
      <c r="O986" s="147" t="str">
        <f t="shared" si="6"/>
        <v/>
      </c>
      <c r="P986" s="150" t="str">
        <f t="shared" si="7"/>
        <v/>
      </c>
      <c r="Q986" s="151" t="str">
        <f>IFERROR(VLOOKUP(C986,Ativos!$A$1:$G2000,5,),)</f>
        <v/>
      </c>
    </row>
    <row r="987" ht="21.0" customHeight="1">
      <c r="A987" s="152"/>
      <c r="B987" s="160"/>
      <c r="C987" s="153"/>
      <c r="D987" s="169"/>
      <c r="E987" s="139"/>
      <c r="F987" s="141"/>
      <c r="G987" s="170" t="str">
        <f>IFERROR(__xludf.DUMMYFUNCTION("if($C987="""","""",iferror(if(row()&lt;&gt;2,INDEX(arrayformula(filter($H$2:$H986,$C$2:$C986&lt;&gt;"""",row($C$2:$C986)=max(if($C$2:$C986=C987,row($C$2:$C986),0)))) ,1),0),0))"),"")</f>
        <v/>
      </c>
      <c r="H987" s="170" t="str">
        <f t="shared" si="8"/>
        <v/>
      </c>
      <c r="I987" s="147" t="str">
        <f t="shared" si="1"/>
        <v/>
      </c>
      <c r="J987" s="147" t="str">
        <f t="shared" si="13"/>
        <v/>
      </c>
      <c r="K987" s="147" t="str">
        <f>IFERROR(__xludf.DUMMYFUNCTION("if(C987="""","""",iferror(if(row()&lt;&gt;2,INDEX(arrayformula(filter($L$2:$L986,$C$2:$C986&lt;&gt;"""",row($C$2:$C986)=max(if($C$2:$C986=C987,row($C$2:$C986),0)))) ,1),0),0))"),"")</f>
        <v/>
      </c>
      <c r="L987" s="147" t="str">
        <f t="shared" si="14"/>
        <v/>
      </c>
      <c r="M987" s="147" t="str">
        <f t="shared" si="15"/>
        <v/>
      </c>
      <c r="N987" s="147" t="str">
        <f t="shared" si="16"/>
        <v/>
      </c>
      <c r="O987" s="147" t="str">
        <f t="shared" si="6"/>
        <v/>
      </c>
      <c r="P987" s="150" t="str">
        <f t="shared" si="7"/>
        <v/>
      </c>
      <c r="Q987" s="151" t="str">
        <f>IFERROR(VLOOKUP(C987,Ativos!$A$1:$G2000,5,),)</f>
        <v/>
      </c>
    </row>
    <row r="988" ht="21.0" customHeight="1">
      <c r="A988" s="152"/>
      <c r="B988" s="160"/>
      <c r="C988" s="153"/>
      <c r="D988" s="169"/>
      <c r="E988" s="139"/>
      <c r="F988" s="141"/>
      <c r="G988" s="170" t="str">
        <f>IFERROR(__xludf.DUMMYFUNCTION("if($C988="""","""",iferror(if(row()&lt;&gt;2,INDEX(arrayformula(filter($H$2:$H987,$C$2:$C987&lt;&gt;"""",row($C$2:$C987)=max(if($C$2:$C987=C988,row($C$2:$C987),0)))) ,1),0),0))"),"")</f>
        <v/>
      </c>
      <c r="H988" s="170" t="str">
        <f t="shared" si="8"/>
        <v/>
      </c>
      <c r="I988" s="147" t="str">
        <f t="shared" si="1"/>
        <v/>
      </c>
      <c r="J988" s="147" t="str">
        <f t="shared" si="13"/>
        <v/>
      </c>
      <c r="K988" s="147" t="str">
        <f>IFERROR(__xludf.DUMMYFUNCTION("if(C988="""","""",iferror(if(row()&lt;&gt;2,INDEX(arrayformula(filter($L$2:$L987,$C$2:$C987&lt;&gt;"""",row($C$2:$C987)=max(if($C$2:$C987=C988,row($C$2:$C987),0)))) ,1),0),0))"),"")</f>
        <v/>
      </c>
      <c r="L988" s="147" t="str">
        <f t="shared" si="14"/>
        <v/>
      </c>
      <c r="M988" s="147" t="str">
        <f t="shared" si="15"/>
        <v/>
      </c>
      <c r="N988" s="147" t="str">
        <f t="shared" si="16"/>
        <v/>
      </c>
      <c r="O988" s="147" t="str">
        <f t="shared" si="6"/>
        <v/>
      </c>
      <c r="P988" s="150" t="str">
        <f t="shared" si="7"/>
        <v/>
      </c>
      <c r="Q988" s="151" t="str">
        <f>IFERROR(VLOOKUP(C988,Ativos!$A$1:$G2000,5,),)</f>
        <v/>
      </c>
    </row>
    <row r="989" ht="21.0" customHeight="1">
      <c r="A989" s="152"/>
      <c r="B989" s="160"/>
      <c r="C989" s="153"/>
      <c r="D989" s="169"/>
      <c r="E989" s="139"/>
      <c r="F989" s="141"/>
      <c r="G989" s="170" t="str">
        <f>IFERROR(__xludf.DUMMYFUNCTION("if($C989="""","""",iferror(if(row()&lt;&gt;2,INDEX(arrayformula(filter($H$2:$H988,$C$2:$C988&lt;&gt;"""",row($C$2:$C988)=max(if($C$2:$C988=C989,row($C$2:$C988),0)))) ,1),0),0))"),"")</f>
        <v/>
      </c>
      <c r="H989" s="170" t="str">
        <f t="shared" si="8"/>
        <v/>
      </c>
      <c r="I989" s="147" t="str">
        <f t="shared" si="1"/>
        <v/>
      </c>
      <c r="J989" s="147" t="str">
        <f t="shared" si="13"/>
        <v/>
      </c>
      <c r="K989" s="147" t="str">
        <f>IFERROR(__xludf.DUMMYFUNCTION("if(C989="""","""",iferror(if(row()&lt;&gt;2,INDEX(arrayformula(filter($L$2:$L988,$C$2:$C988&lt;&gt;"""",row($C$2:$C988)=max(if($C$2:$C988=C989,row($C$2:$C988),0)))) ,1),0),0))"),"")</f>
        <v/>
      </c>
      <c r="L989" s="147" t="str">
        <f t="shared" si="14"/>
        <v/>
      </c>
      <c r="M989" s="147" t="str">
        <f t="shared" si="15"/>
        <v/>
      </c>
      <c r="N989" s="147" t="str">
        <f t="shared" si="16"/>
        <v/>
      </c>
      <c r="O989" s="147" t="str">
        <f t="shared" si="6"/>
        <v/>
      </c>
      <c r="P989" s="150" t="str">
        <f t="shared" si="7"/>
        <v/>
      </c>
      <c r="Q989" s="151" t="str">
        <f>IFERROR(VLOOKUP(C989,Ativos!$A$1:$G2000,5,),)</f>
        <v/>
      </c>
    </row>
    <row r="990" ht="21.0" customHeight="1">
      <c r="A990" s="152"/>
      <c r="B990" s="160"/>
      <c r="C990" s="153"/>
      <c r="D990" s="169"/>
      <c r="E990" s="139"/>
      <c r="F990" s="141"/>
      <c r="G990" s="170" t="str">
        <f>IFERROR(__xludf.DUMMYFUNCTION("if($C990="""","""",iferror(if(row()&lt;&gt;2,INDEX(arrayformula(filter($H$2:$H989,$C$2:$C989&lt;&gt;"""",row($C$2:$C989)=max(if($C$2:$C989=C990,row($C$2:$C989),0)))) ,1),0),0))"),"")</f>
        <v/>
      </c>
      <c r="H990" s="170" t="str">
        <f t="shared" si="8"/>
        <v/>
      </c>
      <c r="I990" s="147" t="str">
        <f t="shared" si="1"/>
        <v/>
      </c>
      <c r="J990" s="147" t="str">
        <f t="shared" si="13"/>
        <v/>
      </c>
      <c r="K990" s="147" t="str">
        <f>IFERROR(__xludf.DUMMYFUNCTION("if(C990="""","""",iferror(if(row()&lt;&gt;2,INDEX(arrayformula(filter($L$2:$L989,$C$2:$C989&lt;&gt;"""",row($C$2:$C989)=max(if($C$2:$C989=C990,row($C$2:$C989),0)))) ,1),0),0))"),"")</f>
        <v/>
      </c>
      <c r="L990" s="147" t="str">
        <f t="shared" si="14"/>
        <v/>
      </c>
      <c r="M990" s="147" t="str">
        <f t="shared" si="15"/>
        <v/>
      </c>
      <c r="N990" s="147" t="str">
        <f t="shared" si="16"/>
        <v/>
      </c>
      <c r="O990" s="147" t="str">
        <f t="shared" si="6"/>
        <v/>
      </c>
      <c r="P990" s="150" t="str">
        <f t="shared" si="7"/>
        <v/>
      </c>
      <c r="Q990" s="151" t="str">
        <f>IFERROR(VLOOKUP(C990,Ativos!$A$1:$G2000,5,),)</f>
        <v/>
      </c>
    </row>
    <row r="991" ht="21.0" customHeight="1">
      <c r="A991" s="152"/>
      <c r="B991" s="160"/>
      <c r="C991" s="153"/>
      <c r="D991" s="169"/>
      <c r="E991" s="139"/>
      <c r="F991" s="141"/>
      <c r="G991" s="170" t="str">
        <f>IFERROR(__xludf.DUMMYFUNCTION("if($C991="""","""",iferror(if(row()&lt;&gt;2,INDEX(arrayformula(filter($H$2:$H990,$C$2:$C990&lt;&gt;"""",row($C$2:$C990)=max(if($C$2:$C990=C991,row($C$2:$C990),0)))) ,1),0),0))"),"")</f>
        <v/>
      </c>
      <c r="H991" s="170" t="str">
        <f t="shared" si="8"/>
        <v/>
      </c>
      <c r="I991" s="147" t="str">
        <f t="shared" si="1"/>
        <v/>
      </c>
      <c r="J991" s="147" t="str">
        <f t="shared" si="13"/>
        <v/>
      </c>
      <c r="K991" s="147" t="str">
        <f>IFERROR(__xludf.DUMMYFUNCTION("if(C991="""","""",iferror(if(row()&lt;&gt;2,INDEX(arrayformula(filter($L$2:$L990,$C$2:$C990&lt;&gt;"""",row($C$2:$C990)=max(if($C$2:$C990=C991,row($C$2:$C990),0)))) ,1),0),0))"),"")</f>
        <v/>
      </c>
      <c r="L991" s="147" t="str">
        <f t="shared" si="14"/>
        <v/>
      </c>
      <c r="M991" s="147" t="str">
        <f t="shared" si="15"/>
        <v/>
      </c>
      <c r="N991" s="147" t="str">
        <f t="shared" si="16"/>
        <v/>
      </c>
      <c r="O991" s="147" t="str">
        <f t="shared" si="6"/>
        <v/>
      </c>
      <c r="P991" s="150" t="str">
        <f t="shared" si="7"/>
        <v/>
      </c>
      <c r="Q991" s="151" t="str">
        <f>IFERROR(VLOOKUP(C991,Ativos!$A$1:$G2000,5,),)</f>
        <v/>
      </c>
    </row>
    <row r="992" ht="21.0" customHeight="1">
      <c r="A992" s="152"/>
      <c r="B992" s="160"/>
      <c r="C992" s="153"/>
      <c r="D992" s="169"/>
      <c r="E992" s="139"/>
      <c r="F992" s="141"/>
      <c r="G992" s="170" t="str">
        <f>IFERROR(__xludf.DUMMYFUNCTION("if($C992="""","""",iferror(if(row()&lt;&gt;2,INDEX(arrayformula(filter($H$2:$H991,$C$2:$C991&lt;&gt;"""",row($C$2:$C991)=max(if($C$2:$C991=C992,row($C$2:$C991),0)))) ,1),0),0))"),"")</f>
        <v/>
      </c>
      <c r="H992" s="170" t="str">
        <f t="shared" si="8"/>
        <v/>
      </c>
      <c r="I992" s="147" t="str">
        <f t="shared" si="1"/>
        <v/>
      </c>
      <c r="J992" s="147" t="str">
        <f t="shared" si="13"/>
        <v/>
      </c>
      <c r="K992" s="147" t="str">
        <f>IFERROR(__xludf.DUMMYFUNCTION("if(C992="""","""",iferror(if(row()&lt;&gt;2,INDEX(arrayformula(filter($L$2:$L991,$C$2:$C991&lt;&gt;"""",row($C$2:$C991)=max(if($C$2:$C991=C992,row($C$2:$C991),0)))) ,1),0),0))"),"")</f>
        <v/>
      </c>
      <c r="L992" s="147" t="str">
        <f t="shared" si="14"/>
        <v/>
      </c>
      <c r="M992" s="147" t="str">
        <f t="shared" si="15"/>
        <v/>
      </c>
      <c r="N992" s="147" t="str">
        <f t="shared" si="16"/>
        <v/>
      </c>
      <c r="O992" s="147" t="str">
        <f t="shared" si="6"/>
        <v/>
      </c>
      <c r="P992" s="150" t="str">
        <f t="shared" si="7"/>
        <v/>
      </c>
      <c r="Q992" s="151" t="str">
        <f>IFERROR(VLOOKUP(C992,Ativos!$A$1:$G2000,5,),)</f>
        <v/>
      </c>
    </row>
    <row r="993" ht="21.0" customHeight="1">
      <c r="A993" s="152"/>
      <c r="B993" s="160"/>
      <c r="C993" s="153"/>
      <c r="D993" s="169"/>
      <c r="E993" s="139"/>
      <c r="F993" s="141"/>
      <c r="G993" s="170" t="str">
        <f>IFERROR(__xludf.DUMMYFUNCTION("if($C993="""","""",iferror(if(row()&lt;&gt;2,INDEX(arrayformula(filter($H$2:$H992,$C$2:$C992&lt;&gt;"""",row($C$2:$C992)=max(if($C$2:$C992=C993,row($C$2:$C992),0)))) ,1),0),0))"),"")</f>
        <v/>
      </c>
      <c r="H993" s="170" t="str">
        <f t="shared" si="8"/>
        <v/>
      </c>
      <c r="I993" s="147" t="str">
        <f t="shared" si="1"/>
        <v/>
      </c>
      <c r="J993" s="147" t="str">
        <f t="shared" si="13"/>
        <v/>
      </c>
      <c r="K993" s="147" t="str">
        <f>IFERROR(__xludf.DUMMYFUNCTION("if(C993="""","""",iferror(if(row()&lt;&gt;2,INDEX(arrayformula(filter($L$2:$L992,$C$2:$C992&lt;&gt;"""",row($C$2:$C992)=max(if($C$2:$C992=C993,row($C$2:$C992),0)))) ,1),0),0))"),"")</f>
        <v/>
      </c>
      <c r="L993" s="147" t="str">
        <f t="shared" si="14"/>
        <v/>
      </c>
      <c r="M993" s="147" t="str">
        <f t="shared" si="15"/>
        <v/>
      </c>
      <c r="N993" s="147" t="str">
        <f t="shared" si="16"/>
        <v/>
      </c>
      <c r="O993" s="147" t="str">
        <f t="shared" si="6"/>
        <v/>
      </c>
      <c r="P993" s="150" t="str">
        <f t="shared" si="7"/>
        <v/>
      </c>
      <c r="Q993" s="151" t="str">
        <f>IFERROR(VLOOKUP(C993,Ativos!$A$1:$G2000,5,),)</f>
        <v/>
      </c>
    </row>
    <row r="994" ht="21.0" customHeight="1">
      <c r="A994" s="152"/>
      <c r="B994" s="160"/>
      <c r="C994" s="153"/>
      <c r="D994" s="169"/>
      <c r="E994" s="139"/>
      <c r="F994" s="141"/>
      <c r="G994" s="170" t="str">
        <f>IFERROR(__xludf.DUMMYFUNCTION("if($C994="""","""",iferror(if(row()&lt;&gt;2,INDEX(arrayformula(filter($H$2:$H993,$C$2:$C993&lt;&gt;"""",row($C$2:$C993)=max(if($C$2:$C993=C994,row($C$2:$C993),0)))) ,1),0),0))"),"")</f>
        <v/>
      </c>
      <c r="H994" s="170" t="str">
        <f t="shared" si="8"/>
        <v/>
      </c>
      <c r="I994" s="147" t="str">
        <f t="shared" si="1"/>
        <v/>
      </c>
      <c r="J994" s="147" t="str">
        <f t="shared" si="13"/>
        <v/>
      </c>
      <c r="K994" s="147" t="str">
        <f>IFERROR(__xludf.DUMMYFUNCTION("if(C994="""","""",iferror(if(row()&lt;&gt;2,INDEX(arrayformula(filter($L$2:$L993,$C$2:$C993&lt;&gt;"""",row($C$2:$C993)=max(if($C$2:$C993=C994,row($C$2:$C993),0)))) ,1),0),0))"),"")</f>
        <v/>
      </c>
      <c r="L994" s="147" t="str">
        <f t="shared" si="14"/>
        <v/>
      </c>
      <c r="M994" s="147" t="str">
        <f t="shared" si="15"/>
        <v/>
      </c>
      <c r="N994" s="147" t="str">
        <f t="shared" si="16"/>
        <v/>
      </c>
      <c r="O994" s="147" t="str">
        <f t="shared" si="6"/>
        <v/>
      </c>
      <c r="P994" s="150" t="str">
        <f t="shared" si="7"/>
        <v/>
      </c>
      <c r="Q994" s="151" t="str">
        <f>IFERROR(VLOOKUP(C994,Ativos!$A$1:$G2000,5,),)</f>
        <v/>
      </c>
    </row>
    <row r="995" ht="21.0" customHeight="1">
      <c r="A995" s="152"/>
      <c r="B995" s="160"/>
      <c r="C995" s="153"/>
      <c r="D995" s="169"/>
      <c r="E995" s="139"/>
      <c r="F995" s="141"/>
      <c r="G995" s="170" t="str">
        <f>IFERROR(__xludf.DUMMYFUNCTION("if($C995="""","""",iferror(if(row()&lt;&gt;2,INDEX(arrayformula(filter($H$2:$H994,$C$2:$C994&lt;&gt;"""",row($C$2:$C994)=max(if($C$2:$C994=C995,row($C$2:$C994),0)))) ,1),0),0))"),"")</f>
        <v/>
      </c>
      <c r="H995" s="170" t="str">
        <f t="shared" si="8"/>
        <v/>
      </c>
      <c r="I995" s="147" t="str">
        <f t="shared" si="1"/>
        <v/>
      </c>
      <c r="J995" s="147" t="str">
        <f t="shared" si="13"/>
        <v/>
      </c>
      <c r="K995" s="147" t="str">
        <f>IFERROR(__xludf.DUMMYFUNCTION("if(C995="""","""",iferror(if(row()&lt;&gt;2,INDEX(arrayformula(filter($L$2:$L994,$C$2:$C994&lt;&gt;"""",row($C$2:$C994)=max(if($C$2:$C994=C995,row($C$2:$C994),0)))) ,1),0),0))"),"")</f>
        <v/>
      </c>
      <c r="L995" s="147" t="str">
        <f t="shared" si="14"/>
        <v/>
      </c>
      <c r="M995" s="147" t="str">
        <f t="shared" si="15"/>
        <v/>
      </c>
      <c r="N995" s="147" t="str">
        <f t="shared" si="16"/>
        <v/>
      </c>
      <c r="O995" s="147" t="str">
        <f t="shared" si="6"/>
        <v/>
      </c>
      <c r="P995" s="150" t="str">
        <f t="shared" si="7"/>
        <v/>
      </c>
      <c r="Q995" s="151" t="str">
        <f>IFERROR(VLOOKUP(C995,Ativos!$A$1:$G2000,5,),)</f>
        <v/>
      </c>
    </row>
    <row r="996" ht="21.0" customHeight="1">
      <c r="A996" s="152"/>
      <c r="B996" s="160"/>
      <c r="C996" s="153"/>
      <c r="D996" s="169"/>
      <c r="E996" s="139"/>
      <c r="F996" s="141"/>
      <c r="G996" s="170" t="str">
        <f>IFERROR(__xludf.DUMMYFUNCTION("if($C996="""","""",iferror(if(row()&lt;&gt;2,INDEX(arrayformula(filter($H$2:$H995,$C$2:$C995&lt;&gt;"""",row($C$2:$C995)=max(if($C$2:$C995=C996,row($C$2:$C995),0)))) ,1),0),0))"),"")</f>
        <v/>
      </c>
      <c r="H996" s="170" t="str">
        <f t="shared" si="8"/>
        <v/>
      </c>
      <c r="I996" s="147" t="str">
        <f t="shared" si="1"/>
        <v/>
      </c>
      <c r="J996" s="147" t="str">
        <f t="shared" si="13"/>
        <v/>
      </c>
      <c r="K996" s="147" t="str">
        <f>IFERROR(__xludf.DUMMYFUNCTION("if(C996="""","""",iferror(if(row()&lt;&gt;2,INDEX(arrayformula(filter($L$2:$L995,$C$2:$C995&lt;&gt;"""",row($C$2:$C995)=max(if($C$2:$C995=C996,row($C$2:$C995),0)))) ,1),0),0))"),"")</f>
        <v/>
      </c>
      <c r="L996" s="147" t="str">
        <f t="shared" si="14"/>
        <v/>
      </c>
      <c r="M996" s="147" t="str">
        <f t="shared" si="15"/>
        <v/>
      </c>
      <c r="N996" s="147" t="str">
        <f t="shared" si="16"/>
        <v/>
      </c>
      <c r="O996" s="147" t="str">
        <f t="shared" si="6"/>
        <v/>
      </c>
      <c r="P996" s="150" t="str">
        <f t="shared" si="7"/>
        <v/>
      </c>
      <c r="Q996" s="151" t="str">
        <f>IFERROR(VLOOKUP(C996,Ativos!$A$1:$G2000,5,),)</f>
        <v/>
      </c>
    </row>
    <row r="997" ht="21.0" customHeight="1">
      <c r="A997" s="152"/>
      <c r="B997" s="160"/>
      <c r="C997" s="153"/>
      <c r="D997" s="169"/>
      <c r="E997" s="139"/>
      <c r="F997" s="141"/>
      <c r="G997" s="170" t="str">
        <f>IFERROR(__xludf.DUMMYFUNCTION("if($C997="""","""",iferror(if(row()&lt;&gt;2,INDEX(arrayformula(filter($H$2:$H996,$C$2:$C996&lt;&gt;"""",row($C$2:$C996)=max(if($C$2:$C996=C997,row($C$2:$C996),0)))) ,1),0),0))"),"")</f>
        <v/>
      </c>
      <c r="H997" s="170" t="str">
        <f t="shared" si="8"/>
        <v/>
      </c>
      <c r="I997" s="147" t="str">
        <f t="shared" si="1"/>
        <v/>
      </c>
      <c r="J997" s="147" t="str">
        <f t="shared" si="13"/>
        <v/>
      </c>
      <c r="K997" s="147" t="str">
        <f>IFERROR(__xludf.DUMMYFUNCTION("if(C997="""","""",iferror(if(row()&lt;&gt;2,INDEX(arrayformula(filter($L$2:$L996,$C$2:$C996&lt;&gt;"""",row($C$2:$C996)=max(if($C$2:$C996=C997,row($C$2:$C996),0)))) ,1),0),0))"),"")</f>
        <v/>
      </c>
      <c r="L997" s="147" t="str">
        <f t="shared" si="14"/>
        <v/>
      </c>
      <c r="M997" s="147" t="str">
        <f t="shared" si="15"/>
        <v/>
      </c>
      <c r="N997" s="147" t="str">
        <f t="shared" si="16"/>
        <v/>
      </c>
      <c r="O997" s="147" t="str">
        <f t="shared" si="6"/>
        <v/>
      </c>
      <c r="P997" s="150" t="str">
        <f t="shared" si="7"/>
        <v/>
      </c>
      <c r="Q997" s="151" t="str">
        <f>IFERROR(VLOOKUP(C997,Ativos!$A$1:$G2000,5,),)</f>
        <v/>
      </c>
    </row>
    <row r="998" ht="21.0" customHeight="1">
      <c r="A998" s="152"/>
      <c r="B998" s="160"/>
      <c r="C998" s="153"/>
      <c r="D998" s="169"/>
      <c r="E998" s="139"/>
      <c r="F998" s="141"/>
      <c r="G998" s="170" t="str">
        <f>IFERROR(__xludf.DUMMYFUNCTION("if($C998="""","""",iferror(if(row()&lt;&gt;2,INDEX(arrayformula(filter($H$2:$H997,$C$2:$C997&lt;&gt;"""",row($C$2:$C997)=max(if($C$2:$C997=C998,row($C$2:$C997),0)))) ,1),0),0))"),"")</f>
        <v/>
      </c>
      <c r="H998" s="170" t="str">
        <f t="shared" si="8"/>
        <v/>
      </c>
      <c r="I998" s="147" t="str">
        <f t="shared" si="1"/>
        <v/>
      </c>
      <c r="J998" s="147" t="str">
        <f t="shared" si="13"/>
        <v/>
      </c>
      <c r="K998" s="147" t="str">
        <f>IFERROR(__xludf.DUMMYFUNCTION("if(C998="""","""",iferror(if(row()&lt;&gt;2,INDEX(arrayformula(filter($L$2:$L997,$C$2:$C997&lt;&gt;"""",row($C$2:$C997)=max(if($C$2:$C997=C998,row($C$2:$C997),0)))) ,1),0),0))"),"")</f>
        <v/>
      </c>
      <c r="L998" s="147" t="str">
        <f t="shared" si="14"/>
        <v/>
      </c>
      <c r="M998" s="147" t="str">
        <f t="shared" si="15"/>
        <v/>
      </c>
      <c r="N998" s="147" t="str">
        <f t="shared" si="16"/>
        <v/>
      </c>
      <c r="O998" s="147" t="str">
        <f t="shared" si="6"/>
        <v/>
      </c>
      <c r="P998" s="150" t="str">
        <f t="shared" si="7"/>
        <v/>
      </c>
      <c r="Q998" s="151" t="str">
        <f>IFERROR(VLOOKUP(C998,Ativos!$A$1:$G2000,5,),)</f>
        <v/>
      </c>
    </row>
    <row r="999" ht="21.0" customHeight="1">
      <c r="A999" s="152"/>
      <c r="B999" s="160"/>
      <c r="C999" s="153"/>
      <c r="D999" s="169"/>
      <c r="E999" s="139"/>
      <c r="F999" s="141"/>
      <c r="G999" s="170" t="str">
        <f>IFERROR(__xludf.DUMMYFUNCTION("if($C999="""","""",iferror(if(row()&lt;&gt;2,INDEX(arrayformula(filter($H$2:$H998,$C$2:$C998&lt;&gt;"""",row($C$2:$C998)=max(if($C$2:$C998=C999,row($C$2:$C998),0)))) ,1),0),0))"),"")</f>
        <v/>
      </c>
      <c r="H999" s="170" t="str">
        <f t="shared" si="8"/>
        <v/>
      </c>
      <c r="I999" s="147" t="str">
        <f t="shared" si="1"/>
        <v/>
      </c>
      <c r="J999" s="147" t="str">
        <f t="shared" si="13"/>
        <v/>
      </c>
      <c r="K999" s="147" t="str">
        <f>IFERROR(__xludf.DUMMYFUNCTION("if(C999="""","""",iferror(if(row()&lt;&gt;2,INDEX(arrayformula(filter($L$2:$L998,$C$2:$C998&lt;&gt;"""",row($C$2:$C998)=max(if($C$2:$C998=C999,row($C$2:$C998),0)))) ,1),0),0))"),"")</f>
        <v/>
      </c>
      <c r="L999" s="147" t="str">
        <f t="shared" si="14"/>
        <v/>
      </c>
      <c r="M999" s="147" t="str">
        <f t="shared" si="15"/>
        <v/>
      </c>
      <c r="N999" s="147" t="str">
        <f t="shared" si="16"/>
        <v/>
      </c>
      <c r="O999" s="147" t="str">
        <f t="shared" si="6"/>
        <v/>
      </c>
      <c r="P999" s="150" t="str">
        <f t="shared" si="7"/>
        <v/>
      </c>
      <c r="Q999" s="151" t="str">
        <f>IFERROR(VLOOKUP(C999,Ativos!$A$1:$G2000,5,),)</f>
        <v/>
      </c>
    </row>
    <row r="1000" ht="21.0" customHeight="1">
      <c r="A1000" s="152"/>
      <c r="B1000" s="160"/>
      <c r="C1000" s="153"/>
      <c r="D1000" s="169"/>
      <c r="E1000" s="139"/>
      <c r="F1000" s="141"/>
      <c r="G1000" s="170" t="str">
        <f>IFERROR(__xludf.DUMMYFUNCTION("if($C1000="""","""",iferror(if(row()&lt;&gt;2,INDEX(arrayformula(filter($H$2:$H999,$C$2:$C999&lt;&gt;"""",row($C$2:$C999)=max(if($C$2:$C999=C1000,row($C$2:$C999),0)))) ,1),0),0))"),"")</f>
        <v/>
      </c>
      <c r="H1000" s="170" t="str">
        <f t="shared" si="8"/>
        <v/>
      </c>
      <c r="I1000" s="147" t="str">
        <f t="shared" si="1"/>
        <v/>
      </c>
      <c r="J1000" s="147" t="str">
        <f t="shared" si="13"/>
        <v/>
      </c>
      <c r="K1000" s="147" t="str">
        <f>IFERROR(__xludf.DUMMYFUNCTION("if(C1000="""","""",iferror(if(row()&lt;&gt;2,INDEX(arrayformula(filter($L$2:$L999,$C$2:$C999&lt;&gt;"""",row($C$2:$C999)=max(if($C$2:$C999=C1000,row($C$2:$C999),0)))) ,1),0),0))"),"")</f>
        <v/>
      </c>
      <c r="L1000" s="147" t="str">
        <f t="shared" si="14"/>
        <v/>
      </c>
      <c r="M1000" s="147" t="str">
        <f t="shared" si="15"/>
        <v/>
      </c>
      <c r="N1000" s="147" t="str">
        <f t="shared" si="16"/>
        <v/>
      </c>
      <c r="O1000" s="147" t="str">
        <f t="shared" si="6"/>
        <v/>
      </c>
      <c r="P1000" s="150" t="str">
        <f t="shared" si="7"/>
        <v/>
      </c>
      <c r="Q1000" s="151" t="str">
        <f>IFERROR(VLOOKUP(C1000,Ativos!$A$1:$G2000,5,),)</f>
        <v/>
      </c>
    </row>
    <row r="1001" ht="21.0" customHeight="1">
      <c r="A1001" s="152"/>
      <c r="B1001" s="160"/>
      <c r="C1001" s="153"/>
      <c r="D1001" s="169"/>
      <c r="E1001" s="139"/>
      <c r="F1001" s="141"/>
      <c r="G1001" s="170" t="str">
        <f>IFERROR(__xludf.DUMMYFUNCTION("if($C1001="""","""",iferror(if(row()&lt;&gt;2,INDEX(arrayformula(filter($H$2:$H1000,$C$2:$C1000&lt;&gt;"""",row($C$2:$C1000)=max(if($C$2:$C1000=C1001,row($C$2:$C1000),0)))) ,1),0),0))"),"")</f>
        <v/>
      </c>
      <c r="H1001" s="170" t="str">
        <f t="shared" si="8"/>
        <v/>
      </c>
      <c r="I1001" s="147" t="str">
        <f t="shared" si="1"/>
        <v/>
      </c>
      <c r="J1001" s="147" t="str">
        <f t="shared" si="13"/>
        <v/>
      </c>
      <c r="K1001" s="147" t="str">
        <f>IFERROR(__xludf.DUMMYFUNCTION("if(C1001="""","""",iferror(if(row()&lt;&gt;2,INDEX(arrayformula(filter($L$2:$L1000,$C$2:$C1000&lt;&gt;"""",row($C$2:$C1000)=max(if($C$2:$C1000=C1001,row($C$2:$C1000),0)))) ,1),0),0))"),"")</f>
        <v/>
      </c>
      <c r="L1001" s="147" t="str">
        <f t="shared" si="14"/>
        <v/>
      </c>
      <c r="M1001" s="147" t="str">
        <f t="shared" si="15"/>
        <v/>
      </c>
      <c r="N1001" s="147" t="str">
        <f t="shared" si="16"/>
        <v/>
      </c>
      <c r="O1001" s="147" t="str">
        <f t="shared" si="6"/>
        <v/>
      </c>
      <c r="P1001" s="150" t="str">
        <f t="shared" si="7"/>
        <v/>
      </c>
      <c r="Q1001" s="151" t="str">
        <f>IFERROR(VLOOKUP(C1001,Ativos!$A$1:$G2000,5,),)</f>
        <v/>
      </c>
    </row>
    <row r="1002" ht="21.0" customHeight="1">
      <c r="A1002" s="152"/>
      <c r="B1002" s="160"/>
      <c r="C1002" s="153"/>
      <c r="D1002" s="169"/>
      <c r="E1002" s="139"/>
      <c r="F1002" s="141"/>
      <c r="G1002" s="170" t="str">
        <f>IFERROR(__xludf.DUMMYFUNCTION("if($C1002="""","""",iferror(if(row()&lt;&gt;2,INDEX(arrayformula(filter($H$2:$H1001,$C$2:$C1001&lt;&gt;"""",row($C$2:$C1001)=max(if($C$2:$C1001=C1002,row($C$2:$C1001),0)))) ,1),0),0))"),"")</f>
        <v/>
      </c>
      <c r="H1002" s="170" t="str">
        <f t="shared" si="8"/>
        <v/>
      </c>
      <c r="I1002" s="147" t="str">
        <f t="shared" si="1"/>
        <v/>
      </c>
      <c r="J1002" s="147" t="str">
        <f t="shared" si="13"/>
        <v/>
      </c>
      <c r="K1002" s="147" t="str">
        <f>IFERROR(__xludf.DUMMYFUNCTION("if(C1002="""","""",iferror(if(row()&lt;&gt;2,INDEX(arrayformula(filter($L$2:$L1001,$C$2:$C1001&lt;&gt;"""",row($C$2:$C1001)=max(if($C$2:$C1001=C1002,row($C$2:$C1001),0)))) ,1),0),0))"),"")</f>
        <v/>
      </c>
      <c r="L1002" s="147" t="str">
        <f t="shared" si="14"/>
        <v/>
      </c>
      <c r="M1002" s="147" t="str">
        <f t="shared" si="15"/>
        <v/>
      </c>
      <c r="N1002" s="147" t="str">
        <f t="shared" si="16"/>
        <v/>
      </c>
      <c r="O1002" s="147" t="str">
        <f t="shared" si="6"/>
        <v/>
      </c>
      <c r="P1002" s="150" t="str">
        <f t="shared" si="7"/>
        <v/>
      </c>
      <c r="Q1002" s="151" t="str">
        <f>IFERROR(VLOOKUP(C1002,Ativos!$A$1:$G2000,5,),)</f>
        <v/>
      </c>
    </row>
    <row r="1003" ht="21.0" customHeight="1">
      <c r="A1003" s="152"/>
      <c r="B1003" s="160"/>
      <c r="C1003" s="153"/>
      <c r="D1003" s="169"/>
      <c r="E1003" s="139"/>
      <c r="F1003" s="141"/>
      <c r="G1003" s="170" t="str">
        <f>IFERROR(__xludf.DUMMYFUNCTION("if($C1003="""","""",iferror(if(row()&lt;&gt;2,INDEX(arrayformula(filter($H$2:$H1002,$C$2:$C1002&lt;&gt;"""",row($C$2:$C1002)=max(if($C$2:$C1002=C1003,row($C$2:$C1002),0)))) ,1),0),0))"),"")</f>
        <v/>
      </c>
      <c r="H1003" s="170" t="str">
        <f t="shared" si="8"/>
        <v/>
      </c>
      <c r="I1003" s="147" t="str">
        <f t="shared" si="1"/>
        <v/>
      </c>
      <c r="J1003" s="147" t="str">
        <f t="shared" si="13"/>
        <v/>
      </c>
      <c r="K1003" s="147" t="str">
        <f>IFERROR(__xludf.DUMMYFUNCTION("if(C1003="""","""",iferror(if(row()&lt;&gt;2,INDEX(arrayformula(filter($L$2:$L1002,$C$2:$C1002&lt;&gt;"""",row($C$2:$C1002)=max(if($C$2:$C1002=C1003,row($C$2:$C1002),0)))) ,1),0),0))"),"")</f>
        <v/>
      </c>
      <c r="L1003" s="147" t="str">
        <f t="shared" si="14"/>
        <v/>
      </c>
      <c r="M1003" s="147" t="str">
        <f t="shared" si="15"/>
        <v/>
      </c>
      <c r="N1003" s="147" t="str">
        <f t="shared" si="16"/>
        <v/>
      </c>
      <c r="O1003" s="147" t="str">
        <f t="shared" si="6"/>
        <v/>
      </c>
      <c r="P1003" s="150" t="str">
        <f t="shared" si="7"/>
        <v/>
      </c>
      <c r="Q1003" s="151" t="str">
        <f>IFERROR(VLOOKUP(C1003,Ativos!$A$1:$G2000,5,),)</f>
        <v/>
      </c>
    </row>
    <row r="1004" ht="21.0" customHeight="1">
      <c r="A1004" s="152"/>
      <c r="B1004" s="160"/>
      <c r="C1004" s="153"/>
      <c r="D1004" s="169"/>
      <c r="E1004" s="139"/>
      <c r="F1004" s="141"/>
      <c r="G1004" s="170" t="str">
        <f>IFERROR(__xludf.DUMMYFUNCTION("if($C1004="""","""",iferror(if(row()&lt;&gt;2,INDEX(arrayformula(filter($H$2:$H1003,$C$2:$C1003&lt;&gt;"""",row($C$2:$C1003)=max(if($C$2:$C1003=C1004,row($C$2:$C1003),0)))) ,1),0),0))"),"")</f>
        <v/>
      </c>
      <c r="H1004" s="170" t="str">
        <f t="shared" si="8"/>
        <v/>
      </c>
      <c r="I1004" s="147" t="str">
        <f t="shared" si="1"/>
        <v/>
      </c>
      <c r="J1004" s="147" t="str">
        <f t="shared" si="13"/>
        <v/>
      </c>
      <c r="K1004" s="147" t="str">
        <f>IFERROR(__xludf.DUMMYFUNCTION("if(C1004="""","""",iferror(if(row()&lt;&gt;2,INDEX(arrayformula(filter($L$2:$L1003,$C$2:$C1003&lt;&gt;"""",row($C$2:$C1003)=max(if($C$2:$C1003=C1004,row($C$2:$C1003),0)))) ,1),0),0))"),"")</f>
        <v/>
      </c>
      <c r="L1004" s="147" t="str">
        <f t="shared" si="14"/>
        <v/>
      </c>
      <c r="M1004" s="147" t="str">
        <f t="shared" si="15"/>
        <v/>
      </c>
      <c r="N1004" s="147" t="str">
        <f t="shared" si="16"/>
        <v/>
      </c>
      <c r="O1004" s="147" t="str">
        <f t="shared" si="6"/>
        <v/>
      </c>
      <c r="P1004" s="150" t="str">
        <f t="shared" si="7"/>
        <v/>
      </c>
      <c r="Q1004" s="151" t="str">
        <f>IFERROR(VLOOKUP(C1004,Ativos!$A$1:$G2000,5,),)</f>
        <v/>
      </c>
    </row>
    <row r="1005" ht="21.0" customHeight="1">
      <c r="A1005" s="152"/>
      <c r="B1005" s="160"/>
      <c r="C1005" s="153"/>
      <c r="D1005" s="169"/>
      <c r="E1005" s="139"/>
      <c r="F1005" s="141"/>
      <c r="G1005" s="170" t="str">
        <f>IFERROR(__xludf.DUMMYFUNCTION("if($C1005="""","""",iferror(if(row()&lt;&gt;2,INDEX(arrayformula(filter($H$2:$H1004,$C$2:$C1004&lt;&gt;"""",row($C$2:$C1004)=max(if($C$2:$C1004=C1005,row($C$2:$C1004),0)))) ,1),0),0))"),"")</f>
        <v/>
      </c>
      <c r="H1005" s="170" t="str">
        <f t="shared" si="8"/>
        <v/>
      </c>
      <c r="I1005" s="147" t="str">
        <f t="shared" si="1"/>
        <v/>
      </c>
      <c r="J1005" s="147" t="str">
        <f t="shared" si="13"/>
        <v/>
      </c>
      <c r="K1005" s="147" t="str">
        <f>IFERROR(__xludf.DUMMYFUNCTION("if(C1005="""","""",iferror(if(row()&lt;&gt;2,INDEX(arrayformula(filter($L$2:$L1004,$C$2:$C1004&lt;&gt;"""",row($C$2:$C1004)=max(if($C$2:$C1004=C1005,row($C$2:$C1004),0)))) ,1),0),0))"),"")</f>
        <v/>
      </c>
      <c r="L1005" s="147" t="str">
        <f t="shared" si="14"/>
        <v/>
      </c>
      <c r="M1005" s="147" t="str">
        <f t="shared" si="15"/>
        <v/>
      </c>
      <c r="N1005" s="147" t="str">
        <f t="shared" si="16"/>
        <v/>
      </c>
      <c r="O1005" s="147" t="str">
        <f t="shared" si="6"/>
        <v/>
      </c>
      <c r="P1005" s="150" t="str">
        <f t="shared" si="7"/>
        <v/>
      </c>
      <c r="Q1005" s="151" t="str">
        <f>IFERROR(VLOOKUP(C1005,Ativos!$A$1:$G2000,5,),)</f>
        <v/>
      </c>
    </row>
    <row r="1006" ht="21.0" customHeight="1">
      <c r="A1006" s="152"/>
      <c r="B1006" s="160"/>
      <c r="C1006" s="153"/>
      <c r="D1006" s="169"/>
      <c r="E1006" s="139"/>
      <c r="F1006" s="141"/>
      <c r="G1006" s="170" t="str">
        <f>IFERROR(__xludf.DUMMYFUNCTION("if($C1006="""","""",iferror(if(row()&lt;&gt;2,INDEX(arrayformula(filter($H$2:$H1005,$C$2:$C1005&lt;&gt;"""",row($C$2:$C1005)=max(if($C$2:$C1005=C1006,row($C$2:$C1005),0)))) ,1),0),0))"),"")</f>
        <v/>
      </c>
      <c r="H1006" s="170" t="str">
        <f t="shared" si="8"/>
        <v/>
      </c>
      <c r="I1006" s="147" t="str">
        <f t="shared" si="1"/>
        <v/>
      </c>
      <c r="J1006" s="147" t="str">
        <f t="shared" si="13"/>
        <v/>
      </c>
      <c r="K1006" s="147" t="str">
        <f>IFERROR(__xludf.DUMMYFUNCTION("if(C1006="""","""",iferror(if(row()&lt;&gt;2,INDEX(arrayformula(filter($L$2:$L1005,$C$2:$C1005&lt;&gt;"""",row($C$2:$C1005)=max(if($C$2:$C1005=C1006,row($C$2:$C1005),0)))) ,1),0),0))"),"")</f>
        <v/>
      </c>
      <c r="L1006" s="147" t="str">
        <f t="shared" si="14"/>
        <v/>
      </c>
      <c r="M1006" s="147" t="str">
        <f t="shared" si="15"/>
        <v/>
      </c>
      <c r="N1006" s="147" t="str">
        <f t="shared" si="16"/>
        <v/>
      </c>
      <c r="O1006" s="147" t="str">
        <f t="shared" si="6"/>
        <v/>
      </c>
      <c r="P1006" s="150" t="str">
        <f t="shared" si="7"/>
        <v/>
      </c>
      <c r="Q1006" s="151" t="str">
        <f>IFERROR(VLOOKUP(C1006,Ativos!$A$1:$G2000,5,),)</f>
        <v/>
      </c>
    </row>
    <row r="1007" ht="21.0" customHeight="1">
      <c r="A1007" s="152"/>
      <c r="B1007" s="160"/>
      <c r="C1007" s="153"/>
      <c r="D1007" s="169"/>
      <c r="E1007" s="139"/>
      <c r="F1007" s="141"/>
      <c r="G1007" s="170" t="str">
        <f>IFERROR(__xludf.DUMMYFUNCTION("if($C1007="""","""",iferror(if(row()&lt;&gt;2,INDEX(arrayformula(filter($H$2:$H1006,$C$2:$C1006&lt;&gt;"""",row($C$2:$C1006)=max(if($C$2:$C1006=C1007,row($C$2:$C1006),0)))) ,1),0),0))"),"")</f>
        <v/>
      </c>
      <c r="H1007" s="170" t="str">
        <f t="shared" si="8"/>
        <v/>
      </c>
      <c r="I1007" s="147" t="str">
        <f t="shared" si="1"/>
        <v/>
      </c>
      <c r="J1007" s="147" t="str">
        <f t="shared" si="13"/>
        <v/>
      </c>
      <c r="K1007" s="147" t="str">
        <f>IFERROR(__xludf.DUMMYFUNCTION("if(C1007="""","""",iferror(if(row()&lt;&gt;2,INDEX(arrayformula(filter($L$2:$L1006,$C$2:$C1006&lt;&gt;"""",row($C$2:$C1006)=max(if($C$2:$C1006=C1007,row($C$2:$C1006),0)))) ,1),0),0))"),"")</f>
        <v/>
      </c>
      <c r="L1007" s="147" t="str">
        <f t="shared" si="14"/>
        <v/>
      </c>
      <c r="M1007" s="147" t="str">
        <f t="shared" si="15"/>
        <v/>
      </c>
      <c r="N1007" s="147" t="str">
        <f t="shared" si="16"/>
        <v/>
      </c>
      <c r="O1007" s="147" t="str">
        <f t="shared" si="6"/>
        <v/>
      </c>
      <c r="P1007" s="150" t="str">
        <f t="shared" si="7"/>
        <v/>
      </c>
      <c r="Q1007" s="151" t="str">
        <f>IFERROR(VLOOKUP(C1007,Ativos!$A$1:$G2000,5,),)</f>
        <v/>
      </c>
    </row>
    <row r="1008" ht="21.0" customHeight="1">
      <c r="A1008" s="152"/>
      <c r="B1008" s="160"/>
      <c r="C1008" s="153"/>
      <c r="D1008" s="169"/>
      <c r="E1008" s="139"/>
      <c r="F1008" s="141"/>
      <c r="G1008" s="170" t="str">
        <f>IFERROR(__xludf.DUMMYFUNCTION("if($C1008="""","""",iferror(if(row()&lt;&gt;2,INDEX(arrayformula(filter($H$2:$H1007,$C$2:$C1007&lt;&gt;"""",row($C$2:$C1007)=max(if($C$2:$C1007=C1008,row($C$2:$C1007),0)))) ,1),0),0))"),"")</f>
        <v/>
      </c>
      <c r="H1008" s="170" t="str">
        <f t="shared" si="8"/>
        <v/>
      </c>
      <c r="I1008" s="147" t="str">
        <f t="shared" si="1"/>
        <v/>
      </c>
      <c r="J1008" s="147" t="str">
        <f t="shared" si="13"/>
        <v/>
      </c>
      <c r="K1008" s="147" t="str">
        <f>IFERROR(__xludf.DUMMYFUNCTION("if(C1008="""","""",iferror(if(row()&lt;&gt;2,INDEX(arrayformula(filter($L$2:$L1007,$C$2:$C1007&lt;&gt;"""",row($C$2:$C1007)=max(if($C$2:$C1007=C1008,row($C$2:$C1007),0)))) ,1),0),0))"),"")</f>
        <v/>
      </c>
      <c r="L1008" s="147" t="str">
        <f t="shared" si="14"/>
        <v/>
      </c>
      <c r="M1008" s="147" t="str">
        <f t="shared" si="15"/>
        <v/>
      </c>
      <c r="N1008" s="147" t="str">
        <f t="shared" si="16"/>
        <v/>
      </c>
      <c r="O1008" s="147" t="str">
        <f t="shared" si="6"/>
        <v/>
      </c>
      <c r="P1008" s="150" t="str">
        <f t="shared" si="7"/>
        <v/>
      </c>
      <c r="Q1008" s="151" t="str">
        <f>IFERROR(VLOOKUP(C1008,Ativos!$A$1:$G2000,5,),)</f>
        <v/>
      </c>
    </row>
    <row r="1009" ht="21.0" customHeight="1">
      <c r="A1009" s="152"/>
      <c r="B1009" s="160"/>
      <c r="C1009" s="153"/>
      <c r="D1009" s="169"/>
      <c r="E1009" s="139"/>
      <c r="F1009" s="141"/>
      <c r="G1009" s="170" t="str">
        <f>IFERROR(__xludf.DUMMYFUNCTION("if($C1009="""","""",iferror(if(row()&lt;&gt;2,INDEX(arrayformula(filter($H$2:$H1008,$C$2:$C1008&lt;&gt;"""",row($C$2:$C1008)=max(if($C$2:$C1008=C1009,row($C$2:$C1008),0)))) ,1),0),0))"),"")</f>
        <v/>
      </c>
      <c r="H1009" s="170" t="str">
        <f t="shared" si="8"/>
        <v/>
      </c>
      <c r="I1009" s="147" t="str">
        <f t="shared" si="1"/>
        <v/>
      </c>
      <c r="J1009" s="147" t="str">
        <f t="shared" si="13"/>
        <v/>
      </c>
      <c r="K1009" s="147" t="str">
        <f>IFERROR(__xludf.DUMMYFUNCTION("if(C1009="""","""",iferror(if(row()&lt;&gt;2,INDEX(arrayformula(filter($L$2:$L1008,$C$2:$C1008&lt;&gt;"""",row($C$2:$C1008)=max(if($C$2:$C1008=C1009,row($C$2:$C1008),0)))) ,1),0),0))"),"")</f>
        <v/>
      </c>
      <c r="L1009" s="147" t="str">
        <f t="shared" si="14"/>
        <v/>
      </c>
      <c r="M1009" s="147" t="str">
        <f t="shared" si="15"/>
        <v/>
      </c>
      <c r="N1009" s="147" t="str">
        <f t="shared" si="16"/>
        <v/>
      </c>
      <c r="O1009" s="147" t="str">
        <f t="shared" si="6"/>
        <v/>
      </c>
      <c r="P1009" s="150" t="str">
        <f t="shared" si="7"/>
        <v/>
      </c>
      <c r="Q1009" s="151" t="str">
        <f>IFERROR(VLOOKUP(C1009,Ativos!$A$1:$G2000,5,),)</f>
        <v/>
      </c>
    </row>
    <row r="1010" ht="21.0" customHeight="1">
      <c r="A1010" s="152"/>
      <c r="B1010" s="160"/>
      <c r="C1010" s="153"/>
      <c r="D1010" s="169"/>
      <c r="E1010" s="139"/>
      <c r="F1010" s="141"/>
      <c r="G1010" s="170" t="str">
        <f>IFERROR(__xludf.DUMMYFUNCTION("if($C1010="""","""",iferror(if(row()&lt;&gt;2,INDEX(arrayformula(filter($H$2:$H1009,$C$2:$C1009&lt;&gt;"""",row($C$2:$C1009)=max(if($C$2:$C1009=C1010,row($C$2:$C1009),0)))) ,1),0),0))"),"")</f>
        <v/>
      </c>
      <c r="H1010" s="170" t="str">
        <f t="shared" si="8"/>
        <v/>
      </c>
      <c r="I1010" s="147" t="str">
        <f t="shared" si="1"/>
        <v/>
      </c>
      <c r="J1010" s="147" t="str">
        <f t="shared" si="13"/>
        <v/>
      </c>
      <c r="K1010" s="147" t="str">
        <f>IFERROR(__xludf.DUMMYFUNCTION("if(C1010="""","""",iferror(if(row()&lt;&gt;2,INDEX(arrayformula(filter($L$2:$L1009,$C$2:$C1009&lt;&gt;"""",row($C$2:$C1009)=max(if($C$2:$C1009=C1010,row($C$2:$C1009),0)))) ,1),0),0))"),"")</f>
        <v/>
      </c>
      <c r="L1010" s="147" t="str">
        <f t="shared" si="14"/>
        <v/>
      </c>
      <c r="M1010" s="147" t="str">
        <f t="shared" si="15"/>
        <v/>
      </c>
      <c r="N1010" s="147" t="str">
        <f t="shared" si="16"/>
        <v/>
      </c>
      <c r="O1010" s="147" t="str">
        <f t="shared" si="6"/>
        <v/>
      </c>
      <c r="P1010" s="150" t="str">
        <f t="shared" si="7"/>
        <v/>
      </c>
      <c r="Q1010" s="151" t="str">
        <f>IFERROR(VLOOKUP(C1010,Ativos!$A$1:$G2000,5,),)</f>
        <v/>
      </c>
    </row>
    <row r="1011" ht="21.0" customHeight="1">
      <c r="A1011" s="152"/>
      <c r="B1011" s="160"/>
      <c r="C1011" s="153"/>
      <c r="D1011" s="169"/>
      <c r="E1011" s="139"/>
      <c r="F1011" s="141"/>
      <c r="G1011" s="170" t="str">
        <f>IFERROR(__xludf.DUMMYFUNCTION("if($C1011="""","""",iferror(if(row()&lt;&gt;2,INDEX(arrayformula(filter($H$2:$H1010,$C$2:$C1010&lt;&gt;"""",row($C$2:$C1010)=max(if($C$2:$C1010=C1011,row($C$2:$C1010),0)))) ,1),0),0))"),"")</f>
        <v/>
      </c>
      <c r="H1011" s="170" t="str">
        <f t="shared" si="8"/>
        <v/>
      </c>
      <c r="I1011" s="147" t="str">
        <f t="shared" si="1"/>
        <v/>
      </c>
      <c r="J1011" s="147" t="str">
        <f t="shared" si="13"/>
        <v/>
      </c>
      <c r="K1011" s="147" t="str">
        <f>IFERROR(__xludf.DUMMYFUNCTION("if(C1011="""","""",iferror(if(row()&lt;&gt;2,INDEX(arrayformula(filter($L$2:$L1010,$C$2:$C1010&lt;&gt;"""",row($C$2:$C1010)=max(if($C$2:$C1010=C1011,row($C$2:$C1010),0)))) ,1),0),0))"),"")</f>
        <v/>
      </c>
      <c r="L1011" s="147" t="str">
        <f t="shared" si="14"/>
        <v/>
      </c>
      <c r="M1011" s="147" t="str">
        <f t="shared" si="15"/>
        <v/>
      </c>
      <c r="N1011" s="147" t="str">
        <f t="shared" si="16"/>
        <v/>
      </c>
      <c r="O1011" s="147" t="str">
        <f t="shared" si="6"/>
        <v/>
      </c>
      <c r="P1011" s="150" t="str">
        <f t="shared" si="7"/>
        <v/>
      </c>
      <c r="Q1011" s="151" t="str">
        <f>IFERROR(VLOOKUP(C1011,Ativos!$A$1:$G2000,5,),)</f>
        <v/>
      </c>
    </row>
    <row r="1012" ht="21.0" customHeight="1">
      <c r="A1012" s="152"/>
      <c r="B1012" s="160"/>
      <c r="C1012" s="153"/>
      <c r="D1012" s="169"/>
      <c r="E1012" s="139"/>
      <c r="F1012" s="141"/>
      <c r="G1012" s="170" t="str">
        <f>IFERROR(__xludf.DUMMYFUNCTION("if($C1012="""","""",iferror(if(row()&lt;&gt;2,INDEX(arrayformula(filter($H$2:$H1011,$C$2:$C1011&lt;&gt;"""",row($C$2:$C1011)=max(if($C$2:$C1011=C1012,row($C$2:$C1011),0)))) ,1),0),0))"),"")</f>
        <v/>
      </c>
      <c r="H1012" s="170" t="str">
        <f t="shared" si="8"/>
        <v/>
      </c>
      <c r="I1012" s="147" t="str">
        <f t="shared" si="1"/>
        <v/>
      </c>
      <c r="J1012" s="147" t="str">
        <f t="shared" si="13"/>
        <v/>
      </c>
      <c r="K1012" s="147" t="str">
        <f>IFERROR(__xludf.DUMMYFUNCTION("if(C1012="""","""",iferror(if(row()&lt;&gt;2,INDEX(arrayformula(filter($L$2:$L1011,$C$2:$C1011&lt;&gt;"""",row($C$2:$C1011)=max(if($C$2:$C1011=C1012,row($C$2:$C1011),0)))) ,1),0),0))"),"")</f>
        <v/>
      </c>
      <c r="L1012" s="147" t="str">
        <f t="shared" si="14"/>
        <v/>
      </c>
      <c r="M1012" s="147" t="str">
        <f t="shared" si="15"/>
        <v/>
      </c>
      <c r="N1012" s="147" t="str">
        <f t="shared" si="16"/>
        <v/>
      </c>
      <c r="O1012" s="147" t="str">
        <f t="shared" si="6"/>
        <v/>
      </c>
      <c r="P1012" s="150" t="str">
        <f t="shared" si="7"/>
        <v/>
      </c>
      <c r="Q1012" s="151" t="str">
        <f>IFERROR(VLOOKUP(C1012,Ativos!$A$1:$G2000,5,),)</f>
        <v/>
      </c>
    </row>
    <row r="1013" ht="21.0" customHeight="1">
      <c r="A1013" s="152"/>
      <c r="B1013" s="160"/>
      <c r="C1013" s="153"/>
      <c r="D1013" s="169"/>
      <c r="E1013" s="139"/>
      <c r="F1013" s="141"/>
      <c r="G1013" s="170" t="str">
        <f>IFERROR(__xludf.DUMMYFUNCTION("if($C1013="""","""",iferror(if(row()&lt;&gt;2,INDEX(arrayformula(filter($H$2:$H1012,$C$2:$C1012&lt;&gt;"""",row($C$2:$C1012)=max(if($C$2:$C1012=C1013,row($C$2:$C1012),0)))) ,1),0),0))"),"")</f>
        <v/>
      </c>
      <c r="H1013" s="170" t="str">
        <f t="shared" si="8"/>
        <v/>
      </c>
      <c r="I1013" s="147" t="str">
        <f t="shared" si="1"/>
        <v/>
      </c>
      <c r="J1013" s="147" t="str">
        <f t="shared" si="13"/>
        <v/>
      </c>
      <c r="K1013" s="147" t="str">
        <f>IFERROR(__xludf.DUMMYFUNCTION("if(C1013="""","""",iferror(if(row()&lt;&gt;2,INDEX(arrayformula(filter($L$2:$L1012,$C$2:$C1012&lt;&gt;"""",row($C$2:$C1012)=max(if($C$2:$C1012=C1013,row($C$2:$C1012),0)))) ,1),0),0))"),"")</f>
        <v/>
      </c>
      <c r="L1013" s="147" t="str">
        <f t="shared" si="14"/>
        <v/>
      </c>
      <c r="M1013" s="147" t="str">
        <f t="shared" si="15"/>
        <v/>
      </c>
      <c r="N1013" s="147" t="str">
        <f t="shared" si="16"/>
        <v/>
      </c>
      <c r="O1013" s="147" t="str">
        <f t="shared" si="6"/>
        <v/>
      </c>
      <c r="P1013" s="150" t="str">
        <f t="shared" si="7"/>
        <v/>
      </c>
      <c r="Q1013" s="151" t="str">
        <f>IFERROR(VLOOKUP(C1013,Ativos!$A$1:$G2000,5,),)</f>
        <v/>
      </c>
    </row>
    <row r="1014" ht="21.0" customHeight="1">
      <c r="A1014" s="152"/>
      <c r="B1014" s="160"/>
      <c r="C1014" s="153"/>
      <c r="D1014" s="169"/>
      <c r="E1014" s="139"/>
      <c r="F1014" s="141"/>
      <c r="G1014" s="170" t="str">
        <f>IFERROR(__xludf.DUMMYFUNCTION("if($C1014="""","""",iferror(if(row()&lt;&gt;2,INDEX(arrayformula(filter($H$2:$H1013,$C$2:$C1013&lt;&gt;"""",row($C$2:$C1013)=max(if($C$2:$C1013=C1014,row($C$2:$C1013),0)))) ,1),0),0))"),"")</f>
        <v/>
      </c>
      <c r="H1014" s="170" t="str">
        <f t="shared" si="8"/>
        <v/>
      </c>
      <c r="I1014" s="147" t="str">
        <f t="shared" si="1"/>
        <v/>
      </c>
      <c r="J1014" s="147" t="str">
        <f t="shared" si="13"/>
        <v/>
      </c>
      <c r="K1014" s="147" t="str">
        <f>IFERROR(__xludf.DUMMYFUNCTION("if(C1014="""","""",iferror(if(row()&lt;&gt;2,INDEX(arrayformula(filter($L$2:$L1013,$C$2:$C1013&lt;&gt;"""",row($C$2:$C1013)=max(if($C$2:$C1013=C1014,row($C$2:$C1013),0)))) ,1),0),0))"),"")</f>
        <v/>
      </c>
      <c r="L1014" s="147" t="str">
        <f t="shared" si="14"/>
        <v/>
      </c>
      <c r="M1014" s="147" t="str">
        <f t="shared" si="15"/>
        <v/>
      </c>
      <c r="N1014" s="147" t="str">
        <f t="shared" si="16"/>
        <v/>
      </c>
      <c r="O1014" s="147" t="str">
        <f t="shared" si="6"/>
        <v/>
      </c>
      <c r="P1014" s="150" t="str">
        <f t="shared" si="7"/>
        <v/>
      </c>
      <c r="Q1014" s="151" t="str">
        <f>IFERROR(VLOOKUP(C1014,Ativos!$A$1:$G2000,5,),)</f>
        <v/>
      </c>
    </row>
    <row r="1015" ht="21.0" customHeight="1">
      <c r="A1015" s="152"/>
      <c r="B1015" s="160"/>
      <c r="C1015" s="153"/>
      <c r="D1015" s="169"/>
      <c r="E1015" s="139"/>
      <c r="F1015" s="141"/>
      <c r="G1015" s="170" t="str">
        <f>IFERROR(__xludf.DUMMYFUNCTION("if($C1015="""","""",iferror(if(row()&lt;&gt;2,INDEX(arrayformula(filter($H$2:$H1014,$C$2:$C1014&lt;&gt;"""",row($C$2:$C1014)=max(if($C$2:$C1014=C1015,row($C$2:$C1014),0)))) ,1),0),0))"),"")</f>
        <v/>
      </c>
      <c r="H1015" s="170" t="str">
        <f t="shared" si="8"/>
        <v/>
      </c>
      <c r="I1015" s="147" t="str">
        <f t="shared" si="1"/>
        <v/>
      </c>
      <c r="J1015" s="147" t="str">
        <f t="shared" si="13"/>
        <v/>
      </c>
      <c r="K1015" s="147" t="str">
        <f>IFERROR(__xludf.DUMMYFUNCTION("if(C1015="""","""",iferror(if(row()&lt;&gt;2,INDEX(arrayformula(filter($L$2:$L1014,$C$2:$C1014&lt;&gt;"""",row($C$2:$C1014)=max(if($C$2:$C1014=C1015,row($C$2:$C1014),0)))) ,1),0),0))"),"")</f>
        <v/>
      </c>
      <c r="L1015" s="147" t="str">
        <f t="shared" si="14"/>
        <v/>
      </c>
      <c r="M1015" s="147" t="str">
        <f t="shared" si="15"/>
        <v/>
      </c>
      <c r="N1015" s="147" t="str">
        <f t="shared" si="16"/>
        <v/>
      </c>
      <c r="O1015" s="147" t="str">
        <f t="shared" si="6"/>
        <v/>
      </c>
      <c r="P1015" s="150" t="str">
        <f t="shared" si="7"/>
        <v/>
      </c>
      <c r="Q1015" s="151" t="str">
        <f>IFERROR(VLOOKUP(C1015,Ativos!$A$1:$G2000,5,),)</f>
        <v/>
      </c>
    </row>
    <row r="1016" ht="21.0" customHeight="1">
      <c r="A1016" s="152"/>
      <c r="B1016" s="160"/>
      <c r="C1016" s="153"/>
      <c r="D1016" s="169"/>
      <c r="E1016" s="139"/>
      <c r="F1016" s="141"/>
      <c r="G1016" s="170" t="str">
        <f>IFERROR(__xludf.DUMMYFUNCTION("if($C1016="""","""",iferror(if(row()&lt;&gt;2,INDEX(arrayformula(filter($H$2:$H1015,$C$2:$C1015&lt;&gt;"""",row($C$2:$C1015)=max(if($C$2:$C1015=C1016,row($C$2:$C1015),0)))) ,1),0),0))"),"")</f>
        <v/>
      </c>
      <c r="H1016" s="170" t="str">
        <f t="shared" si="8"/>
        <v/>
      </c>
      <c r="I1016" s="147" t="str">
        <f t="shared" si="1"/>
        <v/>
      </c>
      <c r="J1016" s="147" t="str">
        <f t="shared" si="13"/>
        <v/>
      </c>
      <c r="K1016" s="147" t="str">
        <f>IFERROR(__xludf.DUMMYFUNCTION("if(C1016="""","""",iferror(if(row()&lt;&gt;2,INDEX(arrayformula(filter($L$2:$L1015,$C$2:$C1015&lt;&gt;"""",row($C$2:$C1015)=max(if($C$2:$C1015=C1016,row($C$2:$C1015),0)))) ,1),0),0))"),"")</f>
        <v/>
      </c>
      <c r="L1016" s="147" t="str">
        <f t="shared" si="14"/>
        <v/>
      </c>
      <c r="M1016" s="147" t="str">
        <f t="shared" si="15"/>
        <v/>
      </c>
      <c r="N1016" s="147" t="str">
        <f t="shared" si="16"/>
        <v/>
      </c>
      <c r="O1016" s="147" t="str">
        <f t="shared" si="6"/>
        <v/>
      </c>
      <c r="P1016" s="150" t="str">
        <f t="shared" si="7"/>
        <v/>
      </c>
      <c r="Q1016" s="151" t="str">
        <f>IFERROR(VLOOKUP(C1016,Ativos!$A$1:$G2000,5,),)</f>
        <v/>
      </c>
    </row>
    <row r="1017" ht="21.0" customHeight="1">
      <c r="A1017" s="152"/>
      <c r="B1017" s="160"/>
      <c r="C1017" s="153"/>
      <c r="D1017" s="169"/>
      <c r="E1017" s="139"/>
      <c r="F1017" s="141"/>
      <c r="G1017" s="170" t="str">
        <f>IFERROR(__xludf.DUMMYFUNCTION("if($C1017="""","""",iferror(if(row()&lt;&gt;2,INDEX(arrayformula(filter($H$2:$H1016,$C$2:$C1016&lt;&gt;"""",row($C$2:$C1016)=max(if($C$2:$C1016=C1017,row($C$2:$C1016),0)))) ,1),0),0))"),"")</f>
        <v/>
      </c>
      <c r="H1017" s="170" t="str">
        <f t="shared" si="8"/>
        <v/>
      </c>
      <c r="I1017" s="147" t="str">
        <f t="shared" si="1"/>
        <v/>
      </c>
      <c r="J1017" s="147" t="str">
        <f t="shared" si="13"/>
        <v/>
      </c>
      <c r="K1017" s="147" t="str">
        <f>IFERROR(__xludf.DUMMYFUNCTION("if(C1017="""","""",iferror(if(row()&lt;&gt;2,INDEX(arrayformula(filter($L$2:$L1016,$C$2:$C1016&lt;&gt;"""",row($C$2:$C1016)=max(if($C$2:$C1016=C1017,row($C$2:$C1016),0)))) ,1),0),0))"),"")</f>
        <v/>
      </c>
      <c r="L1017" s="147" t="str">
        <f t="shared" si="14"/>
        <v/>
      </c>
      <c r="M1017" s="147" t="str">
        <f t="shared" si="15"/>
        <v/>
      </c>
      <c r="N1017" s="147" t="str">
        <f t="shared" si="16"/>
        <v/>
      </c>
      <c r="O1017" s="147" t="str">
        <f t="shared" si="6"/>
        <v/>
      </c>
      <c r="P1017" s="150" t="str">
        <f t="shared" si="7"/>
        <v/>
      </c>
      <c r="Q1017" s="151" t="str">
        <f>IFERROR(VLOOKUP(C1017,Ativos!$A$1:$G2000,5,),)</f>
        <v/>
      </c>
    </row>
    <row r="1018" ht="21.0" customHeight="1">
      <c r="A1018" s="152"/>
      <c r="B1018" s="160"/>
      <c r="C1018" s="153"/>
      <c r="D1018" s="169"/>
      <c r="E1018" s="139"/>
      <c r="F1018" s="141"/>
      <c r="G1018" s="170" t="str">
        <f>IFERROR(__xludf.DUMMYFUNCTION("if($C1018="""","""",iferror(if(row()&lt;&gt;2,INDEX(arrayformula(filter($H$2:$H1017,$C$2:$C1017&lt;&gt;"""",row($C$2:$C1017)=max(if($C$2:$C1017=C1018,row($C$2:$C1017),0)))) ,1),0),0))"),"")</f>
        <v/>
      </c>
      <c r="H1018" s="170" t="str">
        <f t="shared" si="8"/>
        <v/>
      </c>
      <c r="I1018" s="147" t="str">
        <f t="shared" si="1"/>
        <v/>
      </c>
      <c r="J1018" s="147" t="str">
        <f t="shared" si="13"/>
        <v/>
      </c>
      <c r="K1018" s="147" t="str">
        <f>IFERROR(__xludf.DUMMYFUNCTION("if(C1018="""","""",iferror(if(row()&lt;&gt;2,INDEX(arrayformula(filter($L$2:$L1017,$C$2:$C1017&lt;&gt;"""",row($C$2:$C1017)=max(if($C$2:$C1017=C1018,row($C$2:$C1017),0)))) ,1),0),0))"),"")</f>
        <v/>
      </c>
      <c r="L1018" s="147" t="str">
        <f t="shared" si="14"/>
        <v/>
      </c>
      <c r="M1018" s="147" t="str">
        <f t="shared" si="15"/>
        <v/>
      </c>
      <c r="N1018" s="147" t="str">
        <f t="shared" si="16"/>
        <v/>
      </c>
      <c r="O1018" s="147" t="str">
        <f t="shared" si="6"/>
        <v/>
      </c>
      <c r="P1018" s="150" t="str">
        <f t="shared" si="7"/>
        <v/>
      </c>
      <c r="Q1018" s="151" t="str">
        <f>IFERROR(VLOOKUP(C1018,Ativos!$A$1:$G2000,5,),)</f>
        <v/>
      </c>
    </row>
    <row r="1019" ht="21.0" customHeight="1">
      <c r="A1019" s="152"/>
      <c r="B1019" s="160"/>
      <c r="C1019" s="153"/>
      <c r="D1019" s="169"/>
      <c r="E1019" s="139"/>
      <c r="F1019" s="141"/>
      <c r="G1019" s="170" t="str">
        <f>IFERROR(__xludf.DUMMYFUNCTION("if($C1019="""","""",iferror(if(row()&lt;&gt;2,INDEX(arrayformula(filter($H$2:$H1018,$C$2:$C1018&lt;&gt;"""",row($C$2:$C1018)=max(if($C$2:$C1018=C1019,row($C$2:$C1018),0)))) ,1),0),0))"),"")</f>
        <v/>
      </c>
      <c r="H1019" s="170" t="str">
        <f t="shared" si="8"/>
        <v/>
      </c>
      <c r="I1019" s="147" t="str">
        <f t="shared" si="1"/>
        <v/>
      </c>
      <c r="J1019" s="147" t="str">
        <f t="shared" si="13"/>
        <v/>
      </c>
      <c r="K1019" s="147" t="str">
        <f>IFERROR(__xludf.DUMMYFUNCTION("if(C1019="""","""",iferror(if(row()&lt;&gt;2,INDEX(arrayformula(filter($L$2:$L1018,$C$2:$C1018&lt;&gt;"""",row($C$2:$C1018)=max(if($C$2:$C1018=C1019,row($C$2:$C1018),0)))) ,1),0),0))"),"")</f>
        <v/>
      </c>
      <c r="L1019" s="147" t="str">
        <f t="shared" si="14"/>
        <v/>
      </c>
      <c r="M1019" s="147" t="str">
        <f t="shared" si="15"/>
        <v/>
      </c>
      <c r="N1019" s="147" t="str">
        <f t="shared" si="16"/>
        <v/>
      </c>
      <c r="O1019" s="147" t="str">
        <f t="shared" si="6"/>
        <v/>
      </c>
      <c r="P1019" s="150" t="str">
        <f t="shared" si="7"/>
        <v/>
      </c>
      <c r="Q1019" s="151" t="str">
        <f>IFERROR(VLOOKUP(C1019,Ativos!$A$1:$G2000,5,),)</f>
        <v/>
      </c>
    </row>
    <row r="1020" ht="21.0" customHeight="1">
      <c r="A1020" s="152"/>
      <c r="B1020" s="160"/>
      <c r="C1020" s="153"/>
      <c r="D1020" s="169"/>
      <c r="E1020" s="139"/>
      <c r="F1020" s="141"/>
      <c r="G1020" s="170" t="str">
        <f>IFERROR(__xludf.DUMMYFUNCTION("if($C1020="""","""",iferror(if(row()&lt;&gt;2,INDEX(arrayformula(filter($H$2:$H1019,$C$2:$C1019&lt;&gt;"""",row($C$2:$C1019)=max(if($C$2:$C1019=C1020,row($C$2:$C1019),0)))) ,1),0),0))"),"")</f>
        <v/>
      </c>
      <c r="H1020" s="170" t="str">
        <f t="shared" si="8"/>
        <v/>
      </c>
      <c r="I1020" s="147" t="str">
        <f t="shared" si="1"/>
        <v/>
      </c>
      <c r="J1020" s="147" t="str">
        <f t="shared" si="13"/>
        <v/>
      </c>
      <c r="K1020" s="147" t="str">
        <f>IFERROR(__xludf.DUMMYFUNCTION("if(C1020="""","""",iferror(if(row()&lt;&gt;2,INDEX(arrayformula(filter($L$2:$L1019,$C$2:$C1019&lt;&gt;"""",row($C$2:$C1019)=max(if($C$2:$C1019=C1020,row($C$2:$C1019),0)))) ,1),0),0))"),"")</f>
        <v/>
      </c>
      <c r="L1020" s="147" t="str">
        <f t="shared" si="14"/>
        <v/>
      </c>
      <c r="M1020" s="147" t="str">
        <f t="shared" si="15"/>
        <v/>
      </c>
      <c r="N1020" s="147" t="str">
        <f t="shared" si="16"/>
        <v/>
      </c>
      <c r="O1020" s="147" t="str">
        <f t="shared" si="6"/>
        <v/>
      </c>
      <c r="P1020" s="150" t="str">
        <f t="shared" si="7"/>
        <v/>
      </c>
      <c r="Q1020" s="151" t="str">
        <f>IFERROR(VLOOKUP(C1020,Ativos!$A$1:$G2000,5,),)</f>
        <v/>
      </c>
    </row>
    <row r="1021" ht="21.0" customHeight="1">
      <c r="A1021" s="152"/>
      <c r="B1021" s="160"/>
      <c r="C1021" s="153"/>
      <c r="D1021" s="169"/>
      <c r="E1021" s="139"/>
      <c r="F1021" s="141"/>
      <c r="G1021" s="170" t="str">
        <f>IFERROR(__xludf.DUMMYFUNCTION("if($C1021="""","""",iferror(if(row()&lt;&gt;2,INDEX(arrayformula(filter($H$2:$H1020,$C$2:$C1020&lt;&gt;"""",row($C$2:$C1020)=max(if($C$2:$C1020=C1021,row($C$2:$C1020),0)))) ,1),0),0))"),"")</f>
        <v/>
      </c>
      <c r="H1021" s="170" t="str">
        <f t="shared" si="8"/>
        <v/>
      </c>
      <c r="I1021" s="147" t="str">
        <f t="shared" si="1"/>
        <v/>
      </c>
      <c r="J1021" s="147" t="str">
        <f t="shared" si="13"/>
        <v/>
      </c>
      <c r="K1021" s="147" t="str">
        <f>IFERROR(__xludf.DUMMYFUNCTION("if(C1021="""","""",iferror(if(row()&lt;&gt;2,INDEX(arrayformula(filter($L$2:$L1020,$C$2:$C1020&lt;&gt;"""",row($C$2:$C1020)=max(if($C$2:$C1020=C1021,row($C$2:$C1020),0)))) ,1),0),0))"),"")</f>
        <v/>
      </c>
      <c r="L1021" s="147" t="str">
        <f t="shared" si="14"/>
        <v/>
      </c>
      <c r="M1021" s="147" t="str">
        <f t="shared" si="15"/>
        <v/>
      </c>
      <c r="N1021" s="147" t="str">
        <f t="shared" si="16"/>
        <v/>
      </c>
      <c r="O1021" s="147" t="str">
        <f t="shared" si="6"/>
        <v/>
      </c>
      <c r="P1021" s="150" t="str">
        <f t="shared" si="7"/>
        <v/>
      </c>
      <c r="Q1021" s="151" t="str">
        <f>IFERROR(VLOOKUP(C1021,Ativos!$A$1:$G2000,5,),)</f>
        <v/>
      </c>
    </row>
    <row r="1022" ht="21.0" customHeight="1">
      <c r="A1022" s="152"/>
      <c r="B1022" s="160"/>
      <c r="C1022" s="153"/>
      <c r="D1022" s="169"/>
      <c r="E1022" s="139"/>
      <c r="F1022" s="141"/>
      <c r="G1022" s="170" t="str">
        <f>IFERROR(__xludf.DUMMYFUNCTION("if($C1022="""","""",iferror(if(row()&lt;&gt;2,INDEX(arrayformula(filter($H$2:$H1021,$C$2:$C1021&lt;&gt;"""",row($C$2:$C1021)=max(if($C$2:$C1021=C1022,row($C$2:$C1021),0)))) ,1),0),0))"),"")</f>
        <v/>
      </c>
      <c r="H1022" s="170" t="str">
        <f t="shared" si="8"/>
        <v/>
      </c>
      <c r="I1022" s="147" t="str">
        <f t="shared" si="1"/>
        <v/>
      </c>
      <c r="J1022" s="147" t="str">
        <f t="shared" si="13"/>
        <v/>
      </c>
      <c r="K1022" s="147" t="str">
        <f>IFERROR(__xludf.DUMMYFUNCTION("if(C1022="""","""",iferror(if(row()&lt;&gt;2,INDEX(arrayformula(filter($L$2:$L1021,$C$2:$C1021&lt;&gt;"""",row($C$2:$C1021)=max(if($C$2:$C1021=C1022,row($C$2:$C1021),0)))) ,1),0),0))"),"")</f>
        <v/>
      </c>
      <c r="L1022" s="147" t="str">
        <f t="shared" si="14"/>
        <v/>
      </c>
      <c r="M1022" s="147" t="str">
        <f t="shared" si="15"/>
        <v/>
      </c>
      <c r="N1022" s="147" t="str">
        <f t="shared" si="16"/>
        <v/>
      </c>
      <c r="O1022" s="147" t="str">
        <f t="shared" si="6"/>
        <v/>
      </c>
      <c r="P1022" s="150" t="str">
        <f t="shared" si="7"/>
        <v/>
      </c>
      <c r="Q1022" s="151" t="str">
        <f>IFERROR(VLOOKUP(C1022,Ativos!$A$1:$G2000,5,),)</f>
        <v/>
      </c>
    </row>
    <row r="1023" ht="21.0" customHeight="1">
      <c r="A1023" s="152"/>
      <c r="B1023" s="160"/>
      <c r="C1023" s="153"/>
      <c r="D1023" s="169"/>
      <c r="E1023" s="139"/>
      <c r="F1023" s="141"/>
      <c r="G1023" s="170" t="str">
        <f>IFERROR(__xludf.DUMMYFUNCTION("if($C1023="""","""",iferror(if(row()&lt;&gt;2,INDEX(arrayformula(filter($H$2:$H1022,$C$2:$C1022&lt;&gt;"""",row($C$2:$C1022)=max(if($C$2:$C1022=C1023,row($C$2:$C1022),0)))) ,1),0),0))"),"")</f>
        <v/>
      </c>
      <c r="H1023" s="170" t="str">
        <f t="shared" si="8"/>
        <v/>
      </c>
      <c r="I1023" s="147" t="str">
        <f t="shared" si="1"/>
        <v/>
      </c>
      <c r="J1023" s="147" t="str">
        <f t="shared" si="13"/>
        <v/>
      </c>
      <c r="K1023" s="147" t="str">
        <f>IFERROR(__xludf.DUMMYFUNCTION("if(C1023="""","""",iferror(if(row()&lt;&gt;2,INDEX(arrayformula(filter($L$2:$L1022,$C$2:$C1022&lt;&gt;"""",row($C$2:$C1022)=max(if($C$2:$C1022=C1023,row($C$2:$C1022),0)))) ,1),0),0))"),"")</f>
        <v/>
      </c>
      <c r="L1023" s="147" t="str">
        <f t="shared" si="14"/>
        <v/>
      </c>
      <c r="M1023" s="147" t="str">
        <f t="shared" si="15"/>
        <v/>
      </c>
      <c r="N1023" s="147" t="str">
        <f t="shared" si="16"/>
        <v/>
      </c>
      <c r="O1023" s="147" t="str">
        <f t="shared" si="6"/>
        <v/>
      </c>
      <c r="P1023" s="150" t="str">
        <f t="shared" si="7"/>
        <v/>
      </c>
      <c r="Q1023" s="151" t="str">
        <f>IFERROR(VLOOKUP(C1023,Ativos!$A$1:$G2000,5,),)</f>
        <v/>
      </c>
    </row>
    <row r="1024" ht="21.0" customHeight="1">
      <c r="A1024" s="152"/>
      <c r="B1024" s="160"/>
      <c r="C1024" s="153"/>
      <c r="D1024" s="169"/>
      <c r="E1024" s="139"/>
      <c r="F1024" s="141"/>
      <c r="G1024" s="170" t="str">
        <f>IFERROR(__xludf.DUMMYFUNCTION("if($C1024="""","""",iferror(if(row()&lt;&gt;2,INDEX(arrayformula(filter($H$2:$H1023,$C$2:$C1023&lt;&gt;"""",row($C$2:$C1023)=max(if($C$2:$C1023=C1024,row($C$2:$C1023),0)))) ,1),0),0))"),"")</f>
        <v/>
      </c>
      <c r="H1024" s="170" t="str">
        <f t="shared" si="8"/>
        <v/>
      </c>
      <c r="I1024" s="147" t="str">
        <f t="shared" si="1"/>
        <v/>
      </c>
      <c r="J1024" s="147" t="str">
        <f t="shared" si="13"/>
        <v/>
      </c>
      <c r="K1024" s="147" t="str">
        <f>IFERROR(__xludf.DUMMYFUNCTION("if(C1024="""","""",iferror(if(row()&lt;&gt;2,INDEX(arrayformula(filter($L$2:$L1023,$C$2:$C1023&lt;&gt;"""",row($C$2:$C1023)=max(if($C$2:$C1023=C1024,row($C$2:$C1023),0)))) ,1),0),0))"),"")</f>
        <v/>
      </c>
      <c r="L1024" s="147" t="str">
        <f t="shared" si="14"/>
        <v/>
      </c>
      <c r="M1024" s="147" t="str">
        <f t="shared" si="15"/>
        <v/>
      </c>
      <c r="N1024" s="147" t="str">
        <f t="shared" si="16"/>
        <v/>
      </c>
      <c r="O1024" s="147" t="str">
        <f t="shared" si="6"/>
        <v/>
      </c>
      <c r="P1024" s="150" t="str">
        <f t="shared" si="7"/>
        <v/>
      </c>
      <c r="Q1024" s="151" t="str">
        <f>IFERROR(VLOOKUP(C1024,Ativos!$A$1:$G2000,5,),)</f>
        <v/>
      </c>
    </row>
    <row r="1025" ht="21.0" customHeight="1">
      <c r="A1025" s="152"/>
      <c r="B1025" s="160"/>
      <c r="C1025" s="153"/>
      <c r="D1025" s="169"/>
      <c r="E1025" s="139"/>
      <c r="F1025" s="141"/>
      <c r="G1025" s="170" t="str">
        <f>IFERROR(__xludf.DUMMYFUNCTION("if($C1025="""","""",iferror(if(row()&lt;&gt;2,INDEX(arrayformula(filter($H$2:$H1024,$C$2:$C1024&lt;&gt;"""",row($C$2:$C1024)=max(if($C$2:$C1024=C1025,row($C$2:$C1024),0)))) ,1),0),0))"),"")</f>
        <v/>
      </c>
      <c r="H1025" s="170" t="str">
        <f t="shared" si="8"/>
        <v/>
      </c>
      <c r="I1025" s="147" t="str">
        <f t="shared" si="1"/>
        <v/>
      </c>
      <c r="J1025" s="147" t="str">
        <f t="shared" si="13"/>
        <v/>
      </c>
      <c r="K1025" s="147" t="str">
        <f>IFERROR(__xludf.DUMMYFUNCTION("if(C1025="""","""",iferror(if(row()&lt;&gt;2,INDEX(arrayformula(filter($L$2:$L1024,$C$2:$C1024&lt;&gt;"""",row($C$2:$C1024)=max(if($C$2:$C1024=C1025,row($C$2:$C1024),0)))) ,1),0),0))"),"")</f>
        <v/>
      </c>
      <c r="L1025" s="147" t="str">
        <f t="shared" si="14"/>
        <v/>
      </c>
      <c r="M1025" s="147" t="str">
        <f t="shared" si="15"/>
        <v/>
      </c>
      <c r="N1025" s="147" t="str">
        <f t="shared" si="16"/>
        <v/>
      </c>
      <c r="O1025" s="147" t="str">
        <f t="shared" si="6"/>
        <v/>
      </c>
      <c r="P1025" s="150" t="str">
        <f t="shared" si="7"/>
        <v/>
      </c>
      <c r="Q1025" s="151" t="str">
        <f>IFERROR(VLOOKUP(C1025,Ativos!$A$1:$G2000,5,),)</f>
        <v/>
      </c>
    </row>
    <row r="1026" ht="21.0" customHeight="1">
      <c r="A1026" s="152"/>
      <c r="B1026" s="160"/>
      <c r="C1026" s="153"/>
      <c r="D1026" s="169"/>
      <c r="E1026" s="139"/>
      <c r="F1026" s="141"/>
      <c r="G1026" s="170" t="str">
        <f>IFERROR(__xludf.DUMMYFUNCTION("if($C1026="""","""",iferror(if(row()&lt;&gt;2,INDEX(arrayformula(filter($H$2:$H1025,$C$2:$C1025&lt;&gt;"""",row($C$2:$C1025)=max(if($C$2:$C1025=C1026,row($C$2:$C1025),0)))) ,1),0),0))"),"")</f>
        <v/>
      </c>
      <c r="H1026" s="170" t="str">
        <f t="shared" si="8"/>
        <v/>
      </c>
      <c r="I1026" s="147" t="str">
        <f t="shared" si="1"/>
        <v/>
      </c>
      <c r="J1026" s="147" t="str">
        <f t="shared" si="13"/>
        <v/>
      </c>
      <c r="K1026" s="147" t="str">
        <f>IFERROR(__xludf.DUMMYFUNCTION("if(C1026="""","""",iferror(if(row()&lt;&gt;2,INDEX(arrayformula(filter($L$2:$L1025,$C$2:$C1025&lt;&gt;"""",row($C$2:$C1025)=max(if($C$2:$C1025=C1026,row($C$2:$C1025),0)))) ,1),0),0))"),"")</f>
        <v/>
      </c>
      <c r="L1026" s="147" t="str">
        <f t="shared" si="14"/>
        <v/>
      </c>
      <c r="M1026" s="147" t="str">
        <f t="shared" si="15"/>
        <v/>
      </c>
      <c r="N1026" s="147" t="str">
        <f t="shared" si="16"/>
        <v/>
      </c>
      <c r="O1026" s="147" t="str">
        <f t="shared" si="6"/>
        <v/>
      </c>
      <c r="P1026" s="150" t="str">
        <f t="shared" si="7"/>
        <v/>
      </c>
      <c r="Q1026" s="151" t="str">
        <f>IFERROR(VLOOKUP(C1026,Ativos!$A$1:$G2000,5,),)</f>
        <v/>
      </c>
    </row>
    <row r="1027" ht="21.0" customHeight="1">
      <c r="A1027" s="152"/>
      <c r="B1027" s="160"/>
      <c r="C1027" s="153"/>
      <c r="D1027" s="169"/>
      <c r="E1027" s="139"/>
      <c r="F1027" s="141"/>
      <c r="G1027" s="170" t="str">
        <f>IFERROR(__xludf.DUMMYFUNCTION("if($C1027="""","""",iferror(if(row()&lt;&gt;2,INDEX(arrayformula(filter($H$2:$H1026,$C$2:$C1026&lt;&gt;"""",row($C$2:$C1026)=max(if($C$2:$C1026=C1027,row($C$2:$C1026),0)))) ,1),0),0))"),"")</f>
        <v/>
      </c>
      <c r="H1027" s="170" t="str">
        <f t="shared" si="8"/>
        <v/>
      </c>
      <c r="I1027" s="147" t="str">
        <f t="shared" si="1"/>
        <v/>
      </c>
      <c r="J1027" s="147" t="str">
        <f t="shared" si="13"/>
        <v/>
      </c>
      <c r="K1027" s="147" t="str">
        <f>IFERROR(__xludf.DUMMYFUNCTION("if(C1027="""","""",iferror(if(row()&lt;&gt;2,INDEX(arrayformula(filter($L$2:$L1026,$C$2:$C1026&lt;&gt;"""",row($C$2:$C1026)=max(if($C$2:$C1026=C1027,row($C$2:$C1026),0)))) ,1),0),0))"),"")</f>
        <v/>
      </c>
      <c r="L1027" s="147" t="str">
        <f t="shared" si="14"/>
        <v/>
      </c>
      <c r="M1027" s="147" t="str">
        <f t="shared" si="15"/>
        <v/>
      </c>
      <c r="N1027" s="147" t="str">
        <f t="shared" si="16"/>
        <v/>
      </c>
      <c r="O1027" s="147" t="str">
        <f t="shared" si="6"/>
        <v/>
      </c>
      <c r="P1027" s="150" t="str">
        <f t="shared" si="7"/>
        <v/>
      </c>
      <c r="Q1027" s="151" t="str">
        <f>IFERROR(VLOOKUP(C1027,Ativos!$A$1:$G2000,5,),)</f>
        <v/>
      </c>
    </row>
    <row r="1028" ht="21.0" customHeight="1">
      <c r="A1028" s="152"/>
      <c r="B1028" s="160"/>
      <c r="C1028" s="153"/>
      <c r="D1028" s="169"/>
      <c r="E1028" s="139"/>
      <c r="F1028" s="141"/>
      <c r="G1028" s="170" t="str">
        <f>IFERROR(__xludf.DUMMYFUNCTION("if($C1028="""","""",iferror(if(row()&lt;&gt;2,INDEX(arrayformula(filter($H$2:$H1027,$C$2:$C1027&lt;&gt;"""",row($C$2:$C1027)=max(if($C$2:$C1027=C1028,row($C$2:$C1027),0)))) ,1),0),0))"),"")</f>
        <v/>
      </c>
      <c r="H1028" s="170" t="str">
        <f t="shared" si="8"/>
        <v/>
      </c>
      <c r="I1028" s="147" t="str">
        <f t="shared" si="1"/>
        <v/>
      </c>
      <c r="J1028" s="147" t="str">
        <f t="shared" si="13"/>
        <v/>
      </c>
      <c r="K1028" s="147" t="str">
        <f>IFERROR(__xludf.DUMMYFUNCTION("if(C1028="""","""",iferror(if(row()&lt;&gt;2,INDEX(arrayformula(filter($L$2:$L1027,$C$2:$C1027&lt;&gt;"""",row($C$2:$C1027)=max(if($C$2:$C1027=C1028,row($C$2:$C1027),0)))) ,1),0),0))"),"")</f>
        <v/>
      </c>
      <c r="L1028" s="147" t="str">
        <f t="shared" si="14"/>
        <v/>
      </c>
      <c r="M1028" s="147" t="str">
        <f t="shared" si="15"/>
        <v/>
      </c>
      <c r="N1028" s="147" t="str">
        <f t="shared" si="16"/>
        <v/>
      </c>
      <c r="O1028" s="147" t="str">
        <f t="shared" si="6"/>
        <v/>
      </c>
      <c r="P1028" s="150" t="str">
        <f t="shared" si="7"/>
        <v/>
      </c>
      <c r="Q1028" s="151" t="str">
        <f>IFERROR(VLOOKUP(C1028,Ativos!$A$1:$G2000,5,),)</f>
        <v/>
      </c>
    </row>
    <row r="1029" ht="21.0" customHeight="1">
      <c r="A1029" s="152"/>
      <c r="B1029" s="160"/>
      <c r="C1029" s="153"/>
      <c r="D1029" s="169"/>
      <c r="E1029" s="139"/>
      <c r="F1029" s="141"/>
      <c r="G1029" s="170" t="str">
        <f>IFERROR(__xludf.DUMMYFUNCTION("if($C1029="""","""",iferror(if(row()&lt;&gt;2,INDEX(arrayformula(filter($H$2:$H1028,$C$2:$C1028&lt;&gt;"""",row($C$2:$C1028)=max(if($C$2:$C1028=C1029,row($C$2:$C1028),0)))) ,1),0),0))"),"")</f>
        <v/>
      </c>
      <c r="H1029" s="170" t="str">
        <f t="shared" si="8"/>
        <v/>
      </c>
      <c r="I1029" s="147" t="str">
        <f t="shared" si="1"/>
        <v/>
      </c>
      <c r="J1029" s="147" t="str">
        <f t="shared" si="13"/>
        <v/>
      </c>
      <c r="K1029" s="147" t="str">
        <f>IFERROR(__xludf.DUMMYFUNCTION("if(C1029="""","""",iferror(if(row()&lt;&gt;2,INDEX(arrayformula(filter($L$2:$L1028,$C$2:$C1028&lt;&gt;"""",row($C$2:$C1028)=max(if($C$2:$C1028=C1029,row($C$2:$C1028),0)))) ,1),0),0))"),"")</f>
        <v/>
      </c>
      <c r="L1029" s="147" t="str">
        <f t="shared" si="14"/>
        <v/>
      </c>
      <c r="M1029" s="147" t="str">
        <f t="shared" si="15"/>
        <v/>
      </c>
      <c r="N1029" s="147" t="str">
        <f t="shared" si="16"/>
        <v/>
      </c>
      <c r="O1029" s="147" t="str">
        <f t="shared" si="6"/>
        <v/>
      </c>
      <c r="P1029" s="150" t="str">
        <f t="shared" si="7"/>
        <v/>
      </c>
      <c r="Q1029" s="151" t="str">
        <f>IFERROR(VLOOKUP(C1029,Ativos!$A$1:$G2000,5,),)</f>
        <v/>
      </c>
    </row>
    <row r="1030" ht="21.0" customHeight="1">
      <c r="A1030" s="152"/>
      <c r="B1030" s="160"/>
      <c r="C1030" s="153"/>
      <c r="D1030" s="169"/>
      <c r="E1030" s="139"/>
      <c r="F1030" s="141"/>
      <c r="G1030" s="170" t="str">
        <f>IFERROR(__xludf.DUMMYFUNCTION("if($C1030="""","""",iferror(if(row()&lt;&gt;2,INDEX(arrayformula(filter($H$2:$H1029,$C$2:$C1029&lt;&gt;"""",row($C$2:$C1029)=max(if($C$2:$C1029=C1030,row($C$2:$C1029),0)))) ,1),0),0))"),"")</f>
        <v/>
      </c>
      <c r="H1030" s="170" t="str">
        <f t="shared" si="8"/>
        <v/>
      </c>
      <c r="I1030" s="147" t="str">
        <f t="shared" si="1"/>
        <v/>
      </c>
      <c r="J1030" s="147" t="str">
        <f t="shared" si="13"/>
        <v/>
      </c>
      <c r="K1030" s="147" t="str">
        <f>IFERROR(__xludf.DUMMYFUNCTION("if(C1030="""","""",iferror(if(row()&lt;&gt;2,INDEX(arrayformula(filter($L$2:$L1029,$C$2:$C1029&lt;&gt;"""",row($C$2:$C1029)=max(if($C$2:$C1029=C1030,row($C$2:$C1029),0)))) ,1),0),0))"),"")</f>
        <v/>
      </c>
      <c r="L1030" s="147" t="str">
        <f t="shared" si="14"/>
        <v/>
      </c>
      <c r="M1030" s="147" t="str">
        <f t="shared" si="15"/>
        <v/>
      </c>
      <c r="N1030" s="147" t="str">
        <f t="shared" si="16"/>
        <v/>
      </c>
      <c r="O1030" s="147" t="str">
        <f t="shared" si="6"/>
        <v/>
      </c>
      <c r="P1030" s="150" t="str">
        <f t="shared" si="7"/>
        <v/>
      </c>
      <c r="Q1030" s="151" t="str">
        <f>IFERROR(VLOOKUP(C1030,Ativos!$A$1:$G2000,5,),)</f>
        <v/>
      </c>
    </row>
    <row r="1031" ht="21.0" customHeight="1">
      <c r="A1031" s="152"/>
      <c r="B1031" s="160"/>
      <c r="C1031" s="153"/>
      <c r="D1031" s="169"/>
      <c r="E1031" s="139"/>
      <c r="F1031" s="141"/>
      <c r="G1031" s="170" t="str">
        <f>IFERROR(__xludf.DUMMYFUNCTION("if($C1031="""","""",iferror(if(row()&lt;&gt;2,INDEX(arrayformula(filter($H$2:$H1030,$C$2:$C1030&lt;&gt;"""",row($C$2:$C1030)=max(if($C$2:$C1030=C1031,row($C$2:$C1030),0)))) ,1),0),0))"),"")</f>
        <v/>
      </c>
      <c r="H1031" s="170" t="str">
        <f t="shared" si="8"/>
        <v/>
      </c>
      <c r="I1031" s="147" t="str">
        <f t="shared" si="1"/>
        <v/>
      </c>
      <c r="J1031" s="147" t="str">
        <f t="shared" si="13"/>
        <v/>
      </c>
      <c r="K1031" s="147" t="str">
        <f>IFERROR(__xludf.DUMMYFUNCTION("if(C1031="""","""",iferror(if(row()&lt;&gt;2,INDEX(arrayformula(filter($L$2:$L1030,$C$2:$C1030&lt;&gt;"""",row($C$2:$C1030)=max(if($C$2:$C1030=C1031,row($C$2:$C1030),0)))) ,1),0),0))"),"")</f>
        <v/>
      </c>
      <c r="L1031" s="147" t="str">
        <f t="shared" si="14"/>
        <v/>
      </c>
      <c r="M1031" s="147" t="str">
        <f t="shared" si="15"/>
        <v/>
      </c>
      <c r="N1031" s="147" t="str">
        <f t="shared" si="16"/>
        <v/>
      </c>
      <c r="O1031" s="147" t="str">
        <f t="shared" si="6"/>
        <v/>
      </c>
      <c r="P1031" s="150" t="str">
        <f t="shared" si="7"/>
        <v/>
      </c>
      <c r="Q1031" s="151" t="str">
        <f>IFERROR(VLOOKUP(C1031,Ativos!$A$1:$G2000,5,),)</f>
        <v/>
      </c>
    </row>
    <row r="1032" ht="21.0" customHeight="1">
      <c r="A1032" s="152"/>
      <c r="B1032" s="160"/>
      <c r="C1032" s="153"/>
      <c r="D1032" s="169"/>
      <c r="E1032" s="139"/>
      <c r="F1032" s="141"/>
      <c r="G1032" s="170" t="str">
        <f>IFERROR(__xludf.DUMMYFUNCTION("if($C1032="""","""",iferror(if(row()&lt;&gt;2,INDEX(arrayformula(filter($H$2:$H1031,$C$2:$C1031&lt;&gt;"""",row($C$2:$C1031)=max(if($C$2:$C1031=C1032,row($C$2:$C1031),0)))) ,1),0),0))"),"")</f>
        <v/>
      </c>
      <c r="H1032" s="170" t="str">
        <f t="shared" si="8"/>
        <v/>
      </c>
      <c r="I1032" s="147" t="str">
        <f t="shared" si="1"/>
        <v/>
      </c>
      <c r="J1032" s="147" t="str">
        <f t="shared" si="13"/>
        <v/>
      </c>
      <c r="K1032" s="147" t="str">
        <f>IFERROR(__xludf.DUMMYFUNCTION("if(C1032="""","""",iferror(if(row()&lt;&gt;2,INDEX(arrayformula(filter($L$2:$L1031,$C$2:$C1031&lt;&gt;"""",row($C$2:$C1031)=max(if($C$2:$C1031=C1032,row($C$2:$C1031),0)))) ,1),0),0))"),"")</f>
        <v/>
      </c>
      <c r="L1032" s="147" t="str">
        <f t="shared" si="14"/>
        <v/>
      </c>
      <c r="M1032" s="147" t="str">
        <f t="shared" si="15"/>
        <v/>
      </c>
      <c r="N1032" s="147" t="str">
        <f t="shared" si="16"/>
        <v/>
      </c>
      <c r="O1032" s="147" t="str">
        <f t="shared" si="6"/>
        <v/>
      </c>
      <c r="P1032" s="150" t="str">
        <f t="shared" si="7"/>
        <v/>
      </c>
      <c r="Q1032" s="151" t="str">
        <f>IFERROR(VLOOKUP(C1032,Ativos!$A$1:$G2000,5,),)</f>
        <v/>
      </c>
    </row>
    <row r="1033" ht="21.0" customHeight="1">
      <c r="A1033" s="152"/>
      <c r="B1033" s="160"/>
      <c r="C1033" s="153"/>
      <c r="D1033" s="169"/>
      <c r="E1033" s="139"/>
      <c r="F1033" s="141"/>
      <c r="G1033" s="170" t="str">
        <f>IFERROR(__xludf.DUMMYFUNCTION("if($C1033="""","""",iferror(if(row()&lt;&gt;2,INDEX(arrayformula(filter($H$2:$H1032,$C$2:$C1032&lt;&gt;"""",row($C$2:$C1032)=max(if($C$2:$C1032=C1033,row($C$2:$C1032),0)))) ,1),0),0))"),"")</f>
        <v/>
      </c>
      <c r="H1033" s="170" t="str">
        <f t="shared" si="8"/>
        <v/>
      </c>
      <c r="I1033" s="147" t="str">
        <f t="shared" si="1"/>
        <v/>
      </c>
      <c r="J1033" s="147" t="str">
        <f t="shared" si="13"/>
        <v/>
      </c>
      <c r="K1033" s="147" t="str">
        <f>IFERROR(__xludf.DUMMYFUNCTION("if(C1033="""","""",iferror(if(row()&lt;&gt;2,INDEX(arrayformula(filter($L$2:$L1032,$C$2:$C1032&lt;&gt;"""",row($C$2:$C1032)=max(if($C$2:$C1032=C1033,row($C$2:$C1032),0)))) ,1),0),0))"),"")</f>
        <v/>
      </c>
      <c r="L1033" s="147" t="str">
        <f t="shared" si="14"/>
        <v/>
      </c>
      <c r="M1033" s="147" t="str">
        <f t="shared" si="15"/>
        <v/>
      </c>
      <c r="N1033" s="147" t="str">
        <f t="shared" si="16"/>
        <v/>
      </c>
      <c r="O1033" s="147" t="str">
        <f t="shared" si="6"/>
        <v/>
      </c>
      <c r="P1033" s="150" t="str">
        <f t="shared" si="7"/>
        <v/>
      </c>
      <c r="Q1033" s="151" t="str">
        <f>IFERROR(VLOOKUP(C1033,Ativos!$A$1:$G2000,5,),)</f>
        <v/>
      </c>
    </row>
    <row r="1034" ht="21.0" customHeight="1">
      <c r="A1034" s="152"/>
      <c r="B1034" s="160"/>
      <c r="C1034" s="153"/>
      <c r="D1034" s="169"/>
      <c r="E1034" s="139"/>
      <c r="F1034" s="141"/>
      <c r="G1034" s="170" t="str">
        <f>IFERROR(__xludf.DUMMYFUNCTION("if($C1034="""","""",iferror(if(row()&lt;&gt;2,INDEX(arrayformula(filter($H$2:$H1033,$C$2:$C1033&lt;&gt;"""",row($C$2:$C1033)=max(if($C$2:$C1033=C1034,row($C$2:$C1033),0)))) ,1),0),0))"),"")</f>
        <v/>
      </c>
      <c r="H1034" s="170" t="str">
        <f t="shared" si="8"/>
        <v/>
      </c>
      <c r="I1034" s="147" t="str">
        <f t="shared" si="1"/>
        <v/>
      </c>
      <c r="J1034" s="147" t="str">
        <f t="shared" si="13"/>
        <v/>
      </c>
      <c r="K1034" s="147" t="str">
        <f>IFERROR(__xludf.DUMMYFUNCTION("if(C1034="""","""",iferror(if(row()&lt;&gt;2,INDEX(arrayformula(filter($L$2:$L1033,$C$2:$C1033&lt;&gt;"""",row($C$2:$C1033)=max(if($C$2:$C1033=C1034,row($C$2:$C1033),0)))) ,1),0),0))"),"")</f>
        <v/>
      </c>
      <c r="L1034" s="147" t="str">
        <f t="shared" si="14"/>
        <v/>
      </c>
      <c r="M1034" s="147" t="str">
        <f t="shared" si="15"/>
        <v/>
      </c>
      <c r="N1034" s="147" t="str">
        <f t="shared" si="16"/>
        <v/>
      </c>
      <c r="O1034" s="147" t="str">
        <f t="shared" si="6"/>
        <v/>
      </c>
      <c r="P1034" s="150" t="str">
        <f t="shared" si="7"/>
        <v/>
      </c>
      <c r="Q1034" s="151" t="str">
        <f>IFERROR(VLOOKUP(C1034,Ativos!$A$1:$G2000,5,),)</f>
        <v/>
      </c>
    </row>
    <row r="1035" ht="21.0" customHeight="1">
      <c r="A1035" s="152"/>
      <c r="B1035" s="160"/>
      <c r="C1035" s="153"/>
      <c r="D1035" s="169"/>
      <c r="E1035" s="139"/>
      <c r="F1035" s="141"/>
      <c r="G1035" s="170" t="str">
        <f>IFERROR(__xludf.DUMMYFUNCTION("if($C1035="""","""",iferror(if(row()&lt;&gt;2,INDEX(arrayformula(filter($H$2:$H1034,$C$2:$C1034&lt;&gt;"""",row($C$2:$C1034)=max(if($C$2:$C1034=C1035,row($C$2:$C1034),0)))) ,1),0),0))"),"")</f>
        <v/>
      </c>
      <c r="H1035" s="170" t="str">
        <f t="shared" si="8"/>
        <v/>
      </c>
      <c r="I1035" s="147" t="str">
        <f t="shared" si="1"/>
        <v/>
      </c>
      <c r="J1035" s="147" t="str">
        <f t="shared" si="13"/>
        <v/>
      </c>
      <c r="K1035" s="147" t="str">
        <f>IFERROR(__xludf.DUMMYFUNCTION("if(C1035="""","""",iferror(if(row()&lt;&gt;2,INDEX(arrayformula(filter($L$2:$L1034,$C$2:$C1034&lt;&gt;"""",row($C$2:$C1034)=max(if($C$2:$C1034=C1035,row($C$2:$C1034),0)))) ,1),0),0))"),"")</f>
        <v/>
      </c>
      <c r="L1035" s="147" t="str">
        <f t="shared" si="14"/>
        <v/>
      </c>
      <c r="M1035" s="147" t="str">
        <f t="shared" si="15"/>
        <v/>
      </c>
      <c r="N1035" s="147" t="str">
        <f t="shared" si="16"/>
        <v/>
      </c>
      <c r="O1035" s="147" t="str">
        <f t="shared" si="6"/>
        <v/>
      </c>
      <c r="P1035" s="150" t="str">
        <f t="shared" si="7"/>
        <v/>
      </c>
      <c r="Q1035" s="151" t="str">
        <f>IFERROR(VLOOKUP(C1035,Ativos!$A$1:$G2000,5,),)</f>
        <v/>
      </c>
    </row>
    <row r="1036" ht="21.0" customHeight="1">
      <c r="A1036" s="152"/>
      <c r="B1036" s="160"/>
      <c r="C1036" s="153"/>
      <c r="D1036" s="169"/>
      <c r="E1036" s="139"/>
      <c r="F1036" s="141"/>
      <c r="G1036" s="170" t="str">
        <f>IFERROR(__xludf.DUMMYFUNCTION("if($C1036="""","""",iferror(if(row()&lt;&gt;2,INDEX(arrayformula(filter($H$2:$H1035,$C$2:$C1035&lt;&gt;"""",row($C$2:$C1035)=max(if($C$2:$C1035=C1036,row($C$2:$C1035),0)))) ,1),0),0))"),"")</f>
        <v/>
      </c>
      <c r="H1036" s="170" t="str">
        <f t="shared" si="8"/>
        <v/>
      </c>
      <c r="I1036" s="147" t="str">
        <f t="shared" si="1"/>
        <v/>
      </c>
      <c r="J1036" s="147" t="str">
        <f t="shared" si="13"/>
        <v/>
      </c>
      <c r="K1036" s="147" t="str">
        <f>IFERROR(__xludf.DUMMYFUNCTION("if(C1036="""","""",iferror(if(row()&lt;&gt;2,INDEX(arrayformula(filter($L$2:$L1035,$C$2:$C1035&lt;&gt;"""",row($C$2:$C1035)=max(if($C$2:$C1035=C1036,row($C$2:$C1035),0)))) ,1),0),0))"),"")</f>
        <v/>
      </c>
      <c r="L1036" s="147" t="str">
        <f t="shared" si="14"/>
        <v/>
      </c>
      <c r="M1036" s="147" t="str">
        <f t="shared" si="15"/>
        <v/>
      </c>
      <c r="N1036" s="147" t="str">
        <f t="shared" si="16"/>
        <v/>
      </c>
      <c r="O1036" s="147" t="str">
        <f t="shared" si="6"/>
        <v/>
      </c>
      <c r="P1036" s="150" t="str">
        <f t="shared" si="7"/>
        <v/>
      </c>
      <c r="Q1036" s="151" t="str">
        <f>IFERROR(VLOOKUP(C1036,Ativos!$A$1:$G2000,5,),)</f>
        <v/>
      </c>
    </row>
    <row r="1037" ht="21.0" customHeight="1">
      <c r="A1037" s="152"/>
      <c r="B1037" s="160"/>
      <c r="C1037" s="153"/>
      <c r="D1037" s="169"/>
      <c r="E1037" s="139"/>
      <c r="F1037" s="141"/>
      <c r="G1037" s="170" t="str">
        <f>IFERROR(__xludf.DUMMYFUNCTION("if($C1037="""","""",iferror(if(row()&lt;&gt;2,INDEX(arrayformula(filter($H$2:$H1036,$C$2:$C1036&lt;&gt;"""",row($C$2:$C1036)=max(if($C$2:$C1036=C1037,row($C$2:$C1036),0)))) ,1),0),0))"),"")</f>
        <v/>
      </c>
      <c r="H1037" s="170" t="str">
        <f t="shared" si="8"/>
        <v/>
      </c>
      <c r="I1037" s="147" t="str">
        <f t="shared" si="1"/>
        <v/>
      </c>
      <c r="J1037" s="147" t="str">
        <f t="shared" si="13"/>
        <v/>
      </c>
      <c r="K1037" s="147" t="str">
        <f>IFERROR(__xludf.DUMMYFUNCTION("if(C1037="""","""",iferror(if(row()&lt;&gt;2,INDEX(arrayformula(filter($L$2:$L1036,$C$2:$C1036&lt;&gt;"""",row($C$2:$C1036)=max(if($C$2:$C1036=C1037,row($C$2:$C1036),0)))) ,1),0),0))"),"")</f>
        <v/>
      </c>
      <c r="L1037" s="147" t="str">
        <f t="shared" si="14"/>
        <v/>
      </c>
      <c r="M1037" s="147" t="str">
        <f t="shared" si="15"/>
        <v/>
      </c>
      <c r="N1037" s="147" t="str">
        <f t="shared" si="16"/>
        <v/>
      </c>
      <c r="O1037" s="147" t="str">
        <f t="shared" si="6"/>
        <v/>
      </c>
      <c r="P1037" s="150" t="str">
        <f t="shared" si="7"/>
        <v/>
      </c>
      <c r="Q1037" s="151" t="str">
        <f>IFERROR(VLOOKUP(C1037,Ativos!$A$1:$G2000,5,),)</f>
        <v/>
      </c>
    </row>
    <row r="1038" ht="21.0" customHeight="1">
      <c r="A1038" s="152"/>
      <c r="B1038" s="160"/>
      <c r="C1038" s="153"/>
      <c r="D1038" s="169"/>
      <c r="E1038" s="139"/>
      <c r="F1038" s="141"/>
      <c r="G1038" s="170" t="str">
        <f>IFERROR(__xludf.DUMMYFUNCTION("if($C1038="""","""",iferror(if(row()&lt;&gt;2,INDEX(arrayformula(filter($H$2:$H1037,$C$2:$C1037&lt;&gt;"""",row($C$2:$C1037)=max(if($C$2:$C1037=C1038,row($C$2:$C1037),0)))) ,1),0),0))"),"")</f>
        <v/>
      </c>
      <c r="H1038" s="170" t="str">
        <f t="shared" si="8"/>
        <v/>
      </c>
      <c r="I1038" s="147" t="str">
        <f t="shared" si="1"/>
        <v/>
      </c>
      <c r="J1038" s="147" t="str">
        <f t="shared" si="13"/>
        <v/>
      </c>
      <c r="K1038" s="147" t="str">
        <f>IFERROR(__xludf.DUMMYFUNCTION("if(C1038="""","""",iferror(if(row()&lt;&gt;2,INDEX(arrayformula(filter($L$2:$L1037,$C$2:$C1037&lt;&gt;"""",row($C$2:$C1037)=max(if($C$2:$C1037=C1038,row($C$2:$C1037),0)))) ,1),0),0))"),"")</f>
        <v/>
      </c>
      <c r="L1038" s="147" t="str">
        <f t="shared" si="14"/>
        <v/>
      </c>
      <c r="M1038" s="147" t="str">
        <f t="shared" si="15"/>
        <v/>
      </c>
      <c r="N1038" s="147" t="str">
        <f t="shared" si="16"/>
        <v/>
      </c>
      <c r="O1038" s="147" t="str">
        <f t="shared" si="6"/>
        <v/>
      </c>
      <c r="P1038" s="150" t="str">
        <f t="shared" si="7"/>
        <v/>
      </c>
      <c r="Q1038" s="151" t="str">
        <f>IFERROR(VLOOKUP(C1038,Ativos!$A$1:$G2000,5,),)</f>
        <v/>
      </c>
    </row>
    <row r="1039" ht="21.0" customHeight="1">
      <c r="A1039" s="152"/>
      <c r="B1039" s="160"/>
      <c r="C1039" s="153"/>
      <c r="D1039" s="169"/>
      <c r="E1039" s="139"/>
      <c r="F1039" s="141"/>
      <c r="G1039" s="170" t="str">
        <f>IFERROR(__xludf.DUMMYFUNCTION("if($C1039="""","""",iferror(if(row()&lt;&gt;2,INDEX(arrayformula(filter($H$2:$H1038,$C$2:$C1038&lt;&gt;"""",row($C$2:$C1038)=max(if($C$2:$C1038=C1039,row($C$2:$C1038),0)))) ,1),0),0))"),"")</f>
        <v/>
      </c>
      <c r="H1039" s="170" t="str">
        <f t="shared" si="8"/>
        <v/>
      </c>
      <c r="I1039" s="147" t="str">
        <f t="shared" si="1"/>
        <v/>
      </c>
      <c r="J1039" s="147" t="str">
        <f t="shared" si="13"/>
        <v/>
      </c>
      <c r="K1039" s="147" t="str">
        <f>IFERROR(__xludf.DUMMYFUNCTION("if(C1039="""","""",iferror(if(row()&lt;&gt;2,INDEX(arrayformula(filter($L$2:$L1038,$C$2:$C1038&lt;&gt;"""",row($C$2:$C1038)=max(if($C$2:$C1038=C1039,row($C$2:$C1038),0)))) ,1),0),0))"),"")</f>
        <v/>
      </c>
      <c r="L1039" s="147" t="str">
        <f t="shared" si="14"/>
        <v/>
      </c>
      <c r="M1039" s="147" t="str">
        <f t="shared" si="15"/>
        <v/>
      </c>
      <c r="N1039" s="147" t="str">
        <f t="shared" si="16"/>
        <v/>
      </c>
      <c r="O1039" s="147" t="str">
        <f t="shared" si="6"/>
        <v/>
      </c>
      <c r="P1039" s="150" t="str">
        <f t="shared" si="7"/>
        <v/>
      </c>
      <c r="Q1039" s="151" t="str">
        <f>IFERROR(VLOOKUP(C1039,Ativos!$A$1:$G2000,5,),)</f>
        <v/>
      </c>
    </row>
    <row r="1040" ht="21.0" customHeight="1">
      <c r="A1040" s="152"/>
      <c r="B1040" s="160"/>
      <c r="C1040" s="153"/>
      <c r="D1040" s="169"/>
      <c r="E1040" s="139"/>
      <c r="F1040" s="141"/>
      <c r="G1040" s="170" t="str">
        <f>IFERROR(__xludf.DUMMYFUNCTION("if($C1040="""","""",iferror(if(row()&lt;&gt;2,INDEX(arrayformula(filter($H$2:$H1039,$C$2:$C1039&lt;&gt;"""",row($C$2:$C1039)=max(if($C$2:$C1039=C1040,row($C$2:$C1039),0)))) ,1),0),0))"),"")</f>
        <v/>
      </c>
      <c r="H1040" s="170" t="str">
        <f t="shared" si="8"/>
        <v/>
      </c>
      <c r="I1040" s="147" t="str">
        <f t="shared" si="1"/>
        <v/>
      </c>
      <c r="J1040" s="147" t="str">
        <f t="shared" si="13"/>
        <v/>
      </c>
      <c r="K1040" s="147" t="str">
        <f>IFERROR(__xludf.DUMMYFUNCTION("if(C1040="""","""",iferror(if(row()&lt;&gt;2,INDEX(arrayformula(filter($L$2:$L1039,$C$2:$C1039&lt;&gt;"""",row($C$2:$C1039)=max(if($C$2:$C1039=C1040,row($C$2:$C1039),0)))) ,1),0),0))"),"")</f>
        <v/>
      </c>
      <c r="L1040" s="147" t="str">
        <f t="shared" si="14"/>
        <v/>
      </c>
      <c r="M1040" s="147" t="str">
        <f t="shared" si="15"/>
        <v/>
      </c>
      <c r="N1040" s="147" t="str">
        <f t="shared" si="16"/>
        <v/>
      </c>
      <c r="O1040" s="147" t="str">
        <f t="shared" si="6"/>
        <v/>
      </c>
      <c r="P1040" s="150" t="str">
        <f t="shared" si="7"/>
        <v/>
      </c>
      <c r="Q1040" s="151" t="str">
        <f>IFERROR(VLOOKUP(C1040,Ativos!$A$1:$G2000,5,),)</f>
        <v/>
      </c>
    </row>
    <row r="1041" ht="21.0" customHeight="1">
      <c r="A1041" s="152"/>
      <c r="B1041" s="160"/>
      <c r="C1041" s="153"/>
      <c r="D1041" s="169"/>
      <c r="E1041" s="139"/>
      <c r="F1041" s="141"/>
      <c r="G1041" s="170" t="str">
        <f>IFERROR(__xludf.DUMMYFUNCTION("if($C1041="""","""",iferror(if(row()&lt;&gt;2,INDEX(arrayformula(filter($H$2:$H1040,$C$2:$C1040&lt;&gt;"""",row($C$2:$C1040)=max(if($C$2:$C1040=C1041,row($C$2:$C1040),0)))) ,1),0),0))"),"")</f>
        <v/>
      </c>
      <c r="H1041" s="170" t="str">
        <f t="shared" si="8"/>
        <v/>
      </c>
      <c r="I1041" s="147" t="str">
        <f t="shared" si="1"/>
        <v/>
      </c>
      <c r="J1041" s="147" t="str">
        <f t="shared" si="13"/>
        <v/>
      </c>
      <c r="K1041" s="147" t="str">
        <f>IFERROR(__xludf.DUMMYFUNCTION("if(C1041="""","""",iferror(if(row()&lt;&gt;2,INDEX(arrayformula(filter($L$2:$L1040,$C$2:$C1040&lt;&gt;"""",row($C$2:$C1040)=max(if($C$2:$C1040=C1041,row($C$2:$C1040),0)))) ,1),0),0))"),"")</f>
        <v/>
      </c>
      <c r="L1041" s="147" t="str">
        <f t="shared" si="14"/>
        <v/>
      </c>
      <c r="M1041" s="147" t="str">
        <f t="shared" si="15"/>
        <v/>
      </c>
      <c r="N1041" s="147" t="str">
        <f t="shared" si="16"/>
        <v/>
      </c>
      <c r="O1041" s="147" t="str">
        <f t="shared" si="6"/>
        <v/>
      </c>
      <c r="P1041" s="150" t="str">
        <f t="shared" si="7"/>
        <v/>
      </c>
      <c r="Q1041" s="151" t="str">
        <f>IFERROR(VLOOKUP(C1041,Ativos!$A$1:$G2000,5,),)</f>
        <v/>
      </c>
    </row>
    <row r="1042" ht="21.0" customHeight="1">
      <c r="A1042" s="152"/>
      <c r="B1042" s="160"/>
      <c r="C1042" s="153"/>
      <c r="D1042" s="169"/>
      <c r="E1042" s="139"/>
      <c r="F1042" s="141"/>
      <c r="G1042" s="170" t="str">
        <f>IFERROR(__xludf.DUMMYFUNCTION("if($C1042="""","""",iferror(if(row()&lt;&gt;2,INDEX(arrayformula(filter($H$2:$H1041,$C$2:$C1041&lt;&gt;"""",row($C$2:$C1041)=max(if($C$2:$C1041=C1042,row($C$2:$C1041),0)))) ,1),0),0))"),"")</f>
        <v/>
      </c>
      <c r="H1042" s="170" t="str">
        <f t="shared" si="8"/>
        <v/>
      </c>
      <c r="I1042" s="147" t="str">
        <f t="shared" si="1"/>
        <v/>
      </c>
      <c r="J1042" s="147" t="str">
        <f t="shared" si="13"/>
        <v/>
      </c>
      <c r="K1042" s="147" t="str">
        <f>IFERROR(__xludf.DUMMYFUNCTION("if(C1042="""","""",iferror(if(row()&lt;&gt;2,INDEX(arrayformula(filter($L$2:$L1041,$C$2:$C1041&lt;&gt;"""",row($C$2:$C1041)=max(if($C$2:$C1041=C1042,row($C$2:$C1041),0)))) ,1),0),0))"),"")</f>
        <v/>
      </c>
      <c r="L1042" s="147" t="str">
        <f t="shared" si="14"/>
        <v/>
      </c>
      <c r="M1042" s="147" t="str">
        <f t="shared" si="15"/>
        <v/>
      </c>
      <c r="N1042" s="147" t="str">
        <f t="shared" si="16"/>
        <v/>
      </c>
      <c r="O1042" s="147" t="str">
        <f t="shared" si="6"/>
        <v/>
      </c>
      <c r="P1042" s="150" t="str">
        <f t="shared" si="7"/>
        <v/>
      </c>
      <c r="Q1042" s="151" t="str">
        <f>IFERROR(VLOOKUP(C1042,Ativos!$A$1:$G2000,5,),)</f>
        <v/>
      </c>
    </row>
    <row r="1043" ht="21.0" customHeight="1">
      <c r="A1043" s="152"/>
      <c r="B1043" s="160"/>
      <c r="C1043" s="153"/>
      <c r="D1043" s="169"/>
      <c r="E1043" s="139"/>
      <c r="F1043" s="141"/>
      <c r="G1043" s="170" t="str">
        <f>IFERROR(__xludf.DUMMYFUNCTION("if($C1043="""","""",iferror(if(row()&lt;&gt;2,INDEX(arrayformula(filter($H$2:$H1042,$C$2:$C1042&lt;&gt;"""",row($C$2:$C1042)=max(if($C$2:$C1042=C1043,row($C$2:$C1042),0)))) ,1),0),0))"),"")</f>
        <v/>
      </c>
      <c r="H1043" s="170" t="str">
        <f t="shared" si="8"/>
        <v/>
      </c>
      <c r="I1043" s="147" t="str">
        <f t="shared" si="1"/>
        <v/>
      </c>
      <c r="J1043" s="147" t="str">
        <f t="shared" si="13"/>
        <v/>
      </c>
      <c r="K1043" s="147" t="str">
        <f>IFERROR(__xludf.DUMMYFUNCTION("if(C1043="""","""",iferror(if(row()&lt;&gt;2,INDEX(arrayformula(filter($L$2:$L1042,$C$2:$C1042&lt;&gt;"""",row($C$2:$C1042)=max(if($C$2:$C1042=C1043,row($C$2:$C1042),0)))) ,1),0),0))"),"")</f>
        <v/>
      </c>
      <c r="L1043" s="147" t="str">
        <f t="shared" si="14"/>
        <v/>
      </c>
      <c r="M1043" s="147" t="str">
        <f t="shared" si="15"/>
        <v/>
      </c>
      <c r="N1043" s="147" t="str">
        <f t="shared" si="16"/>
        <v/>
      </c>
      <c r="O1043" s="147" t="str">
        <f t="shared" si="6"/>
        <v/>
      </c>
      <c r="P1043" s="150" t="str">
        <f t="shared" si="7"/>
        <v/>
      </c>
      <c r="Q1043" s="151" t="str">
        <f>IFERROR(VLOOKUP(C1043,Ativos!$A$1:$G2000,5,),)</f>
        <v/>
      </c>
    </row>
    <row r="1044" ht="21.0" customHeight="1">
      <c r="A1044" s="152"/>
      <c r="B1044" s="160"/>
      <c r="C1044" s="153"/>
      <c r="D1044" s="169"/>
      <c r="E1044" s="139"/>
      <c r="F1044" s="141"/>
      <c r="G1044" s="170" t="str">
        <f>IFERROR(__xludf.DUMMYFUNCTION("if($C1044="""","""",iferror(if(row()&lt;&gt;2,INDEX(arrayformula(filter($H$2:$H1043,$C$2:$C1043&lt;&gt;"""",row($C$2:$C1043)=max(if($C$2:$C1043=C1044,row($C$2:$C1043),0)))) ,1),0),0))"),"")</f>
        <v/>
      </c>
      <c r="H1044" s="170" t="str">
        <f t="shared" si="8"/>
        <v/>
      </c>
      <c r="I1044" s="147" t="str">
        <f t="shared" si="1"/>
        <v/>
      </c>
      <c r="J1044" s="147" t="str">
        <f t="shared" si="13"/>
        <v/>
      </c>
      <c r="K1044" s="147" t="str">
        <f>IFERROR(__xludf.DUMMYFUNCTION("if(C1044="""","""",iferror(if(row()&lt;&gt;2,INDEX(arrayformula(filter($L$2:$L1043,$C$2:$C1043&lt;&gt;"""",row($C$2:$C1043)=max(if($C$2:$C1043=C1044,row($C$2:$C1043),0)))) ,1),0),0))"),"")</f>
        <v/>
      </c>
      <c r="L1044" s="147" t="str">
        <f t="shared" si="14"/>
        <v/>
      </c>
      <c r="M1044" s="147" t="str">
        <f t="shared" si="15"/>
        <v/>
      </c>
      <c r="N1044" s="147" t="str">
        <f t="shared" si="16"/>
        <v/>
      </c>
      <c r="O1044" s="147" t="str">
        <f t="shared" si="6"/>
        <v/>
      </c>
      <c r="P1044" s="150" t="str">
        <f t="shared" si="7"/>
        <v/>
      </c>
      <c r="Q1044" s="151" t="str">
        <f>IFERROR(VLOOKUP(C1044,Ativos!$A$1:$G2000,5,),)</f>
        <v/>
      </c>
    </row>
    <row r="1045" ht="21.0" customHeight="1">
      <c r="A1045" s="152"/>
      <c r="B1045" s="160"/>
      <c r="C1045" s="153"/>
      <c r="D1045" s="169"/>
      <c r="E1045" s="139"/>
      <c r="F1045" s="141"/>
      <c r="G1045" s="170" t="str">
        <f>IFERROR(__xludf.DUMMYFUNCTION("if($C1045="""","""",iferror(if(row()&lt;&gt;2,INDEX(arrayformula(filter($H$2:$H1044,$C$2:$C1044&lt;&gt;"""",row($C$2:$C1044)=max(if($C$2:$C1044=C1045,row($C$2:$C1044),0)))) ,1),0),0))"),"")</f>
        <v/>
      </c>
      <c r="H1045" s="170" t="str">
        <f t="shared" si="8"/>
        <v/>
      </c>
      <c r="I1045" s="147" t="str">
        <f t="shared" si="1"/>
        <v/>
      </c>
      <c r="J1045" s="147" t="str">
        <f t="shared" si="13"/>
        <v/>
      </c>
      <c r="K1045" s="147" t="str">
        <f>IFERROR(__xludf.DUMMYFUNCTION("if(C1045="""","""",iferror(if(row()&lt;&gt;2,INDEX(arrayformula(filter($L$2:$L1044,$C$2:$C1044&lt;&gt;"""",row($C$2:$C1044)=max(if($C$2:$C1044=C1045,row($C$2:$C1044),0)))) ,1),0),0))"),"")</f>
        <v/>
      </c>
      <c r="L1045" s="147" t="str">
        <f t="shared" si="14"/>
        <v/>
      </c>
      <c r="M1045" s="147" t="str">
        <f t="shared" si="15"/>
        <v/>
      </c>
      <c r="N1045" s="147" t="str">
        <f t="shared" si="16"/>
        <v/>
      </c>
      <c r="O1045" s="147" t="str">
        <f t="shared" si="6"/>
        <v/>
      </c>
      <c r="P1045" s="150" t="str">
        <f t="shared" si="7"/>
        <v/>
      </c>
      <c r="Q1045" s="151" t="str">
        <f>IFERROR(VLOOKUP(C1045,Ativos!$A$1:$G2000,5,),)</f>
        <v/>
      </c>
    </row>
    <row r="1046" ht="21.0" customHeight="1">
      <c r="A1046" s="152"/>
      <c r="B1046" s="160"/>
      <c r="C1046" s="153"/>
      <c r="D1046" s="169"/>
      <c r="E1046" s="139"/>
      <c r="F1046" s="141"/>
      <c r="G1046" s="170" t="str">
        <f>IFERROR(__xludf.DUMMYFUNCTION("if($C1046="""","""",iferror(if(row()&lt;&gt;2,INDEX(arrayformula(filter($H$2:$H1045,$C$2:$C1045&lt;&gt;"""",row($C$2:$C1045)=max(if($C$2:$C1045=C1046,row($C$2:$C1045),0)))) ,1),0),0))"),"")</f>
        <v/>
      </c>
      <c r="H1046" s="170" t="str">
        <f t="shared" si="8"/>
        <v/>
      </c>
      <c r="I1046" s="147" t="str">
        <f t="shared" si="1"/>
        <v/>
      </c>
      <c r="J1046" s="147" t="str">
        <f t="shared" si="13"/>
        <v/>
      </c>
      <c r="K1046" s="147" t="str">
        <f>IFERROR(__xludf.DUMMYFUNCTION("if(C1046="""","""",iferror(if(row()&lt;&gt;2,INDEX(arrayformula(filter($L$2:$L1045,$C$2:$C1045&lt;&gt;"""",row($C$2:$C1045)=max(if($C$2:$C1045=C1046,row($C$2:$C1045),0)))) ,1),0),0))"),"")</f>
        <v/>
      </c>
      <c r="L1046" s="147" t="str">
        <f t="shared" si="14"/>
        <v/>
      </c>
      <c r="M1046" s="147" t="str">
        <f t="shared" si="15"/>
        <v/>
      </c>
      <c r="N1046" s="147" t="str">
        <f t="shared" si="16"/>
        <v/>
      </c>
      <c r="O1046" s="147" t="str">
        <f t="shared" si="6"/>
        <v/>
      </c>
      <c r="P1046" s="150" t="str">
        <f t="shared" si="7"/>
        <v/>
      </c>
      <c r="Q1046" s="151" t="str">
        <f>IFERROR(VLOOKUP(C1046,Ativos!$A$1:$G2000,5,),)</f>
        <v/>
      </c>
    </row>
    <row r="1047" ht="21.0" customHeight="1">
      <c r="A1047" s="152"/>
      <c r="B1047" s="160"/>
      <c r="C1047" s="153"/>
      <c r="D1047" s="169"/>
      <c r="E1047" s="139"/>
      <c r="F1047" s="141"/>
      <c r="G1047" s="170" t="str">
        <f>IFERROR(__xludf.DUMMYFUNCTION("if($C1047="""","""",iferror(if(row()&lt;&gt;2,INDEX(arrayformula(filter($H$2:$H1046,$C$2:$C1046&lt;&gt;"""",row($C$2:$C1046)=max(if($C$2:$C1046=C1047,row($C$2:$C1046),0)))) ,1),0),0))"),"")</f>
        <v/>
      </c>
      <c r="H1047" s="170" t="str">
        <f t="shared" si="8"/>
        <v/>
      </c>
      <c r="I1047" s="147" t="str">
        <f t="shared" si="1"/>
        <v/>
      </c>
      <c r="J1047" s="147" t="str">
        <f t="shared" si="13"/>
        <v/>
      </c>
      <c r="K1047" s="147" t="str">
        <f>IFERROR(__xludf.DUMMYFUNCTION("if(C1047="""","""",iferror(if(row()&lt;&gt;2,INDEX(arrayformula(filter($L$2:$L1046,$C$2:$C1046&lt;&gt;"""",row($C$2:$C1046)=max(if($C$2:$C1046=C1047,row($C$2:$C1046),0)))) ,1),0),0))"),"")</f>
        <v/>
      </c>
      <c r="L1047" s="147" t="str">
        <f t="shared" si="14"/>
        <v/>
      </c>
      <c r="M1047" s="147" t="str">
        <f t="shared" si="15"/>
        <v/>
      </c>
      <c r="N1047" s="147" t="str">
        <f t="shared" si="16"/>
        <v/>
      </c>
      <c r="O1047" s="147" t="str">
        <f t="shared" si="6"/>
        <v/>
      </c>
      <c r="P1047" s="150" t="str">
        <f t="shared" si="7"/>
        <v/>
      </c>
      <c r="Q1047" s="151" t="str">
        <f>IFERROR(VLOOKUP(C1047,Ativos!$A$1:$G2000,5,),)</f>
        <v/>
      </c>
    </row>
    <row r="1048" ht="21.0" customHeight="1">
      <c r="A1048" s="152"/>
      <c r="B1048" s="160"/>
      <c r="C1048" s="153"/>
      <c r="D1048" s="169"/>
      <c r="E1048" s="139"/>
      <c r="F1048" s="141"/>
      <c r="G1048" s="170" t="str">
        <f>IFERROR(__xludf.DUMMYFUNCTION("if($C1048="""","""",iferror(if(row()&lt;&gt;2,INDEX(arrayformula(filter($H$2:$H1047,$C$2:$C1047&lt;&gt;"""",row($C$2:$C1047)=max(if($C$2:$C1047=C1048,row($C$2:$C1047),0)))) ,1),0),0))"),"")</f>
        <v/>
      </c>
      <c r="H1048" s="170" t="str">
        <f t="shared" si="8"/>
        <v/>
      </c>
      <c r="I1048" s="147" t="str">
        <f t="shared" si="1"/>
        <v/>
      </c>
      <c r="J1048" s="147" t="str">
        <f t="shared" si="13"/>
        <v/>
      </c>
      <c r="K1048" s="147" t="str">
        <f>IFERROR(__xludf.DUMMYFUNCTION("if(C1048="""","""",iferror(if(row()&lt;&gt;2,INDEX(arrayformula(filter($L$2:$L1047,$C$2:$C1047&lt;&gt;"""",row($C$2:$C1047)=max(if($C$2:$C1047=C1048,row($C$2:$C1047),0)))) ,1),0),0))"),"")</f>
        <v/>
      </c>
      <c r="L1048" s="147" t="str">
        <f t="shared" si="14"/>
        <v/>
      </c>
      <c r="M1048" s="147" t="str">
        <f t="shared" si="15"/>
        <v/>
      </c>
      <c r="N1048" s="147" t="str">
        <f t="shared" si="16"/>
        <v/>
      </c>
      <c r="O1048" s="147" t="str">
        <f t="shared" si="6"/>
        <v/>
      </c>
      <c r="P1048" s="150" t="str">
        <f t="shared" si="7"/>
        <v/>
      </c>
      <c r="Q1048" s="151" t="str">
        <f>IFERROR(VLOOKUP(C1048,Ativos!$A$1:$G2000,5,),)</f>
        <v/>
      </c>
    </row>
    <row r="1049" ht="21.0" customHeight="1">
      <c r="A1049" s="152"/>
      <c r="B1049" s="160"/>
      <c r="C1049" s="153"/>
      <c r="D1049" s="169"/>
      <c r="E1049" s="139"/>
      <c r="F1049" s="141"/>
      <c r="G1049" s="170" t="str">
        <f>IFERROR(__xludf.DUMMYFUNCTION("if($C1049="""","""",iferror(if(row()&lt;&gt;2,INDEX(arrayformula(filter($H$2:$H1048,$C$2:$C1048&lt;&gt;"""",row($C$2:$C1048)=max(if($C$2:$C1048=C1049,row($C$2:$C1048),0)))) ,1),0),0))"),"")</f>
        <v/>
      </c>
      <c r="H1049" s="170" t="str">
        <f t="shared" si="8"/>
        <v/>
      </c>
      <c r="I1049" s="147" t="str">
        <f t="shared" si="1"/>
        <v/>
      </c>
      <c r="J1049" s="147" t="str">
        <f t="shared" si="13"/>
        <v/>
      </c>
      <c r="K1049" s="147" t="str">
        <f>IFERROR(__xludf.DUMMYFUNCTION("if(C1049="""","""",iferror(if(row()&lt;&gt;2,INDEX(arrayformula(filter($L$2:$L1048,$C$2:$C1048&lt;&gt;"""",row($C$2:$C1048)=max(if($C$2:$C1048=C1049,row($C$2:$C1048),0)))) ,1),0),0))"),"")</f>
        <v/>
      </c>
      <c r="L1049" s="147" t="str">
        <f t="shared" si="14"/>
        <v/>
      </c>
      <c r="M1049" s="147" t="str">
        <f t="shared" si="15"/>
        <v/>
      </c>
      <c r="N1049" s="147" t="str">
        <f t="shared" si="16"/>
        <v/>
      </c>
      <c r="O1049" s="147" t="str">
        <f t="shared" si="6"/>
        <v/>
      </c>
      <c r="P1049" s="150" t="str">
        <f t="shared" si="7"/>
        <v/>
      </c>
      <c r="Q1049" s="151" t="str">
        <f>IFERROR(VLOOKUP(C1049,Ativos!$A$1:$G2000,5,),)</f>
        <v/>
      </c>
    </row>
    <row r="1050" ht="21.0" customHeight="1">
      <c r="A1050" s="152"/>
      <c r="B1050" s="160"/>
      <c r="C1050" s="153"/>
      <c r="D1050" s="169"/>
      <c r="E1050" s="139"/>
      <c r="F1050" s="141"/>
      <c r="G1050" s="170" t="str">
        <f>IFERROR(__xludf.DUMMYFUNCTION("if($C1050="""","""",iferror(if(row()&lt;&gt;2,INDEX(arrayformula(filter($H$2:$H1049,$C$2:$C1049&lt;&gt;"""",row($C$2:$C1049)=max(if($C$2:$C1049=C1050,row($C$2:$C1049),0)))) ,1),0),0))"),"")</f>
        <v/>
      </c>
      <c r="H1050" s="170" t="str">
        <f t="shared" si="8"/>
        <v/>
      </c>
      <c r="I1050" s="147" t="str">
        <f t="shared" si="1"/>
        <v/>
      </c>
      <c r="J1050" s="147" t="str">
        <f t="shared" si="13"/>
        <v/>
      </c>
      <c r="K1050" s="147" t="str">
        <f>IFERROR(__xludf.DUMMYFUNCTION("if(C1050="""","""",iferror(if(row()&lt;&gt;2,INDEX(arrayformula(filter($L$2:$L1049,$C$2:$C1049&lt;&gt;"""",row($C$2:$C1049)=max(if($C$2:$C1049=C1050,row($C$2:$C1049),0)))) ,1),0),0))"),"")</f>
        <v/>
      </c>
      <c r="L1050" s="147" t="str">
        <f t="shared" si="14"/>
        <v/>
      </c>
      <c r="M1050" s="147" t="str">
        <f t="shared" si="15"/>
        <v/>
      </c>
      <c r="N1050" s="147" t="str">
        <f t="shared" si="16"/>
        <v/>
      </c>
      <c r="O1050" s="147" t="str">
        <f t="shared" si="6"/>
        <v/>
      </c>
      <c r="P1050" s="150" t="str">
        <f t="shared" si="7"/>
        <v/>
      </c>
      <c r="Q1050" s="151" t="str">
        <f>IFERROR(VLOOKUP(C1050,Ativos!$A$1:$G2000,5,),)</f>
        <v/>
      </c>
    </row>
    <row r="1051" ht="21.0" customHeight="1">
      <c r="A1051" s="152"/>
      <c r="B1051" s="160"/>
      <c r="C1051" s="153"/>
      <c r="D1051" s="169"/>
      <c r="E1051" s="139"/>
      <c r="F1051" s="141"/>
      <c r="G1051" s="170" t="str">
        <f>IFERROR(__xludf.DUMMYFUNCTION("if($C1051="""","""",iferror(if(row()&lt;&gt;2,INDEX(arrayformula(filter($H$2:$H1050,$C$2:$C1050&lt;&gt;"""",row($C$2:$C1050)=max(if($C$2:$C1050=C1051,row($C$2:$C1050),0)))) ,1),0),0))"),"")</f>
        <v/>
      </c>
      <c r="H1051" s="170" t="str">
        <f t="shared" si="8"/>
        <v/>
      </c>
      <c r="I1051" s="147" t="str">
        <f t="shared" si="1"/>
        <v/>
      </c>
      <c r="J1051" s="147" t="str">
        <f t="shared" si="13"/>
        <v/>
      </c>
      <c r="K1051" s="147" t="str">
        <f>IFERROR(__xludf.DUMMYFUNCTION("if(C1051="""","""",iferror(if(row()&lt;&gt;2,INDEX(arrayformula(filter($L$2:$L1050,$C$2:$C1050&lt;&gt;"""",row($C$2:$C1050)=max(if($C$2:$C1050=C1051,row($C$2:$C1050),0)))) ,1),0),0))"),"")</f>
        <v/>
      </c>
      <c r="L1051" s="147" t="str">
        <f t="shared" si="14"/>
        <v/>
      </c>
      <c r="M1051" s="147" t="str">
        <f t="shared" si="15"/>
        <v/>
      </c>
      <c r="N1051" s="147" t="str">
        <f t="shared" si="16"/>
        <v/>
      </c>
      <c r="O1051" s="147" t="str">
        <f t="shared" si="6"/>
        <v/>
      </c>
      <c r="P1051" s="150" t="str">
        <f t="shared" si="7"/>
        <v/>
      </c>
      <c r="Q1051" s="151" t="str">
        <f>IFERROR(VLOOKUP(C1051,Ativos!$A$1:$G2000,5,),)</f>
        <v/>
      </c>
    </row>
    <row r="1052" ht="21.0" customHeight="1">
      <c r="A1052" s="152"/>
      <c r="B1052" s="160"/>
      <c r="C1052" s="153"/>
      <c r="D1052" s="169"/>
      <c r="E1052" s="139"/>
      <c r="F1052" s="141"/>
      <c r="G1052" s="170" t="str">
        <f>IFERROR(__xludf.DUMMYFUNCTION("if($C1052="""","""",iferror(if(row()&lt;&gt;2,INDEX(arrayformula(filter($H$2:$H1051,$C$2:$C1051&lt;&gt;"""",row($C$2:$C1051)=max(if($C$2:$C1051=C1052,row($C$2:$C1051),0)))) ,1),0),0))"),"")</f>
        <v/>
      </c>
      <c r="H1052" s="170" t="str">
        <f t="shared" si="8"/>
        <v/>
      </c>
      <c r="I1052" s="147" t="str">
        <f t="shared" si="1"/>
        <v/>
      </c>
      <c r="J1052" s="147" t="str">
        <f t="shared" si="13"/>
        <v/>
      </c>
      <c r="K1052" s="147" t="str">
        <f>IFERROR(__xludf.DUMMYFUNCTION("if(C1052="""","""",iferror(if(row()&lt;&gt;2,INDEX(arrayformula(filter($L$2:$L1051,$C$2:$C1051&lt;&gt;"""",row($C$2:$C1051)=max(if($C$2:$C1051=C1052,row($C$2:$C1051),0)))) ,1),0),0))"),"")</f>
        <v/>
      </c>
      <c r="L1052" s="147" t="str">
        <f t="shared" si="14"/>
        <v/>
      </c>
      <c r="M1052" s="147" t="str">
        <f t="shared" si="15"/>
        <v/>
      </c>
      <c r="N1052" s="147" t="str">
        <f t="shared" si="16"/>
        <v/>
      </c>
      <c r="O1052" s="147" t="str">
        <f t="shared" si="6"/>
        <v/>
      </c>
      <c r="P1052" s="150" t="str">
        <f t="shared" si="7"/>
        <v/>
      </c>
      <c r="Q1052" s="151" t="str">
        <f>IFERROR(VLOOKUP(C1052,Ativos!$A$1:$G2000,5,),)</f>
        <v/>
      </c>
    </row>
    <row r="1053" ht="21.0" customHeight="1">
      <c r="A1053" s="152"/>
      <c r="B1053" s="160"/>
      <c r="C1053" s="153"/>
      <c r="D1053" s="169"/>
      <c r="E1053" s="139"/>
      <c r="F1053" s="141"/>
      <c r="G1053" s="170" t="str">
        <f>IFERROR(__xludf.DUMMYFUNCTION("if($C1053="""","""",iferror(if(row()&lt;&gt;2,INDEX(arrayformula(filter($H$2:$H1052,$C$2:$C1052&lt;&gt;"""",row($C$2:$C1052)=max(if($C$2:$C1052=C1053,row($C$2:$C1052),0)))) ,1),0),0))"),"")</f>
        <v/>
      </c>
      <c r="H1053" s="170" t="str">
        <f t="shared" si="8"/>
        <v/>
      </c>
      <c r="I1053" s="147" t="str">
        <f t="shared" si="1"/>
        <v/>
      </c>
      <c r="J1053" s="147" t="str">
        <f t="shared" si="13"/>
        <v/>
      </c>
      <c r="K1053" s="147" t="str">
        <f>IFERROR(__xludf.DUMMYFUNCTION("if(C1053="""","""",iferror(if(row()&lt;&gt;2,INDEX(arrayformula(filter($L$2:$L1052,$C$2:$C1052&lt;&gt;"""",row($C$2:$C1052)=max(if($C$2:$C1052=C1053,row($C$2:$C1052),0)))) ,1),0),0))"),"")</f>
        <v/>
      </c>
      <c r="L1053" s="147" t="str">
        <f t="shared" si="14"/>
        <v/>
      </c>
      <c r="M1053" s="147" t="str">
        <f t="shared" si="15"/>
        <v/>
      </c>
      <c r="N1053" s="147" t="str">
        <f t="shared" si="16"/>
        <v/>
      </c>
      <c r="O1053" s="147" t="str">
        <f t="shared" si="6"/>
        <v/>
      </c>
      <c r="P1053" s="150" t="str">
        <f t="shared" si="7"/>
        <v/>
      </c>
      <c r="Q1053" s="151" t="str">
        <f>IFERROR(VLOOKUP(C1053,Ativos!$A$1:$G2000,5,),)</f>
        <v/>
      </c>
    </row>
    <row r="1054" ht="21.0" customHeight="1">
      <c r="A1054" s="152"/>
      <c r="B1054" s="160"/>
      <c r="C1054" s="153"/>
      <c r="D1054" s="169"/>
      <c r="E1054" s="139"/>
      <c r="F1054" s="141"/>
      <c r="G1054" s="170" t="str">
        <f>IFERROR(__xludf.DUMMYFUNCTION("if($C1054="""","""",iferror(if(row()&lt;&gt;2,INDEX(arrayformula(filter($H$2:$H1053,$C$2:$C1053&lt;&gt;"""",row($C$2:$C1053)=max(if($C$2:$C1053=C1054,row($C$2:$C1053),0)))) ,1),0),0))"),"")</f>
        <v/>
      </c>
      <c r="H1054" s="170" t="str">
        <f t="shared" si="8"/>
        <v/>
      </c>
      <c r="I1054" s="147" t="str">
        <f t="shared" si="1"/>
        <v/>
      </c>
      <c r="J1054" s="147" t="str">
        <f t="shared" si="13"/>
        <v/>
      </c>
      <c r="K1054" s="147" t="str">
        <f>IFERROR(__xludf.DUMMYFUNCTION("if(C1054="""","""",iferror(if(row()&lt;&gt;2,INDEX(arrayformula(filter($L$2:$L1053,$C$2:$C1053&lt;&gt;"""",row($C$2:$C1053)=max(if($C$2:$C1053=C1054,row($C$2:$C1053),0)))) ,1),0),0))"),"")</f>
        <v/>
      </c>
      <c r="L1054" s="147" t="str">
        <f t="shared" si="14"/>
        <v/>
      </c>
      <c r="M1054" s="147" t="str">
        <f t="shared" si="15"/>
        <v/>
      </c>
      <c r="N1054" s="147" t="str">
        <f t="shared" si="16"/>
        <v/>
      </c>
      <c r="O1054" s="147" t="str">
        <f t="shared" si="6"/>
        <v/>
      </c>
      <c r="P1054" s="150" t="str">
        <f t="shared" si="7"/>
        <v/>
      </c>
      <c r="Q1054" s="151" t="str">
        <f>IFERROR(VLOOKUP(C1054,Ativos!$A$1:$G2000,5,),)</f>
        <v/>
      </c>
    </row>
    <row r="1055" ht="21.0" customHeight="1">
      <c r="A1055" s="152"/>
      <c r="B1055" s="160"/>
      <c r="C1055" s="153"/>
      <c r="D1055" s="169"/>
      <c r="E1055" s="139"/>
      <c r="F1055" s="141"/>
      <c r="G1055" s="170" t="str">
        <f>IFERROR(__xludf.DUMMYFUNCTION("if($C1055="""","""",iferror(if(row()&lt;&gt;2,INDEX(arrayformula(filter($H$2:$H1054,$C$2:$C1054&lt;&gt;"""",row($C$2:$C1054)=max(if($C$2:$C1054=C1055,row($C$2:$C1054),0)))) ,1),0),0))"),"")</f>
        <v/>
      </c>
      <c r="H1055" s="170" t="str">
        <f t="shared" si="8"/>
        <v/>
      </c>
      <c r="I1055" s="147" t="str">
        <f t="shared" si="1"/>
        <v/>
      </c>
      <c r="J1055" s="147" t="str">
        <f t="shared" si="13"/>
        <v/>
      </c>
      <c r="K1055" s="147" t="str">
        <f>IFERROR(__xludf.DUMMYFUNCTION("if(C1055="""","""",iferror(if(row()&lt;&gt;2,INDEX(arrayformula(filter($L$2:$L1054,$C$2:$C1054&lt;&gt;"""",row($C$2:$C1054)=max(if($C$2:$C1054=C1055,row($C$2:$C1054),0)))) ,1),0),0))"),"")</f>
        <v/>
      </c>
      <c r="L1055" s="147" t="str">
        <f t="shared" si="14"/>
        <v/>
      </c>
      <c r="M1055" s="147" t="str">
        <f t="shared" si="15"/>
        <v/>
      </c>
      <c r="N1055" s="147" t="str">
        <f t="shared" si="16"/>
        <v/>
      </c>
      <c r="O1055" s="147" t="str">
        <f t="shared" si="6"/>
        <v/>
      </c>
      <c r="P1055" s="150" t="str">
        <f t="shared" si="7"/>
        <v/>
      </c>
      <c r="Q1055" s="151" t="str">
        <f>IFERROR(VLOOKUP(C1055,Ativos!$A$1:$G2000,5,),)</f>
        <v/>
      </c>
    </row>
    <row r="1056" ht="21.0" customHeight="1">
      <c r="A1056" s="152"/>
      <c r="B1056" s="160"/>
      <c r="C1056" s="153"/>
      <c r="D1056" s="169"/>
      <c r="E1056" s="139"/>
      <c r="F1056" s="141"/>
      <c r="G1056" s="170" t="str">
        <f>IFERROR(__xludf.DUMMYFUNCTION("if($C1056="""","""",iferror(if(row()&lt;&gt;2,INDEX(arrayformula(filter($H$2:$H1055,$C$2:$C1055&lt;&gt;"""",row($C$2:$C1055)=max(if($C$2:$C1055=C1056,row($C$2:$C1055),0)))) ,1),0),0))"),"")</f>
        <v/>
      </c>
      <c r="H1056" s="170" t="str">
        <f t="shared" si="8"/>
        <v/>
      </c>
      <c r="I1056" s="147" t="str">
        <f t="shared" si="1"/>
        <v/>
      </c>
      <c r="J1056" s="147" t="str">
        <f t="shared" si="13"/>
        <v/>
      </c>
      <c r="K1056" s="147" t="str">
        <f>IFERROR(__xludf.DUMMYFUNCTION("if(C1056="""","""",iferror(if(row()&lt;&gt;2,INDEX(arrayformula(filter($L$2:$L1055,$C$2:$C1055&lt;&gt;"""",row($C$2:$C1055)=max(if($C$2:$C1055=C1056,row($C$2:$C1055),0)))) ,1),0),0))"),"")</f>
        <v/>
      </c>
      <c r="L1056" s="147" t="str">
        <f t="shared" si="14"/>
        <v/>
      </c>
      <c r="M1056" s="147" t="str">
        <f t="shared" si="15"/>
        <v/>
      </c>
      <c r="N1056" s="147" t="str">
        <f t="shared" si="16"/>
        <v/>
      </c>
      <c r="O1056" s="147" t="str">
        <f t="shared" si="6"/>
        <v/>
      </c>
      <c r="P1056" s="150" t="str">
        <f t="shared" si="7"/>
        <v/>
      </c>
      <c r="Q1056" s="151" t="str">
        <f>IFERROR(VLOOKUP(C1056,Ativos!$A$1:$G2000,5,),)</f>
        <v/>
      </c>
    </row>
    <row r="1057" ht="21.0" customHeight="1">
      <c r="A1057" s="152"/>
      <c r="B1057" s="160"/>
      <c r="C1057" s="153"/>
      <c r="D1057" s="169"/>
      <c r="E1057" s="139"/>
      <c r="F1057" s="141"/>
      <c r="G1057" s="170" t="str">
        <f>IFERROR(__xludf.DUMMYFUNCTION("if($C1057="""","""",iferror(if(row()&lt;&gt;2,INDEX(arrayformula(filter($H$2:$H1056,$C$2:$C1056&lt;&gt;"""",row($C$2:$C1056)=max(if($C$2:$C1056=C1057,row($C$2:$C1056),0)))) ,1),0),0))"),"")</f>
        <v/>
      </c>
      <c r="H1057" s="170" t="str">
        <f t="shared" si="8"/>
        <v/>
      </c>
      <c r="I1057" s="147" t="str">
        <f t="shared" si="1"/>
        <v/>
      </c>
      <c r="J1057" s="147" t="str">
        <f t="shared" si="13"/>
        <v/>
      </c>
      <c r="K1057" s="147" t="str">
        <f>IFERROR(__xludf.DUMMYFUNCTION("if(C1057="""","""",iferror(if(row()&lt;&gt;2,INDEX(arrayformula(filter($L$2:$L1056,$C$2:$C1056&lt;&gt;"""",row($C$2:$C1056)=max(if($C$2:$C1056=C1057,row($C$2:$C1056),0)))) ,1),0),0))"),"")</f>
        <v/>
      </c>
      <c r="L1057" s="147" t="str">
        <f t="shared" si="14"/>
        <v/>
      </c>
      <c r="M1057" s="147" t="str">
        <f t="shared" si="15"/>
        <v/>
      </c>
      <c r="N1057" s="147" t="str">
        <f t="shared" si="16"/>
        <v/>
      </c>
      <c r="O1057" s="147" t="str">
        <f t="shared" si="6"/>
        <v/>
      </c>
      <c r="P1057" s="150" t="str">
        <f t="shared" si="7"/>
        <v/>
      </c>
      <c r="Q1057" s="151" t="str">
        <f>IFERROR(VLOOKUP(C1057,Ativos!$A$1:$G2000,5,),)</f>
        <v/>
      </c>
    </row>
    <row r="1058" ht="21.0" customHeight="1">
      <c r="A1058" s="152"/>
      <c r="B1058" s="160"/>
      <c r="C1058" s="153"/>
      <c r="D1058" s="169"/>
      <c r="E1058" s="139"/>
      <c r="F1058" s="141"/>
      <c r="G1058" s="170" t="str">
        <f>IFERROR(__xludf.DUMMYFUNCTION("if($C1058="""","""",iferror(if(row()&lt;&gt;2,INDEX(arrayformula(filter($H$2:$H1057,$C$2:$C1057&lt;&gt;"""",row($C$2:$C1057)=max(if($C$2:$C1057=C1058,row($C$2:$C1057),0)))) ,1),0),0))"),"")</f>
        <v/>
      </c>
      <c r="H1058" s="170" t="str">
        <f t="shared" si="8"/>
        <v/>
      </c>
      <c r="I1058" s="147" t="str">
        <f t="shared" si="1"/>
        <v/>
      </c>
      <c r="J1058" s="147" t="str">
        <f t="shared" si="13"/>
        <v/>
      </c>
      <c r="K1058" s="147" t="str">
        <f>IFERROR(__xludf.DUMMYFUNCTION("if(C1058="""","""",iferror(if(row()&lt;&gt;2,INDEX(arrayformula(filter($L$2:$L1057,$C$2:$C1057&lt;&gt;"""",row($C$2:$C1057)=max(if($C$2:$C1057=C1058,row($C$2:$C1057),0)))) ,1),0),0))"),"")</f>
        <v/>
      </c>
      <c r="L1058" s="147" t="str">
        <f t="shared" si="14"/>
        <v/>
      </c>
      <c r="M1058" s="147" t="str">
        <f t="shared" si="15"/>
        <v/>
      </c>
      <c r="N1058" s="147" t="str">
        <f t="shared" si="16"/>
        <v/>
      </c>
      <c r="O1058" s="147" t="str">
        <f t="shared" si="6"/>
        <v/>
      </c>
      <c r="P1058" s="150" t="str">
        <f t="shared" si="7"/>
        <v/>
      </c>
      <c r="Q1058" s="151" t="str">
        <f>IFERROR(VLOOKUP(C1058,Ativos!$A$1:$G2000,5,),)</f>
        <v/>
      </c>
    </row>
    <row r="1059" ht="21.0" customHeight="1">
      <c r="A1059" s="152"/>
      <c r="B1059" s="160"/>
      <c r="C1059" s="153"/>
      <c r="D1059" s="169"/>
      <c r="E1059" s="139"/>
      <c r="F1059" s="141"/>
      <c r="G1059" s="170" t="str">
        <f>IFERROR(__xludf.DUMMYFUNCTION("if($C1059="""","""",iferror(if(row()&lt;&gt;2,INDEX(arrayformula(filter($H$2:$H1058,$C$2:$C1058&lt;&gt;"""",row($C$2:$C1058)=max(if($C$2:$C1058=C1059,row($C$2:$C1058),0)))) ,1),0),0))"),"")</f>
        <v/>
      </c>
      <c r="H1059" s="170" t="str">
        <f t="shared" si="8"/>
        <v/>
      </c>
      <c r="I1059" s="147" t="str">
        <f t="shared" si="1"/>
        <v/>
      </c>
      <c r="J1059" s="147" t="str">
        <f t="shared" si="13"/>
        <v/>
      </c>
      <c r="K1059" s="147" t="str">
        <f>IFERROR(__xludf.DUMMYFUNCTION("if(C1059="""","""",iferror(if(row()&lt;&gt;2,INDEX(arrayformula(filter($L$2:$L1058,$C$2:$C1058&lt;&gt;"""",row($C$2:$C1058)=max(if($C$2:$C1058=C1059,row($C$2:$C1058),0)))) ,1),0),0))"),"")</f>
        <v/>
      </c>
      <c r="L1059" s="147" t="str">
        <f t="shared" si="14"/>
        <v/>
      </c>
      <c r="M1059" s="147" t="str">
        <f t="shared" si="15"/>
        <v/>
      </c>
      <c r="N1059" s="147" t="str">
        <f t="shared" si="16"/>
        <v/>
      </c>
      <c r="O1059" s="147" t="str">
        <f t="shared" si="6"/>
        <v/>
      </c>
      <c r="P1059" s="150" t="str">
        <f t="shared" si="7"/>
        <v/>
      </c>
      <c r="Q1059" s="151" t="str">
        <f>IFERROR(VLOOKUP(C1059,Ativos!$A$1:$G2000,5,),)</f>
        <v/>
      </c>
    </row>
    <row r="1060" ht="21.0" customHeight="1">
      <c r="A1060" s="152"/>
      <c r="B1060" s="160"/>
      <c r="C1060" s="153"/>
      <c r="D1060" s="169"/>
      <c r="E1060" s="139"/>
      <c r="F1060" s="141"/>
      <c r="G1060" s="170" t="str">
        <f>IFERROR(__xludf.DUMMYFUNCTION("if($C1060="""","""",iferror(if(row()&lt;&gt;2,INDEX(arrayformula(filter($H$2:$H1059,$C$2:$C1059&lt;&gt;"""",row($C$2:$C1059)=max(if($C$2:$C1059=C1060,row($C$2:$C1059),0)))) ,1),0),0))"),"")</f>
        <v/>
      </c>
      <c r="H1060" s="170" t="str">
        <f t="shared" si="8"/>
        <v/>
      </c>
      <c r="I1060" s="147" t="str">
        <f t="shared" si="1"/>
        <v/>
      </c>
      <c r="J1060" s="147" t="str">
        <f t="shared" si="13"/>
        <v/>
      </c>
      <c r="K1060" s="147" t="str">
        <f>IFERROR(__xludf.DUMMYFUNCTION("if(C1060="""","""",iferror(if(row()&lt;&gt;2,INDEX(arrayformula(filter($L$2:$L1059,$C$2:$C1059&lt;&gt;"""",row($C$2:$C1059)=max(if($C$2:$C1059=C1060,row($C$2:$C1059),0)))) ,1),0),0))"),"")</f>
        <v/>
      </c>
      <c r="L1060" s="147" t="str">
        <f t="shared" si="14"/>
        <v/>
      </c>
      <c r="M1060" s="147" t="str">
        <f t="shared" si="15"/>
        <v/>
      </c>
      <c r="N1060" s="147" t="str">
        <f t="shared" si="16"/>
        <v/>
      </c>
      <c r="O1060" s="147" t="str">
        <f t="shared" si="6"/>
        <v/>
      </c>
      <c r="P1060" s="150" t="str">
        <f t="shared" si="7"/>
        <v/>
      </c>
      <c r="Q1060" s="151" t="str">
        <f>IFERROR(VLOOKUP(C1060,Ativos!$A$1:$G2000,5,),)</f>
        <v/>
      </c>
    </row>
    <row r="1061" ht="21.0" customHeight="1">
      <c r="A1061" s="152"/>
      <c r="B1061" s="160"/>
      <c r="C1061" s="153"/>
      <c r="D1061" s="169"/>
      <c r="E1061" s="139"/>
      <c r="F1061" s="141"/>
      <c r="G1061" s="170" t="str">
        <f>IFERROR(__xludf.DUMMYFUNCTION("if($C1061="""","""",iferror(if(row()&lt;&gt;2,INDEX(arrayformula(filter($H$2:$H1060,$C$2:$C1060&lt;&gt;"""",row($C$2:$C1060)=max(if($C$2:$C1060=C1061,row($C$2:$C1060),0)))) ,1),0),0))"),"")</f>
        <v/>
      </c>
      <c r="H1061" s="170" t="str">
        <f t="shared" si="8"/>
        <v/>
      </c>
      <c r="I1061" s="147" t="str">
        <f t="shared" si="1"/>
        <v/>
      </c>
      <c r="J1061" s="147" t="str">
        <f t="shared" si="13"/>
        <v/>
      </c>
      <c r="K1061" s="147" t="str">
        <f>IFERROR(__xludf.DUMMYFUNCTION("if(C1061="""","""",iferror(if(row()&lt;&gt;2,INDEX(arrayformula(filter($L$2:$L1060,$C$2:$C1060&lt;&gt;"""",row($C$2:$C1060)=max(if($C$2:$C1060=C1061,row($C$2:$C1060),0)))) ,1),0),0))"),"")</f>
        <v/>
      </c>
      <c r="L1061" s="147" t="str">
        <f t="shared" si="14"/>
        <v/>
      </c>
      <c r="M1061" s="147" t="str">
        <f t="shared" si="15"/>
        <v/>
      </c>
      <c r="N1061" s="147" t="str">
        <f t="shared" si="16"/>
        <v/>
      </c>
      <c r="O1061" s="147" t="str">
        <f t="shared" si="6"/>
        <v/>
      </c>
      <c r="P1061" s="150" t="str">
        <f t="shared" si="7"/>
        <v/>
      </c>
      <c r="Q1061" s="151" t="str">
        <f>IFERROR(VLOOKUP(C1061,Ativos!$A$1:$G2000,5,),)</f>
        <v/>
      </c>
    </row>
    <row r="1062" ht="21.0" customHeight="1">
      <c r="A1062" s="152"/>
      <c r="B1062" s="160"/>
      <c r="C1062" s="153"/>
      <c r="D1062" s="169"/>
      <c r="E1062" s="139"/>
      <c r="F1062" s="141"/>
      <c r="G1062" s="170" t="str">
        <f>IFERROR(__xludf.DUMMYFUNCTION("if($C1062="""","""",iferror(if(row()&lt;&gt;2,INDEX(arrayformula(filter($H$2:$H1061,$C$2:$C1061&lt;&gt;"""",row($C$2:$C1061)=max(if($C$2:$C1061=C1062,row($C$2:$C1061),0)))) ,1),0),0))"),"")</f>
        <v/>
      </c>
      <c r="H1062" s="170" t="str">
        <f t="shared" si="8"/>
        <v/>
      </c>
      <c r="I1062" s="147" t="str">
        <f t="shared" si="1"/>
        <v/>
      </c>
      <c r="J1062" s="147" t="str">
        <f t="shared" si="13"/>
        <v/>
      </c>
      <c r="K1062" s="147" t="str">
        <f>IFERROR(__xludf.DUMMYFUNCTION("if(C1062="""","""",iferror(if(row()&lt;&gt;2,INDEX(arrayformula(filter($L$2:$L1061,$C$2:$C1061&lt;&gt;"""",row($C$2:$C1061)=max(if($C$2:$C1061=C1062,row($C$2:$C1061),0)))) ,1),0),0))"),"")</f>
        <v/>
      </c>
      <c r="L1062" s="147" t="str">
        <f t="shared" si="14"/>
        <v/>
      </c>
      <c r="M1062" s="147" t="str">
        <f t="shared" si="15"/>
        <v/>
      </c>
      <c r="N1062" s="147" t="str">
        <f t="shared" si="16"/>
        <v/>
      </c>
      <c r="O1062" s="147" t="str">
        <f t="shared" si="6"/>
        <v/>
      </c>
      <c r="P1062" s="150" t="str">
        <f t="shared" si="7"/>
        <v/>
      </c>
      <c r="Q1062" s="151" t="str">
        <f>IFERROR(VLOOKUP(C1062,Ativos!$A$1:$G2000,5,),)</f>
        <v/>
      </c>
    </row>
    <row r="1063" ht="21.0" customHeight="1">
      <c r="A1063" s="152"/>
      <c r="B1063" s="160"/>
      <c r="C1063" s="153"/>
      <c r="D1063" s="169"/>
      <c r="E1063" s="139"/>
      <c r="F1063" s="141"/>
      <c r="G1063" s="170" t="str">
        <f>IFERROR(__xludf.DUMMYFUNCTION("if($C1063="""","""",iferror(if(row()&lt;&gt;2,INDEX(arrayformula(filter($H$2:$H1062,$C$2:$C1062&lt;&gt;"""",row($C$2:$C1062)=max(if($C$2:$C1062=C1063,row($C$2:$C1062),0)))) ,1),0),0))"),"")</f>
        <v/>
      </c>
      <c r="H1063" s="170" t="str">
        <f t="shared" si="8"/>
        <v/>
      </c>
      <c r="I1063" s="147" t="str">
        <f t="shared" si="1"/>
        <v/>
      </c>
      <c r="J1063" s="147" t="str">
        <f t="shared" si="13"/>
        <v/>
      </c>
      <c r="K1063" s="147" t="str">
        <f>IFERROR(__xludf.DUMMYFUNCTION("if(C1063="""","""",iferror(if(row()&lt;&gt;2,INDEX(arrayformula(filter($L$2:$L1062,$C$2:$C1062&lt;&gt;"""",row($C$2:$C1062)=max(if($C$2:$C1062=C1063,row($C$2:$C1062),0)))) ,1),0),0))"),"")</f>
        <v/>
      </c>
      <c r="L1063" s="147" t="str">
        <f t="shared" si="14"/>
        <v/>
      </c>
      <c r="M1063" s="147" t="str">
        <f t="shared" si="15"/>
        <v/>
      </c>
      <c r="N1063" s="147" t="str">
        <f t="shared" si="16"/>
        <v/>
      </c>
      <c r="O1063" s="147" t="str">
        <f t="shared" si="6"/>
        <v/>
      </c>
      <c r="P1063" s="150" t="str">
        <f t="shared" si="7"/>
        <v/>
      </c>
      <c r="Q1063" s="151" t="str">
        <f>IFERROR(VLOOKUP(C1063,Ativos!$A$1:$G2000,5,),)</f>
        <v/>
      </c>
    </row>
    <row r="1064" ht="21.0" customHeight="1">
      <c r="A1064" s="152"/>
      <c r="B1064" s="160"/>
      <c r="C1064" s="153"/>
      <c r="D1064" s="169"/>
      <c r="E1064" s="139"/>
      <c r="F1064" s="141"/>
      <c r="G1064" s="170" t="str">
        <f>IFERROR(__xludf.DUMMYFUNCTION("if($C1064="""","""",iferror(if(row()&lt;&gt;2,INDEX(arrayformula(filter($H$2:$H1063,$C$2:$C1063&lt;&gt;"""",row($C$2:$C1063)=max(if($C$2:$C1063=C1064,row($C$2:$C1063),0)))) ,1),0),0))"),"")</f>
        <v/>
      </c>
      <c r="H1064" s="170" t="str">
        <f t="shared" si="8"/>
        <v/>
      </c>
      <c r="I1064" s="147" t="str">
        <f t="shared" si="1"/>
        <v/>
      </c>
      <c r="J1064" s="147" t="str">
        <f t="shared" si="13"/>
        <v/>
      </c>
      <c r="K1064" s="147" t="str">
        <f>IFERROR(__xludf.DUMMYFUNCTION("if(C1064="""","""",iferror(if(row()&lt;&gt;2,INDEX(arrayformula(filter($L$2:$L1063,$C$2:$C1063&lt;&gt;"""",row($C$2:$C1063)=max(if($C$2:$C1063=C1064,row($C$2:$C1063),0)))) ,1),0),0))"),"")</f>
        <v/>
      </c>
      <c r="L1064" s="147" t="str">
        <f t="shared" si="14"/>
        <v/>
      </c>
      <c r="M1064" s="147" t="str">
        <f t="shared" si="15"/>
        <v/>
      </c>
      <c r="N1064" s="147" t="str">
        <f t="shared" si="16"/>
        <v/>
      </c>
      <c r="O1064" s="147" t="str">
        <f t="shared" si="6"/>
        <v/>
      </c>
      <c r="P1064" s="150" t="str">
        <f t="shared" si="7"/>
        <v/>
      </c>
      <c r="Q1064" s="151" t="str">
        <f>IFERROR(VLOOKUP(C1064,Ativos!$A$1:$G2000,5,),)</f>
        <v/>
      </c>
    </row>
    <row r="1065" ht="21.0" customHeight="1">
      <c r="A1065" s="152"/>
      <c r="B1065" s="160"/>
      <c r="C1065" s="153"/>
      <c r="D1065" s="169"/>
      <c r="E1065" s="139"/>
      <c r="F1065" s="141"/>
      <c r="G1065" s="170" t="str">
        <f>IFERROR(__xludf.DUMMYFUNCTION("if($C1065="""","""",iferror(if(row()&lt;&gt;2,INDEX(arrayformula(filter($H$2:$H1064,$C$2:$C1064&lt;&gt;"""",row($C$2:$C1064)=max(if($C$2:$C1064=C1065,row($C$2:$C1064),0)))) ,1),0),0))"),"")</f>
        <v/>
      </c>
      <c r="H1065" s="170" t="str">
        <f t="shared" si="8"/>
        <v/>
      </c>
      <c r="I1065" s="147" t="str">
        <f t="shared" si="1"/>
        <v/>
      </c>
      <c r="J1065" s="147" t="str">
        <f t="shared" si="13"/>
        <v/>
      </c>
      <c r="K1065" s="147" t="str">
        <f>IFERROR(__xludf.DUMMYFUNCTION("if(C1065="""","""",iferror(if(row()&lt;&gt;2,INDEX(arrayformula(filter($L$2:$L1064,$C$2:$C1064&lt;&gt;"""",row($C$2:$C1064)=max(if($C$2:$C1064=C1065,row($C$2:$C1064),0)))) ,1),0),0))"),"")</f>
        <v/>
      </c>
      <c r="L1065" s="147" t="str">
        <f t="shared" si="14"/>
        <v/>
      </c>
      <c r="M1065" s="147" t="str">
        <f t="shared" si="15"/>
        <v/>
      </c>
      <c r="N1065" s="147" t="str">
        <f t="shared" si="16"/>
        <v/>
      </c>
      <c r="O1065" s="147" t="str">
        <f t="shared" si="6"/>
        <v/>
      </c>
      <c r="P1065" s="150" t="str">
        <f t="shared" si="7"/>
        <v/>
      </c>
      <c r="Q1065" s="151" t="str">
        <f>IFERROR(VLOOKUP(C1065,Ativos!$A$1:$G2000,5,),)</f>
        <v/>
      </c>
    </row>
    <row r="1066" ht="21.0" customHeight="1">
      <c r="A1066" s="152"/>
      <c r="B1066" s="160"/>
      <c r="C1066" s="153"/>
      <c r="D1066" s="169"/>
      <c r="E1066" s="139"/>
      <c r="F1066" s="141"/>
      <c r="G1066" s="170" t="str">
        <f>IFERROR(__xludf.DUMMYFUNCTION("if($C1066="""","""",iferror(if(row()&lt;&gt;2,INDEX(arrayformula(filter($H$2:$H1065,$C$2:$C1065&lt;&gt;"""",row($C$2:$C1065)=max(if($C$2:$C1065=C1066,row($C$2:$C1065),0)))) ,1),0),0))"),"")</f>
        <v/>
      </c>
      <c r="H1066" s="170" t="str">
        <f t="shared" si="8"/>
        <v/>
      </c>
      <c r="I1066" s="147" t="str">
        <f t="shared" si="1"/>
        <v/>
      </c>
      <c r="J1066" s="147" t="str">
        <f t="shared" si="13"/>
        <v/>
      </c>
      <c r="K1066" s="147" t="str">
        <f>IFERROR(__xludf.DUMMYFUNCTION("if(C1066="""","""",iferror(if(row()&lt;&gt;2,INDEX(arrayformula(filter($L$2:$L1065,$C$2:$C1065&lt;&gt;"""",row($C$2:$C1065)=max(if($C$2:$C1065=C1066,row($C$2:$C1065),0)))) ,1),0),0))"),"")</f>
        <v/>
      </c>
      <c r="L1066" s="147" t="str">
        <f t="shared" si="14"/>
        <v/>
      </c>
      <c r="M1066" s="147" t="str">
        <f t="shared" si="15"/>
        <v/>
      </c>
      <c r="N1066" s="147" t="str">
        <f t="shared" si="16"/>
        <v/>
      </c>
      <c r="O1066" s="147" t="str">
        <f t="shared" si="6"/>
        <v/>
      </c>
      <c r="P1066" s="150" t="str">
        <f t="shared" si="7"/>
        <v/>
      </c>
      <c r="Q1066" s="151" t="str">
        <f>IFERROR(VLOOKUP(C1066,Ativos!$A$1:$G2000,5,),)</f>
        <v/>
      </c>
    </row>
    <row r="1067" ht="21.0" customHeight="1">
      <c r="A1067" s="152"/>
      <c r="B1067" s="160"/>
      <c r="C1067" s="153"/>
      <c r="D1067" s="169"/>
      <c r="E1067" s="139"/>
      <c r="F1067" s="141"/>
      <c r="G1067" s="170" t="str">
        <f>IFERROR(__xludf.DUMMYFUNCTION("if($C1067="""","""",iferror(if(row()&lt;&gt;2,INDEX(arrayformula(filter($H$2:$H1066,$C$2:$C1066&lt;&gt;"""",row($C$2:$C1066)=max(if($C$2:$C1066=C1067,row($C$2:$C1066),0)))) ,1),0),0))"),"")</f>
        <v/>
      </c>
      <c r="H1067" s="170" t="str">
        <f t="shared" si="8"/>
        <v/>
      </c>
      <c r="I1067" s="147" t="str">
        <f t="shared" si="1"/>
        <v/>
      </c>
      <c r="J1067" s="147" t="str">
        <f t="shared" si="13"/>
        <v/>
      </c>
      <c r="K1067" s="147" t="str">
        <f>IFERROR(__xludf.DUMMYFUNCTION("if(C1067="""","""",iferror(if(row()&lt;&gt;2,INDEX(arrayformula(filter($L$2:$L1066,$C$2:$C1066&lt;&gt;"""",row($C$2:$C1066)=max(if($C$2:$C1066=C1067,row($C$2:$C1066),0)))) ,1),0),0))"),"")</f>
        <v/>
      </c>
      <c r="L1067" s="147" t="str">
        <f t="shared" si="14"/>
        <v/>
      </c>
      <c r="M1067" s="147" t="str">
        <f t="shared" si="15"/>
        <v/>
      </c>
      <c r="N1067" s="147" t="str">
        <f t="shared" si="16"/>
        <v/>
      </c>
      <c r="O1067" s="147" t="str">
        <f t="shared" si="6"/>
        <v/>
      </c>
      <c r="P1067" s="150" t="str">
        <f t="shared" si="7"/>
        <v/>
      </c>
      <c r="Q1067" s="151" t="str">
        <f>IFERROR(VLOOKUP(C1067,Ativos!$A$1:$G2000,5,),)</f>
        <v/>
      </c>
    </row>
    <row r="1068" ht="21.0" customHeight="1">
      <c r="A1068" s="152"/>
      <c r="B1068" s="160"/>
      <c r="C1068" s="153"/>
      <c r="D1068" s="169"/>
      <c r="E1068" s="139"/>
      <c r="F1068" s="141"/>
      <c r="G1068" s="170" t="str">
        <f>IFERROR(__xludf.DUMMYFUNCTION("if($C1068="""","""",iferror(if(row()&lt;&gt;2,INDEX(arrayformula(filter($H$2:$H1067,$C$2:$C1067&lt;&gt;"""",row($C$2:$C1067)=max(if($C$2:$C1067=C1068,row($C$2:$C1067),0)))) ,1),0),0))"),"")</f>
        <v/>
      </c>
      <c r="H1068" s="170" t="str">
        <f t="shared" si="8"/>
        <v/>
      </c>
      <c r="I1068" s="147" t="str">
        <f t="shared" si="1"/>
        <v/>
      </c>
      <c r="J1068" s="147" t="str">
        <f t="shared" si="13"/>
        <v/>
      </c>
      <c r="K1068" s="147" t="str">
        <f>IFERROR(__xludf.DUMMYFUNCTION("if(C1068="""","""",iferror(if(row()&lt;&gt;2,INDEX(arrayformula(filter($L$2:$L1067,$C$2:$C1067&lt;&gt;"""",row($C$2:$C1067)=max(if($C$2:$C1067=C1068,row($C$2:$C1067),0)))) ,1),0),0))"),"")</f>
        <v/>
      </c>
      <c r="L1068" s="147" t="str">
        <f t="shared" si="14"/>
        <v/>
      </c>
      <c r="M1068" s="147" t="str">
        <f t="shared" si="15"/>
        <v/>
      </c>
      <c r="N1068" s="147" t="str">
        <f t="shared" si="16"/>
        <v/>
      </c>
      <c r="O1068" s="147" t="str">
        <f t="shared" si="6"/>
        <v/>
      </c>
      <c r="P1068" s="150" t="str">
        <f t="shared" si="7"/>
        <v/>
      </c>
      <c r="Q1068" s="151" t="str">
        <f>IFERROR(VLOOKUP(C1068,Ativos!$A$1:$G2000,5,),)</f>
        <v/>
      </c>
    </row>
    <row r="1069" ht="21.0" customHeight="1">
      <c r="A1069" s="152"/>
      <c r="B1069" s="160"/>
      <c r="C1069" s="153"/>
      <c r="D1069" s="169"/>
      <c r="E1069" s="139"/>
      <c r="F1069" s="141"/>
      <c r="G1069" s="170" t="str">
        <f>IFERROR(__xludf.DUMMYFUNCTION("if($C1069="""","""",iferror(if(row()&lt;&gt;2,INDEX(arrayformula(filter($H$2:$H1068,$C$2:$C1068&lt;&gt;"""",row($C$2:$C1068)=max(if($C$2:$C1068=C1069,row($C$2:$C1068),0)))) ,1),0),0))"),"")</f>
        <v/>
      </c>
      <c r="H1069" s="170" t="str">
        <f t="shared" si="8"/>
        <v/>
      </c>
      <c r="I1069" s="147" t="str">
        <f t="shared" si="1"/>
        <v/>
      </c>
      <c r="J1069" s="147" t="str">
        <f t="shared" si="13"/>
        <v/>
      </c>
      <c r="K1069" s="147" t="str">
        <f>IFERROR(__xludf.DUMMYFUNCTION("if(C1069="""","""",iferror(if(row()&lt;&gt;2,INDEX(arrayformula(filter($L$2:$L1068,$C$2:$C1068&lt;&gt;"""",row($C$2:$C1068)=max(if($C$2:$C1068=C1069,row($C$2:$C1068),0)))) ,1),0),0))"),"")</f>
        <v/>
      </c>
      <c r="L1069" s="147" t="str">
        <f t="shared" si="14"/>
        <v/>
      </c>
      <c r="M1069" s="147" t="str">
        <f t="shared" si="15"/>
        <v/>
      </c>
      <c r="N1069" s="147" t="str">
        <f t="shared" si="16"/>
        <v/>
      </c>
      <c r="O1069" s="147" t="str">
        <f t="shared" si="6"/>
        <v/>
      </c>
      <c r="P1069" s="150" t="str">
        <f t="shared" si="7"/>
        <v/>
      </c>
      <c r="Q1069" s="151" t="str">
        <f>IFERROR(VLOOKUP(C1069,Ativos!$A$1:$G2000,5,),)</f>
        <v/>
      </c>
    </row>
    <row r="1070" ht="21.0" customHeight="1">
      <c r="A1070" s="152"/>
      <c r="B1070" s="160"/>
      <c r="C1070" s="153"/>
      <c r="D1070" s="169"/>
      <c r="E1070" s="139"/>
      <c r="F1070" s="141"/>
      <c r="G1070" s="170" t="str">
        <f>IFERROR(__xludf.DUMMYFUNCTION("if($C1070="""","""",iferror(if(row()&lt;&gt;2,INDEX(arrayformula(filter($H$2:$H1069,$C$2:$C1069&lt;&gt;"""",row($C$2:$C1069)=max(if($C$2:$C1069=C1070,row($C$2:$C1069),0)))) ,1),0),0))"),"")</f>
        <v/>
      </c>
      <c r="H1070" s="170" t="str">
        <f t="shared" si="8"/>
        <v/>
      </c>
      <c r="I1070" s="147" t="str">
        <f t="shared" si="1"/>
        <v/>
      </c>
      <c r="J1070" s="147" t="str">
        <f t="shared" si="13"/>
        <v/>
      </c>
      <c r="K1070" s="147" t="str">
        <f>IFERROR(__xludf.DUMMYFUNCTION("if(C1070="""","""",iferror(if(row()&lt;&gt;2,INDEX(arrayformula(filter($L$2:$L1069,$C$2:$C1069&lt;&gt;"""",row($C$2:$C1069)=max(if($C$2:$C1069=C1070,row($C$2:$C1069),0)))) ,1),0),0))"),"")</f>
        <v/>
      </c>
      <c r="L1070" s="147" t="str">
        <f t="shared" si="14"/>
        <v/>
      </c>
      <c r="M1070" s="147" t="str">
        <f t="shared" si="15"/>
        <v/>
      </c>
      <c r="N1070" s="147" t="str">
        <f t="shared" si="16"/>
        <v/>
      </c>
      <c r="O1070" s="147" t="str">
        <f t="shared" si="6"/>
        <v/>
      </c>
      <c r="P1070" s="150" t="str">
        <f t="shared" si="7"/>
        <v/>
      </c>
      <c r="Q1070" s="151" t="str">
        <f>IFERROR(VLOOKUP(C1070,Ativos!$A$1:$G2000,5,),)</f>
        <v/>
      </c>
    </row>
    <row r="1071" ht="21.0" customHeight="1">
      <c r="A1071" s="152"/>
      <c r="B1071" s="160"/>
      <c r="C1071" s="153"/>
      <c r="D1071" s="169"/>
      <c r="E1071" s="139"/>
      <c r="F1071" s="141"/>
      <c r="G1071" s="170" t="str">
        <f>IFERROR(__xludf.DUMMYFUNCTION("if($C1071="""","""",iferror(if(row()&lt;&gt;2,INDEX(arrayformula(filter($H$2:$H1070,$C$2:$C1070&lt;&gt;"""",row($C$2:$C1070)=max(if($C$2:$C1070=C1071,row($C$2:$C1070),0)))) ,1),0),0))"),"")</f>
        <v/>
      </c>
      <c r="H1071" s="170" t="str">
        <f t="shared" si="8"/>
        <v/>
      </c>
      <c r="I1071" s="147" t="str">
        <f t="shared" si="1"/>
        <v/>
      </c>
      <c r="J1071" s="147" t="str">
        <f t="shared" si="13"/>
        <v/>
      </c>
      <c r="K1071" s="147" t="str">
        <f>IFERROR(__xludf.DUMMYFUNCTION("if(C1071="""","""",iferror(if(row()&lt;&gt;2,INDEX(arrayformula(filter($L$2:$L1070,$C$2:$C1070&lt;&gt;"""",row($C$2:$C1070)=max(if($C$2:$C1070=C1071,row($C$2:$C1070),0)))) ,1),0),0))"),"")</f>
        <v/>
      </c>
      <c r="L1071" s="147" t="str">
        <f t="shared" si="14"/>
        <v/>
      </c>
      <c r="M1071" s="147" t="str">
        <f t="shared" si="15"/>
        <v/>
      </c>
      <c r="N1071" s="147" t="str">
        <f t="shared" si="16"/>
        <v/>
      </c>
      <c r="O1071" s="147" t="str">
        <f t="shared" si="6"/>
        <v/>
      </c>
      <c r="P1071" s="150" t="str">
        <f t="shared" si="7"/>
        <v/>
      </c>
      <c r="Q1071" s="151" t="str">
        <f>IFERROR(VLOOKUP(C1071,Ativos!$A$1:$G2000,5,),)</f>
        <v/>
      </c>
    </row>
    <row r="1072" ht="21.0" customHeight="1">
      <c r="A1072" s="152"/>
      <c r="B1072" s="160"/>
      <c r="C1072" s="153"/>
      <c r="D1072" s="169"/>
      <c r="E1072" s="139"/>
      <c r="F1072" s="141"/>
      <c r="G1072" s="170" t="str">
        <f>IFERROR(__xludf.DUMMYFUNCTION("if($C1072="""","""",iferror(if(row()&lt;&gt;2,INDEX(arrayformula(filter($H$2:$H1071,$C$2:$C1071&lt;&gt;"""",row($C$2:$C1071)=max(if($C$2:$C1071=C1072,row($C$2:$C1071),0)))) ,1),0),0))"),"")</f>
        <v/>
      </c>
      <c r="H1072" s="170" t="str">
        <f t="shared" si="8"/>
        <v/>
      </c>
      <c r="I1072" s="147" t="str">
        <f t="shared" si="1"/>
        <v/>
      </c>
      <c r="J1072" s="147" t="str">
        <f t="shared" si="13"/>
        <v/>
      </c>
      <c r="K1072" s="147" t="str">
        <f>IFERROR(__xludf.DUMMYFUNCTION("if(C1072="""","""",iferror(if(row()&lt;&gt;2,INDEX(arrayformula(filter($L$2:$L1071,$C$2:$C1071&lt;&gt;"""",row($C$2:$C1071)=max(if($C$2:$C1071=C1072,row($C$2:$C1071),0)))) ,1),0),0))"),"")</f>
        <v/>
      </c>
      <c r="L1072" s="147" t="str">
        <f t="shared" si="14"/>
        <v/>
      </c>
      <c r="M1072" s="147" t="str">
        <f t="shared" si="15"/>
        <v/>
      </c>
      <c r="N1072" s="147" t="str">
        <f t="shared" si="16"/>
        <v/>
      </c>
      <c r="O1072" s="147" t="str">
        <f t="shared" si="6"/>
        <v/>
      </c>
      <c r="P1072" s="150" t="str">
        <f t="shared" si="7"/>
        <v/>
      </c>
      <c r="Q1072" s="151" t="str">
        <f>IFERROR(VLOOKUP(C1072,Ativos!$A$1:$G2000,5,),)</f>
        <v/>
      </c>
    </row>
    <row r="1073" ht="21.0" customHeight="1">
      <c r="A1073" s="152"/>
      <c r="B1073" s="160"/>
      <c r="C1073" s="153"/>
      <c r="D1073" s="169"/>
      <c r="E1073" s="139"/>
      <c r="F1073" s="141"/>
      <c r="G1073" s="170" t="str">
        <f>IFERROR(__xludf.DUMMYFUNCTION("if($C1073="""","""",iferror(if(row()&lt;&gt;2,INDEX(arrayformula(filter($H$2:$H1072,$C$2:$C1072&lt;&gt;"""",row($C$2:$C1072)=max(if($C$2:$C1072=C1073,row($C$2:$C1072),0)))) ,1),0),0))"),"")</f>
        <v/>
      </c>
      <c r="H1073" s="170" t="str">
        <f t="shared" si="8"/>
        <v/>
      </c>
      <c r="I1073" s="147" t="str">
        <f t="shared" si="1"/>
        <v/>
      </c>
      <c r="J1073" s="147" t="str">
        <f t="shared" si="13"/>
        <v/>
      </c>
      <c r="K1073" s="147" t="str">
        <f>IFERROR(__xludf.DUMMYFUNCTION("if(C1073="""","""",iferror(if(row()&lt;&gt;2,INDEX(arrayformula(filter($L$2:$L1072,$C$2:$C1072&lt;&gt;"""",row($C$2:$C1072)=max(if($C$2:$C1072=C1073,row($C$2:$C1072),0)))) ,1),0),0))"),"")</f>
        <v/>
      </c>
      <c r="L1073" s="147" t="str">
        <f t="shared" si="14"/>
        <v/>
      </c>
      <c r="M1073" s="147" t="str">
        <f t="shared" si="15"/>
        <v/>
      </c>
      <c r="N1073" s="147" t="str">
        <f t="shared" si="16"/>
        <v/>
      </c>
      <c r="O1073" s="147" t="str">
        <f t="shared" si="6"/>
        <v/>
      </c>
      <c r="P1073" s="150" t="str">
        <f t="shared" si="7"/>
        <v/>
      </c>
      <c r="Q1073" s="151" t="str">
        <f>IFERROR(VLOOKUP(C1073,Ativos!$A$1:$G2000,5,),)</f>
        <v/>
      </c>
    </row>
    <row r="1074" ht="21.0" customHeight="1">
      <c r="A1074" s="152"/>
      <c r="B1074" s="160"/>
      <c r="C1074" s="153"/>
      <c r="D1074" s="169"/>
      <c r="E1074" s="139"/>
      <c r="F1074" s="141"/>
      <c r="G1074" s="170" t="str">
        <f>IFERROR(__xludf.DUMMYFUNCTION("if($C1074="""","""",iferror(if(row()&lt;&gt;2,INDEX(arrayformula(filter($H$2:$H1073,$C$2:$C1073&lt;&gt;"""",row($C$2:$C1073)=max(if($C$2:$C1073=C1074,row($C$2:$C1073),0)))) ,1),0),0))"),"")</f>
        <v/>
      </c>
      <c r="H1074" s="170" t="str">
        <f t="shared" si="8"/>
        <v/>
      </c>
      <c r="I1074" s="147" t="str">
        <f t="shared" si="1"/>
        <v/>
      </c>
      <c r="J1074" s="147" t="str">
        <f t="shared" si="13"/>
        <v/>
      </c>
      <c r="K1074" s="147" t="str">
        <f>IFERROR(__xludf.DUMMYFUNCTION("if(C1074="""","""",iferror(if(row()&lt;&gt;2,INDEX(arrayformula(filter($L$2:$L1073,$C$2:$C1073&lt;&gt;"""",row($C$2:$C1073)=max(if($C$2:$C1073=C1074,row($C$2:$C1073),0)))) ,1),0),0))"),"")</f>
        <v/>
      </c>
      <c r="L1074" s="147" t="str">
        <f t="shared" si="14"/>
        <v/>
      </c>
      <c r="M1074" s="147" t="str">
        <f t="shared" si="15"/>
        <v/>
      </c>
      <c r="N1074" s="147" t="str">
        <f t="shared" si="16"/>
        <v/>
      </c>
      <c r="O1074" s="147" t="str">
        <f t="shared" si="6"/>
        <v/>
      </c>
      <c r="P1074" s="150" t="str">
        <f t="shared" si="7"/>
        <v/>
      </c>
      <c r="Q1074" s="151" t="str">
        <f>IFERROR(VLOOKUP(C1074,Ativos!$A$1:$G2000,5,),)</f>
        <v/>
      </c>
    </row>
    <row r="1075" ht="21.0" customHeight="1">
      <c r="A1075" s="152"/>
      <c r="B1075" s="160"/>
      <c r="C1075" s="153"/>
      <c r="D1075" s="169"/>
      <c r="E1075" s="139"/>
      <c r="F1075" s="141"/>
      <c r="G1075" s="170" t="str">
        <f>IFERROR(__xludf.DUMMYFUNCTION("if($C1075="""","""",iferror(if(row()&lt;&gt;2,INDEX(arrayformula(filter($H$2:$H1074,$C$2:$C1074&lt;&gt;"""",row($C$2:$C1074)=max(if($C$2:$C1074=C1075,row($C$2:$C1074),0)))) ,1),0),0))"),"")</f>
        <v/>
      </c>
      <c r="H1075" s="170" t="str">
        <f t="shared" si="8"/>
        <v/>
      </c>
      <c r="I1075" s="147" t="str">
        <f t="shared" si="1"/>
        <v/>
      </c>
      <c r="J1075" s="147" t="str">
        <f t="shared" si="13"/>
        <v/>
      </c>
      <c r="K1075" s="147" t="str">
        <f>IFERROR(__xludf.DUMMYFUNCTION("if(C1075="""","""",iferror(if(row()&lt;&gt;2,INDEX(arrayformula(filter($L$2:$L1074,$C$2:$C1074&lt;&gt;"""",row($C$2:$C1074)=max(if($C$2:$C1074=C1075,row($C$2:$C1074),0)))) ,1),0),0))"),"")</f>
        <v/>
      </c>
      <c r="L1075" s="147" t="str">
        <f t="shared" si="14"/>
        <v/>
      </c>
      <c r="M1075" s="147" t="str">
        <f t="shared" si="15"/>
        <v/>
      </c>
      <c r="N1075" s="147" t="str">
        <f t="shared" si="16"/>
        <v/>
      </c>
      <c r="O1075" s="147" t="str">
        <f t="shared" si="6"/>
        <v/>
      </c>
      <c r="P1075" s="150" t="str">
        <f t="shared" si="7"/>
        <v/>
      </c>
      <c r="Q1075" s="151" t="str">
        <f>IFERROR(VLOOKUP(C1075,Ativos!$A$1:$G2000,5,),)</f>
        <v/>
      </c>
    </row>
    <row r="1076" ht="21.0" customHeight="1">
      <c r="A1076" s="152"/>
      <c r="B1076" s="160"/>
      <c r="C1076" s="153"/>
      <c r="D1076" s="169"/>
      <c r="E1076" s="139"/>
      <c r="F1076" s="141"/>
      <c r="G1076" s="170" t="str">
        <f>IFERROR(__xludf.DUMMYFUNCTION("if($C1076="""","""",iferror(if(row()&lt;&gt;2,INDEX(arrayformula(filter($H$2:$H1075,$C$2:$C1075&lt;&gt;"""",row($C$2:$C1075)=max(if($C$2:$C1075=C1076,row($C$2:$C1075),0)))) ,1),0),0))"),"")</f>
        <v/>
      </c>
      <c r="H1076" s="170" t="str">
        <f t="shared" si="8"/>
        <v/>
      </c>
      <c r="I1076" s="147" t="str">
        <f t="shared" si="1"/>
        <v/>
      </c>
      <c r="J1076" s="147" t="str">
        <f t="shared" si="13"/>
        <v/>
      </c>
      <c r="K1076" s="147" t="str">
        <f>IFERROR(__xludf.DUMMYFUNCTION("if(C1076="""","""",iferror(if(row()&lt;&gt;2,INDEX(arrayformula(filter($L$2:$L1075,$C$2:$C1075&lt;&gt;"""",row($C$2:$C1075)=max(if($C$2:$C1075=C1076,row($C$2:$C1075),0)))) ,1),0),0))"),"")</f>
        <v/>
      </c>
      <c r="L1076" s="147" t="str">
        <f t="shared" si="14"/>
        <v/>
      </c>
      <c r="M1076" s="147" t="str">
        <f t="shared" si="15"/>
        <v/>
      </c>
      <c r="N1076" s="147" t="str">
        <f t="shared" si="16"/>
        <v/>
      </c>
      <c r="O1076" s="147" t="str">
        <f t="shared" si="6"/>
        <v/>
      </c>
      <c r="P1076" s="150" t="str">
        <f t="shared" si="7"/>
        <v/>
      </c>
      <c r="Q1076" s="151" t="str">
        <f>IFERROR(VLOOKUP(C1076,Ativos!$A$1:$G2000,5,),)</f>
        <v/>
      </c>
    </row>
    <row r="1077" ht="21.0" customHeight="1">
      <c r="A1077" s="152"/>
      <c r="B1077" s="160"/>
      <c r="C1077" s="153"/>
      <c r="D1077" s="169"/>
      <c r="E1077" s="139"/>
      <c r="F1077" s="141"/>
      <c r="G1077" s="170" t="str">
        <f>IFERROR(__xludf.DUMMYFUNCTION("if($C1077="""","""",iferror(if(row()&lt;&gt;2,INDEX(arrayformula(filter($H$2:$H1076,$C$2:$C1076&lt;&gt;"""",row($C$2:$C1076)=max(if($C$2:$C1076=C1077,row($C$2:$C1076),0)))) ,1),0),0))"),"")</f>
        <v/>
      </c>
      <c r="H1077" s="170" t="str">
        <f t="shared" si="8"/>
        <v/>
      </c>
      <c r="I1077" s="147" t="str">
        <f t="shared" si="1"/>
        <v/>
      </c>
      <c r="J1077" s="147" t="str">
        <f t="shared" si="13"/>
        <v/>
      </c>
      <c r="K1077" s="147" t="str">
        <f>IFERROR(__xludf.DUMMYFUNCTION("if(C1077="""","""",iferror(if(row()&lt;&gt;2,INDEX(arrayformula(filter($L$2:$L1076,$C$2:$C1076&lt;&gt;"""",row($C$2:$C1076)=max(if($C$2:$C1076=C1077,row($C$2:$C1076),0)))) ,1),0),0))"),"")</f>
        <v/>
      </c>
      <c r="L1077" s="147" t="str">
        <f t="shared" si="14"/>
        <v/>
      </c>
      <c r="M1077" s="147" t="str">
        <f t="shared" si="15"/>
        <v/>
      </c>
      <c r="N1077" s="147" t="str">
        <f t="shared" si="16"/>
        <v/>
      </c>
      <c r="O1077" s="147" t="str">
        <f t="shared" si="6"/>
        <v/>
      </c>
      <c r="P1077" s="150" t="str">
        <f t="shared" si="7"/>
        <v/>
      </c>
      <c r="Q1077" s="151" t="str">
        <f>IFERROR(VLOOKUP(C1077,Ativos!$A$1:$G2000,5,),)</f>
        <v/>
      </c>
    </row>
    <row r="1078" ht="21.0" customHeight="1">
      <c r="A1078" s="152"/>
      <c r="B1078" s="160"/>
      <c r="C1078" s="153"/>
      <c r="D1078" s="169"/>
      <c r="E1078" s="139"/>
      <c r="F1078" s="141"/>
      <c r="G1078" s="170" t="str">
        <f>IFERROR(__xludf.DUMMYFUNCTION("if($C1078="""","""",iferror(if(row()&lt;&gt;2,INDEX(arrayformula(filter($H$2:$H1077,$C$2:$C1077&lt;&gt;"""",row($C$2:$C1077)=max(if($C$2:$C1077=C1078,row($C$2:$C1077),0)))) ,1),0),0))"),"")</f>
        <v/>
      </c>
      <c r="H1078" s="170" t="str">
        <f t="shared" si="8"/>
        <v/>
      </c>
      <c r="I1078" s="147" t="str">
        <f t="shared" si="1"/>
        <v/>
      </c>
      <c r="J1078" s="147" t="str">
        <f t="shared" si="13"/>
        <v/>
      </c>
      <c r="K1078" s="147" t="str">
        <f>IFERROR(__xludf.DUMMYFUNCTION("if(C1078="""","""",iferror(if(row()&lt;&gt;2,INDEX(arrayformula(filter($L$2:$L1077,$C$2:$C1077&lt;&gt;"""",row($C$2:$C1077)=max(if($C$2:$C1077=C1078,row($C$2:$C1077),0)))) ,1),0),0))"),"")</f>
        <v/>
      </c>
      <c r="L1078" s="147" t="str">
        <f t="shared" si="14"/>
        <v/>
      </c>
      <c r="M1078" s="147" t="str">
        <f t="shared" si="15"/>
        <v/>
      </c>
      <c r="N1078" s="147" t="str">
        <f t="shared" si="16"/>
        <v/>
      </c>
      <c r="O1078" s="147" t="str">
        <f t="shared" si="6"/>
        <v/>
      </c>
      <c r="P1078" s="150" t="str">
        <f t="shared" si="7"/>
        <v/>
      </c>
      <c r="Q1078" s="151" t="str">
        <f>IFERROR(VLOOKUP(C1078,Ativos!$A$1:$G2000,5,),)</f>
        <v/>
      </c>
    </row>
    <row r="1079" ht="21.0" customHeight="1">
      <c r="A1079" s="152"/>
      <c r="B1079" s="160"/>
      <c r="C1079" s="153"/>
      <c r="D1079" s="169"/>
      <c r="E1079" s="139"/>
      <c r="F1079" s="141"/>
      <c r="G1079" s="170" t="str">
        <f>IFERROR(__xludf.DUMMYFUNCTION("if($C1079="""","""",iferror(if(row()&lt;&gt;2,INDEX(arrayformula(filter($H$2:$H1078,$C$2:$C1078&lt;&gt;"""",row($C$2:$C1078)=max(if($C$2:$C1078=C1079,row($C$2:$C1078),0)))) ,1),0),0))"),"")</f>
        <v/>
      </c>
      <c r="H1079" s="170" t="str">
        <f t="shared" si="8"/>
        <v/>
      </c>
      <c r="I1079" s="147" t="str">
        <f t="shared" si="1"/>
        <v/>
      </c>
      <c r="J1079" s="147" t="str">
        <f t="shared" si="13"/>
        <v/>
      </c>
      <c r="K1079" s="147" t="str">
        <f>IFERROR(__xludf.DUMMYFUNCTION("if(C1079="""","""",iferror(if(row()&lt;&gt;2,INDEX(arrayformula(filter($L$2:$L1078,$C$2:$C1078&lt;&gt;"""",row($C$2:$C1078)=max(if($C$2:$C1078=C1079,row($C$2:$C1078),0)))) ,1),0),0))"),"")</f>
        <v/>
      </c>
      <c r="L1079" s="147" t="str">
        <f t="shared" si="14"/>
        <v/>
      </c>
      <c r="M1079" s="147" t="str">
        <f t="shared" si="15"/>
        <v/>
      </c>
      <c r="N1079" s="147" t="str">
        <f t="shared" si="16"/>
        <v/>
      </c>
      <c r="O1079" s="147" t="str">
        <f t="shared" si="6"/>
        <v/>
      </c>
      <c r="P1079" s="150" t="str">
        <f t="shared" si="7"/>
        <v/>
      </c>
      <c r="Q1079" s="151" t="str">
        <f>IFERROR(VLOOKUP(C1079,Ativos!$A$1:$G2000,5,),)</f>
        <v/>
      </c>
    </row>
    <row r="1080" ht="21.0" customHeight="1">
      <c r="A1080" s="152"/>
      <c r="B1080" s="160"/>
      <c r="C1080" s="153"/>
      <c r="D1080" s="169"/>
      <c r="E1080" s="139"/>
      <c r="F1080" s="141"/>
      <c r="G1080" s="170" t="str">
        <f>IFERROR(__xludf.DUMMYFUNCTION("if($C1080="""","""",iferror(if(row()&lt;&gt;2,INDEX(arrayformula(filter($H$2:$H1079,$C$2:$C1079&lt;&gt;"""",row($C$2:$C1079)=max(if($C$2:$C1079=C1080,row($C$2:$C1079),0)))) ,1),0),0))"),"")</f>
        <v/>
      </c>
      <c r="H1080" s="170" t="str">
        <f t="shared" si="8"/>
        <v/>
      </c>
      <c r="I1080" s="147" t="str">
        <f t="shared" si="1"/>
        <v/>
      </c>
      <c r="J1080" s="147" t="str">
        <f t="shared" si="13"/>
        <v/>
      </c>
      <c r="K1080" s="147" t="str">
        <f>IFERROR(__xludf.DUMMYFUNCTION("if(C1080="""","""",iferror(if(row()&lt;&gt;2,INDEX(arrayformula(filter($L$2:$L1079,$C$2:$C1079&lt;&gt;"""",row($C$2:$C1079)=max(if($C$2:$C1079=C1080,row($C$2:$C1079),0)))) ,1),0),0))"),"")</f>
        <v/>
      </c>
      <c r="L1080" s="147" t="str">
        <f t="shared" si="14"/>
        <v/>
      </c>
      <c r="M1080" s="147" t="str">
        <f t="shared" si="15"/>
        <v/>
      </c>
      <c r="N1080" s="147" t="str">
        <f t="shared" si="16"/>
        <v/>
      </c>
      <c r="O1080" s="147" t="str">
        <f t="shared" si="6"/>
        <v/>
      </c>
      <c r="P1080" s="150" t="str">
        <f t="shared" si="7"/>
        <v/>
      </c>
      <c r="Q1080" s="151" t="str">
        <f>IFERROR(VLOOKUP(C1080,Ativos!$A$1:$G2000,5,),)</f>
        <v/>
      </c>
    </row>
    <row r="1081" ht="21.0" customHeight="1">
      <c r="A1081" s="152"/>
      <c r="B1081" s="160"/>
      <c r="C1081" s="153"/>
      <c r="D1081" s="169"/>
      <c r="E1081" s="139"/>
      <c r="F1081" s="141"/>
      <c r="G1081" s="170" t="str">
        <f>IFERROR(__xludf.DUMMYFUNCTION("if($C1081="""","""",iferror(if(row()&lt;&gt;2,INDEX(arrayformula(filter($H$2:$H1080,$C$2:$C1080&lt;&gt;"""",row($C$2:$C1080)=max(if($C$2:$C1080=C1081,row($C$2:$C1080),0)))) ,1),0),0))"),"")</f>
        <v/>
      </c>
      <c r="H1081" s="170" t="str">
        <f t="shared" si="8"/>
        <v/>
      </c>
      <c r="I1081" s="147" t="str">
        <f t="shared" si="1"/>
        <v/>
      </c>
      <c r="J1081" s="147" t="str">
        <f t="shared" si="13"/>
        <v/>
      </c>
      <c r="K1081" s="147" t="str">
        <f>IFERROR(__xludf.DUMMYFUNCTION("if(C1081="""","""",iferror(if(row()&lt;&gt;2,INDEX(arrayformula(filter($L$2:$L1080,$C$2:$C1080&lt;&gt;"""",row($C$2:$C1080)=max(if($C$2:$C1080=C1081,row($C$2:$C1080),0)))) ,1),0),0))"),"")</f>
        <v/>
      </c>
      <c r="L1081" s="147" t="str">
        <f t="shared" si="14"/>
        <v/>
      </c>
      <c r="M1081" s="147" t="str">
        <f t="shared" si="15"/>
        <v/>
      </c>
      <c r="N1081" s="147" t="str">
        <f t="shared" si="16"/>
        <v/>
      </c>
      <c r="O1081" s="147" t="str">
        <f t="shared" si="6"/>
        <v/>
      </c>
      <c r="P1081" s="150" t="str">
        <f t="shared" si="7"/>
        <v/>
      </c>
      <c r="Q1081" s="151" t="str">
        <f>IFERROR(VLOOKUP(C1081,Ativos!$A$1:$G2000,5,),)</f>
        <v/>
      </c>
    </row>
    <row r="1082" ht="21.0" customHeight="1">
      <c r="A1082" s="152"/>
      <c r="B1082" s="160"/>
      <c r="C1082" s="153"/>
      <c r="D1082" s="169"/>
      <c r="E1082" s="139"/>
      <c r="F1082" s="141"/>
      <c r="G1082" s="170" t="str">
        <f>IFERROR(__xludf.DUMMYFUNCTION("if($C1082="""","""",iferror(if(row()&lt;&gt;2,INDEX(arrayformula(filter($H$2:$H1081,$C$2:$C1081&lt;&gt;"""",row($C$2:$C1081)=max(if($C$2:$C1081=C1082,row($C$2:$C1081),0)))) ,1),0),0))"),"")</f>
        <v/>
      </c>
      <c r="H1082" s="170" t="str">
        <f t="shared" si="8"/>
        <v/>
      </c>
      <c r="I1082" s="147" t="str">
        <f t="shared" si="1"/>
        <v/>
      </c>
      <c r="J1082" s="147" t="str">
        <f t="shared" si="13"/>
        <v/>
      </c>
      <c r="K1082" s="147" t="str">
        <f>IFERROR(__xludf.DUMMYFUNCTION("if(C1082="""","""",iferror(if(row()&lt;&gt;2,INDEX(arrayformula(filter($L$2:$L1081,$C$2:$C1081&lt;&gt;"""",row($C$2:$C1081)=max(if($C$2:$C1081=C1082,row($C$2:$C1081),0)))) ,1),0),0))"),"")</f>
        <v/>
      </c>
      <c r="L1082" s="147" t="str">
        <f t="shared" si="14"/>
        <v/>
      </c>
      <c r="M1082" s="147" t="str">
        <f t="shared" si="15"/>
        <v/>
      </c>
      <c r="N1082" s="147" t="str">
        <f t="shared" si="16"/>
        <v/>
      </c>
      <c r="O1082" s="147" t="str">
        <f t="shared" si="6"/>
        <v/>
      </c>
      <c r="P1082" s="150" t="str">
        <f t="shared" si="7"/>
        <v/>
      </c>
      <c r="Q1082" s="151" t="str">
        <f>IFERROR(VLOOKUP(C1082,Ativos!$A$1:$G2000,5,),)</f>
        <v/>
      </c>
    </row>
    <row r="1083" ht="21.0" customHeight="1">
      <c r="A1083" s="152"/>
      <c r="B1083" s="160"/>
      <c r="C1083" s="153"/>
      <c r="D1083" s="169"/>
      <c r="E1083" s="139"/>
      <c r="F1083" s="141"/>
      <c r="G1083" s="170" t="str">
        <f>IFERROR(__xludf.DUMMYFUNCTION("if($C1083="""","""",iferror(if(row()&lt;&gt;2,INDEX(arrayformula(filter($H$2:$H1082,$C$2:$C1082&lt;&gt;"""",row($C$2:$C1082)=max(if($C$2:$C1082=C1083,row($C$2:$C1082),0)))) ,1),0),0))"),"")</f>
        <v/>
      </c>
      <c r="H1083" s="170" t="str">
        <f t="shared" si="8"/>
        <v/>
      </c>
      <c r="I1083" s="147" t="str">
        <f t="shared" si="1"/>
        <v/>
      </c>
      <c r="J1083" s="147" t="str">
        <f t="shared" si="13"/>
        <v/>
      </c>
      <c r="K1083" s="147" t="str">
        <f>IFERROR(__xludf.DUMMYFUNCTION("if(C1083="""","""",iferror(if(row()&lt;&gt;2,INDEX(arrayformula(filter($L$2:$L1082,$C$2:$C1082&lt;&gt;"""",row($C$2:$C1082)=max(if($C$2:$C1082=C1083,row($C$2:$C1082),0)))) ,1),0),0))"),"")</f>
        <v/>
      </c>
      <c r="L1083" s="147" t="str">
        <f t="shared" si="14"/>
        <v/>
      </c>
      <c r="M1083" s="147" t="str">
        <f t="shared" si="15"/>
        <v/>
      </c>
      <c r="N1083" s="147" t="str">
        <f t="shared" si="16"/>
        <v/>
      </c>
      <c r="O1083" s="147" t="str">
        <f t="shared" si="6"/>
        <v/>
      </c>
      <c r="P1083" s="150" t="str">
        <f t="shared" si="7"/>
        <v/>
      </c>
      <c r="Q1083" s="151" t="str">
        <f>IFERROR(VLOOKUP(C1083,Ativos!$A$1:$G2000,5,),)</f>
        <v/>
      </c>
    </row>
    <row r="1084" ht="21.0" customHeight="1">
      <c r="A1084" s="152"/>
      <c r="B1084" s="160"/>
      <c r="C1084" s="153"/>
      <c r="D1084" s="169"/>
      <c r="E1084" s="139"/>
      <c r="F1084" s="141"/>
      <c r="G1084" s="170" t="str">
        <f>IFERROR(__xludf.DUMMYFUNCTION("if($C1084="""","""",iferror(if(row()&lt;&gt;2,INDEX(arrayformula(filter($H$2:$H1083,$C$2:$C1083&lt;&gt;"""",row($C$2:$C1083)=max(if($C$2:$C1083=C1084,row($C$2:$C1083),0)))) ,1),0),0))"),"")</f>
        <v/>
      </c>
      <c r="H1084" s="170" t="str">
        <f t="shared" si="8"/>
        <v/>
      </c>
      <c r="I1084" s="147" t="str">
        <f t="shared" si="1"/>
        <v/>
      </c>
      <c r="J1084" s="147" t="str">
        <f t="shared" si="13"/>
        <v/>
      </c>
      <c r="K1084" s="147" t="str">
        <f>IFERROR(__xludf.DUMMYFUNCTION("if(C1084="""","""",iferror(if(row()&lt;&gt;2,INDEX(arrayformula(filter($L$2:$L1083,$C$2:$C1083&lt;&gt;"""",row($C$2:$C1083)=max(if($C$2:$C1083=C1084,row($C$2:$C1083),0)))) ,1),0),0))"),"")</f>
        <v/>
      </c>
      <c r="L1084" s="147" t="str">
        <f t="shared" si="14"/>
        <v/>
      </c>
      <c r="M1084" s="147" t="str">
        <f t="shared" si="15"/>
        <v/>
      </c>
      <c r="N1084" s="147" t="str">
        <f t="shared" si="16"/>
        <v/>
      </c>
      <c r="O1084" s="147" t="str">
        <f t="shared" si="6"/>
        <v/>
      </c>
      <c r="P1084" s="150" t="str">
        <f t="shared" si="7"/>
        <v/>
      </c>
      <c r="Q1084" s="151" t="str">
        <f>IFERROR(VLOOKUP(C1084,Ativos!$A$1:$G2000,5,),)</f>
        <v/>
      </c>
    </row>
    <row r="1085" ht="21.0" customHeight="1">
      <c r="A1085" s="152"/>
      <c r="B1085" s="160"/>
      <c r="C1085" s="153"/>
      <c r="D1085" s="169"/>
      <c r="E1085" s="139"/>
      <c r="F1085" s="141"/>
      <c r="G1085" s="170" t="str">
        <f>IFERROR(__xludf.DUMMYFUNCTION("if($C1085="""","""",iferror(if(row()&lt;&gt;2,INDEX(arrayformula(filter($H$2:$H1084,$C$2:$C1084&lt;&gt;"""",row($C$2:$C1084)=max(if($C$2:$C1084=C1085,row($C$2:$C1084),0)))) ,1),0),0))"),"")</f>
        <v/>
      </c>
      <c r="H1085" s="170" t="str">
        <f t="shared" si="8"/>
        <v/>
      </c>
      <c r="I1085" s="147" t="str">
        <f t="shared" si="1"/>
        <v/>
      </c>
      <c r="J1085" s="147" t="str">
        <f t="shared" si="13"/>
        <v/>
      </c>
      <c r="K1085" s="147" t="str">
        <f>IFERROR(__xludf.DUMMYFUNCTION("if(C1085="""","""",iferror(if(row()&lt;&gt;2,INDEX(arrayformula(filter($L$2:$L1084,$C$2:$C1084&lt;&gt;"""",row($C$2:$C1084)=max(if($C$2:$C1084=C1085,row($C$2:$C1084),0)))) ,1),0),0))"),"")</f>
        <v/>
      </c>
      <c r="L1085" s="147" t="str">
        <f t="shared" si="14"/>
        <v/>
      </c>
      <c r="M1085" s="147" t="str">
        <f t="shared" si="15"/>
        <v/>
      </c>
      <c r="N1085" s="147" t="str">
        <f t="shared" si="16"/>
        <v/>
      </c>
      <c r="O1085" s="147" t="str">
        <f t="shared" si="6"/>
        <v/>
      </c>
      <c r="P1085" s="150" t="str">
        <f t="shared" si="7"/>
        <v/>
      </c>
      <c r="Q1085" s="151" t="str">
        <f>IFERROR(VLOOKUP(C1085,Ativos!$A$1:$G2000,5,),)</f>
        <v/>
      </c>
    </row>
    <row r="1086" ht="21.0" customHeight="1">
      <c r="A1086" s="152"/>
      <c r="B1086" s="160"/>
      <c r="C1086" s="153"/>
      <c r="D1086" s="169"/>
      <c r="E1086" s="139"/>
      <c r="F1086" s="141"/>
      <c r="G1086" s="170" t="str">
        <f>IFERROR(__xludf.DUMMYFUNCTION("if($C1086="""","""",iferror(if(row()&lt;&gt;2,INDEX(arrayformula(filter($H$2:$H1085,$C$2:$C1085&lt;&gt;"""",row($C$2:$C1085)=max(if($C$2:$C1085=C1086,row($C$2:$C1085),0)))) ,1),0),0))"),"")</f>
        <v/>
      </c>
      <c r="H1086" s="170" t="str">
        <f t="shared" si="8"/>
        <v/>
      </c>
      <c r="I1086" s="147" t="str">
        <f t="shared" si="1"/>
        <v/>
      </c>
      <c r="J1086" s="147" t="str">
        <f t="shared" si="13"/>
        <v/>
      </c>
      <c r="K1086" s="147" t="str">
        <f>IFERROR(__xludf.DUMMYFUNCTION("if(C1086="""","""",iferror(if(row()&lt;&gt;2,INDEX(arrayformula(filter($L$2:$L1085,$C$2:$C1085&lt;&gt;"""",row($C$2:$C1085)=max(if($C$2:$C1085=C1086,row($C$2:$C1085),0)))) ,1),0),0))"),"")</f>
        <v/>
      </c>
      <c r="L1086" s="147" t="str">
        <f t="shared" si="14"/>
        <v/>
      </c>
      <c r="M1086" s="147" t="str">
        <f t="shared" si="15"/>
        <v/>
      </c>
      <c r="N1086" s="147" t="str">
        <f t="shared" si="16"/>
        <v/>
      </c>
      <c r="O1086" s="147" t="str">
        <f t="shared" si="6"/>
        <v/>
      </c>
      <c r="P1086" s="150" t="str">
        <f t="shared" si="7"/>
        <v/>
      </c>
      <c r="Q1086" s="151" t="str">
        <f>IFERROR(VLOOKUP(C1086,Ativos!$A$1:$G2000,5,),)</f>
        <v/>
      </c>
    </row>
    <row r="1087" ht="21.0" customHeight="1">
      <c r="A1087" s="152"/>
      <c r="B1087" s="160"/>
      <c r="C1087" s="153"/>
      <c r="D1087" s="169"/>
      <c r="E1087" s="139"/>
      <c r="F1087" s="141"/>
      <c r="G1087" s="170" t="str">
        <f>IFERROR(__xludf.DUMMYFUNCTION("if($C1087="""","""",iferror(if(row()&lt;&gt;2,INDEX(arrayformula(filter($H$2:$H1086,$C$2:$C1086&lt;&gt;"""",row($C$2:$C1086)=max(if($C$2:$C1086=C1087,row($C$2:$C1086),0)))) ,1),0),0))"),"")</f>
        <v/>
      </c>
      <c r="H1087" s="170" t="str">
        <f t="shared" si="8"/>
        <v/>
      </c>
      <c r="I1087" s="147" t="str">
        <f t="shared" si="1"/>
        <v/>
      </c>
      <c r="J1087" s="147" t="str">
        <f t="shared" si="13"/>
        <v/>
      </c>
      <c r="K1087" s="147" t="str">
        <f>IFERROR(__xludf.DUMMYFUNCTION("if(C1087="""","""",iferror(if(row()&lt;&gt;2,INDEX(arrayformula(filter($L$2:$L1086,$C$2:$C1086&lt;&gt;"""",row($C$2:$C1086)=max(if($C$2:$C1086=C1087,row($C$2:$C1086),0)))) ,1),0),0))"),"")</f>
        <v/>
      </c>
      <c r="L1087" s="147" t="str">
        <f t="shared" si="14"/>
        <v/>
      </c>
      <c r="M1087" s="147" t="str">
        <f t="shared" si="15"/>
        <v/>
      </c>
      <c r="N1087" s="147" t="str">
        <f t="shared" si="16"/>
        <v/>
      </c>
      <c r="O1087" s="147" t="str">
        <f t="shared" si="6"/>
        <v/>
      </c>
      <c r="P1087" s="150" t="str">
        <f t="shared" si="7"/>
        <v/>
      </c>
      <c r="Q1087" s="151" t="str">
        <f>IFERROR(VLOOKUP(C1087,Ativos!$A$1:$G2000,5,),)</f>
        <v/>
      </c>
    </row>
    <row r="1088" ht="21.0" customHeight="1">
      <c r="A1088" s="152"/>
      <c r="B1088" s="160"/>
      <c r="C1088" s="153"/>
      <c r="D1088" s="169"/>
      <c r="E1088" s="139"/>
      <c r="F1088" s="141"/>
      <c r="G1088" s="170" t="str">
        <f>IFERROR(__xludf.DUMMYFUNCTION("if($C1088="""","""",iferror(if(row()&lt;&gt;2,INDEX(arrayformula(filter($H$2:$H1087,$C$2:$C1087&lt;&gt;"""",row($C$2:$C1087)=max(if($C$2:$C1087=C1088,row($C$2:$C1087),0)))) ,1),0),0))"),"")</f>
        <v/>
      </c>
      <c r="H1088" s="170" t="str">
        <f t="shared" si="8"/>
        <v/>
      </c>
      <c r="I1088" s="147" t="str">
        <f t="shared" si="1"/>
        <v/>
      </c>
      <c r="J1088" s="147" t="str">
        <f t="shared" si="13"/>
        <v/>
      </c>
      <c r="K1088" s="147" t="str">
        <f>IFERROR(__xludf.DUMMYFUNCTION("if(C1088="""","""",iferror(if(row()&lt;&gt;2,INDEX(arrayformula(filter($L$2:$L1087,$C$2:$C1087&lt;&gt;"""",row($C$2:$C1087)=max(if($C$2:$C1087=C1088,row($C$2:$C1087),0)))) ,1),0),0))"),"")</f>
        <v/>
      </c>
      <c r="L1088" s="147" t="str">
        <f t="shared" si="14"/>
        <v/>
      </c>
      <c r="M1088" s="147" t="str">
        <f t="shared" si="15"/>
        <v/>
      </c>
      <c r="N1088" s="147" t="str">
        <f t="shared" si="16"/>
        <v/>
      </c>
      <c r="O1088" s="147" t="str">
        <f t="shared" si="6"/>
        <v/>
      </c>
      <c r="P1088" s="150" t="str">
        <f t="shared" si="7"/>
        <v/>
      </c>
      <c r="Q1088" s="151" t="str">
        <f>IFERROR(VLOOKUP(C1088,Ativos!$A$1:$G2000,5,),)</f>
        <v/>
      </c>
    </row>
    <row r="1089" ht="21.0" customHeight="1">
      <c r="A1089" s="152"/>
      <c r="B1089" s="160"/>
      <c r="C1089" s="153"/>
      <c r="D1089" s="169"/>
      <c r="E1089" s="139"/>
      <c r="F1089" s="141"/>
      <c r="G1089" s="170" t="str">
        <f>IFERROR(__xludf.DUMMYFUNCTION("if($C1089="""","""",iferror(if(row()&lt;&gt;2,INDEX(arrayformula(filter($H$2:$H1088,$C$2:$C1088&lt;&gt;"""",row($C$2:$C1088)=max(if($C$2:$C1088=C1089,row($C$2:$C1088),0)))) ,1),0),0))"),"")</f>
        <v/>
      </c>
      <c r="H1089" s="170" t="str">
        <f t="shared" si="8"/>
        <v/>
      </c>
      <c r="I1089" s="147" t="str">
        <f t="shared" si="1"/>
        <v/>
      </c>
      <c r="J1089" s="147" t="str">
        <f t="shared" si="13"/>
        <v/>
      </c>
      <c r="K1089" s="147" t="str">
        <f>IFERROR(__xludf.DUMMYFUNCTION("if(C1089="""","""",iferror(if(row()&lt;&gt;2,INDEX(arrayformula(filter($L$2:$L1088,$C$2:$C1088&lt;&gt;"""",row($C$2:$C1088)=max(if($C$2:$C1088=C1089,row($C$2:$C1088),0)))) ,1),0),0))"),"")</f>
        <v/>
      </c>
      <c r="L1089" s="147" t="str">
        <f t="shared" si="14"/>
        <v/>
      </c>
      <c r="M1089" s="147" t="str">
        <f t="shared" si="15"/>
        <v/>
      </c>
      <c r="N1089" s="147" t="str">
        <f t="shared" si="16"/>
        <v/>
      </c>
      <c r="O1089" s="147" t="str">
        <f t="shared" si="6"/>
        <v/>
      </c>
      <c r="P1089" s="150" t="str">
        <f t="shared" si="7"/>
        <v/>
      </c>
      <c r="Q1089" s="151" t="str">
        <f>IFERROR(VLOOKUP(C1089,Ativos!$A$1:$G2000,5,),)</f>
        <v/>
      </c>
    </row>
    <row r="1090" ht="21.0" customHeight="1">
      <c r="A1090" s="152"/>
      <c r="B1090" s="160"/>
      <c r="C1090" s="153"/>
      <c r="D1090" s="169"/>
      <c r="E1090" s="139"/>
      <c r="F1090" s="141"/>
      <c r="G1090" s="170" t="str">
        <f>IFERROR(__xludf.DUMMYFUNCTION("if($C1090="""","""",iferror(if(row()&lt;&gt;2,INDEX(arrayformula(filter($H$2:$H1089,$C$2:$C1089&lt;&gt;"""",row($C$2:$C1089)=max(if($C$2:$C1089=C1090,row($C$2:$C1089),0)))) ,1),0),0))"),"")</f>
        <v/>
      </c>
      <c r="H1090" s="170" t="str">
        <f t="shared" si="8"/>
        <v/>
      </c>
      <c r="I1090" s="147" t="str">
        <f t="shared" si="1"/>
        <v/>
      </c>
      <c r="J1090" s="147" t="str">
        <f t="shared" si="13"/>
        <v/>
      </c>
      <c r="K1090" s="147" t="str">
        <f>IFERROR(__xludf.DUMMYFUNCTION("if(C1090="""","""",iferror(if(row()&lt;&gt;2,INDEX(arrayformula(filter($L$2:$L1089,$C$2:$C1089&lt;&gt;"""",row($C$2:$C1089)=max(if($C$2:$C1089=C1090,row($C$2:$C1089),0)))) ,1),0),0))"),"")</f>
        <v/>
      </c>
      <c r="L1090" s="147" t="str">
        <f t="shared" si="14"/>
        <v/>
      </c>
      <c r="M1090" s="147" t="str">
        <f t="shared" si="15"/>
        <v/>
      </c>
      <c r="N1090" s="147" t="str">
        <f t="shared" si="16"/>
        <v/>
      </c>
      <c r="O1090" s="147" t="str">
        <f t="shared" si="6"/>
        <v/>
      </c>
      <c r="P1090" s="150" t="str">
        <f t="shared" si="7"/>
        <v/>
      </c>
      <c r="Q1090" s="151" t="str">
        <f>IFERROR(VLOOKUP(C1090,Ativos!$A$1:$G2000,5,),)</f>
        <v/>
      </c>
    </row>
    <row r="1091" ht="21.0" customHeight="1">
      <c r="A1091" s="152"/>
      <c r="B1091" s="160"/>
      <c r="C1091" s="153"/>
      <c r="D1091" s="169"/>
      <c r="E1091" s="139"/>
      <c r="F1091" s="141"/>
      <c r="G1091" s="170" t="str">
        <f>IFERROR(__xludf.DUMMYFUNCTION("if($C1091="""","""",iferror(if(row()&lt;&gt;2,INDEX(arrayformula(filter($H$2:$H1090,$C$2:$C1090&lt;&gt;"""",row($C$2:$C1090)=max(if($C$2:$C1090=C1091,row($C$2:$C1090),0)))) ,1),0),0))"),"")</f>
        <v/>
      </c>
      <c r="H1091" s="170" t="str">
        <f t="shared" si="8"/>
        <v/>
      </c>
      <c r="I1091" s="147" t="str">
        <f t="shared" si="1"/>
        <v/>
      </c>
      <c r="J1091" s="147" t="str">
        <f t="shared" si="13"/>
        <v/>
      </c>
      <c r="K1091" s="147" t="str">
        <f>IFERROR(__xludf.DUMMYFUNCTION("if(C1091="""","""",iferror(if(row()&lt;&gt;2,INDEX(arrayformula(filter($L$2:$L1090,$C$2:$C1090&lt;&gt;"""",row($C$2:$C1090)=max(if($C$2:$C1090=C1091,row($C$2:$C1090),0)))) ,1),0),0))"),"")</f>
        <v/>
      </c>
      <c r="L1091" s="147" t="str">
        <f t="shared" si="14"/>
        <v/>
      </c>
      <c r="M1091" s="147" t="str">
        <f t="shared" si="15"/>
        <v/>
      </c>
      <c r="N1091" s="147" t="str">
        <f t="shared" si="16"/>
        <v/>
      </c>
      <c r="O1091" s="147" t="str">
        <f t="shared" si="6"/>
        <v/>
      </c>
      <c r="P1091" s="150" t="str">
        <f t="shared" si="7"/>
        <v/>
      </c>
      <c r="Q1091" s="151" t="str">
        <f>IFERROR(VLOOKUP(C1091,Ativos!$A$1:$G2000,5,),)</f>
        <v/>
      </c>
    </row>
    <row r="1092" ht="21.0" customHeight="1">
      <c r="A1092" s="152"/>
      <c r="B1092" s="160"/>
      <c r="C1092" s="153"/>
      <c r="D1092" s="169"/>
      <c r="E1092" s="139"/>
      <c r="F1092" s="141"/>
      <c r="G1092" s="170" t="str">
        <f>IFERROR(__xludf.DUMMYFUNCTION("if($C1092="""","""",iferror(if(row()&lt;&gt;2,INDEX(arrayformula(filter($H$2:$H1091,$C$2:$C1091&lt;&gt;"""",row($C$2:$C1091)=max(if($C$2:$C1091=C1092,row($C$2:$C1091),0)))) ,1),0),0))"),"")</f>
        <v/>
      </c>
      <c r="H1092" s="170" t="str">
        <f t="shared" si="8"/>
        <v/>
      </c>
      <c r="I1092" s="147" t="str">
        <f t="shared" si="1"/>
        <v/>
      </c>
      <c r="J1092" s="147" t="str">
        <f t="shared" si="13"/>
        <v/>
      </c>
      <c r="K1092" s="147" t="str">
        <f>IFERROR(__xludf.DUMMYFUNCTION("if(C1092="""","""",iferror(if(row()&lt;&gt;2,INDEX(arrayformula(filter($L$2:$L1091,$C$2:$C1091&lt;&gt;"""",row($C$2:$C1091)=max(if($C$2:$C1091=C1092,row($C$2:$C1091),0)))) ,1),0),0))"),"")</f>
        <v/>
      </c>
      <c r="L1092" s="147" t="str">
        <f t="shared" si="14"/>
        <v/>
      </c>
      <c r="M1092" s="147" t="str">
        <f t="shared" si="15"/>
        <v/>
      </c>
      <c r="N1092" s="147" t="str">
        <f t="shared" si="16"/>
        <v/>
      </c>
      <c r="O1092" s="147" t="str">
        <f t="shared" si="6"/>
        <v/>
      </c>
      <c r="P1092" s="150" t="str">
        <f t="shared" si="7"/>
        <v/>
      </c>
      <c r="Q1092" s="151" t="str">
        <f>IFERROR(VLOOKUP(C1092,Ativos!$A$1:$G2000,5,),)</f>
        <v/>
      </c>
    </row>
    <row r="1093" ht="21.0" customHeight="1">
      <c r="A1093" s="152"/>
      <c r="B1093" s="160"/>
      <c r="C1093" s="153"/>
      <c r="D1093" s="169"/>
      <c r="E1093" s="139"/>
      <c r="F1093" s="141"/>
      <c r="G1093" s="170" t="str">
        <f>IFERROR(__xludf.DUMMYFUNCTION("if($C1093="""","""",iferror(if(row()&lt;&gt;2,INDEX(arrayformula(filter($H$2:$H1092,$C$2:$C1092&lt;&gt;"""",row($C$2:$C1092)=max(if($C$2:$C1092=C1093,row($C$2:$C1092),0)))) ,1),0),0))"),"")</f>
        <v/>
      </c>
      <c r="H1093" s="170" t="str">
        <f t="shared" si="8"/>
        <v/>
      </c>
      <c r="I1093" s="147" t="str">
        <f t="shared" si="1"/>
        <v/>
      </c>
      <c r="J1093" s="147" t="str">
        <f t="shared" si="13"/>
        <v/>
      </c>
      <c r="K1093" s="147" t="str">
        <f>IFERROR(__xludf.DUMMYFUNCTION("if(C1093="""","""",iferror(if(row()&lt;&gt;2,INDEX(arrayformula(filter($L$2:$L1092,$C$2:$C1092&lt;&gt;"""",row($C$2:$C1092)=max(if($C$2:$C1092=C1093,row($C$2:$C1092),0)))) ,1),0),0))"),"")</f>
        <v/>
      </c>
      <c r="L1093" s="147" t="str">
        <f t="shared" si="14"/>
        <v/>
      </c>
      <c r="M1093" s="147" t="str">
        <f t="shared" si="15"/>
        <v/>
      </c>
      <c r="N1093" s="147" t="str">
        <f t="shared" si="16"/>
        <v/>
      </c>
      <c r="O1093" s="147" t="str">
        <f t="shared" si="6"/>
        <v/>
      </c>
      <c r="P1093" s="150" t="str">
        <f t="shared" si="7"/>
        <v/>
      </c>
      <c r="Q1093" s="151" t="str">
        <f>IFERROR(VLOOKUP(C1093,Ativos!$A$1:$G2000,5,),)</f>
        <v/>
      </c>
    </row>
    <row r="1094" ht="21.0" customHeight="1">
      <c r="A1094" s="152"/>
      <c r="B1094" s="160"/>
      <c r="C1094" s="153"/>
      <c r="D1094" s="169"/>
      <c r="E1094" s="139"/>
      <c r="F1094" s="141"/>
      <c r="G1094" s="170" t="str">
        <f>IFERROR(__xludf.DUMMYFUNCTION("if($C1094="""","""",iferror(if(row()&lt;&gt;2,INDEX(arrayformula(filter($H$2:$H1093,$C$2:$C1093&lt;&gt;"""",row($C$2:$C1093)=max(if($C$2:$C1093=C1094,row($C$2:$C1093),0)))) ,1),0),0))"),"")</f>
        <v/>
      </c>
      <c r="H1094" s="170" t="str">
        <f t="shared" si="8"/>
        <v/>
      </c>
      <c r="I1094" s="147" t="str">
        <f t="shared" si="1"/>
        <v/>
      </c>
      <c r="J1094" s="147" t="str">
        <f t="shared" si="13"/>
        <v/>
      </c>
      <c r="K1094" s="147" t="str">
        <f>IFERROR(__xludf.DUMMYFUNCTION("if(C1094="""","""",iferror(if(row()&lt;&gt;2,INDEX(arrayformula(filter($L$2:$L1093,$C$2:$C1093&lt;&gt;"""",row($C$2:$C1093)=max(if($C$2:$C1093=C1094,row($C$2:$C1093),0)))) ,1),0),0))"),"")</f>
        <v/>
      </c>
      <c r="L1094" s="147" t="str">
        <f t="shared" si="14"/>
        <v/>
      </c>
      <c r="M1094" s="147" t="str">
        <f t="shared" si="15"/>
        <v/>
      </c>
      <c r="N1094" s="147" t="str">
        <f t="shared" si="16"/>
        <v/>
      </c>
      <c r="O1094" s="147" t="str">
        <f t="shared" si="6"/>
        <v/>
      </c>
      <c r="P1094" s="150" t="str">
        <f t="shared" si="7"/>
        <v/>
      </c>
      <c r="Q1094" s="151" t="str">
        <f>IFERROR(VLOOKUP(C1094,Ativos!$A$1:$G2000,5,),)</f>
        <v/>
      </c>
    </row>
    <row r="1095" ht="21.0" customHeight="1">
      <c r="A1095" s="152"/>
      <c r="B1095" s="160"/>
      <c r="C1095" s="153"/>
      <c r="D1095" s="169"/>
      <c r="E1095" s="139"/>
      <c r="F1095" s="141"/>
      <c r="G1095" s="170" t="str">
        <f>IFERROR(__xludf.DUMMYFUNCTION("if($C1095="""","""",iferror(if(row()&lt;&gt;2,INDEX(arrayformula(filter($H$2:$H1094,$C$2:$C1094&lt;&gt;"""",row($C$2:$C1094)=max(if($C$2:$C1094=C1095,row($C$2:$C1094),0)))) ,1),0),0))"),"")</f>
        <v/>
      </c>
      <c r="H1095" s="170" t="str">
        <f t="shared" si="8"/>
        <v/>
      </c>
      <c r="I1095" s="147" t="str">
        <f t="shared" si="1"/>
        <v/>
      </c>
      <c r="J1095" s="147" t="str">
        <f t="shared" si="13"/>
        <v/>
      </c>
      <c r="K1095" s="147" t="str">
        <f>IFERROR(__xludf.DUMMYFUNCTION("if(C1095="""","""",iferror(if(row()&lt;&gt;2,INDEX(arrayformula(filter($L$2:$L1094,$C$2:$C1094&lt;&gt;"""",row($C$2:$C1094)=max(if($C$2:$C1094=C1095,row($C$2:$C1094),0)))) ,1),0),0))"),"")</f>
        <v/>
      </c>
      <c r="L1095" s="147" t="str">
        <f t="shared" si="14"/>
        <v/>
      </c>
      <c r="M1095" s="147" t="str">
        <f t="shared" si="15"/>
        <v/>
      </c>
      <c r="N1095" s="147" t="str">
        <f t="shared" si="16"/>
        <v/>
      </c>
      <c r="O1095" s="147" t="str">
        <f t="shared" si="6"/>
        <v/>
      </c>
      <c r="P1095" s="150" t="str">
        <f t="shared" si="7"/>
        <v/>
      </c>
      <c r="Q1095" s="151" t="str">
        <f>IFERROR(VLOOKUP(C1095,Ativos!$A$1:$G2000,5,),)</f>
        <v/>
      </c>
    </row>
    <row r="1096" ht="21.0" customHeight="1">
      <c r="A1096" s="152"/>
      <c r="B1096" s="160"/>
      <c r="C1096" s="153"/>
      <c r="D1096" s="169"/>
      <c r="E1096" s="139"/>
      <c r="F1096" s="141"/>
      <c r="G1096" s="170" t="str">
        <f>IFERROR(__xludf.DUMMYFUNCTION("if($C1096="""","""",iferror(if(row()&lt;&gt;2,INDEX(arrayformula(filter($H$2:$H1095,$C$2:$C1095&lt;&gt;"""",row($C$2:$C1095)=max(if($C$2:$C1095=C1096,row($C$2:$C1095),0)))) ,1),0),0))"),"")</f>
        <v/>
      </c>
      <c r="H1096" s="170" t="str">
        <f t="shared" si="8"/>
        <v/>
      </c>
      <c r="I1096" s="147" t="str">
        <f t="shared" si="1"/>
        <v/>
      </c>
      <c r="J1096" s="147" t="str">
        <f t="shared" si="13"/>
        <v/>
      </c>
      <c r="K1096" s="147" t="str">
        <f>IFERROR(__xludf.DUMMYFUNCTION("if(C1096="""","""",iferror(if(row()&lt;&gt;2,INDEX(arrayformula(filter($L$2:$L1095,$C$2:$C1095&lt;&gt;"""",row($C$2:$C1095)=max(if($C$2:$C1095=C1096,row($C$2:$C1095),0)))) ,1),0),0))"),"")</f>
        <v/>
      </c>
      <c r="L1096" s="147" t="str">
        <f t="shared" si="14"/>
        <v/>
      </c>
      <c r="M1096" s="147" t="str">
        <f t="shared" si="15"/>
        <v/>
      </c>
      <c r="N1096" s="147" t="str">
        <f t="shared" si="16"/>
        <v/>
      </c>
      <c r="O1096" s="147" t="str">
        <f t="shared" si="6"/>
        <v/>
      </c>
      <c r="P1096" s="150" t="str">
        <f t="shared" si="7"/>
        <v/>
      </c>
      <c r="Q1096" s="151" t="str">
        <f>IFERROR(VLOOKUP(C1096,Ativos!$A$1:$G2000,5,),)</f>
        <v/>
      </c>
    </row>
    <row r="1097" ht="21.0" customHeight="1">
      <c r="A1097" s="152"/>
      <c r="B1097" s="160"/>
      <c r="C1097" s="153"/>
      <c r="D1097" s="169"/>
      <c r="E1097" s="139"/>
      <c r="F1097" s="141"/>
      <c r="G1097" s="170" t="str">
        <f>IFERROR(__xludf.DUMMYFUNCTION("if($C1097="""","""",iferror(if(row()&lt;&gt;2,INDEX(arrayformula(filter($H$2:$H1096,$C$2:$C1096&lt;&gt;"""",row($C$2:$C1096)=max(if($C$2:$C1096=C1097,row($C$2:$C1096),0)))) ,1),0),0))"),"")</f>
        <v/>
      </c>
      <c r="H1097" s="170" t="str">
        <f t="shared" si="8"/>
        <v/>
      </c>
      <c r="I1097" s="147" t="str">
        <f t="shared" si="1"/>
        <v/>
      </c>
      <c r="J1097" s="147" t="str">
        <f t="shared" si="13"/>
        <v/>
      </c>
      <c r="K1097" s="147" t="str">
        <f>IFERROR(__xludf.DUMMYFUNCTION("if(C1097="""","""",iferror(if(row()&lt;&gt;2,INDEX(arrayformula(filter($L$2:$L1096,$C$2:$C1096&lt;&gt;"""",row($C$2:$C1096)=max(if($C$2:$C1096=C1097,row($C$2:$C1096),0)))) ,1),0),0))"),"")</f>
        <v/>
      </c>
      <c r="L1097" s="147" t="str">
        <f t="shared" si="14"/>
        <v/>
      </c>
      <c r="M1097" s="147" t="str">
        <f t="shared" si="15"/>
        <v/>
      </c>
      <c r="N1097" s="147" t="str">
        <f t="shared" si="16"/>
        <v/>
      </c>
      <c r="O1097" s="147" t="str">
        <f t="shared" si="6"/>
        <v/>
      </c>
      <c r="P1097" s="150" t="str">
        <f t="shared" si="7"/>
        <v/>
      </c>
      <c r="Q1097" s="151" t="str">
        <f>IFERROR(VLOOKUP(C1097,Ativos!$A$1:$G2000,5,),)</f>
        <v/>
      </c>
    </row>
    <row r="1098" ht="21.0" customHeight="1">
      <c r="A1098" s="152"/>
      <c r="B1098" s="160"/>
      <c r="C1098" s="153"/>
      <c r="D1098" s="169"/>
      <c r="E1098" s="139"/>
      <c r="F1098" s="141"/>
      <c r="G1098" s="170" t="str">
        <f>IFERROR(__xludf.DUMMYFUNCTION("if($C1098="""","""",iferror(if(row()&lt;&gt;2,INDEX(arrayformula(filter($H$2:$H1097,$C$2:$C1097&lt;&gt;"""",row($C$2:$C1097)=max(if($C$2:$C1097=C1098,row($C$2:$C1097),0)))) ,1),0),0))"),"")</f>
        <v/>
      </c>
      <c r="H1098" s="170" t="str">
        <f t="shared" si="8"/>
        <v/>
      </c>
      <c r="I1098" s="147" t="str">
        <f t="shared" si="1"/>
        <v/>
      </c>
      <c r="J1098" s="147" t="str">
        <f t="shared" si="13"/>
        <v/>
      </c>
      <c r="K1098" s="147" t="str">
        <f>IFERROR(__xludf.DUMMYFUNCTION("if(C1098="""","""",iferror(if(row()&lt;&gt;2,INDEX(arrayformula(filter($L$2:$L1097,$C$2:$C1097&lt;&gt;"""",row($C$2:$C1097)=max(if($C$2:$C1097=C1098,row($C$2:$C1097),0)))) ,1),0),0))"),"")</f>
        <v/>
      </c>
      <c r="L1098" s="147" t="str">
        <f t="shared" si="14"/>
        <v/>
      </c>
      <c r="M1098" s="147" t="str">
        <f t="shared" si="15"/>
        <v/>
      </c>
      <c r="N1098" s="147" t="str">
        <f t="shared" si="16"/>
        <v/>
      </c>
      <c r="O1098" s="147" t="str">
        <f t="shared" si="6"/>
        <v/>
      </c>
      <c r="P1098" s="150" t="str">
        <f t="shared" si="7"/>
        <v/>
      </c>
      <c r="Q1098" s="151" t="str">
        <f>IFERROR(VLOOKUP(C1098,Ativos!$A$1:$G2000,5,),)</f>
        <v/>
      </c>
    </row>
    <row r="1099" ht="21.0" customHeight="1">
      <c r="A1099" s="152"/>
      <c r="B1099" s="160"/>
      <c r="C1099" s="153"/>
      <c r="D1099" s="169"/>
      <c r="E1099" s="139"/>
      <c r="F1099" s="141"/>
      <c r="G1099" s="170" t="str">
        <f>IFERROR(__xludf.DUMMYFUNCTION("if($C1099="""","""",iferror(if(row()&lt;&gt;2,INDEX(arrayformula(filter($H$2:$H1098,$C$2:$C1098&lt;&gt;"""",row($C$2:$C1098)=max(if($C$2:$C1098=C1099,row($C$2:$C1098),0)))) ,1),0),0))"),"")</f>
        <v/>
      </c>
      <c r="H1099" s="170" t="str">
        <f t="shared" si="8"/>
        <v/>
      </c>
      <c r="I1099" s="147" t="str">
        <f t="shared" si="1"/>
        <v/>
      </c>
      <c r="J1099" s="147" t="str">
        <f t="shared" si="13"/>
        <v/>
      </c>
      <c r="K1099" s="147" t="str">
        <f>IFERROR(__xludf.DUMMYFUNCTION("if(C1099="""","""",iferror(if(row()&lt;&gt;2,INDEX(arrayformula(filter($L$2:$L1098,$C$2:$C1098&lt;&gt;"""",row($C$2:$C1098)=max(if($C$2:$C1098=C1099,row($C$2:$C1098),0)))) ,1),0),0))"),"")</f>
        <v/>
      </c>
      <c r="L1099" s="147" t="str">
        <f t="shared" si="14"/>
        <v/>
      </c>
      <c r="M1099" s="147" t="str">
        <f t="shared" si="15"/>
        <v/>
      </c>
      <c r="N1099" s="147" t="str">
        <f t="shared" si="16"/>
        <v/>
      </c>
      <c r="O1099" s="147" t="str">
        <f t="shared" si="6"/>
        <v/>
      </c>
      <c r="P1099" s="150" t="str">
        <f t="shared" si="7"/>
        <v/>
      </c>
      <c r="Q1099" s="151" t="str">
        <f>IFERROR(VLOOKUP(C1099,Ativos!$A$1:$G2000,5,),)</f>
        <v/>
      </c>
    </row>
    <row r="1100" ht="21.0" customHeight="1">
      <c r="A1100" s="152"/>
      <c r="B1100" s="160"/>
      <c r="C1100" s="153"/>
      <c r="D1100" s="169"/>
      <c r="E1100" s="139"/>
      <c r="F1100" s="141"/>
      <c r="G1100" s="170" t="str">
        <f>IFERROR(__xludf.DUMMYFUNCTION("if($C1100="""","""",iferror(if(row()&lt;&gt;2,INDEX(arrayformula(filter($H$2:$H1099,$C$2:$C1099&lt;&gt;"""",row($C$2:$C1099)=max(if($C$2:$C1099=C1100,row($C$2:$C1099),0)))) ,1),0),0))"),"")</f>
        <v/>
      </c>
      <c r="H1100" s="170" t="str">
        <f t="shared" si="8"/>
        <v/>
      </c>
      <c r="I1100" s="147" t="str">
        <f t="shared" si="1"/>
        <v/>
      </c>
      <c r="J1100" s="147" t="str">
        <f t="shared" si="13"/>
        <v/>
      </c>
      <c r="K1100" s="147" t="str">
        <f>IFERROR(__xludf.DUMMYFUNCTION("if(C1100="""","""",iferror(if(row()&lt;&gt;2,INDEX(arrayformula(filter($L$2:$L1099,$C$2:$C1099&lt;&gt;"""",row($C$2:$C1099)=max(if($C$2:$C1099=C1100,row($C$2:$C1099),0)))) ,1),0),0))"),"")</f>
        <v/>
      </c>
      <c r="L1100" s="147" t="str">
        <f t="shared" si="14"/>
        <v/>
      </c>
      <c r="M1100" s="147" t="str">
        <f t="shared" si="15"/>
        <v/>
      </c>
      <c r="N1100" s="147" t="str">
        <f t="shared" si="16"/>
        <v/>
      </c>
      <c r="O1100" s="147" t="str">
        <f t="shared" si="6"/>
        <v/>
      </c>
      <c r="P1100" s="150" t="str">
        <f t="shared" si="7"/>
        <v/>
      </c>
      <c r="Q1100" s="151" t="str">
        <f>IFERROR(VLOOKUP(C1100,Ativos!$A$1:$G2000,5,),)</f>
        <v/>
      </c>
    </row>
    <row r="1101" ht="21.0" customHeight="1">
      <c r="A1101" s="152"/>
      <c r="B1101" s="160"/>
      <c r="C1101" s="153"/>
      <c r="D1101" s="169"/>
      <c r="E1101" s="139"/>
      <c r="F1101" s="141"/>
      <c r="G1101" s="170" t="str">
        <f>IFERROR(__xludf.DUMMYFUNCTION("if($C1101="""","""",iferror(if(row()&lt;&gt;2,INDEX(arrayformula(filter($H$2:$H1100,$C$2:$C1100&lt;&gt;"""",row($C$2:$C1100)=max(if($C$2:$C1100=C1101,row($C$2:$C1100),0)))) ,1),0),0))"),"")</f>
        <v/>
      </c>
      <c r="H1101" s="170" t="str">
        <f t="shared" si="8"/>
        <v/>
      </c>
      <c r="I1101" s="147" t="str">
        <f t="shared" si="1"/>
        <v/>
      </c>
      <c r="J1101" s="147" t="str">
        <f t="shared" si="13"/>
        <v/>
      </c>
      <c r="K1101" s="147" t="str">
        <f>IFERROR(__xludf.DUMMYFUNCTION("if(C1101="""","""",iferror(if(row()&lt;&gt;2,INDEX(arrayformula(filter($L$2:$L1100,$C$2:$C1100&lt;&gt;"""",row($C$2:$C1100)=max(if($C$2:$C1100=C1101,row($C$2:$C1100),0)))) ,1),0),0))"),"")</f>
        <v/>
      </c>
      <c r="L1101" s="147" t="str">
        <f t="shared" si="14"/>
        <v/>
      </c>
      <c r="M1101" s="147" t="str">
        <f t="shared" si="15"/>
        <v/>
      </c>
      <c r="N1101" s="147" t="str">
        <f t="shared" si="16"/>
        <v/>
      </c>
      <c r="O1101" s="147" t="str">
        <f t="shared" si="6"/>
        <v/>
      </c>
      <c r="P1101" s="150" t="str">
        <f t="shared" si="7"/>
        <v/>
      </c>
      <c r="Q1101" s="151" t="str">
        <f>IFERROR(VLOOKUP(C1101,Ativos!$A$1:$G2000,5,),)</f>
        <v/>
      </c>
    </row>
    <row r="1102" ht="21.0" customHeight="1">
      <c r="A1102" s="152"/>
      <c r="B1102" s="160"/>
      <c r="C1102" s="153"/>
      <c r="D1102" s="169"/>
      <c r="E1102" s="139"/>
      <c r="F1102" s="141"/>
      <c r="G1102" s="170" t="str">
        <f>IFERROR(__xludf.DUMMYFUNCTION("if($C1102="""","""",iferror(if(row()&lt;&gt;2,INDEX(arrayformula(filter($H$2:$H1101,$C$2:$C1101&lt;&gt;"""",row($C$2:$C1101)=max(if($C$2:$C1101=C1102,row($C$2:$C1101),0)))) ,1),0),0))"),"")</f>
        <v/>
      </c>
      <c r="H1102" s="170" t="str">
        <f t="shared" si="8"/>
        <v/>
      </c>
      <c r="I1102" s="147" t="str">
        <f t="shared" si="1"/>
        <v/>
      </c>
      <c r="J1102" s="147" t="str">
        <f t="shared" si="13"/>
        <v/>
      </c>
      <c r="K1102" s="147" t="str">
        <f>IFERROR(__xludf.DUMMYFUNCTION("if(C1102="""","""",iferror(if(row()&lt;&gt;2,INDEX(arrayformula(filter($L$2:$L1101,$C$2:$C1101&lt;&gt;"""",row($C$2:$C1101)=max(if($C$2:$C1101=C1102,row($C$2:$C1101),0)))) ,1),0),0))"),"")</f>
        <v/>
      </c>
      <c r="L1102" s="147" t="str">
        <f t="shared" si="14"/>
        <v/>
      </c>
      <c r="M1102" s="147" t="str">
        <f t="shared" si="15"/>
        <v/>
      </c>
      <c r="N1102" s="147" t="str">
        <f t="shared" si="16"/>
        <v/>
      </c>
      <c r="O1102" s="147" t="str">
        <f t="shared" si="6"/>
        <v/>
      </c>
      <c r="P1102" s="150" t="str">
        <f t="shared" si="7"/>
        <v/>
      </c>
      <c r="Q1102" s="151" t="str">
        <f>IFERROR(VLOOKUP(C1102,Ativos!$A$1:$G2000,5,),)</f>
        <v/>
      </c>
    </row>
    <row r="1103" ht="21.0" customHeight="1">
      <c r="A1103" s="152"/>
      <c r="B1103" s="160"/>
      <c r="C1103" s="153"/>
      <c r="D1103" s="169"/>
      <c r="E1103" s="139"/>
      <c r="F1103" s="141"/>
      <c r="G1103" s="170" t="str">
        <f>IFERROR(__xludf.DUMMYFUNCTION("if($C1103="""","""",iferror(if(row()&lt;&gt;2,INDEX(arrayformula(filter($H$2:$H1102,$C$2:$C1102&lt;&gt;"""",row($C$2:$C1102)=max(if($C$2:$C1102=C1103,row($C$2:$C1102),0)))) ,1),0),0))"),"")</f>
        <v/>
      </c>
      <c r="H1103" s="170" t="str">
        <f t="shared" si="8"/>
        <v/>
      </c>
      <c r="I1103" s="147" t="str">
        <f t="shared" si="1"/>
        <v/>
      </c>
      <c r="J1103" s="147" t="str">
        <f t="shared" si="13"/>
        <v/>
      </c>
      <c r="K1103" s="147" t="str">
        <f>IFERROR(__xludf.DUMMYFUNCTION("if(C1103="""","""",iferror(if(row()&lt;&gt;2,INDEX(arrayformula(filter($L$2:$L1102,$C$2:$C1102&lt;&gt;"""",row($C$2:$C1102)=max(if($C$2:$C1102=C1103,row($C$2:$C1102),0)))) ,1),0),0))"),"")</f>
        <v/>
      </c>
      <c r="L1103" s="147" t="str">
        <f t="shared" si="14"/>
        <v/>
      </c>
      <c r="M1103" s="147" t="str">
        <f t="shared" si="15"/>
        <v/>
      </c>
      <c r="N1103" s="147" t="str">
        <f t="shared" si="16"/>
        <v/>
      </c>
      <c r="O1103" s="147" t="str">
        <f t="shared" si="6"/>
        <v/>
      </c>
      <c r="P1103" s="150" t="str">
        <f t="shared" si="7"/>
        <v/>
      </c>
      <c r="Q1103" s="151" t="str">
        <f>IFERROR(VLOOKUP(C1103,Ativos!$A$1:$G2000,5,),)</f>
        <v/>
      </c>
    </row>
    <row r="1104" ht="21.0" customHeight="1">
      <c r="A1104" s="152"/>
      <c r="B1104" s="160"/>
      <c r="C1104" s="153"/>
      <c r="D1104" s="169"/>
      <c r="E1104" s="139"/>
      <c r="F1104" s="141"/>
      <c r="G1104" s="170" t="str">
        <f>IFERROR(__xludf.DUMMYFUNCTION("if($C1104="""","""",iferror(if(row()&lt;&gt;2,INDEX(arrayformula(filter($H$2:$H1103,$C$2:$C1103&lt;&gt;"""",row($C$2:$C1103)=max(if($C$2:$C1103=C1104,row($C$2:$C1103),0)))) ,1),0),0))"),"")</f>
        <v/>
      </c>
      <c r="H1104" s="170" t="str">
        <f t="shared" si="8"/>
        <v/>
      </c>
      <c r="I1104" s="147" t="str">
        <f t="shared" si="1"/>
        <v/>
      </c>
      <c r="J1104" s="147" t="str">
        <f t="shared" si="13"/>
        <v/>
      </c>
      <c r="K1104" s="147" t="str">
        <f>IFERROR(__xludf.DUMMYFUNCTION("if(C1104="""","""",iferror(if(row()&lt;&gt;2,INDEX(arrayformula(filter($L$2:$L1103,$C$2:$C1103&lt;&gt;"""",row($C$2:$C1103)=max(if($C$2:$C1103=C1104,row($C$2:$C1103),0)))) ,1),0),0))"),"")</f>
        <v/>
      </c>
      <c r="L1104" s="147" t="str">
        <f t="shared" si="14"/>
        <v/>
      </c>
      <c r="M1104" s="147" t="str">
        <f t="shared" si="15"/>
        <v/>
      </c>
      <c r="N1104" s="147" t="str">
        <f t="shared" si="16"/>
        <v/>
      </c>
      <c r="O1104" s="147" t="str">
        <f t="shared" si="6"/>
        <v/>
      </c>
      <c r="P1104" s="150" t="str">
        <f t="shared" si="7"/>
        <v/>
      </c>
      <c r="Q1104" s="151" t="str">
        <f>IFERROR(VLOOKUP(C1104,Ativos!$A$1:$G2000,5,),)</f>
        <v/>
      </c>
    </row>
    <row r="1105" ht="21.0" customHeight="1">
      <c r="A1105" s="152"/>
      <c r="B1105" s="160"/>
      <c r="C1105" s="153"/>
      <c r="D1105" s="169"/>
      <c r="E1105" s="139"/>
      <c r="F1105" s="141"/>
      <c r="G1105" s="170" t="str">
        <f>IFERROR(__xludf.DUMMYFUNCTION("if($C1105="""","""",iferror(if(row()&lt;&gt;2,INDEX(arrayformula(filter($H$2:$H1104,$C$2:$C1104&lt;&gt;"""",row($C$2:$C1104)=max(if($C$2:$C1104=C1105,row($C$2:$C1104),0)))) ,1),0),0))"),"")</f>
        <v/>
      </c>
      <c r="H1105" s="170" t="str">
        <f t="shared" si="8"/>
        <v/>
      </c>
      <c r="I1105" s="147" t="str">
        <f t="shared" si="1"/>
        <v/>
      </c>
      <c r="J1105" s="147" t="str">
        <f t="shared" si="13"/>
        <v/>
      </c>
      <c r="K1105" s="147" t="str">
        <f>IFERROR(__xludf.DUMMYFUNCTION("if(C1105="""","""",iferror(if(row()&lt;&gt;2,INDEX(arrayformula(filter($L$2:$L1104,$C$2:$C1104&lt;&gt;"""",row($C$2:$C1104)=max(if($C$2:$C1104=C1105,row($C$2:$C1104),0)))) ,1),0),0))"),"")</f>
        <v/>
      </c>
      <c r="L1105" s="147" t="str">
        <f t="shared" si="14"/>
        <v/>
      </c>
      <c r="M1105" s="147" t="str">
        <f t="shared" si="15"/>
        <v/>
      </c>
      <c r="N1105" s="147" t="str">
        <f t="shared" si="16"/>
        <v/>
      </c>
      <c r="O1105" s="147" t="str">
        <f t="shared" si="6"/>
        <v/>
      </c>
      <c r="P1105" s="150" t="str">
        <f t="shared" si="7"/>
        <v/>
      </c>
      <c r="Q1105" s="151" t="str">
        <f>IFERROR(VLOOKUP(C1105,Ativos!$A$1:$G2000,5,),)</f>
        <v/>
      </c>
    </row>
    <row r="1106" ht="21.0" customHeight="1">
      <c r="A1106" s="152"/>
      <c r="B1106" s="160"/>
      <c r="C1106" s="153"/>
      <c r="D1106" s="169"/>
      <c r="E1106" s="139"/>
      <c r="F1106" s="141"/>
      <c r="G1106" s="170" t="str">
        <f>IFERROR(__xludf.DUMMYFUNCTION("if($C1106="""","""",iferror(if(row()&lt;&gt;2,INDEX(arrayformula(filter($H$2:$H1105,$C$2:$C1105&lt;&gt;"""",row($C$2:$C1105)=max(if($C$2:$C1105=C1106,row($C$2:$C1105),0)))) ,1),0),0))"),"")</f>
        <v/>
      </c>
      <c r="H1106" s="170" t="str">
        <f t="shared" si="8"/>
        <v/>
      </c>
      <c r="I1106" s="147" t="str">
        <f t="shared" si="1"/>
        <v/>
      </c>
      <c r="J1106" s="147" t="str">
        <f t="shared" si="13"/>
        <v/>
      </c>
      <c r="K1106" s="147" t="str">
        <f>IFERROR(__xludf.DUMMYFUNCTION("if(C1106="""","""",iferror(if(row()&lt;&gt;2,INDEX(arrayformula(filter($L$2:$L1105,$C$2:$C1105&lt;&gt;"""",row($C$2:$C1105)=max(if($C$2:$C1105=C1106,row($C$2:$C1105),0)))) ,1),0),0))"),"")</f>
        <v/>
      </c>
      <c r="L1106" s="147" t="str">
        <f t="shared" si="14"/>
        <v/>
      </c>
      <c r="M1106" s="147" t="str">
        <f t="shared" si="15"/>
        <v/>
      </c>
      <c r="N1106" s="147" t="str">
        <f t="shared" si="16"/>
        <v/>
      </c>
      <c r="O1106" s="147" t="str">
        <f t="shared" si="6"/>
        <v/>
      </c>
      <c r="P1106" s="150" t="str">
        <f t="shared" si="7"/>
        <v/>
      </c>
      <c r="Q1106" s="151" t="str">
        <f>IFERROR(VLOOKUP(C1106,Ativos!$A$1:$G2000,5,),)</f>
        <v/>
      </c>
    </row>
    <row r="1107" ht="21.0" customHeight="1">
      <c r="A1107" s="152"/>
      <c r="B1107" s="160"/>
      <c r="C1107" s="153"/>
      <c r="D1107" s="169"/>
      <c r="E1107" s="139"/>
      <c r="F1107" s="141"/>
      <c r="G1107" s="170" t="str">
        <f>IFERROR(__xludf.DUMMYFUNCTION("if($C1107="""","""",iferror(if(row()&lt;&gt;2,INDEX(arrayformula(filter($H$2:$H1106,$C$2:$C1106&lt;&gt;"""",row($C$2:$C1106)=max(if($C$2:$C1106=C1107,row($C$2:$C1106),0)))) ,1),0),0))"),"")</f>
        <v/>
      </c>
      <c r="H1107" s="170" t="str">
        <f t="shared" si="8"/>
        <v/>
      </c>
      <c r="I1107" s="147" t="str">
        <f t="shared" si="1"/>
        <v/>
      </c>
      <c r="J1107" s="147" t="str">
        <f t="shared" si="13"/>
        <v/>
      </c>
      <c r="K1107" s="147" t="str">
        <f>IFERROR(__xludf.DUMMYFUNCTION("if(C1107="""","""",iferror(if(row()&lt;&gt;2,INDEX(arrayformula(filter($L$2:$L1106,$C$2:$C1106&lt;&gt;"""",row($C$2:$C1106)=max(if($C$2:$C1106=C1107,row($C$2:$C1106),0)))) ,1),0),0))"),"")</f>
        <v/>
      </c>
      <c r="L1107" s="147" t="str">
        <f t="shared" si="14"/>
        <v/>
      </c>
      <c r="M1107" s="147" t="str">
        <f t="shared" si="15"/>
        <v/>
      </c>
      <c r="N1107" s="147" t="str">
        <f t="shared" si="16"/>
        <v/>
      </c>
      <c r="O1107" s="147" t="str">
        <f t="shared" si="6"/>
        <v/>
      </c>
      <c r="P1107" s="150" t="str">
        <f t="shared" si="7"/>
        <v/>
      </c>
      <c r="Q1107" s="151" t="str">
        <f>IFERROR(VLOOKUP(C1107,Ativos!$A$1:$G2000,5,),)</f>
        <v/>
      </c>
    </row>
    <row r="1108" ht="21.0" customHeight="1">
      <c r="A1108" s="152"/>
      <c r="B1108" s="160"/>
      <c r="C1108" s="153"/>
      <c r="D1108" s="169"/>
      <c r="E1108" s="139"/>
      <c r="F1108" s="141"/>
      <c r="G1108" s="170" t="str">
        <f>IFERROR(__xludf.DUMMYFUNCTION("if($C1108="""","""",iferror(if(row()&lt;&gt;2,INDEX(arrayformula(filter($H$2:$H1107,$C$2:$C1107&lt;&gt;"""",row($C$2:$C1107)=max(if($C$2:$C1107=C1108,row($C$2:$C1107),0)))) ,1),0),0))"),"")</f>
        <v/>
      </c>
      <c r="H1108" s="170" t="str">
        <f t="shared" si="8"/>
        <v/>
      </c>
      <c r="I1108" s="147" t="str">
        <f t="shared" si="1"/>
        <v/>
      </c>
      <c r="J1108" s="147" t="str">
        <f t="shared" si="13"/>
        <v/>
      </c>
      <c r="K1108" s="147" t="str">
        <f>IFERROR(__xludf.DUMMYFUNCTION("if(C1108="""","""",iferror(if(row()&lt;&gt;2,INDEX(arrayformula(filter($L$2:$L1107,$C$2:$C1107&lt;&gt;"""",row($C$2:$C1107)=max(if($C$2:$C1107=C1108,row($C$2:$C1107),0)))) ,1),0),0))"),"")</f>
        <v/>
      </c>
      <c r="L1108" s="147" t="str">
        <f t="shared" si="14"/>
        <v/>
      </c>
      <c r="M1108" s="147" t="str">
        <f t="shared" si="15"/>
        <v/>
      </c>
      <c r="N1108" s="147" t="str">
        <f t="shared" si="16"/>
        <v/>
      </c>
      <c r="O1108" s="147" t="str">
        <f t="shared" si="6"/>
        <v/>
      </c>
      <c r="P1108" s="150" t="str">
        <f t="shared" si="7"/>
        <v/>
      </c>
      <c r="Q1108" s="151" t="str">
        <f>IFERROR(VLOOKUP(C1108,Ativos!$A$1:$G2000,5,),)</f>
        <v/>
      </c>
    </row>
    <row r="1109" ht="21.0" customHeight="1">
      <c r="A1109" s="152"/>
      <c r="B1109" s="160"/>
      <c r="C1109" s="153"/>
      <c r="D1109" s="169"/>
      <c r="E1109" s="139"/>
      <c r="F1109" s="141"/>
      <c r="G1109" s="170" t="str">
        <f>IFERROR(__xludf.DUMMYFUNCTION("if($C1109="""","""",iferror(if(row()&lt;&gt;2,INDEX(arrayformula(filter($H$2:$H1108,$C$2:$C1108&lt;&gt;"""",row($C$2:$C1108)=max(if($C$2:$C1108=C1109,row($C$2:$C1108),0)))) ,1),0),0))"),"")</f>
        <v/>
      </c>
      <c r="H1109" s="170" t="str">
        <f t="shared" si="8"/>
        <v/>
      </c>
      <c r="I1109" s="147" t="str">
        <f t="shared" si="1"/>
        <v/>
      </c>
      <c r="J1109" s="147" t="str">
        <f t="shared" si="13"/>
        <v/>
      </c>
      <c r="K1109" s="147" t="str">
        <f>IFERROR(__xludf.DUMMYFUNCTION("if(C1109="""","""",iferror(if(row()&lt;&gt;2,INDEX(arrayformula(filter($L$2:$L1108,$C$2:$C1108&lt;&gt;"""",row($C$2:$C1108)=max(if($C$2:$C1108=C1109,row($C$2:$C1108),0)))) ,1),0),0))"),"")</f>
        <v/>
      </c>
      <c r="L1109" s="147" t="str">
        <f t="shared" si="14"/>
        <v/>
      </c>
      <c r="M1109" s="147" t="str">
        <f t="shared" si="15"/>
        <v/>
      </c>
      <c r="N1109" s="147" t="str">
        <f t="shared" si="16"/>
        <v/>
      </c>
      <c r="O1109" s="147" t="str">
        <f t="shared" si="6"/>
        <v/>
      </c>
      <c r="P1109" s="150" t="str">
        <f t="shared" si="7"/>
        <v/>
      </c>
      <c r="Q1109" s="151" t="str">
        <f>IFERROR(VLOOKUP(C1109,Ativos!$A$1:$G2000,5,),)</f>
        <v/>
      </c>
    </row>
    <row r="1110" ht="21.0" customHeight="1">
      <c r="A1110" s="152"/>
      <c r="B1110" s="160"/>
      <c r="C1110" s="153"/>
      <c r="D1110" s="169"/>
      <c r="E1110" s="139"/>
      <c r="F1110" s="141"/>
      <c r="G1110" s="170" t="str">
        <f>IFERROR(__xludf.DUMMYFUNCTION("if($C1110="""","""",iferror(if(row()&lt;&gt;2,INDEX(arrayformula(filter($H$2:$H1109,$C$2:$C1109&lt;&gt;"""",row($C$2:$C1109)=max(if($C$2:$C1109=C1110,row($C$2:$C1109),0)))) ,1),0),0))"),"")</f>
        <v/>
      </c>
      <c r="H1110" s="170" t="str">
        <f t="shared" si="8"/>
        <v/>
      </c>
      <c r="I1110" s="147" t="str">
        <f t="shared" si="1"/>
        <v/>
      </c>
      <c r="J1110" s="147" t="str">
        <f t="shared" si="13"/>
        <v/>
      </c>
      <c r="K1110" s="147" t="str">
        <f>IFERROR(__xludf.DUMMYFUNCTION("if(C1110="""","""",iferror(if(row()&lt;&gt;2,INDEX(arrayformula(filter($L$2:$L1109,$C$2:$C1109&lt;&gt;"""",row($C$2:$C1109)=max(if($C$2:$C1109=C1110,row($C$2:$C1109),0)))) ,1),0),0))"),"")</f>
        <v/>
      </c>
      <c r="L1110" s="147" t="str">
        <f t="shared" si="14"/>
        <v/>
      </c>
      <c r="M1110" s="147" t="str">
        <f t="shared" si="15"/>
        <v/>
      </c>
      <c r="N1110" s="147" t="str">
        <f t="shared" si="16"/>
        <v/>
      </c>
      <c r="O1110" s="147" t="str">
        <f t="shared" si="6"/>
        <v/>
      </c>
      <c r="P1110" s="150" t="str">
        <f t="shared" si="7"/>
        <v/>
      </c>
      <c r="Q1110" s="151" t="str">
        <f>IFERROR(VLOOKUP(C1110,Ativos!$A$1:$G2000,5,),)</f>
        <v/>
      </c>
    </row>
    <row r="1111" ht="21.0" customHeight="1">
      <c r="A1111" s="152"/>
      <c r="B1111" s="160"/>
      <c r="C1111" s="153"/>
      <c r="D1111" s="169"/>
      <c r="E1111" s="139"/>
      <c r="F1111" s="141"/>
      <c r="G1111" s="170" t="str">
        <f>IFERROR(__xludf.DUMMYFUNCTION("if($C1111="""","""",iferror(if(row()&lt;&gt;2,INDEX(arrayformula(filter($H$2:$H1110,$C$2:$C1110&lt;&gt;"""",row($C$2:$C1110)=max(if($C$2:$C1110=C1111,row($C$2:$C1110),0)))) ,1),0),0))"),"")</f>
        <v/>
      </c>
      <c r="H1111" s="170" t="str">
        <f t="shared" si="8"/>
        <v/>
      </c>
      <c r="I1111" s="147" t="str">
        <f t="shared" si="1"/>
        <v/>
      </c>
      <c r="J1111" s="147" t="str">
        <f t="shared" si="13"/>
        <v/>
      </c>
      <c r="K1111" s="147" t="str">
        <f>IFERROR(__xludf.DUMMYFUNCTION("if(C1111="""","""",iferror(if(row()&lt;&gt;2,INDEX(arrayformula(filter($L$2:$L1110,$C$2:$C1110&lt;&gt;"""",row($C$2:$C1110)=max(if($C$2:$C1110=C1111,row($C$2:$C1110),0)))) ,1),0),0))"),"")</f>
        <v/>
      </c>
      <c r="L1111" s="147" t="str">
        <f t="shared" si="14"/>
        <v/>
      </c>
      <c r="M1111" s="147" t="str">
        <f t="shared" si="15"/>
        <v/>
      </c>
      <c r="N1111" s="147" t="str">
        <f t="shared" si="16"/>
        <v/>
      </c>
      <c r="O1111" s="147" t="str">
        <f t="shared" si="6"/>
        <v/>
      </c>
      <c r="P1111" s="150" t="str">
        <f t="shared" si="7"/>
        <v/>
      </c>
      <c r="Q1111" s="151" t="str">
        <f>IFERROR(VLOOKUP(C1111,Ativos!$A$1:$G2000,5,),)</f>
        <v/>
      </c>
    </row>
    <row r="1112" ht="21.0" customHeight="1">
      <c r="A1112" s="152"/>
      <c r="B1112" s="160"/>
      <c r="C1112" s="153"/>
      <c r="D1112" s="169"/>
      <c r="E1112" s="139"/>
      <c r="F1112" s="141"/>
      <c r="G1112" s="170" t="str">
        <f>IFERROR(__xludf.DUMMYFUNCTION("if($C1112="""","""",iferror(if(row()&lt;&gt;2,INDEX(arrayformula(filter($H$2:$H1111,$C$2:$C1111&lt;&gt;"""",row($C$2:$C1111)=max(if($C$2:$C1111=C1112,row($C$2:$C1111),0)))) ,1),0),0))"),"")</f>
        <v/>
      </c>
      <c r="H1112" s="170" t="str">
        <f t="shared" si="8"/>
        <v/>
      </c>
      <c r="I1112" s="147" t="str">
        <f t="shared" si="1"/>
        <v/>
      </c>
      <c r="J1112" s="147" t="str">
        <f t="shared" si="13"/>
        <v/>
      </c>
      <c r="K1112" s="147" t="str">
        <f>IFERROR(__xludf.DUMMYFUNCTION("if(C1112="""","""",iferror(if(row()&lt;&gt;2,INDEX(arrayformula(filter($L$2:$L1111,$C$2:$C1111&lt;&gt;"""",row($C$2:$C1111)=max(if($C$2:$C1111=C1112,row($C$2:$C1111),0)))) ,1),0),0))"),"")</f>
        <v/>
      </c>
      <c r="L1112" s="147" t="str">
        <f t="shared" si="14"/>
        <v/>
      </c>
      <c r="M1112" s="147" t="str">
        <f t="shared" si="15"/>
        <v/>
      </c>
      <c r="N1112" s="147" t="str">
        <f t="shared" si="16"/>
        <v/>
      </c>
      <c r="O1112" s="147" t="str">
        <f t="shared" si="6"/>
        <v/>
      </c>
      <c r="P1112" s="150" t="str">
        <f t="shared" si="7"/>
        <v/>
      </c>
      <c r="Q1112" s="151" t="str">
        <f>IFERROR(VLOOKUP(C1112,Ativos!$A$1:$G2000,5,),)</f>
        <v/>
      </c>
    </row>
    <row r="1113" ht="21.0" customHeight="1">
      <c r="A1113" s="152"/>
      <c r="B1113" s="160"/>
      <c r="C1113" s="153"/>
      <c r="D1113" s="169"/>
      <c r="E1113" s="139"/>
      <c r="F1113" s="141"/>
      <c r="G1113" s="170" t="str">
        <f>IFERROR(__xludf.DUMMYFUNCTION("if($C1113="""","""",iferror(if(row()&lt;&gt;2,INDEX(arrayformula(filter($H$2:$H1112,$C$2:$C1112&lt;&gt;"""",row($C$2:$C1112)=max(if($C$2:$C1112=C1113,row($C$2:$C1112),0)))) ,1),0),0))"),"")</f>
        <v/>
      </c>
      <c r="H1113" s="170" t="str">
        <f t="shared" si="8"/>
        <v/>
      </c>
      <c r="I1113" s="147" t="str">
        <f t="shared" si="1"/>
        <v/>
      </c>
      <c r="J1113" s="147" t="str">
        <f t="shared" si="13"/>
        <v/>
      </c>
      <c r="K1113" s="147" t="str">
        <f>IFERROR(__xludf.DUMMYFUNCTION("if(C1113="""","""",iferror(if(row()&lt;&gt;2,INDEX(arrayformula(filter($L$2:$L1112,$C$2:$C1112&lt;&gt;"""",row($C$2:$C1112)=max(if($C$2:$C1112=C1113,row($C$2:$C1112),0)))) ,1),0),0))"),"")</f>
        <v/>
      </c>
      <c r="L1113" s="147" t="str">
        <f t="shared" si="14"/>
        <v/>
      </c>
      <c r="M1113" s="147" t="str">
        <f t="shared" si="15"/>
        <v/>
      </c>
      <c r="N1113" s="147" t="str">
        <f t="shared" si="16"/>
        <v/>
      </c>
      <c r="O1113" s="147" t="str">
        <f t="shared" si="6"/>
        <v/>
      </c>
      <c r="P1113" s="150" t="str">
        <f t="shared" si="7"/>
        <v/>
      </c>
      <c r="Q1113" s="151" t="str">
        <f>IFERROR(VLOOKUP(C1113,Ativos!$A$1:$G2000,5,),)</f>
        <v/>
      </c>
    </row>
    <row r="1114" ht="21.0" customHeight="1">
      <c r="A1114" s="152"/>
      <c r="B1114" s="160"/>
      <c r="C1114" s="153"/>
      <c r="D1114" s="169"/>
      <c r="E1114" s="139"/>
      <c r="F1114" s="141"/>
      <c r="G1114" s="170" t="str">
        <f>IFERROR(__xludf.DUMMYFUNCTION("if($C1114="""","""",iferror(if(row()&lt;&gt;2,INDEX(arrayformula(filter($H$2:$H1113,$C$2:$C1113&lt;&gt;"""",row($C$2:$C1113)=max(if($C$2:$C1113=C1114,row($C$2:$C1113),0)))) ,1),0),0))"),"")</f>
        <v/>
      </c>
      <c r="H1114" s="170" t="str">
        <f t="shared" si="8"/>
        <v/>
      </c>
      <c r="I1114" s="147" t="str">
        <f t="shared" si="1"/>
        <v/>
      </c>
      <c r="J1114" s="147" t="str">
        <f t="shared" si="13"/>
        <v/>
      </c>
      <c r="K1114" s="147" t="str">
        <f>IFERROR(__xludf.DUMMYFUNCTION("if(C1114="""","""",iferror(if(row()&lt;&gt;2,INDEX(arrayformula(filter($L$2:$L1113,$C$2:$C1113&lt;&gt;"""",row($C$2:$C1113)=max(if($C$2:$C1113=C1114,row($C$2:$C1113),0)))) ,1),0),0))"),"")</f>
        <v/>
      </c>
      <c r="L1114" s="147" t="str">
        <f t="shared" si="14"/>
        <v/>
      </c>
      <c r="M1114" s="147" t="str">
        <f t="shared" si="15"/>
        <v/>
      </c>
      <c r="N1114" s="147" t="str">
        <f t="shared" si="16"/>
        <v/>
      </c>
      <c r="O1114" s="147" t="str">
        <f t="shared" si="6"/>
        <v/>
      </c>
      <c r="P1114" s="150" t="str">
        <f t="shared" si="7"/>
        <v/>
      </c>
      <c r="Q1114" s="151" t="str">
        <f>IFERROR(VLOOKUP(C1114,Ativos!$A$1:$G2000,5,),)</f>
        <v/>
      </c>
    </row>
    <row r="1115" ht="21.0" customHeight="1">
      <c r="A1115" s="152"/>
      <c r="B1115" s="160"/>
      <c r="C1115" s="153"/>
      <c r="D1115" s="169"/>
      <c r="E1115" s="139"/>
      <c r="F1115" s="141"/>
      <c r="G1115" s="170" t="str">
        <f>IFERROR(__xludf.DUMMYFUNCTION("if($C1115="""","""",iferror(if(row()&lt;&gt;2,INDEX(arrayformula(filter($H$2:$H1114,$C$2:$C1114&lt;&gt;"""",row($C$2:$C1114)=max(if($C$2:$C1114=C1115,row($C$2:$C1114),0)))) ,1),0),0))"),"")</f>
        <v/>
      </c>
      <c r="H1115" s="170" t="str">
        <f t="shared" si="8"/>
        <v/>
      </c>
      <c r="I1115" s="147" t="str">
        <f t="shared" si="1"/>
        <v/>
      </c>
      <c r="J1115" s="147" t="str">
        <f t="shared" si="13"/>
        <v/>
      </c>
      <c r="K1115" s="147" t="str">
        <f>IFERROR(__xludf.DUMMYFUNCTION("if(C1115="""","""",iferror(if(row()&lt;&gt;2,INDEX(arrayformula(filter($L$2:$L1114,$C$2:$C1114&lt;&gt;"""",row($C$2:$C1114)=max(if($C$2:$C1114=C1115,row($C$2:$C1114),0)))) ,1),0),0))"),"")</f>
        <v/>
      </c>
      <c r="L1115" s="147" t="str">
        <f t="shared" si="14"/>
        <v/>
      </c>
      <c r="M1115" s="147" t="str">
        <f t="shared" si="15"/>
        <v/>
      </c>
      <c r="N1115" s="147" t="str">
        <f t="shared" si="16"/>
        <v/>
      </c>
      <c r="O1115" s="147" t="str">
        <f t="shared" si="6"/>
        <v/>
      </c>
      <c r="P1115" s="150" t="str">
        <f t="shared" si="7"/>
        <v/>
      </c>
      <c r="Q1115" s="151" t="str">
        <f>IFERROR(VLOOKUP(C1115,Ativos!$A$1:$G2000,5,),)</f>
        <v/>
      </c>
    </row>
    <row r="1116" ht="21.0" customHeight="1">
      <c r="A1116" s="152"/>
      <c r="B1116" s="160"/>
      <c r="C1116" s="153"/>
      <c r="D1116" s="169"/>
      <c r="E1116" s="139"/>
      <c r="F1116" s="141"/>
      <c r="G1116" s="170" t="str">
        <f>IFERROR(__xludf.DUMMYFUNCTION("if($C1116="""","""",iferror(if(row()&lt;&gt;2,INDEX(arrayformula(filter($H$2:$H1115,$C$2:$C1115&lt;&gt;"""",row($C$2:$C1115)=max(if($C$2:$C1115=C1116,row($C$2:$C1115),0)))) ,1),0),0))"),"")</f>
        <v/>
      </c>
      <c r="H1116" s="170" t="str">
        <f t="shared" si="8"/>
        <v/>
      </c>
      <c r="I1116" s="147" t="str">
        <f t="shared" si="1"/>
        <v/>
      </c>
      <c r="J1116" s="147" t="str">
        <f t="shared" si="13"/>
        <v/>
      </c>
      <c r="K1116" s="147" t="str">
        <f>IFERROR(__xludf.DUMMYFUNCTION("if(C1116="""","""",iferror(if(row()&lt;&gt;2,INDEX(arrayformula(filter($L$2:$L1115,$C$2:$C1115&lt;&gt;"""",row($C$2:$C1115)=max(if($C$2:$C1115=C1116,row($C$2:$C1115),0)))) ,1),0),0))"),"")</f>
        <v/>
      </c>
      <c r="L1116" s="147" t="str">
        <f t="shared" si="14"/>
        <v/>
      </c>
      <c r="M1116" s="147" t="str">
        <f t="shared" si="15"/>
        <v/>
      </c>
      <c r="N1116" s="147" t="str">
        <f t="shared" si="16"/>
        <v/>
      </c>
      <c r="O1116" s="147" t="str">
        <f t="shared" si="6"/>
        <v/>
      </c>
      <c r="P1116" s="150" t="str">
        <f t="shared" si="7"/>
        <v/>
      </c>
      <c r="Q1116" s="151" t="str">
        <f>IFERROR(VLOOKUP(C1116,Ativos!$A$1:$G2000,5,),)</f>
        <v/>
      </c>
    </row>
    <row r="1117" ht="21.0" customHeight="1">
      <c r="A1117" s="152"/>
      <c r="B1117" s="160"/>
      <c r="C1117" s="153"/>
      <c r="D1117" s="169"/>
      <c r="E1117" s="139"/>
      <c r="F1117" s="141"/>
      <c r="G1117" s="170" t="str">
        <f>IFERROR(__xludf.DUMMYFUNCTION("if($C1117="""","""",iferror(if(row()&lt;&gt;2,INDEX(arrayformula(filter($H$2:$H1116,$C$2:$C1116&lt;&gt;"""",row($C$2:$C1116)=max(if($C$2:$C1116=C1117,row($C$2:$C1116),0)))) ,1),0),0))"),"")</f>
        <v/>
      </c>
      <c r="H1117" s="170" t="str">
        <f t="shared" si="8"/>
        <v/>
      </c>
      <c r="I1117" s="147" t="str">
        <f t="shared" si="1"/>
        <v/>
      </c>
      <c r="J1117" s="147" t="str">
        <f t="shared" si="13"/>
        <v/>
      </c>
      <c r="K1117" s="147" t="str">
        <f>IFERROR(__xludf.DUMMYFUNCTION("if(C1117="""","""",iferror(if(row()&lt;&gt;2,INDEX(arrayformula(filter($L$2:$L1116,$C$2:$C1116&lt;&gt;"""",row($C$2:$C1116)=max(if($C$2:$C1116=C1117,row($C$2:$C1116),0)))) ,1),0),0))"),"")</f>
        <v/>
      </c>
      <c r="L1117" s="147" t="str">
        <f t="shared" si="14"/>
        <v/>
      </c>
      <c r="M1117" s="147" t="str">
        <f t="shared" si="15"/>
        <v/>
      </c>
      <c r="N1117" s="147" t="str">
        <f t="shared" si="16"/>
        <v/>
      </c>
      <c r="O1117" s="147" t="str">
        <f t="shared" si="6"/>
        <v/>
      </c>
      <c r="P1117" s="150" t="str">
        <f t="shared" si="7"/>
        <v/>
      </c>
      <c r="Q1117" s="151" t="str">
        <f>IFERROR(VLOOKUP(C1117,Ativos!$A$1:$G2000,5,),)</f>
        <v/>
      </c>
    </row>
    <row r="1118" ht="21.0" customHeight="1">
      <c r="A1118" s="152"/>
      <c r="B1118" s="160"/>
      <c r="C1118" s="153"/>
      <c r="D1118" s="169"/>
      <c r="E1118" s="139"/>
      <c r="F1118" s="141"/>
      <c r="G1118" s="170" t="str">
        <f>IFERROR(__xludf.DUMMYFUNCTION("if($C1118="""","""",iferror(if(row()&lt;&gt;2,INDEX(arrayformula(filter($H$2:$H1117,$C$2:$C1117&lt;&gt;"""",row($C$2:$C1117)=max(if($C$2:$C1117=C1118,row($C$2:$C1117),0)))) ,1),0),0))"),"")</f>
        <v/>
      </c>
      <c r="H1118" s="170" t="str">
        <f t="shared" si="8"/>
        <v/>
      </c>
      <c r="I1118" s="147" t="str">
        <f t="shared" si="1"/>
        <v/>
      </c>
      <c r="J1118" s="147" t="str">
        <f t="shared" si="13"/>
        <v/>
      </c>
      <c r="K1118" s="147" t="str">
        <f>IFERROR(__xludf.DUMMYFUNCTION("if(C1118="""","""",iferror(if(row()&lt;&gt;2,INDEX(arrayformula(filter($L$2:$L1117,$C$2:$C1117&lt;&gt;"""",row($C$2:$C1117)=max(if($C$2:$C1117=C1118,row($C$2:$C1117),0)))) ,1),0),0))"),"")</f>
        <v/>
      </c>
      <c r="L1118" s="147" t="str">
        <f t="shared" si="14"/>
        <v/>
      </c>
      <c r="M1118" s="147" t="str">
        <f t="shared" si="15"/>
        <v/>
      </c>
      <c r="N1118" s="147" t="str">
        <f t="shared" si="16"/>
        <v/>
      </c>
      <c r="O1118" s="147" t="str">
        <f t="shared" si="6"/>
        <v/>
      </c>
      <c r="P1118" s="150" t="str">
        <f t="shared" si="7"/>
        <v/>
      </c>
      <c r="Q1118" s="151" t="str">
        <f>IFERROR(VLOOKUP(C1118,Ativos!$A$1:$G2000,5,),)</f>
        <v/>
      </c>
    </row>
    <row r="1119" ht="21.0" customHeight="1">
      <c r="A1119" s="152"/>
      <c r="B1119" s="160"/>
      <c r="C1119" s="153"/>
      <c r="D1119" s="169"/>
      <c r="E1119" s="139"/>
      <c r="F1119" s="141"/>
      <c r="G1119" s="170" t="str">
        <f>IFERROR(__xludf.DUMMYFUNCTION("if($C1119="""","""",iferror(if(row()&lt;&gt;2,INDEX(arrayformula(filter($H$2:$H1118,$C$2:$C1118&lt;&gt;"""",row($C$2:$C1118)=max(if($C$2:$C1118=C1119,row($C$2:$C1118),0)))) ,1),0),0))"),"")</f>
        <v/>
      </c>
      <c r="H1119" s="170" t="str">
        <f t="shared" si="8"/>
        <v/>
      </c>
      <c r="I1119" s="147" t="str">
        <f t="shared" si="1"/>
        <v/>
      </c>
      <c r="J1119" s="147" t="str">
        <f t="shared" si="13"/>
        <v/>
      </c>
      <c r="K1119" s="147" t="str">
        <f>IFERROR(__xludf.DUMMYFUNCTION("if(C1119="""","""",iferror(if(row()&lt;&gt;2,INDEX(arrayformula(filter($L$2:$L1118,$C$2:$C1118&lt;&gt;"""",row($C$2:$C1118)=max(if($C$2:$C1118=C1119,row($C$2:$C1118),0)))) ,1),0),0))"),"")</f>
        <v/>
      </c>
      <c r="L1119" s="147" t="str">
        <f t="shared" si="14"/>
        <v/>
      </c>
      <c r="M1119" s="147" t="str">
        <f t="shared" si="15"/>
        <v/>
      </c>
      <c r="N1119" s="147" t="str">
        <f t="shared" si="16"/>
        <v/>
      </c>
      <c r="O1119" s="147" t="str">
        <f t="shared" si="6"/>
        <v/>
      </c>
      <c r="P1119" s="150" t="str">
        <f t="shared" si="7"/>
        <v/>
      </c>
      <c r="Q1119" s="151" t="str">
        <f>IFERROR(VLOOKUP(C1119,Ativos!$A$1:$G2000,5,),)</f>
        <v/>
      </c>
    </row>
    <row r="1120" ht="21.0" customHeight="1">
      <c r="A1120" s="152"/>
      <c r="B1120" s="160"/>
      <c r="C1120" s="153"/>
      <c r="D1120" s="169"/>
      <c r="E1120" s="139"/>
      <c r="F1120" s="141"/>
      <c r="G1120" s="170" t="str">
        <f>IFERROR(__xludf.DUMMYFUNCTION("if($C1120="""","""",iferror(if(row()&lt;&gt;2,INDEX(arrayformula(filter($H$2:$H1119,$C$2:$C1119&lt;&gt;"""",row($C$2:$C1119)=max(if($C$2:$C1119=C1120,row($C$2:$C1119),0)))) ,1),0),0))"),"")</f>
        <v/>
      </c>
      <c r="H1120" s="170" t="str">
        <f t="shared" si="8"/>
        <v/>
      </c>
      <c r="I1120" s="147" t="str">
        <f t="shared" si="1"/>
        <v/>
      </c>
      <c r="J1120" s="147" t="str">
        <f t="shared" si="13"/>
        <v/>
      </c>
      <c r="K1120" s="147" t="str">
        <f>IFERROR(__xludf.DUMMYFUNCTION("if(C1120="""","""",iferror(if(row()&lt;&gt;2,INDEX(arrayformula(filter($L$2:$L1119,$C$2:$C1119&lt;&gt;"""",row($C$2:$C1119)=max(if($C$2:$C1119=C1120,row($C$2:$C1119),0)))) ,1),0),0))"),"")</f>
        <v/>
      </c>
      <c r="L1120" s="147" t="str">
        <f t="shared" si="14"/>
        <v/>
      </c>
      <c r="M1120" s="147" t="str">
        <f t="shared" si="15"/>
        <v/>
      </c>
      <c r="N1120" s="147" t="str">
        <f t="shared" si="16"/>
        <v/>
      </c>
      <c r="O1120" s="147" t="str">
        <f t="shared" si="6"/>
        <v/>
      </c>
      <c r="P1120" s="150" t="str">
        <f t="shared" si="7"/>
        <v/>
      </c>
      <c r="Q1120" s="151" t="str">
        <f>IFERROR(VLOOKUP(C1120,Ativos!$A$1:$G2000,5,),)</f>
        <v/>
      </c>
    </row>
    <row r="1121" ht="21.0" customHeight="1">
      <c r="A1121" s="152"/>
      <c r="B1121" s="160"/>
      <c r="C1121" s="153"/>
      <c r="D1121" s="169"/>
      <c r="E1121" s="139"/>
      <c r="F1121" s="141"/>
      <c r="G1121" s="170" t="str">
        <f>IFERROR(__xludf.DUMMYFUNCTION("if($C1121="""","""",iferror(if(row()&lt;&gt;2,INDEX(arrayformula(filter($H$2:$H1120,$C$2:$C1120&lt;&gt;"""",row($C$2:$C1120)=max(if($C$2:$C1120=C1121,row($C$2:$C1120),0)))) ,1),0),0))"),"")</f>
        <v/>
      </c>
      <c r="H1121" s="170" t="str">
        <f t="shared" si="8"/>
        <v/>
      </c>
      <c r="I1121" s="147" t="str">
        <f t="shared" si="1"/>
        <v/>
      </c>
      <c r="J1121" s="147" t="str">
        <f t="shared" si="13"/>
        <v/>
      </c>
      <c r="K1121" s="147" t="str">
        <f>IFERROR(__xludf.DUMMYFUNCTION("if(C1121="""","""",iferror(if(row()&lt;&gt;2,INDEX(arrayformula(filter($L$2:$L1120,$C$2:$C1120&lt;&gt;"""",row($C$2:$C1120)=max(if($C$2:$C1120=C1121,row($C$2:$C1120),0)))) ,1),0),0))"),"")</f>
        <v/>
      </c>
      <c r="L1121" s="147" t="str">
        <f t="shared" si="14"/>
        <v/>
      </c>
      <c r="M1121" s="147" t="str">
        <f t="shared" si="15"/>
        <v/>
      </c>
      <c r="N1121" s="147" t="str">
        <f t="shared" si="16"/>
        <v/>
      </c>
      <c r="O1121" s="147" t="str">
        <f t="shared" si="6"/>
        <v/>
      </c>
      <c r="P1121" s="150" t="str">
        <f t="shared" si="7"/>
        <v/>
      </c>
      <c r="Q1121" s="151" t="str">
        <f>IFERROR(VLOOKUP(C1121,Ativos!$A$1:$G2000,5,),)</f>
        <v/>
      </c>
    </row>
    <row r="1122" ht="21.0" customHeight="1">
      <c r="A1122" s="152"/>
      <c r="B1122" s="160"/>
      <c r="C1122" s="153"/>
      <c r="D1122" s="169"/>
      <c r="E1122" s="139"/>
      <c r="F1122" s="141"/>
      <c r="G1122" s="170" t="str">
        <f>IFERROR(__xludf.DUMMYFUNCTION("if($C1122="""","""",iferror(if(row()&lt;&gt;2,INDEX(arrayformula(filter($H$2:$H1121,$C$2:$C1121&lt;&gt;"""",row($C$2:$C1121)=max(if($C$2:$C1121=C1122,row($C$2:$C1121),0)))) ,1),0),0))"),"")</f>
        <v/>
      </c>
      <c r="H1122" s="170" t="str">
        <f t="shared" si="8"/>
        <v/>
      </c>
      <c r="I1122" s="147" t="str">
        <f t="shared" si="1"/>
        <v/>
      </c>
      <c r="J1122" s="147" t="str">
        <f t="shared" si="13"/>
        <v/>
      </c>
      <c r="K1122" s="147" t="str">
        <f>IFERROR(__xludf.DUMMYFUNCTION("if(C1122="""","""",iferror(if(row()&lt;&gt;2,INDEX(arrayformula(filter($L$2:$L1121,$C$2:$C1121&lt;&gt;"""",row($C$2:$C1121)=max(if($C$2:$C1121=C1122,row($C$2:$C1121),0)))) ,1),0),0))"),"")</f>
        <v/>
      </c>
      <c r="L1122" s="147" t="str">
        <f t="shared" si="14"/>
        <v/>
      </c>
      <c r="M1122" s="147" t="str">
        <f t="shared" si="15"/>
        <v/>
      </c>
      <c r="N1122" s="147" t="str">
        <f t="shared" si="16"/>
        <v/>
      </c>
      <c r="O1122" s="147" t="str">
        <f t="shared" si="6"/>
        <v/>
      </c>
      <c r="P1122" s="150" t="str">
        <f t="shared" si="7"/>
        <v/>
      </c>
      <c r="Q1122" s="151" t="str">
        <f>IFERROR(VLOOKUP(C1122,Ativos!$A$1:$G2000,5,),)</f>
        <v/>
      </c>
    </row>
    <row r="1123" ht="21.0" customHeight="1">
      <c r="A1123" s="152"/>
      <c r="B1123" s="160"/>
      <c r="C1123" s="153"/>
      <c r="D1123" s="169"/>
      <c r="E1123" s="139"/>
      <c r="F1123" s="141"/>
      <c r="G1123" s="170" t="str">
        <f>IFERROR(__xludf.DUMMYFUNCTION("if($C1123="""","""",iferror(if(row()&lt;&gt;2,INDEX(arrayformula(filter($H$2:$H1122,$C$2:$C1122&lt;&gt;"""",row($C$2:$C1122)=max(if($C$2:$C1122=C1123,row($C$2:$C1122),0)))) ,1),0),0))"),"")</f>
        <v/>
      </c>
      <c r="H1123" s="170" t="str">
        <f t="shared" si="8"/>
        <v/>
      </c>
      <c r="I1123" s="147" t="str">
        <f t="shared" si="1"/>
        <v/>
      </c>
      <c r="J1123" s="147" t="str">
        <f t="shared" si="13"/>
        <v/>
      </c>
      <c r="K1123" s="147" t="str">
        <f>IFERROR(__xludf.DUMMYFUNCTION("if(C1123="""","""",iferror(if(row()&lt;&gt;2,INDEX(arrayformula(filter($L$2:$L1122,$C$2:$C1122&lt;&gt;"""",row($C$2:$C1122)=max(if($C$2:$C1122=C1123,row($C$2:$C1122),0)))) ,1),0),0))"),"")</f>
        <v/>
      </c>
      <c r="L1123" s="147" t="str">
        <f t="shared" si="14"/>
        <v/>
      </c>
      <c r="M1123" s="147" t="str">
        <f t="shared" si="15"/>
        <v/>
      </c>
      <c r="N1123" s="147" t="str">
        <f t="shared" si="16"/>
        <v/>
      </c>
      <c r="O1123" s="147" t="str">
        <f t="shared" si="6"/>
        <v/>
      </c>
      <c r="P1123" s="150" t="str">
        <f t="shared" si="7"/>
        <v/>
      </c>
      <c r="Q1123" s="151" t="str">
        <f>IFERROR(VLOOKUP(C1123,Ativos!$A$1:$G2000,5,),)</f>
        <v/>
      </c>
    </row>
    <row r="1124" ht="21.0" customHeight="1">
      <c r="A1124" s="152"/>
      <c r="B1124" s="160"/>
      <c r="C1124" s="153"/>
      <c r="D1124" s="169"/>
      <c r="E1124" s="139"/>
      <c r="F1124" s="141"/>
      <c r="G1124" s="170" t="str">
        <f>IFERROR(__xludf.DUMMYFUNCTION("if($C1124="""","""",iferror(if(row()&lt;&gt;2,INDEX(arrayformula(filter($H$2:$H1123,$C$2:$C1123&lt;&gt;"""",row($C$2:$C1123)=max(if($C$2:$C1123=C1124,row($C$2:$C1123),0)))) ,1),0),0))"),"")</f>
        <v/>
      </c>
      <c r="H1124" s="170" t="str">
        <f t="shared" si="8"/>
        <v/>
      </c>
      <c r="I1124" s="147" t="str">
        <f t="shared" si="1"/>
        <v/>
      </c>
      <c r="J1124" s="147" t="str">
        <f t="shared" si="13"/>
        <v/>
      </c>
      <c r="K1124" s="147" t="str">
        <f>IFERROR(__xludf.DUMMYFUNCTION("if(C1124="""","""",iferror(if(row()&lt;&gt;2,INDEX(arrayformula(filter($L$2:$L1123,$C$2:$C1123&lt;&gt;"""",row($C$2:$C1123)=max(if($C$2:$C1123=C1124,row($C$2:$C1123),0)))) ,1),0),0))"),"")</f>
        <v/>
      </c>
      <c r="L1124" s="147" t="str">
        <f t="shared" si="14"/>
        <v/>
      </c>
      <c r="M1124" s="147" t="str">
        <f t="shared" si="15"/>
        <v/>
      </c>
      <c r="N1124" s="147" t="str">
        <f t="shared" si="16"/>
        <v/>
      </c>
      <c r="O1124" s="147" t="str">
        <f t="shared" si="6"/>
        <v/>
      </c>
      <c r="P1124" s="150" t="str">
        <f t="shared" si="7"/>
        <v/>
      </c>
      <c r="Q1124" s="151" t="str">
        <f>IFERROR(VLOOKUP(C1124,Ativos!$A$1:$G2000,5,),)</f>
        <v/>
      </c>
    </row>
    <row r="1125" ht="21.0" customHeight="1">
      <c r="A1125" s="152"/>
      <c r="B1125" s="160"/>
      <c r="C1125" s="153"/>
      <c r="D1125" s="169"/>
      <c r="E1125" s="139"/>
      <c r="F1125" s="141"/>
      <c r="G1125" s="170" t="str">
        <f>IFERROR(__xludf.DUMMYFUNCTION("if($C1125="""","""",iferror(if(row()&lt;&gt;2,INDEX(arrayformula(filter($H$2:$H1124,$C$2:$C1124&lt;&gt;"""",row($C$2:$C1124)=max(if($C$2:$C1124=C1125,row($C$2:$C1124),0)))) ,1),0),0))"),"")</f>
        <v/>
      </c>
      <c r="H1125" s="170" t="str">
        <f t="shared" si="8"/>
        <v/>
      </c>
      <c r="I1125" s="147" t="str">
        <f t="shared" si="1"/>
        <v/>
      </c>
      <c r="J1125" s="147" t="str">
        <f t="shared" si="13"/>
        <v/>
      </c>
      <c r="K1125" s="147" t="str">
        <f>IFERROR(__xludf.DUMMYFUNCTION("if(C1125="""","""",iferror(if(row()&lt;&gt;2,INDEX(arrayformula(filter($L$2:$L1124,$C$2:$C1124&lt;&gt;"""",row($C$2:$C1124)=max(if($C$2:$C1124=C1125,row($C$2:$C1124),0)))) ,1),0),0))"),"")</f>
        <v/>
      </c>
      <c r="L1125" s="147" t="str">
        <f t="shared" si="14"/>
        <v/>
      </c>
      <c r="M1125" s="147" t="str">
        <f t="shared" si="15"/>
        <v/>
      </c>
      <c r="N1125" s="147" t="str">
        <f t="shared" si="16"/>
        <v/>
      </c>
      <c r="O1125" s="147" t="str">
        <f t="shared" si="6"/>
        <v/>
      </c>
      <c r="P1125" s="150" t="str">
        <f t="shared" si="7"/>
        <v/>
      </c>
      <c r="Q1125" s="151" t="str">
        <f>IFERROR(VLOOKUP(C1125,Ativos!$A$1:$G2000,5,),)</f>
        <v/>
      </c>
    </row>
    <row r="1126" ht="21.0" customHeight="1">
      <c r="A1126" s="152"/>
      <c r="B1126" s="160"/>
      <c r="C1126" s="153"/>
      <c r="D1126" s="169"/>
      <c r="E1126" s="139"/>
      <c r="F1126" s="141"/>
      <c r="G1126" s="170" t="str">
        <f>IFERROR(__xludf.DUMMYFUNCTION("if($C1126="""","""",iferror(if(row()&lt;&gt;2,INDEX(arrayformula(filter($H$2:$H1125,$C$2:$C1125&lt;&gt;"""",row($C$2:$C1125)=max(if($C$2:$C1125=C1126,row($C$2:$C1125),0)))) ,1),0),0))"),"")</f>
        <v/>
      </c>
      <c r="H1126" s="170" t="str">
        <f t="shared" si="8"/>
        <v/>
      </c>
      <c r="I1126" s="147" t="str">
        <f t="shared" si="1"/>
        <v/>
      </c>
      <c r="J1126" s="147" t="str">
        <f t="shared" si="13"/>
        <v/>
      </c>
      <c r="K1126" s="147" t="str">
        <f>IFERROR(__xludf.DUMMYFUNCTION("if(C1126="""","""",iferror(if(row()&lt;&gt;2,INDEX(arrayformula(filter($L$2:$L1125,$C$2:$C1125&lt;&gt;"""",row($C$2:$C1125)=max(if($C$2:$C1125=C1126,row($C$2:$C1125),0)))) ,1),0),0))"),"")</f>
        <v/>
      </c>
      <c r="L1126" s="147" t="str">
        <f t="shared" si="14"/>
        <v/>
      </c>
      <c r="M1126" s="147" t="str">
        <f t="shared" si="15"/>
        <v/>
      </c>
      <c r="N1126" s="147" t="str">
        <f t="shared" si="16"/>
        <v/>
      </c>
      <c r="O1126" s="147" t="str">
        <f t="shared" si="6"/>
        <v/>
      </c>
      <c r="P1126" s="150" t="str">
        <f t="shared" si="7"/>
        <v/>
      </c>
      <c r="Q1126" s="151" t="str">
        <f>IFERROR(VLOOKUP(C1126,Ativos!$A$1:$G2000,5,),)</f>
        <v/>
      </c>
    </row>
    <row r="1127" ht="21.0" customHeight="1">
      <c r="A1127" s="152"/>
      <c r="B1127" s="160"/>
      <c r="C1127" s="153"/>
      <c r="D1127" s="169"/>
      <c r="E1127" s="139"/>
      <c r="F1127" s="141"/>
      <c r="G1127" s="170" t="str">
        <f>IFERROR(__xludf.DUMMYFUNCTION("if($C1127="""","""",iferror(if(row()&lt;&gt;2,INDEX(arrayformula(filter($H$2:$H1126,$C$2:$C1126&lt;&gt;"""",row($C$2:$C1126)=max(if($C$2:$C1126=C1127,row($C$2:$C1126),0)))) ,1),0),0))"),"")</f>
        <v/>
      </c>
      <c r="H1127" s="170" t="str">
        <f t="shared" si="8"/>
        <v/>
      </c>
      <c r="I1127" s="147" t="str">
        <f t="shared" si="1"/>
        <v/>
      </c>
      <c r="J1127" s="147" t="str">
        <f t="shared" si="13"/>
        <v/>
      </c>
      <c r="K1127" s="147" t="str">
        <f>IFERROR(__xludf.DUMMYFUNCTION("if(C1127="""","""",iferror(if(row()&lt;&gt;2,INDEX(arrayformula(filter($L$2:$L1126,$C$2:$C1126&lt;&gt;"""",row($C$2:$C1126)=max(if($C$2:$C1126=C1127,row($C$2:$C1126),0)))) ,1),0),0))"),"")</f>
        <v/>
      </c>
      <c r="L1127" s="147" t="str">
        <f t="shared" si="14"/>
        <v/>
      </c>
      <c r="M1127" s="147" t="str">
        <f t="shared" si="15"/>
        <v/>
      </c>
      <c r="N1127" s="147" t="str">
        <f t="shared" si="16"/>
        <v/>
      </c>
      <c r="O1127" s="147" t="str">
        <f t="shared" si="6"/>
        <v/>
      </c>
      <c r="P1127" s="150" t="str">
        <f t="shared" si="7"/>
        <v/>
      </c>
      <c r="Q1127" s="151" t="str">
        <f>IFERROR(VLOOKUP(C1127,Ativos!$A$1:$G2000,5,),)</f>
        <v/>
      </c>
    </row>
    <row r="1128" ht="21.0" customHeight="1">
      <c r="A1128" s="152"/>
      <c r="B1128" s="160"/>
      <c r="C1128" s="153"/>
      <c r="D1128" s="169"/>
      <c r="E1128" s="139"/>
      <c r="F1128" s="141"/>
      <c r="G1128" s="170" t="str">
        <f>IFERROR(__xludf.DUMMYFUNCTION("if($C1128="""","""",iferror(if(row()&lt;&gt;2,INDEX(arrayformula(filter($H$2:$H1127,$C$2:$C1127&lt;&gt;"""",row($C$2:$C1127)=max(if($C$2:$C1127=C1128,row($C$2:$C1127),0)))) ,1),0),0))"),"")</f>
        <v/>
      </c>
      <c r="H1128" s="170" t="str">
        <f t="shared" si="8"/>
        <v/>
      </c>
      <c r="I1128" s="147" t="str">
        <f t="shared" si="1"/>
        <v/>
      </c>
      <c r="J1128" s="147" t="str">
        <f t="shared" si="13"/>
        <v/>
      </c>
      <c r="K1128" s="147" t="str">
        <f>IFERROR(__xludf.DUMMYFUNCTION("if(C1128="""","""",iferror(if(row()&lt;&gt;2,INDEX(arrayformula(filter($L$2:$L1127,$C$2:$C1127&lt;&gt;"""",row($C$2:$C1127)=max(if($C$2:$C1127=C1128,row($C$2:$C1127),0)))) ,1),0),0))"),"")</f>
        <v/>
      </c>
      <c r="L1128" s="147" t="str">
        <f t="shared" si="14"/>
        <v/>
      </c>
      <c r="M1128" s="147" t="str">
        <f t="shared" si="15"/>
        <v/>
      </c>
      <c r="N1128" s="147" t="str">
        <f t="shared" si="16"/>
        <v/>
      </c>
      <c r="O1128" s="147" t="str">
        <f t="shared" si="6"/>
        <v/>
      </c>
      <c r="P1128" s="150" t="str">
        <f t="shared" si="7"/>
        <v/>
      </c>
      <c r="Q1128" s="151" t="str">
        <f>IFERROR(VLOOKUP(C1128,Ativos!$A$1:$G2000,5,),)</f>
        <v/>
      </c>
    </row>
    <row r="1129" ht="21.0" customHeight="1">
      <c r="A1129" s="152"/>
      <c r="B1129" s="160"/>
      <c r="C1129" s="153"/>
      <c r="D1129" s="169"/>
      <c r="E1129" s="139"/>
      <c r="F1129" s="141"/>
      <c r="G1129" s="170" t="str">
        <f>IFERROR(__xludf.DUMMYFUNCTION("if($C1129="""","""",iferror(if(row()&lt;&gt;2,INDEX(arrayformula(filter($H$2:$H1128,$C$2:$C1128&lt;&gt;"""",row($C$2:$C1128)=max(if($C$2:$C1128=C1129,row($C$2:$C1128),0)))) ,1),0),0))"),"")</f>
        <v/>
      </c>
      <c r="H1129" s="170" t="str">
        <f t="shared" si="8"/>
        <v/>
      </c>
      <c r="I1129" s="147" t="str">
        <f t="shared" si="1"/>
        <v/>
      </c>
      <c r="J1129" s="147" t="str">
        <f t="shared" si="13"/>
        <v/>
      </c>
      <c r="K1129" s="147" t="str">
        <f>IFERROR(__xludf.DUMMYFUNCTION("if(C1129="""","""",iferror(if(row()&lt;&gt;2,INDEX(arrayformula(filter($L$2:$L1128,$C$2:$C1128&lt;&gt;"""",row($C$2:$C1128)=max(if($C$2:$C1128=C1129,row($C$2:$C1128),0)))) ,1),0),0))"),"")</f>
        <v/>
      </c>
      <c r="L1129" s="147" t="str">
        <f t="shared" si="14"/>
        <v/>
      </c>
      <c r="M1129" s="147" t="str">
        <f t="shared" si="15"/>
        <v/>
      </c>
      <c r="N1129" s="147" t="str">
        <f t="shared" si="16"/>
        <v/>
      </c>
      <c r="O1129" s="147" t="str">
        <f t="shared" si="6"/>
        <v/>
      </c>
      <c r="P1129" s="150" t="str">
        <f t="shared" si="7"/>
        <v/>
      </c>
      <c r="Q1129" s="151" t="str">
        <f>IFERROR(VLOOKUP(C1129,Ativos!$A$1:$G2000,5,),)</f>
        <v/>
      </c>
    </row>
    <row r="1130" ht="21.0" customHeight="1">
      <c r="A1130" s="152"/>
      <c r="B1130" s="160"/>
      <c r="C1130" s="153"/>
      <c r="D1130" s="169"/>
      <c r="E1130" s="139"/>
      <c r="F1130" s="141"/>
      <c r="G1130" s="170" t="str">
        <f>IFERROR(__xludf.DUMMYFUNCTION("if($C1130="""","""",iferror(if(row()&lt;&gt;2,INDEX(arrayformula(filter($H$2:$H1129,$C$2:$C1129&lt;&gt;"""",row($C$2:$C1129)=max(if($C$2:$C1129=C1130,row($C$2:$C1129),0)))) ,1),0),0))"),"")</f>
        <v/>
      </c>
      <c r="H1130" s="170" t="str">
        <f t="shared" si="8"/>
        <v/>
      </c>
      <c r="I1130" s="147" t="str">
        <f t="shared" si="1"/>
        <v/>
      </c>
      <c r="J1130" s="147" t="str">
        <f t="shared" si="13"/>
        <v/>
      </c>
      <c r="K1130" s="147" t="str">
        <f>IFERROR(__xludf.DUMMYFUNCTION("if(C1130="""","""",iferror(if(row()&lt;&gt;2,INDEX(arrayformula(filter($L$2:$L1129,$C$2:$C1129&lt;&gt;"""",row($C$2:$C1129)=max(if($C$2:$C1129=C1130,row($C$2:$C1129),0)))) ,1),0),0))"),"")</f>
        <v/>
      </c>
      <c r="L1130" s="147" t="str">
        <f t="shared" si="14"/>
        <v/>
      </c>
      <c r="M1130" s="147" t="str">
        <f t="shared" si="15"/>
        <v/>
      </c>
      <c r="N1130" s="147" t="str">
        <f t="shared" si="16"/>
        <v/>
      </c>
      <c r="O1130" s="147" t="str">
        <f t="shared" si="6"/>
        <v/>
      </c>
      <c r="P1130" s="150" t="str">
        <f t="shared" si="7"/>
        <v/>
      </c>
      <c r="Q1130" s="151" t="str">
        <f>IFERROR(VLOOKUP(C1130,Ativos!$A$1:$G2000,5,),)</f>
        <v/>
      </c>
    </row>
    <row r="1131" ht="21.0" customHeight="1">
      <c r="A1131" s="152"/>
      <c r="B1131" s="160"/>
      <c r="C1131" s="153"/>
      <c r="D1131" s="169"/>
      <c r="E1131" s="139"/>
      <c r="F1131" s="141"/>
      <c r="G1131" s="170" t="str">
        <f>IFERROR(__xludf.DUMMYFUNCTION("if($C1131="""","""",iferror(if(row()&lt;&gt;2,INDEX(arrayformula(filter($H$2:$H1130,$C$2:$C1130&lt;&gt;"""",row($C$2:$C1130)=max(if($C$2:$C1130=C1131,row($C$2:$C1130),0)))) ,1),0),0))"),"")</f>
        <v/>
      </c>
      <c r="H1131" s="170" t="str">
        <f t="shared" si="8"/>
        <v/>
      </c>
      <c r="I1131" s="147" t="str">
        <f t="shared" si="1"/>
        <v/>
      </c>
      <c r="J1131" s="147" t="str">
        <f t="shared" si="13"/>
        <v/>
      </c>
      <c r="K1131" s="147" t="str">
        <f>IFERROR(__xludf.DUMMYFUNCTION("if(C1131="""","""",iferror(if(row()&lt;&gt;2,INDEX(arrayformula(filter($L$2:$L1130,$C$2:$C1130&lt;&gt;"""",row($C$2:$C1130)=max(if($C$2:$C1130=C1131,row($C$2:$C1130),0)))) ,1),0),0))"),"")</f>
        <v/>
      </c>
      <c r="L1131" s="147" t="str">
        <f t="shared" si="14"/>
        <v/>
      </c>
      <c r="M1131" s="147" t="str">
        <f t="shared" si="15"/>
        <v/>
      </c>
      <c r="N1131" s="147" t="str">
        <f t="shared" si="16"/>
        <v/>
      </c>
      <c r="O1131" s="147" t="str">
        <f t="shared" si="6"/>
        <v/>
      </c>
      <c r="P1131" s="150" t="str">
        <f t="shared" si="7"/>
        <v/>
      </c>
      <c r="Q1131" s="151" t="str">
        <f>IFERROR(VLOOKUP(C1131,Ativos!$A$1:$G2000,5,),)</f>
        <v/>
      </c>
    </row>
    <row r="1132" ht="21.0" customHeight="1">
      <c r="A1132" s="152"/>
      <c r="B1132" s="160"/>
      <c r="C1132" s="153"/>
      <c r="D1132" s="169"/>
      <c r="E1132" s="139"/>
      <c r="F1132" s="141"/>
      <c r="G1132" s="170" t="str">
        <f>IFERROR(__xludf.DUMMYFUNCTION("if($C1132="""","""",iferror(if(row()&lt;&gt;2,INDEX(arrayformula(filter($H$2:$H1131,$C$2:$C1131&lt;&gt;"""",row($C$2:$C1131)=max(if($C$2:$C1131=C1132,row($C$2:$C1131),0)))) ,1),0),0))"),"")</f>
        <v/>
      </c>
      <c r="H1132" s="170" t="str">
        <f t="shared" si="8"/>
        <v/>
      </c>
      <c r="I1132" s="147" t="str">
        <f t="shared" si="1"/>
        <v/>
      </c>
      <c r="J1132" s="147" t="str">
        <f t="shared" si="13"/>
        <v/>
      </c>
      <c r="K1132" s="147" t="str">
        <f>IFERROR(__xludf.DUMMYFUNCTION("if(C1132="""","""",iferror(if(row()&lt;&gt;2,INDEX(arrayformula(filter($L$2:$L1131,$C$2:$C1131&lt;&gt;"""",row($C$2:$C1131)=max(if($C$2:$C1131=C1132,row($C$2:$C1131),0)))) ,1),0),0))"),"")</f>
        <v/>
      </c>
      <c r="L1132" s="147" t="str">
        <f t="shared" si="14"/>
        <v/>
      </c>
      <c r="M1132" s="147" t="str">
        <f t="shared" si="15"/>
        <v/>
      </c>
      <c r="N1132" s="147" t="str">
        <f t="shared" si="16"/>
        <v/>
      </c>
      <c r="O1132" s="147" t="str">
        <f t="shared" si="6"/>
        <v/>
      </c>
      <c r="P1132" s="150" t="str">
        <f t="shared" si="7"/>
        <v/>
      </c>
      <c r="Q1132" s="151" t="str">
        <f>IFERROR(VLOOKUP(C1132,Ativos!$A$1:$G2000,5,),)</f>
        <v/>
      </c>
    </row>
    <row r="1133" ht="21.0" customHeight="1">
      <c r="A1133" s="152"/>
      <c r="B1133" s="160"/>
      <c r="C1133" s="153"/>
      <c r="D1133" s="169"/>
      <c r="E1133" s="139"/>
      <c r="F1133" s="141"/>
      <c r="G1133" s="170" t="str">
        <f>IFERROR(__xludf.DUMMYFUNCTION("if($C1133="""","""",iferror(if(row()&lt;&gt;2,INDEX(arrayformula(filter($H$2:$H1132,$C$2:$C1132&lt;&gt;"""",row($C$2:$C1132)=max(if($C$2:$C1132=C1133,row($C$2:$C1132),0)))) ,1),0),0))"),"")</f>
        <v/>
      </c>
      <c r="H1133" s="170" t="str">
        <f t="shared" si="8"/>
        <v/>
      </c>
      <c r="I1133" s="147" t="str">
        <f t="shared" si="1"/>
        <v/>
      </c>
      <c r="J1133" s="147" t="str">
        <f t="shared" si="13"/>
        <v/>
      </c>
      <c r="K1133" s="147" t="str">
        <f>IFERROR(__xludf.DUMMYFUNCTION("if(C1133="""","""",iferror(if(row()&lt;&gt;2,INDEX(arrayformula(filter($L$2:$L1132,$C$2:$C1132&lt;&gt;"""",row($C$2:$C1132)=max(if($C$2:$C1132=C1133,row($C$2:$C1132),0)))) ,1),0),0))"),"")</f>
        <v/>
      </c>
      <c r="L1133" s="147" t="str">
        <f t="shared" si="14"/>
        <v/>
      </c>
      <c r="M1133" s="147" t="str">
        <f t="shared" si="15"/>
        <v/>
      </c>
      <c r="N1133" s="147" t="str">
        <f t="shared" si="16"/>
        <v/>
      </c>
      <c r="O1133" s="147" t="str">
        <f t="shared" si="6"/>
        <v/>
      </c>
      <c r="P1133" s="150" t="str">
        <f t="shared" si="7"/>
        <v/>
      </c>
      <c r="Q1133" s="151" t="str">
        <f>IFERROR(VLOOKUP(C1133,Ativos!$A$1:$G2000,5,),)</f>
        <v/>
      </c>
    </row>
    <row r="1134" ht="21.0" customHeight="1">
      <c r="A1134" s="152"/>
      <c r="B1134" s="160"/>
      <c r="C1134" s="153"/>
      <c r="D1134" s="169"/>
      <c r="E1134" s="139"/>
      <c r="F1134" s="141"/>
      <c r="G1134" s="170" t="str">
        <f>IFERROR(__xludf.DUMMYFUNCTION("if($C1134="""","""",iferror(if(row()&lt;&gt;2,INDEX(arrayformula(filter($H$2:$H1133,$C$2:$C1133&lt;&gt;"""",row($C$2:$C1133)=max(if($C$2:$C1133=C1134,row($C$2:$C1133),0)))) ,1),0),0))"),"")</f>
        <v/>
      </c>
      <c r="H1134" s="170" t="str">
        <f t="shared" si="8"/>
        <v/>
      </c>
      <c r="I1134" s="147" t="str">
        <f t="shared" si="1"/>
        <v/>
      </c>
      <c r="J1134" s="147" t="str">
        <f t="shared" si="13"/>
        <v/>
      </c>
      <c r="K1134" s="147" t="str">
        <f>IFERROR(__xludf.DUMMYFUNCTION("if(C1134="""","""",iferror(if(row()&lt;&gt;2,INDEX(arrayformula(filter($L$2:$L1133,$C$2:$C1133&lt;&gt;"""",row($C$2:$C1133)=max(if($C$2:$C1133=C1134,row($C$2:$C1133),0)))) ,1),0),0))"),"")</f>
        <v/>
      </c>
      <c r="L1134" s="147" t="str">
        <f t="shared" si="14"/>
        <v/>
      </c>
      <c r="M1134" s="147" t="str">
        <f t="shared" si="15"/>
        <v/>
      </c>
      <c r="N1134" s="147" t="str">
        <f t="shared" si="16"/>
        <v/>
      </c>
      <c r="O1134" s="147" t="str">
        <f t="shared" si="6"/>
        <v/>
      </c>
      <c r="P1134" s="150" t="str">
        <f t="shared" si="7"/>
        <v/>
      </c>
      <c r="Q1134" s="151" t="str">
        <f>IFERROR(VLOOKUP(C1134,Ativos!$A$1:$G2000,5,),)</f>
        <v/>
      </c>
    </row>
    <row r="1135" ht="21.0" customHeight="1">
      <c r="A1135" s="152"/>
      <c r="B1135" s="160"/>
      <c r="C1135" s="153"/>
      <c r="D1135" s="169"/>
      <c r="E1135" s="139"/>
      <c r="F1135" s="141"/>
      <c r="G1135" s="170" t="str">
        <f>IFERROR(__xludf.DUMMYFUNCTION("if($C1135="""","""",iferror(if(row()&lt;&gt;2,INDEX(arrayformula(filter($H$2:$H1134,$C$2:$C1134&lt;&gt;"""",row($C$2:$C1134)=max(if($C$2:$C1134=C1135,row($C$2:$C1134),0)))) ,1),0),0))"),"")</f>
        <v/>
      </c>
      <c r="H1135" s="170" t="str">
        <f t="shared" si="8"/>
        <v/>
      </c>
      <c r="I1135" s="147" t="str">
        <f t="shared" si="1"/>
        <v/>
      </c>
      <c r="J1135" s="147" t="str">
        <f t="shared" si="13"/>
        <v/>
      </c>
      <c r="K1135" s="147" t="str">
        <f>IFERROR(__xludf.DUMMYFUNCTION("if(C1135="""","""",iferror(if(row()&lt;&gt;2,INDEX(arrayformula(filter($L$2:$L1134,$C$2:$C1134&lt;&gt;"""",row($C$2:$C1134)=max(if($C$2:$C1134=C1135,row($C$2:$C1134),0)))) ,1),0),0))"),"")</f>
        <v/>
      </c>
      <c r="L1135" s="147" t="str">
        <f t="shared" si="14"/>
        <v/>
      </c>
      <c r="M1135" s="147" t="str">
        <f t="shared" si="15"/>
        <v/>
      </c>
      <c r="N1135" s="147" t="str">
        <f t="shared" si="16"/>
        <v/>
      </c>
      <c r="O1135" s="147" t="str">
        <f t="shared" si="6"/>
        <v/>
      </c>
      <c r="P1135" s="150" t="str">
        <f t="shared" si="7"/>
        <v/>
      </c>
      <c r="Q1135" s="151" t="str">
        <f>IFERROR(VLOOKUP(C1135,Ativos!$A$1:$G2000,5,),)</f>
        <v/>
      </c>
    </row>
    <row r="1136" ht="21.0" customHeight="1">
      <c r="A1136" s="152"/>
      <c r="B1136" s="160"/>
      <c r="C1136" s="153"/>
      <c r="D1136" s="169"/>
      <c r="E1136" s="139"/>
      <c r="F1136" s="141"/>
      <c r="G1136" s="170" t="str">
        <f>IFERROR(__xludf.DUMMYFUNCTION("if($C1136="""","""",iferror(if(row()&lt;&gt;2,INDEX(arrayformula(filter($H$2:$H1135,$C$2:$C1135&lt;&gt;"""",row($C$2:$C1135)=max(if($C$2:$C1135=C1136,row($C$2:$C1135),0)))) ,1),0),0))"),"")</f>
        <v/>
      </c>
      <c r="H1136" s="170" t="str">
        <f t="shared" si="8"/>
        <v/>
      </c>
      <c r="I1136" s="147" t="str">
        <f t="shared" si="1"/>
        <v/>
      </c>
      <c r="J1136" s="147" t="str">
        <f t="shared" si="13"/>
        <v/>
      </c>
      <c r="K1136" s="147" t="str">
        <f>IFERROR(__xludf.DUMMYFUNCTION("if(C1136="""","""",iferror(if(row()&lt;&gt;2,INDEX(arrayformula(filter($L$2:$L1135,$C$2:$C1135&lt;&gt;"""",row($C$2:$C1135)=max(if($C$2:$C1135=C1136,row($C$2:$C1135),0)))) ,1),0),0))"),"")</f>
        <v/>
      </c>
      <c r="L1136" s="147" t="str">
        <f t="shared" si="14"/>
        <v/>
      </c>
      <c r="M1136" s="147" t="str">
        <f t="shared" si="15"/>
        <v/>
      </c>
      <c r="N1136" s="147" t="str">
        <f t="shared" si="16"/>
        <v/>
      </c>
      <c r="O1136" s="147" t="str">
        <f t="shared" si="6"/>
        <v/>
      </c>
      <c r="P1136" s="150" t="str">
        <f t="shared" si="7"/>
        <v/>
      </c>
      <c r="Q1136" s="151" t="str">
        <f>IFERROR(VLOOKUP(C1136,Ativos!$A$1:$G2000,5,),)</f>
        <v/>
      </c>
    </row>
    <row r="1137" ht="21.0" customHeight="1">
      <c r="A1137" s="152"/>
      <c r="B1137" s="160"/>
      <c r="C1137" s="153"/>
      <c r="D1137" s="169"/>
      <c r="E1137" s="139"/>
      <c r="F1137" s="141"/>
      <c r="G1137" s="170" t="str">
        <f>IFERROR(__xludf.DUMMYFUNCTION("if($C1137="""","""",iferror(if(row()&lt;&gt;2,INDEX(arrayformula(filter($H$2:$H1136,$C$2:$C1136&lt;&gt;"""",row($C$2:$C1136)=max(if($C$2:$C1136=C1137,row($C$2:$C1136),0)))) ,1),0),0))"),"")</f>
        <v/>
      </c>
      <c r="H1137" s="170" t="str">
        <f t="shared" si="8"/>
        <v/>
      </c>
      <c r="I1137" s="147" t="str">
        <f t="shared" si="1"/>
        <v/>
      </c>
      <c r="J1137" s="147" t="str">
        <f t="shared" si="13"/>
        <v/>
      </c>
      <c r="K1137" s="147" t="str">
        <f>IFERROR(__xludf.DUMMYFUNCTION("if(C1137="""","""",iferror(if(row()&lt;&gt;2,INDEX(arrayformula(filter($L$2:$L1136,$C$2:$C1136&lt;&gt;"""",row($C$2:$C1136)=max(if($C$2:$C1136=C1137,row($C$2:$C1136),0)))) ,1),0),0))"),"")</f>
        <v/>
      </c>
      <c r="L1137" s="147" t="str">
        <f t="shared" si="14"/>
        <v/>
      </c>
      <c r="M1137" s="147" t="str">
        <f t="shared" si="15"/>
        <v/>
      </c>
      <c r="N1137" s="147" t="str">
        <f t="shared" si="16"/>
        <v/>
      </c>
      <c r="O1137" s="147" t="str">
        <f t="shared" si="6"/>
        <v/>
      </c>
      <c r="P1137" s="150" t="str">
        <f t="shared" si="7"/>
        <v/>
      </c>
      <c r="Q1137" s="151" t="str">
        <f>IFERROR(VLOOKUP(C1137,Ativos!$A$1:$G2000,5,),)</f>
        <v/>
      </c>
    </row>
    <row r="1138" ht="21.0" customHeight="1">
      <c r="A1138" s="152"/>
      <c r="B1138" s="160"/>
      <c r="C1138" s="153"/>
      <c r="D1138" s="169"/>
      <c r="E1138" s="139"/>
      <c r="F1138" s="141"/>
      <c r="G1138" s="170" t="str">
        <f>IFERROR(__xludf.DUMMYFUNCTION("if($C1138="""","""",iferror(if(row()&lt;&gt;2,INDEX(arrayformula(filter($H$2:$H1137,$C$2:$C1137&lt;&gt;"""",row($C$2:$C1137)=max(if($C$2:$C1137=C1138,row($C$2:$C1137),0)))) ,1),0),0))"),"")</f>
        <v/>
      </c>
      <c r="H1138" s="170" t="str">
        <f t="shared" si="8"/>
        <v/>
      </c>
      <c r="I1138" s="147" t="str">
        <f t="shared" si="1"/>
        <v/>
      </c>
      <c r="J1138" s="147" t="str">
        <f t="shared" si="13"/>
        <v/>
      </c>
      <c r="K1138" s="147" t="str">
        <f>IFERROR(__xludf.DUMMYFUNCTION("if(C1138="""","""",iferror(if(row()&lt;&gt;2,INDEX(arrayformula(filter($L$2:$L1137,$C$2:$C1137&lt;&gt;"""",row($C$2:$C1137)=max(if($C$2:$C1137=C1138,row($C$2:$C1137),0)))) ,1),0),0))"),"")</f>
        <v/>
      </c>
      <c r="L1138" s="147" t="str">
        <f t="shared" si="14"/>
        <v/>
      </c>
      <c r="M1138" s="147" t="str">
        <f t="shared" si="15"/>
        <v/>
      </c>
      <c r="N1138" s="147" t="str">
        <f t="shared" si="16"/>
        <v/>
      </c>
      <c r="O1138" s="147" t="str">
        <f t="shared" si="6"/>
        <v/>
      </c>
      <c r="P1138" s="150" t="str">
        <f t="shared" si="7"/>
        <v/>
      </c>
      <c r="Q1138" s="151" t="str">
        <f>IFERROR(VLOOKUP(C1138,Ativos!$A$1:$G2000,5,),)</f>
        <v/>
      </c>
    </row>
    <row r="1139" ht="21.0" customHeight="1">
      <c r="A1139" s="152"/>
      <c r="B1139" s="160"/>
      <c r="C1139" s="153"/>
      <c r="D1139" s="169"/>
      <c r="E1139" s="139"/>
      <c r="F1139" s="141"/>
      <c r="G1139" s="170" t="str">
        <f>IFERROR(__xludf.DUMMYFUNCTION("if($C1139="""","""",iferror(if(row()&lt;&gt;2,INDEX(arrayformula(filter($H$2:$H1138,$C$2:$C1138&lt;&gt;"""",row($C$2:$C1138)=max(if($C$2:$C1138=C1139,row($C$2:$C1138),0)))) ,1),0),0))"),"")</f>
        <v/>
      </c>
      <c r="H1139" s="170" t="str">
        <f t="shared" si="8"/>
        <v/>
      </c>
      <c r="I1139" s="147" t="str">
        <f t="shared" si="1"/>
        <v/>
      </c>
      <c r="J1139" s="147" t="str">
        <f t="shared" si="13"/>
        <v/>
      </c>
      <c r="K1139" s="147" t="str">
        <f>IFERROR(__xludf.DUMMYFUNCTION("if(C1139="""","""",iferror(if(row()&lt;&gt;2,INDEX(arrayformula(filter($L$2:$L1138,$C$2:$C1138&lt;&gt;"""",row($C$2:$C1138)=max(if($C$2:$C1138=C1139,row($C$2:$C1138),0)))) ,1),0),0))"),"")</f>
        <v/>
      </c>
      <c r="L1139" s="147" t="str">
        <f t="shared" si="14"/>
        <v/>
      </c>
      <c r="M1139" s="147" t="str">
        <f t="shared" si="15"/>
        <v/>
      </c>
      <c r="N1139" s="147" t="str">
        <f t="shared" si="16"/>
        <v/>
      </c>
      <c r="O1139" s="147" t="str">
        <f t="shared" si="6"/>
        <v/>
      </c>
      <c r="P1139" s="150" t="str">
        <f t="shared" si="7"/>
        <v/>
      </c>
      <c r="Q1139" s="151" t="str">
        <f>IFERROR(VLOOKUP(C1139,Ativos!$A$1:$G2000,5,),)</f>
        <v/>
      </c>
    </row>
    <row r="1140" ht="21.0" customHeight="1">
      <c r="A1140" s="152"/>
      <c r="B1140" s="160"/>
      <c r="C1140" s="153"/>
      <c r="D1140" s="169"/>
      <c r="E1140" s="139"/>
      <c r="F1140" s="141"/>
      <c r="G1140" s="170" t="str">
        <f>IFERROR(__xludf.DUMMYFUNCTION("if($C1140="""","""",iferror(if(row()&lt;&gt;2,INDEX(arrayformula(filter($H$2:$H1139,$C$2:$C1139&lt;&gt;"""",row($C$2:$C1139)=max(if($C$2:$C1139=C1140,row($C$2:$C1139),0)))) ,1),0),0))"),"")</f>
        <v/>
      </c>
      <c r="H1140" s="170" t="str">
        <f t="shared" si="8"/>
        <v/>
      </c>
      <c r="I1140" s="147" t="str">
        <f t="shared" si="1"/>
        <v/>
      </c>
      <c r="J1140" s="147" t="str">
        <f t="shared" si="13"/>
        <v/>
      </c>
      <c r="K1140" s="147" t="str">
        <f>IFERROR(__xludf.DUMMYFUNCTION("if(C1140="""","""",iferror(if(row()&lt;&gt;2,INDEX(arrayformula(filter($L$2:$L1139,$C$2:$C1139&lt;&gt;"""",row($C$2:$C1139)=max(if($C$2:$C1139=C1140,row($C$2:$C1139),0)))) ,1),0),0))"),"")</f>
        <v/>
      </c>
      <c r="L1140" s="147" t="str">
        <f t="shared" si="14"/>
        <v/>
      </c>
      <c r="M1140" s="147" t="str">
        <f t="shared" si="15"/>
        <v/>
      </c>
      <c r="N1140" s="147" t="str">
        <f t="shared" si="16"/>
        <v/>
      </c>
      <c r="O1140" s="147" t="str">
        <f t="shared" si="6"/>
        <v/>
      </c>
      <c r="P1140" s="150" t="str">
        <f t="shared" si="7"/>
        <v/>
      </c>
      <c r="Q1140" s="151" t="str">
        <f>IFERROR(VLOOKUP(C1140,Ativos!$A$1:$G2000,5,),)</f>
        <v/>
      </c>
    </row>
    <row r="1141" ht="21.0" customHeight="1">
      <c r="A1141" s="152"/>
      <c r="B1141" s="160"/>
      <c r="C1141" s="153"/>
      <c r="D1141" s="169"/>
      <c r="E1141" s="139"/>
      <c r="F1141" s="141"/>
      <c r="G1141" s="170" t="str">
        <f>IFERROR(__xludf.DUMMYFUNCTION("if($C1141="""","""",iferror(if(row()&lt;&gt;2,INDEX(arrayformula(filter($H$2:$H1140,$C$2:$C1140&lt;&gt;"""",row($C$2:$C1140)=max(if($C$2:$C1140=C1141,row($C$2:$C1140),0)))) ,1),0),0))"),"")</f>
        <v/>
      </c>
      <c r="H1141" s="170" t="str">
        <f t="shared" si="8"/>
        <v/>
      </c>
      <c r="I1141" s="147" t="str">
        <f t="shared" si="1"/>
        <v/>
      </c>
      <c r="J1141" s="147" t="str">
        <f t="shared" si="13"/>
        <v/>
      </c>
      <c r="K1141" s="147" t="str">
        <f>IFERROR(__xludf.DUMMYFUNCTION("if(C1141="""","""",iferror(if(row()&lt;&gt;2,INDEX(arrayformula(filter($L$2:$L1140,$C$2:$C1140&lt;&gt;"""",row($C$2:$C1140)=max(if($C$2:$C1140=C1141,row($C$2:$C1140),0)))) ,1),0),0))"),"")</f>
        <v/>
      </c>
      <c r="L1141" s="147" t="str">
        <f t="shared" si="14"/>
        <v/>
      </c>
      <c r="M1141" s="147" t="str">
        <f t="shared" si="15"/>
        <v/>
      </c>
      <c r="N1141" s="147" t="str">
        <f t="shared" si="16"/>
        <v/>
      </c>
      <c r="O1141" s="147" t="str">
        <f t="shared" si="6"/>
        <v/>
      </c>
      <c r="P1141" s="150" t="str">
        <f t="shared" si="7"/>
        <v/>
      </c>
      <c r="Q1141" s="151" t="str">
        <f>IFERROR(VLOOKUP(C1141,Ativos!$A$1:$G2000,5,),)</f>
        <v/>
      </c>
    </row>
    <row r="1142" ht="21.0" customHeight="1">
      <c r="A1142" s="152"/>
      <c r="B1142" s="160"/>
      <c r="C1142" s="153"/>
      <c r="D1142" s="169"/>
      <c r="E1142" s="139"/>
      <c r="F1142" s="141"/>
      <c r="G1142" s="170" t="str">
        <f>IFERROR(__xludf.DUMMYFUNCTION("if($C1142="""","""",iferror(if(row()&lt;&gt;2,INDEX(arrayformula(filter($H$2:$H1141,$C$2:$C1141&lt;&gt;"""",row($C$2:$C1141)=max(if($C$2:$C1141=C1142,row($C$2:$C1141),0)))) ,1),0),0))"),"")</f>
        <v/>
      </c>
      <c r="H1142" s="170" t="str">
        <f t="shared" si="8"/>
        <v/>
      </c>
      <c r="I1142" s="147" t="str">
        <f t="shared" si="1"/>
        <v/>
      </c>
      <c r="J1142" s="147" t="str">
        <f t="shared" si="13"/>
        <v/>
      </c>
      <c r="K1142" s="147" t="str">
        <f>IFERROR(__xludf.DUMMYFUNCTION("if(C1142="""","""",iferror(if(row()&lt;&gt;2,INDEX(arrayformula(filter($L$2:$L1141,$C$2:$C1141&lt;&gt;"""",row($C$2:$C1141)=max(if($C$2:$C1141=C1142,row($C$2:$C1141),0)))) ,1),0),0))"),"")</f>
        <v/>
      </c>
      <c r="L1142" s="147" t="str">
        <f t="shared" si="14"/>
        <v/>
      </c>
      <c r="M1142" s="147" t="str">
        <f t="shared" si="15"/>
        <v/>
      </c>
      <c r="N1142" s="147" t="str">
        <f t="shared" si="16"/>
        <v/>
      </c>
      <c r="O1142" s="147" t="str">
        <f t="shared" si="6"/>
        <v/>
      </c>
      <c r="P1142" s="150" t="str">
        <f t="shared" si="7"/>
        <v/>
      </c>
      <c r="Q1142" s="151" t="str">
        <f>IFERROR(VLOOKUP(C1142,Ativos!$A$1:$G2000,5,),)</f>
        <v/>
      </c>
    </row>
    <row r="1143" ht="21.0" customHeight="1">
      <c r="A1143" s="152"/>
      <c r="B1143" s="160"/>
      <c r="C1143" s="153"/>
      <c r="D1143" s="169"/>
      <c r="E1143" s="139"/>
      <c r="F1143" s="141"/>
      <c r="G1143" s="170" t="str">
        <f>IFERROR(__xludf.DUMMYFUNCTION("if($C1143="""","""",iferror(if(row()&lt;&gt;2,INDEX(arrayformula(filter($H$2:$H1142,$C$2:$C1142&lt;&gt;"""",row($C$2:$C1142)=max(if($C$2:$C1142=C1143,row($C$2:$C1142),0)))) ,1),0),0))"),"")</f>
        <v/>
      </c>
      <c r="H1143" s="170" t="str">
        <f t="shared" si="8"/>
        <v/>
      </c>
      <c r="I1143" s="147" t="str">
        <f t="shared" si="1"/>
        <v/>
      </c>
      <c r="J1143" s="147" t="str">
        <f t="shared" si="13"/>
        <v/>
      </c>
      <c r="K1143" s="147" t="str">
        <f>IFERROR(__xludf.DUMMYFUNCTION("if(C1143="""","""",iferror(if(row()&lt;&gt;2,INDEX(arrayformula(filter($L$2:$L1142,$C$2:$C1142&lt;&gt;"""",row($C$2:$C1142)=max(if($C$2:$C1142=C1143,row($C$2:$C1142),0)))) ,1),0),0))"),"")</f>
        <v/>
      </c>
      <c r="L1143" s="147" t="str">
        <f t="shared" si="14"/>
        <v/>
      </c>
      <c r="M1143" s="147" t="str">
        <f t="shared" si="15"/>
        <v/>
      </c>
      <c r="N1143" s="147" t="str">
        <f t="shared" si="16"/>
        <v/>
      </c>
      <c r="O1143" s="147" t="str">
        <f t="shared" si="6"/>
        <v/>
      </c>
      <c r="P1143" s="150" t="str">
        <f t="shared" si="7"/>
        <v/>
      </c>
      <c r="Q1143" s="151" t="str">
        <f>IFERROR(VLOOKUP(C1143,Ativos!$A$1:$G2000,5,),)</f>
        <v/>
      </c>
    </row>
    <row r="1144" ht="21.0" customHeight="1">
      <c r="A1144" s="152"/>
      <c r="B1144" s="160"/>
      <c r="C1144" s="153"/>
      <c r="D1144" s="169"/>
      <c r="E1144" s="139"/>
      <c r="F1144" s="141"/>
      <c r="G1144" s="170" t="str">
        <f>IFERROR(__xludf.DUMMYFUNCTION("if($C1144="""","""",iferror(if(row()&lt;&gt;2,INDEX(arrayformula(filter($H$2:$H1143,$C$2:$C1143&lt;&gt;"""",row($C$2:$C1143)=max(if($C$2:$C1143=C1144,row($C$2:$C1143),0)))) ,1),0),0))"),"")</f>
        <v/>
      </c>
      <c r="H1144" s="170" t="str">
        <f t="shared" si="8"/>
        <v/>
      </c>
      <c r="I1144" s="147" t="str">
        <f t="shared" si="1"/>
        <v/>
      </c>
      <c r="J1144" s="147" t="str">
        <f t="shared" si="13"/>
        <v/>
      </c>
      <c r="K1144" s="147" t="str">
        <f>IFERROR(__xludf.DUMMYFUNCTION("if(C1144="""","""",iferror(if(row()&lt;&gt;2,INDEX(arrayformula(filter($L$2:$L1143,$C$2:$C1143&lt;&gt;"""",row($C$2:$C1143)=max(if($C$2:$C1143=C1144,row($C$2:$C1143),0)))) ,1),0),0))"),"")</f>
        <v/>
      </c>
      <c r="L1144" s="147" t="str">
        <f t="shared" si="14"/>
        <v/>
      </c>
      <c r="M1144" s="147" t="str">
        <f t="shared" si="15"/>
        <v/>
      </c>
      <c r="N1144" s="147" t="str">
        <f t="shared" si="16"/>
        <v/>
      </c>
      <c r="O1144" s="147" t="str">
        <f t="shared" si="6"/>
        <v/>
      </c>
      <c r="P1144" s="150" t="str">
        <f t="shared" si="7"/>
        <v/>
      </c>
      <c r="Q1144" s="151" t="str">
        <f>IFERROR(VLOOKUP(C1144,Ativos!$A$1:$G2000,5,),)</f>
        <v/>
      </c>
    </row>
    <row r="1145" ht="21.0" customHeight="1">
      <c r="A1145" s="152"/>
      <c r="B1145" s="160"/>
      <c r="C1145" s="153"/>
      <c r="D1145" s="169"/>
      <c r="E1145" s="139"/>
      <c r="F1145" s="141"/>
      <c r="G1145" s="170" t="str">
        <f>IFERROR(__xludf.DUMMYFUNCTION("if($C1145="""","""",iferror(if(row()&lt;&gt;2,INDEX(arrayformula(filter($H$2:$H1144,$C$2:$C1144&lt;&gt;"""",row($C$2:$C1144)=max(if($C$2:$C1144=C1145,row($C$2:$C1144),0)))) ,1),0),0))"),"")</f>
        <v/>
      </c>
      <c r="H1145" s="170" t="str">
        <f t="shared" si="8"/>
        <v/>
      </c>
      <c r="I1145" s="147" t="str">
        <f t="shared" si="1"/>
        <v/>
      </c>
      <c r="J1145" s="147" t="str">
        <f t="shared" si="13"/>
        <v/>
      </c>
      <c r="K1145" s="147" t="str">
        <f>IFERROR(__xludf.DUMMYFUNCTION("if(C1145="""","""",iferror(if(row()&lt;&gt;2,INDEX(arrayformula(filter($L$2:$L1144,$C$2:$C1144&lt;&gt;"""",row($C$2:$C1144)=max(if($C$2:$C1144=C1145,row($C$2:$C1144),0)))) ,1),0),0))"),"")</f>
        <v/>
      </c>
      <c r="L1145" s="147" t="str">
        <f t="shared" si="14"/>
        <v/>
      </c>
      <c r="M1145" s="147" t="str">
        <f t="shared" si="15"/>
        <v/>
      </c>
      <c r="N1145" s="147" t="str">
        <f t="shared" si="16"/>
        <v/>
      </c>
      <c r="O1145" s="147" t="str">
        <f t="shared" si="6"/>
        <v/>
      </c>
      <c r="P1145" s="150" t="str">
        <f t="shared" si="7"/>
        <v/>
      </c>
      <c r="Q1145" s="151" t="str">
        <f>IFERROR(VLOOKUP(C1145,Ativos!$A$1:$G2000,5,),)</f>
        <v/>
      </c>
    </row>
    <row r="1146" ht="21.0" customHeight="1">
      <c r="A1146" s="152"/>
      <c r="B1146" s="160"/>
      <c r="C1146" s="153"/>
      <c r="D1146" s="169"/>
      <c r="E1146" s="139"/>
      <c r="F1146" s="141"/>
      <c r="G1146" s="170" t="str">
        <f>IFERROR(__xludf.DUMMYFUNCTION("if($C1146="""","""",iferror(if(row()&lt;&gt;2,INDEX(arrayformula(filter($H$2:$H1145,$C$2:$C1145&lt;&gt;"""",row($C$2:$C1145)=max(if($C$2:$C1145=C1146,row($C$2:$C1145),0)))) ,1),0),0))"),"")</f>
        <v/>
      </c>
      <c r="H1146" s="170" t="str">
        <f t="shared" si="8"/>
        <v/>
      </c>
      <c r="I1146" s="147" t="str">
        <f t="shared" si="1"/>
        <v/>
      </c>
      <c r="J1146" s="147" t="str">
        <f t="shared" si="13"/>
        <v/>
      </c>
      <c r="K1146" s="147" t="str">
        <f>IFERROR(__xludf.DUMMYFUNCTION("if(C1146="""","""",iferror(if(row()&lt;&gt;2,INDEX(arrayformula(filter($L$2:$L1145,$C$2:$C1145&lt;&gt;"""",row($C$2:$C1145)=max(if($C$2:$C1145=C1146,row($C$2:$C1145),0)))) ,1),0),0))"),"")</f>
        <v/>
      </c>
      <c r="L1146" s="147" t="str">
        <f t="shared" si="14"/>
        <v/>
      </c>
      <c r="M1146" s="147" t="str">
        <f t="shared" si="15"/>
        <v/>
      </c>
      <c r="N1146" s="147" t="str">
        <f t="shared" si="16"/>
        <v/>
      </c>
      <c r="O1146" s="147" t="str">
        <f t="shared" si="6"/>
        <v/>
      </c>
      <c r="P1146" s="150" t="str">
        <f t="shared" si="7"/>
        <v/>
      </c>
      <c r="Q1146" s="151" t="str">
        <f>IFERROR(VLOOKUP(C1146,Ativos!$A$1:$G2000,5,),)</f>
        <v/>
      </c>
    </row>
    <row r="1147" ht="21.0" customHeight="1">
      <c r="A1147" s="152"/>
      <c r="B1147" s="160"/>
      <c r="C1147" s="153"/>
      <c r="D1147" s="169"/>
      <c r="E1147" s="139"/>
      <c r="F1147" s="141"/>
      <c r="G1147" s="170" t="str">
        <f>IFERROR(__xludf.DUMMYFUNCTION("if($C1147="""","""",iferror(if(row()&lt;&gt;2,INDEX(arrayformula(filter($H$2:$H1146,$C$2:$C1146&lt;&gt;"""",row($C$2:$C1146)=max(if($C$2:$C1146=C1147,row($C$2:$C1146),0)))) ,1),0),0))"),"")</f>
        <v/>
      </c>
      <c r="H1147" s="170" t="str">
        <f t="shared" si="8"/>
        <v/>
      </c>
      <c r="I1147" s="147" t="str">
        <f t="shared" si="1"/>
        <v/>
      </c>
      <c r="J1147" s="147" t="str">
        <f t="shared" si="13"/>
        <v/>
      </c>
      <c r="K1147" s="147" t="str">
        <f>IFERROR(__xludf.DUMMYFUNCTION("if(C1147="""","""",iferror(if(row()&lt;&gt;2,INDEX(arrayformula(filter($L$2:$L1146,$C$2:$C1146&lt;&gt;"""",row($C$2:$C1146)=max(if($C$2:$C1146=C1147,row($C$2:$C1146),0)))) ,1),0),0))"),"")</f>
        <v/>
      </c>
      <c r="L1147" s="147" t="str">
        <f t="shared" si="14"/>
        <v/>
      </c>
      <c r="M1147" s="147" t="str">
        <f t="shared" si="15"/>
        <v/>
      </c>
      <c r="N1147" s="147" t="str">
        <f t="shared" si="16"/>
        <v/>
      </c>
      <c r="O1147" s="147" t="str">
        <f t="shared" si="6"/>
        <v/>
      </c>
      <c r="P1147" s="150" t="str">
        <f t="shared" si="7"/>
        <v/>
      </c>
      <c r="Q1147" s="151" t="str">
        <f>IFERROR(VLOOKUP(C1147,Ativos!$A$1:$G2000,5,),)</f>
        <v/>
      </c>
    </row>
    <row r="1148" ht="21.0" customHeight="1">
      <c r="A1148" s="152"/>
      <c r="B1148" s="160"/>
      <c r="C1148" s="153"/>
      <c r="D1148" s="169"/>
      <c r="E1148" s="139"/>
      <c r="F1148" s="141"/>
      <c r="G1148" s="170" t="str">
        <f>IFERROR(__xludf.DUMMYFUNCTION("if($C1148="""","""",iferror(if(row()&lt;&gt;2,INDEX(arrayformula(filter($H$2:$H1147,$C$2:$C1147&lt;&gt;"""",row($C$2:$C1147)=max(if($C$2:$C1147=C1148,row($C$2:$C1147),0)))) ,1),0),0))"),"")</f>
        <v/>
      </c>
      <c r="H1148" s="170" t="str">
        <f t="shared" si="8"/>
        <v/>
      </c>
      <c r="I1148" s="147" t="str">
        <f t="shared" si="1"/>
        <v/>
      </c>
      <c r="J1148" s="147" t="str">
        <f t="shared" si="13"/>
        <v/>
      </c>
      <c r="K1148" s="147" t="str">
        <f>IFERROR(__xludf.DUMMYFUNCTION("if(C1148="""","""",iferror(if(row()&lt;&gt;2,INDEX(arrayformula(filter($L$2:$L1147,$C$2:$C1147&lt;&gt;"""",row($C$2:$C1147)=max(if($C$2:$C1147=C1148,row($C$2:$C1147),0)))) ,1),0),0))"),"")</f>
        <v/>
      </c>
      <c r="L1148" s="147" t="str">
        <f t="shared" si="14"/>
        <v/>
      </c>
      <c r="M1148" s="147" t="str">
        <f t="shared" si="15"/>
        <v/>
      </c>
      <c r="N1148" s="147" t="str">
        <f t="shared" si="16"/>
        <v/>
      </c>
      <c r="O1148" s="147" t="str">
        <f t="shared" si="6"/>
        <v/>
      </c>
      <c r="P1148" s="150" t="str">
        <f t="shared" si="7"/>
        <v/>
      </c>
      <c r="Q1148" s="151" t="str">
        <f>IFERROR(VLOOKUP(C1148,Ativos!$A$1:$G2000,5,),)</f>
        <v/>
      </c>
    </row>
    <row r="1149" ht="21.0" customHeight="1">
      <c r="A1149" s="152"/>
      <c r="B1149" s="160"/>
      <c r="C1149" s="153"/>
      <c r="D1149" s="169"/>
      <c r="E1149" s="139"/>
      <c r="F1149" s="141"/>
      <c r="G1149" s="170" t="str">
        <f>IFERROR(__xludf.DUMMYFUNCTION("if($C1149="""","""",iferror(if(row()&lt;&gt;2,INDEX(arrayformula(filter($H$2:$H1148,$C$2:$C1148&lt;&gt;"""",row($C$2:$C1148)=max(if($C$2:$C1148=C1149,row($C$2:$C1148),0)))) ,1),0),0))"),"")</f>
        <v/>
      </c>
      <c r="H1149" s="170" t="str">
        <f t="shared" si="8"/>
        <v/>
      </c>
      <c r="I1149" s="147" t="str">
        <f t="shared" si="1"/>
        <v/>
      </c>
      <c r="J1149" s="147" t="str">
        <f t="shared" si="13"/>
        <v/>
      </c>
      <c r="K1149" s="147" t="str">
        <f>IFERROR(__xludf.DUMMYFUNCTION("if(C1149="""","""",iferror(if(row()&lt;&gt;2,INDEX(arrayformula(filter($L$2:$L1148,$C$2:$C1148&lt;&gt;"""",row($C$2:$C1148)=max(if($C$2:$C1148=C1149,row($C$2:$C1148),0)))) ,1),0),0))"),"")</f>
        <v/>
      </c>
      <c r="L1149" s="147" t="str">
        <f t="shared" si="14"/>
        <v/>
      </c>
      <c r="M1149" s="147" t="str">
        <f t="shared" si="15"/>
        <v/>
      </c>
      <c r="N1149" s="147" t="str">
        <f t="shared" si="16"/>
        <v/>
      </c>
      <c r="O1149" s="147" t="str">
        <f t="shared" si="6"/>
        <v/>
      </c>
      <c r="P1149" s="150" t="str">
        <f t="shared" si="7"/>
        <v/>
      </c>
      <c r="Q1149" s="151" t="str">
        <f>IFERROR(VLOOKUP(C1149,Ativos!$A$1:$G2000,5,),)</f>
        <v/>
      </c>
    </row>
    <row r="1150" ht="21.0" customHeight="1">
      <c r="A1150" s="152"/>
      <c r="B1150" s="160"/>
      <c r="C1150" s="153"/>
      <c r="D1150" s="169"/>
      <c r="E1150" s="139"/>
      <c r="F1150" s="141"/>
      <c r="G1150" s="170" t="str">
        <f>IFERROR(__xludf.DUMMYFUNCTION("if($C1150="""","""",iferror(if(row()&lt;&gt;2,INDEX(arrayformula(filter($H$2:$H1149,$C$2:$C1149&lt;&gt;"""",row($C$2:$C1149)=max(if($C$2:$C1149=C1150,row($C$2:$C1149),0)))) ,1),0),0))"),"")</f>
        <v/>
      </c>
      <c r="H1150" s="170" t="str">
        <f t="shared" si="8"/>
        <v/>
      </c>
      <c r="I1150" s="147" t="str">
        <f t="shared" si="1"/>
        <v/>
      </c>
      <c r="J1150" s="147" t="str">
        <f t="shared" si="13"/>
        <v/>
      </c>
      <c r="K1150" s="147" t="str">
        <f>IFERROR(__xludf.DUMMYFUNCTION("if(C1150="""","""",iferror(if(row()&lt;&gt;2,INDEX(arrayformula(filter($L$2:$L1149,$C$2:$C1149&lt;&gt;"""",row($C$2:$C1149)=max(if($C$2:$C1149=C1150,row($C$2:$C1149),0)))) ,1),0),0))"),"")</f>
        <v/>
      </c>
      <c r="L1150" s="147" t="str">
        <f t="shared" si="14"/>
        <v/>
      </c>
      <c r="M1150" s="147" t="str">
        <f t="shared" si="15"/>
        <v/>
      </c>
      <c r="N1150" s="147" t="str">
        <f t="shared" si="16"/>
        <v/>
      </c>
      <c r="O1150" s="147" t="str">
        <f t="shared" si="6"/>
        <v/>
      </c>
      <c r="P1150" s="150" t="str">
        <f t="shared" si="7"/>
        <v/>
      </c>
      <c r="Q1150" s="151" t="str">
        <f>IFERROR(VLOOKUP(C1150,Ativos!$A$1:$G2000,5,),)</f>
        <v/>
      </c>
    </row>
    <row r="1151" ht="21.0" customHeight="1">
      <c r="A1151" s="152"/>
      <c r="B1151" s="160"/>
      <c r="C1151" s="153"/>
      <c r="D1151" s="169"/>
      <c r="E1151" s="139"/>
      <c r="F1151" s="141"/>
      <c r="G1151" s="170" t="str">
        <f>IFERROR(__xludf.DUMMYFUNCTION("if($C1151="""","""",iferror(if(row()&lt;&gt;2,INDEX(arrayformula(filter($H$2:$H1150,$C$2:$C1150&lt;&gt;"""",row($C$2:$C1150)=max(if($C$2:$C1150=C1151,row($C$2:$C1150),0)))) ,1),0),0))"),"")</f>
        <v/>
      </c>
      <c r="H1151" s="170" t="str">
        <f t="shared" si="8"/>
        <v/>
      </c>
      <c r="I1151" s="147" t="str">
        <f t="shared" si="1"/>
        <v/>
      </c>
      <c r="J1151" s="147" t="str">
        <f t="shared" si="13"/>
        <v/>
      </c>
      <c r="K1151" s="147" t="str">
        <f>IFERROR(__xludf.DUMMYFUNCTION("if(C1151="""","""",iferror(if(row()&lt;&gt;2,INDEX(arrayformula(filter($L$2:$L1150,$C$2:$C1150&lt;&gt;"""",row($C$2:$C1150)=max(if($C$2:$C1150=C1151,row($C$2:$C1150),0)))) ,1),0),0))"),"")</f>
        <v/>
      </c>
      <c r="L1151" s="147" t="str">
        <f t="shared" si="14"/>
        <v/>
      </c>
      <c r="M1151" s="147" t="str">
        <f t="shared" si="15"/>
        <v/>
      </c>
      <c r="N1151" s="147" t="str">
        <f t="shared" si="16"/>
        <v/>
      </c>
      <c r="O1151" s="147" t="str">
        <f t="shared" si="6"/>
        <v/>
      </c>
      <c r="P1151" s="150" t="str">
        <f t="shared" si="7"/>
        <v/>
      </c>
      <c r="Q1151" s="151" t="str">
        <f>IFERROR(VLOOKUP(C1151,Ativos!$A$1:$G2000,5,),)</f>
        <v/>
      </c>
    </row>
    <row r="1152" ht="21.0" customHeight="1">
      <c r="A1152" s="152"/>
      <c r="B1152" s="160"/>
      <c r="C1152" s="153"/>
      <c r="D1152" s="169"/>
      <c r="E1152" s="139"/>
      <c r="F1152" s="141"/>
      <c r="G1152" s="170" t="str">
        <f>IFERROR(__xludf.DUMMYFUNCTION("if($C1152="""","""",iferror(if(row()&lt;&gt;2,INDEX(arrayformula(filter($H$2:$H1151,$C$2:$C1151&lt;&gt;"""",row($C$2:$C1151)=max(if($C$2:$C1151=C1152,row($C$2:$C1151),0)))) ,1),0),0))"),"")</f>
        <v/>
      </c>
      <c r="H1152" s="170" t="str">
        <f t="shared" si="8"/>
        <v/>
      </c>
      <c r="I1152" s="147" t="str">
        <f t="shared" si="1"/>
        <v/>
      </c>
      <c r="J1152" s="147" t="str">
        <f t="shared" si="13"/>
        <v/>
      </c>
      <c r="K1152" s="147" t="str">
        <f>IFERROR(__xludf.DUMMYFUNCTION("if(C1152="""","""",iferror(if(row()&lt;&gt;2,INDEX(arrayformula(filter($L$2:$L1151,$C$2:$C1151&lt;&gt;"""",row($C$2:$C1151)=max(if($C$2:$C1151=C1152,row($C$2:$C1151),0)))) ,1),0),0))"),"")</f>
        <v/>
      </c>
      <c r="L1152" s="147" t="str">
        <f t="shared" si="14"/>
        <v/>
      </c>
      <c r="M1152" s="147" t="str">
        <f t="shared" si="15"/>
        <v/>
      </c>
      <c r="N1152" s="147" t="str">
        <f t="shared" si="16"/>
        <v/>
      </c>
      <c r="O1152" s="147" t="str">
        <f t="shared" si="6"/>
        <v/>
      </c>
      <c r="P1152" s="150" t="str">
        <f t="shared" si="7"/>
        <v/>
      </c>
      <c r="Q1152" s="151" t="str">
        <f>IFERROR(VLOOKUP(C1152,Ativos!$A$1:$G2000,5,),)</f>
        <v/>
      </c>
    </row>
    <row r="1153" ht="21.0" customHeight="1">
      <c r="A1153" s="152"/>
      <c r="B1153" s="160"/>
      <c r="C1153" s="153"/>
      <c r="D1153" s="169"/>
      <c r="E1153" s="139"/>
      <c r="F1153" s="141"/>
      <c r="G1153" s="170" t="str">
        <f>IFERROR(__xludf.DUMMYFUNCTION("if($C1153="""","""",iferror(if(row()&lt;&gt;2,INDEX(arrayformula(filter($H$2:$H1152,$C$2:$C1152&lt;&gt;"""",row($C$2:$C1152)=max(if($C$2:$C1152=C1153,row($C$2:$C1152),0)))) ,1),0),0))"),"")</f>
        <v/>
      </c>
      <c r="H1153" s="170" t="str">
        <f t="shared" si="8"/>
        <v/>
      </c>
      <c r="I1153" s="147" t="str">
        <f t="shared" si="1"/>
        <v/>
      </c>
      <c r="J1153" s="147" t="str">
        <f t="shared" si="13"/>
        <v/>
      </c>
      <c r="K1153" s="147" t="str">
        <f>IFERROR(__xludf.DUMMYFUNCTION("if(C1153="""","""",iferror(if(row()&lt;&gt;2,INDEX(arrayformula(filter($L$2:$L1152,$C$2:$C1152&lt;&gt;"""",row($C$2:$C1152)=max(if($C$2:$C1152=C1153,row($C$2:$C1152),0)))) ,1),0),0))"),"")</f>
        <v/>
      </c>
      <c r="L1153" s="147" t="str">
        <f t="shared" si="14"/>
        <v/>
      </c>
      <c r="M1153" s="147" t="str">
        <f t="shared" si="15"/>
        <v/>
      </c>
      <c r="N1153" s="147" t="str">
        <f t="shared" si="16"/>
        <v/>
      </c>
      <c r="O1153" s="147" t="str">
        <f t="shared" si="6"/>
        <v/>
      </c>
      <c r="P1153" s="150" t="str">
        <f t="shared" si="7"/>
        <v/>
      </c>
      <c r="Q1153" s="151" t="str">
        <f>IFERROR(VLOOKUP(C1153,Ativos!$A$1:$G2000,5,),)</f>
        <v/>
      </c>
    </row>
    <row r="1154" ht="21.0" customHeight="1">
      <c r="A1154" s="152"/>
      <c r="B1154" s="160"/>
      <c r="C1154" s="153"/>
      <c r="D1154" s="169"/>
      <c r="E1154" s="139"/>
      <c r="F1154" s="141"/>
      <c r="G1154" s="170" t="str">
        <f>IFERROR(__xludf.DUMMYFUNCTION("if($C1154="""","""",iferror(if(row()&lt;&gt;2,INDEX(arrayformula(filter($H$2:$H1153,$C$2:$C1153&lt;&gt;"""",row($C$2:$C1153)=max(if($C$2:$C1153=C1154,row($C$2:$C1153),0)))) ,1),0),0))"),"")</f>
        <v/>
      </c>
      <c r="H1154" s="170" t="str">
        <f t="shared" si="8"/>
        <v/>
      </c>
      <c r="I1154" s="147" t="str">
        <f t="shared" si="1"/>
        <v/>
      </c>
      <c r="J1154" s="147" t="str">
        <f t="shared" si="13"/>
        <v/>
      </c>
      <c r="K1154" s="147" t="str">
        <f>IFERROR(__xludf.DUMMYFUNCTION("if(C1154="""","""",iferror(if(row()&lt;&gt;2,INDEX(arrayformula(filter($L$2:$L1153,$C$2:$C1153&lt;&gt;"""",row($C$2:$C1153)=max(if($C$2:$C1153=C1154,row($C$2:$C1153),0)))) ,1),0),0))"),"")</f>
        <v/>
      </c>
      <c r="L1154" s="147" t="str">
        <f t="shared" si="14"/>
        <v/>
      </c>
      <c r="M1154" s="147" t="str">
        <f t="shared" si="15"/>
        <v/>
      </c>
      <c r="N1154" s="147" t="str">
        <f t="shared" si="16"/>
        <v/>
      </c>
      <c r="O1154" s="147" t="str">
        <f t="shared" si="6"/>
        <v/>
      </c>
      <c r="P1154" s="150" t="str">
        <f t="shared" si="7"/>
        <v/>
      </c>
      <c r="Q1154" s="151" t="str">
        <f>IFERROR(VLOOKUP(C1154,Ativos!$A$1:$G2000,5,),)</f>
        <v/>
      </c>
    </row>
    <row r="1155" ht="21.0" customHeight="1">
      <c r="A1155" s="152"/>
      <c r="B1155" s="160"/>
      <c r="C1155" s="153"/>
      <c r="D1155" s="169"/>
      <c r="E1155" s="139"/>
      <c r="F1155" s="141"/>
      <c r="G1155" s="170" t="str">
        <f>IFERROR(__xludf.DUMMYFUNCTION("if($C1155="""","""",iferror(if(row()&lt;&gt;2,INDEX(arrayformula(filter($H$2:$H1154,$C$2:$C1154&lt;&gt;"""",row($C$2:$C1154)=max(if($C$2:$C1154=C1155,row($C$2:$C1154),0)))) ,1),0),0))"),"")</f>
        <v/>
      </c>
      <c r="H1155" s="170" t="str">
        <f t="shared" si="8"/>
        <v/>
      </c>
      <c r="I1155" s="147" t="str">
        <f t="shared" si="1"/>
        <v/>
      </c>
      <c r="J1155" s="147" t="str">
        <f t="shared" si="13"/>
        <v/>
      </c>
      <c r="K1155" s="147" t="str">
        <f>IFERROR(__xludf.DUMMYFUNCTION("if(C1155="""","""",iferror(if(row()&lt;&gt;2,INDEX(arrayformula(filter($L$2:$L1154,$C$2:$C1154&lt;&gt;"""",row($C$2:$C1154)=max(if($C$2:$C1154=C1155,row($C$2:$C1154),0)))) ,1),0),0))"),"")</f>
        <v/>
      </c>
      <c r="L1155" s="147" t="str">
        <f t="shared" si="14"/>
        <v/>
      </c>
      <c r="M1155" s="147" t="str">
        <f t="shared" si="15"/>
        <v/>
      </c>
      <c r="N1155" s="147" t="str">
        <f t="shared" si="16"/>
        <v/>
      </c>
      <c r="O1155" s="147" t="str">
        <f t="shared" si="6"/>
        <v/>
      </c>
      <c r="P1155" s="150" t="str">
        <f t="shared" si="7"/>
        <v/>
      </c>
      <c r="Q1155" s="151" t="str">
        <f>IFERROR(VLOOKUP(C1155,Ativos!$A$1:$G2000,5,),)</f>
        <v/>
      </c>
    </row>
    <row r="1156" ht="21.0" customHeight="1">
      <c r="A1156" s="152"/>
      <c r="B1156" s="160"/>
      <c r="C1156" s="153"/>
      <c r="D1156" s="169"/>
      <c r="E1156" s="139"/>
      <c r="F1156" s="141"/>
      <c r="G1156" s="170" t="str">
        <f>IFERROR(__xludf.DUMMYFUNCTION("if($C1156="""","""",iferror(if(row()&lt;&gt;2,INDEX(arrayformula(filter($H$2:$H1155,$C$2:$C1155&lt;&gt;"""",row($C$2:$C1155)=max(if($C$2:$C1155=C1156,row($C$2:$C1155),0)))) ,1),0),0))"),"")</f>
        <v/>
      </c>
      <c r="H1156" s="170" t="str">
        <f t="shared" si="8"/>
        <v/>
      </c>
      <c r="I1156" s="147" t="str">
        <f t="shared" si="1"/>
        <v/>
      </c>
      <c r="J1156" s="147" t="str">
        <f t="shared" si="13"/>
        <v/>
      </c>
      <c r="K1156" s="147" t="str">
        <f>IFERROR(__xludf.DUMMYFUNCTION("if(C1156="""","""",iferror(if(row()&lt;&gt;2,INDEX(arrayformula(filter($L$2:$L1155,$C$2:$C1155&lt;&gt;"""",row($C$2:$C1155)=max(if($C$2:$C1155=C1156,row($C$2:$C1155),0)))) ,1),0),0))"),"")</f>
        <v/>
      </c>
      <c r="L1156" s="147" t="str">
        <f t="shared" si="14"/>
        <v/>
      </c>
      <c r="M1156" s="147" t="str">
        <f t="shared" si="15"/>
        <v/>
      </c>
      <c r="N1156" s="147" t="str">
        <f t="shared" si="16"/>
        <v/>
      </c>
      <c r="O1156" s="147" t="str">
        <f t="shared" si="6"/>
        <v/>
      </c>
      <c r="P1156" s="150" t="str">
        <f t="shared" si="7"/>
        <v/>
      </c>
      <c r="Q1156" s="151" t="str">
        <f>IFERROR(VLOOKUP(C1156,Ativos!$A$1:$G2000,5,),)</f>
        <v/>
      </c>
    </row>
    <row r="1157" ht="21.0" customHeight="1">
      <c r="A1157" s="152"/>
      <c r="B1157" s="160"/>
      <c r="C1157" s="153"/>
      <c r="D1157" s="169"/>
      <c r="E1157" s="139"/>
      <c r="F1157" s="141"/>
      <c r="G1157" s="170" t="str">
        <f>IFERROR(__xludf.DUMMYFUNCTION("if($C1157="""","""",iferror(if(row()&lt;&gt;2,INDEX(arrayformula(filter($H$2:$H1156,$C$2:$C1156&lt;&gt;"""",row($C$2:$C1156)=max(if($C$2:$C1156=C1157,row($C$2:$C1156),0)))) ,1),0),0))"),"")</f>
        <v/>
      </c>
      <c r="H1157" s="170" t="str">
        <f t="shared" si="8"/>
        <v/>
      </c>
      <c r="I1157" s="147" t="str">
        <f t="shared" si="1"/>
        <v/>
      </c>
      <c r="J1157" s="147" t="str">
        <f t="shared" si="13"/>
        <v/>
      </c>
      <c r="K1157" s="147" t="str">
        <f>IFERROR(__xludf.DUMMYFUNCTION("if(C1157="""","""",iferror(if(row()&lt;&gt;2,INDEX(arrayformula(filter($L$2:$L1156,$C$2:$C1156&lt;&gt;"""",row($C$2:$C1156)=max(if($C$2:$C1156=C1157,row($C$2:$C1156),0)))) ,1),0),0))"),"")</f>
        <v/>
      </c>
      <c r="L1157" s="147" t="str">
        <f t="shared" si="14"/>
        <v/>
      </c>
      <c r="M1157" s="147" t="str">
        <f t="shared" si="15"/>
        <v/>
      </c>
      <c r="N1157" s="147" t="str">
        <f t="shared" si="16"/>
        <v/>
      </c>
      <c r="O1157" s="147" t="str">
        <f t="shared" si="6"/>
        <v/>
      </c>
      <c r="P1157" s="150" t="str">
        <f t="shared" si="7"/>
        <v/>
      </c>
      <c r="Q1157" s="151" t="str">
        <f>IFERROR(VLOOKUP(C1157,Ativos!$A$1:$G2000,5,),)</f>
        <v/>
      </c>
    </row>
    <row r="1158" ht="21.0" customHeight="1">
      <c r="A1158" s="152"/>
      <c r="B1158" s="160"/>
      <c r="C1158" s="153"/>
      <c r="D1158" s="169"/>
      <c r="E1158" s="139"/>
      <c r="F1158" s="141"/>
      <c r="G1158" s="170" t="str">
        <f>IFERROR(__xludf.DUMMYFUNCTION("if($C1158="""","""",iferror(if(row()&lt;&gt;2,INDEX(arrayformula(filter($H$2:$H1157,$C$2:$C1157&lt;&gt;"""",row($C$2:$C1157)=max(if($C$2:$C1157=C1158,row($C$2:$C1157),0)))) ,1),0),0))"),"")</f>
        <v/>
      </c>
      <c r="H1158" s="170" t="str">
        <f t="shared" si="8"/>
        <v/>
      </c>
      <c r="I1158" s="147" t="str">
        <f t="shared" si="1"/>
        <v/>
      </c>
      <c r="J1158" s="147" t="str">
        <f t="shared" si="13"/>
        <v/>
      </c>
      <c r="K1158" s="147" t="str">
        <f>IFERROR(__xludf.DUMMYFUNCTION("if(C1158="""","""",iferror(if(row()&lt;&gt;2,INDEX(arrayformula(filter($L$2:$L1157,$C$2:$C1157&lt;&gt;"""",row($C$2:$C1157)=max(if($C$2:$C1157=C1158,row($C$2:$C1157),0)))) ,1),0),0))"),"")</f>
        <v/>
      </c>
      <c r="L1158" s="147" t="str">
        <f t="shared" si="14"/>
        <v/>
      </c>
      <c r="M1158" s="147" t="str">
        <f t="shared" si="15"/>
        <v/>
      </c>
      <c r="N1158" s="147" t="str">
        <f t="shared" si="16"/>
        <v/>
      </c>
      <c r="O1158" s="147" t="str">
        <f t="shared" si="6"/>
        <v/>
      </c>
      <c r="P1158" s="150" t="str">
        <f t="shared" si="7"/>
        <v/>
      </c>
      <c r="Q1158" s="151" t="str">
        <f>IFERROR(VLOOKUP(C1158,Ativos!$A$1:$G2000,5,),)</f>
        <v/>
      </c>
    </row>
    <row r="1159" ht="21.0" customHeight="1">
      <c r="A1159" s="152"/>
      <c r="B1159" s="160"/>
      <c r="C1159" s="153"/>
      <c r="D1159" s="169"/>
      <c r="E1159" s="139"/>
      <c r="F1159" s="141"/>
      <c r="G1159" s="170" t="str">
        <f>IFERROR(__xludf.DUMMYFUNCTION("if($C1159="""","""",iferror(if(row()&lt;&gt;2,INDEX(arrayformula(filter($H$2:$H1158,$C$2:$C1158&lt;&gt;"""",row($C$2:$C1158)=max(if($C$2:$C1158=C1159,row($C$2:$C1158),0)))) ,1),0),0))"),"")</f>
        <v/>
      </c>
      <c r="H1159" s="170" t="str">
        <f t="shared" si="8"/>
        <v/>
      </c>
      <c r="I1159" s="147" t="str">
        <f t="shared" si="1"/>
        <v/>
      </c>
      <c r="J1159" s="147" t="str">
        <f t="shared" si="13"/>
        <v/>
      </c>
      <c r="K1159" s="147" t="str">
        <f>IFERROR(__xludf.DUMMYFUNCTION("if(C1159="""","""",iferror(if(row()&lt;&gt;2,INDEX(arrayformula(filter($L$2:$L1158,$C$2:$C1158&lt;&gt;"""",row($C$2:$C1158)=max(if($C$2:$C1158=C1159,row($C$2:$C1158),0)))) ,1),0),0))"),"")</f>
        <v/>
      </c>
      <c r="L1159" s="147" t="str">
        <f t="shared" si="14"/>
        <v/>
      </c>
      <c r="M1159" s="147" t="str">
        <f t="shared" si="15"/>
        <v/>
      </c>
      <c r="N1159" s="147" t="str">
        <f t="shared" si="16"/>
        <v/>
      </c>
      <c r="O1159" s="147" t="str">
        <f t="shared" si="6"/>
        <v/>
      </c>
      <c r="P1159" s="150" t="str">
        <f t="shared" si="7"/>
        <v/>
      </c>
      <c r="Q1159" s="151" t="str">
        <f>IFERROR(VLOOKUP(C1159,Ativos!$A$1:$G2000,5,),)</f>
        <v/>
      </c>
    </row>
    <row r="1160" ht="21.0" customHeight="1">
      <c r="A1160" s="152"/>
      <c r="B1160" s="160"/>
      <c r="C1160" s="153"/>
      <c r="D1160" s="169"/>
      <c r="E1160" s="139"/>
      <c r="F1160" s="141"/>
      <c r="G1160" s="170" t="str">
        <f>IFERROR(__xludf.DUMMYFUNCTION("if($C1160="""","""",iferror(if(row()&lt;&gt;2,INDEX(arrayformula(filter($H$2:$H1159,$C$2:$C1159&lt;&gt;"""",row($C$2:$C1159)=max(if($C$2:$C1159=C1160,row($C$2:$C1159),0)))) ,1),0),0))"),"")</f>
        <v/>
      </c>
      <c r="H1160" s="170" t="str">
        <f t="shared" si="8"/>
        <v/>
      </c>
      <c r="I1160" s="147" t="str">
        <f t="shared" si="1"/>
        <v/>
      </c>
      <c r="J1160" s="147" t="str">
        <f t="shared" si="13"/>
        <v/>
      </c>
      <c r="K1160" s="147" t="str">
        <f>IFERROR(__xludf.DUMMYFUNCTION("if(C1160="""","""",iferror(if(row()&lt;&gt;2,INDEX(arrayformula(filter($L$2:$L1159,$C$2:$C1159&lt;&gt;"""",row($C$2:$C1159)=max(if($C$2:$C1159=C1160,row($C$2:$C1159),0)))) ,1),0),0))"),"")</f>
        <v/>
      </c>
      <c r="L1160" s="147" t="str">
        <f t="shared" si="14"/>
        <v/>
      </c>
      <c r="M1160" s="147" t="str">
        <f t="shared" si="15"/>
        <v/>
      </c>
      <c r="N1160" s="147" t="str">
        <f t="shared" si="16"/>
        <v/>
      </c>
      <c r="O1160" s="147" t="str">
        <f t="shared" si="6"/>
        <v/>
      </c>
      <c r="P1160" s="150" t="str">
        <f t="shared" si="7"/>
        <v/>
      </c>
      <c r="Q1160" s="151" t="str">
        <f>IFERROR(VLOOKUP(C1160,Ativos!$A$1:$G2000,5,),)</f>
        <v/>
      </c>
    </row>
    <row r="1161" ht="21.0" customHeight="1">
      <c r="A1161" s="152"/>
      <c r="B1161" s="160"/>
      <c r="C1161" s="153"/>
      <c r="D1161" s="169"/>
      <c r="E1161" s="139"/>
      <c r="F1161" s="141"/>
      <c r="G1161" s="170" t="str">
        <f>IFERROR(__xludf.DUMMYFUNCTION("if($C1161="""","""",iferror(if(row()&lt;&gt;2,INDEX(arrayformula(filter($H$2:$H1160,$C$2:$C1160&lt;&gt;"""",row($C$2:$C1160)=max(if($C$2:$C1160=C1161,row($C$2:$C1160),0)))) ,1),0),0))"),"")</f>
        <v/>
      </c>
      <c r="H1161" s="170" t="str">
        <f t="shared" si="8"/>
        <v/>
      </c>
      <c r="I1161" s="147" t="str">
        <f t="shared" si="1"/>
        <v/>
      </c>
      <c r="J1161" s="147" t="str">
        <f t="shared" si="13"/>
        <v/>
      </c>
      <c r="K1161" s="147" t="str">
        <f>IFERROR(__xludf.DUMMYFUNCTION("if(C1161="""","""",iferror(if(row()&lt;&gt;2,INDEX(arrayformula(filter($L$2:$L1160,$C$2:$C1160&lt;&gt;"""",row($C$2:$C1160)=max(if($C$2:$C1160=C1161,row($C$2:$C1160),0)))) ,1),0),0))"),"")</f>
        <v/>
      </c>
      <c r="L1161" s="147" t="str">
        <f t="shared" si="14"/>
        <v/>
      </c>
      <c r="M1161" s="147" t="str">
        <f t="shared" si="15"/>
        <v/>
      </c>
      <c r="N1161" s="147" t="str">
        <f t="shared" si="16"/>
        <v/>
      </c>
      <c r="O1161" s="147" t="str">
        <f t="shared" si="6"/>
        <v/>
      </c>
      <c r="P1161" s="150" t="str">
        <f t="shared" si="7"/>
        <v/>
      </c>
      <c r="Q1161" s="151" t="str">
        <f>IFERROR(VLOOKUP(C1161,Ativos!$A$1:$G2000,5,),)</f>
        <v/>
      </c>
    </row>
    <row r="1162" ht="21.0" customHeight="1">
      <c r="A1162" s="152"/>
      <c r="B1162" s="160"/>
      <c r="C1162" s="153"/>
      <c r="D1162" s="169"/>
      <c r="E1162" s="139"/>
      <c r="F1162" s="141"/>
      <c r="G1162" s="170" t="str">
        <f>IFERROR(__xludf.DUMMYFUNCTION("if($C1162="""","""",iferror(if(row()&lt;&gt;2,INDEX(arrayformula(filter($H$2:$H1161,$C$2:$C1161&lt;&gt;"""",row($C$2:$C1161)=max(if($C$2:$C1161=C1162,row($C$2:$C1161),0)))) ,1),0),0))"),"")</f>
        <v/>
      </c>
      <c r="H1162" s="170" t="str">
        <f t="shared" si="8"/>
        <v/>
      </c>
      <c r="I1162" s="147" t="str">
        <f t="shared" si="1"/>
        <v/>
      </c>
      <c r="J1162" s="147" t="str">
        <f t="shared" si="13"/>
        <v/>
      </c>
      <c r="K1162" s="147" t="str">
        <f>IFERROR(__xludf.DUMMYFUNCTION("if(C1162="""","""",iferror(if(row()&lt;&gt;2,INDEX(arrayformula(filter($L$2:$L1161,$C$2:$C1161&lt;&gt;"""",row($C$2:$C1161)=max(if($C$2:$C1161=C1162,row($C$2:$C1161),0)))) ,1),0),0))"),"")</f>
        <v/>
      </c>
      <c r="L1162" s="147" t="str">
        <f t="shared" si="14"/>
        <v/>
      </c>
      <c r="M1162" s="147" t="str">
        <f t="shared" si="15"/>
        <v/>
      </c>
      <c r="N1162" s="147" t="str">
        <f t="shared" si="16"/>
        <v/>
      </c>
      <c r="O1162" s="147" t="str">
        <f t="shared" si="6"/>
        <v/>
      </c>
      <c r="P1162" s="150" t="str">
        <f t="shared" si="7"/>
        <v/>
      </c>
      <c r="Q1162" s="151" t="str">
        <f>IFERROR(VLOOKUP(C1162,Ativos!$A$1:$G2000,5,),)</f>
        <v/>
      </c>
    </row>
    <row r="1163" ht="21.0" customHeight="1">
      <c r="A1163" s="152"/>
      <c r="B1163" s="160"/>
      <c r="C1163" s="153"/>
      <c r="D1163" s="169"/>
      <c r="E1163" s="139"/>
      <c r="F1163" s="141"/>
      <c r="G1163" s="170" t="str">
        <f>IFERROR(__xludf.DUMMYFUNCTION("if($C1163="""","""",iferror(if(row()&lt;&gt;2,INDEX(arrayformula(filter($H$2:$H1162,$C$2:$C1162&lt;&gt;"""",row($C$2:$C1162)=max(if($C$2:$C1162=C1163,row($C$2:$C1162),0)))) ,1),0),0))"),"")</f>
        <v/>
      </c>
      <c r="H1163" s="170" t="str">
        <f t="shared" si="8"/>
        <v/>
      </c>
      <c r="I1163" s="147" t="str">
        <f t="shared" si="1"/>
        <v/>
      </c>
      <c r="J1163" s="147" t="str">
        <f t="shared" si="13"/>
        <v/>
      </c>
      <c r="K1163" s="147" t="str">
        <f>IFERROR(__xludf.DUMMYFUNCTION("if(C1163="""","""",iferror(if(row()&lt;&gt;2,INDEX(arrayformula(filter($L$2:$L1162,$C$2:$C1162&lt;&gt;"""",row($C$2:$C1162)=max(if($C$2:$C1162=C1163,row($C$2:$C1162),0)))) ,1),0),0))"),"")</f>
        <v/>
      </c>
      <c r="L1163" s="147" t="str">
        <f t="shared" si="14"/>
        <v/>
      </c>
      <c r="M1163" s="147" t="str">
        <f t="shared" si="15"/>
        <v/>
      </c>
      <c r="N1163" s="147" t="str">
        <f t="shared" si="16"/>
        <v/>
      </c>
      <c r="O1163" s="147" t="str">
        <f t="shared" si="6"/>
        <v/>
      </c>
      <c r="P1163" s="150" t="str">
        <f t="shared" si="7"/>
        <v/>
      </c>
      <c r="Q1163" s="151" t="str">
        <f>IFERROR(VLOOKUP(C1163,Ativos!$A$1:$G2000,5,),)</f>
        <v/>
      </c>
    </row>
    <row r="1164" ht="21.0" customHeight="1">
      <c r="A1164" s="152"/>
      <c r="B1164" s="160"/>
      <c r="C1164" s="153"/>
      <c r="D1164" s="169"/>
      <c r="E1164" s="139"/>
      <c r="F1164" s="141"/>
      <c r="G1164" s="170" t="str">
        <f>IFERROR(__xludf.DUMMYFUNCTION("if($C1164="""","""",iferror(if(row()&lt;&gt;2,INDEX(arrayformula(filter($H$2:$H1163,$C$2:$C1163&lt;&gt;"""",row($C$2:$C1163)=max(if($C$2:$C1163=C1164,row($C$2:$C1163),0)))) ,1),0),0))"),"")</f>
        <v/>
      </c>
      <c r="H1164" s="170" t="str">
        <f t="shared" si="8"/>
        <v/>
      </c>
      <c r="I1164" s="147" t="str">
        <f t="shared" si="1"/>
        <v/>
      </c>
      <c r="J1164" s="147" t="str">
        <f t="shared" si="13"/>
        <v/>
      </c>
      <c r="K1164" s="147" t="str">
        <f>IFERROR(__xludf.DUMMYFUNCTION("if(C1164="""","""",iferror(if(row()&lt;&gt;2,INDEX(arrayformula(filter($L$2:$L1163,$C$2:$C1163&lt;&gt;"""",row($C$2:$C1163)=max(if($C$2:$C1163=C1164,row($C$2:$C1163),0)))) ,1),0),0))"),"")</f>
        <v/>
      </c>
      <c r="L1164" s="147" t="str">
        <f t="shared" si="14"/>
        <v/>
      </c>
      <c r="M1164" s="147" t="str">
        <f t="shared" si="15"/>
        <v/>
      </c>
      <c r="N1164" s="147" t="str">
        <f t="shared" si="16"/>
        <v/>
      </c>
      <c r="O1164" s="147" t="str">
        <f t="shared" si="6"/>
        <v/>
      </c>
      <c r="P1164" s="150" t="str">
        <f t="shared" si="7"/>
        <v/>
      </c>
      <c r="Q1164" s="151" t="str">
        <f>IFERROR(VLOOKUP(C1164,Ativos!$A$1:$G2000,5,),)</f>
        <v/>
      </c>
    </row>
    <row r="1165" ht="21.0" customHeight="1">
      <c r="A1165" s="152"/>
      <c r="B1165" s="160"/>
      <c r="C1165" s="153"/>
      <c r="D1165" s="169"/>
      <c r="E1165" s="139"/>
      <c r="F1165" s="141"/>
      <c r="G1165" s="170" t="str">
        <f>IFERROR(__xludf.DUMMYFUNCTION("if($C1165="""","""",iferror(if(row()&lt;&gt;2,INDEX(arrayformula(filter($H$2:$H1164,$C$2:$C1164&lt;&gt;"""",row($C$2:$C1164)=max(if($C$2:$C1164=C1165,row($C$2:$C1164),0)))) ,1),0),0))"),"")</f>
        <v/>
      </c>
      <c r="H1165" s="170" t="str">
        <f t="shared" si="8"/>
        <v/>
      </c>
      <c r="I1165" s="147" t="str">
        <f t="shared" si="1"/>
        <v/>
      </c>
      <c r="J1165" s="147" t="str">
        <f t="shared" si="13"/>
        <v/>
      </c>
      <c r="K1165" s="147" t="str">
        <f>IFERROR(__xludf.DUMMYFUNCTION("if(C1165="""","""",iferror(if(row()&lt;&gt;2,INDEX(arrayformula(filter($L$2:$L1164,$C$2:$C1164&lt;&gt;"""",row($C$2:$C1164)=max(if($C$2:$C1164=C1165,row($C$2:$C1164),0)))) ,1),0),0))"),"")</f>
        <v/>
      </c>
      <c r="L1165" s="147" t="str">
        <f t="shared" si="14"/>
        <v/>
      </c>
      <c r="M1165" s="147" t="str">
        <f t="shared" si="15"/>
        <v/>
      </c>
      <c r="N1165" s="147" t="str">
        <f t="shared" si="16"/>
        <v/>
      </c>
      <c r="O1165" s="147" t="str">
        <f t="shared" si="6"/>
        <v/>
      </c>
      <c r="P1165" s="150" t="str">
        <f t="shared" si="7"/>
        <v/>
      </c>
      <c r="Q1165" s="151" t="str">
        <f>IFERROR(VLOOKUP(C1165,Ativos!$A$1:$G2000,5,),)</f>
        <v/>
      </c>
    </row>
    <row r="1166" ht="21.0" customHeight="1">
      <c r="A1166" s="152"/>
      <c r="B1166" s="160"/>
      <c r="C1166" s="153"/>
      <c r="D1166" s="169"/>
      <c r="E1166" s="139"/>
      <c r="F1166" s="141"/>
      <c r="G1166" s="170" t="str">
        <f>IFERROR(__xludf.DUMMYFUNCTION("if($C1166="""","""",iferror(if(row()&lt;&gt;2,INDEX(arrayformula(filter($H$2:$H1165,$C$2:$C1165&lt;&gt;"""",row($C$2:$C1165)=max(if($C$2:$C1165=C1166,row($C$2:$C1165),0)))) ,1),0),0))"),"")</f>
        <v/>
      </c>
      <c r="H1166" s="170" t="str">
        <f t="shared" si="8"/>
        <v/>
      </c>
      <c r="I1166" s="147" t="str">
        <f t="shared" si="1"/>
        <v/>
      </c>
      <c r="J1166" s="147" t="str">
        <f t="shared" si="13"/>
        <v/>
      </c>
      <c r="K1166" s="147" t="str">
        <f>IFERROR(__xludf.DUMMYFUNCTION("if(C1166="""","""",iferror(if(row()&lt;&gt;2,INDEX(arrayformula(filter($L$2:$L1165,$C$2:$C1165&lt;&gt;"""",row($C$2:$C1165)=max(if($C$2:$C1165=C1166,row($C$2:$C1165),0)))) ,1),0),0))"),"")</f>
        <v/>
      </c>
      <c r="L1166" s="147" t="str">
        <f t="shared" si="14"/>
        <v/>
      </c>
      <c r="M1166" s="147" t="str">
        <f t="shared" si="15"/>
        <v/>
      </c>
      <c r="N1166" s="147" t="str">
        <f t="shared" si="16"/>
        <v/>
      </c>
      <c r="O1166" s="147" t="str">
        <f t="shared" si="6"/>
        <v/>
      </c>
      <c r="P1166" s="150" t="str">
        <f t="shared" si="7"/>
        <v/>
      </c>
      <c r="Q1166" s="151" t="str">
        <f>IFERROR(VLOOKUP(C1166,Ativos!$A$1:$G2000,5,),)</f>
        <v/>
      </c>
    </row>
    <row r="1167" ht="21.0" customHeight="1">
      <c r="A1167" s="152"/>
      <c r="B1167" s="160"/>
      <c r="C1167" s="153"/>
      <c r="D1167" s="169"/>
      <c r="E1167" s="139"/>
      <c r="F1167" s="141"/>
      <c r="G1167" s="170" t="str">
        <f>IFERROR(__xludf.DUMMYFUNCTION("if($C1167="""","""",iferror(if(row()&lt;&gt;2,INDEX(arrayformula(filter($H$2:$H1166,$C$2:$C1166&lt;&gt;"""",row($C$2:$C1166)=max(if($C$2:$C1166=C1167,row($C$2:$C1166),0)))) ,1),0),0))"),"")</f>
        <v/>
      </c>
      <c r="H1167" s="170" t="str">
        <f t="shared" si="8"/>
        <v/>
      </c>
      <c r="I1167" s="147" t="str">
        <f t="shared" si="1"/>
        <v/>
      </c>
      <c r="J1167" s="147" t="str">
        <f t="shared" si="13"/>
        <v/>
      </c>
      <c r="K1167" s="147" t="str">
        <f>IFERROR(__xludf.DUMMYFUNCTION("if(C1167="""","""",iferror(if(row()&lt;&gt;2,INDEX(arrayformula(filter($L$2:$L1166,$C$2:$C1166&lt;&gt;"""",row($C$2:$C1166)=max(if($C$2:$C1166=C1167,row($C$2:$C1166),0)))) ,1),0),0))"),"")</f>
        <v/>
      </c>
      <c r="L1167" s="147" t="str">
        <f t="shared" si="14"/>
        <v/>
      </c>
      <c r="M1167" s="147" t="str">
        <f t="shared" si="15"/>
        <v/>
      </c>
      <c r="N1167" s="147" t="str">
        <f t="shared" si="16"/>
        <v/>
      </c>
      <c r="O1167" s="147" t="str">
        <f t="shared" si="6"/>
        <v/>
      </c>
      <c r="P1167" s="150" t="str">
        <f t="shared" si="7"/>
        <v/>
      </c>
      <c r="Q1167" s="151" t="str">
        <f>IFERROR(VLOOKUP(C1167,Ativos!$A$1:$G2000,5,),)</f>
        <v/>
      </c>
    </row>
    <row r="1168" ht="21.0" customHeight="1">
      <c r="A1168" s="152"/>
      <c r="B1168" s="160"/>
      <c r="C1168" s="153"/>
      <c r="D1168" s="169"/>
      <c r="E1168" s="139"/>
      <c r="F1168" s="141"/>
      <c r="G1168" s="170" t="str">
        <f>IFERROR(__xludf.DUMMYFUNCTION("if($C1168="""","""",iferror(if(row()&lt;&gt;2,INDEX(arrayformula(filter($H$2:$H1167,$C$2:$C1167&lt;&gt;"""",row($C$2:$C1167)=max(if($C$2:$C1167=C1168,row($C$2:$C1167),0)))) ,1),0),0))"),"")</f>
        <v/>
      </c>
      <c r="H1168" s="170" t="str">
        <f t="shared" si="8"/>
        <v/>
      </c>
      <c r="I1168" s="147" t="str">
        <f t="shared" si="1"/>
        <v/>
      </c>
      <c r="J1168" s="147" t="str">
        <f t="shared" si="13"/>
        <v/>
      </c>
      <c r="K1168" s="147" t="str">
        <f>IFERROR(__xludf.DUMMYFUNCTION("if(C1168="""","""",iferror(if(row()&lt;&gt;2,INDEX(arrayformula(filter($L$2:$L1167,$C$2:$C1167&lt;&gt;"""",row($C$2:$C1167)=max(if($C$2:$C1167=C1168,row($C$2:$C1167),0)))) ,1),0),0))"),"")</f>
        <v/>
      </c>
      <c r="L1168" s="147" t="str">
        <f t="shared" si="14"/>
        <v/>
      </c>
      <c r="M1168" s="147" t="str">
        <f t="shared" si="15"/>
        <v/>
      </c>
      <c r="N1168" s="147" t="str">
        <f t="shared" si="16"/>
        <v/>
      </c>
      <c r="O1168" s="147" t="str">
        <f t="shared" si="6"/>
        <v/>
      </c>
      <c r="P1168" s="150" t="str">
        <f t="shared" si="7"/>
        <v/>
      </c>
      <c r="Q1168" s="151" t="str">
        <f>IFERROR(VLOOKUP(C1168,Ativos!$A$1:$G2000,5,),)</f>
        <v/>
      </c>
    </row>
    <row r="1169" ht="21.0" customHeight="1">
      <c r="A1169" s="152"/>
      <c r="B1169" s="160"/>
      <c r="C1169" s="153"/>
      <c r="D1169" s="169"/>
      <c r="E1169" s="139"/>
      <c r="F1169" s="141"/>
      <c r="G1169" s="170" t="str">
        <f>IFERROR(__xludf.DUMMYFUNCTION("if($C1169="""","""",iferror(if(row()&lt;&gt;2,INDEX(arrayformula(filter($H$2:$H1168,$C$2:$C1168&lt;&gt;"""",row($C$2:$C1168)=max(if($C$2:$C1168=C1169,row($C$2:$C1168),0)))) ,1),0),0))"),"")</f>
        <v/>
      </c>
      <c r="H1169" s="170" t="str">
        <f t="shared" si="8"/>
        <v/>
      </c>
      <c r="I1169" s="147" t="str">
        <f t="shared" si="1"/>
        <v/>
      </c>
      <c r="J1169" s="147" t="str">
        <f t="shared" si="13"/>
        <v/>
      </c>
      <c r="K1169" s="147" t="str">
        <f>IFERROR(__xludf.DUMMYFUNCTION("if(C1169="""","""",iferror(if(row()&lt;&gt;2,INDEX(arrayformula(filter($L$2:$L1168,$C$2:$C1168&lt;&gt;"""",row($C$2:$C1168)=max(if($C$2:$C1168=C1169,row($C$2:$C1168),0)))) ,1),0),0))"),"")</f>
        <v/>
      </c>
      <c r="L1169" s="147" t="str">
        <f t="shared" si="14"/>
        <v/>
      </c>
      <c r="M1169" s="147" t="str">
        <f t="shared" si="15"/>
        <v/>
      </c>
      <c r="N1169" s="147" t="str">
        <f t="shared" si="16"/>
        <v/>
      </c>
      <c r="O1169" s="147" t="str">
        <f t="shared" si="6"/>
        <v/>
      </c>
      <c r="P1169" s="150" t="str">
        <f t="shared" si="7"/>
        <v/>
      </c>
      <c r="Q1169" s="151" t="str">
        <f>IFERROR(VLOOKUP(C1169,Ativos!$A$1:$G2000,5,),)</f>
        <v/>
      </c>
    </row>
    <row r="1170" ht="21.0" customHeight="1">
      <c r="A1170" s="152"/>
      <c r="B1170" s="160"/>
      <c r="C1170" s="153"/>
      <c r="D1170" s="169"/>
      <c r="E1170" s="139"/>
      <c r="F1170" s="141"/>
      <c r="G1170" s="170" t="str">
        <f>IFERROR(__xludf.DUMMYFUNCTION("if($C1170="""","""",iferror(if(row()&lt;&gt;2,INDEX(arrayformula(filter($H$2:$H1169,$C$2:$C1169&lt;&gt;"""",row($C$2:$C1169)=max(if($C$2:$C1169=C1170,row($C$2:$C1169),0)))) ,1),0),0))"),"")</f>
        <v/>
      </c>
      <c r="H1170" s="170" t="str">
        <f t="shared" si="8"/>
        <v/>
      </c>
      <c r="I1170" s="147" t="str">
        <f t="shared" si="1"/>
        <v/>
      </c>
      <c r="J1170" s="147" t="str">
        <f t="shared" si="13"/>
        <v/>
      </c>
      <c r="K1170" s="147" t="str">
        <f>IFERROR(__xludf.DUMMYFUNCTION("if(C1170="""","""",iferror(if(row()&lt;&gt;2,INDEX(arrayformula(filter($L$2:$L1169,$C$2:$C1169&lt;&gt;"""",row($C$2:$C1169)=max(if($C$2:$C1169=C1170,row($C$2:$C1169),0)))) ,1),0),0))"),"")</f>
        <v/>
      </c>
      <c r="L1170" s="147" t="str">
        <f t="shared" si="14"/>
        <v/>
      </c>
      <c r="M1170" s="147" t="str">
        <f t="shared" si="15"/>
        <v/>
      </c>
      <c r="N1170" s="147" t="str">
        <f t="shared" si="16"/>
        <v/>
      </c>
      <c r="O1170" s="147" t="str">
        <f t="shared" si="6"/>
        <v/>
      </c>
      <c r="P1170" s="150" t="str">
        <f t="shared" si="7"/>
        <v/>
      </c>
      <c r="Q1170" s="151" t="str">
        <f>IFERROR(VLOOKUP(C1170,Ativos!$A$1:$G2000,5,),)</f>
        <v/>
      </c>
    </row>
    <row r="1171" ht="21.0" customHeight="1">
      <c r="A1171" s="152"/>
      <c r="B1171" s="160"/>
      <c r="C1171" s="153"/>
      <c r="D1171" s="169"/>
      <c r="E1171" s="139"/>
      <c r="F1171" s="141"/>
      <c r="G1171" s="170" t="str">
        <f>IFERROR(__xludf.DUMMYFUNCTION("if($C1171="""","""",iferror(if(row()&lt;&gt;2,INDEX(arrayformula(filter($H$2:$H1170,$C$2:$C1170&lt;&gt;"""",row($C$2:$C1170)=max(if($C$2:$C1170=C1171,row($C$2:$C1170),0)))) ,1),0),0))"),"")</f>
        <v/>
      </c>
      <c r="H1171" s="170" t="str">
        <f t="shared" si="8"/>
        <v/>
      </c>
      <c r="I1171" s="147" t="str">
        <f t="shared" si="1"/>
        <v/>
      </c>
      <c r="J1171" s="147" t="str">
        <f t="shared" si="13"/>
        <v/>
      </c>
      <c r="K1171" s="147" t="str">
        <f>IFERROR(__xludf.DUMMYFUNCTION("if(C1171="""","""",iferror(if(row()&lt;&gt;2,INDEX(arrayformula(filter($L$2:$L1170,$C$2:$C1170&lt;&gt;"""",row($C$2:$C1170)=max(if($C$2:$C1170=C1171,row($C$2:$C1170),0)))) ,1),0),0))"),"")</f>
        <v/>
      </c>
      <c r="L1171" s="147" t="str">
        <f t="shared" si="14"/>
        <v/>
      </c>
      <c r="M1171" s="147" t="str">
        <f t="shared" si="15"/>
        <v/>
      </c>
      <c r="N1171" s="147" t="str">
        <f t="shared" si="16"/>
        <v/>
      </c>
      <c r="O1171" s="147" t="str">
        <f t="shared" si="6"/>
        <v/>
      </c>
      <c r="P1171" s="150" t="str">
        <f t="shared" si="7"/>
        <v/>
      </c>
      <c r="Q1171" s="151" t="str">
        <f>IFERROR(VLOOKUP(C1171,Ativos!$A$1:$G2000,5,),)</f>
        <v/>
      </c>
    </row>
    <row r="1172" ht="21.0" customHeight="1">
      <c r="A1172" s="152"/>
      <c r="B1172" s="160"/>
      <c r="C1172" s="153"/>
      <c r="D1172" s="169"/>
      <c r="E1172" s="139"/>
      <c r="F1172" s="141"/>
      <c r="G1172" s="170" t="str">
        <f>IFERROR(__xludf.DUMMYFUNCTION("if($C1172="""","""",iferror(if(row()&lt;&gt;2,INDEX(arrayformula(filter($H$2:$H1171,$C$2:$C1171&lt;&gt;"""",row($C$2:$C1171)=max(if($C$2:$C1171=C1172,row($C$2:$C1171),0)))) ,1),0),0))"),"")</f>
        <v/>
      </c>
      <c r="H1172" s="170" t="str">
        <f t="shared" si="8"/>
        <v/>
      </c>
      <c r="I1172" s="147" t="str">
        <f t="shared" si="1"/>
        <v/>
      </c>
      <c r="J1172" s="147" t="str">
        <f t="shared" si="13"/>
        <v/>
      </c>
      <c r="K1172" s="147" t="str">
        <f>IFERROR(__xludf.DUMMYFUNCTION("if(C1172="""","""",iferror(if(row()&lt;&gt;2,INDEX(arrayformula(filter($L$2:$L1171,$C$2:$C1171&lt;&gt;"""",row($C$2:$C1171)=max(if($C$2:$C1171=C1172,row($C$2:$C1171),0)))) ,1),0),0))"),"")</f>
        <v/>
      </c>
      <c r="L1172" s="147" t="str">
        <f t="shared" si="14"/>
        <v/>
      </c>
      <c r="M1172" s="147" t="str">
        <f t="shared" si="15"/>
        <v/>
      </c>
      <c r="N1172" s="147" t="str">
        <f t="shared" si="16"/>
        <v/>
      </c>
      <c r="O1172" s="147" t="str">
        <f t="shared" si="6"/>
        <v/>
      </c>
      <c r="P1172" s="150" t="str">
        <f t="shared" si="7"/>
        <v/>
      </c>
      <c r="Q1172" s="151" t="str">
        <f>IFERROR(VLOOKUP(C1172,Ativos!$A$1:$G2000,5,),)</f>
        <v/>
      </c>
    </row>
    <row r="1173" ht="21.0" customHeight="1">
      <c r="A1173" s="152"/>
      <c r="B1173" s="160"/>
      <c r="C1173" s="153"/>
      <c r="D1173" s="169"/>
      <c r="E1173" s="139"/>
      <c r="F1173" s="141"/>
      <c r="G1173" s="170" t="str">
        <f>IFERROR(__xludf.DUMMYFUNCTION("if($C1173="""","""",iferror(if(row()&lt;&gt;2,INDEX(arrayformula(filter($H$2:$H1172,$C$2:$C1172&lt;&gt;"""",row($C$2:$C1172)=max(if($C$2:$C1172=C1173,row($C$2:$C1172),0)))) ,1),0),0))"),"")</f>
        <v/>
      </c>
      <c r="H1173" s="170" t="str">
        <f t="shared" si="8"/>
        <v/>
      </c>
      <c r="I1173" s="147" t="str">
        <f t="shared" si="1"/>
        <v/>
      </c>
      <c r="J1173" s="147" t="str">
        <f t="shared" si="13"/>
        <v/>
      </c>
      <c r="K1173" s="147" t="str">
        <f>IFERROR(__xludf.DUMMYFUNCTION("if(C1173="""","""",iferror(if(row()&lt;&gt;2,INDEX(arrayformula(filter($L$2:$L1172,$C$2:$C1172&lt;&gt;"""",row($C$2:$C1172)=max(if($C$2:$C1172=C1173,row($C$2:$C1172),0)))) ,1),0),0))"),"")</f>
        <v/>
      </c>
      <c r="L1173" s="147" t="str">
        <f t="shared" si="14"/>
        <v/>
      </c>
      <c r="M1173" s="147" t="str">
        <f t="shared" si="15"/>
        <v/>
      </c>
      <c r="N1173" s="147" t="str">
        <f t="shared" si="16"/>
        <v/>
      </c>
      <c r="O1173" s="147" t="str">
        <f t="shared" si="6"/>
        <v/>
      </c>
      <c r="P1173" s="150" t="str">
        <f t="shared" si="7"/>
        <v/>
      </c>
      <c r="Q1173" s="151" t="str">
        <f>IFERROR(VLOOKUP(C1173,Ativos!$A$1:$G2000,5,),)</f>
        <v/>
      </c>
    </row>
    <row r="1174" ht="21.0" customHeight="1">
      <c r="A1174" s="152"/>
      <c r="B1174" s="160"/>
      <c r="C1174" s="153"/>
      <c r="D1174" s="169"/>
      <c r="E1174" s="139"/>
      <c r="F1174" s="141"/>
      <c r="G1174" s="170" t="str">
        <f>IFERROR(__xludf.DUMMYFUNCTION("if($C1174="""","""",iferror(if(row()&lt;&gt;2,INDEX(arrayformula(filter($H$2:$H1173,$C$2:$C1173&lt;&gt;"""",row($C$2:$C1173)=max(if($C$2:$C1173=C1174,row($C$2:$C1173),0)))) ,1),0),0))"),"")</f>
        <v/>
      </c>
      <c r="H1174" s="170" t="str">
        <f t="shared" si="8"/>
        <v/>
      </c>
      <c r="I1174" s="147" t="str">
        <f t="shared" si="1"/>
        <v/>
      </c>
      <c r="J1174" s="147" t="str">
        <f t="shared" si="13"/>
        <v/>
      </c>
      <c r="K1174" s="147" t="str">
        <f>IFERROR(__xludf.DUMMYFUNCTION("if(C1174="""","""",iferror(if(row()&lt;&gt;2,INDEX(arrayformula(filter($L$2:$L1173,$C$2:$C1173&lt;&gt;"""",row($C$2:$C1173)=max(if($C$2:$C1173=C1174,row($C$2:$C1173),0)))) ,1),0),0))"),"")</f>
        <v/>
      </c>
      <c r="L1174" s="147" t="str">
        <f t="shared" si="14"/>
        <v/>
      </c>
      <c r="M1174" s="147" t="str">
        <f t="shared" si="15"/>
        <v/>
      </c>
      <c r="N1174" s="147" t="str">
        <f t="shared" si="16"/>
        <v/>
      </c>
      <c r="O1174" s="147" t="str">
        <f t="shared" si="6"/>
        <v/>
      </c>
      <c r="P1174" s="150" t="str">
        <f t="shared" si="7"/>
        <v/>
      </c>
      <c r="Q1174" s="151" t="str">
        <f>IFERROR(VLOOKUP(C1174,Ativos!$A$1:$G2000,5,),)</f>
        <v/>
      </c>
    </row>
    <row r="1175" ht="21.0" customHeight="1">
      <c r="A1175" s="152"/>
      <c r="B1175" s="160"/>
      <c r="C1175" s="153"/>
      <c r="D1175" s="169"/>
      <c r="E1175" s="139"/>
      <c r="F1175" s="141"/>
      <c r="G1175" s="170" t="str">
        <f>IFERROR(__xludf.DUMMYFUNCTION("if($C1175="""","""",iferror(if(row()&lt;&gt;2,INDEX(arrayformula(filter($H$2:$H1174,$C$2:$C1174&lt;&gt;"""",row($C$2:$C1174)=max(if($C$2:$C1174=C1175,row($C$2:$C1174),0)))) ,1),0),0))"),"")</f>
        <v/>
      </c>
      <c r="H1175" s="170" t="str">
        <f t="shared" si="8"/>
        <v/>
      </c>
      <c r="I1175" s="147" t="str">
        <f t="shared" si="1"/>
        <v/>
      </c>
      <c r="J1175" s="147" t="str">
        <f t="shared" si="13"/>
        <v/>
      </c>
      <c r="K1175" s="147" t="str">
        <f>IFERROR(__xludf.DUMMYFUNCTION("if(C1175="""","""",iferror(if(row()&lt;&gt;2,INDEX(arrayformula(filter($L$2:$L1174,$C$2:$C1174&lt;&gt;"""",row($C$2:$C1174)=max(if($C$2:$C1174=C1175,row($C$2:$C1174),0)))) ,1),0),0))"),"")</f>
        <v/>
      </c>
      <c r="L1175" s="147" t="str">
        <f t="shared" si="14"/>
        <v/>
      </c>
      <c r="M1175" s="147" t="str">
        <f t="shared" si="15"/>
        <v/>
      </c>
      <c r="N1175" s="147" t="str">
        <f t="shared" si="16"/>
        <v/>
      </c>
      <c r="O1175" s="147" t="str">
        <f t="shared" si="6"/>
        <v/>
      </c>
      <c r="P1175" s="150" t="str">
        <f t="shared" si="7"/>
        <v/>
      </c>
      <c r="Q1175" s="151" t="str">
        <f>IFERROR(VLOOKUP(C1175,Ativos!$A$1:$G2000,5,),)</f>
        <v/>
      </c>
    </row>
    <row r="1176" ht="21.0" customHeight="1">
      <c r="A1176" s="152"/>
      <c r="B1176" s="160"/>
      <c r="C1176" s="153"/>
      <c r="D1176" s="169"/>
      <c r="E1176" s="139"/>
      <c r="F1176" s="141"/>
      <c r="G1176" s="170" t="str">
        <f>IFERROR(__xludf.DUMMYFUNCTION("if($C1176="""","""",iferror(if(row()&lt;&gt;2,INDEX(arrayformula(filter($H$2:$H1175,$C$2:$C1175&lt;&gt;"""",row($C$2:$C1175)=max(if($C$2:$C1175=C1176,row($C$2:$C1175),0)))) ,1),0),0))"),"")</f>
        <v/>
      </c>
      <c r="H1176" s="170" t="str">
        <f t="shared" si="8"/>
        <v/>
      </c>
      <c r="I1176" s="147" t="str">
        <f t="shared" si="1"/>
        <v/>
      </c>
      <c r="J1176" s="147" t="str">
        <f t="shared" si="13"/>
        <v/>
      </c>
      <c r="K1176" s="147" t="str">
        <f>IFERROR(__xludf.DUMMYFUNCTION("if(C1176="""","""",iferror(if(row()&lt;&gt;2,INDEX(arrayformula(filter($L$2:$L1175,$C$2:$C1175&lt;&gt;"""",row($C$2:$C1175)=max(if($C$2:$C1175=C1176,row($C$2:$C1175),0)))) ,1),0),0))"),"")</f>
        <v/>
      </c>
      <c r="L1176" s="147" t="str">
        <f t="shared" si="14"/>
        <v/>
      </c>
      <c r="M1176" s="147" t="str">
        <f t="shared" si="15"/>
        <v/>
      </c>
      <c r="N1176" s="147" t="str">
        <f t="shared" si="16"/>
        <v/>
      </c>
      <c r="O1176" s="147" t="str">
        <f t="shared" si="6"/>
        <v/>
      </c>
      <c r="P1176" s="150" t="str">
        <f t="shared" si="7"/>
        <v/>
      </c>
      <c r="Q1176" s="151" t="str">
        <f>IFERROR(VLOOKUP(C1176,Ativos!$A$1:$G2000,5,),)</f>
        <v/>
      </c>
    </row>
    <row r="1177" ht="21.0" customHeight="1">
      <c r="A1177" s="152"/>
      <c r="B1177" s="160"/>
      <c r="C1177" s="153"/>
      <c r="D1177" s="169"/>
      <c r="E1177" s="139"/>
      <c r="F1177" s="141"/>
      <c r="G1177" s="170" t="str">
        <f>IFERROR(__xludf.DUMMYFUNCTION("if($C1177="""","""",iferror(if(row()&lt;&gt;2,INDEX(arrayformula(filter($H$2:$H1176,$C$2:$C1176&lt;&gt;"""",row($C$2:$C1176)=max(if($C$2:$C1176=C1177,row($C$2:$C1176),0)))) ,1),0),0))"),"")</f>
        <v/>
      </c>
      <c r="H1177" s="170" t="str">
        <f t="shared" si="8"/>
        <v/>
      </c>
      <c r="I1177" s="147" t="str">
        <f t="shared" si="1"/>
        <v/>
      </c>
      <c r="J1177" s="147" t="str">
        <f t="shared" si="13"/>
        <v/>
      </c>
      <c r="K1177" s="147" t="str">
        <f>IFERROR(__xludf.DUMMYFUNCTION("if(C1177="""","""",iferror(if(row()&lt;&gt;2,INDEX(arrayformula(filter($L$2:$L1176,$C$2:$C1176&lt;&gt;"""",row($C$2:$C1176)=max(if($C$2:$C1176=C1177,row($C$2:$C1176),0)))) ,1),0),0))"),"")</f>
        <v/>
      </c>
      <c r="L1177" s="147" t="str">
        <f t="shared" si="14"/>
        <v/>
      </c>
      <c r="M1177" s="147" t="str">
        <f t="shared" si="15"/>
        <v/>
      </c>
      <c r="N1177" s="147" t="str">
        <f t="shared" si="16"/>
        <v/>
      </c>
      <c r="O1177" s="147" t="str">
        <f t="shared" si="6"/>
        <v/>
      </c>
      <c r="P1177" s="150" t="str">
        <f t="shared" si="7"/>
        <v/>
      </c>
      <c r="Q1177" s="151" t="str">
        <f>IFERROR(VLOOKUP(C1177,Ativos!$A$1:$G2000,5,),)</f>
        <v/>
      </c>
    </row>
    <row r="1178" ht="21.0" customHeight="1">
      <c r="A1178" s="152"/>
      <c r="B1178" s="160"/>
      <c r="C1178" s="153"/>
      <c r="D1178" s="169"/>
      <c r="E1178" s="139"/>
      <c r="F1178" s="141"/>
      <c r="G1178" s="170" t="str">
        <f>IFERROR(__xludf.DUMMYFUNCTION("if($C1178="""","""",iferror(if(row()&lt;&gt;2,INDEX(arrayformula(filter($H$2:$H1177,$C$2:$C1177&lt;&gt;"""",row($C$2:$C1177)=max(if($C$2:$C1177=C1178,row($C$2:$C1177),0)))) ,1),0),0))"),"")</f>
        <v/>
      </c>
      <c r="H1178" s="170" t="str">
        <f t="shared" si="8"/>
        <v/>
      </c>
      <c r="I1178" s="147" t="str">
        <f t="shared" si="1"/>
        <v/>
      </c>
      <c r="J1178" s="147" t="str">
        <f t="shared" si="13"/>
        <v/>
      </c>
      <c r="K1178" s="147" t="str">
        <f>IFERROR(__xludf.DUMMYFUNCTION("if(C1178="""","""",iferror(if(row()&lt;&gt;2,INDEX(arrayformula(filter($L$2:$L1177,$C$2:$C1177&lt;&gt;"""",row($C$2:$C1177)=max(if($C$2:$C1177=C1178,row($C$2:$C1177),0)))) ,1),0),0))"),"")</f>
        <v/>
      </c>
      <c r="L1178" s="147" t="str">
        <f t="shared" si="14"/>
        <v/>
      </c>
      <c r="M1178" s="147" t="str">
        <f t="shared" si="15"/>
        <v/>
      </c>
      <c r="N1178" s="147" t="str">
        <f t="shared" si="16"/>
        <v/>
      </c>
      <c r="O1178" s="147" t="str">
        <f t="shared" si="6"/>
        <v/>
      </c>
      <c r="P1178" s="150" t="str">
        <f t="shared" si="7"/>
        <v/>
      </c>
      <c r="Q1178" s="151" t="str">
        <f>IFERROR(VLOOKUP(C1178,Ativos!$A$1:$G2000,5,),)</f>
        <v/>
      </c>
    </row>
    <row r="1179" ht="21.0" customHeight="1">
      <c r="A1179" s="152"/>
      <c r="B1179" s="160"/>
      <c r="C1179" s="153"/>
      <c r="D1179" s="169"/>
      <c r="E1179" s="139"/>
      <c r="F1179" s="141"/>
      <c r="G1179" s="170" t="str">
        <f>IFERROR(__xludf.DUMMYFUNCTION("if($C1179="""","""",iferror(if(row()&lt;&gt;2,INDEX(arrayformula(filter($H$2:$H1178,$C$2:$C1178&lt;&gt;"""",row($C$2:$C1178)=max(if($C$2:$C1178=C1179,row($C$2:$C1178),0)))) ,1),0),0))"),"")</f>
        <v/>
      </c>
      <c r="H1179" s="170" t="str">
        <f t="shared" si="8"/>
        <v/>
      </c>
      <c r="I1179" s="147" t="str">
        <f t="shared" si="1"/>
        <v/>
      </c>
      <c r="J1179" s="147" t="str">
        <f t="shared" si="13"/>
        <v/>
      </c>
      <c r="K1179" s="147" t="str">
        <f>IFERROR(__xludf.DUMMYFUNCTION("if(C1179="""","""",iferror(if(row()&lt;&gt;2,INDEX(arrayformula(filter($L$2:$L1178,$C$2:$C1178&lt;&gt;"""",row($C$2:$C1178)=max(if($C$2:$C1178=C1179,row($C$2:$C1178),0)))) ,1),0),0))"),"")</f>
        <v/>
      </c>
      <c r="L1179" s="147" t="str">
        <f t="shared" si="14"/>
        <v/>
      </c>
      <c r="M1179" s="147" t="str">
        <f t="shared" si="15"/>
        <v/>
      </c>
      <c r="N1179" s="147" t="str">
        <f t="shared" si="16"/>
        <v/>
      </c>
      <c r="O1179" s="147" t="str">
        <f t="shared" si="6"/>
        <v/>
      </c>
      <c r="P1179" s="150" t="str">
        <f t="shared" si="7"/>
        <v/>
      </c>
      <c r="Q1179" s="151" t="str">
        <f>IFERROR(VLOOKUP(C1179,Ativos!$A$1:$G2000,5,),)</f>
        <v/>
      </c>
    </row>
    <row r="1180" ht="21.0" customHeight="1">
      <c r="A1180" s="152"/>
      <c r="B1180" s="160"/>
      <c r="C1180" s="153"/>
      <c r="D1180" s="169"/>
      <c r="E1180" s="139"/>
      <c r="F1180" s="141"/>
      <c r="G1180" s="170" t="str">
        <f>IFERROR(__xludf.DUMMYFUNCTION("if($C1180="""","""",iferror(if(row()&lt;&gt;2,INDEX(arrayformula(filter($H$2:$H1179,$C$2:$C1179&lt;&gt;"""",row($C$2:$C1179)=max(if($C$2:$C1179=C1180,row($C$2:$C1179),0)))) ,1),0),0))"),"")</f>
        <v/>
      </c>
      <c r="H1180" s="170" t="str">
        <f t="shared" si="8"/>
        <v/>
      </c>
      <c r="I1180" s="147" t="str">
        <f t="shared" si="1"/>
        <v/>
      </c>
      <c r="J1180" s="147" t="str">
        <f t="shared" si="13"/>
        <v/>
      </c>
      <c r="K1180" s="147" t="str">
        <f>IFERROR(__xludf.DUMMYFUNCTION("if(C1180="""","""",iferror(if(row()&lt;&gt;2,INDEX(arrayformula(filter($L$2:$L1179,$C$2:$C1179&lt;&gt;"""",row($C$2:$C1179)=max(if($C$2:$C1179=C1180,row($C$2:$C1179),0)))) ,1),0),0))"),"")</f>
        <v/>
      </c>
      <c r="L1180" s="147" t="str">
        <f t="shared" si="14"/>
        <v/>
      </c>
      <c r="M1180" s="147" t="str">
        <f t="shared" si="15"/>
        <v/>
      </c>
      <c r="N1180" s="147" t="str">
        <f t="shared" si="16"/>
        <v/>
      </c>
      <c r="O1180" s="147" t="str">
        <f t="shared" si="6"/>
        <v/>
      </c>
      <c r="P1180" s="150" t="str">
        <f t="shared" si="7"/>
        <v/>
      </c>
      <c r="Q1180" s="151" t="str">
        <f>IFERROR(VLOOKUP(C1180,Ativos!$A$1:$G2000,5,),)</f>
        <v/>
      </c>
    </row>
    <row r="1181" ht="21.0" customHeight="1">
      <c r="A1181" s="152"/>
      <c r="B1181" s="160"/>
      <c r="C1181" s="153"/>
      <c r="D1181" s="169"/>
      <c r="E1181" s="139"/>
      <c r="F1181" s="141"/>
      <c r="G1181" s="170" t="str">
        <f>IFERROR(__xludf.DUMMYFUNCTION("if($C1181="""","""",iferror(if(row()&lt;&gt;2,INDEX(arrayformula(filter($H$2:$H1180,$C$2:$C1180&lt;&gt;"""",row($C$2:$C1180)=max(if($C$2:$C1180=C1181,row($C$2:$C1180),0)))) ,1),0),0))"),"")</f>
        <v/>
      </c>
      <c r="H1181" s="170" t="str">
        <f t="shared" si="8"/>
        <v/>
      </c>
      <c r="I1181" s="147" t="str">
        <f t="shared" si="1"/>
        <v/>
      </c>
      <c r="J1181" s="147" t="str">
        <f t="shared" si="13"/>
        <v/>
      </c>
      <c r="K1181" s="147" t="str">
        <f>IFERROR(__xludf.DUMMYFUNCTION("if(C1181="""","""",iferror(if(row()&lt;&gt;2,INDEX(arrayformula(filter($L$2:$L1180,$C$2:$C1180&lt;&gt;"""",row($C$2:$C1180)=max(if($C$2:$C1180=C1181,row($C$2:$C1180),0)))) ,1),0),0))"),"")</f>
        <v/>
      </c>
      <c r="L1181" s="147" t="str">
        <f t="shared" si="14"/>
        <v/>
      </c>
      <c r="M1181" s="147" t="str">
        <f t="shared" si="15"/>
        <v/>
      </c>
      <c r="N1181" s="147" t="str">
        <f t="shared" si="16"/>
        <v/>
      </c>
      <c r="O1181" s="147" t="str">
        <f t="shared" si="6"/>
        <v/>
      </c>
      <c r="P1181" s="150" t="str">
        <f t="shared" si="7"/>
        <v/>
      </c>
      <c r="Q1181" s="151" t="str">
        <f>IFERROR(VLOOKUP(C1181,Ativos!$A$1:$G2000,5,),)</f>
        <v/>
      </c>
    </row>
    <row r="1182" ht="21.0" customHeight="1">
      <c r="A1182" s="152"/>
      <c r="B1182" s="160"/>
      <c r="C1182" s="153"/>
      <c r="D1182" s="169"/>
      <c r="E1182" s="139"/>
      <c r="F1182" s="141"/>
      <c r="G1182" s="170" t="str">
        <f>IFERROR(__xludf.DUMMYFUNCTION("if($C1182="""","""",iferror(if(row()&lt;&gt;2,INDEX(arrayformula(filter($H$2:$H1181,$C$2:$C1181&lt;&gt;"""",row($C$2:$C1181)=max(if($C$2:$C1181=C1182,row($C$2:$C1181),0)))) ,1),0),0))"),"")</f>
        <v/>
      </c>
      <c r="H1182" s="170" t="str">
        <f t="shared" si="8"/>
        <v/>
      </c>
      <c r="I1182" s="147" t="str">
        <f t="shared" si="1"/>
        <v/>
      </c>
      <c r="J1182" s="147" t="str">
        <f t="shared" si="13"/>
        <v/>
      </c>
      <c r="K1182" s="147" t="str">
        <f>IFERROR(__xludf.DUMMYFUNCTION("if(C1182="""","""",iferror(if(row()&lt;&gt;2,INDEX(arrayformula(filter($L$2:$L1181,$C$2:$C1181&lt;&gt;"""",row($C$2:$C1181)=max(if($C$2:$C1181=C1182,row($C$2:$C1181),0)))) ,1),0),0))"),"")</f>
        <v/>
      </c>
      <c r="L1182" s="147" t="str">
        <f t="shared" si="14"/>
        <v/>
      </c>
      <c r="M1182" s="147" t="str">
        <f t="shared" si="15"/>
        <v/>
      </c>
      <c r="N1182" s="147" t="str">
        <f t="shared" si="16"/>
        <v/>
      </c>
      <c r="O1182" s="147" t="str">
        <f t="shared" si="6"/>
        <v/>
      </c>
      <c r="P1182" s="150" t="str">
        <f t="shared" si="7"/>
        <v/>
      </c>
      <c r="Q1182" s="151" t="str">
        <f>IFERROR(VLOOKUP(C1182,Ativos!$A$1:$G2000,5,),)</f>
        <v/>
      </c>
    </row>
    <row r="1183" ht="21.0" customHeight="1">
      <c r="A1183" s="152"/>
      <c r="B1183" s="160"/>
      <c r="C1183" s="153"/>
      <c r="D1183" s="169"/>
      <c r="E1183" s="139"/>
      <c r="F1183" s="141"/>
      <c r="G1183" s="170" t="str">
        <f>IFERROR(__xludf.DUMMYFUNCTION("if($C1183="""","""",iferror(if(row()&lt;&gt;2,INDEX(arrayformula(filter($H$2:$H1182,$C$2:$C1182&lt;&gt;"""",row($C$2:$C1182)=max(if($C$2:$C1182=C1183,row($C$2:$C1182),0)))) ,1),0),0))"),"")</f>
        <v/>
      </c>
      <c r="H1183" s="170" t="str">
        <f t="shared" si="8"/>
        <v/>
      </c>
      <c r="I1183" s="147" t="str">
        <f t="shared" si="1"/>
        <v/>
      </c>
      <c r="J1183" s="147" t="str">
        <f t="shared" si="13"/>
        <v/>
      </c>
      <c r="K1183" s="147" t="str">
        <f>IFERROR(__xludf.DUMMYFUNCTION("if(C1183="""","""",iferror(if(row()&lt;&gt;2,INDEX(arrayformula(filter($L$2:$L1182,$C$2:$C1182&lt;&gt;"""",row($C$2:$C1182)=max(if($C$2:$C1182=C1183,row($C$2:$C1182),0)))) ,1),0),0))"),"")</f>
        <v/>
      </c>
      <c r="L1183" s="147" t="str">
        <f t="shared" si="14"/>
        <v/>
      </c>
      <c r="M1183" s="147" t="str">
        <f t="shared" si="15"/>
        <v/>
      </c>
      <c r="N1183" s="147" t="str">
        <f t="shared" si="16"/>
        <v/>
      </c>
      <c r="O1183" s="147" t="str">
        <f t="shared" si="6"/>
        <v/>
      </c>
      <c r="P1183" s="150" t="str">
        <f t="shared" si="7"/>
        <v/>
      </c>
      <c r="Q1183" s="151" t="str">
        <f>IFERROR(VLOOKUP(C1183,Ativos!$A$1:$G2000,5,),)</f>
        <v/>
      </c>
    </row>
    <row r="1184" ht="21.0" customHeight="1">
      <c r="A1184" s="152"/>
      <c r="B1184" s="160"/>
      <c r="C1184" s="153"/>
      <c r="D1184" s="169"/>
      <c r="E1184" s="139"/>
      <c r="F1184" s="141"/>
      <c r="G1184" s="170" t="str">
        <f>IFERROR(__xludf.DUMMYFUNCTION("if($C1184="""","""",iferror(if(row()&lt;&gt;2,INDEX(arrayformula(filter($H$2:$H1183,$C$2:$C1183&lt;&gt;"""",row($C$2:$C1183)=max(if($C$2:$C1183=C1184,row($C$2:$C1183),0)))) ,1),0),0))"),"")</f>
        <v/>
      </c>
      <c r="H1184" s="170" t="str">
        <f t="shared" si="8"/>
        <v/>
      </c>
      <c r="I1184" s="147" t="str">
        <f t="shared" si="1"/>
        <v/>
      </c>
      <c r="J1184" s="147" t="str">
        <f t="shared" si="13"/>
        <v/>
      </c>
      <c r="K1184" s="147" t="str">
        <f>IFERROR(__xludf.DUMMYFUNCTION("if(C1184="""","""",iferror(if(row()&lt;&gt;2,INDEX(arrayformula(filter($L$2:$L1183,$C$2:$C1183&lt;&gt;"""",row($C$2:$C1183)=max(if($C$2:$C1183=C1184,row($C$2:$C1183),0)))) ,1),0),0))"),"")</f>
        <v/>
      </c>
      <c r="L1184" s="147" t="str">
        <f t="shared" si="14"/>
        <v/>
      </c>
      <c r="M1184" s="147" t="str">
        <f t="shared" si="15"/>
        <v/>
      </c>
      <c r="N1184" s="147" t="str">
        <f t="shared" si="16"/>
        <v/>
      </c>
      <c r="O1184" s="147" t="str">
        <f t="shared" si="6"/>
        <v/>
      </c>
      <c r="P1184" s="150" t="str">
        <f t="shared" si="7"/>
        <v/>
      </c>
      <c r="Q1184" s="151" t="str">
        <f>IFERROR(VLOOKUP(C1184,Ativos!$A$1:$G2000,5,),)</f>
        <v/>
      </c>
    </row>
    <row r="1185" ht="21.0" customHeight="1">
      <c r="A1185" s="152"/>
      <c r="B1185" s="160"/>
      <c r="C1185" s="153"/>
      <c r="D1185" s="169"/>
      <c r="E1185" s="139"/>
      <c r="F1185" s="141"/>
      <c r="G1185" s="170" t="str">
        <f>IFERROR(__xludf.DUMMYFUNCTION("if($C1185="""","""",iferror(if(row()&lt;&gt;2,INDEX(arrayformula(filter($H$2:$H1184,$C$2:$C1184&lt;&gt;"""",row($C$2:$C1184)=max(if($C$2:$C1184=C1185,row($C$2:$C1184),0)))) ,1),0),0))"),"")</f>
        <v/>
      </c>
      <c r="H1185" s="170" t="str">
        <f t="shared" si="8"/>
        <v/>
      </c>
      <c r="I1185" s="147" t="str">
        <f t="shared" si="1"/>
        <v/>
      </c>
      <c r="J1185" s="147" t="str">
        <f t="shared" si="13"/>
        <v/>
      </c>
      <c r="K1185" s="147" t="str">
        <f>IFERROR(__xludf.DUMMYFUNCTION("if(C1185="""","""",iferror(if(row()&lt;&gt;2,INDEX(arrayformula(filter($L$2:$L1184,$C$2:$C1184&lt;&gt;"""",row($C$2:$C1184)=max(if($C$2:$C1184=C1185,row($C$2:$C1184),0)))) ,1),0),0))"),"")</f>
        <v/>
      </c>
      <c r="L1185" s="147" t="str">
        <f t="shared" si="14"/>
        <v/>
      </c>
      <c r="M1185" s="147" t="str">
        <f t="shared" si="15"/>
        <v/>
      </c>
      <c r="N1185" s="147" t="str">
        <f t="shared" si="16"/>
        <v/>
      </c>
      <c r="O1185" s="147" t="str">
        <f t="shared" si="6"/>
        <v/>
      </c>
      <c r="P1185" s="150" t="str">
        <f t="shared" si="7"/>
        <v/>
      </c>
      <c r="Q1185" s="151" t="str">
        <f>IFERROR(VLOOKUP(C1185,Ativos!$A$1:$G2000,5,),)</f>
        <v/>
      </c>
    </row>
    <row r="1186" ht="21.0" customHeight="1">
      <c r="A1186" s="152"/>
      <c r="B1186" s="160"/>
      <c r="C1186" s="153"/>
      <c r="D1186" s="169"/>
      <c r="E1186" s="139"/>
      <c r="F1186" s="141"/>
      <c r="G1186" s="170" t="str">
        <f>IFERROR(__xludf.DUMMYFUNCTION("if($C1186="""","""",iferror(if(row()&lt;&gt;2,INDEX(arrayformula(filter($H$2:$H1185,$C$2:$C1185&lt;&gt;"""",row($C$2:$C1185)=max(if($C$2:$C1185=C1186,row($C$2:$C1185),0)))) ,1),0),0))"),"")</f>
        <v/>
      </c>
      <c r="H1186" s="170" t="str">
        <f t="shared" si="8"/>
        <v/>
      </c>
      <c r="I1186" s="147" t="str">
        <f t="shared" si="1"/>
        <v/>
      </c>
      <c r="J1186" s="147" t="str">
        <f t="shared" si="13"/>
        <v/>
      </c>
      <c r="K1186" s="147" t="str">
        <f>IFERROR(__xludf.DUMMYFUNCTION("if(C1186="""","""",iferror(if(row()&lt;&gt;2,INDEX(arrayformula(filter($L$2:$L1185,$C$2:$C1185&lt;&gt;"""",row($C$2:$C1185)=max(if($C$2:$C1185=C1186,row($C$2:$C1185),0)))) ,1),0),0))"),"")</f>
        <v/>
      </c>
      <c r="L1186" s="147" t="str">
        <f t="shared" si="14"/>
        <v/>
      </c>
      <c r="M1186" s="147" t="str">
        <f t="shared" si="15"/>
        <v/>
      </c>
      <c r="N1186" s="147" t="str">
        <f t="shared" si="16"/>
        <v/>
      </c>
      <c r="O1186" s="147" t="str">
        <f t="shared" si="6"/>
        <v/>
      </c>
      <c r="P1186" s="150" t="str">
        <f t="shared" si="7"/>
        <v/>
      </c>
      <c r="Q1186" s="151" t="str">
        <f>IFERROR(VLOOKUP(C1186,Ativos!$A$1:$G2000,5,),)</f>
        <v/>
      </c>
    </row>
    <row r="1187" ht="21.0" customHeight="1">
      <c r="A1187" s="152"/>
      <c r="B1187" s="160"/>
      <c r="C1187" s="153"/>
      <c r="D1187" s="169"/>
      <c r="E1187" s="139"/>
      <c r="F1187" s="141"/>
      <c r="G1187" s="170" t="str">
        <f>IFERROR(__xludf.DUMMYFUNCTION("if($C1187="""","""",iferror(if(row()&lt;&gt;2,INDEX(arrayformula(filter($H$2:$H1186,$C$2:$C1186&lt;&gt;"""",row($C$2:$C1186)=max(if($C$2:$C1186=C1187,row($C$2:$C1186),0)))) ,1),0),0))"),"")</f>
        <v/>
      </c>
      <c r="H1187" s="170" t="str">
        <f t="shared" si="8"/>
        <v/>
      </c>
      <c r="I1187" s="147" t="str">
        <f t="shared" si="1"/>
        <v/>
      </c>
      <c r="J1187" s="147" t="str">
        <f t="shared" si="13"/>
        <v/>
      </c>
      <c r="K1187" s="147" t="str">
        <f>IFERROR(__xludf.DUMMYFUNCTION("if(C1187="""","""",iferror(if(row()&lt;&gt;2,INDEX(arrayformula(filter($L$2:$L1186,$C$2:$C1186&lt;&gt;"""",row($C$2:$C1186)=max(if($C$2:$C1186=C1187,row($C$2:$C1186),0)))) ,1),0),0))"),"")</f>
        <v/>
      </c>
      <c r="L1187" s="147" t="str">
        <f t="shared" si="14"/>
        <v/>
      </c>
      <c r="M1187" s="147" t="str">
        <f t="shared" si="15"/>
        <v/>
      </c>
      <c r="N1187" s="147" t="str">
        <f t="shared" si="16"/>
        <v/>
      </c>
      <c r="O1187" s="147" t="str">
        <f t="shared" si="6"/>
        <v/>
      </c>
      <c r="P1187" s="150" t="str">
        <f t="shared" si="7"/>
        <v/>
      </c>
      <c r="Q1187" s="151" t="str">
        <f>IFERROR(VLOOKUP(C1187,Ativos!$A$1:$G2000,5,),)</f>
        <v/>
      </c>
    </row>
    <row r="1188" ht="21.0" customHeight="1">
      <c r="A1188" s="152"/>
      <c r="B1188" s="160"/>
      <c r="C1188" s="153"/>
      <c r="D1188" s="169"/>
      <c r="E1188" s="139"/>
      <c r="F1188" s="141"/>
      <c r="G1188" s="170" t="str">
        <f>IFERROR(__xludf.DUMMYFUNCTION("if($C1188="""","""",iferror(if(row()&lt;&gt;2,INDEX(arrayformula(filter($H$2:$H1187,$C$2:$C1187&lt;&gt;"""",row($C$2:$C1187)=max(if($C$2:$C1187=C1188,row($C$2:$C1187),0)))) ,1),0),0))"),"")</f>
        <v/>
      </c>
      <c r="H1188" s="170" t="str">
        <f t="shared" si="8"/>
        <v/>
      </c>
      <c r="I1188" s="147" t="str">
        <f t="shared" si="1"/>
        <v/>
      </c>
      <c r="J1188" s="147" t="str">
        <f t="shared" si="13"/>
        <v/>
      </c>
      <c r="K1188" s="147" t="str">
        <f>IFERROR(__xludf.DUMMYFUNCTION("if(C1188="""","""",iferror(if(row()&lt;&gt;2,INDEX(arrayformula(filter($L$2:$L1187,$C$2:$C1187&lt;&gt;"""",row($C$2:$C1187)=max(if($C$2:$C1187=C1188,row($C$2:$C1187),0)))) ,1),0),0))"),"")</f>
        <v/>
      </c>
      <c r="L1188" s="147" t="str">
        <f t="shared" si="14"/>
        <v/>
      </c>
      <c r="M1188" s="147" t="str">
        <f t="shared" si="15"/>
        <v/>
      </c>
      <c r="N1188" s="147" t="str">
        <f t="shared" si="16"/>
        <v/>
      </c>
      <c r="O1188" s="147" t="str">
        <f t="shared" si="6"/>
        <v/>
      </c>
      <c r="P1188" s="150" t="str">
        <f t="shared" si="7"/>
        <v/>
      </c>
      <c r="Q1188" s="151" t="str">
        <f>IFERROR(VLOOKUP(C1188,Ativos!$A$1:$G2000,5,),)</f>
        <v/>
      </c>
    </row>
    <row r="1189" ht="21.0" customHeight="1">
      <c r="A1189" s="152"/>
      <c r="B1189" s="160"/>
      <c r="C1189" s="153"/>
      <c r="D1189" s="169"/>
      <c r="E1189" s="139"/>
      <c r="F1189" s="141"/>
      <c r="G1189" s="170" t="str">
        <f>IFERROR(__xludf.DUMMYFUNCTION("if($C1189="""","""",iferror(if(row()&lt;&gt;2,INDEX(arrayformula(filter($H$2:$H1188,$C$2:$C1188&lt;&gt;"""",row($C$2:$C1188)=max(if($C$2:$C1188=C1189,row($C$2:$C1188),0)))) ,1),0),0))"),"")</f>
        <v/>
      </c>
      <c r="H1189" s="170" t="str">
        <f t="shared" si="8"/>
        <v/>
      </c>
      <c r="I1189" s="147" t="str">
        <f t="shared" si="1"/>
        <v/>
      </c>
      <c r="J1189" s="147" t="str">
        <f t="shared" si="13"/>
        <v/>
      </c>
      <c r="K1189" s="147" t="str">
        <f>IFERROR(__xludf.DUMMYFUNCTION("if(C1189="""","""",iferror(if(row()&lt;&gt;2,INDEX(arrayformula(filter($L$2:$L1188,$C$2:$C1188&lt;&gt;"""",row($C$2:$C1188)=max(if($C$2:$C1188=C1189,row($C$2:$C1188),0)))) ,1),0),0))"),"")</f>
        <v/>
      </c>
      <c r="L1189" s="147" t="str">
        <f t="shared" si="14"/>
        <v/>
      </c>
      <c r="M1189" s="147" t="str">
        <f t="shared" si="15"/>
        <v/>
      </c>
      <c r="N1189" s="147" t="str">
        <f t="shared" si="16"/>
        <v/>
      </c>
      <c r="O1189" s="147" t="str">
        <f t="shared" si="6"/>
        <v/>
      </c>
      <c r="P1189" s="150" t="str">
        <f t="shared" si="7"/>
        <v/>
      </c>
      <c r="Q1189" s="151" t="str">
        <f>IFERROR(VLOOKUP(C1189,Ativos!$A$1:$G2000,5,),)</f>
        <v/>
      </c>
    </row>
    <row r="1190" ht="21.0" customHeight="1">
      <c r="A1190" s="152"/>
      <c r="B1190" s="160"/>
      <c r="C1190" s="153"/>
      <c r="D1190" s="169"/>
      <c r="E1190" s="139"/>
      <c r="F1190" s="141"/>
      <c r="G1190" s="170" t="str">
        <f>IFERROR(__xludf.DUMMYFUNCTION("if($C1190="""","""",iferror(if(row()&lt;&gt;2,INDEX(arrayformula(filter($H$2:$H1189,$C$2:$C1189&lt;&gt;"""",row($C$2:$C1189)=max(if($C$2:$C1189=C1190,row($C$2:$C1189),0)))) ,1),0),0))"),"")</f>
        <v/>
      </c>
      <c r="H1190" s="170" t="str">
        <f t="shared" si="8"/>
        <v/>
      </c>
      <c r="I1190" s="147" t="str">
        <f t="shared" si="1"/>
        <v/>
      </c>
      <c r="J1190" s="147" t="str">
        <f t="shared" si="13"/>
        <v/>
      </c>
      <c r="K1190" s="147" t="str">
        <f>IFERROR(__xludf.DUMMYFUNCTION("if(C1190="""","""",iferror(if(row()&lt;&gt;2,INDEX(arrayformula(filter($L$2:$L1189,$C$2:$C1189&lt;&gt;"""",row($C$2:$C1189)=max(if($C$2:$C1189=C1190,row($C$2:$C1189),0)))) ,1),0),0))"),"")</f>
        <v/>
      </c>
      <c r="L1190" s="147" t="str">
        <f t="shared" si="14"/>
        <v/>
      </c>
      <c r="M1190" s="147" t="str">
        <f t="shared" si="15"/>
        <v/>
      </c>
      <c r="N1190" s="147" t="str">
        <f t="shared" si="16"/>
        <v/>
      </c>
      <c r="O1190" s="147" t="str">
        <f t="shared" si="6"/>
        <v/>
      </c>
      <c r="P1190" s="150" t="str">
        <f t="shared" si="7"/>
        <v/>
      </c>
      <c r="Q1190" s="151" t="str">
        <f>IFERROR(VLOOKUP(C1190,Ativos!$A$1:$G2000,5,),)</f>
        <v/>
      </c>
    </row>
    <row r="1191" ht="21.0" customHeight="1">
      <c r="A1191" s="152"/>
      <c r="B1191" s="160"/>
      <c r="C1191" s="153"/>
      <c r="D1191" s="169"/>
      <c r="E1191" s="139"/>
      <c r="F1191" s="141"/>
      <c r="G1191" s="170" t="str">
        <f>IFERROR(__xludf.DUMMYFUNCTION("if($C1191="""","""",iferror(if(row()&lt;&gt;2,INDEX(arrayformula(filter($H$2:$H1190,$C$2:$C1190&lt;&gt;"""",row($C$2:$C1190)=max(if($C$2:$C1190=C1191,row($C$2:$C1190),0)))) ,1),0),0))"),"")</f>
        <v/>
      </c>
      <c r="H1191" s="170" t="str">
        <f t="shared" si="8"/>
        <v/>
      </c>
      <c r="I1191" s="147" t="str">
        <f t="shared" si="1"/>
        <v/>
      </c>
      <c r="J1191" s="147" t="str">
        <f t="shared" si="13"/>
        <v/>
      </c>
      <c r="K1191" s="147" t="str">
        <f>IFERROR(__xludf.DUMMYFUNCTION("if(C1191="""","""",iferror(if(row()&lt;&gt;2,INDEX(arrayformula(filter($L$2:$L1190,$C$2:$C1190&lt;&gt;"""",row($C$2:$C1190)=max(if($C$2:$C1190=C1191,row($C$2:$C1190),0)))) ,1),0),0))"),"")</f>
        <v/>
      </c>
      <c r="L1191" s="147" t="str">
        <f t="shared" si="14"/>
        <v/>
      </c>
      <c r="M1191" s="147" t="str">
        <f t="shared" si="15"/>
        <v/>
      </c>
      <c r="N1191" s="147" t="str">
        <f t="shared" si="16"/>
        <v/>
      </c>
      <c r="O1191" s="147" t="str">
        <f t="shared" si="6"/>
        <v/>
      </c>
      <c r="P1191" s="150" t="str">
        <f t="shared" si="7"/>
        <v/>
      </c>
      <c r="Q1191" s="151" t="str">
        <f>IFERROR(VLOOKUP(C1191,Ativos!$A$1:$G2000,5,),)</f>
        <v/>
      </c>
    </row>
    <row r="1192" ht="21.0" customHeight="1">
      <c r="A1192" s="152"/>
      <c r="B1192" s="160"/>
      <c r="C1192" s="153"/>
      <c r="D1192" s="169"/>
      <c r="E1192" s="139"/>
      <c r="F1192" s="141"/>
      <c r="G1192" s="170" t="str">
        <f>IFERROR(__xludf.DUMMYFUNCTION("if($C1192="""","""",iferror(if(row()&lt;&gt;2,INDEX(arrayformula(filter($H$2:$H1191,$C$2:$C1191&lt;&gt;"""",row($C$2:$C1191)=max(if($C$2:$C1191=C1192,row($C$2:$C1191),0)))) ,1),0),0))"),"")</f>
        <v/>
      </c>
      <c r="H1192" s="170" t="str">
        <f t="shared" si="8"/>
        <v/>
      </c>
      <c r="I1192" s="147" t="str">
        <f t="shared" si="1"/>
        <v/>
      </c>
      <c r="J1192" s="147" t="str">
        <f t="shared" si="13"/>
        <v/>
      </c>
      <c r="K1192" s="147" t="str">
        <f>IFERROR(__xludf.DUMMYFUNCTION("if(C1192="""","""",iferror(if(row()&lt;&gt;2,INDEX(arrayformula(filter($L$2:$L1191,$C$2:$C1191&lt;&gt;"""",row($C$2:$C1191)=max(if($C$2:$C1191=C1192,row($C$2:$C1191),0)))) ,1),0),0))"),"")</f>
        <v/>
      </c>
      <c r="L1192" s="147" t="str">
        <f t="shared" si="14"/>
        <v/>
      </c>
      <c r="M1192" s="147" t="str">
        <f t="shared" si="15"/>
        <v/>
      </c>
      <c r="N1192" s="147" t="str">
        <f t="shared" si="16"/>
        <v/>
      </c>
      <c r="O1192" s="147" t="str">
        <f t="shared" si="6"/>
        <v/>
      </c>
      <c r="P1192" s="150" t="str">
        <f t="shared" si="7"/>
        <v/>
      </c>
      <c r="Q1192" s="151" t="str">
        <f>IFERROR(VLOOKUP(C1192,Ativos!$A$1:$G2000,5,),)</f>
        <v/>
      </c>
    </row>
    <row r="1193" ht="21.0" customHeight="1">
      <c r="A1193" s="152"/>
      <c r="B1193" s="160"/>
      <c r="C1193" s="153"/>
      <c r="D1193" s="169"/>
      <c r="E1193" s="139"/>
      <c r="F1193" s="141"/>
      <c r="G1193" s="170" t="str">
        <f>IFERROR(__xludf.DUMMYFUNCTION("if($C1193="""","""",iferror(if(row()&lt;&gt;2,INDEX(arrayformula(filter($H$2:$H1192,$C$2:$C1192&lt;&gt;"""",row($C$2:$C1192)=max(if($C$2:$C1192=C1193,row($C$2:$C1192),0)))) ,1),0),0))"),"")</f>
        <v/>
      </c>
      <c r="H1193" s="170" t="str">
        <f t="shared" si="8"/>
        <v/>
      </c>
      <c r="I1193" s="147" t="str">
        <f t="shared" si="1"/>
        <v/>
      </c>
      <c r="J1193" s="147" t="str">
        <f t="shared" si="13"/>
        <v/>
      </c>
      <c r="K1193" s="147" t="str">
        <f>IFERROR(__xludf.DUMMYFUNCTION("if(C1193="""","""",iferror(if(row()&lt;&gt;2,INDEX(arrayformula(filter($L$2:$L1192,$C$2:$C1192&lt;&gt;"""",row($C$2:$C1192)=max(if($C$2:$C1192=C1193,row($C$2:$C1192),0)))) ,1),0),0))"),"")</f>
        <v/>
      </c>
      <c r="L1193" s="147" t="str">
        <f t="shared" si="14"/>
        <v/>
      </c>
      <c r="M1193" s="147" t="str">
        <f t="shared" si="15"/>
        <v/>
      </c>
      <c r="N1193" s="147" t="str">
        <f t="shared" si="16"/>
        <v/>
      </c>
      <c r="O1193" s="147" t="str">
        <f t="shared" si="6"/>
        <v/>
      </c>
      <c r="P1193" s="150" t="str">
        <f t="shared" si="7"/>
        <v/>
      </c>
      <c r="Q1193" s="151" t="str">
        <f>IFERROR(VLOOKUP(C1193,Ativos!$A$1:$G2000,5,),)</f>
        <v/>
      </c>
    </row>
    <row r="1194" ht="21.0" customHeight="1">
      <c r="A1194" s="152"/>
      <c r="B1194" s="160"/>
      <c r="C1194" s="153"/>
      <c r="D1194" s="169"/>
      <c r="E1194" s="139"/>
      <c r="F1194" s="141"/>
      <c r="G1194" s="170" t="str">
        <f>IFERROR(__xludf.DUMMYFUNCTION("if($C1194="""","""",iferror(if(row()&lt;&gt;2,INDEX(arrayformula(filter($H$2:$H1193,$C$2:$C1193&lt;&gt;"""",row($C$2:$C1193)=max(if($C$2:$C1193=C1194,row($C$2:$C1193),0)))) ,1),0),0))"),"")</f>
        <v/>
      </c>
      <c r="H1194" s="170" t="str">
        <f t="shared" si="8"/>
        <v/>
      </c>
      <c r="I1194" s="147" t="str">
        <f t="shared" si="1"/>
        <v/>
      </c>
      <c r="J1194" s="147" t="str">
        <f t="shared" si="13"/>
        <v/>
      </c>
      <c r="K1194" s="147" t="str">
        <f>IFERROR(__xludf.DUMMYFUNCTION("if(C1194="""","""",iferror(if(row()&lt;&gt;2,INDEX(arrayformula(filter($L$2:$L1193,$C$2:$C1193&lt;&gt;"""",row($C$2:$C1193)=max(if($C$2:$C1193=C1194,row($C$2:$C1193),0)))) ,1),0),0))"),"")</f>
        <v/>
      </c>
      <c r="L1194" s="147" t="str">
        <f t="shared" si="14"/>
        <v/>
      </c>
      <c r="M1194" s="147" t="str">
        <f t="shared" si="15"/>
        <v/>
      </c>
      <c r="N1194" s="147" t="str">
        <f t="shared" si="16"/>
        <v/>
      </c>
      <c r="O1194" s="147" t="str">
        <f t="shared" si="6"/>
        <v/>
      </c>
      <c r="P1194" s="150" t="str">
        <f t="shared" si="7"/>
        <v/>
      </c>
      <c r="Q1194" s="151" t="str">
        <f>IFERROR(VLOOKUP(C1194,Ativos!$A$1:$G2000,5,),)</f>
        <v/>
      </c>
    </row>
    <row r="1195" ht="21.0" customHeight="1">
      <c r="A1195" s="152"/>
      <c r="B1195" s="160"/>
      <c r="C1195" s="153"/>
      <c r="D1195" s="169"/>
      <c r="E1195" s="139"/>
      <c r="F1195" s="141"/>
      <c r="G1195" s="170" t="str">
        <f>IFERROR(__xludf.DUMMYFUNCTION("if($C1195="""","""",iferror(if(row()&lt;&gt;2,INDEX(arrayformula(filter($H$2:$H1194,$C$2:$C1194&lt;&gt;"""",row($C$2:$C1194)=max(if($C$2:$C1194=C1195,row($C$2:$C1194),0)))) ,1),0),0))"),"")</f>
        <v/>
      </c>
      <c r="H1195" s="170" t="str">
        <f t="shared" si="8"/>
        <v/>
      </c>
      <c r="I1195" s="147" t="str">
        <f t="shared" si="1"/>
        <v/>
      </c>
      <c r="J1195" s="147" t="str">
        <f t="shared" si="13"/>
        <v/>
      </c>
      <c r="K1195" s="147" t="str">
        <f>IFERROR(__xludf.DUMMYFUNCTION("if(C1195="""","""",iferror(if(row()&lt;&gt;2,INDEX(arrayformula(filter($L$2:$L1194,$C$2:$C1194&lt;&gt;"""",row($C$2:$C1194)=max(if($C$2:$C1194=C1195,row($C$2:$C1194),0)))) ,1),0),0))"),"")</f>
        <v/>
      </c>
      <c r="L1195" s="147" t="str">
        <f t="shared" si="14"/>
        <v/>
      </c>
      <c r="M1195" s="147" t="str">
        <f t="shared" si="15"/>
        <v/>
      </c>
      <c r="N1195" s="147" t="str">
        <f t="shared" si="16"/>
        <v/>
      </c>
      <c r="O1195" s="147" t="str">
        <f t="shared" si="6"/>
        <v/>
      </c>
      <c r="P1195" s="150" t="str">
        <f t="shared" si="7"/>
        <v/>
      </c>
      <c r="Q1195" s="151" t="str">
        <f>IFERROR(VLOOKUP(C1195,Ativos!$A$1:$G2000,5,),)</f>
        <v/>
      </c>
    </row>
    <row r="1196" ht="21.0" customHeight="1">
      <c r="A1196" s="152"/>
      <c r="B1196" s="160"/>
      <c r="C1196" s="153"/>
      <c r="D1196" s="169"/>
      <c r="E1196" s="139"/>
      <c r="F1196" s="141"/>
      <c r="G1196" s="170" t="str">
        <f>IFERROR(__xludf.DUMMYFUNCTION("if($C1196="""","""",iferror(if(row()&lt;&gt;2,INDEX(arrayformula(filter($H$2:$H1195,$C$2:$C1195&lt;&gt;"""",row($C$2:$C1195)=max(if($C$2:$C1195=C1196,row($C$2:$C1195),0)))) ,1),0),0))"),"")</f>
        <v/>
      </c>
      <c r="H1196" s="170" t="str">
        <f t="shared" si="8"/>
        <v/>
      </c>
      <c r="I1196" s="147" t="str">
        <f t="shared" si="1"/>
        <v/>
      </c>
      <c r="J1196" s="147" t="str">
        <f t="shared" si="13"/>
        <v/>
      </c>
      <c r="K1196" s="147" t="str">
        <f>IFERROR(__xludf.DUMMYFUNCTION("if(C1196="""","""",iferror(if(row()&lt;&gt;2,INDEX(arrayformula(filter($L$2:$L1195,$C$2:$C1195&lt;&gt;"""",row($C$2:$C1195)=max(if($C$2:$C1195=C1196,row($C$2:$C1195),0)))) ,1),0),0))"),"")</f>
        <v/>
      </c>
      <c r="L1196" s="147" t="str">
        <f t="shared" si="14"/>
        <v/>
      </c>
      <c r="M1196" s="147" t="str">
        <f t="shared" si="15"/>
        <v/>
      </c>
      <c r="N1196" s="147" t="str">
        <f t="shared" si="16"/>
        <v/>
      </c>
      <c r="O1196" s="147" t="str">
        <f t="shared" si="6"/>
        <v/>
      </c>
      <c r="P1196" s="150" t="str">
        <f t="shared" si="7"/>
        <v/>
      </c>
      <c r="Q1196" s="151" t="str">
        <f>IFERROR(VLOOKUP(C1196,Ativos!$A$1:$G2000,5,),)</f>
        <v/>
      </c>
    </row>
    <row r="1197" ht="21.0" customHeight="1">
      <c r="A1197" s="152"/>
      <c r="B1197" s="160"/>
      <c r="C1197" s="153"/>
      <c r="D1197" s="169"/>
      <c r="E1197" s="139"/>
      <c r="F1197" s="141"/>
      <c r="G1197" s="170" t="str">
        <f>IFERROR(__xludf.DUMMYFUNCTION("if($C1197="""","""",iferror(if(row()&lt;&gt;2,INDEX(arrayformula(filter($H$2:$H1196,$C$2:$C1196&lt;&gt;"""",row($C$2:$C1196)=max(if($C$2:$C1196=C1197,row($C$2:$C1196),0)))) ,1),0),0))"),"")</f>
        <v/>
      </c>
      <c r="H1197" s="170" t="str">
        <f t="shared" si="8"/>
        <v/>
      </c>
      <c r="I1197" s="147" t="str">
        <f t="shared" si="1"/>
        <v/>
      </c>
      <c r="J1197" s="147" t="str">
        <f t="shared" si="13"/>
        <v/>
      </c>
      <c r="K1197" s="147" t="str">
        <f>IFERROR(__xludf.DUMMYFUNCTION("if(C1197="""","""",iferror(if(row()&lt;&gt;2,INDEX(arrayformula(filter($L$2:$L1196,$C$2:$C1196&lt;&gt;"""",row($C$2:$C1196)=max(if($C$2:$C1196=C1197,row($C$2:$C1196),0)))) ,1),0),0))"),"")</f>
        <v/>
      </c>
      <c r="L1197" s="147" t="str">
        <f t="shared" si="14"/>
        <v/>
      </c>
      <c r="M1197" s="147" t="str">
        <f t="shared" si="15"/>
        <v/>
      </c>
      <c r="N1197" s="147" t="str">
        <f t="shared" si="16"/>
        <v/>
      </c>
      <c r="O1197" s="147" t="str">
        <f t="shared" si="6"/>
        <v/>
      </c>
      <c r="P1197" s="150" t="str">
        <f t="shared" si="7"/>
        <v/>
      </c>
      <c r="Q1197" s="151" t="str">
        <f>IFERROR(VLOOKUP(C1197,Ativos!$A$1:$G2000,5,),)</f>
        <v/>
      </c>
    </row>
    <row r="1198" ht="21.0" customHeight="1">
      <c r="A1198" s="152"/>
      <c r="B1198" s="160"/>
      <c r="C1198" s="153"/>
      <c r="D1198" s="169"/>
      <c r="E1198" s="139"/>
      <c r="F1198" s="141"/>
      <c r="G1198" s="170" t="str">
        <f>IFERROR(__xludf.DUMMYFUNCTION("if($C1198="""","""",iferror(if(row()&lt;&gt;2,INDEX(arrayformula(filter($H$2:$H1197,$C$2:$C1197&lt;&gt;"""",row($C$2:$C1197)=max(if($C$2:$C1197=C1198,row($C$2:$C1197),0)))) ,1),0),0))"),"")</f>
        <v/>
      </c>
      <c r="H1198" s="170" t="str">
        <f t="shared" si="8"/>
        <v/>
      </c>
      <c r="I1198" s="147" t="str">
        <f t="shared" si="1"/>
        <v/>
      </c>
      <c r="J1198" s="147" t="str">
        <f t="shared" si="13"/>
        <v/>
      </c>
      <c r="K1198" s="147" t="str">
        <f>IFERROR(__xludf.DUMMYFUNCTION("if(C1198="""","""",iferror(if(row()&lt;&gt;2,INDEX(arrayformula(filter($L$2:$L1197,$C$2:$C1197&lt;&gt;"""",row($C$2:$C1197)=max(if($C$2:$C1197=C1198,row($C$2:$C1197),0)))) ,1),0),0))"),"")</f>
        <v/>
      </c>
      <c r="L1198" s="147" t="str">
        <f t="shared" si="14"/>
        <v/>
      </c>
      <c r="M1198" s="147" t="str">
        <f t="shared" si="15"/>
        <v/>
      </c>
      <c r="N1198" s="147" t="str">
        <f t="shared" si="16"/>
        <v/>
      </c>
      <c r="O1198" s="147" t="str">
        <f t="shared" si="6"/>
        <v/>
      </c>
      <c r="P1198" s="150" t="str">
        <f t="shared" si="7"/>
        <v/>
      </c>
      <c r="Q1198" s="151" t="str">
        <f>IFERROR(VLOOKUP(C1198,Ativos!$A$1:$G2000,5,),)</f>
        <v/>
      </c>
    </row>
    <row r="1199" ht="21.0" customHeight="1">
      <c r="A1199" s="152"/>
      <c r="B1199" s="160"/>
      <c r="C1199" s="153"/>
      <c r="D1199" s="169"/>
      <c r="E1199" s="139"/>
      <c r="F1199" s="141"/>
      <c r="G1199" s="170" t="str">
        <f>IFERROR(__xludf.DUMMYFUNCTION("if($C1199="""","""",iferror(if(row()&lt;&gt;2,INDEX(arrayformula(filter($H$2:$H1198,$C$2:$C1198&lt;&gt;"""",row($C$2:$C1198)=max(if($C$2:$C1198=C1199,row($C$2:$C1198),0)))) ,1),0),0))"),"")</f>
        <v/>
      </c>
      <c r="H1199" s="170" t="str">
        <f t="shared" si="8"/>
        <v/>
      </c>
      <c r="I1199" s="147" t="str">
        <f t="shared" si="1"/>
        <v/>
      </c>
      <c r="J1199" s="147" t="str">
        <f t="shared" si="13"/>
        <v/>
      </c>
      <c r="K1199" s="147" t="str">
        <f>IFERROR(__xludf.DUMMYFUNCTION("if(C1199="""","""",iferror(if(row()&lt;&gt;2,INDEX(arrayformula(filter($L$2:$L1198,$C$2:$C1198&lt;&gt;"""",row($C$2:$C1198)=max(if($C$2:$C1198=C1199,row($C$2:$C1198),0)))) ,1),0),0))"),"")</f>
        <v/>
      </c>
      <c r="L1199" s="147" t="str">
        <f t="shared" si="14"/>
        <v/>
      </c>
      <c r="M1199" s="147" t="str">
        <f t="shared" si="15"/>
        <v/>
      </c>
      <c r="N1199" s="147" t="str">
        <f t="shared" si="16"/>
        <v/>
      </c>
      <c r="O1199" s="147" t="str">
        <f t="shared" si="6"/>
        <v/>
      </c>
      <c r="P1199" s="150" t="str">
        <f t="shared" si="7"/>
        <v/>
      </c>
      <c r="Q1199" s="151" t="str">
        <f>IFERROR(VLOOKUP(C1199,Ativos!$A$1:$G2000,5,),)</f>
        <v/>
      </c>
    </row>
    <row r="1200" ht="21.0" customHeight="1">
      <c r="A1200" s="152"/>
      <c r="B1200" s="160"/>
      <c r="C1200" s="153"/>
      <c r="D1200" s="169"/>
      <c r="E1200" s="139"/>
      <c r="F1200" s="141"/>
      <c r="G1200" s="170" t="str">
        <f>IFERROR(__xludf.DUMMYFUNCTION("if($C1200="""","""",iferror(if(row()&lt;&gt;2,INDEX(arrayformula(filter($H$2:$H1199,$C$2:$C1199&lt;&gt;"""",row($C$2:$C1199)=max(if($C$2:$C1199=C1200,row($C$2:$C1199),0)))) ,1),0),0))"),"")</f>
        <v/>
      </c>
      <c r="H1200" s="170" t="str">
        <f t="shared" si="8"/>
        <v/>
      </c>
      <c r="I1200" s="147" t="str">
        <f t="shared" si="1"/>
        <v/>
      </c>
      <c r="J1200" s="147" t="str">
        <f t="shared" si="13"/>
        <v/>
      </c>
      <c r="K1200" s="147" t="str">
        <f>IFERROR(__xludf.DUMMYFUNCTION("if(C1200="""","""",iferror(if(row()&lt;&gt;2,INDEX(arrayformula(filter($L$2:$L1199,$C$2:$C1199&lt;&gt;"""",row($C$2:$C1199)=max(if($C$2:$C1199=C1200,row($C$2:$C1199),0)))) ,1),0),0))"),"")</f>
        <v/>
      </c>
      <c r="L1200" s="147" t="str">
        <f t="shared" si="14"/>
        <v/>
      </c>
      <c r="M1200" s="147" t="str">
        <f t="shared" si="15"/>
        <v/>
      </c>
      <c r="N1200" s="147" t="str">
        <f t="shared" si="16"/>
        <v/>
      </c>
      <c r="O1200" s="147" t="str">
        <f t="shared" si="6"/>
        <v/>
      </c>
      <c r="P1200" s="150" t="str">
        <f t="shared" si="7"/>
        <v/>
      </c>
      <c r="Q1200" s="151" t="str">
        <f>IFERROR(VLOOKUP(C1200,Ativos!$A$1:$G2000,5,),)</f>
        <v/>
      </c>
    </row>
    <row r="1201" ht="21.0" customHeight="1">
      <c r="A1201" s="152"/>
      <c r="B1201" s="160"/>
      <c r="C1201" s="153"/>
      <c r="D1201" s="169"/>
      <c r="E1201" s="139"/>
      <c r="F1201" s="141"/>
      <c r="G1201" s="170" t="str">
        <f>IFERROR(__xludf.DUMMYFUNCTION("if($C1201="""","""",iferror(if(row()&lt;&gt;2,INDEX(arrayformula(filter($H$2:$H1200,$C$2:$C1200&lt;&gt;"""",row($C$2:$C1200)=max(if($C$2:$C1200=C1201,row($C$2:$C1200),0)))) ,1),0),0))"),"")</f>
        <v/>
      </c>
      <c r="H1201" s="170" t="str">
        <f t="shared" si="8"/>
        <v/>
      </c>
      <c r="I1201" s="147" t="str">
        <f t="shared" si="1"/>
        <v/>
      </c>
      <c r="J1201" s="147" t="str">
        <f t="shared" si="13"/>
        <v/>
      </c>
      <c r="K1201" s="147" t="str">
        <f>IFERROR(__xludf.DUMMYFUNCTION("if(C1201="""","""",iferror(if(row()&lt;&gt;2,INDEX(arrayformula(filter($L$2:$L1200,$C$2:$C1200&lt;&gt;"""",row($C$2:$C1200)=max(if($C$2:$C1200=C1201,row($C$2:$C1200),0)))) ,1),0),0))"),"")</f>
        <v/>
      </c>
      <c r="L1201" s="147" t="str">
        <f t="shared" si="14"/>
        <v/>
      </c>
      <c r="M1201" s="147" t="str">
        <f t="shared" si="15"/>
        <v/>
      </c>
      <c r="N1201" s="147" t="str">
        <f t="shared" si="16"/>
        <v/>
      </c>
      <c r="O1201" s="147" t="str">
        <f t="shared" si="6"/>
        <v/>
      </c>
      <c r="P1201" s="150" t="str">
        <f t="shared" si="7"/>
        <v/>
      </c>
      <c r="Q1201" s="151" t="str">
        <f>IFERROR(VLOOKUP(C1201,Ativos!$A$1:$G2000,5,),)</f>
        <v/>
      </c>
    </row>
    <row r="1202" ht="21.0" customHeight="1">
      <c r="A1202" s="152"/>
      <c r="B1202" s="160"/>
      <c r="C1202" s="153"/>
      <c r="D1202" s="169"/>
      <c r="E1202" s="139"/>
      <c r="F1202" s="141"/>
      <c r="G1202" s="170" t="str">
        <f>IFERROR(__xludf.DUMMYFUNCTION("if($C1202="""","""",iferror(if(row()&lt;&gt;2,INDEX(arrayformula(filter($H$2:$H1201,$C$2:$C1201&lt;&gt;"""",row($C$2:$C1201)=max(if($C$2:$C1201=C1202,row($C$2:$C1201),0)))) ,1),0),0))"),"")</f>
        <v/>
      </c>
      <c r="H1202" s="170" t="str">
        <f t="shared" si="8"/>
        <v/>
      </c>
      <c r="I1202" s="147" t="str">
        <f t="shared" si="1"/>
        <v/>
      </c>
      <c r="J1202" s="147" t="str">
        <f t="shared" si="13"/>
        <v/>
      </c>
      <c r="K1202" s="147" t="str">
        <f>IFERROR(__xludf.DUMMYFUNCTION("if(C1202="""","""",iferror(if(row()&lt;&gt;2,INDEX(arrayformula(filter($L$2:$L1201,$C$2:$C1201&lt;&gt;"""",row($C$2:$C1201)=max(if($C$2:$C1201=C1202,row($C$2:$C1201),0)))) ,1),0),0))"),"")</f>
        <v/>
      </c>
      <c r="L1202" s="147" t="str">
        <f t="shared" si="14"/>
        <v/>
      </c>
      <c r="M1202" s="147" t="str">
        <f t="shared" si="15"/>
        <v/>
      </c>
      <c r="N1202" s="147" t="str">
        <f t="shared" si="16"/>
        <v/>
      </c>
      <c r="O1202" s="147" t="str">
        <f t="shared" si="6"/>
        <v/>
      </c>
      <c r="P1202" s="150" t="str">
        <f t="shared" si="7"/>
        <v/>
      </c>
      <c r="Q1202" s="151" t="str">
        <f>IFERROR(VLOOKUP(C1202,Ativos!$A$1:$G2000,5,),)</f>
        <v/>
      </c>
    </row>
    <row r="1203" ht="21.0" customHeight="1">
      <c r="A1203" s="152"/>
      <c r="B1203" s="160"/>
      <c r="C1203" s="153"/>
      <c r="D1203" s="169"/>
      <c r="E1203" s="139"/>
      <c r="F1203" s="141"/>
      <c r="G1203" s="170" t="str">
        <f>IFERROR(__xludf.DUMMYFUNCTION("if($C1203="""","""",iferror(if(row()&lt;&gt;2,INDEX(arrayformula(filter($H$2:$H1202,$C$2:$C1202&lt;&gt;"""",row($C$2:$C1202)=max(if($C$2:$C1202=C1203,row($C$2:$C1202),0)))) ,1),0),0))"),"")</f>
        <v/>
      </c>
      <c r="H1203" s="170" t="str">
        <f t="shared" si="8"/>
        <v/>
      </c>
      <c r="I1203" s="147" t="str">
        <f t="shared" si="1"/>
        <v/>
      </c>
      <c r="J1203" s="147" t="str">
        <f t="shared" si="13"/>
        <v/>
      </c>
      <c r="K1203" s="147" t="str">
        <f>IFERROR(__xludf.DUMMYFUNCTION("if(C1203="""","""",iferror(if(row()&lt;&gt;2,INDEX(arrayformula(filter($L$2:$L1202,$C$2:$C1202&lt;&gt;"""",row($C$2:$C1202)=max(if($C$2:$C1202=C1203,row($C$2:$C1202),0)))) ,1),0),0))"),"")</f>
        <v/>
      </c>
      <c r="L1203" s="147" t="str">
        <f t="shared" si="14"/>
        <v/>
      </c>
      <c r="M1203" s="147" t="str">
        <f t="shared" si="15"/>
        <v/>
      </c>
      <c r="N1203" s="147" t="str">
        <f t="shared" si="16"/>
        <v/>
      </c>
      <c r="O1203" s="147" t="str">
        <f t="shared" si="6"/>
        <v/>
      </c>
      <c r="P1203" s="150" t="str">
        <f t="shared" si="7"/>
        <v/>
      </c>
      <c r="Q1203" s="151" t="str">
        <f>IFERROR(VLOOKUP(C1203,Ativos!$A$1:$G2000,5,),)</f>
        <v/>
      </c>
    </row>
    <row r="1204" ht="21.0" customHeight="1">
      <c r="A1204" s="152"/>
      <c r="B1204" s="160"/>
      <c r="C1204" s="153"/>
      <c r="D1204" s="169"/>
      <c r="E1204" s="139"/>
      <c r="F1204" s="141"/>
      <c r="G1204" s="170" t="str">
        <f>IFERROR(__xludf.DUMMYFUNCTION("if($C1204="""","""",iferror(if(row()&lt;&gt;2,INDEX(arrayformula(filter($H$2:$H1203,$C$2:$C1203&lt;&gt;"""",row($C$2:$C1203)=max(if($C$2:$C1203=C1204,row($C$2:$C1203),0)))) ,1),0),0))"),"")</f>
        <v/>
      </c>
      <c r="H1204" s="170" t="str">
        <f t="shared" si="8"/>
        <v/>
      </c>
      <c r="I1204" s="147" t="str">
        <f t="shared" si="1"/>
        <v/>
      </c>
      <c r="J1204" s="147" t="str">
        <f t="shared" si="13"/>
        <v/>
      </c>
      <c r="K1204" s="147" t="str">
        <f>IFERROR(__xludf.DUMMYFUNCTION("if(C1204="""","""",iferror(if(row()&lt;&gt;2,INDEX(arrayformula(filter($L$2:$L1203,$C$2:$C1203&lt;&gt;"""",row($C$2:$C1203)=max(if($C$2:$C1203=C1204,row($C$2:$C1203),0)))) ,1),0),0))"),"")</f>
        <v/>
      </c>
      <c r="L1204" s="147" t="str">
        <f t="shared" si="14"/>
        <v/>
      </c>
      <c r="M1204" s="147" t="str">
        <f t="shared" si="15"/>
        <v/>
      </c>
      <c r="N1204" s="147" t="str">
        <f t="shared" si="16"/>
        <v/>
      </c>
      <c r="O1204" s="147" t="str">
        <f t="shared" si="6"/>
        <v/>
      </c>
      <c r="P1204" s="150" t="str">
        <f t="shared" si="7"/>
        <v/>
      </c>
      <c r="Q1204" s="151" t="str">
        <f>IFERROR(VLOOKUP(C1204,Ativos!$A$1:$G2000,5,),)</f>
        <v/>
      </c>
    </row>
    <row r="1205" ht="21.0" customHeight="1">
      <c r="A1205" s="152"/>
      <c r="B1205" s="160"/>
      <c r="C1205" s="153"/>
      <c r="D1205" s="169"/>
      <c r="E1205" s="139"/>
      <c r="F1205" s="141"/>
      <c r="G1205" s="170" t="str">
        <f>IFERROR(__xludf.DUMMYFUNCTION("if($C1205="""","""",iferror(if(row()&lt;&gt;2,INDEX(arrayformula(filter($H$2:$H1204,$C$2:$C1204&lt;&gt;"""",row($C$2:$C1204)=max(if($C$2:$C1204=C1205,row($C$2:$C1204),0)))) ,1),0),0))"),"")</f>
        <v/>
      </c>
      <c r="H1205" s="170" t="str">
        <f t="shared" si="8"/>
        <v/>
      </c>
      <c r="I1205" s="147" t="str">
        <f t="shared" si="1"/>
        <v/>
      </c>
      <c r="J1205" s="147" t="str">
        <f t="shared" si="13"/>
        <v/>
      </c>
      <c r="K1205" s="147" t="str">
        <f>IFERROR(__xludf.DUMMYFUNCTION("if(C1205="""","""",iferror(if(row()&lt;&gt;2,INDEX(arrayformula(filter($L$2:$L1204,$C$2:$C1204&lt;&gt;"""",row($C$2:$C1204)=max(if($C$2:$C1204=C1205,row($C$2:$C1204),0)))) ,1),0),0))"),"")</f>
        <v/>
      </c>
      <c r="L1205" s="147" t="str">
        <f t="shared" si="14"/>
        <v/>
      </c>
      <c r="M1205" s="147" t="str">
        <f t="shared" si="15"/>
        <v/>
      </c>
      <c r="N1205" s="147" t="str">
        <f t="shared" si="16"/>
        <v/>
      </c>
      <c r="O1205" s="147" t="str">
        <f t="shared" si="6"/>
        <v/>
      </c>
      <c r="P1205" s="150" t="str">
        <f t="shared" si="7"/>
        <v/>
      </c>
      <c r="Q1205" s="151" t="str">
        <f>IFERROR(VLOOKUP(C1205,Ativos!$A$1:$G2000,5,),)</f>
        <v/>
      </c>
    </row>
    <row r="1206" ht="21.0" customHeight="1">
      <c r="A1206" s="152"/>
      <c r="B1206" s="160"/>
      <c r="C1206" s="153"/>
      <c r="D1206" s="169"/>
      <c r="E1206" s="139"/>
      <c r="F1206" s="141"/>
      <c r="G1206" s="170" t="str">
        <f>IFERROR(__xludf.DUMMYFUNCTION("if($C1206="""","""",iferror(if(row()&lt;&gt;2,INDEX(arrayformula(filter($H$2:$H1205,$C$2:$C1205&lt;&gt;"""",row($C$2:$C1205)=max(if($C$2:$C1205=C1206,row($C$2:$C1205),0)))) ,1),0),0))"),"")</f>
        <v/>
      </c>
      <c r="H1206" s="170" t="str">
        <f t="shared" si="8"/>
        <v/>
      </c>
      <c r="I1206" s="147" t="str">
        <f t="shared" si="1"/>
        <v/>
      </c>
      <c r="J1206" s="147" t="str">
        <f t="shared" si="13"/>
        <v/>
      </c>
      <c r="K1206" s="147" t="str">
        <f>IFERROR(__xludf.DUMMYFUNCTION("if(C1206="""","""",iferror(if(row()&lt;&gt;2,INDEX(arrayformula(filter($L$2:$L1205,$C$2:$C1205&lt;&gt;"""",row($C$2:$C1205)=max(if($C$2:$C1205=C1206,row($C$2:$C1205),0)))) ,1),0),0))"),"")</f>
        <v/>
      </c>
      <c r="L1206" s="147" t="str">
        <f t="shared" si="14"/>
        <v/>
      </c>
      <c r="M1206" s="147" t="str">
        <f t="shared" si="15"/>
        <v/>
      </c>
      <c r="N1206" s="147" t="str">
        <f t="shared" si="16"/>
        <v/>
      </c>
      <c r="O1206" s="147" t="str">
        <f t="shared" si="6"/>
        <v/>
      </c>
      <c r="P1206" s="150" t="str">
        <f t="shared" si="7"/>
        <v/>
      </c>
      <c r="Q1206" s="151" t="str">
        <f>IFERROR(VLOOKUP(C1206,Ativos!$A$1:$G2000,5,),)</f>
        <v/>
      </c>
    </row>
    <row r="1207" ht="21.0" customHeight="1">
      <c r="A1207" s="152"/>
      <c r="B1207" s="160"/>
      <c r="C1207" s="153"/>
      <c r="D1207" s="169"/>
      <c r="E1207" s="139"/>
      <c r="F1207" s="141"/>
      <c r="G1207" s="170" t="str">
        <f>IFERROR(__xludf.DUMMYFUNCTION("if($C1207="""","""",iferror(if(row()&lt;&gt;2,INDEX(arrayformula(filter($H$2:$H1206,$C$2:$C1206&lt;&gt;"""",row($C$2:$C1206)=max(if($C$2:$C1206=C1207,row($C$2:$C1206),0)))) ,1),0),0))"),"")</f>
        <v/>
      </c>
      <c r="H1207" s="170" t="str">
        <f t="shared" si="8"/>
        <v/>
      </c>
      <c r="I1207" s="147" t="str">
        <f t="shared" si="1"/>
        <v/>
      </c>
      <c r="J1207" s="147" t="str">
        <f t="shared" si="13"/>
        <v/>
      </c>
      <c r="K1207" s="147" t="str">
        <f>IFERROR(__xludf.DUMMYFUNCTION("if(C1207="""","""",iferror(if(row()&lt;&gt;2,INDEX(arrayformula(filter($L$2:$L1206,$C$2:$C1206&lt;&gt;"""",row($C$2:$C1206)=max(if($C$2:$C1206=C1207,row($C$2:$C1206),0)))) ,1),0),0))"),"")</f>
        <v/>
      </c>
      <c r="L1207" s="147" t="str">
        <f t="shared" si="14"/>
        <v/>
      </c>
      <c r="M1207" s="147" t="str">
        <f t="shared" si="15"/>
        <v/>
      </c>
      <c r="N1207" s="147" t="str">
        <f t="shared" si="16"/>
        <v/>
      </c>
      <c r="O1207" s="147" t="str">
        <f t="shared" si="6"/>
        <v/>
      </c>
      <c r="P1207" s="150" t="str">
        <f t="shared" si="7"/>
        <v/>
      </c>
      <c r="Q1207" s="151" t="str">
        <f>IFERROR(VLOOKUP(C1207,Ativos!$A$1:$G2000,5,),)</f>
        <v/>
      </c>
    </row>
    <row r="1208" ht="21.0" customHeight="1">
      <c r="A1208" s="152"/>
      <c r="B1208" s="160"/>
      <c r="C1208" s="153"/>
      <c r="D1208" s="169"/>
      <c r="E1208" s="139"/>
      <c r="F1208" s="141"/>
      <c r="G1208" s="170" t="str">
        <f>IFERROR(__xludf.DUMMYFUNCTION("if($C1208="""","""",iferror(if(row()&lt;&gt;2,INDEX(arrayformula(filter($H$2:$H1207,$C$2:$C1207&lt;&gt;"""",row($C$2:$C1207)=max(if($C$2:$C1207=C1208,row($C$2:$C1207),0)))) ,1),0),0))"),"")</f>
        <v/>
      </c>
      <c r="H1208" s="170" t="str">
        <f t="shared" si="8"/>
        <v/>
      </c>
      <c r="I1208" s="147" t="str">
        <f t="shared" si="1"/>
        <v/>
      </c>
      <c r="J1208" s="147" t="str">
        <f t="shared" si="13"/>
        <v/>
      </c>
      <c r="K1208" s="147" t="str">
        <f>IFERROR(__xludf.DUMMYFUNCTION("if(C1208="""","""",iferror(if(row()&lt;&gt;2,INDEX(arrayformula(filter($L$2:$L1207,$C$2:$C1207&lt;&gt;"""",row($C$2:$C1207)=max(if($C$2:$C1207=C1208,row($C$2:$C1207),0)))) ,1),0),0))"),"")</f>
        <v/>
      </c>
      <c r="L1208" s="147" t="str">
        <f t="shared" si="14"/>
        <v/>
      </c>
      <c r="M1208" s="147" t="str">
        <f t="shared" si="15"/>
        <v/>
      </c>
      <c r="N1208" s="147" t="str">
        <f t="shared" si="16"/>
        <v/>
      </c>
      <c r="O1208" s="147" t="str">
        <f t="shared" si="6"/>
        <v/>
      </c>
      <c r="P1208" s="150" t="str">
        <f t="shared" si="7"/>
        <v/>
      </c>
      <c r="Q1208" s="151" t="str">
        <f>IFERROR(VLOOKUP(C1208,Ativos!$A$1:$G2000,5,),)</f>
        <v/>
      </c>
    </row>
    <row r="1209" ht="21.0" customHeight="1">
      <c r="A1209" s="152"/>
      <c r="B1209" s="160"/>
      <c r="C1209" s="153"/>
      <c r="D1209" s="169"/>
      <c r="E1209" s="139"/>
      <c r="F1209" s="141"/>
      <c r="G1209" s="170" t="str">
        <f>IFERROR(__xludf.DUMMYFUNCTION("if($C1209="""","""",iferror(if(row()&lt;&gt;2,INDEX(arrayformula(filter($H$2:$H1208,$C$2:$C1208&lt;&gt;"""",row($C$2:$C1208)=max(if($C$2:$C1208=C1209,row($C$2:$C1208),0)))) ,1),0),0))"),"")</f>
        <v/>
      </c>
      <c r="H1209" s="170" t="str">
        <f t="shared" si="8"/>
        <v/>
      </c>
      <c r="I1209" s="147" t="str">
        <f t="shared" si="1"/>
        <v/>
      </c>
      <c r="J1209" s="147" t="str">
        <f t="shared" si="13"/>
        <v/>
      </c>
      <c r="K1209" s="147" t="str">
        <f>IFERROR(__xludf.DUMMYFUNCTION("if(C1209="""","""",iferror(if(row()&lt;&gt;2,INDEX(arrayformula(filter($L$2:$L1208,$C$2:$C1208&lt;&gt;"""",row($C$2:$C1208)=max(if($C$2:$C1208=C1209,row($C$2:$C1208),0)))) ,1),0),0))"),"")</f>
        <v/>
      </c>
      <c r="L1209" s="147" t="str">
        <f t="shared" si="14"/>
        <v/>
      </c>
      <c r="M1209" s="147" t="str">
        <f t="shared" si="15"/>
        <v/>
      </c>
      <c r="N1209" s="147" t="str">
        <f t="shared" si="16"/>
        <v/>
      </c>
      <c r="O1209" s="147" t="str">
        <f t="shared" si="6"/>
        <v/>
      </c>
      <c r="P1209" s="150" t="str">
        <f t="shared" si="7"/>
        <v/>
      </c>
      <c r="Q1209" s="151" t="str">
        <f>IFERROR(VLOOKUP(C1209,Ativos!$A$1:$G2000,5,),)</f>
        <v/>
      </c>
    </row>
    <row r="1210" ht="21.0" customHeight="1">
      <c r="A1210" s="152"/>
      <c r="B1210" s="160"/>
      <c r="C1210" s="153"/>
      <c r="D1210" s="169"/>
      <c r="E1210" s="139"/>
      <c r="F1210" s="141"/>
      <c r="G1210" s="170" t="str">
        <f>IFERROR(__xludf.DUMMYFUNCTION("if($C1210="""","""",iferror(if(row()&lt;&gt;2,INDEX(arrayformula(filter($H$2:$H1209,$C$2:$C1209&lt;&gt;"""",row($C$2:$C1209)=max(if($C$2:$C1209=C1210,row($C$2:$C1209),0)))) ,1),0),0))"),"")</f>
        <v/>
      </c>
      <c r="H1210" s="170" t="str">
        <f t="shared" si="8"/>
        <v/>
      </c>
      <c r="I1210" s="147" t="str">
        <f t="shared" si="1"/>
        <v/>
      </c>
      <c r="J1210" s="147" t="str">
        <f t="shared" si="13"/>
        <v/>
      </c>
      <c r="K1210" s="147" t="str">
        <f>IFERROR(__xludf.DUMMYFUNCTION("if(C1210="""","""",iferror(if(row()&lt;&gt;2,INDEX(arrayformula(filter($L$2:$L1209,$C$2:$C1209&lt;&gt;"""",row($C$2:$C1209)=max(if($C$2:$C1209=C1210,row($C$2:$C1209),0)))) ,1),0),0))"),"")</f>
        <v/>
      </c>
      <c r="L1210" s="147" t="str">
        <f t="shared" si="14"/>
        <v/>
      </c>
      <c r="M1210" s="147" t="str">
        <f t="shared" si="15"/>
        <v/>
      </c>
      <c r="N1210" s="147" t="str">
        <f t="shared" si="16"/>
        <v/>
      </c>
      <c r="O1210" s="147" t="str">
        <f t="shared" si="6"/>
        <v/>
      </c>
      <c r="P1210" s="150" t="str">
        <f t="shared" si="7"/>
        <v/>
      </c>
      <c r="Q1210" s="151" t="str">
        <f>IFERROR(VLOOKUP(C1210,Ativos!$A$1:$G2000,5,),)</f>
        <v/>
      </c>
    </row>
    <row r="1211" ht="21.0" customHeight="1">
      <c r="A1211" s="152"/>
      <c r="B1211" s="160"/>
      <c r="C1211" s="153"/>
      <c r="D1211" s="169"/>
      <c r="E1211" s="139"/>
      <c r="F1211" s="141"/>
      <c r="G1211" s="170" t="str">
        <f>IFERROR(__xludf.DUMMYFUNCTION("if($C1211="""","""",iferror(if(row()&lt;&gt;2,INDEX(arrayformula(filter($H$2:$H1210,$C$2:$C1210&lt;&gt;"""",row($C$2:$C1210)=max(if($C$2:$C1210=C1211,row($C$2:$C1210),0)))) ,1),0),0))"),"")</f>
        <v/>
      </c>
      <c r="H1211" s="170" t="str">
        <f t="shared" si="8"/>
        <v/>
      </c>
      <c r="I1211" s="147" t="str">
        <f t="shared" si="1"/>
        <v/>
      </c>
      <c r="J1211" s="147" t="str">
        <f t="shared" si="13"/>
        <v/>
      </c>
      <c r="K1211" s="147" t="str">
        <f>IFERROR(__xludf.DUMMYFUNCTION("if(C1211="""","""",iferror(if(row()&lt;&gt;2,INDEX(arrayformula(filter($L$2:$L1210,$C$2:$C1210&lt;&gt;"""",row($C$2:$C1210)=max(if($C$2:$C1210=C1211,row($C$2:$C1210),0)))) ,1),0),0))"),"")</f>
        <v/>
      </c>
      <c r="L1211" s="147" t="str">
        <f t="shared" si="14"/>
        <v/>
      </c>
      <c r="M1211" s="147" t="str">
        <f t="shared" si="15"/>
        <v/>
      </c>
      <c r="N1211" s="147" t="str">
        <f t="shared" si="16"/>
        <v/>
      </c>
      <c r="O1211" s="147" t="str">
        <f t="shared" si="6"/>
        <v/>
      </c>
      <c r="P1211" s="150" t="str">
        <f t="shared" si="7"/>
        <v/>
      </c>
      <c r="Q1211" s="151" t="str">
        <f>IFERROR(VLOOKUP(C1211,Ativos!$A$1:$G2000,5,),)</f>
        <v/>
      </c>
    </row>
    <row r="1212" ht="21.0" customHeight="1">
      <c r="A1212" s="152"/>
      <c r="B1212" s="160"/>
      <c r="C1212" s="153"/>
      <c r="D1212" s="169"/>
      <c r="E1212" s="139"/>
      <c r="F1212" s="141"/>
      <c r="G1212" s="170" t="str">
        <f>IFERROR(__xludf.DUMMYFUNCTION("if($C1212="""","""",iferror(if(row()&lt;&gt;2,INDEX(arrayformula(filter($H$2:$H1211,$C$2:$C1211&lt;&gt;"""",row($C$2:$C1211)=max(if($C$2:$C1211=C1212,row($C$2:$C1211),0)))) ,1),0),0))"),"")</f>
        <v/>
      </c>
      <c r="H1212" s="170" t="str">
        <f t="shared" si="8"/>
        <v/>
      </c>
      <c r="I1212" s="147" t="str">
        <f t="shared" si="1"/>
        <v/>
      </c>
      <c r="J1212" s="147" t="str">
        <f t="shared" si="13"/>
        <v/>
      </c>
      <c r="K1212" s="147" t="str">
        <f>IFERROR(__xludf.DUMMYFUNCTION("if(C1212="""","""",iferror(if(row()&lt;&gt;2,INDEX(arrayformula(filter($L$2:$L1211,$C$2:$C1211&lt;&gt;"""",row($C$2:$C1211)=max(if($C$2:$C1211=C1212,row($C$2:$C1211),0)))) ,1),0),0))"),"")</f>
        <v/>
      </c>
      <c r="L1212" s="147" t="str">
        <f t="shared" si="14"/>
        <v/>
      </c>
      <c r="M1212" s="147" t="str">
        <f t="shared" si="15"/>
        <v/>
      </c>
      <c r="N1212" s="147" t="str">
        <f t="shared" si="16"/>
        <v/>
      </c>
      <c r="O1212" s="147" t="str">
        <f t="shared" si="6"/>
        <v/>
      </c>
      <c r="P1212" s="150" t="str">
        <f t="shared" si="7"/>
        <v/>
      </c>
      <c r="Q1212" s="151" t="str">
        <f>IFERROR(VLOOKUP(C1212,Ativos!$A$1:$G2000,5,),)</f>
        <v/>
      </c>
    </row>
    <row r="1213" ht="21.0" customHeight="1">
      <c r="A1213" s="152"/>
      <c r="B1213" s="160"/>
      <c r="C1213" s="153"/>
      <c r="D1213" s="169"/>
      <c r="E1213" s="139"/>
      <c r="F1213" s="141"/>
      <c r="G1213" s="170" t="str">
        <f>IFERROR(__xludf.DUMMYFUNCTION("if($C1213="""","""",iferror(if(row()&lt;&gt;2,INDEX(arrayformula(filter($H$2:$H1212,$C$2:$C1212&lt;&gt;"""",row($C$2:$C1212)=max(if($C$2:$C1212=C1213,row($C$2:$C1212),0)))) ,1),0),0))"),"")</f>
        <v/>
      </c>
      <c r="H1213" s="170" t="str">
        <f t="shared" si="8"/>
        <v/>
      </c>
      <c r="I1213" s="147" t="str">
        <f t="shared" si="1"/>
        <v/>
      </c>
      <c r="J1213" s="147" t="str">
        <f t="shared" si="13"/>
        <v/>
      </c>
      <c r="K1213" s="147" t="str">
        <f>IFERROR(__xludf.DUMMYFUNCTION("if(C1213="""","""",iferror(if(row()&lt;&gt;2,INDEX(arrayformula(filter($L$2:$L1212,$C$2:$C1212&lt;&gt;"""",row($C$2:$C1212)=max(if($C$2:$C1212=C1213,row($C$2:$C1212),0)))) ,1),0),0))"),"")</f>
        <v/>
      </c>
      <c r="L1213" s="147" t="str">
        <f t="shared" si="14"/>
        <v/>
      </c>
      <c r="M1213" s="147" t="str">
        <f t="shared" si="15"/>
        <v/>
      </c>
      <c r="N1213" s="147" t="str">
        <f t="shared" si="16"/>
        <v/>
      </c>
      <c r="O1213" s="147" t="str">
        <f t="shared" si="6"/>
        <v/>
      </c>
      <c r="P1213" s="150" t="str">
        <f t="shared" si="7"/>
        <v/>
      </c>
      <c r="Q1213" s="151" t="str">
        <f>IFERROR(VLOOKUP(C1213,Ativos!$A$1:$G2000,5,),)</f>
        <v/>
      </c>
    </row>
    <row r="1214" ht="21.0" customHeight="1">
      <c r="A1214" s="152"/>
      <c r="B1214" s="160"/>
      <c r="C1214" s="153"/>
      <c r="D1214" s="169"/>
      <c r="E1214" s="139"/>
      <c r="F1214" s="141"/>
      <c r="G1214" s="170" t="str">
        <f>IFERROR(__xludf.DUMMYFUNCTION("if($C1214="""","""",iferror(if(row()&lt;&gt;2,INDEX(arrayformula(filter($H$2:$H1213,$C$2:$C1213&lt;&gt;"""",row($C$2:$C1213)=max(if($C$2:$C1213=C1214,row($C$2:$C1213),0)))) ,1),0),0))"),"")</f>
        <v/>
      </c>
      <c r="H1214" s="170" t="str">
        <f t="shared" si="8"/>
        <v/>
      </c>
      <c r="I1214" s="147" t="str">
        <f t="shared" si="1"/>
        <v/>
      </c>
      <c r="J1214" s="147" t="str">
        <f t="shared" si="13"/>
        <v/>
      </c>
      <c r="K1214" s="147" t="str">
        <f>IFERROR(__xludf.DUMMYFUNCTION("if(C1214="""","""",iferror(if(row()&lt;&gt;2,INDEX(arrayformula(filter($L$2:$L1213,$C$2:$C1213&lt;&gt;"""",row($C$2:$C1213)=max(if($C$2:$C1213=C1214,row($C$2:$C1213),0)))) ,1),0),0))"),"")</f>
        <v/>
      </c>
      <c r="L1214" s="147" t="str">
        <f t="shared" si="14"/>
        <v/>
      </c>
      <c r="M1214" s="147" t="str">
        <f t="shared" si="15"/>
        <v/>
      </c>
      <c r="N1214" s="147" t="str">
        <f t="shared" si="16"/>
        <v/>
      </c>
      <c r="O1214" s="147" t="str">
        <f t="shared" si="6"/>
        <v/>
      </c>
      <c r="P1214" s="150" t="str">
        <f t="shared" si="7"/>
        <v/>
      </c>
      <c r="Q1214" s="151" t="str">
        <f>IFERROR(VLOOKUP(C1214,Ativos!$A$1:$G2000,5,),)</f>
        <v/>
      </c>
    </row>
    <row r="1215" ht="21.0" customHeight="1">
      <c r="A1215" s="152"/>
      <c r="B1215" s="160"/>
      <c r="C1215" s="153"/>
      <c r="D1215" s="169"/>
      <c r="E1215" s="139"/>
      <c r="F1215" s="141"/>
      <c r="G1215" s="170" t="str">
        <f>IFERROR(__xludf.DUMMYFUNCTION("if($C1215="""","""",iferror(if(row()&lt;&gt;2,INDEX(arrayformula(filter($H$2:$H1214,$C$2:$C1214&lt;&gt;"""",row($C$2:$C1214)=max(if($C$2:$C1214=C1215,row($C$2:$C1214),0)))) ,1),0),0))"),"")</f>
        <v/>
      </c>
      <c r="H1215" s="170" t="str">
        <f t="shared" si="8"/>
        <v/>
      </c>
      <c r="I1215" s="147" t="str">
        <f t="shared" si="1"/>
        <v/>
      </c>
      <c r="J1215" s="147" t="str">
        <f t="shared" si="13"/>
        <v/>
      </c>
      <c r="K1215" s="147" t="str">
        <f>IFERROR(__xludf.DUMMYFUNCTION("if(C1215="""","""",iferror(if(row()&lt;&gt;2,INDEX(arrayformula(filter($L$2:$L1214,$C$2:$C1214&lt;&gt;"""",row($C$2:$C1214)=max(if($C$2:$C1214=C1215,row($C$2:$C1214),0)))) ,1),0),0))"),"")</f>
        <v/>
      </c>
      <c r="L1215" s="147" t="str">
        <f t="shared" si="14"/>
        <v/>
      </c>
      <c r="M1215" s="147" t="str">
        <f t="shared" si="15"/>
        <v/>
      </c>
      <c r="N1215" s="147" t="str">
        <f t="shared" si="16"/>
        <v/>
      </c>
      <c r="O1215" s="147" t="str">
        <f t="shared" si="6"/>
        <v/>
      </c>
      <c r="P1215" s="150" t="str">
        <f t="shared" si="7"/>
        <v/>
      </c>
      <c r="Q1215" s="151" t="str">
        <f>IFERROR(VLOOKUP(C1215,Ativos!$A$1:$G2000,5,),)</f>
        <v/>
      </c>
    </row>
    <row r="1216" ht="21.0" customHeight="1">
      <c r="A1216" s="152"/>
      <c r="B1216" s="160"/>
      <c r="C1216" s="153"/>
      <c r="D1216" s="169"/>
      <c r="E1216" s="139"/>
      <c r="F1216" s="141"/>
      <c r="G1216" s="170" t="str">
        <f>IFERROR(__xludf.DUMMYFUNCTION("if($C1216="""","""",iferror(if(row()&lt;&gt;2,INDEX(arrayformula(filter($H$2:$H1215,$C$2:$C1215&lt;&gt;"""",row($C$2:$C1215)=max(if($C$2:$C1215=C1216,row($C$2:$C1215),0)))) ,1),0),0))"),"")</f>
        <v/>
      </c>
      <c r="H1216" s="170" t="str">
        <f t="shared" si="8"/>
        <v/>
      </c>
      <c r="I1216" s="147" t="str">
        <f t="shared" si="1"/>
        <v/>
      </c>
      <c r="J1216" s="147" t="str">
        <f t="shared" si="13"/>
        <v/>
      </c>
      <c r="K1216" s="147" t="str">
        <f>IFERROR(__xludf.DUMMYFUNCTION("if(C1216="""","""",iferror(if(row()&lt;&gt;2,INDEX(arrayformula(filter($L$2:$L1215,$C$2:$C1215&lt;&gt;"""",row($C$2:$C1215)=max(if($C$2:$C1215=C1216,row($C$2:$C1215),0)))) ,1),0),0))"),"")</f>
        <v/>
      </c>
      <c r="L1216" s="147" t="str">
        <f t="shared" si="14"/>
        <v/>
      </c>
      <c r="M1216" s="147" t="str">
        <f t="shared" si="15"/>
        <v/>
      </c>
      <c r="N1216" s="147" t="str">
        <f t="shared" si="16"/>
        <v/>
      </c>
      <c r="O1216" s="147" t="str">
        <f t="shared" si="6"/>
        <v/>
      </c>
      <c r="P1216" s="150" t="str">
        <f t="shared" si="7"/>
        <v/>
      </c>
      <c r="Q1216" s="151" t="str">
        <f>IFERROR(VLOOKUP(C1216,Ativos!$A$1:$G2000,5,),)</f>
        <v/>
      </c>
    </row>
    <row r="1217" ht="21.0" customHeight="1">
      <c r="A1217" s="152"/>
      <c r="B1217" s="160"/>
      <c r="C1217" s="153"/>
      <c r="D1217" s="169"/>
      <c r="E1217" s="139"/>
      <c r="F1217" s="141"/>
      <c r="G1217" s="170" t="str">
        <f>IFERROR(__xludf.DUMMYFUNCTION("if($C1217="""","""",iferror(if(row()&lt;&gt;2,INDEX(arrayformula(filter($H$2:$H1216,$C$2:$C1216&lt;&gt;"""",row($C$2:$C1216)=max(if($C$2:$C1216=C1217,row($C$2:$C1216),0)))) ,1),0),0))"),"")</f>
        <v/>
      </c>
      <c r="H1217" s="170" t="str">
        <f t="shared" si="8"/>
        <v/>
      </c>
      <c r="I1217" s="147" t="str">
        <f t="shared" si="1"/>
        <v/>
      </c>
      <c r="J1217" s="147" t="str">
        <f t="shared" si="13"/>
        <v/>
      </c>
      <c r="K1217" s="147" t="str">
        <f>IFERROR(__xludf.DUMMYFUNCTION("if(C1217="""","""",iferror(if(row()&lt;&gt;2,INDEX(arrayformula(filter($L$2:$L1216,$C$2:$C1216&lt;&gt;"""",row($C$2:$C1216)=max(if($C$2:$C1216=C1217,row($C$2:$C1216),0)))) ,1),0),0))"),"")</f>
        <v/>
      </c>
      <c r="L1217" s="147" t="str">
        <f t="shared" si="14"/>
        <v/>
      </c>
      <c r="M1217" s="147" t="str">
        <f t="shared" si="15"/>
        <v/>
      </c>
      <c r="N1217" s="147" t="str">
        <f t="shared" si="16"/>
        <v/>
      </c>
      <c r="O1217" s="147" t="str">
        <f t="shared" si="6"/>
        <v/>
      </c>
      <c r="P1217" s="150" t="str">
        <f t="shared" si="7"/>
        <v/>
      </c>
      <c r="Q1217" s="151" t="str">
        <f>IFERROR(VLOOKUP(C1217,Ativos!$A$1:$G2000,5,),)</f>
        <v/>
      </c>
    </row>
    <row r="1218" ht="21.0" customHeight="1">
      <c r="A1218" s="152"/>
      <c r="B1218" s="160"/>
      <c r="C1218" s="153"/>
      <c r="D1218" s="169"/>
      <c r="E1218" s="139"/>
      <c r="F1218" s="141"/>
      <c r="G1218" s="170" t="str">
        <f>IFERROR(__xludf.DUMMYFUNCTION("if($C1218="""","""",iferror(if(row()&lt;&gt;2,INDEX(arrayformula(filter($H$2:$H1217,$C$2:$C1217&lt;&gt;"""",row($C$2:$C1217)=max(if($C$2:$C1217=C1218,row($C$2:$C1217),0)))) ,1),0),0))"),"")</f>
        <v/>
      </c>
      <c r="H1218" s="170" t="str">
        <f t="shared" si="8"/>
        <v/>
      </c>
      <c r="I1218" s="147" t="str">
        <f t="shared" si="1"/>
        <v/>
      </c>
      <c r="J1218" s="147" t="str">
        <f t="shared" si="13"/>
        <v/>
      </c>
      <c r="K1218" s="147" t="str">
        <f>IFERROR(__xludf.DUMMYFUNCTION("if(C1218="""","""",iferror(if(row()&lt;&gt;2,INDEX(arrayformula(filter($L$2:$L1217,$C$2:$C1217&lt;&gt;"""",row($C$2:$C1217)=max(if($C$2:$C1217=C1218,row($C$2:$C1217),0)))) ,1),0),0))"),"")</f>
        <v/>
      </c>
      <c r="L1218" s="147" t="str">
        <f t="shared" si="14"/>
        <v/>
      </c>
      <c r="M1218" s="147" t="str">
        <f t="shared" si="15"/>
        <v/>
      </c>
      <c r="N1218" s="147" t="str">
        <f t="shared" si="16"/>
        <v/>
      </c>
      <c r="O1218" s="147" t="str">
        <f t="shared" si="6"/>
        <v/>
      </c>
      <c r="P1218" s="150" t="str">
        <f t="shared" si="7"/>
        <v/>
      </c>
      <c r="Q1218" s="151" t="str">
        <f>IFERROR(VLOOKUP(C1218,Ativos!$A$1:$G2000,5,),)</f>
        <v/>
      </c>
    </row>
    <row r="1219" ht="21.0" customHeight="1">
      <c r="A1219" s="152"/>
      <c r="B1219" s="160"/>
      <c r="C1219" s="153"/>
      <c r="D1219" s="169"/>
      <c r="E1219" s="139"/>
      <c r="F1219" s="141"/>
      <c r="G1219" s="170" t="str">
        <f>IFERROR(__xludf.DUMMYFUNCTION("if($C1219="""","""",iferror(if(row()&lt;&gt;2,INDEX(arrayformula(filter($H$2:$H1218,$C$2:$C1218&lt;&gt;"""",row($C$2:$C1218)=max(if($C$2:$C1218=C1219,row($C$2:$C1218),0)))) ,1),0),0))"),"")</f>
        <v/>
      </c>
      <c r="H1219" s="170" t="str">
        <f t="shared" si="8"/>
        <v/>
      </c>
      <c r="I1219" s="147" t="str">
        <f t="shared" si="1"/>
        <v/>
      </c>
      <c r="J1219" s="147" t="str">
        <f t="shared" si="13"/>
        <v/>
      </c>
      <c r="K1219" s="147" t="str">
        <f>IFERROR(__xludf.DUMMYFUNCTION("if(C1219="""","""",iferror(if(row()&lt;&gt;2,INDEX(arrayformula(filter($L$2:$L1218,$C$2:$C1218&lt;&gt;"""",row($C$2:$C1218)=max(if($C$2:$C1218=C1219,row($C$2:$C1218),0)))) ,1),0),0))"),"")</f>
        <v/>
      </c>
      <c r="L1219" s="147" t="str">
        <f t="shared" si="14"/>
        <v/>
      </c>
      <c r="M1219" s="147" t="str">
        <f t="shared" si="15"/>
        <v/>
      </c>
      <c r="N1219" s="147" t="str">
        <f t="shared" si="16"/>
        <v/>
      </c>
      <c r="O1219" s="147" t="str">
        <f t="shared" si="6"/>
        <v/>
      </c>
      <c r="P1219" s="150" t="str">
        <f t="shared" si="7"/>
        <v/>
      </c>
      <c r="Q1219" s="151" t="str">
        <f>IFERROR(VLOOKUP(C1219,Ativos!$A$1:$G2000,5,),)</f>
        <v/>
      </c>
    </row>
    <row r="1220" ht="21.0" customHeight="1">
      <c r="A1220" s="152"/>
      <c r="B1220" s="160"/>
      <c r="C1220" s="153"/>
      <c r="D1220" s="169"/>
      <c r="E1220" s="139"/>
      <c r="F1220" s="141"/>
      <c r="G1220" s="170" t="str">
        <f>IFERROR(__xludf.DUMMYFUNCTION("if($C1220="""","""",iferror(if(row()&lt;&gt;2,INDEX(arrayformula(filter($H$2:$H1219,$C$2:$C1219&lt;&gt;"""",row($C$2:$C1219)=max(if($C$2:$C1219=C1220,row($C$2:$C1219),0)))) ,1),0),0))"),"")</f>
        <v/>
      </c>
      <c r="H1220" s="170" t="str">
        <f t="shared" si="8"/>
        <v/>
      </c>
      <c r="I1220" s="147" t="str">
        <f t="shared" si="1"/>
        <v/>
      </c>
      <c r="J1220" s="147" t="str">
        <f t="shared" si="13"/>
        <v/>
      </c>
      <c r="K1220" s="147" t="str">
        <f>IFERROR(__xludf.DUMMYFUNCTION("if(C1220="""","""",iferror(if(row()&lt;&gt;2,INDEX(arrayformula(filter($L$2:$L1219,$C$2:$C1219&lt;&gt;"""",row($C$2:$C1219)=max(if($C$2:$C1219=C1220,row($C$2:$C1219),0)))) ,1),0),0))"),"")</f>
        <v/>
      </c>
      <c r="L1220" s="147" t="str">
        <f t="shared" si="14"/>
        <v/>
      </c>
      <c r="M1220" s="147" t="str">
        <f t="shared" si="15"/>
        <v/>
      </c>
      <c r="N1220" s="147" t="str">
        <f t="shared" si="16"/>
        <v/>
      </c>
      <c r="O1220" s="147" t="str">
        <f t="shared" si="6"/>
        <v/>
      </c>
      <c r="P1220" s="150" t="str">
        <f t="shared" si="7"/>
        <v/>
      </c>
      <c r="Q1220" s="151" t="str">
        <f>IFERROR(VLOOKUP(C1220,Ativos!$A$1:$G2000,5,),)</f>
        <v/>
      </c>
    </row>
    <row r="1221" ht="21.0" customHeight="1">
      <c r="A1221" s="152"/>
      <c r="B1221" s="160"/>
      <c r="C1221" s="153"/>
      <c r="D1221" s="169"/>
      <c r="E1221" s="139"/>
      <c r="F1221" s="141"/>
      <c r="G1221" s="170" t="str">
        <f>IFERROR(__xludf.DUMMYFUNCTION("if($C1221="""","""",iferror(if(row()&lt;&gt;2,INDEX(arrayformula(filter($H$2:$H1220,$C$2:$C1220&lt;&gt;"""",row($C$2:$C1220)=max(if($C$2:$C1220=C1221,row($C$2:$C1220),0)))) ,1),0),0))"),"")</f>
        <v/>
      </c>
      <c r="H1221" s="170" t="str">
        <f t="shared" si="8"/>
        <v/>
      </c>
      <c r="I1221" s="147" t="str">
        <f t="shared" si="1"/>
        <v/>
      </c>
      <c r="J1221" s="147" t="str">
        <f t="shared" si="13"/>
        <v/>
      </c>
      <c r="K1221" s="147" t="str">
        <f>IFERROR(__xludf.DUMMYFUNCTION("if(C1221="""","""",iferror(if(row()&lt;&gt;2,INDEX(arrayformula(filter($L$2:$L1220,$C$2:$C1220&lt;&gt;"""",row($C$2:$C1220)=max(if($C$2:$C1220=C1221,row($C$2:$C1220),0)))) ,1),0),0))"),"")</f>
        <v/>
      </c>
      <c r="L1221" s="147" t="str">
        <f t="shared" si="14"/>
        <v/>
      </c>
      <c r="M1221" s="147" t="str">
        <f t="shared" si="15"/>
        <v/>
      </c>
      <c r="N1221" s="147" t="str">
        <f t="shared" si="16"/>
        <v/>
      </c>
      <c r="O1221" s="147" t="str">
        <f t="shared" si="6"/>
        <v/>
      </c>
      <c r="P1221" s="150" t="str">
        <f t="shared" si="7"/>
        <v/>
      </c>
      <c r="Q1221" s="151" t="str">
        <f>IFERROR(VLOOKUP(C1221,Ativos!$A$1:$G2000,5,),)</f>
        <v/>
      </c>
    </row>
    <row r="1222" ht="21.0" customHeight="1">
      <c r="A1222" s="152"/>
      <c r="B1222" s="160"/>
      <c r="C1222" s="153"/>
      <c r="D1222" s="169"/>
      <c r="E1222" s="139"/>
      <c r="F1222" s="141"/>
      <c r="G1222" s="170" t="str">
        <f>IFERROR(__xludf.DUMMYFUNCTION("if($C1222="""","""",iferror(if(row()&lt;&gt;2,INDEX(arrayformula(filter($H$2:$H1221,$C$2:$C1221&lt;&gt;"""",row($C$2:$C1221)=max(if($C$2:$C1221=C1222,row($C$2:$C1221),0)))) ,1),0),0))"),"")</f>
        <v/>
      </c>
      <c r="H1222" s="170" t="str">
        <f t="shared" si="8"/>
        <v/>
      </c>
      <c r="I1222" s="147" t="str">
        <f t="shared" si="1"/>
        <v/>
      </c>
      <c r="J1222" s="147" t="str">
        <f t="shared" si="13"/>
        <v/>
      </c>
      <c r="K1222" s="147" t="str">
        <f>IFERROR(__xludf.DUMMYFUNCTION("if(C1222="""","""",iferror(if(row()&lt;&gt;2,INDEX(arrayformula(filter($L$2:$L1221,$C$2:$C1221&lt;&gt;"""",row($C$2:$C1221)=max(if($C$2:$C1221=C1222,row($C$2:$C1221),0)))) ,1),0),0))"),"")</f>
        <v/>
      </c>
      <c r="L1222" s="147" t="str">
        <f t="shared" si="14"/>
        <v/>
      </c>
      <c r="M1222" s="147" t="str">
        <f t="shared" si="15"/>
        <v/>
      </c>
      <c r="N1222" s="147" t="str">
        <f t="shared" si="16"/>
        <v/>
      </c>
      <c r="O1222" s="147" t="str">
        <f t="shared" si="6"/>
        <v/>
      </c>
      <c r="P1222" s="150" t="str">
        <f t="shared" si="7"/>
        <v/>
      </c>
      <c r="Q1222" s="151" t="str">
        <f>IFERROR(VLOOKUP(C1222,Ativos!$A$1:$G2000,5,),)</f>
        <v/>
      </c>
    </row>
    <row r="1223" ht="21.0" customHeight="1">
      <c r="A1223" s="152"/>
      <c r="B1223" s="160"/>
      <c r="C1223" s="153"/>
      <c r="D1223" s="169"/>
      <c r="E1223" s="139"/>
      <c r="F1223" s="141"/>
      <c r="G1223" s="170" t="str">
        <f>IFERROR(__xludf.DUMMYFUNCTION("if($C1223="""","""",iferror(if(row()&lt;&gt;2,INDEX(arrayformula(filter($H$2:$H1222,$C$2:$C1222&lt;&gt;"""",row($C$2:$C1222)=max(if($C$2:$C1222=C1223,row($C$2:$C1222),0)))) ,1),0),0))"),"")</f>
        <v/>
      </c>
      <c r="H1223" s="170" t="str">
        <f t="shared" si="8"/>
        <v/>
      </c>
      <c r="I1223" s="147" t="str">
        <f t="shared" si="1"/>
        <v/>
      </c>
      <c r="J1223" s="147" t="str">
        <f t="shared" si="13"/>
        <v/>
      </c>
      <c r="K1223" s="147" t="str">
        <f>IFERROR(__xludf.DUMMYFUNCTION("if(C1223="""","""",iferror(if(row()&lt;&gt;2,INDEX(arrayformula(filter($L$2:$L1222,$C$2:$C1222&lt;&gt;"""",row($C$2:$C1222)=max(if($C$2:$C1222=C1223,row($C$2:$C1222),0)))) ,1),0),0))"),"")</f>
        <v/>
      </c>
      <c r="L1223" s="147" t="str">
        <f t="shared" si="14"/>
        <v/>
      </c>
      <c r="M1223" s="147" t="str">
        <f t="shared" si="15"/>
        <v/>
      </c>
      <c r="N1223" s="147" t="str">
        <f t="shared" si="16"/>
        <v/>
      </c>
      <c r="O1223" s="147" t="str">
        <f t="shared" si="6"/>
        <v/>
      </c>
      <c r="P1223" s="150" t="str">
        <f t="shared" si="7"/>
        <v/>
      </c>
      <c r="Q1223" s="151" t="str">
        <f>IFERROR(VLOOKUP(C1223,Ativos!$A$1:$G2000,5,),)</f>
        <v/>
      </c>
    </row>
    <row r="1224" ht="21.0" customHeight="1">
      <c r="A1224" s="152"/>
      <c r="B1224" s="160"/>
      <c r="C1224" s="153"/>
      <c r="D1224" s="169"/>
      <c r="E1224" s="139"/>
      <c r="F1224" s="141"/>
      <c r="G1224" s="170" t="str">
        <f>IFERROR(__xludf.DUMMYFUNCTION("if($C1224="""","""",iferror(if(row()&lt;&gt;2,INDEX(arrayformula(filter($H$2:$H1223,$C$2:$C1223&lt;&gt;"""",row($C$2:$C1223)=max(if($C$2:$C1223=C1224,row($C$2:$C1223),0)))) ,1),0),0))"),"")</f>
        <v/>
      </c>
      <c r="H1224" s="170" t="str">
        <f t="shared" si="8"/>
        <v/>
      </c>
      <c r="I1224" s="147" t="str">
        <f t="shared" si="1"/>
        <v/>
      </c>
      <c r="J1224" s="147" t="str">
        <f t="shared" si="13"/>
        <v/>
      </c>
      <c r="K1224" s="147" t="str">
        <f>IFERROR(__xludf.DUMMYFUNCTION("if(C1224="""","""",iferror(if(row()&lt;&gt;2,INDEX(arrayformula(filter($L$2:$L1223,$C$2:$C1223&lt;&gt;"""",row($C$2:$C1223)=max(if($C$2:$C1223=C1224,row($C$2:$C1223),0)))) ,1),0),0))"),"")</f>
        <v/>
      </c>
      <c r="L1224" s="147" t="str">
        <f t="shared" si="14"/>
        <v/>
      </c>
      <c r="M1224" s="147" t="str">
        <f t="shared" si="15"/>
        <v/>
      </c>
      <c r="N1224" s="147" t="str">
        <f t="shared" si="16"/>
        <v/>
      </c>
      <c r="O1224" s="147" t="str">
        <f t="shared" si="6"/>
        <v/>
      </c>
      <c r="P1224" s="150" t="str">
        <f t="shared" si="7"/>
        <v/>
      </c>
      <c r="Q1224" s="151" t="str">
        <f>IFERROR(VLOOKUP(C1224,Ativos!$A$1:$G2000,5,),)</f>
        <v/>
      </c>
    </row>
    <row r="1225" ht="21.0" customHeight="1">
      <c r="A1225" s="152"/>
      <c r="B1225" s="160"/>
      <c r="C1225" s="153"/>
      <c r="D1225" s="169"/>
      <c r="E1225" s="139"/>
      <c r="F1225" s="141"/>
      <c r="G1225" s="170" t="str">
        <f>IFERROR(__xludf.DUMMYFUNCTION("if($C1225="""","""",iferror(if(row()&lt;&gt;2,INDEX(arrayformula(filter($H$2:$H1224,$C$2:$C1224&lt;&gt;"""",row($C$2:$C1224)=max(if($C$2:$C1224=C1225,row($C$2:$C1224),0)))) ,1),0),0))"),"")</f>
        <v/>
      </c>
      <c r="H1225" s="170" t="str">
        <f t="shared" si="8"/>
        <v/>
      </c>
      <c r="I1225" s="147" t="str">
        <f t="shared" si="1"/>
        <v/>
      </c>
      <c r="J1225" s="147" t="str">
        <f t="shared" si="13"/>
        <v/>
      </c>
      <c r="K1225" s="147" t="str">
        <f>IFERROR(__xludf.DUMMYFUNCTION("if(C1225="""","""",iferror(if(row()&lt;&gt;2,INDEX(arrayformula(filter($L$2:$L1224,$C$2:$C1224&lt;&gt;"""",row($C$2:$C1224)=max(if($C$2:$C1224=C1225,row($C$2:$C1224),0)))) ,1),0),0))"),"")</f>
        <v/>
      </c>
      <c r="L1225" s="147" t="str">
        <f t="shared" si="14"/>
        <v/>
      </c>
      <c r="M1225" s="147" t="str">
        <f t="shared" si="15"/>
        <v/>
      </c>
      <c r="N1225" s="147" t="str">
        <f t="shared" si="16"/>
        <v/>
      </c>
      <c r="O1225" s="147" t="str">
        <f t="shared" si="6"/>
        <v/>
      </c>
      <c r="P1225" s="150" t="str">
        <f t="shared" si="7"/>
        <v/>
      </c>
      <c r="Q1225" s="151" t="str">
        <f>IFERROR(VLOOKUP(C1225,Ativos!$A$1:$G2000,5,),)</f>
        <v/>
      </c>
    </row>
    <row r="1226" ht="21.0" customHeight="1">
      <c r="A1226" s="152"/>
      <c r="B1226" s="160"/>
      <c r="C1226" s="153"/>
      <c r="D1226" s="169"/>
      <c r="E1226" s="139"/>
      <c r="F1226" s="141"/>
      <c r="G1226" s="170" t="str">
        <f>IFERROR(__xludf.DUMMYFUNCTION("if($C1226="""","""",iferror(if(row()&lt;&gt;2,INDEX(arrayformula(filter($H$2:$H1225,$C$2:$C1225&lt;&gt;"""",row($C$2:$C1225)=max(if($C$2:$C1225=C1226,row($C$2:$C1225),0)))) ,1),0),0))"),"")</f>
        <v/>
      </c>
      <c r="H1226" s="170" t="str">
        <f t="shared" si="8"/>
        <v/>
      </c>
      <c r="I1226" s="147" t="str">
        <f t="shared" si="1"/>
        <v/>
      </c>
      <c r="J1226" s="147" t="str">
        <f t="shared" si="13"/>
        <v/>
      </c>
      <c r="K1226" s="147" t="str">
        <f>IFERROR(__xludf.DUMMYFUNCTION("if(C1226="""","""",iferror(if(row()&lt;&gt;2,INDEX(arrayformula(filter($L$2:$L1225,$C$2:$C1225&lt;&gt;"""",row($C$2:$C1225)=max(if($C$2:$C1225=C1226,row($C$2:$C1225),0)))) ,1),0),0))"),"")</f>
        <v/>
      </c>
      <c r="L1226" s="147" t="str">
        <f t="shared" si="14"/>
        <v/>
      </c>
      <c r="M1226" s="147" t="str">
        <f t="shared" si="15"/>
        <v/>
      </c>
      <c r="N1226" s="147" t="str">
        <f t="shared" si="16"/>
        <v/>
      </c>
      <c r="O1226" s="147" t="str">
        <f t="shared" si="6"/>
        <v/>
      </c>
      <c r="P1226" s="150" t="str">
        <f t="shared" si="7"/>
        <v/>
      </c>
      <c r="Q1226" s="151" t="str">
        <f>IFERROR(VLOOKUP(C1226,Ativos!$A$1:$G2000,5,),)</f>
        <v/>
      </c>
    </row>
    <row r="1227" ht="21.0" customHeight="1">
      <c r="A1227" s="152"/>
      <c r="B1227" s="160"/>
      <c r="C1227" s="153"/>
      <c r="D1227" s="169"/>
      <c r="E1227" s="139"/>
      <c r="F1227" s="141"/>
      <c r="G1227" s="170" t="str">
        <f>IFERROR(__xludf.DUMMYFUNCTION("if($C1227="""","""",iferror(if(row()&lt;&gt;2,INDEX(arrayformula(filter($H$2:$H1226,$C$2:$C1226&lt;&gt;"""",row($C$2:$C1226)=max(if($C$2:$C1226=C1227,row($C$2:$C1226),0)))) ,1),0),0))"),"")</f>
        <v/>
      </c>
      <c r="H1227" s="170" t="str">
        <f t="shared" si="8"/>
        <v/>
      </c>
      <c r="I1227" s="147" t="str">
        <f t="shared" si="1"/>
        <v/>
      </c>
      <c r="J1227" s="147" t="str">
        <f t="shared" si="13"/>
        <v/>
      </c>
      <c r="K1227" s="147" t="str">
        <f>IFERROR(__xludf.DUMMYFUNCTION("if(C1227="""","""",iferror(if(row()&lt;&gt;2,INDEX(arrayformula(filter($L$2:$L1226,$C$2:$C1226&lt;&gt;"""",row($C$2:$C1226)=max(if($C$2:$C1226=C1227,row($C$2:$C1226),0)))) ,1),0),0))"),"")</f>
        <v/>
      </c>
      <c r="L1227" s="147" t="str">
        <f t="shared" si="14"/>
        <v/>
      </c>
      <c r="M1227" s="147" t="str">
        <f t="shared" si="15"/>
        <v/>
      </c>
      <c r="N1227" s="147" t="str">
        <f t="shared" si="16"/>
        <v/>
      </c>
      <c r="O1227" s="147" t="str">
        <f t="shared" si="6"/>
        <v/>
      </c>
      <c r="P1227" s="150" t="str">
        <f t="shared" si="7"/>
        <v/>
      </c>
      <c r="Q1227" s="151" t="str">
        <f>IFERROR(VLOOKUP(C1227,Ativos!$A$1:$G2000,5,),)</f>
        <v/>
      </c>
    </row>
    <row r="1228" ht="21.0" customHeight="1">
      <c r="A1228" s="152"/>
      <c r="B1228" s="160"/>
      <c r="C1228" s="153"/>
      <c r="D1228" s="169"/>
      <c r="E1228" s="139"/>
      <c r="F1228" s="141"/>
      <c r="G1228" s="170" t="str">
        <f>IFERROR(__xludf.DUMMYFUNCTION("if($C1228="""","""",iferror(if(row()&lt;&gt;2,INDEX(arrayformula(filter($H$2:$H1227,$C$2:$C1227&lt;&gt;"""",row($C$2:$C1227)=max(if($C$2:$C1227=C1228,row($C$2:$C1227),0)))) ,1),0),0))"),"")</f>
        <v/>
      </c>
      <c r="H1228" s="170" t="str">
        <f t="shared" si="8"/>
        <v/>
      </c>
      <c r="I1228" s="147" t="str">
        <f t="shared" si="1"/>
        <v/>
      </c>
      <c r="J1228" s="147" t="str">
        <f t="shared" si="13"/>
        <v/>
      </c>
      <c r="K1228" s="147" t="str">
        <f>IFERROR(__xludf.DUMMYFUNCTION("if(C1228="""","""",iferror(if(row()&lt;&gt;2,INDEX(arrayformula(filter($L$2:$L1227,$C$2:$C1227&lt;&gt;"""",row($C$2:$C1227)=max(if($C$2:$C1227=C1228,row($C$2:$C1227),0)))) ,1),0),0))"),"")</f>
        <v/>
      </c>
      <c r="L1228" s="147" t="str">
        <f t="shared" si="14"/>
        <v/>
      </c>
      <c r="M1228" s="147" t="str">
        <f t="shared" si="15"/>
        <v/>
      </c>
      <c r="N1228" s="147" t="str">
        <f t="shared" si="16"/>
        <v/>
      </c>
      <c r="O1228" s="147" t="str">
        <f t="shared" si="6"/>
        <v/>
      </c>
      <c r="P1228" s="150" t="str">
        <f t="shared" si="7"/>
        <v/>
      </c>
      <c r="Q1228" s="151" t="str">
        <f>IFERROR(VLOOKUP(C1228,Ativos!$A$1:$G2000,5,),)</f>
        <v/>
      </c>
    </row>
    <row r="1229" ht="21.0" customHeight="1">
      <c r="A1229" s="152"/>
      <c r="B1229" s="160"/>
      <c r="C1229" s="153"/>
      <c r="D1229" s="169"/>
      <c r="E1229" s="139"/>
      <c r="F1229" s="141"/>
      <c r="G1229" s="170" t="str">
        <f>IFERROR(__xludf.DUMMYFUNCTION("if($C1229="""","""",iferror(if(row()&lt;&gt;2,INDEX(arrayformula(filter($H$2:$H1228,$C$2:$C1228&lt;&gt;"""",row($C$2:$C1228)=max(if($C$2:$C1228=C1229,row($C$2:$C1228),0)))) ,1),0),0))"),"")</f>
        <v/>
      </c>
      <c r="H1229" s="170" t="str">
        <f t="shared" si="8"/>
        <v/>
      </c>
      <c r="I1229" s="147" t="str">
        <f t="shared" si="1"/>
        <v/>
      </c>
      <c r="J1229" s="147" t="str">
        <f t="shared" si="13"/>
        <v/>
      </c>
      <c r="K1229" s="147" t="str">
        <f>IFERROR(__xludf.DUMMYFUNCTION("if(C1229="""","""",iferror(if(row()&lt;&gt;2,INDEX(arrayformula(filter($L$2:$L1228,$C$2:$C1228&lt;&gt;"""",row($C$2:$C1228)=max(if($C$2:$C1228=C1229,row($C$2:$C1228),0)))) ,1),0),0))"),"")</f>
        <v/>
      </c>
      <c r="L1229" s="147" t="str">
        <f t="shared" si="14"/>
        <v/>
      </c>
      <c r="M1229" s="147" t="str">
        <f t="shared" si="15"/>
        <v/>
      </c>
      <c r="N1229" s="147" t="str">
        <f t="shared" si="16"/>
        <v/>
      </c>
      <c r="O1229" s="147" t="str">
        <f t="shared" si="6"/>
        <v/>
      </c>
      <c r="P1229" s="150" t="str">
        <f t="shared" si="7"/>
        <v/>
      </c>
      <c r="Q1229" s="151" t="str">
        <f>IFERROR(VLOOKUP(C1229,Ativos!$A$1:$G2000,5,),)</f>
        <v/>
      </c>
    </row>
    <row r="1230" ht="21.0" customHeight="1">
      <c r="A1230" s="152"/>
      <c r="B1230" s="160"/>
      <c r="C1230" s="153"/>
      <c r="D1230" s="169"/>
      <c r="E1230" s="139"/>
      <c r="F1230" s="141"/>
      <c r="G1230" s="170" t="str">
        <f>IFERROR(__xludf.DUMMYFUNCTION("if($C1230="""","""",iferror(if(row()&lt;&gt;2,INDEX(arrayformula(filter($H$2:$H1229,$C$2:$C1229&lt;&gt;"""",row($C$2:$C1229)=max(if($C$2:$C1229=C1230,row($C$2:$C1229),0)))) ,1),0),0))"),"")</f>
        <v/>
      </c>
      <c r="H1230" s="170" t="str">
        <f t="shared" si="8"/>
        <v/>
      </c>
      <c r="I1230" s="147" t="str">
        <f t="shared" si="1"/>
        <v/>
      </c>
      <c r="J1230" s="147" t="str">
        <f t="shared" si="13"/>
        <v/>
      </c>
      <c r="K1230" s="147" t="str">
        <f>IFERROR(__xludf.DUMMYFUNCTION("if(C1230="""","""",iferror(if(row()&lt;&gt;2,INDEX(arrayformula(filter($L$2:$L1229,$C$2:$C1229&lt;&gt;"""",row($C$2:$C1229)=max(if($C$2:$C1229=C1230,row($C$2:$C1229),0)))) ,1),0),0))"),"")</f>
        <v/>
      </c>
      <c r="L1230" s="147" t="str">
        <f t="shared" si="14"/>
        <v/>
      </c>
      <c r="M1230" s="147" t="str">
        <f t="shared" si="15"/>
        <v/>
      </c>
      <c r="N1230" s="147" t="str">
        <f t="shared" si="16"/>
        <v/>
      </c>
      <c r="O1230" s="147" t="str">
        <f t="shared" si="6"/>
        <v/>
      </c>
      <c r="P1230" s="150" t="str">
        <f t="shared" si="7"/>
        <v/>
      </c>
      <c r="Q1230" s="151" t="str">
        <f>IFERROR(VLOOKUP(C1230,Ativos!$A$1:$G2000,5,),)</f>
        <v/>
      </c>
    </row>
    <row r="1231" ht="21.0" customHeight="1">
      <c r="A1231" s="152"/>
      <c r="B1231" s="160"/>
      <c r="C1231" s="153"/>
      <c r="D1231" s="169"/>
      <c r="E1231" s="139"/>
      <c r="F1231" s="141"/>
      <c r="G1231" s="170" t="str">
        <f>IFERROR(__xludf.DUMMYFUNCTION("if($C1231="""","""",iferror(if(row()&lt;&gt;2,INDEX(arrayformula(filter($H$2:$H1230,$C$2:$C1230&lt;&gt;"""",row($C$2:$C1230)=max(if($C$2:$C1230=C1231,row($C$2:$C1230),0)))) ,1),0),0))"),"")</f>
        <v/>
      </c>
      <c r="H1231" s="170" t="str">
        <f t="shared" si="8"/>
        <v/>
      </c>
      <c r="I1231" s="147" t="str">
        <f t="shared" si="1"/>
        <v/>
      </c>
      <c r="J1231" s="147" t="str">
        <f t="shared" si="13"/>
        <v/>
      </c>
      <c r="K1231" s="147" t="str">
        <f>IFERROR(__xludf.DUMMYFUNCTION("if(C1231="""","""",iferror(if(row()&lt;&gt;2,INDEX(arrayformula(filter($L$2:$L1230,$C$2:$C1230&lt;&gt;"""",row($C$2:$C1230)=max(if($C$2:$C1230=C1231,row($C$2:$C1230),0)))) ,1),0),0))"),"")</f>
        <v/>
      </c>
      <c r="L1231" s="147" t="str">
        <f t="shared" si="14"/>
        <v/>
      </c>
      <c r="M1231" s="147" t="str">
        <f t="shared" si="15"/>
        <v/>
      </c>
      <c r="N1231" s="147" t="str">
        <f t="shared" si="16"/>
        <v/>
      </c>
      <c r="O1231" s="147" t="str">
        <f t="shared" si="6"/>
        <v/>
      </c>
      <c r="P1231" s="150" t="str">
        <f t="shared" si="7"/>
        <v/>
      </c>
      <c r="Q1231" s="151" t="str">
        <f>IFERROR(VLOOKUP(C1231,Ativos!$A$1:$G2000,5,),)</f>
        <v/>
      </c>
    </row>
    <row r="1232" ht="21.0" customHeight="1">
      <c r="A1232" s="152"/>
      <c r="B1232" s="160"/>
      <c r="C1232" s="153"/>
      <c r="D1232" s="169"/>
      <c r="E1232" s="139"/>
      <c r="F1232" s="141"/>
      <c r="G1232" s="170" t="str">
        <f>IFERROR(__xludf.DUMMYFUNCTION("if($C1232="""","""",iferror(if(row()&lt;&gt;2,INDEX(arrayformula(filter($H$2:$H1231,$C$2:$C1231&lt;&gt;"""",row($C$2:$C1231)=max(if($C$2:$C1231=C1232,row($C$2:$C1231),0)))) ,1),0),0))"),"")</f>
        <v/>
      </c>
      <c r="H1232" s="170" t="str">
        <f t="shared" si="8"/>
        <v/>
      </c>
      <c r="I1232" s="147" t="str">
        <f t="shared" si="1"/>
        <v/>
      </c>
      <c r="J1232" s="147" t="str">
        <f t="shared" si="13"/>
        <v/>
      </c>
      <c r="K1232" s="147" t="str">
        <f>IFERROR(__xludf.DUMMYFUNCTION("if(C1232="""","""",iferror(if(row()&lt;&gt;2,INDEX(arrayformula(filter($L$2:$L1231,$C$2:$C1231&lt;&gt;"""",row($C$2:$C1231)=max(if($C$2:$C1231=C1232,row($C$2:$C1231),0)))) ,1),0),0))"),"")</f>
        <v/>
      </c>
      <c r="L1232" s="147" t="str">
        <f t="shared" si="14"/>
        <v/>
      </c>
      <c r="M1232" s="147" t="str">
        <f t="shared" si="15"/>
        <v/>
      </c>
      <c r="N1232" s="147" t="str">
        <f t="shared" si="16"/>
        <v/>
      </c>
      <c r="O1232" s="147" t="str">
        <f t="shared" si="6"/>
        <v/>
      </c>
      <c r="P1232" s="150" t="str">
        <f t="shared" si="7"/>
        <v/>
      </c>
      <c r="Q1232" s="151" t="str">
        <f>IFERROR(VLOOKUP(C1232,Ativos!$A$1:$G2000,5,),)</f>
        <v/>
      </c>
    </row>
    <row r="1233" ht="21.0" customHeight="1">
      <c r="A1233" s="152"/>
      <c r="B1233" s="160"/>
      <c r="C1233" s="153"/>
      <c r="D1233" s="169"/>
      <c r="E1233" s="139"/>
      <c r="F1233" s="141"/>
      <c r="G1233" s="170" t="str">
        <f>IFERROR(__xludf.DUMMYFUNCTION("if($C1233="""","""",iferror(if(row()&lt;&gt;2,INDEX(arrayformula(filter($H$2:$H1232,$C$2:$C1232&lt;&gt;"""",row($C$2:$C1232)=max(if($C$2:$C1232=C1233,row($C$2:$C1232),0)))) ,1),0),0))"),"")</f>
        <v/>
      </c>
      <c r="H1233" s="170" t="str">
        <f t="shared" si="8"/>
        <v/>
      </c>
      <c r="I1233" s="147" t="str">
        <f t="shared" si="1"/>
        <v/>
      </c>
      <c r="J1233" s="147" t="str">
        <f t="shared" si="13"/>
        <v/>
      </c>
      <c r="K1233" s="147" t="str">
        <f>IFERROR(__xludf.DUMMYFUNCTION("if(C1233="""","""",iferror(if(row()&lt;&gt;2,INDEX(arrayformula(filter($L$2:$L1232,$C$2:$C1232&lt;&gt;"""",row($C$2:$C1232)=max(if($C$2:$C1232=C1233,row($C$2:$C1232),0)))) ,1),0),0))"),"")</f>
        <v/>
      </c>
      <c r="L1233" s="147" t="str">
        <f t="shared" si="14"/>
        <v/>
      </c>
      <c r="M1233" s="147" t="str">
        <f t="shared" si="15"/>
        <v/>
      </c>
      <c r="N1233" s="147" t="str">
        <f t="shared" si="16"/>
        <v/>
      </c>
      <c r="O1233" s="147" t="str">
        <f t="shared" si="6"/>
        <v/>
      </c>
      <c r="P1233" s="150" t="str">
        <f t="shared" si="7"/>
        <v/>
      </c>
      <c r="Q1233" s="151" t="str">
        <f>IFERROR(VLOOKUP(C1233,Ativos!$A$1:$G2000,5,),)</f>
        <v/>
      </c>
    </row>
    <row r="1234" ht="21.0" customHeight="1">
      <c r="A1234" s="152"/>
      <c r="B1234" s="160"/>
      <c r="C1234" s="153"/>
      <c r="D1234" s="169"/>
      <c r="E1234" s="139"/>
      <c r="F1234" s="141"/>
      <c r="G1234" s="170" t="str">
        <f>IFERROR(__xludf.DUMMYFUNCTION("if($C1234="""","""",iferror(if(row()&lt;&gt;2,INDEX(arrayformula(filter($H$2:$H1233,$C$2:$C1233&lt;&gt;"""",row($C$2:$C1233)=max(if($C$2:$C1233=C1234,row($C$2:$C1233),0)))) ,1),0),0))"),"")</f>
        <v/>
      </c>
      <c r="H1234" s="170" t="str">
        <f t="shared" si="8"/>
        <v/>
      </c>
      <c r="I1234" s="147" t="str">
        <f t="shared" si="1"/>
        <v/>
      </c>
      <c r="J1234" s="147" t="str">
        <f t="shared" si="13"/>
        <v/>
      </c>
      <c r="K1234" s="147" t="str">
        <f>IFERROR(__xludf.DUMMYFUNCTION("if(C1234="""","""",iferror(if(row()&lt;&gt;2,INDEX(arrayformula(filter($L$2:$L1233,$C$2:$C1233&lt;&gt;"""",row($C$2:$C1233)=max(if($C$2:$C1233=C1234,row($C$2:$C1233),0)))) ,1),0),0))"),"")</f>
        <v/>
      </c>
      <c r="L1234" s="147" t="str">
        <f t="shared" si="14"/>
        <v/>
      </c>
      <c r="M1234" s="147" t="str">
        <f t="shared" si="15"/>
        <v/>
      </c>
      <c r="N1234" s="147" t="str">
        <f t="shared" si="16"/>
        <v/>
      </c>
      <c r="O1234" s="147" t="str">
        <f t="shared" si="6"/>
        <v/>
      </c>
      <c r="P1234" s="150" t="str">
        <f t="shared" si="7"/>
        <v/>
      </c>
      <c r="Q1234" s="151" t="str">
        <f>IFERROR(VLOOKUP(C1234,Ativos!$A$1:$G2000,5,),)</f>
        <v/>
      </c>
    </row>
    <row r="1235" ht="21.0" customHeight="1">
      <c r="A1235" s="152"/>
      <c r="B1235" s="160"/>
      <c r="C1235" s="153"/>
      <c r="D1235" s="169"/>
      <c r="E1235" s="139"/>
      <c r="F1235" s="141"/>
      <c r="G1235" s="170" t="str">
        <f>IFERROR(__xludf.DUMMYFUNCTION("if($C1235="""","""",iferror(if(row()&lt;&gt;2,INDEX(arrayformula(filter($H$2:$H1234,$C$2:$C1234&lt;&gt;"""",row($C$2:$C1234)=max(if($C$2:$C1234=C1235,row($C$2:$C1234),0)))) ,1),0),0))"),"")</f>
        <v/>
      </c>
      <c r="H1235" s="170" t="str">
        <f t="shared" si="8"/>
        <v/>
      </c>
      <c r="I1235" s="147" t="str">
        <f t="shared" si="1"/>
        <v/>
      </c>
      <c r="J1235" s="147" t="str">
        <f t="shared" si="13"/>
        <v/>
      </c>
      <c r="K1235" s="147" t="str">
        <f>IFERROR(__xludf.DUMMYFUNCTION("if(C1235="""","""",iferror(if(row()&lt;&gt;2,INDEX(arrayformula(filter($L$2:$L1234,$C$2:$C1234&lt;&gt;"""",row($C$2:$C1234)=max(if($C$2:$C1234=C1235,row($C$2:$C1234),0)))) ,1),0),0))"),"")</f>
        <v/>
      </c>
      <c r="L1235" s="147" t="str">
        <f t="shared" si="14"/>
        <v/>
      </c>
      <c r="M1235" s="147" t="str">
        <f t="shared" si="15"/>
        <v/>
      </c>
      <c r="N1235" s="147" t="str">
        <f t="shared" si="16"/>
        <v/>
      </c>
      <c r="O1235" s="147" t="str">
        <f t="shared" si="6"/>
        <v/>
      </c>
      <c r="P1235" s="150" t="str">
        <f t="shared" si="7"/>
        <v/>
      </c>
      <c r="Q1235" s="151" t="str">
        <f>IFERROR(VLOOKUP(C1235,Ativos!$A$1:$G2000,5,),)</f>
        <v/>
      </c>
    </row>
    <row r="1236" ht="21.0" customHeight="1">
      <c r="A1236" s="152"/>
      <c r="B1236" s="160"/>
      <c r="C1236" s="153"/>
      <c r="D1236" s="169"/>
      <c r="E1236" s="139"/>
      <c r="F1236" s="141"/>
      <c r="G1236" s="170" t="str">
        <f>IFERROR(__xludf.DUMMYFUNCTION("if($C1236="""","""",iferror(if(row()&lt;&gt;2,INDEX(arrayformula(filter($H$2:$H1235,$C$2:$C1235&lt;&gt;"""",row($C$2:$C1235)=max(if($C$2:$C1235=C1236,row($C$2:$C1235),0)))) ,1),0),0))"),"")</f>
        <v/>
      </c>
      <c r="H1236" s="170" t="str">
        <f t="shared" si="8"/>
        <v/>
      </c>
      <c r="I1236" s="147" t="str">
        <f t="shared" si="1"/>
        <v/>
      </c>
      <c r="J1236" s="147" t="str">
        <f t="shared" si="13"/>
        <v/>
      </c>
      <c r="K1236" s="147" t="str">
        <f>IFERROR(__xludf.DUMMYFUNCTION("if(C1236="""","""",iferror(if(row()&lt;&gt;2,INDEX(arrayformula(filter($L$2:$L1235,$C$2:$C1235&lt;&gt;"""",row($C$2:$C1235)=max(if($C$2:$C1235=C1236,row($C$2:$C1235),0)))) ,1),0),0))"),"")</f>
        <v/>
      </c>
      <c r="L1236" s="147" t="str">
        <f t="shared" si="14"/>
        <v/>
      </c>
      <c r="M1236" s="147" t="str">
        <f t="shared" si="15"/>
        <v/>
      </c>
      <c r="N1236" s="147" t="str">
        <f t="shared" si="16"/>
        <v/>
      </c>
      <c r="O1236" s="147" t="str">
        <f t="shared" si="6"/>
        <v/>
      </c>
      <c r="P1236" s="150" t="str">
        <f t="shared" si="7"/>
        <v/>
      </c>
      <c r="Q1236" s="151" t="str">
        <f>IFERROR(VLOOKUP(C1236,Ativos!$A$1:$G2000,5,),)</f>
        <v/>
      </c>
    </row>
    <row r="1237" ht="21.0" customHeight="1">
      <c r="A1237" s="152"/>
      <c r="B1237" s="160"/>
      <c r="C1237" s="153"/>
      <c r="D1237" s="169"/>
      <c r="E1237" s="139"/>
      <c r="F1237" s="141"/>
      <c r="G1237" s="170" t="str">
        <f>IFERROR(__xludf.DUMMYFUNCTION("if($C1237="""","""",iferror(if(row()&lt;&gt;2,INDEX(arrayformula(filter($H$2:$H1236,$C$2:$C1236&lt;&gt;"""",row($C$2:$C1236)=max(if($C$2:$C1236=C1237,row($C$2:$C1236),0)))) ,1),0),0))"),"")</f>
        <v/>
      </c>
      <c r="H1237" s="170" t="str">
        <f t="shared" si="8"/>
        <v/>
      </c>
      <c r="I1237" s="147" t="str">
        <f t="shared" si="1"/>
        <v/>
      </c>
      <c r="J1237" s="147" t="str">
        <f t="shared" si="13"/>
        <v/>
      </c>
      <c r="K1237" s="147" t="str">
        <f>IFERROR(__xludf.DUMMYFUNCTION("if(C1237="""","""",iferror(if(row()&lt;&gt;2,INDEX(arrayformula(filter($L$2:$L1236,$C$2:$C1236&lt;&gt;"""",row($C$2:$C1236)=max(if($C$2:$C1236=C1237,row($C$2:$C1236),0)))) ,1),0),0))"),"")</f>
        <v/>
      </c>
      <c r="L1237" s="147" t="str">
        <f t="shared" si="14"/>
        <v/>
      </c>
      <c r="M1237" s="147" t="str">
        <f t="shared" si="15"/>
        <v/>
      </c>
      <c r="N1237" s="147" t="str">
        <f t="shared" si="16"/>
        <v/>
      </c>
      <c r="O1237" s="147" t="str">
        <f t="shared" si="6"/>
        <v/>
      </c>
      <c r="P1237" s="150" t="str">
        <f t="shared" si="7"/>
        <v/>
      </c>
      <c r="Q1237" s="151" t="str">
        <f>IFERROR(VLOOKUP(C1237,Ativos!$A$1:$G2000,5,),)</f>
        <v/>
      </c>
    </row>
    <row r="1238" ht="21.0" customHeight="1">
      <c r="A1238" s="152"/>
      <c r="B1238" s="160"/>
      <c r="C1238" s="153"/>
      <c r="D1238" s="169"/>
      <c r="E1238" s="139"/>
      <c r="F1238" s="141"/>
      <c r="G1238" s="170" t="str">
        <f>IFERROR(__xludf.DUMMYFUNCTION("if($C1238="""","""",iferror(if(row()&lt;&gt;2,INDEX(arrayformula(filter($H$2:$H1237,$C$2:$C1237&lt;&gt;"""",row($C$2:$C1237)=max(if($C$2:$C1237=C1238,row($C$2:$C1237),0)))) ,1),0),0))"),"")</f>
        <v/>
      </c>
      <c r="H1238" s="170" t="str">
        <f t="shared" si="8"/>
        <v/>
      </c>
      <c r="I1238" s="147" t="str">
        <f t="shared" si="1"/>
        <v/>
      </c>
      <c r="J1238" s="147" t="str">
        <f t="shared" si="13"/>
        <v/>
      </c>
      <c r="K1238" s="147" t="str">
        <f>IFERROR(__xludf.DUMMYFUNCTION("if(C1238="""","""",iferror(if(row()&lt;&gt;2,INDEX(arrayformula(filter($L$2:$L1237,$C$2:$C1237&lt;&gt;"""",row($C$2:$C1237)=max(if($C$2:$C1237=C1238,row($C$2:$C1237),0)))) ,1),0),0))"),"")</f>
        <v/>
      </c>
      <c r="L1238" s="147" t="str">
        <f t="shared" si="14"/>
        <v/>
      </c>
      <c r="M1238" s="147" t="str">
        <f t="shared" si="15"/>
        <v/>
      </c>
      <c r="N1238" s="147" t="str">
        <f t="shared" si="16"/>
        <v/>
      </c>
      <c r="O1238" s="147" t="str">
        <f t="shared" si="6"/>
        <v/>
      </c>
      <c r="P1238" s="150" t="str">
        <f t="shared" si="7"/>
        <v/>
      </c>
      <c r="Q1238" s="151" t="str">
        <f>IFERROR(VLOOKUP(C1238,Ativos!$A$1:$G2000,5,),)</f>
        <v/>
      </c>
    </row>
    <row r="1239" ht="21.0" customHeight="1">
      <c r="A1239" s="152"/>
      <c r="B1239" s="160"/>
      <c r="C1239" s="153"/>
      <c r="D1239" s="169"/>
      <c r="E1239" s="139"/>
      <c r="F1239" s="141"/>
      <c r="G1239" s="170" t="str">
        <f>IFERROR(__xludf.DUMMYFUNCTION("if($C1239="""","""",iferror(if(row()&lt;&gt;2,INDEX(arrayformula(filter($H$2:$H1238,$C$2:$C1238&lt;&gt;"""",row($C$2:$C1238)=max(if($C$2:$C1238=C1239,row($C$2:$C1238),0)))) ,1),0),0))"),"")</f>
        <v/>
      </c>
      <c r="H1239" s="170" t="str">
        <f t="shared" si="8"/>
        <v/>
      </c>
      <c r="I1239" s="147" t="str">
        <f t="shared" si="1"/>
        <v/>
      </c>
      <c r="J1239" s="147" t="str">
        <f t="shared" si="13"/>
        <v/>
      </c>
      <c r="K1239" s="147" t="str">
        <f>IFERROR(__xludf.DUMMYFUNCTION("if(C1239="""","""",iferror(if(row()&lt;&gt;2,INDEX(arrayformula(filter($L$2:$L1238,$C$2:$C1238&lt;&gt;"""",row($C$2:$C1238)=max(if($C$2:$C1238=C1239,row($C$2:$C1238),0)))) ,1),0),0))"),"")</f>
        <v/>
      </c>
      <c r="L1239" s="147" t="str">
        <f t="shared" si="14"/>
        <v/>
      </c>
      <c r="M1239" s="147" t="str">
        <f t="shared" si="15"/>
        <v/>
      </c>
      <c r="N1239" s="147" t="str">
        <f t="shared" si="16"/>
        <v/>
      </c>
      <c r="O1239" s="147" t="str">
        <f t="shared" si="6"/>
        <v/>
      </c>
      <c r="P1239" s="150" t="str">
        <f t="shared" si="7"/>
        <v/>
      </c>
      <c r="Q1239" s="151" t="str">
        <f>IFERROR(VLOOKUP(C1239,Ativos!$A$1:$G2000,5,),)</f>
        <v/>
      </c>
    </row>
    <row r="1240" ht="21.0" customHeight="1">
      <c r="A1240" s="152"/>
      <c r="B1240" s="160"/>
      <c r="C1240" s="153"/>
      <c r="D1240" s="169"/>
      <c r="E1240" s="139"/>
      <c r="F1240" s="141"/>
      <c r="G1240" s="170" t="str">
        <f>IFERROR(__xludf.DUMMYFUNCTION("if($C1240="""","""",iferror(if(row()&lt;&gt;2,INDEX(arrayformula(filter($H$2:$H1239,$C$2:$C1239&lt;&gt;"""",row($C$2:$C1239)=max(if($C$2:$C1239=C1240,row($C$2:$C1239),0)))) ,1),0),0))"),"")</f>
        <v/>
      </c>
      <c r="H1240" s="170" t="str">
        <f t="shared" si="8"/>
        <v/>
      </c>
      <c r="I1240" s="147" t="str">
        <f t="shared" si="1"/>
        <v/>
      </c>
      <c r="J1240" s="147" t="str">
        <f t="shared" si="13"/>
        <v/>
      </c>
      <c r="K1240" s="147" t="str">
        <f>IFERROR(__xludf.DUMMYFUNCTION("if(C1240="""","""",iferror(if(row()&lt;&gt;2,INDEX(arrayformula(filter($L$2:$L1239,$C$2:$C1239&lt;&gt;"""",row($C$2:$C1239)=max(if($C$2:$C1239=C1240,row($C$2:$C1239),0)))) ,1),0),0))"),"")</f>
        <v/>
      </c>
      <c r="L1240" s="147" t="str">
        <f t="shared" si="14"/>
        <v/>
      </c>
      <c r="M1240" s="147" t="str">
        <f t="shared" si="15"/>
        <v/>
      </c>
      <c r="N1240" s="147" t="str">
        <f t="shared" si="16"/>
        <v/>
      </c>
      <c r="O1240" s="147" t="str">
        <f t="shared" si="6"/>
        <v/>
      </c>
      <c r="P1240" s="150" t="str">
        <f t="shared" si="7"/>
        <v/>
      </c>
      <c r="Q1240" s="151" t="str">
        <f>IFERROR(VLOOKUP(C1240,Ativos!$A$1:$G2000,5,),)</f>
        <v/>
      </c>
    </row>
    <row r="1241" ht="21.0" customHeight="1">
      <c r="A1241" s="152"/>
      <c r="B1241" s="160"/>
      <c r="C1241" s="153"/>
      <c r="D1241" s="169"/>
      <c r="E1241" s="139"/>
      <c r="F1241" s="141"/>
      <c r="G1241" s="170" t="str">
        <f>IFERROR(__xludf.DUMMYFUNCTION("if($C1241="""","""",iferror(if(row()&lt;&gt;2,INDEX(arrayformula(filter($H$2:$H1240,$C$2:$C1240&lt;&gt;"""",row($C$2:$C1240)=max(if($C$2:$C1240=C1241,row($C$2:$C1240),0)))) ,1),0),0))"),"")</f>
        <v/>
      </c>
      <c r="H1241" s="170" t="str">
        <f t="shared" si="8"/>
        <v/>
      </c>
      <c r="I1241" s="147" t="str">
        <f t="shared" si="1"/>
        <v/>
      </c>
      <c r="J1241" s="147" t="str">
        <f t="shared" si="13"/>
        <v/>
      </c>
      <c r="K1241" s="147" t="str">
        <f>IFERROR(__xludf.DUMMYFUNCTION("if(C1241="""","""",iferror(if(row()&lt;&gt;2,INDEX(arrayformula(filter($L$2:$L1240,$C$2:$C1240&lt;&gt;"""",row($C$2:$C1240)=max(if($C$2:$C1240=C1241,row($C$2:$C1240),0)))) ,1),0),0))"),"")</f>
        <v/>
      </c>
      <c r="L1241" s="147" t="str">
        <f t="shared" si="14"/>
        <v/>
      </c>
      <c r="M1241" s="147" t="str">
        <f t="shared" si="15"/>
        <v/>
      </c>
      <c r="N1241" s="147" t="str">
        <f t="shared" si="16"/>
        <v/>
      </c>
      <c r="O1241" s="147" t="str">
        <f t="shared" si="6"/>
        <v/>
      </c>
      <c r="P1241" s="150" t="str">
        <f t="shared" si="7"/>
        <v/>
      </c>
      <c r="Q1241" s="151" t="str">
        <f>IFERROR(VLOOKUP(C1241,Ativos!$A$1:$G2000,5,),)</f>
        <v/>
      </c>
    </row>
    <row r="1242" ht="21.0" customHeight="1">
      <c r="A1242" s="152"/>
      <c r="B1242" s="160"/>
      <c r="C1242" s="153"/>
      <c r="D1242" s="169"/>
      <c r="E1242" s="139"/>
      <c r="F1242" s="141"/>
      <c r="G1242" s="170" t="str">
        <f>IFERROR(__xludf.DUMMYFUNCTION("if($C1242="""","""",iferror(if(row()&lt;&gt;2,INDEX(arrayformula(filter($H$2:$H1241,$C$2:$C1241&lt;&gt;"""",row($C$2:$C1241)=max(if($C$2:$C1241=C1242,row($C$2:$C1241),0)))) ,1),0),0))"),"")</f>
        <v/>
      </c>
      <c r="H1242" s="170" t="str">
        <f t="shared" si="8"/>
        <v/>
      </c>
      <c r="I1242" s="147" t="str">
        <f t="shared" si="1"/>
        <v/>
      </c>
      <c r="J1242" s="147" t="str">
        <f t="shared" si="13"/>
        <v/>
      </c>
      <c r="K1242" s="147" t="str">
        <f>IFERROR(__xludf.DUMMYFUNCTION("if(C1242="""","""",iferror(if(row()&lt;&gt;2,INDEX(arrayformula(filter($L$2:$L1241,$C$2:$C1241&lt;&gt;"""",row($C$2:$C1241)=max(if($C$2:$C1241=C1242,row($C$2:$C1241),0)))) ,1),0),0))"),"")</f>
        <v/>
      </c>
      <c r="L1242" s="147" t="str">
        <f t="shared" si="14"/>
        <v/>
      </c>
      <c r="M1242" s="147" t="str">
        <f t="shared" si="15"/>
        <v/>
      </c>
      <c r="N1242" s="147" t="str">
        <f t="shared" si="16"/>
        <v/>
      </c>
      <c r="O1242" s="147" t="str">
        <f t="shared" si="6"/>
        <v/>
      </c>
      <c r="P1242" s="150" t="str">
        <f t="shared" si="7"/>
        <v/>
      </c>
      <c r="Q1242" s="151" t="str">
        <f>IFERROR(VLOOKUP(C1242,Ativos!$A$1:$G2000,5,),)</f>
        <v/>
      </c>
    </row>
    <row r="1243" ht="21.0" customHeight="1">
      <c r="A1243" s="152"/>
      <c r="B1243" s="160"/>
      <c r="C1243" s="153"/>
      <c r="D1243" s="169"/>
      <c r="E1243" s="139"/>
      <c r="F1243" s="141"/>
      <c r="G1243" s="170" t="str">
        <f>IFERROR(__xludf.DUMMYFUNCTION("if($C1243="""","""",iferror(if(row()&lt;&gt;2,INDEX(arrayformula(filter($H$2:$H1242,$C$2:$C1242&lt;&gt;"""",row($C$2:$C1242)=max(if($C$2:$C1242=C1243,row($C$2:$C1242),0)))) ,1),0),0))"),"")</f>
        <v/>
      </c>
      <c r="H1243" s="170" t="str">
        <f t="shared" si="8"/>
        <v/>
      </c>
      <c r="I1243" s="147" t="str">
        <f t="shared" si="1"/>
        <v/>
      </c>
      <c r="J1243" s="147" t="str">
        <f t="shared" si="13"/>
        <v/>
      </c>
      <c r="K1243" s="147" t="str">
        <f>IFERROR(__xludf.DUMMYFUNCTION("if(C1243="""","""",iferror(if(row()&lt;&gt;2,INDEX(arrayformula(filter($L$2:$L1242,$C$2:$C1242&lt;&gt;"""",row($C$2:$C1242)=max(if($C$2:$C1242=C1243,row($C$2:$C1242),0)))) ,1),0),0))"),"")</f>
        <v/>
      </c>
      <c r="L1243" s="147" t="str">
        <f t="shared" si="14"/>
        <v/>
      </c>
      <c r="M1243" s="147" t="str">
        <f t="shared" si="15"/>
        <v/>
      </c>
      <c r="N1243" s="147" t="str">
        <f t="shared" si="16"/>
        <v/>
      </c>
      <c r="O1243" s="147" t="str">
        <f t="shared" si="6"/>
        <v/>
      </c>
      <c r="P1243" s="150" t="str">
        <f t="shared" si="7"/>
        <v/>
      </c>
      <c r="Q1243" s="151" t="str">
        <f>IFERROR(VLOOKUP(C1243,Ativos!$A$1:$G2000,5,),)</f>
        <v/>
      </c>
    </row>
    <row r="1244" ht="21.0" customHeight="1">
      <c r="A1244" s="152"/>
      <c r="B1244" s="160"/>
      <c r="C1244" s="153"/>
      <c r="D1244" s="169"/>
      <c r="E1244" s="139"/>
      <c r="F1244" s="141"/>
      <c r="G1244" s="170" t="str">
        <f>IFERROR(__xludf.DUMMYFUNCTION("if($C1244="""","""",iferror(if(row()&lt;&gt;2,INDEX(arrayformula(filter($H$2:$H1243,$C$2:$C1243&lt;&gt;"""",row($C$2:$C1243)=max(if($C$2:$C1243=C1244,row($C$2:$C1243),0)))) ,1),0),0))"),"")</f>
        <v/>
      </c>
      <c r="H1244" s="170" t="str">
        <f t="shared" si="8"/>
        <v/>
      </c>
      <c r="I1244" s="147" t="str">
        <f t="shared" si="1"/>
        <v/>
      </c>
      <c r="J1244" s="147" t="str">
        <f t="shared" si="13"/>
        <v/>
      </c>
      <c r="K1244" s="147" t="str">
        <f>IFERROR(__xludf.DUMMYFUNCTION("if(C1244="""","""",iferror(if(row()&lt;&gt;2,INDEX(arrayformula(filter($L$2:$L1243,$C$2:$C1243&lt;&gt;"""",row($C$2:$C1243)=max(if($C$2:$C1243=C1244,row($C$2:$C1243),0)))) ,1),0),0))"),"")</f>
        <v/>
      </c>
      <c r="L1244" s="147" t="str">
        <f t="shared" si="14"/>
        <v/>
      </c>
      <c r="M1244" s="147" t="str">
        <f t="shared" si="15"/>
        <v/>
      </c>
      <c r="N1244" s="147" t="str">
        <f t="shared" si="16"/>
        <v/>
      </c>
      <c r="O1244" s="147" t="str">
        <f t="shared" si="6"/>
        <v/>
      </c>
      <c r="P1244" s="150" t="str">
        <f t="shared" si="7"/>
        <v/>
      </c>
      <c r="Q1244" s="151" t="str">
        <f>IFERROR(VLOOKUP(C1244,Ativos!$A$1:$G2000,5,),)</f>
        <v/>
      </c>
    </row>
    <row r="1245" ht="21.0" customHeight="1">
      <c r="A1245" s="152"/>
      <c r="B1245" s="160"/>
      <c r="C1245" s="153"/>
      <c r="D1245" s="169"/>
      <c r="E1245" s="139"/>
      <c r="F1245" s="141"/>
      <c r="G1245" s="170" t="str">
        <f>IFERROR(__xludf.DUMMYFUNCTION("if($C1245="""","""",iferror(if(row()&lt;&gt;2,INDEX(arrayformula(filter($H$2:$H1244,$C$2:$C1244&lt;&gt;"""",row($C$2:$C1244)=max(if($C$2:$C1244=C1245,row($C$2:$C1244),0)))) ,1),0),0))"),"")</f>
        <v/>
      </c>
      <c r="H1245" s="170" t="str">
        <f t="shared" si="8"/>
        <v/>
      </c>
      <c r="I1245" s="147" t="str">
        <f t="shared" si="1"/>
        <v/>
      </c>
      <c r="J1245" s="147" t="str">
        <f t="shared" si="13"/>
        <v/>
      </c>
      <c r="K1245" s="147" t="str">
        <f>IFERROR(__xludf.DUMMYFUNCTION("if(C1245="""","""",iferror(if(row()&lt;&gt;2,INDEX(arrayformula(filter($L$2:$L1244,$C$2:$C1244&lt;&gt;"""",row($C$2:$C1244)=max(if($C$2:$C1244=C1245,row($C$2:$C1244),0)))) ,1),0),0))"),"")</f>
        <v/>
      </c>
      <c r="L1245" s="147" t="str">
        <f t="shared" si="14"/>
        <v/>
      </c>
      <c r="M1245" s="147" t="str">
        <f t="shared" si="15"/>
        <v/>
      </c>
      <c r="N1245" s="147" t="str">
        <f t="shared" si="16"/>
        <v/>
      </c>
      <c r="O1245" s="147" t="str">
        <f t="shared" si="6"/>
        <v/>
      </c>
      <c r="P1245" s="150" t="str">
        <f t="shared" si="7"/>
        <v/>
      </c>
      <c r="Q1245" s="151" t="str">
        <f>IFERROR(VLOOKUP(C1245,Ativos!$A$1:$G2000,5,),)</f>
        <v/>
      </c>
    </row>
    <row r="1246" ht="21.0" customHeight="1">
      <c r="A1246" s="152"/>
      <c r="B1246" s="160"/>
      <c r="C1246" s="153"/>
      <c r="D1246" s="169"/>
      <c r="E1246" s="139"/>
      <c r="F1246" s="141"/>
      <c r="G1246" s="170" t="str">
        <f>IFERROR(__xludf.DUMMYFUNCTION("if($C1246="""","""",iferror(if(row()&lt;&gt;2,INDEX(arrayformula(filter($H$2:$H1245,$C$2:$C1245&lt;&gt;"""",row($C$2:$C1245)=max(if($C$2:$C1245=C1246,row($C$2:$C1245),0)))) ,1),0),0))"),"")</f>
        <v/>
      </c>
      <c r="H1246" s="170" t="str">
        <f t="shared" si="8"/>
        <v/>
      </c>
      <c r="I1246" s="147" t="str">
        <f t="shared" si="1"/>
        <v/>
      </c>
      <c r="J1246" s="147" t="str">
        <f t="shared" si="13"/>
        <v/>
      </c>
      <c r="K1246" s="147" t="str">
        <f>IFERROR(__xludf.DUMMYFUNCTION("if(C1246="""","""",iferror(if(row()&lt;&gt;2,INDEX(arrayformula(filter($L$2:$L1245,$C$2:$C1245&lt;&gt;"""",row($C$2:$C1245)=max(if($C$2:$C1245=C1246,row($C$2:$C1245),0)))) ,1),0),0))"),"")</f>
        <v/>
      </c>
      <c r="L1246" s="147" t="str">
        <f t="shared" si="14"/>
        <v/>
      </c>
      <c r="M1246" s="147" t="str">
        <f t="shared" si="15"/>
        <v/>
      </c>
      <c r="N1246" s="147" t="str">
        <f t="shared" si="16"/>
        <v/>
      </c>
      <c r="O1246" s="147" t="str">
        <f t="shared" si="6"/>
        <v/>
      </c>
      <c r="P1246" s="150" t="str">
        <f t="shared" si="7"/>
        <v/>
      </c>
      <c r="Q1246" s="151" t="str">
        <f>IFERROR(VLOOKUP(C1246,Ativos!$A$1:$G2000,5,),)</f>
        <v/>
      </c>
    </row>
    <row r="1247" ht="21.0" customHeight="1">
      <c r="A1247" s="152"/>
      <c r="B1247" s="160"/>
      <c r="C1247" s="153"/>
      <c r="D1247" s="169"/>
      <c r="E1247" s="139"/>
      <c r="F1247" s="141"/>
      <c r="G1247" s="170" t="str">
        <f>IFERROR(__xludf.DUMMYFUNCTION("if($C1247="""","""",iferror(if(row()&lt;&gt;2,INDEX(arrayformula(filter($H$2:$H1246,$C$2:$C1246&lt;&gt;"""",row($C$2:$C1246)=max(if($C$2:$C1246=C1247,row($C$2:$C1246),0)))) ,1),0),0))"),"")</f>
        <v/>
      </c>
      <c r="H1247" s="170" t="str">
        <f t="shared" si="8"/>
        <v/>
      </c>
      <c r="I1247" s="147" t="str">
        <f t="shared" si="1"/>
        <v/>
      </c>
      <c r="J1247" s="147" t="str">
        <f t="shared" si="13"/>
        <v/>
      </c>
      <c r="K1247" s="147" t="str">
        <f>IFERROR(__xludf.DUMMYFUNCTION("if(C1247="""","""",iferror(if(row()&lt;&gt;2,INDEX(arrayformula(filter($L$2:$L1246,$C$2:$C1246&lt;&gt;"""",row($C$2:$C1246)=max(if($C$2:$C1246=C1247,row($C$2:$C1246),0)))) ,1),0),0))"),"")</f>
        <v/>
      </c>
      <c r="L1247" s="147" t="str">
        <f t="shared" si="14"/>
        <v/>
      </c>
      <c r="M1247" s="147" t="str">
        <f t="shared" si="15"/>
        <v/>
      </c>
      <c r="N1247" s="147" t="str">
        <f t="shared" si="16"/>
        <v/>
      </c>
      <c r="O1247" s="147" t="str">
        <f t="shared" si="6"/>
        <v/>
      </c>
      <c r="P1247" s="150" t="str">
        <f t="shared" si="7"/>
        <v/>
      </c>
      <c r="Q1247" s="151" t="str">
        <f>IFERROR(VLOOKUP(C1247,Ativos!$A$1:$G2000,5,),)</f>
        <v/>
      </c>
    </row>
    <row r="1248" ht="21.0" customHeight="1">
      <c r="A1248" s="152"/>
      <c r="B1248" s="160"/>
      <c r="C1248" s="153"/>
      <c r="D1248" s="169"/>
      <c r="E1248" s="139"/>
      <c r="F1248" s="141"/>
      <c r="G1248" s="170" t="str">
        <f>IFERROR(__xludf.DUMMYFUNCTION("if($C1248="""","""",iferror(if(row()&lt;&gt;2,INDEX(arrayformula(filter($H$2:$H1247,$C$2:$C1247&lt;&gt;"""",row($C$2:$C1247)=max(if($C$2:$C1247=C1248,row($C$2:$C1247),0)))) ,1),0),0))"),"")</f>
        <v/>
      </c>
      <c r="H1248" s="170" t="str">
        <f t="shared" si="8"/>
        <v/>
      </c>
      <c r="I1248" s="147" t="str">
        <f t="shared" si="1"/>
        <v/>
      </c>
      <c r="J1248" s="147" t="str">
        <f t="shared" si="13"/>
        <v/>
      </c>
      <c r="K1248" s="147" t="str">
        <f>IFERROR(__xludf.DUMMYFUNCTION("if(C1248="""","""",iferror(if(row()&lt;&gt;2,INDEX(arrayformula(filter($L$2:$L1247,$C$2:$C1247&lt;&gt;"""",row($C$2:$C1247)=max(if($C$2:$C1247=C1248,row($C$2:$C1247),0)))) ,1),0),0))"),"")</f>
        <v/>
      </c>
      <c r="L1248" s="147" t="str">
        <f t="shared" si="14"/>
        <v/>
      </c>
      <c r="M1248" s="147" t="str">
        <f t="shared" si="15"/>
        <v/>
      </c>
      <c r="N1248" s="147" t="str">
        <f t="shared" si="16"/>
        <v/>
      </c>
      <c r="O1248" s="147" t="str">
        <f t="shared" si="6"/>
        <v/>
      </c>
      <c r="P1248" s="150" t="str">
        <f t="shared" si="7"/>
        <v/>
      </c>
      <c r="Q1248" s="151" t="str">
        <f>IFERROR(VLOOKUP(C1248,Ativos!$A$1:$G2000,5,),)</f>
        <v/>
      </c>
    </row>
    <row r="1249" ht="21.0" customHeight="1">
      <c r="A1249" s="152"/>
      <c r="B1249" s="160"/>
      <c r="C1249" s="153"/>
      <c r="D1249" s="169"/>
      <c r="E1249" s="139"/>
      <c r="F1249" s="141"/>
      <c r="G1249" s="170" t="str">
        <f>IFERROR(__xludf.DUMMYFUNCTION("if($C1249="""","""",iferror(if(row()&lt;&gt;2,INDEX(arrayformula(filter($H$2:$H1248,$C$2:$C1248&lt;&gt;"""",row($C$2:$C1248)=max(if($C$2:$C1248=C1249,row($C$2:$C1248),0)))) ,1),0),0))"),"")</f>
        <v/>
      </c>
      <c r="H1249" s="170" t="str">
        <f t="shared" si="8"/>
        <v/>
      </c>
      <c r="I1249" s="147" t="str">
        <f t="shared" si="1"/>
        <v/>
      </c>
      <c r="J1249" s="147" t="str">
        <f t="shared" si="13"/>
        <v/>
      </c>
      <c r="K1249" s="147" t="str">
        <f>IFERROR(__xludf.DUMMYFUNCTION("if(C1249="""","""",iferror(if(row()&lt;&gt;2,INDEX(arrayformula(filter($L$2:$L1248,$C$2:$C1248&lt;&gt;"""",row($C$2:$C1248)=max(if($C$2:$C1248=C1249,row($C$2:$C1248),0)))) ,1),0),0))"),"")</f>
        <v/>
      </c>
      <c r="L1249" s="147" t="str">
        <f t="shared" si="14"/>
        <v/>
      </c>
      <c r="M1249" s="147" t="str">
        <f t="shared" si="15"/>
        <v/>
      </c>
      <c r="N1249" s="147" t="str">
        <f t="shared" si="16"/>
        <v/>
      </c>
      <c r="O1249" s="147" t="str">
        <f t="shared" si="6"/>
        <v/>
      </c>
      <c r="P1249" s="150" t="str">
        <f t="shared" si="7"/>
        <v/>
      </c>
      <c r="Q1249" s="151" t="str">
        <f>IFERROR(VLOOKUP(C1249,Ativos!$A$1:$G2000,5,),)</f>
        <v/>
      </c>
    </row>
    <row r="1250" ht="21.0" customHeight="1">
      <c r="A1250" s="152"/>
      <c r="B1250" s="160"/>
      <c r="C1250" s="153"/>
      <c r="D1250" s="169"/>
      <c r="E1250" s="139"/>
      <c r="F1250" s="141"/>
      <c r="G1250" s="170" t="str">
        <f>IFERROR(__xludf.DUMMYFUNCTION("if($C1250="""","""",iferror(if(row()&lt;&gt;2,INDEX(arrayformula(filter($H$2:$H1249,$C$2:$C1249&lt;&gt;"""",row($C$2:$C1249)=max(if($C$2:$C1249=C1250,row($C$2:$C1249),0)))) ,1),0),0))"),"")</f>
        <v/>
      </c>
      <c r="H1250" s="170" t="str">
        <f t="shared" si="8"/>
        <v/>
      </c>
      <c r="I1250" s="147" t="str">
        <f t="shared" si="1"/>
        <v/>
      </c>
      <c r="J1250" s="147" t="str">
        <f t="shared" si="13"/>
        <v/>
      </c>
      <c r="K1250" s="147" t="str">
        <f>IFERROR(__xludf.DUMMYFUNCTION("if(C1250="""","""",iferror(if(row()&lt;&gt;2,INDEX(arrayformula(filter($L$2:$L1249,$C$2:$C1249&lt;&gt;"""",row($C$2:$C1249)=max(if($C$2:$C1249=C1250,row($C$2:$C1249),0)))) ,1),0),0))"),"")</f>
        <v/>
      </c>
      <c r="L1250" s="147" t="str">
        <f t="shared" si="14"/>
        <v/>
      </c>
      <c r="M1250" s="147" t="str">
        <f t="shared" si="15"/>
        <v/>
      </c>
      <c r="N1250" s="147" t="str">
        <f t="shared" si="16"/>
        <v/>
      </c>
      <c r="O1250" s="147" t="str">
        <f t="shared" si="6"/>
        <v/>
      </c>
      <c r="P1250" s="150" t="str">
        <f t="shared" si="7"/>
        <v/>
      </c>
      <c r="Q1250" s="151" t="str">
        <f>IFERROR(VLOOKUP(C1250,Ativos!$A$1:$G2000,5,),)</f>
        <v/>
      </c>
    </row>
    <row r="1251" ht="21.0" customHeight="1">
      <c r="A1251" s="152"/>
      <c r="B1251" s="160"/>
      <c r="C1251" s="153"/>
      <c r="D1251" s="169"/>
      <c r="E1251" s="139"/>
      <c r="F1251" s="141"/>
      <c r="G1251" s="170" t="str">
        <f>IFERROR(__xludf.DUMMYFUNCTION("if($C1251="""","""",iferror(if(row()&lt;&gt;2,INDEX(arrayformula(filter($H$2:$H1250,$C$2:$C1250&lt;&gt;"""",row($C$2:$C1250)=max(if($C$2:$C1250=C1251,row($C$2:$C1250),0)))) ,1),0),0))"),"")</f>
        <v/>
      </c>
      <c r="H1251" s="170" t="str">
        <f t="shared" si="8"/>
        <v/>
      </c>
      <c r="I1251" s="147" t="str">
        <f t="shared" si="1"/>
        <v/>
      </c>
      <c r="J1251" s="147" t="str">
        <f t="shared" si="13"/>
        <v/>
      </c>
      <c r="K1251" s="147" t="str">
        <f>IFERROR(__xludf.DUMMYFUNCTION("if(C1251="""","""",iferror(if(row()&lt;&gt;2,INDEX(arrayformula(filter($L$2:$L1250,$C$2:$C1250&lt;&gt;"""",row($C$2:$C1250)=max(if($C$2:$C1250=C1251,row($C$2:$C1250),0)))) ,1),0),0))"),"")</f>
        <v/>
      </c>
      <c r="L1251" s="147" t="str">
        <f t="shared" si="14"/>
        <v/>
      </c>
      <c r="M1251" s="147" t="str">
        <f t="shared" si="15"/>
        <v/>
      </c>
      <c r="N1251" s="147" t="str">
        <f t="shared" si="16"/>
        <v/>
      </c>
      <c r="O1251" s="147" t="str">
        <f t="shared" si="6"/>
        <v/>
      </c>
      <c r="P1251" s="150" t="str">
        <f t="shared" si="7"/>
        <v/>
      </c>
      <c r="Q1251" s="151" t="str">
        <f>IFERROR(VLOOKUP(C1251,Ativos!$A$1:$G2000,5,),)</f>
        <v/>
      </c>
    </row>
    <row r="1252" ht="21.0" customHeight="1">
      <c r="A1252" s="152"/>
      <c r="B1252" s="160"/>
      <c r="C1252" s="153"/>
      <c r="D1252" s="169"/>
      <c r="E1252" s="139"/>
      <c r="F1252" s="141"/>
      <c r="G1252" s="170" t="str">
        <f>IFERROR(__xludf.DUMMYFUNCTION("if($C1252="""","""",iferror(if(row()&lt;&gt;2,INDEX(arrayformula(filter($H$2:$H1251,$C$2:$C1251&lt;&gt;"""",row($C$2:$C1251)=max(if($C$2:$C1251=C1252,row($C$2:$C1251),0)))) ,1),0),0))"),"")</f>
        <v/>
      </c>
      <c r="H1252" s="170" t="str">
        <f t="shared" si="8"/>
        <v/>
      </c>
      <c r="I1252" s="147" t="str">
        <f t="shared" si="1"/>
        <v/>
      </c>
      <c r="J1252" s="147" t="str">
        <f t="shared" si="13"/>
        <v/>
      </c>
      <c r="K1252" s="147" t="str">
        <f>IFERROR(__xludf.DUMMYFUNCTION("if(C1252="""","""",iferror(if(row()&lt;&gt;2,INDEX(arrayformula(filter($L$2:$L1251,$C$2:$C1251&lt;&gt;"""",row($C$2:$C1251)=max(if($C$2:$C1251=C1252,row($C$2:$C1251),0)))) ,1),0),0))"),"")</f>
        <v/>
      </c>
      <c r="L1252" s="147" t="str">
        <f t="shared" si="14"/>
        <v/>
      </c>
      <c r="M1252" s="147" t="str">
        <f t="shared" si="15"/>
        <v/>
      </c>
      <c r="N1252" s="147" t="str">
        <f t="shared" si="16"/>
        <v/>
      </c>
      <c r="O1252" s="147" t="str">
        <f t="shared" si="6"/>
        <v/>
      </c>
      <c r="P1252" s="150" t="str">
        <f t="shared" si="7"/>
        <v/>
      </c>
      <c r="Q1252" s="151" t="str">
        <f>IFERROR(VLOOKUP(C1252,Ativos!$A$1:$G2000,5,),)</f>
        <v/>
      </c>
    </row>
    <row r="1253" ht="21.0" customHeight="1">
      <c r="A1253" s="152"/>
      <c r="B1253" s="160"/>
      <c r="C1253" s="153"/>
      <c r="D1253" s="169"/>
      <c r="E1253" s="139"/>
      <c r="F1253" s="141"/>
      <c r="G1253" s="170" t="str">
        <f>IFERROR(__xludf.DUMMYFUNCTION("if($C1253="""","""",iferror(if(row()&lt;&gt;2,INDEX(arrayformula(filter($H$2:$H1252,$C$2:$C1252&lt;&gt;"""",row($C$2:$C1252)=max(if($C$2:$C1252=C1253,row($C$2:$C1252),0)))) ,1),0),0))"),"")</f>
        <v/>
      </c>
      <c r="H1253" s="170" t="str">
        <f t="shared" si="8"/>
        <v/>
      </c>
      <c r="I1253" s="147" t="str">
        <f t="shared" si="1"/>
        <v/>
      </c>
      <c r="J1253" s="147" t="str">
        <f t="shared" si="13"/>
        <v/>
      </c>
      <c r="K1253" s="147" t="str">
        <f>IFERROR(__xludf.DUMMYFUNCTION("if(C1253="""","""",iferror(if(row()&lt;&gt;2,INDEX(arrayformula(filter($L$2:$L1252,$C$2:$C1252&lt;&gt;"""",row($C$2:$C1252)=max(if($C$2:$C1252=C1253,row($C$2:$C1252),0)))) ,1),0),0))"),"")</f>
        <v/>
      </c>
      <c r="L1253" s="147" t="str">
        <f t="shared" si="14"/>
        <v/>
      </c>
      <c r="M1253" s="147" t="str">
        <f t="shared" si="15"/>
        <v/>
      </c>
      <c r="N1253" s="147" t="str">
        <f t="shared" si="16"/>
        <v/>
      </c>
      <c r="O1253" s="147" t="str">
        <f t="shared" si="6"/>
        <v/>
      </c>
      <c r="P1253" s="150" t="str">
        <f t="shared" si="7"/>
        <v/>
      </c>
      <c r="Q1253" s="151" t="str">
        <f>IFERROR(VLOOKUP(C1253,Ativos!$A$1:$G2000,5,),)</f>
        <v/>
      </c>
    </row>
    <row r="1254" ht="21.0" customHeight="1">
      <c r="A1254" s="152"/>
      <c r="B1254" s="160"/>
      <c r="C1254" s="153"/>
      <c r="D1254" s="169"/>
      <c r="E1254" s="139"/>
      <c r="F1254" s="141"/>
      <c r="G1254" s="170" t="str">
        <f>IFERROR(__xludf.DUMMYFUNCTION("if($C1254="""","""",iferror(if(row()&lt;&gt;2,INDEX(arrayformula(filter($H$2:$H1253,$C$2:$C1253&lt;&gt;"""",row($C$2:$C1253)=max(if($C$2:$C1253=C1254,row($C$2:$C1253),0)))) ,1),0),0))"),"")</f>
        <v/>
      </c>
      <c r="H1254" s="170" t="str">
        <f t="shared" si="8"/>
        <v/>
      </c>
      <c r="I1254" s="147" t="str">
        <f t="shared" si="1"/>
        <v/>
      </c>
      <c r="J1254" s="147" t="str">
        <f t="shared" si="13"/>
        <v/>
      </c>
      <c r="K1254" s="147" t="str">
        <f>IFERROR(__xludf.DUMMYFUNCTION("if(C1254="""","""",iferror(if(row()&lt;&gt;2,INDEX(arrayformula(filter($L$2:$L1253,$C$2:$C1253&lt;&gt;"""",row($C$2:$C1253)=max(if($C$2:$C1253=C1254,row($C$2:$C1253),0)))) ,1),0),0))"),"")</f>
        <v/>
      </c>
      <c r="L1254" s="147" t="str">
        <f t="shared" si="14"/>
        <v/>
      </c>
      <c r="M1254" s="147" t="str">
        <f t="shared" si="15"/>
        <v/>
      </c>
      <c r="N1254" s="147" t="str">
        <f t="shared" si="16"/>
        <v/>
      </c>
      <c r="O1254" s="147" t="str">
        <f t="shared" si="6"/>
        <v/>
      </c>
      <c r="P1254" s="150" t="str">
        <f t="shared" si="7"/>
        <v/>
      </c>
      <c r="Q1254" s="151" t="str">
        <f>IFERROR(VLOOKUP(C1254,Ativos!$A$1:$G2000,5,),)</f>
        <v/>
      </c>
    </row>
    <row r="1255" ht="21.0" customHeight="1">
      <c r="A1255" s="152"/>
      <c r="B1255" s="160"/>
      <c r="C1255" s="153"/>
      <c r="D1255" s="169"/>
      <c r="E1255" s="139"/>
      <c r="F1255" s="141"/>
      <c r="G1255" s="170" t="str">
        <f>IFERROR(__xludf.DUMMYFUNCTION("if($C1255="""","""",iferror(if(row()&lt;&gt;2,INDEX(arrayformula(filter($H$2:$H1254,$C$2:$C1254&lt;&gt;"""",row($C$2:$C1254)=max(if($C$2:$C1254=C1255,row($C$2:$C1254),0)))) ,1),0),0))"),"")</f>
        <v/>
      </c>
      <c r="H1255" s="170" t="str">
        <f t="shared" si="8"/>
        <v/>
      </c>
      <c r="I1255" s="147" t="str">
        <f t="shared" si="1"/>
        <v/>
      </c>
      <c r="J1255" s="147" t="str">
        <f t="shared" si="13"/>
        <v/>
      </c>
      <c r="K1255" s="147" t="str">
        <f>IFERROR(__xludf.DUMMYFUNCTION("if(C1255="""","""",iferror(if(row()&lt;&gt;2,INDEX(arrayformula(filter($L$2:$L1254,$C$2:$C1254&lt;&gt;"""",row($C$2:$C1254)=max(if($C$2:$C1254=C1255,row($C$2:$C1254),0)))) ,1),0),0))"),"")</f>
        <v/>
      </c>
      <c r="L1255" s="147" t="str">
        <f t="shared" si="14"/>
        <v/>
      </c>
      <c r="M1255" s="147" t="str">
        <f t="shared" si="15"/>
        <v/>
      </c>
      <c r="N1255" s="147" t="str">
        <f t="shared" si="16"/>
        <v/>
      </c>
      <c r="O1255" s="147" t="str">
        <f t="shared" si="6"/>
        <v/>
      </c>
      <c r="P1255" s="150" t="str">
        <f t="shared" si="7"/>
        <v/>
      </c>
      <c r="Q1255" s="151" t="str">
        <f>IFERROR(VLOOKUP(C1255,Ativos!$A$1:$G2000,5,),)</f>
        <v/>
      </c>
    </row>
    <row r="1256" ht="21.0" customHeight="1">
      <c r="A1256" s="152"/>
      <c r="B1256" s="160"/>
      <c r="C1256" s="153"/>
      <c r="D1256" s="169"/>
      <c r="E1256" s="139"/>
      <c r="F1256" s="141"/>
      <c r="G1256" s="170" t="str">
        <f>IFERROR(__xludf.DUMMYFUNCTION("if($C1256="""","""",iferror(if(row()&lt;&gt;2,INDEX(arrayformula(filter($H$2:$H1255,$C$2:$C1255&lt;&gt;"""",row($C$2:$C1255)=max(if($C$2:$C1255=C1256,row($C$2:$C1255),0)))) ,1),0),0))"),"")</f>
        <v/>
      </c>
      <c r="H1256" s="170" t="str">
        <f t="shared" si="8"/>
        <v/>
      </c>
      <c r="I1256" s="147" t="str">
        <f t="shared" si="1"/>
        <v/>
      </c>
      <c r="J1256" s="147" t="str">
        <f t="shared" si="13"/>
        <v/>
      </c>
      <c r="K1256" s="147" t="str">
        <f>IFERROR(__xludf.DUMMYFUNCTION("if(C1256="""","""",iferror(if(row()&lt;&gt;2,INDEX(arrayformula(filter($L$2:$L1255,$C$2:$C1255&lt;&gt;"""",row($C$2:$C1255)=max(if($C$2:$C1255=C1256,row($C$2:$C1255),0)))) ,1),0),0))"),"")</f>
        <v/>
      </c>
      <c r="L1256" s="147" t="str">
        <f t="shared" si="14"/>
        <v/>
      </c>
      <c r="M1256" s="147" t="str">
        <f t="shared" si="15"/>
        <v/>
      </c>
      <c r="N1256" s="147" t="str">
        <f t="shared" si="16"/>
        <v/>
      </c>
      <c r="O1256" s="147" t="str">
        <f t="shared" si="6"/>
        <v/>
      </c>
      <c r="P1256" s="150" t="str">
        <f t="shared" si="7"/>
        <v/>
      </c>
      <c r="Q1256" s="151" t="str">
        <f>IFERROR(VLOOKUP(C1256,Ativos!$A$1:$G2000,5,),)</f>
        <v/>
      </c>
    </row>
    <row r="1257" ht="21.0" customHeight="1">
      <c r="A1257" s="152"/>
      <c r="B1257" s="160"/>
      <c r="C1257" s="153"/>
      <c r="D1257" s="169"/>
      <c r="E1257" s="139"/>
      <c r="F1257" s="141"/>
      <c r="G1257" s="170" t="str">
        <f>IFERROR(__xludf.DUMMYFUNCTION("if($C1257="""","""",iferror(if(row()&lt;&gt;2,INDEX(arrayformula(filter($H$2:$H1256,$C$2:$C1256&lt;&gt;"""",row($C$2:$C1256)=max(if($C$2:$C1256=C1257,row($C$2:$C1256),0)))) ,1),0),0))"),"")</f>
        <v/>
      </c>
      <c r="H1257" s="170" t="str">
        <f t="shared" si="8"/>
        <v/>
      </c>
      <c r="I1257" s="147" t="str">
        <f t="shared" si="1"/>
        <v/>
      </c>
      <c r="J1257" s="147" t="str">
        <f t="shared" si="13"/>
        <v/>
      </c>
      <c r="K1257" s="147" t="str">
        <f>IFERROR(__xludf.DUMMYFUNCTION("if(C1257="""","""",iferror(if(row()&lt;&gt;2,INDEX(arrayformula(filter($L$2:$L1256,$C$2:$C1256&lt;&gt;"""",row($C$2:$C1256)=max(if($C$2:$C1256=C1257,row($C$2:$C1256),0)))) ,1),0),0))"),"")</f>
        <v/>
      </c>
      <c r="L1257" s="147" t="str">
        <f t="shared" si="14"/>
        <v/>
      </c>
      <c r="M1257" s="147" t="str">
        <f t="shared" si="15"/>
        <v/>
      </c>
      <c r="N1257" s="147" t="str">
        <f t="shared" si="16"/>
        <v/>
      </c>
      <c r="O1257" s="147" t="str">
        <f t="shared" si="6"/>
        <v/>
      </c>
      <c r="P1257" s="150" t="str">
        <f t="shared" si="7"/>
        <v/>
      </c>
      <c r="Q1257" s="151" t="str">
        <f>IFERROR(VLOOKUP(C1257,Ativos!$A$1:$G2000,5,),)</f>
        <v/>
      </c>
    </row>
    <row r="1258" ht="21.0" customHeight="1">
      <c r="A1258" s="152"/>
      <c r="B1258" s="160"/>
      <c r="C1258" s="153"/>
      <c r="D1258" s="169"/>
      <c r="E1258" s="139"/>
      <c r="F1258" s="141"/>
      <c r="G1258" s="170" t="str">
        <f>IFERROR(__xludf.DUMMYFUNCTION("if($C1258="""","""",iferror(if(row()&lt;&gt;2,INDEX(arrayformula(filter($H$2:$H1257,$C$2:$C1257&lt;&gt;"""",row($C$2:$C1257)=max(if($C$2:$C1257=C1258,row($C$2:$C1257),0)))) ,1),0),0))"),"")</f>
        <v/>
      </c>
      <c r="H1258" s="170" t="str">
        <f t="shared" si="8"/>
        <v/>
      </c>
      <c r="I1258" s="147" t="str">
        <f t="shared" si="1"/>
        <v/>
      </c>
      <c r="J1258" s="147" t="str">
        <f t="shared" si="13"/>
        <v/>
      </c>
      <c r="K1258" s="147" t="str">
        <f>IFERROR(__xludf.DUMMYFUNCTION("if(C1258="""","""",iferror(if(row()&lt;&gt;2,INDEX(arrayformula(filter($L$2:$L1257,$C$2:$C1257&lt;&gt;"""",row($C$2:$C1257)=max(if($C$2:$C1257=C1258,row($C$2:$C1257),0)))) ,1),0),0))"),"")</f>
        <v/>
      </c>
      <c r="L1258" s="147" t="str">
        <f t="shared" si="14"/>
        <v/>
      </c>
      <c r="M1258" s="147" t="str">
        <f t="shared" si="15"/>
        <v/>
      </c>
      <c r="N1258" s="147" t="str">
        <f t="shared" si="16"/>
        <v/>
      </c>
      <c r="O1258" s="147" t="str">
        <f t="shared" si="6"/>
        <v/>
      </c>
      <c r="P1258" s="150" t="str">
        <f t="shared" si="7"/>
        <v/>
      </c>
      <c r="Q1258" s="151" t="str">
        <f>IFERROR(VLOOKUP(C1258,Ativos!$A$1:$G2000,5,),)</f>
        <v/>
      </c>
    </row>
    <row r="1259" ht="21.0" customHeight="1">
      <c r="A1259" s="152"/>
      <c r="B1259" s="160"/>
      <c r="C1259" s="153"/>
      <c r="D1259" s="169"/>
      <c r="E1259" s="139"/>
      <c r="F1259" s="141"/>
      <c r="G1259" s="170" t="str">
        <f>IFERROR(__xludf.DUMMYFUNCTION("if($C1259="""","""",iferror(if(row()&lt;&gt;2,INDEX(arrayformula(filter($H$2:$H1258,$C$2:$C1258&lt;&gt;"""",row($C$2:$C1258)=max(if($C$2:$C1258=C1259,row($C$2:$C1258),0)))) ,1),0),0))"),"")</f>
        <v/>
      </c>
      <c r="H1259" s="170" t="str">
        <f t="shared" si="8"/>
        <v/>
      </c>
      <c r="I1259" s="147" t="str">
        <f t="shared" si="1"/>
        <v/>
      </c>
      <c r="J1259" s="147" t="str">
        <f t="shared" si="13"/>
        <v/>
      </c>
      <c r="K1259" s="147" t="str">
        <f>IFERROR(__xludf.DUMMYFUNCTION("if(C1259="""","""",iferror(if(row()&lt;&gt;2,INDEX(arrayformula(filter($L$2:$L1258,$C$2:$C1258&lt;&gt;"""",row($C$2:$C1258)=max(if($C$2:$C1258=C1259,row($C$2:$C1258),0)))) ,1),0),0))"),"")</f>
        <v/>
      </c>
      <c r="L1259" s="147" t="str">
        <f t="shared" si="14"/>
        <v/>
      </c>
      <c r="M1259" s="147" t="str">
        <f t="shared" si="15"/>
        <v/>
      </c>
      <c r="N1259" s="147" t="str">
        <f t="shared" si="16"/>
        <v/>
      </c>
      <c r="O1259" s="147" t="str">
        <f t="shared" si="6"/>
        <v/>
      </c>
      <c r="P1259" s="150" t="str">
        <f t="shared" si="7"/>
        <v/>
      </c>
      <c r="Q1259" s="151" t="str">
        <f>IFERROR(VLOOKUP(C1259,Ativos!$A$1:$G2000,5,),)</f>
        <v/>
      </c>
    </row>
    <row r="1260" ht="21.0" customHeight="1">
      <c r="A1260" s="152"/>
      <c r="B1260" s="160"/>
      <c r="C1260" s="153"/>
      <c r="D1260" s="169"/>
      <c r="E1260" s="139"/>
      <c r="F1260" s="141"/>
      <c r="G1260" s="170" t="str">
        <f>IFERROR(__xludf.DUMMYFUNCTION("if($C1260="""","""",iferror(if(row()&lt;&gt;2,INDEX(arrayformula(filter($H$2:$H1259,$C$2:$C1259&lt;&gt;"""",row($C$2:$C1259)=max(if($C$2:$C1259=C1260,row($C$2:$C1259),0)))) ,1),0),0))"),"")</f>
        <v/>
      </c>
      <c r="H1260" s="170" t="str">
        <f t="shared" si="8"/>
        <v/>
      </c>
      <c r="I1260" s="147" t="str">
        <f t="shared" si="1"/>
        <v/>
      </c>
      <c r="J1260" s="147" t="str">
        <f t="shared" si="13"/>
        <v/>
      </c>
      <c r="K1260" s="147" t="str">
        <f>IFERROR(__xludf.DUMMYFUNCTION("if(C1260="""","""",iferror(if(row()&lt;&gt;2,INDEX(arrayformula(filter($L$2:$L1259,$C$2:$C1259&lt;&gt;"""",row($C$2:$C1259)=max(if($C$2:$C1259=C1260,row($C$2:$C1259),0)))) ,1),0),0))"),"")</f>
        <v/>
      </c>
      <c r="L1260" s="147" t="str">
        <f t="shared" si="14"/>
        <v/>
      </c>
      <c r="M1260" s="147" t="str">
        <f t="shared" si="15"/>
        <v/>
      </c>
      <c r="N1260" s="147" t="str">
        <f t="shared" si="16"/>
        <v/>
      </c>
      <c r="O1260" s="147" t="str">
        <f t="shared" si="6"/>
        <v/>
      </c>
      <c r="P1260" s="150" t="str">
        <f t="shared" si="7"/>
        <v/>
      </c>
      <c r="Q1260" s="151" t="str">
        <f>IFERROR(VLOOKUP(C1260,Ativos!$A$1:$G2000,5,),)</f>
        <v/>
      </c>
    </row>
    <row r="1261" ht="21.0" customHeight="1">
      <c r="A1261" s="152"/>
      <c r="B1261" s="160"/>
      <c r="C1261" s="153"/>
      <c r="D1261" s="169"/>
      <c r="E1261" s="139"/>
      <c r="F1261" s="141"/>
      <c r="G1261" s="170" t="str">
        <f>IFERROR(__xludf.DUMMYFUNCTION("if($C1261="""","""",iferror(if(row()&lt;&gt;2,INDEX(arrayformula(filter($H$2:$H1260,$C$2:$C1260&lt;&gt;"""",row($C$2:$C1260)=max(if($C$2:$C1260=C1261,row($C$2:$C1260),0)))) ,1),0),0))"),"")</f>
        <v/>
      </c>
      <c r="H1261" s="170" t="str">
        <f t="shared" si="8"/>
        <v/>
      </c>
      <c r="I1261" s="147" t="str">
        <f t="shared" si="1"/>
        <v/>
      </c>
      <c r="J1261" s="147" t="str">
        <f t="shared" si="13"/>
        <v/>
      </c>
      <c r="K1261" s="147" t="str">
        <f>IFERROR(__xludf.DUMMYFUNCTION("if(C1261="""","""",iferror(if(row()&lt;&gt;2,INDEX(arrayformula(filter($L$2:$L1260,$C$2:$C1260&lt;&gt;"""",row($C$2:$C1260)=max(if($C$2:$C1260=C1261,row($C$2:$C1260),0)))) ,1),0),0))"),"")</f>
        <v/>
      </c>
      <c r="L1261" s="147" t="str">
        <f t="shared" si="14"/>
        <v/>
      </c>
      <c r="M1261" s="147" t="str">
        <f t="shared" si="15"/>
        <v/>
      </c>
      <c r="N1261" s="147" t="str">
        <f t="shared" si="16"/>
        <v/>
      </c>
      <c r="O1261" s="147" t="str">
        <f t="shared" si="6"/>
        <v/>
      </c>
      <c r="P1261" s="150" t="str">
        <f t="shared" si="7"/>
        <v/>
      </c>
      <c r="Q1261" s="151" t="str">
        <f>IFERROR(VLOOKUP(C1261,Ativos!$A$1:$G2000,5,),)</f>
        <v/>
      </c>
    </row>
    <row r="1262" ht="21.0" customHeight="1">
      <c r="A1262" s="152"/>
      <c r="B1262" s="160"/>
      <c r="C1262" s="153"/>
      <c r="D1262" s="169"/>
      <c r="E1262" s="139"/>
      <c r="F1262" s="141"/>
      <c r="G1262" s="170" t="str">
        <f>IFERROR(__xludf.DUMMYFUNCTION("if($C1262="""","""",iferror(if(row()&lt;&gt;2,INDEX(arrayformula(filter($H$2:$H1261,$C$2:$C1261&lt;&gt;"""",row($C$2:$C1261)=max(if($C$2:$C1261=C1262,row($C$2:$C1261),0)))) ,1),0),0))"),"")</f>
        <v/>
      </c>
      <c r="H1262" s="170" t="str">
        <f t="shared" si="8"/>
        <v/>
      </c>
      <c r="I1262" s="147" t="str">
        <f t="shared" si="1"/>
        <v/>
      </c>
      <c r="J1262" s="147" t="str">
        <f t="shared" si="13"/>
        <v/>
      </c>
      <c r="K1262" s="147" t="str">
        <f>IFERROR(__xludf.DUMMYFUNCTION("if(C1262="""","""",iferror(if(row()&lt;&gt;2,INDEX(arrayformula(filter($L$2:$L1261,$C$2:$C1261&lt;&gt;"""",row($C$2:$C1261)=max(if($C$2:$C1261=C1262,row($C$2:$C1261),0)))) ,1),0),0))"),"")</f>
        <v/>
      </c>
      <c r="L1262" s="147" t="str">
        <f t="shared" si="14"/>
        <v/>
      </c>
      <c r="M1262" s="147" t="str">
        <f t="shared" si="15"/>
        <v/>
      </c>
      <c r="N1262" s="147" t="str">
        <f t="shared" si="16"/>
        <v/>
      </c>
      <c r="O1262" s="147" t="str">
        <f t="shared" si="6"/>
        <v/>
      </c>
      <c r="P1262" s="150" t="str">
        <f t="shared" si="7"/>
        <v/>
      </c>
      <c r="Q1262" s="151" t="str">
        <f>IFERROR(VLOOKUP(C1262,Ativos!$A$1:$G2000,5,),)</f>
        <v/>
      </c>
    </row>
    <row r="1263" ht="21.0" customHeight="1">
      <c r="A1263" s="152"/>
      <c r="B1263" s="160"/>
      <c r="C1263" s="153"/>
      <c r="D1263" s="169"/>
      <c r="E1263" s="139"/>
      <c r="F1263" s="141"/>
      <c r="G1263" s="170" t="str">
        <f>IFERROR(__xludf.DUMMYFUNCTION("if($C1263="""","""",iferror(if(row()&lt;&gt;2,INDEX(arrayformula(filter($H$2:$H1262,$C$2:$C1262&lt;&gt;"""",row($C$2:$C1262)=max(if($C$2:$C1262=C1263,row($C$2:$C1262),0)))) ,1),0),0))"),"")</f>
        <v/>
      </c>
      <c r="H1263" s="170" t="str">
        <f t="shared" si="8"/>
        <v/>
      </c>
      <c r="I1263" s="147" t="str">
        <f t="shared" si="1"/>
        <v/>
      </c>
      <c r="J1263" s="147" t="str">
        <f t="shared" si="13"/>
        <v/>
      </c>
      <c r="K1263" s="147" t="str">
        <f>IFERROR(__xludf.DUMMYFUNCTION("if(C1263="""","""",iferror(if(row()&lt;&gt;2,INDEX(arrayformula(filter($L$2:$L1262,$C$2:$C1262&lt;&gt;"""",row($C$2:$C1262)=max(if($C$2:$C1262=C1263,row($C$2:$C1262),0)))) ,1),0),0))"),"")</f>
        <v/>
      </c>
      <c r="L1263" s="147" t="str">
        <f t="shared" si="14"/>
        <v/>
      </c>
      <c r="M1263" s="147" t="str">
        <f t="shared" si="15"/>
        <v/>
      </c>
      <c r="N1263" s="147" t="str">
        <f t="shared" si="16"/>
        <v/>
      </c>
      <c r="O1263" s="147" t="str">
        <f t="shared" si="6"/>
        <v/>
      </c>
      <c r="P1263" s="150" t="str">
        <f t="shared" si="7"/>
        <v/>
      </c>
      <c r="Q1263" s="151" t="str">
        <f>IFERROR(VLOOKUP(C1263,Ativos!$A$1:$G2000,5,),)</f>
        <v/>
      </c>
    </row>
    <row r="1264" ht="21.0" customHeight="1">
      <c r="A1264" s="152"/>
      <c r="B1264" s="160"/>
      <c r="C1264" s="153"/>
      <c r="D1264" s="169"/>
      <c r="E1264" s="139"/>
      <c r="F1264" s="141"/>
      <c r="G1264" s="170" t="str">
        <f>IFERROR(__xludf.DUMMYFUNCTION("if($C1264="""","""",iferror(if(row()&lt;&gt;2,INDEX(arrayformula(filter($H$2:$H1263,$C$2:$C1263&lt;&gt;"""",row($C$2:$C1263)=max(if($C$2:$C1263=C1264,row($C$2:$C1263),0)))) ,1),0),0))"),"")</f>
        <v/>
      </c>
      <c r="H1264" s="170" t="str">
        <f t="shared" si="8"/>
        <v/>
      </c>
      <c r="I1264" s="147" t="str">
        <f t="shared" si="1"/>
        <v/>
      </c>
      <c r="J1264" s="147" t="str">
        <f t="shared" si="13"/>
        <v/>
      </c>
      <c r="K1264" s="147" t="str">
        <f>IFERROR(__xludf.DUMMYFUNCTION("if(C1264="""","""",iferror(if(row()&lt;&gt;2,INDEX(arrayformula(filter($L$2:$L1263,$C$2:$C1263&lt;&gt;"""",row($C$2:$C1263)=max(if($C$2:$C1263=C1264,row($C$2:$C1263),0)))) ,1),0),0))"),"")</f>
        <v/>
      </c>
      <c r="L1264" s="147" t="str">
        <f t="shared" si="14"/>
        <v/>
      </c>
      <c r="M1264" s="147" t="str">
        <f t="shared" si="15"/>
        <v/>
      </c>
      <c r="N1264" s="147" t="str">
        <f t="shared" si="16"/>
        <v/>
      </c>
      <c r="O1264" s="147" t="str">
        <f t="shared" si="6"/>
        <v/>
      </c>
      <c r="P1264" s="150" t="str">
        <f t="shared" si="7"/>
        <v/>
      </c>
      <c r="Q1264" s="151" t="str">
        <f>IFERROR(VLOOKUP(C1264,Ativos!$A$1:$G2000,5,),)</f>
        <v/>
      </c>
    </row>
    <row r="1265" ht="21.0" customHeight="1">
      <c r="A1265" s="152"/>
      <c r="B1265" s="160"/>
      <c r="C1265" s="153"/>
      <c r="D1265" s="169"/>
      <c r="E1265" s="139"/>
      <c r="F1265" s="141"/>
      <c r="G1265" s="170" t="str">
        <f>IFERROR(__xludf.DUMMYFUNCTION("if($C1265="""","""",iferror(if(row()&lt;&gt;2,INDEX(arrayformula(filter($H$2:$H1264,$C$2:$C1264&lt;&gt;"""",row($C$2:$C1264)=max(if($C$2:$C1264=C1265,row($C$2:$C1264),0)))) ,1),0),0))"),"")</f>
        <v/>
      </c>
      <c r="H1265" s="170" t="str">
        <f t="shared" si="8"/>
        <v/>
      </c>
      <c r="I1265" s="147" t="str">
        <f t="shared" si="1"/>
        <v/>
      </c>
      <c r="J1265" s="147" t="str">
        <f t="shared" si="13"/>
        <v/>
      </c>
      <c r="K1265" s="147" t="str">
        <f>IFERROR(__xludf.DUMMYFUNCTION("if(C1265="""","""",iferror(if(row()&lt;&gt;2,INDEX(arrayformula(filter($L$2:$L1264,$C$2:$C1264&lt;&gt;"""",row($C$2:$C1264)=max(if($C$2:$C1264=C1265,row($C$2:$C1264),0)))) ,1),0),0))"),"")</f>
        <v/>
      </c>
      <c r="L1265" s="147" t="str">
        <f t="shared" si="14"/>
        <v/>
      </c>
      <c r="M1265" s="147" t="str">
        <f t="shared" si="15"/>
        <v/>
      </c>
      <c r="N1265" s="147" t="str">
        <f t="shared" si="16"/>
        <v/>
      </c>
      <c r="O1265" s="147" t="str">
        <f t="shared" si="6"/>
        <v/>
      </c>
      <c r="P1265" s="150" t="str">
        <f t="shared" si="7"/>
        <v/>
      </c>
      <c r="Q1265" s="151" t="str">
        <f>IFERROR(VLOOKUP(C1265,Ativos!$A$1:$G2000,5,),)</f>
        <v/>
      </c>
    </row>
    <row r="1266" ht="21.0" customHeight="1">
      <c r="A1266" s="152"/>
      <c r="B1266" s="160"/>
      <c r="C1266" s="153"/>
      <c r="D1266" s="169"/>
      <c r="E1266" s="139"/>
      <c r="F1266" s="141"/>
      <c r="G1266" s="170" t="str">
        <f>IFERROR(__xludf.DUMMYFUNCTION("if($C1266="""","""",iferror(if(row()&lt;&gt;2,INDEX(arrayformula(filter($H$2:$H1265,$C$2:$C1265&lt;&gt;"""",row($C$2:$C1265)=max(if($C$2:$C1265=C1266,row($C$2:$C1265),0)))) ,1),0),0))"),"")</f>
        <v/>
      </c>
      <c r="H1266" s="170" t="str">
        <f t="shared" si="8"/>
        <v/>
      </c>
      <c r="I1266" s="147" t="str">
        <f t="shared" si="1"/>
        <v/>
      </c>
      <c r="J1266" s="147" t="str">
        <f t="shared" si="13"/>
        <v/>
      </c>
      <c r="K1266" s="147" t="str">
        <f>IFERROR(__xludf.DUMMYFUNCTION("if(C1266="""","""",iferror(if(row()&lt;&gt;2,INDEX(arrayformula(filter($L$2:$L1265,$C$2:$C1265&lt;&gt;"""",row($C$2:$C1265)=max(if($C$2:$C1265=C1266,row($C$2:$C1265),0)))) ,1),0),0))"),"")</f>
        <v/>
      </c>
      <c r="L1266" s="147" t="str">
        <f t="shared" si="14"/>
        <v/>
      </c>
      <c r="M1266" s="147" t="str">
        <f t="shared" si="15"/>
        <v/>
      </c>
      <c r="N1266" s="147" t="str">
        <f t="shared" si="16"/>
        <v/>
      </c>
      <c r="O1266" s="147" t="str">
        <f t="shared" si="6"/>
        <v/>
      </c>
      <c r="P1266" s="150" t="str">
        <f t="shared" si="7"/>
        <v/>
      </c>
      <c r="Q1266" s="151" t="str">
        <f>IFERROR(VLOOKUP(C1266,Ativos!$A$1:$G2000,5,),)</f>
        <v/>
      </c>
    </row>
    <row r="1267" ht="21.0" customHeight="1">
      <c r="A1267" s="152"/>
      <c r="B1267" s="160"/>
      <c r="C1267" s="153"/>
      <c r="D1267" s="169"/>
      <c r="E1267" s="139"/>
      <c r="F1267" s="141"/>
      <c r="G1267" s="170" t="str">
        <f>IFERROR(__xludf.DUMMYFUNCTION("if($C1267="""","""",iferror(if(row()&lt;&gt;2,INDEX(arrayformula(filter($H$2:$H1266,$C$2:$C1266&lt;&gt;"""",row($C$2:$C1266)=max(if($C$2:$C1266=C1267,row($C$2:$C1266),0)))) ,1),0),0))"),"")</f>
        <v/>
      </c>
      <c r="H1267" s="170" t="str">
        <f t="shared" si="8"/>
        <v/>
      </c>
      <c r="I1267" s="147" t="str">
        <f t="shared" si="1"/>
        <v/>
      </c>
      <c r="J1267" s="147" t="str">
        <f t="shared" si="13"/>
        <v/>
      </c>
      <c r="K1267" s="147" t="str">
        <f>IFERROR(__xludf.DUMMYFUNCTION("if(C1267="""","""",iferror(if(row()&lt;&gt;2,INDEX(arrayformula(filter($L$2:$L1266,$C$2:$C1266&lt;&gt;"""",row($C$2:$C1266)=max(if($C$2:$C1266=C1267,row($C$2:$C1266),0)))) ,1),0),0))"),"")</f>
        <v/>
      </c>
      <c r="L1267" s="147" t="str">
        <f t="shared" si="14"/>
        <v/>
      </c>
      <c r="M1267" s="147" t="str">
        <f t="shared" si="15"/>
        <v/>
      </c>
      <c r="N1267" s="147" t="str">
        <f t="shared" si="16"/>
        <v/>
      </c>
      <c r="O1267" s="147" t="str">
        <f t="shared" si="6"/>
        <v/>
      </c>
      <c r="P1267" s="150" t="str">
        <f t="shared" si="7"/>
        <v/>
      </c>
      <c r="Q1267" s="151" t="str">
        <f>IFERROR(VLOOKUP(C1267,Ativos!$A$1:$G2000,5,),)</f>
        <v/>
      </c>
    </row>
    <row r="1268" ht="21.0" customHeight="1">
      <c r="A1268" s="152"/>
      <c r="B1268" s="160"/>
      <c r="C1268" s="153"/>
      <c r="D1268" s="169"/>
      <c r="E1268" s="139"/>
      <c r="F1268" s="141"/>
      <c r="G1268" s="170" t="str">
        <f>IFERROR(__xludf.DUMMYFUNCTION("if($C1268="""","""",iferror(if(row()&lt;&gt;2,INDEX(arrayformula(filter($H$2:$H1267,$C$2:$C1267&lt;&gt;"""",row($C$2:$C1267)=max(if($C$2:$C1267=C1268,row($C$2:$C1267),0)))) ,1),0),0))"),"")</f>
        <v/>
      </c>
      <c r="H1268" s="170" t="str">
        <f t="shared" si="8"/>
        <v/>
      </c>
      <c r="I1268" s="147" t="str">
        <f t="shared" si="1"/>
        <v/>
      </c>
      <c r="J1268" s="147" t="str">
        <f t="shared" si="13"/>
        <v/>
      </c>
      <c r="K1268" s="147" t="str">
        <f>IFERROR(__xludf.DUMMYFUNCTION("if(C1268="""","""",iferror(if(row()&lt;&gt;2,INDEX(arrayformula(filter($L$2:$L1267,$C$2:$C1267&lt;&gt;"""",row($C$2:$C1267)=max(if($C$2:$C1267=C1268,row($C$2:$C1267),0)))) ,1),0),0))"),"")</f>
        <v/>
      </c>
      <c r="L1268" s="147" t="str">
        <f t="shared" si="14"/>
        <v/>
      </c>
      <c r="M1268" s="147" t="str">
        <f t="shared" si="15"/>
        <v/>
      </c>
      <c r="N1268" s="147" t="str">
        <f t="shared" si="16"/>
        <v/>
      </c>
      <c r="O1268" s="147" t="str">
        <f t="shared" si="6"/>
        <v/>
      </c>
      <c r="P1268" s="150" t="str">
        <f t="shared" si="7"/>
        <v/>
      </c>
      <c r="Q1268" s="151" t="str">
        <f>IFERROR(VLOOKUP(C1268,Ativos!$A$1:$G2000,5,),)</f>
        <v/>
      </c>
    </row>
    <row r="1269" ht="21.0" customHeight="1">
      <c r="A1269" s="152"/>
      <c r="B1269" s="160"/>
      <c r="C1269" s="153"/>
      <c r="D1269" s="169"/>
      <c r="E1269" s="139"/>
      <c r="F1269" s="141"/>
      <c r="G1269" s="170" t="str">
        <f>IFERROR(__xludf.DUMMYFUNCTION("if($C1269="""","""",iferror(if(row()&lt;&gt;2,INDEX(arrayformula(filter($H$2:$H1268,$C$2:$C1268&lt;&gt;"""",row($C$2:$C1268)=max(if($C$2:$C1268=C1269,row($C$2:$C1268),0)))) ,1),0),0))"),"")</f>
        <v/>
      </c>
      <c r="H1269" s="170" t="str">
        <f t="shared" si="8"/>
        <v/>
      </c>
      <c r="I1269" s="147" t="str">
        <f t="shared" si="1"/>
        <v/>
      </c>
      <c r="J1269" s="147" t="str">
        <f t="shared" si="13"/>
        <v/>
      </c>
      <c r="K1269" s="147" t="str">
        <f>IFERROR(__xludf.DUMMYFUNCTION("if(C1269="""","""",iferror(if(row()&lt;&gt;2,INDEX(arrayformula(filter($L$2:$L1268,$C$2:$C1268&lt;&gt;"""",row($C$2:$C1268)=max(if($C$2:$C1268=C1269,row($C$2:$C1268),0)))) ,1),0),0))"),"")</f>
        <v/>
      </c>
      <c r="L1269" s="147" t="str">
        <f t="shared" si="14"/>
        <v/>
      </c>
      <c r="M1269" s="147" t="str">
        <f t="shared" si="15"/>
        <v/>
      </c>
      <c r="N1269" s="147" t="str">
        <f t="shared" si="16"/>
        <v/>
      </c>
      <c r="O1269" s="147" t="str">
        <f t="shared" si="6"/>
        <v/>
      </c>
      <c r="P1269" s="150" t="str">
        <f t="shared" si="7"/>
        <v/>
      </c>
      <c r="Q1269" s="151" t="str">
        <f>IFERROR(VLOOKUP(C1269,Ativos!$A$1:$G2000,5,),)</f>
        <v/>
      </c>
    </row>
    <row r="1270" ht="21.0" customHeight="1">
      <c r="A1270" s="152"/>
      <c r="B1270" s="160"/>
      <c r="C1270" s="153"/>
      <c r="D1270" s="169"/>
      <c r="E1270" s="139"/>
      <c r="F1270" s="141"/>
      <c r="G1270" s="170" t="str">
        <f>IFERROR(__xludf.DUMMYFUNCTION("if($C1270="""","""",iferror(if(row()&lt;&gt;2,INDEX(arrayformula(filter($H$2:$H1269,$C$2:$C1269&lt;&gt;"""",row($C$2:$C1269)=max(if($C$2:$C1269=C1270,row($C$2:$C1269),0)))) ,1),0),0))"),"")</f>
        <v/>
      </c>
      <c r="H1270" s="170" t="str">
        <f t="shared" si="8"/>
        <v/>
      </c>
      <c r="I1270" s="147" t="str">
        <f t="shared" si="1"/>
        <v/>
      </c>
      <c r="J1270" s="147" t="str">
        <f t="shared" si="13"/>
        <v/>
      </c>
      <c r="K1270" s="147" t="str">
        <f>IFERROR(__xludf.DUMMYFUNCTION("if(C1270="""","""",iferror(if(row()&lt;&gt;2,INDEX(arrayformula(filter($L$2:$L1269,$C$2:$C1269&lt;&gt;"""",row($C$2:$C1269)=max(if($C$2:$C1269=C1270,row($C$2:$C1269),0)))) ,1),0),0))"),"")</f>
        <v/>
      </c>
      <c r="L1270" s="147" t="str">
        <f t="shared" si="14"/>
        <v/>
      </c>
      <c r="M1270" s="147" t="str">
        <f t="shared" si="15"/>
        <v/>
      </c>
      <c r="N1270" s="147" t="str">
        <f t="shared" si="16"/>
        <v/>
      </c>
      <c r="O1270" s="147" t="str">
        <f t="shared" si="6"/>
        <v/>
      </c>
      <c r="P1270" s="150" t="str">
        <f t="shared" si="7"/>
        <v/>
      </c>
      <c r="Q1270" s="151" t="str">
        <f>IFERROR(VLOOKUP(C1270,Ativos!$A$1:$G2000,5,),)</f>
        <v/>
      </c>
    </row>
    <row r="1271" ht="21.0" customHeight="1">
      <c r="A1271" s="152"/>
      <c r="B1271" s="160"/>
      <c r="C1271" s="153"/>
      <c r="D1271" s="169"/>
      <c r="E1271" s="139"/>
      <c r="F1271" s="141"/>
      <c r="G1271" s="170" t="str">
        <f>IFERROR(__xludf.DUMMYFUNCTION("if($C1271="""","""",iferror(if(row()&lt;&gt;2,INDEX(arrayformula(filter($H$2:$H1270,$C$2:$C1270&lt;&gt;"""",row($C$2:$C1270)=max(if($C$2:$C1270=C1271,row($C$2:$C1270),0)))) ,1),0),0))"),"")</f>
        <v/>
      </c>
      <c r="H1271" s="170" t="str">
        <f t="shared" si="8"/>
        <v/>
      </c>
      <c r="I1271" s="147" t="str">
        <f t="shared" si="1"/>
        <v/>
      </c>
      <c r="J1271" s="147" t="str">
        <f t="shared" si="13"/>
        <v/>
      </c>
      <c r="K1271" s="147" t="str">
        <f>IFERROR(__xludf.DUMMYFUNCTION("if(C1271="""","""",iferror(if(row()&lt;&gt;2,INDEX(arrayformula(filter($L$2:$L1270,$C$2:$C1270&lt;&gt;"""",row($C$2:$C1270)=max(if($C$2:$C1270=C1271,row($C$2:$C1270),0)))) ,1),0),0))"),"")</f>
        <v/>
      </c>
      <c r="L1271" s="147" t="str">
        <f t="shared" si="14"/>
        <v/>
      </c>
      <c r="M1271" s="147" t="str">
        <f t="shared" si="15"/>
        <v/>
      </c>
      <c r="N1271" s="147" t="str">
        <f t="shared" si="16"/>
        <v/>
      </c>
      <c r="O1271" s="147" t="str">
        <f t="shared" si="6"/>
        <v/>
      </c>
      <c r="P1271" s="150" t="str">
        <f t="shared" si="7"/>
        <v/>
      </c>
      <c r="Q1271" s="151" t="str">
        <f>IFERROR(VLOOKUP(C1271,Ativos!$A$1:$G2000,5,),)</f>
        <v/>
      </c>
    </row>
    <row r="1272" ht="21.0" customHeight="1">
      <c r="A1272" s="152"/>
      <c r="B1272" s="160"/>
      <c r="C1272" s="153"/>
      <c r="D1272" s="169"/>
      <c r="E1272" s="139"/>
      <c r="F1272" s="141"/>
      <c r="G1272" s="170" t="str">
        <f>IFERROR(__xludf.DUMMYFUNCTION("if($C1272="""","""",iferror(if(row()&lt;&gt;2,INDEX(arrayformula(filter($H$2:$H1271,$C$2:$C1271&lt;&gt;"""",row($C$2:$C1271)=max(if($C$2:$C1271=C1272,row($C$2:$C1271),0)))) ,1),0),0))"),"")</f>
        <v/>
      </c>
      <c r="H1272" s="170" t="str">
        <f t="shared" si="8"/>
        <v/>
      </c>
      <c r="I1272" s="147" t="str">
        <f t="shared" si="1"/>
        <v/>
      </c>
      <c r="J1272" s="147" t="str">
        <f t="shared" si="13"/>
        <v/>
      </c>
      <c r="K1272" s="147" t="str">
        <f>IFERROR(__xludf.DUMMYFUNCTION("if(C1272="""","""",iferror(if(row()&lt;&gt;2,INDEX(arrayformula(filter($L$2:$L1271,$C$2:$C1271&lt;&gt;"""",row($C$2:$C1271)=max(if($C$2:$C1271=C1272,row($C$2:$C1271),0)))) ,1),0),0))"),"")</f>
        <v/>
      </c>
      <c r="L1272" s="147" t="str">
        <f t="shared" si="14"/>
        <v/>
      </c>
      <c r="M1272" s="147" t="str">
        <f t="shared" si="15"/>
        <v/>
      </c>
      <c r="N1272" s="147" t="str">
        <f t="shared" si="16"/>
        <v/>
      </c>
      <c r="O1272" s="147" t="str">
        <f t="shared" si="6"/>
        <v/>
      </c>
      <c r="P1272" s="150" t="str">
        <f t="shared" si="7"/>
        <v/>
      </c>
      <c r="Q1272" s="151" t="str">
        <f>IFERROR(VLOOKUP(C1272,Ativos!$A$1:$G2000,5,),)</f>
        <v/>
      </c>
    </row>
    <row r="1273" ht="21.0" customHeight="1">
      <c r="A1273" s="152"/>
      <c r="B1273" s="160"/>
      <c r="C1273" s="153"/>
      <c r="D1273" s="169"/>
      <c r="E1273" s="139"/>
      <c r="F1273" s="141"/>
      <c r="G1273" s="170" t="str">
        <f>IFERROR(__xludf.DUMMYFUNCTION("if($C1273="""","""",iferror(if(row()&lt;&gt;2,INDEX(arrayformula(filter($H$2:$H1272,$C$2:$C1272&lt;&gt;"""",row($C$2:$C1272)=max(if($C$2:$C1272=C1273,row($C$2:$C1272),0)))) ,1),0),0))"),"")</f>
        <v/>
      </c>
      <c r="H1273" s="170" t="str">
        <f t="shared" si="8"/>
        <v/>
      </c>
      <c r="I1273" s="147" t="str">
        <f t="shared" si="1"/>
        <v/>
      </c>
      <c r="J1273" s="147" t="str">
        <f t="shared" si="13"/>
        <v/>
      </c>
      <c r="K1273" s="147" t="str">
        <f>IFERROR(__xludf.DUMMYFUNCTION("if(C1273="""","""",iferror(if(row()&lt;&gt;2,INDEX(arrayformula(filter($L$2:$L1272,$C$2:$C1272&lt;&gt;"""",row($C$2:$C1272)=max(if($C$2:$C1272=C1273,row($C$2:$C1272),0)))) ,1),0),0))"),"")</f>
        <v/>
      </c>
      <c r="L1273" s="147" t="str">
        <f t="shared" si="14"/>
        <v/>
      </c>
      <c r="M1273" s="147" t="str">
        <f t="shared" si="15"/>
        <v/>
      </c>
      <c r="N1273" s="147" t="str">
        <f t="shared" si="16"/>
        <v/>
      </c>
      <c r="O1273" s="147" t="str">
        <f t="shared" si="6"/>
        <v/>
      </c>
      <c r="P1273" s="150" t="str">
        <f t="shared" si="7"/>
        <v/>
      </c>
      <c r="Q1273" s="151" t="str">
        <f>IFERROR(VLOOKUP(C1273,Ativos!$A$1:$G2000,5,),)</f>
        <v/>
      </c>
    </row>
    <row r="1274" ht="21.0" customHeight="1">
      <c r="A1274" s="152"/>
      <c r="B1274" s="160"/>
      <c r="C1274" s="153"/>
      <c r="D1274" s="169"/>
      <c r="E1274" s="139"/>
      <c r="F1274" s="141"/>
      <c r="G1274" s="170" t="str">
        <f>IFERROR(__xludf.DUMMYFUNCTION("if($C1274="""","""",iferror(if(row()&lt;&gt;2,INDEX(arrayformula(filter($H$2:$H1273,$C$2:$C1273&lt;&gt;"""",row($C$2:$C1273)=max(if($C$2:$C1273=C1274,row($C$2:$C1273),0)))) ,1),0),0))"),"")</f>
        <v/>
      </c>
      <c r="H1274" s="170" t="str">
        <f t="shared" si="8"/>
        <v/>
      </c>
      <c r="I1274" s="147" t="str">
        <f t="shared" si="1"/>
        <v/>
      </c>
      <c r="J1274" s="147" t="str">
        <f t="shared" si="13"/>
        <v/>
      </c>
      <c r="K1274" s="147" t="str">
        <f>IFERROR(__xludf.DUMMYFUNCTION("if(C1274="""","""",iferror(if(row()&lt;&gt;2,INDEX(arrayformula(filter($L$2:$L1273,$C$2:$C1273&lt;&gt;"""",row($C$2:$C1273)=max(if($C$2:$C1273=C1274,row($C$2:$C1273),0)))) ,1),0),0))"),"")</f>
        <v/>
      </c>
      <c r="L1274" s="147" t="str">
        <f t="shared" si="14"/>
        <v/>
      </c>
      <c r="M1274" s="147" t="str">
        <f t="shared" si="15"/>
        <v/>
      </c>
      <c r="N1274" s="147" t="str">
        <f t="shared" si="16"/>
        <v/>
      </c>
      <c r="O1274" s="147" t="str">
        <f t="shared" si="6"/>
        <v/>
      </c>
      <c r="P1274" s="150" t="str">
        <f t="shared" si="7"/>
        <v/>
      </c>
      <c r="Q1274" s="151" t="str">
        <f>IFERROR(VLOOKUP(C1274,Ativos!$A$1:$G2000,5,),)</f>
        <v/>
      </c>
    </row>
    <row r="1275" ht="21.0" customHeight="1">
      <c r="A1275" s="152"/>
      <c r="B1275" s="160"/>
      <c r="C1275" s="153"/>
      <c r="D1275" s="169"/>
      <c r="E1275" s="139"/>
      <c r="F1275" s="141"/>
      <c r="G1275" s="170" t="str">
        <f>IFERROR(__xludf.DUMMYFUNCTION("if($C1275="""","""",iferror(if(row()&lt;&gt;2,INDEX(arrayformula(filter($H$2:$H1274,$C$2:$C1274&lt;&gt;"""",row($C$2:$C1274)=max(if($C$2:$C1274=C1275,row($C$2:$C1274),0)))) ,1),0),0))"),"")</f>
        <v/>
      </c>
      <c r="H1275" s="170" t="str">
        <f t="shared" si="8"/>
        <v/>
      </c>
      <c r="I1275" s="147" t="str">
        <f t="shared" si="1"/>
        <v/>
      </c>
      <c r="J1275" s="147" t="str">
        <f t="shared" si="13"/>
        <v/>
      </c>
      <c r="K1275" s="147" t="str">
        <f>IFERROR(__xludf.DUMMYFUNCTION("if(C1275="""","""",iferror(if(row()&lt;&gt;2,INDEX(arrayformula(filter($L$2:$L1274,$C$2:$C1274&lt;&gt;"""",row($C$2:$C1274)=max(if($C$2:$C1274=C1275,row($C$2:$C1274),0)))) ,1),0),0))"),"")</f>
        <v/>
      </c>
      <c r="L1275" s="147" t="str">
        <f t="shared" si="14"/>
        <v/>
      </c>
      <c r="M1275" s="147" t="str">
        <f t="shared" si="15"/>
        <v/>
      </c>
      <c r="N1275" s="147" t="str">
        <f t="shared" si="16"/>
        <v/>
      </c>
      <c r="O1275" s="147" t="str">
        <f t="shared" si="6"/>
        <v/>
      </c>
      <c r="P1275" s="150" t="str">
        <f t="shared" si="7"/>
        <v/>
      </c>
      <c r="Q1275" s="151" t="str">
        <f>IFERROR(VLOOKUP(C1275,Ativos!$A$1:$G2000,5,),)</f>
        <v/>
      </c>
    </row>
    <row r="1276" ht="21.0" customHeight="1">
      <c r="A1276" s="152"/>
      <c r="B1276" s="160"/>
      <c r="C1276" s="153"/>
      <c r="D1276" s="169"/>
      <c r="E1276" s="139"/>
      <c r="F1276" s="141"/>
      <c r="G1276" s="170" t="str">
        <f>IFERROR(__xludf.DUMMYFUNCTION("if($C1276="""","""",iferror(if(row()&lt;&gt;2,INDEX(arrayformula(filter($H$2:$H1275,$C$2:$C1275&lt;&gt;"""",row($C$2:$C1275)=max(if($C$2:$C1275=C1276,row($C$2:$C1275),0)))) ,1),0),0))"),"")</f>
        <v/>
      </c>
      <c r="H1276" s="170" t="str">
        <f t="shared" si="8"/>
        <v/>
      </c>
      <c r="I1276" s="147" t="str">
        <f t="shared" si="1"/>
        <v/>
      </c>
      <c r="J1276" s="147" t="str">
        <f t="shared" si="13"/>
        <v/>
      </c>
      <c r="K1276" s="147" t="str">
        <f>IFERROR(__xludf.DUMMYFUNCTION("if(C1276="""","""",iferror(if(row()&lt;&gt;2,INDEX(arrayformula(filter($L$2:$L1275,$C$2:$C1275&lt;&gt;"""",row($C$2:$C1275)=max(if($C$2:$C1275=C1276,row($C$2:$C1275),0)))) ,1),0),0))"),"")</f>
        <v/>
      </c>
      <c r="L1276" s="147" t="str">
        <f t="shared" si="14"/>
        <v/>
      </c>
      <c r="M1276" s="147" t="str">
        <f t="shared" si="15"/>
        <v/>
      </c>
      <c r="N1276" s="147" t="str">
        <f t="shared" si="16"/>
        <v/>
      </c>
      <c r="O1276" s="147" t="str">
        <f t="shared" si="6"/>
        <v/>
      </c>
      <c r="P1276" s="150" t="str">
        <f t="shared" si="7"/>
        <v/>
      </c>
      <c r="Q1276" s="151" t="str">
        <f>IFERROR(VLOOKUP(C1276,Ativos!$A$1:$G2000,5,),)</f>
        <v/>
      </c>
    </row>
    <row r="1277" ht="21.0" customHeight="1">
      <c r="A1277" s="152"/>
      <c r="B1277" s="160"/>
      <c r="C1277" s="153"/>
      <c r="D1277" s="169"/>
      <c r="E1277" s="139"/>
      <c r="F1277" s="141"/>
      <c r="G1277" s="170" t="str">
        <f>IFERROR(__xludf.DUMMYFUNCTION("if($C1277="""","""",iferror(if(row()&lt;&gt;2,INDEX(arrayformula(filter($H$2:$H1276,$C$2:$C1276&lt;&gt;"""",row($C$2:$C1276)=max(if($C$2:$C1276=C1277,row($C$2:$C1276),0)))) ,1),0),0))"),"")</f>
        <v/>
      </c>
      <c r="H1277" s="170" t="str">
        <f t="shared" si="8"/>
        <v/>
      </c>
      <c r="I1277" s="147" t="str">
        <f t="shared" si="1"/>
        <v/>
      </c>
      <c r="J1277" s="147" t="str">
        <f t="shared" si="13"/>
        <v/>
      </c>
      <c r="K1277" s="147" t="str">
        <f>IFERROR(__xludf.DUMMYFUNCTION("if(C1277="""","""",iferror(if(row()&lt;&gt;2,INDEX(arrayformula(filter($L$2:$L1276,$C$2:$C1276&lt;&gt;"""",row($C$2:$C1276)=max(if($C$2:$C1276=C1277,row($C$2:$C1276),0)))) ,1),0),0))"),"")</f>
        <v/>
      </c>
      <c r="L1277" s="147" t="str">
        <f t="shared" si="14"/>
        <v/>
      </c>
      <c r="M1277" s="147" t="str">
        <f t="shared" si="15"/>
        <v/>
      </c>
      <c r="N1277" s="147" t="str">
        <f t="shared" si="16"/>
        <v/>
      </c>
      <c r="O1277" s="147" t="str">
        <f t="shared" si="6"/>
        <v/>
      </c>
      <c r="P1277" s="150" t="str">
        <f t="shared" si="7"/>
        <v/>
      </c>
      <c r="Q1277" s="151" t="str">
        <f>IFERROR(VLOOKUP(C1277,Ativos!$A$1:$G2000,5,),)</f>
        <v/>
      </c>
    </row>
    <row r="1278" ht="21.0" customHeight="1">
      <c r="A1278" s="152"/>
      <c r="B1278" s="160"/>
      <c r="C1278" s="153"/>
      <c r="D1278" s="169"/>
      <c r="E1278" s="139"/>
      <c r="F1278" s="141"/>
      <c r="G1278" s="170" t="str">
        <f>IFERROR(__xludf.DUMMYFUNCTION("if($C1278="""","""",iferror(if(row()&lt;&gt;2,INDEX(arrayformula(filter($H$2:$H1277,$C$2:$C1277&lt;&gt;"""",row($C$2:$C1277)=max(if($C$2:$C1277=C1278,row($C$2:$C1277),0)))) ,1),0),0))"),"")</f>
        <v/>
      </c>
      <c r="H1278" s="170" t="str">
        <f t="shared" si="8"/>
        <v/>
      </c>
      <c r="I1278" s="147" t="str">
        <f t="shared" si="1"/>
        <v/>
      </c>
      <c r="J1278" s="147" t="str">
        <f t="shared" si="13"/>
        <v/>
      </c>
      <c r="K1278" s="147" t="str">
        <f>IFERROR(__xludf.DUMMYFUNCTION("if(C1278="""","""",iferror(if(row()&lt;&gt;2,INDEX(arrayformula(filter($L$2:$L1277,$C$2:$C1277&lt;&gt;"""",row($C$2:$C1277)=max(if($C$2:$C1277=C1278,row($C$2:$C1277),0)))) ,1),0),0))"),"")</f>
        <v/>
      </c>
      <c r="L1278" s="147" t="str">
        <f t="shared" si="14"/>
        <v/>
      </c>
      <c r="M1278" s="147" t="str">
        <f t="shared" si="15"/>
        <v/>
      </c>
      <c r="N1278" s="147" t="str">
        <f t="shared" si="16"/>
        <v/>
      </c>
      <c r="O1278" s="147" t="str">
        <f t="shared" si="6"/>
        <v/>
      </c>
      <c r="P1278" s="150" t="str">
        <f t="shared" si="7"/>
        <v/>
      </c>
      <c r="Q1278" s="151" t="str">
        <f>IFERROR(VLOOKUP(C1278,Ativos!$A$1:$G2000,5,),)</f>
        <v/>
      </c>
    </row>
    <row r="1279" ht="21.0" customHeight="1">
      <c r="A1279" s="152"/>
      <c r="B1279" s="160"/>
      <c r="C1279" s="153"/>
      <c r="D1279" s="169"/>
      <c r="E1279" s="139"/>
      <c r="F1279" s="141"/>
      <c r="G1279" s="170" t="str">
        <f>IFERROR(__xludf.DUMMYFUNCTION("if($C1279="""","""",iferror(if(row()&lt;&gt;2,INDEX(arrayformula(filter($H$2:$H1278,$C$2:$C1278&lt;&gt;"""",row($C$2:$C1278)=max(if($C$2:$C1278=C1279,row($C$2:$C1278),0)))) ,1),0),0))"),"")</f>
        <v/>
      </c>
      <c r="H1279" s="170" t="str">
        <f t="shared" si="8"/>
        <v/>
      </c>
      <c r="I1279" s="147" t="str">
        <f t="shared" si="1"/>
        <v/>
      </c>
      <c r="J1279" s="147" t="str">
        <f t="shared" si="13"/>
        <v/>
      </c>
      <c r="K1279" s="147" t="str">
        <f>IFERROR(__xludf.DUMMYFUNCTION("if(C1279="""","""",iferror(if(row()&lt;&gt;2,INDEX(arrayformula(filter($L$2:$L1278,$C$2:$C1278&lt;&gt;"""",row($C$2:$C1278)=max(if($C$2:$C1278=C1279,row($C$2:$C1278),0)))) ,1),0),0))"),"")</f>
        <v/>
      </c>
      <c r="L1279" s="147" t="str">
        <f t="shared" si="14"/>
        <v/>
      </c>
      <c r="M1279" s="147" t="str">
        <f t="shared" si="15"/>
        <v/>
      </c>
      <c r="N1279" s="147" t="str">
        <f t="shared" si="16"/>
        <v/>
      </c>
      <c r="O1279" s="147" t="str">
        <f t="shared" si="6"/>
        <v/>
      </c>
      <c r="P1279" s="150" t="str">
        <f t="shared" si="7"/>
        <v/>
      </c>
      <c r="Q1279" s="151" t="str">
        <f>IFERROR(VLOOKUP(C1279,Ativos!$A$1:$G2000,5,),)</f>
        <v/>
      </c>
    </row>
    <row r="1280" ht="21.0" customHeight="1">
      <c r="A1280" s="152"/>
      <c r="B1280" s="160"/>
      <c r="C1280" s="153"/>
      <c r="D1280" s="169"/>
      <c r="E1280" s="139"/>
      <c r="F1280" s="141"/>
      <c r="G1280" s="170" t="str">
        <f>IFERROR(__xludf.DUMMYFUNCTION("if($C1280="""","""",iferror(if(row()&lt;&gt;2,INDEX(arrayformula(filter($H$2:$H1279,$C$2:$C1279&lt;&gt;"""",row($C$2:$C1279)=max(if($C$2:$C1279=C1280,row($C$2:$C1279),0)))) ,1),0),0))"),"")</f>
        <v/>
      </c>
      <c r="H1280" s="170" t="str">
        <f t="shared" si="8"/>
        <v/>
      </c>
      <c r="I1280" s="147" t="str">
        <f t="shared" si="1"/>
        <v/>
      </c>
      <c r="J1280" s="147" t="str">
        <f t="shared" si="13"/>
        <v/>
      </c>
      <c r="K1280" s="147" t="str">
        <f>IFERROR(__xludf.DUMMYFUNCTION("if(C1280="""","""",iferror(if(row()&lt;&gt;2,INDEX(arrayformula(filter($L$2:$L1279,$C$2:$C1279&lt;&gt;"""",row($C$2:$C1279)=max(if($C$2:$C1279=C1280,row($C$2:$C1279),0)))) ,1),0),0))"),"")</f>
        <v/>
      </c>
      <c r="L1280" s="147" t="str">
        <f t="shared" si="14"/>
        <v/>
      </c>
      <c r="M1280" s="147" t="str">
        <f t="shared" si="15"/>
        <v/>
      </c>
      <c r="N1280" s="147" t="str">
        <f t="shared" si="16"/>
        <v/>
      </c>
      <c r="O1280" s="147" t="str">
        <f t="shared" si="6"/>
        <v/>
      </c>
      <c r="P1280" s="150" t="str">
        <f t="shared" si="7"/>
        <v/>
      </c>
      <c r="Q1280" s="151" t="str">
        <f>IFERROR(VLOOKUP(C1280,Ativos!$A$1:$G2000,5,),)</f>
        <v/>
      </c>
    </row>
    <row r="1281" ht="21.0" customHeight="1">
      <c r="A1281" s="152"/>
      <c r="B1281" s="160"/>
      <c r="C1281" s="153"/>
      <c r="D1281" s="169"/>
      <c r="E1281" s="139"/>
      <c r="F1281" s="141"/>
      <c r="G1281" s="170" t="str">
        <f>IFERROR(__xludf.DUMMYFUNCTION("if($C1281="""","""",iferror(if(row()&lt;&gt;2,INDEX(arrayformula(filter($H$2:$H1280,$C$2:$C1280&lt;&gt;"""",row($C$2:$C1280)=max(if($C$2:$C1280=C1281,row($C$2:$C1280),0)))) ,1),0),0))"),"")</f>
        <v/>
      </c>
      <c r="H1281" s="170" t="str">
        <f t="shared" si="8"/>
        <v/>
      </c>
      <c r="I1281" s="147" t="str">
        <f t="shared" si="1"/>
        <v/>
      </c>
      <c r="J1281" s="147" t="str">
        <f t="shared" si="13"/>
        <v/>
      </c>
      <c r="K1281" s="147" t="str">
        <f>IFERROR(__xludf.DUMMYFUNCTION("if(C1281="""","""",iferror(if(row()&lt;&gt;2,INDEX(arrayformula(filter($L$2:$L1280,$C$2:$C1280&lt;&gt;"""",row($C$2:$C1280)=max(if($C$2:$C1280=C1281,row($C$2:$C1280),0)))) ,1),0),0))"),"")</f>
        <v/>
      </c>
      <c r="L1281" s="147" t="str">
        <f t="shared" si="14"/>
        <v/>
      </c>
      <c r="M1281" s="147" t="str">
        <f t="shared" si="15"/>
        <v/>
      </c>
      <c r="N1281" s="147" t="str">
        <f t="shared" si="16"/>
        <v/>
      </c>
      <c r="O1281" s="147" t="str">
        <f t="shared" si="6"/>
        <v/>
      </c>
      <c r="P1281" s="150" t="str">
        <f t="shared" si="7"/>
        <v/>
      </c>
      <c r="Q1281" s="151" t="str">
        <f>IFERROR(VLOOKUP(C1281,Ativos!$A$1:$G2000,5,),)</f>
        <v/>
      </c>
    </row>
    <row r="1282" ht="21.0" customHeight="1">
      <c r="A1282" s="152"/>
      <c r="B1282" s="160"/>
      <c r="C1282" s="153"/>
      <c r="D1282" s="169"/>
      <c r="E1282" s="139"/>
      <c r="F1282" s="141"/>
      <c r="G1282" s="170" t="str">
        <f>IFERROR(__xludf.DUMMYFUNCTION("if($C1282="""","""",iferror(if(row()&lt;&gt;2,INDEX(arrayformula(filter($H$2:$H1281,$C$2:$C1281&lt;&gt;"""",row($C$2:$C1281)=max(if($C$2:$C1281=C1282,row($C$2:$C1281),0)))) ,1),0),0))"),"")</f>
        <v/>
      </c>
      <c r="H1282" s="170" t="str">
        <f t="shared" si="8"/>
        <v/>
      </c>
      <c r="I1282" s="147" t="str">
        <f t="shared" si="1"/>
        <v/>
      </c>
      <c r="J1282" s="147" t="str">
        <f t="shared" si="13"/>
        <v/>
      </c>
      <c r="K1282" s="147" t="str">
        <f>IFERROR(__xludf.DUMMYFUNCTION("if(C1282="""","""",iferror(if(row()&lt;&gt;2,INDEX(arrayformula(filter($L$2:$L1281,$C$2:$C1281&lt;&gt;"""",row($C$2:$C1281)=max(if($C$2:$C1281=C1282,row($C$2:$C1281),0)))) ,1),0),0))"),"")</f>
        <v/>
      </c>
      <c r="L1282" s="147" t="str">
        <f t="shared" si="14"/>
        <v/>
      </c>
      <c r="M1282" s="147" t="str">
        <f t="shared" si="15"/>
        <v/>
      </c>
      <c r="N1282" s="147" t="str">
        <f t="shared" si="16"/>
        <v/>
      </c>
      <c r="O1282" s="147" t="str">
        <f t="shared" si="6"/>
        <v/>
      </c>
      <c r="P1282" s="150" t="str">
        <f t="shared" si="7"/>
        <v/>
      </c>
      <c r="Q1282" s="151" t="str">
        <f>IFERROR(VLOOKUP(C1282,Ativos!$A$1:$G2000,5,),)</f>
        <v/>
      </c>
    </row>
    <row r="1283" ht="21.0" customHeight="1">
      <c r="A1283" s="152"/>
      <c r="B1283" s="160"/>
      <c r="C1283" s="153"/>
      <c r="D1283" s="169"/>
      <c r="E1283" s="139"/>
      <c r="F1283" s="141"/>
      <c r="G1283" s="170" t="str">
        <f>IFERROR(__xludf.DUMMYFUNCTION("if($C1283="""","""",iferror(if(row()&lt;&gt;2,INDEX(arrayformula(filter($H$2:$H1282,$C$2:$C1282&lt;&gt;"""",row($C$2:$C1282)=max(if($C$2:$C1282=C1283,row($C$2:$C1282),0)))) ,1),0),0))"),"")</f>
        <v/>
      </c>
      <c r="H1283" s="170" t="str">
        <f t="shared" si="8"/>
        <v/>
      </c>
      <c r="I1283" s="147" t="str">
        <f t="shared" si="1"/>
        <v/>
      </c>
      <c r="J1283" s="147" t="str">
        <f t="shared" si="13"/>
        <v/>
      </c>
      <c r="K1283" s="147" t="str">
        <f>IFERROR(__xludf.DUMMYFUNCTION("if(C1283="""","""",iferror(if(row()&lt;&gt;2,INDEX(arrayformula(filter($L$2:$L1282,$C$2:$C1282&lt;&gt;"""",row($C$2:$C1282)=max(if($C$2:$C1282=C1283,row($C$2:$C1282),0)))) ,1),0),0))"),"")</f>
        <v/>
      </c>
      <c r="L1283" s="147" t="str">
        <f t="shared" si="14"/>
        <v/>
      </c>
      <c r="M1283" s="147" t="str">
        <f t="shared" si="15"/>
        <v/>
      </c>
      <c r="N1283" s="147" t="str">
        <f t="shared" si="16"/>
        <v/>
      </c>
      <c r="O1283" s="147" t="str">
        <f t="shared" si="6"/>
        <v/>
      </c>
      <c r="P1283" s="150" t="str">
        <f t="shared" si="7"/>
        <v/>
      </c>
      <c r="Q1283" s="151" t="str">
        <f>IFERROR(VLOOKUP(C1283,Ativos!$A$1:$G2000,5,),)</f>
        <v/>
      </c>
    </row>
    <row r="1284" ht="21.0" customHeight="1">
      <c r="A1284" s="152"/>
      <c r="B1284" s="160"/>
      <c r="C1284" s="153"/>
      <c r="D1284" s="169"/>
      <c r="E1284" s="139"/>
      <c r="F1284" s="141"/>
      <c r="G1284" s="170" t="str">
        <f>IFERROR(__xludf.DUMMYFUNCTION("if($C1284="""","""",iferror(if(row()&lt;&gt;2,INDEX(arrayformula(filter($H$2:$H1283,$C$2:$C1283&lt;&gt;"""",row($C$2:$C1283)=max(if($C$2:$C1283=C1284,row($C$2:$C1283),0)))) ,1),0),0))"),"")</f>
        <v/>
      </c>
      <c r="H1284" s="170" t="str">
        <f t="shared" si="8"/>
        <v/>
      </c>
      <c r="I1284" s="147" t="str">
        <f t="shared" si="1"/>
        <v/>
      </c>
      <c r="J1284" s="147" t="str">
        <f t="shared" si="13"/>
        <v/>
      </c>
      <c r="K1284" s="147" t="str">
        <f>IFERROR(__xludf.DUMMYFUNCTION("if(C1284="""","""",iferror(if(row()&lt;&gt;2,INDEX(arrayformula(filter($L$2:$L1283,$C$2:$C1283&lt;&gt;"""",row($C$2:$C1283)=max(if($C$2:$C1283=C1284,row($C$2:$C1283),0)))) ,1),0),0))"),"")</f>
        <v/>
      </c>
      <c r="L1284" s="147" t="str">
        <f t="shared" si="14"/>
        <v/>
      </c>
      <c r="M1284" s="147" t="str">
        <f t="shared" si="15"/>
        <v/>
      </c>
      <c r="N1284" s="147" t="str">
        <f t="shared" si="16"/>
        <v/>
      </c>
      <c r="O1284" s="147" t="str">
        <f t="shared" si="6"/>
        <v/>
      </c>
      <c r="P1284" s="150" t="str">
        <f t="shared" si="7"/>
        <v/>
      </c>
      <c r="Q1284" s="151" t="str">
        <f>IFERROR(VLOOKUP(C1284,Ativos!$A$1:$G2000,5,),)</f>
        <v/>
      </c>
    </row>
    <row r="1285" ht="21.0" customHeight="1">
      <c r="A1285" s="152"/>
      <c r="B1285" s="160"/>
      <c r="C1285" s="153"/>
      <c r="D1285" s="169"/>
      <c r="E1285" s="139"/>
      <c r="F1285" s="141"/>
      <c r="G1285" s="170" t="str">
        <f>IFERROR(__xludf.DUMMYFUNCTION("if($C1285="""","""",iferror(if(row()&lt;&gt;2,INDEX(arrayformula(filter($H$2:$H1284,$C$2:$C1284&lt;&gt;"""",row($C$2:$C1284)=max(if($C$2:$C1284=C1285,row($C$2:$C1284),0)))) ,1),0),0))"),"")</f>
        <v/>
      </c>
      <c r="H1285" s="170" t="str">
        <f t="shared" si="8"/>
        <v/>
      </c>
      <c r="I1285" s="147" t="str">
        <f t="shared" si="1"/>
        <v/>
      </c>
      <c r="J1285" s="147" t="str">
        <f t="shared" si="13"/>
        <v/>
      </c>
      <c r="K1285" s="147" t="str">
        <f>IFERROR(__xludf.DUMMYFUNCTION("if(C1285="""","""",iferror(if(row()&lt;&gt;2,INDEX(arrayformula(filter($L$2:$L1284,$C$2:$C1284&lt;&gt;"""",row($C$2:$C1284)=max(if($C$2:$C1284=C1285,row($C$2:$C1284),0)))) ,1),0),0))"),"")</f>
        <v/>
      </c>
      <c r="L1285" s="147" t="str">
        <f t="shared" si="14"/>
        <v/>
      </c>
      <c r="M1285" s="147" t="str">
        <f t="shared" si="15"/>
        <v/>
      </c>
      <c r="N1285" s="147" t="str">
        <f t="shared" si="16"/>
        <v/>
      </c>
      <c r="O1285" s="147" t="str">
        <f t="shared" si="6"/>
        <v/>
      </c>
      <c r="P1285" s="150" t="str">
        <f t="shared" si="7"/>
        <v/>
      </c>
      <c r="Q1285" s="151" t="str">
        <f>IFERROR(VLOOKUP(C1285,Ativos!$A$1:$G2000,5,),)</f>
        <v/>
      </c>
    </row>
    <row r="1286" ht="21.0" customHeight="1">
      <c r="A1286" s="152"/>
      <c r="B1286" s="160"/>
      <c r="C1286" s="153"/>
      <c r="D1286" s="169"/>
      <c r="E1286" s="139"/>
      <c r="F1286" s="141"/>
      <c r="G1286" s="170" t="str">
        <f>IFERROR(__xludf.DUMMYFUNCTION("if($C1286="""","""",iferror(if(row()&lt;&gt;2,INDEX(arrayformula(filter($H$2:$H1285,$C$2:$C1285&lt;&gt;"""",row($C$2:$C1285)=max(if($C$2:$C1285=C1286,row($C$2:$C1285),0)))) ,1),0),0))"),"")</f>
        <v/>
      </c>
      <c r="H1286" s="170" t="str">
        <f t="shared" si="8"/>
        <v/>
      </c>
      <c r="I1286" s="147" t="str">
        <f t="shared" si="1"/>
        <v/>
      </c>
      <c r="J1286" s="147" t="str">
        <f t="shared" si="13"/>
        <v/>
      </c>
      <c r="K1286" s="147" t="str">
        <f>IFERROR(__xludf.DUMMYFUNCTION("if(C1286="""","""",iferror(if(row()&lt;&gt;2,INDEX(arrayformula(filter($L$2:$L1285,$C$2:$C1285&lt;&gt;"""",row($C$2:$C1285)=max(if($C$2:$C1285=C1286,row($C$2:$C1285),0)))) ,1),0),0))"),"")</f>
        <v/>
      </c>
      <c r="L1286" s="147" t="str">
        <f t="shared" si="14"/>
        <v/>
      </c>
      <c r="M1286" s="147" t="str">
        <f t="shared" si="15"/>
        <v/>
      </c>
      <c r="N1286" s="147" t="str">
        <f t="shared" si="16"/>
        <v/>
      </c>
      <c r="O1286" s="147" t="str">
        <f t="shared" si="6"/>
        <v/>
      </c>
      <c r="P1286" s="150" t="str">
        <f t="shared" si="7"/>
        <v/>
      </c>
      <c r="Q1286" s="151" t="str">
        <f>IFERROR(VLOOKUP(C1286,Ativos!$A$1:$G2000,5,),)</f>
        <v/>
      </c>
    </row>
    <row r="1287" ht="21.0" customHeight="1">
      <c r="A1287" s="152"/>
      <c r="B1287" s="160"/>
      <c r="C1287" s="153"/>
      <c r="D1287" s="169"/>
      <c r="E1287" s="139"/>
      <c r="F1287" s="141"/>
      <c r="G1287" s="170" t="str">
        <f>IFERROR(__xludf.DUMMYFUNCTION("if($C1287="""","""",iferror(if(row()&lt;&gt;2,INDEX(arrayformula(filter($H$2:$H1286,$C$2:$C1286&lt;&gt;"""",row($C$2:$C1286)=max(if($C$2:$C1286=C1287,row($C$2:$C1286),0)))) ,1),0),0))"),"")</f>
        <v/>
      </c>
      <c r="H1287" s="170" t="str">
        <f t="shared" si="8"/>
        <v/>
      </c>
      <c r="I1287" s="147" t="str">
        <f t="shared" si="1"/>
        <v/>
      </c>
      <c r="J1287" s="147" t="str">
        <f t="shared" si="13"/>
        <v/>
      </c>
      <c r="K1287" s="147" t="str">
        <f>IFERROR(__xludf.DUMMYFUNCTION("if(C1287="""","""",iferror(if(row()&lt;&gt;2,INDEX(arrayformula(filter($L$2:$L1286,$C$2:$C1286&lt;&gt;"""",row($C$2:$C1286)=max(if($C$2:$C1286=C1287,row($C$2:$C1286),0)))) ,1),0),0))"),"")</f>
        <v/>
      </c>
      <c r="L1287" s="147" t="str">
        <f t="shared" si="14"/>
        <v/>
      </c>
      <c r="M1287" s="147" t="str">
        <f t="shared" si="15"/>
        <v/>
      </c>
      <c r="N1287" s="147" t="str">
        <f t="shared" si="16"/>
        <v/>
      </c>
      <c r="O1287" s="147" t="str">
        <f t="shared" si="6"/>
        <v/>
      </c>
      <c r="P1287" s="150" t="str">
        <f t="shared" si="7"/>
        <v/>
      </c>
      <c r="Q1287" s="151" t="str">
        <f>IFERROR(VLOOKUP(C1287,Ativos!$A$1:$G2000,5,),)</f>
        <v/>
      </c>
    </row>
    <row r="1288" ht="21.0" customHeight="1">
      <c r="A1288" s="152"/>
      <c r="B1288" s="160"/>
      <c r="C1288" s="153"/>
      <c r="D1288" s="169"/>
      <c r="E1288" s="139"/>
      <c r="F1288" s="141"/>
      <c r="G1288" s="170" t="str">
        <f>IFERROR(__xludf.DUMMYFUNCTION("if($C1288="""","""",iferror(if(row()&lt;&gt;2,INDEX(arrayformula(filter($H$2:$H1287,$C$2:$C1287&lt;&gt;"""",row($C$2:$C1287)=max(if($C$2:$C1287=C1288,row($C$2:$C1287),0)))) ,1),0),0))"),"")</f>
        <v/>
      </c>
      <c r="H1288" s="170" t="str">
        <f t="shared" si="8"/>
        <v/>
      </c>
      <c r="I1288" s="147" t="str">
        <f t="shared" si="1"/>
        <v/>
      </c>
      <c r="J1288" s="147" t="str">
        <f t="shared" si="13"/>
        <v/>
      </c>
      <c r="K1288" s="147" t="str">
        <f>IFERROR(__xludf.DUMMYFUNCTION("if(C1288="""","""",iferror(if(row()&lt;&gt;2,INDEX(arrayformula(filter($L$2:$L1287,$C$2:$C1287&lt;&gt;"""",row($C$2:$C1287)=max(if($C$2:$C1287=C1288,row($C$2:$C1287),0)))) ,1),0),0))"),"")</f>
        <v/>
      </c>
      <c r="L1288" s="147" t="str">
        <f t="shared" si="14"/>
        <v/>
      </c>
      <c r="M1288" s="147" t="str">
        <f t="shared" si="15"/>
        <v/>
      </c>
      <c r="N1288" s="147" t="str">
        <f t="shared" si="16"/>
        <v/>
      </c>
      <c r="O1288" s="147" t="str">
        <f t="shared" si="6"/>
        <v/>
      </c>
      <c r="P1288" s="150" t="str">
        <f t="shared" si="7"/>
        <v/>
      </c>
      <c r="Q1288" s="151" t="str">
        <f>IFERROR(VLOOKUP(C1288,Ativos!$A$1:$G2000,5,),)</f>
        <v/>
      </c>
    </row>
    <row r="1289" ht="21.0" customHeight="1">
      <c r="A1289" s="152"/>
      <c r="B1289" s="160"/>
      <c r="C1289" s="153"/>
      <c r="D1289" s="169"/>
      <c r="E1289" s="139"/>
      <c r="F1289" s="141"/>
      <c r="G1289" s="170" t="str">
        <f>IFERROR(__xludf.DUMMYFUNCTION("if($C1289="""","""",iferror(if(row()&lt;&gt;2,INDEX(arrayformula(filter($H$2:$H1288,$C$2:$C1288&lt;&gt;"""",row($C$2:$C1288)=max(if($C$2:$C1288=C1289,row($C$2:$C1288),0)))) ,1),0),0))"),"")</f>
        <v/>
      </c>
      <c r="H1289" s="170" t="str">
        <f t="shared" si="8"/>
        <v/>
      </c>
      <c r="I1289" s="147" t="str">
        <f t="shared" si="1"/>
        <v/>
      </c>
      <c r="J1289" s="147" t="str">
        <f t="shared" si="13"/>
        <v/>
      </c>
      <c r="K1289" s="147" t="str">
        <f>IFERROR(__xludf.DUMMYFUNCTION("if(C1289="""","""",iferror(if(row()&lt;&gt;2,INDEX(arrayformula(filter($L$2:$L1288,$C$2:$C1288&lt;&gt;"""",row($C$2:$C1288)=max(if($C$2:$C1288=C1289,row($C$2:$C1288),0)))) ,1),0),0))"),"")</f>
        <v/>
      </c>
      <c r="L1289" s="147" t="str">
        <f t="shared" si="14"/>
        <v/>
      </c>
      <c r="M1289" s="147" t="str">
        <f t="shared" si="15"/>
        <v/>
      </c>
      <c r="N1289" s="147" t="str">
        <f t="shared" si="16"/>
        <v/>
      </c>
      <c r="O1289" s="147" t="str">
        <f t="shared" si="6"/>
        <v/>
      </c>
      <c r="P1289" s="150" t="str">
        <f t="shared" si="7"/>
        <v/>
      </c>
      <c r="Q1289" s="151" t="str">
        <f>IFERROR(VLOOKUP(C1289,Ativos!$A$1:$G2000,5,),)</f>
        <v/>
      </c>
    </row>
    <row r="1290" ht="21.0" customHeight="1">
      <c r="A1290" s="152"/>
      <c r="B1290" s="160"/>
      <c r="C1290" s="153"/>
      <c r="D1290" s="169"/>
      <c r="E1290" s="139"/>
      <c r="F1290" s="141"/>
      <c r="G1290" s="170" t="str">
        <f>IFERROR(__xludf.DUMMYFUNCTION("if($C1290="""","""",iferror(if(row()&lt;&gt;2,INDEX(arrayformula(filter($H$2:$H1289,$C$2:$C1289&lt;&gt;"""",row($C$2:$C1289)=max(if($C$2:$C1289=C1290,row($C$2:$C1289),0)))) ,1),0),0))"),"")</f>
        <v/>
      </c>
      <c r="H1290" s="170" t="str">
        <f t="shared" si="8"/>
        <v/>
      </c>
      <c r="I1290" s="147" t="str">
        <f t="shared" si="1"/>
        <v/>
      </c>
      <c r="J1290" s="147" t="str">
        <f t="shared" si="13"/>
        <v/>
      </c>
      <c r="K1290" s="147" t="str">
        <f>IFERROR(__xludf.DUMMYFUNCTION("if(C1290="""","""",iferror(if(row()&lt;&gt;2,INDEX(arrayformula(filter($L$2:$L1289,$C$2:$C1289&lt;&gt;"""",row($C$2:$C1289)=max(if($C$2:$C1289=C1290,row($C$2:$C1289),0)))) ,1),0),0))"),"")</f>
        <v/>
      </c>
      <c r="L1290" s="147" t="str">
        <f t="shared" si="14"/>
        <v/>
      </c>
      <c r="M1290" s="147" t="str">
        <f t="shared" si="15"/>
        <v/>
      </c>
      <c r="N1290" s="147" t="str">
        <f t="shared" si="16"/>
        <v/>
      </c>
      <c r="O1290" s="147" t="str">
        <f t="shared" si="6"/>
        <v/>
      </c>
      <c r="P1290" s="150" t="str">
        <f t="shared" si="7"/>
        <v/>
      </c>
      <c r="Q1290" s="151" t="str">
        <f>IFERROR(VLOOKUP(C1290,Ativos!$A$1:$G2000,5,),)</f>
        <v/>
      </c>
    </row>
    <row r="1291" ht="21.0" customHeight="1">
      <c r="A1291" s="152"/>
      <c r="B1291" s="160"/>
      <c r="C1291" s="153"/>
      <c r="D1291" s="169"/>
      <c r="E1291" s="139"/>
      <c r="F1291" s="141"/>
      <c r="G1291" s="170" t="str">
        <f>IFERROR(__xludf.DUMMYFUNCTION("if($C1291="""","""",iferror(if(row()&lt;&gt;2,INDEX(arrayformula(filter($H$2:$H1290,$C$2:$C1290&lt;&gt;"""",row($C$2:$C1290)=max(if($C$2:$C1290=C1291,row($C$2:$C1290),0)))) ,1),0),0))"),"")</f>
        <v/>
      </c>
      <c r="H1291" s="170" t="str">
        <f t="shared" si="8"/>
        <v/>
      </c>
      <c r="I1291" s="147" t="str">
        <f t="shared" si="1"/>
        <v/>
      </c>
      <c r="J1291" s="147" t="str">
        <f t="shared" si="13"/>
        <v/>
      </c>
      <c r="K1291" s="147" t="str">
        <f>IFERROR(__xludf.DUMMYFUNCTION("if(C1291="""","""",iferror(if(row()&lt;&gt;2,INDEX(arrayformula(filter($L$2:$L1290,$C$2:$C1290&lt;&gt;"""",row($C$2:$C1290)=max(if($C$2:$C1290=C1291,row($C$2:$C1290),0)))) ,1),0),0))"),"")</f>
        <v/>
      </c>
      <c r="L1291" s="147" t="str">
        <f t="shared" si="14"/>
        <v/>
      </c>
      <c r="M1291" s="147" t="str">
        <f t="shared" si="15"/>
        <v/>
      </c>
      <c r="N1291" s="147" t="str">
        <f t="shared" si="16"/>
        <v/>
      </c>
      <c r="O1291" s="147" t="str">
        <f t="shared" si="6"/>
        <v/>
      </c>
      <c r="P1291" s="150" t="str">
        <f t="shared" si="7"/>
        <v/>
      </c>
      <c r="Q1291" s="151" t="str">
        <f>IFERROR(VLOOKUP(C1291,Ativos!$A$1:$G2000,5,),)</f>
        <v/>
      </c>
    </row>
    <row r="1292" ht="21.0" customHeight="1">
      <c r="A1292" s="152"/>
      <c r="B1292" s="160"/>
      <c r="C1292" s="153"/>
      <c r="D1292" s="169"/>
      <c r="E1292" s="139"/>
      <c r="F1292" s="141"/>
      <c r="G1292" s="170" t="str">
        <f>IFERROR(__xludf.DUMMYFUNCTION("if($C1292="""","""",iferror(if(row()&lt;&gt;2,INDEX(arrayformula(filter($H$2:$H1291,$C$2:$C1291&lt;&gt;"""",row($C$2:$C1291)=max(if($C$2:$C1291=C1292,row($C$2:$C1291),0)))) ,1),0),0))"),"")</f>
        <v/>
      </c>
      <c r="H1292" s="170" t="str">
        <f t="shared" si="8"/>
        <v/>
      </c>
      <c r="I1292" s="147" t="str">
        <f t="shared" si="1"/>
        <v/>
      </c>
      <c r="J1292" s="147" t="str">
        <f t="shared" si="13"/>
        <v/>
      </c>
      <c r="K1292" s="147" t="str">
        <f>IFERROR(__xludf.DUMMYFUNCTION("if(C1292="""","""",iferror(if(row()&lt;&gt;2,INDEX(arrayformula(filter($L$2:$L1291,$C$2:$C1291&lt;&gt;"""",row($C$2:$C1291)=max(if($C$2:$C1291=C1292,row($C$2:$C1291),0)))) ,1),0),0))"),"")</f>
        <v/>
      </c>
      <c r="L1292" s="147" t="str">
        <f t="shared" si="14"/>
        <v/>
      </c>
      <c r="M1292" s="147" t="str">
        <f t="shared" si="15"/>
        <v/>
      </c>
      <c r="N1292" s="147" t="str">
        <f t="shared" si="16"/>
        <v/>
      </c>
      <c r="O1292" s="147" t="str">
        <f t="shared" si="6"/>
        <v/>
      </c>
      <c r="P1292" s="150" t="str">
        <f t="shared" si="7"/>
        <v/>
      </c>
      <c r="Q1292" s="151" t="str">
        <f>IFERROR(VLOOKUP(C1292,Ativos!$A$1:$G2000,5,),)</f>
        <v/>
      </c>
    </row>
    <row r="1293" ht="21.0" customHeight="1">
      <c r="A1293" s="152"/>
      <c r="B1293" s="160"/>
      <c r="C1293" s="153"/>
      <c r="D1293" s="169"/>
      <c r="E1293" s="139"/>
      <c r="F1293" s="141"/>
      <c r="G1293" s="170" t="str">
        <f>IFERROR(__xludf.DUMMYFUNCTION("if($C1293="""","""",iferror(if(row()&lt;&gt;2,INDEX(arrayformula(filter($H$2:$H1292,$C$2:$C1292&lt;&gt;"""",row($C$2:$C1292)=max(if($C$2:$C1292=C1293,row($C$2:$C1292),0)))) ,1),0),0))"),"")</f>
        <v/>
      </c>
      <c r="H1293" s="170" t="str">
        <f t="shared" si="8"/>
        <v/>
      </c>
      <c r="I1293" s="147" t="str">
        <f t="shared" si="1"/>
        <v/>
      </c>
      <c r="J1293" s="147" t="str">
        <f t="shared" si="13"/>
        <v/>
      </c>
      <c r="K1293" s="147" t="str">
        <f>IFERROR(__xludf.DUMMYFUNCTION("if(C1293="""","""",iferror(if(row()&lt;&gt;2,INDEX(arrayformula(filter($L$2:$L1292,$C$2:$C1292&lt;&gt;"""",row($C$2:$C1292)=max(if($C$2:$C1292=C1293,row($C$2:$C1292),0)))) ,1),0),0))"),"")</f>
        <v/>
      </c>
      <c r="L1293" s="147" t="str">
        <f t="shared" si="14"/>
        <v/>
      </c>
      <c r="M1293" s="147" t="str">
        <f t="shared" si="15"/>
        <v/>
      </c>
      <c r="N1293" s="147" t="str">
        <f t="shared" si="16"/>
        <v/>
      </c>
      <c r="O1293" s="147" t="str">
        <f t="shared" si="6"/>
        <v/>
      </c>
      <c r="P1293" s="150" t="str">
        <f t="shared" si="7"/>
        <v/>
      </c>
      <c r="Q1293" s="151" t="str">
        <f>IFERROR(VLOOKUP(C1293,Ativos!$A$1:$G2000,5,),)</f>
        <v/>
      </c>
    </row>
    <row r="1294" ht="21.0" customHeight="1">
      <c r="A1294" s="152"/>
      <c r="B1294" s="160"/>
      <c r="C1294" s="153"/>
      <c r="D1294" s="169"/>
      <c r="E1294" s="139"/>
      <c r="F1294" s="141"/>
      <c r="G1294" s="170" t="str">
        <f>IFERROR(__xludf.DUMMYFUNCTION("if($C1294="""","""",iferror(if(row()&lt;&gt;2,INDEX(arrayformula(filter($H$2:$H1293,$C$2:$C1293&lt;&gt;"""",row($C$2:$C1293)=max(if($C$2:$C1293=C1294,row($C$2:$C1293),0)))) ,1),0),0))"),"")</f>
        <v/>
      </c>
      <c r="H1294" s="170" t="str">
        <f t="shared" si="8"/>
        <v/>
      </c>
      <c r="I1294" s="147" t="str">
        <f t="shared" si="1"/>
        <v/>
      </c>
      <c r="J1294" s="147" t="str">
        <f t="shared" si="13"/>
        <v/>
      </c>
      <c r="K1294" s="147" t="str">
        <f>IFERROR(__xludf.DUMMYFUNCTION("if(C1294="""","""",iferror(if(row()&lt;&gt;2,INDEX(arrayformula(filter($L$2:$L1293,$C$2:$C1293&lt;&gt;"""",row($C$2:$C1293)=max(if($C$2:$C1293=C1294,row($C$2:$C1293),0)))) ,1),0),0))"),"")</f>
        <v/>
      </c>
      <c r="L1294" s="147" t="str">
        <f t="shared" si="14"/>
        <v/>
      </c>
      <c r="M1294" s="147" t="str">
        <f t="shared" si="15"/>
        <v/>
      </c>
      <c r="N1294" s="147" t="str">
        <f t="shared" si="16"/>
        <v/>
      </c>
      <c r="O1294" s="147" t="str">
        <f t="shared" si="6"/>
        <v/>
      </c>
      <c r="P1294" s="150" t="str">
        <f t="shared" si="7"/>
        <v/>
      </c>
      <c r="Q1294" s="151" t="str">
        <f>IFERROR(VLOOKUP(C1294,Ativos!$A$1:$G2000,5,),)</f>
        <v/>
      </c>
    </row>
    <row r="1295" ht="21.0" customHeight="1">
      <c r="A1295" s="152"/>
      <c r="B1295" s="160"/>
      <c r="C1295" s="153"/>
      <c r="D1295" s="169"/>
      <c r="E1295" s="139"/>
      <c r="F1295" s="141"/>
      <c r="G1295" s="170" t="str">
        <f>IFERROR(__xludf.DUMMYFUNCTION("if($C1295="""","""",iferror(if(row()&lt;&gt;2,INDEX(arrayformula(filter($H$2:$H1294,$C$2:$C1294&lt;&gt;"""",row($C$2:$C1294)=max(if($C$2:$C1294=C1295,row($C$2:$C1294),0)))) ,1),0),0))"),"")</f>
        <v/>
      </c>
      <c r="H1295" s="170" t="str">
        <f t="shared" si="8"/>
        <v/>
      </c>
      <c r="I1295" s="147" t="str">
        <f t="shared" si="1"/>
        <v/>
      </c>
      <c r="J1295" s="147" t="str">
        <f t="shared" si="13"/>
        <v/>
      </c>
      <c r="K1295" s="147" t="str">
        <f>IFERROR(__xludf.DUMMYFUNCTION("if(C1295="""","""",iferror(if(row()&lt;&gt;2,INDEX(arrayformula(filter($L$2:$L1294,$C$2:$C1294&lt;&gt;"""",row($C$2:$C1294)=max(if($C$2:$C1294=C1295,row($C$2:$C1294),0)))) ,1),0),0))"),"")</f>
        <v/>
      </c>
      <c r="L1295" s="147" t="str">
        <f t="shared" si="14"/>
        <v/>
      </c>
      <c r="M1295" s="147" t="str">
        <f t="shared" si="15"/>
        <v/>
      </c>
      <c r="N1295" s="147" t="str">
        <f t="shared" si="16"/>
        <v/>
      </c>
      <c r="O1295" s="147" t="str">
        <f t="shared" si="6"/>
        <v/>
      </c>
      <c r="P1295" s="150" t="str">
        <f t="shared" si="7"/>
        <v/>
      </c>
      <c r="Q1295" s="151" t="str">
        <f>IFERROR(VLOOKUP(C1295,Ativos!$A$1:$G2000,5,),)</f>
        <v/>
      </c>
    </row>
    <row r="1296" ht="21.0" customHeight="1">
      <c r="A1296" s="152"/>
      <c r="B1296" s="160"/>
      <c r="C1296" s="153"/>
      <c r="D1296" s="169"/>
      <c r="E1296" s="139"/>
      <c r="F1296" s="141"/>
      <c r="G1296" s="170" t="str">
        <f>IFERROR(__xludf.DUMMYFUNCTION("if($C1296="""","""",iferror(if(row()&lt;&gt;2,INDEX(arrayformula(filter($H$2:$H1295,$C$2:$C1295&lt;&gt;"""",row($C$2:$C1295)=max(if($C$2:$C1295=C1296,row($C$2:$C1295),0)))) ,1),0),0))"),"")</f>
        <v/>
      </c>
      <c r="H1296" s="170" t="str">
        <f t="shared" si="8"/>
        <v/>
      </c>
      <c r="I1296" s="147" t="str">
        <f t="shared" si="1"/>
        <v/>
      </c>
      <c r="J1296" s="147" t="str">
        <f t="shared" si="13"/>
        <v/>
      </c>
      <c r="K1296" s="147" t="str">
        <f>IFERROR(__xludf.DUMMYFUNCTION("if(C1296="""","""",iferror(if(row()&lt;&gt;2,INDEX(arrayformula(filter($L$2:$L1295,$C$2:$C1295&lt;&gt;"""",row($C$2:$C1295)=max(if($C$2:$C1295=C1296,row($C$2:$C1295),0)))) ,1),0),0))"),"")</f>
        <v/>
      </c>
      <c r="L1296" s="147" t="str">
        <f t="shared" si="14"/>
        <v/>
      </c>
      <c r="M1296" s="147" t="str">
        <f t="shared" si="15"/>
        <v/>
      </c>
      <c r="N1296" s="147" t="str">
        <f t="shared" si="16"/>
        <v/>
      </c>
      <c r="O1296" s="147" t="str">
        <f t="shared" si="6"/>
        <v/>
      </c>
      <c r="P1296" s="150" t="str">
        <f t="shared" si="7"/>
        <v/>
      </c>
      <c r="Q1296" s="151" t="str">
        <f>IFERROR(VLOOKUP(C1296,Ativos!$A$1:$G2000,5,),)</f>
        <v/>
      </c>
    </row>
    <row r="1297" ht="21.0" customHeight="1">
      <c r="A1297" s="152"/>
      <c r="B1297" s="160"/>
      <c r="C1297" s="153"/>
      <c r="D1297" s="169"/>
      <c r="E1297" s="139"/>
      <c r="F1297" s="141"/>
      <c r="G1297" s="170" t="str">
        <f>IFERROR(__xludf.DUMMYFUNCTION("if($C1297="""","""",iferror(if(row()&lt;&gt;2,INDEX(arrayformula(filter($H$2:$H1296,$C$2:$C1296&lt;&gt;"""",row($C$2:$C1296)=max(if($C$2:$C1296=C1297,row($C$2:$C1296),0)))) ,1),0),0))"),"")</f>
        <v/>
      </c>
      <c r="H1297" s="170" t="str">
        <f t="shared" si="8"/>
        <v/>
      </c>
      <c r="I1297" s="147" t="str">
        <f t="shared" si="1"/>
        <v/>
      </c>
      <c r="J1297" s="147" t="str">
        <f t="shared" si="13"/>
        <v/>
      </c>
      <c r="K1297" s="147" t="str">
        <f>IFERROR(__xludf.DUMMYFUNCTION("if(C1297="""","""",iferror(if(row()&lt;&gt;2,INDEX(arrayformula(filter($L$2:$L1296,$C$2:$C1296&lt;&gt;"""",row($C$2:$C1296)=max(if($C$2:$C1296=C1297,row($C$2:$C1296),0)))) ,1),0),0))"),"")</f>
        <v/>
      </c>
      <c r="L1297" s="147" t="str">
        <f t="shared" si="14"/>
        <v/>
      </c>
      <c r="M1297" s="147" t="str">
        <f t="shared" si="15"/>
        <v/>
      </c>
      <c r="N1297" s="147" t="str">
        <f t="shared" si="16"/>
        <v/>
      </c>
      <c r="O1297" s="147" t="str">
        <f t="shared" si="6"/>
        <v/>
      </c>
      <c r="P1297" s="150" t="str">
        <f t="shared" si="7"/>
        <v/>
      </c>
      <c r="Q1297" s="151" t="str">
        <f>IFERROR(VLOOKUP(C1297,Ativos!$A$1:$G2000,5,),)</f>
        <v/>
      </c>
    </row>
    <row r="1298" ht="21.0" customHeight="1">
      <c r="A1298" s="152"/>
      <c r="B1298" s="160"/>
      <c r="C1298" s="153"/>
      <c r="D1298" s="169"/>
      <c r="E1298" s="139"/>
      <c r="F1298" s="141"/>
      <c r="G1298" s="170" t="str">
        <f>IFERROR(__xludf.DUMMYFUNCTION("if($C1298="""","""",iferror(if(row()&lt;&gt;2,INDEX(arrayformula(filter($H$2:$H1297,$C$2:$C1297&lt;&gt;"""",row($C$2:$C1297)=max(if($C$2:$C1297=C1298,row($C$2:$C1297),0)))) ,1),0),0))"),"")</f>
        <v/>
      </c>
      <c r="H1298" s="170" t="str">
        <f t="shared" si="8"/>
        <v/>
      </c>
      <c r="I1298" s="147" t="str">
        <f t="shared" si="1"/>
        <v/>
      </c>
      <c r="J1298" s="147" t="str">
        <f t="shared" si="13"/>
        <v/>
      </c>
      <c r="K1298" s="147" t="str">
        <f>IFERROR(__xludf.DUMMYFUNCTION("if(C1298="""","""",iferror(if(row()&lt;&gt;2,INDEX(arrayformula(filter($L$2:$L1297,$C$2:$C1297&lt;&gt;"""",row($C$2:$C1297)=max(if($C$2:$C1297=C1298,row($C$2:$C1297),0)))) ,1),0),0))"),"")</f>
        <v/>
      </c>
      <c r="L1298" s="147" t="str">
        <f t="shared" si="14"/>
        <v/>
      </c>
      <c r="M1298" s="147" t="str">
        <f t="shared" si="15"/>
        <v/>
      </c>
      <c r="N1298" s="147" t="str">
        <f t="shared" si="16"/>
        <v/>
      </c>
      <c r="O1298" s="147" t="str">
        <f t="shared" si="6"/>
        <v/>
      </c>
      <c r="P1298" s="150" t="str">
        <f t="shared" si="7"/>
        <v/>
      </c>
      <c r="Q1298" s="151" t="str">
        <f>IFERROR(VLOOKUP(C1298,Ativos!$A$1:$G2000,5,),)</f>
        <v/>
      </c>
    </row>
    <row r="1299" ht="21.0" customHeight="1">
      <c r="A1299" s="152"/>
      <c r="B1299" s="160"/>
      <c r="C1299" s="153"/>
      <c r="D1299" s="169"/>
      <c r="E1299" s="139"/>
      <c r="F1299" s="141"/>
      <c r="G1299" s="170" t="str">
        <f>IFERROR(__xludf.DUMMYFUNCTION("if($C1299="""","""",iferror(if(row()&lt;&gt;2,INDEX(arrayformula(filter($H$2:$H1298,$C$2:$C1298&lt;&gt;"""",row($C$2:$C1298)=max(if($C$2:$C1298=C1299,row($C$2:$C1298),0)))) ,1),0),0))"),"")</f>
        <v/>
      </c>
      <c r="H1299" s="170" t="str">
        <f t="shared" si="8"/>
        <v/>
      </c>
      <c r="I1299" s="147" t="str">
        <f t="shared" si="1"/>
        <v/>
      </c>
      <c r="J1299" s="147" t="str">
        <f t="shared" si="13"/>
        <v/>
      </c>
      <c r="K1299" s="147" t="str">
        <f>IFERROR(__xludf.DUMMYFUNCTION("if(C1299="""","""",iferror(if(row()&lt;&gt;2,INDEX(arrayformula(filter($L$2:$L1298,$C$2:$C1298&lt;&gt;"""",row($C$2:$C1298)=max(if($C$2:$C1298=C1299,row($C$2:$C1298),0)))) ,1),0),0))"),"")</f>
        <v/>
      </c>
      <c r="L1299" s="147" t="str">
        <f t="shared" si="14"/>
        <v/>
      </c>
      <c r="M1299" s="147" t="str">
        <f t="shared" si="15"/>
        <v/>
      </c>
      <c r="N1299" s="147" t="str">
        <f t="shared" si="16"/>
        <v/>
      </c>
      <c r="O1299" s="147" t="str">
        <f t="shared" si="6"/>
        <v/>
      </c>
      <c r="P1299" s="150" t="str">
        <f t="shared" si="7"/>
        <v/>
      </c>
      <c r="Q1299" s="151" t="str">
        <f>IFERROR(VLOOKUP(C1299,Ativos!$A$1:$G2000,5,),)</f>
        <v/>
      </c>
    </row>
    <row r="1300" ht="21.0" customHeight="1">
      <c r="A1300" s="152"/>
      <c r="B1300" s="160"/>
      <c r="C1300" s="153"/>
      <c r="D1300" s="169"/>
      <c r="E1300" s="139"/>
      <c r="F1300" s="141"/>
      <c r="G1300" s="170" t="str">
        <f>IFERROR(__xludf.DUMMYFUNCTION("if($C1300="""","""",iferror(if(row()&lt;&gt;2,INDEX(arrayformula(filter($H$2:$H1299,$C$2:$C1299&lt;&gt;"""",row($C$2:$C1299)=max(if($C$2:$C1299=C1300,row($C$2:$C1299),0)))) ,1),0),0))"),"")</f>
        <v/>
      </c>
      <c r="H1300" s="170" t="str">
        <f t="shared" si="8"/>
        <v/>
      </c>
      <c r="I1300" s="147" t="str">
        <f t="shared" si="1"/>
        <v/>
      </c>
      <c r="J1300" s="147" t="str">
        <f t="shared" si="13"/>
        <v/>
      </c>
      <c r="K1300" s="147" t="str">
        <f>IFERROR(__xludf.DUMMYFUNCTION("if(C1300="""","""",iferror(if(row()&lt;&gt;2,INDEX(arrayformula(filter($L$2:$L1299,$C$2:$C1299&lt;&gt;"""",row($C$2:$C1299)=max(if($C$2:$C1299=C1300,row($C$2:$C1299),0)))) ,1),0),0))"),"")</f>
        <v/>
      </c>
      <c r="L1300" s="147" t="str">
        <f t="shared" si="14"/>
        <v/>
      </c>
      <c r="M1300" s="147" t="str">
        <f t="shared" si="15"/>
        <v/>
      </c>
      <c r="N1300" s="147" t="str">
        <f t="shared" si="16"/>
        <v/>
      </c>
      <c r="O1300" s="147" t="str">
        <f t="shared" si="6"/>
        <v/>
      </c>
      <c r="P1300" s="150" t="str">
        <f t="shared" si="7"/>
        <v/>
      </c>
      <c r="Q1300" s="151" t="str">
        <f>IFERROR(VLOOKUP(C1300,Ativos!$A$1:$G2000,5,),)</f>
        <v/>
      </c>
    </row>
    <row r="1301" ht="21.0" customHeight="1">
      <c r="A1301" s="152"/>
      <c r="B1301" s="160"/>
      <c r="C1301" s="153"/>
      <c r="D1301" s="169"/>
      <c r="E1301" s="139"/>
      <c r="F1301" s="141"/>
      <c r="G1301" s="170" t="str">
        <f>IFERROR(__xludf.DUMMYFUNCTION("if($C1301="""","""",iferror(if(row()&lt;&gt;2,INDEX(arrayformula(filter($H$2:$H1300,$C$2:$C1300&lt;&gt;"""",row($C$2:$C1300)=max(if($C$2:$C1300=C1301,row($C$2:$C1300),0)))) ,1),0),0))"),"")</f>
        <v/>
      </c>
      <c r="H1301" s="170" t="str">
        <f t="shared" si="8"/>
        <v/>
      </c>
      <c r="I1301" s="147" t="str">
        <f t="shared" si="1"/>
        <v/>
      </c>
      <c r="J1301" s="147" t="str">
        <f t="shared" si="13"/>
        <v/>
      </c>
      <c r="K1301" s="147" t="str">
        <f>IFERROR(__xludf.DUMMYFUNCTION("if(C1301="""","""",iferror(if(row()&lt;&gt;2,INDEX(arrayformula(filter($L$2:$L1300,$C$2:$C1300&lt;&gt;"""",row($C$2:$C1300)=max(if($C$2:$C1300=C1301,row($C$2:$C1300),0)))) ,1),0),0))"),"")</f>
        <v/>
      </c>
      <c r="L1301" s="147" t="str">
        <f t="shared" si="14"/>
        <v/>
      </c>
      <c r="M1301" s="147" t="str">
        <f t="shared" si="15"/>
        <v/>
      </c>
      <c r="N1301" s="147" t="str">
        <f t="shared" si="16"/>
        <v/>
      </c>
      <c r="O1301" s="147" t="str">
        <f t="shared" si="6"/>
        <v/>
      </c>
      <c r="P1301" s="150" t="str">
        <f t="shared" si="7"/>
        <v/>
      </c>
      <c r="Q1301" s="151" t="str">
        <f>IFERROR(VLOOKUP(C1301,Ativos!$A$1:$G2000,5,),)</f>
        <v/>
      </c>
    </row>
    <row r="1302" ht="21.0" customHeight="1">
      <c r="A1302" s="152"/>
      <c r="B1302" s="160"/>
      <c r="C1302" s="153"/>
      <c r="D1302" s="169"/>
      <c r="E1302" s="139"/>
      <c r="F1302" s="141"/>
      <c r="G1302" s="170" t="str">
        <f>IFERROR(__xludf.DUMMYFUNCTION("if($C1302="""","""",iferror(if(row()&lt;&gt;2,INDEX(arrayformula(filter($H$2:$H1301,$C$2:$C1301&lt;&gt;"""",row($C$2:$C1301)=max(if($C$2:$C1301=C1302,row($C$2:$C1301),0)))) ,1),0),0))"),"")</f>
        <v/>
      </c>
      <c r="H1302" s="170" t="str">
        <f t="shared" si="8"/>
        <v/>
      </c>
      <c r="I1302" s="147" t="str">
        <f t="shared" si="1"/>
        <v/>
      </c>
      <c r="J1302" s="147" t="str">
        <f t="shared" si="13"/>
        <v/>
      </c>
      <c r="K1302" s="147" t="str">
        <f>IFERROR(__xludf.DUMMYFUNCTION("if(C1302="""","""",iferror(if(row()&lt;&gt;2,INDEX(arrayformula(filter($L$2:$L1301,$C$2:$C1301&lt;&gt;"""",row($C$2:$C1301)=max(if($C$2:$C1301=C1302,row($C$2:$C1301),0)))) ,1),0),0))"),"")</f>
        <v/>
      </c>
      <c r="L1302" s="147" t="str">
        <f t="shared" si="14"/>
        <v/>
      </c>
      <c r="M1302" s="147" t="str">
        <f t="shared" si="15"/>
        <v/>
      </c>
      <c r="N1302" s="147" t="str">
        <f t="shared" si="16"/>
        <v/>
      </c>
      <c r="O1302" s="147" t="str">
        <f t="shared" si="6"/>
        <v/>
      </c>
      <c r="P1302" s="150" t="str">
        <f t="shared" si="7"/>
        <v/>
      </c>
      <c r="Q1302" s="151" t="str">
        <f>IFERROR(VLOOKUP(C1302,Ativos!$A$1:$G2000,5,),)</f>
        <v/>
      </c>
    </row>
    <row r="1303" ht="21.0" customHeight="1">
      <c r="A1303" s="152"/>
      <c r="B1303" s="160"/>
      <c r="C1303" s="153"/>
      <c r="D1303" s="169"/>
      <c r="E1303" s="139"/>
      <c r="F1303" s="141"/>
      <c r="G1303" s="170" t="str">
        <f>IFERROR(__xludf.DUMMYFUNCTION("if($C1303="""","""",iferror(if(row()&lt;&gt;2,INDEX(arrayformula(filter($H$2:$H1302,$C$2:$C1302&lt;&gt;"""",row($C$2:$C1302)=max(if($C$2:$C1302=C1303,row($C$2:$C1302),0)))) ,1),0),0))"),"")</f>
        <v/>
      </c>
      <c r="H1303" s="170" t="str">
        <f t="shared" si="8"/>
        <v/>
      </c>
      <c r="I1303" s="147" t="str">
        <f t="shared" si="1"/>
        <v/>
      </c>
      <c r="J1303" s="147" t="str">
        <f t="shared" si="13"/>
        <v/>
      </c>
      <c r="K1303" s="147" t="str">
        <f>IFERROR(__xludf.DUMMYFUNCTION("if(C1303="""","""",iferror(if(row()&lt;&gt;2,INDEX(arrayformula(filter($L$2:$L1302,$C$2:$C1302&lt;&gt;"""",row($C$2:$C1302)=max(if($C$2:$C1302=C1303,row($C$2:$C1302),0)))) ,1),0),0))"),"")</f>
        <v/>
      </c>
      <c r="L1303" s="147" t="str">
        <f t="shared" si="14"/>
        <v/>
      </c>
      <c r="M1303" s="147" t="str">
        <f t="shared" si="15"/>
        <v/>
      </c>
      <c r="N1303" s="147" t="str">
        <f t="shared" si="16"/>
        <v/>
      </c>
      <c r="O1303" s="147" t="str">
        <f t="shared" si="6"/>
        <v/>
      </c>
      <c r="P1303" s="150" t="str">
        <f t="shared" si="7"/>
        <v/>
      </c>
      <c r="Q1303" s="151" t="str">
        <f>IFERROR(VLOOKUP(C1303,Ativos!$A$1:$G2000,5,),)</f>
        <v/>
      </c>
    </row>
    <row r="1304" ht="21.0" customHeight="1">
      <c r="A1304" s="152"/>
      <c r="B1304" s="160"/>
      <c r="C1304" s="153"/>
      <c r="D1304" s="169"/>
      <c r="E1304" s="139"/>
      <c r="F1304" s="141"/>
      <c r="G1304" s="170" t="str">
        <f>IFERROR(__xludf.DUMMYFUNCTION("if($C1304="""","""",iferror(if(row()&lt;&gt;2,INDEX(arrayformula(filter($H$2:$H1303,$C$2:$C1303&lt;&gt;"""",row($C$2:$C1303)=max(if($C$2:$C1303=C1304,row($C$2:$C1303),0)))) ,1),0),0))"),"")</f>
        <v/>
      </c>
      <c r="H1304" s="170" t="str">
        <f t="shared" si="8"/>
        <v/>
      </c>
      <c r="I1304" s="147" t="str">
        <f t="shared" si="1"/>
        <v/>
      </c>
      <c r="J1304" s="147" t="str">
        <f t="shared" si="13"/>
        <v/>
      </c>
      <c r="K1304" s="147" t="str">
        <f>IFERROR(__xludf.DUMMYFUNCTION("if(C1304="""","""",iferror(if(row()&lt;&gt;2,INDEX(arrayformula(filter($L$2:$L1303,$C$2:$C1303&lt;&gt;"""",row($C$2:$C1303)=max(if($C$2:$C1303=C1304,row($C$2:$C1303),0)))) ,1),0),0))"),"")</f>
        <v/>
      </c>
      <c r="L1304" s="147" t="str">
        <f t="shared" si="14"/>
        <v/>
      </c>
      <c r="M1304" s="147" t="str">
        <f t="shared" si="15"/>
        <v/>
      </c>
      <c r="N1304" s="147" t="str">
        <f t="shared" si="16"/>
        <v/>
      </c>
      <c r="O1304" s="147" t="str">
        <f t="shared" si="6"/>
        <v/>
      </c>
      <c r="P1304" s="150" t="str">
        <f t="shared" si="7"/>
        <v/>
      </c>
      <c r="Q1304" s="151" t="str">
        <f>IFERROR(VLOOKUP(C1304,Ativos!$A$1:$G2000,5,),)</f>
        <v/>
      </c>
    </row>
    <row r="1305" ht="21.0" customHeight="1">
      <c r="A1305" s="152"/>
      <c r="B1305" s="160"/>
      <c r="C1305" s="153"/>
      <c r="D1305" s="169"/>
      <c r="E1305" s="139"/>
      <c r="F1305" s="141"/>
      <c r="G1305" s="170" t="str">
        <f>IFERROR(__xludf.DUMMYFUNCTION("if($C1305="""","""",iferror(if(row()&lt;&gt;2,INDEX(arrayformula(filter($H$2:$H1304,$C$2:$C1304&lt;&gt;"""",row($C$2:$C1304)=max(if($C$2:$C1304=C1305,row($C$2:$C1304),0)))) ,1),0),0))"),"")</f>
        <v/>
      </c>
      <c r="H1305" s="170" t="str">
        <f t="shared" si="8"/>
        <v/>
      </c>
      <c r="I1305" s="147" t="str">
        <f t="shared" si="1"/>
        <v/>
      </c>
      <c r="J1305" s="147" t="str">
        <f t="shared" si="13"/>
        <v/>
      </c>
      <c r="K1305" s="147" t="str">
        <f>IFERROR(__xludf.DUMMYFUNCTION("if(C1305="""","""",iferror(if(row()&lt;&gt;2,INDEX(arrayformula(filter($L$2:$L1304,$C$2:$C1304&lt;&gt;"""",row($C$2:$C1304)=max(if($C$2:$C1304=C1305,row($C$2:$C1304),0)))) ,1),0),0))"),"")</f>
        <v/>
      </c>
      <c r="L1305" s="147" t="str">
        <f t="shared" si="14"/>
        <v/>
      </c>
      <c r="M1305" s="147" t="str">
        <f t="shared" si="15"/>
        <v/>
      </c>
      <c r="N1305" s="147" t="str">
        <f t="shared" si="16"/>
        <v/>
      </c>
      <c r="O1305" s="147" t="str">
        <f t="shared" si="6"/>
        <v/>
      </c>
      <c r="P1305" s="150" t="str">
        <f t="shared" si="7"/>
        <v/>
      </c>
      <c r="Q1305" s="151" t="str">
        <f>IFERROR(VLOOKUP(C1305,Ativos!$A$1:$G2000,5,),)</f>
        <v/>
      </c>
    </row>
    <row r="1306" ht="21.0" customHeight="1">
      <c r="A1306" s="152"/>
      <c r="B1306" s="160"/>
      <c r="C1306" s="153"/>
      <c r="D1306" s="169"/>
      <c r="E1306" s="139"/>
      <c r="F1306" s="141"/>
      <c r="G1306" s="170" t="str">
        <f>IFERROR(__xludf.DUMMYFUNCTION("if($C1306="""","""",iferror(if(row()&lt;&gt;2,INDEX(arrayformula(filter($H$2:$H1305,$C$2:$C1305&lt;&gt;"""",row($C$2:$C1305)=max(if($C$2:$C1305=C1306,row($C$2:$C1305),0)))) ,1),0),0))"),"")</f>
        <v/>
      </c>
      <c r="H1306" s="170" t="str">
        <f t="shared" si="8"/>
        <v/>
      </c>
      <c r="I1306" s="147" t="str">
        <f t="shared" si="1"/>
        <v/>
      </c>
      <c r="J1306" s="147" t="str">
        <f t="shared" si="13"/>
        <v/>
      </c>
      <c r="K1306" s="147" t="str">
        <f>IFERROR(__xludf.DUMMYFUNCTION("if(C1306="""","""",iferror(if(row()&lt;&gt;2,INDEX(arrayformula(filter($L$2:$L1305,$C$2:$C1305&lt;&gt;"""",row($C$2:$C1305)=max(if($C$2:$C1305=C1306,row($C$2:$C1305),0)))) ,1),0),0))"),"")</f>
        <v/>
      </c>
      <c r="L1306" s="147" t="str">
        <f t="shared" si="14"/>
        <v/>
      </c>
      <c r="M1306" s="147" t="str">
        <f t="shared" si="15"/>
        <v/>
      </c>
      <c r="N1306" s="147" t="str">
        <f t="shared" si="16"/>
        <v/>
      </c>
      <c r="O1306" s="147" t="str">
        <f t="shared" si="6"/>
        <v/>
      </c>
      <c r="P1306" s="150" t="str">
        <f t="shared" si="7"/>
        <v/>
      </c>
      <c r="Q1306" s="151" t="str">
        <f>IFERROR(VLOOKUP(C1306,Ativos!$A$1:$G2000,5,),)</f>
        <v/>
      </c>
    </row>
    <row r="1307" ht="21.0" customHeight="1">
      <c r="A1307" s="152"/>
      <c r="B1307" s="160"/>
      <c r="C1307" s="153"/>
      <c r="D1307" s="169"/>
      <c r="E1307" s="139"/>
      <c r="F1307" s="141"/>
      <c r="G1307" s="170" t="str">
        <f>IFERROR(__xludf.DUMMYFUNCTION("if($C1307="""","""",iferror(if(row()&lt;&gt;2,INDEX(arrayformula(filter($H$2:$H1306,$C$2:$C1306&lt;&gt;"""",row($C$2:$C1306)=max(if($C$2:$C1306=C1307,row($C$2:$C1306),0)))) ,1),0),0))"),"")</f>
        <v/>
      </c>
      <c r="H1307" s="170" t="str">
        <f t="shared" si="8"/>
        <v/>
      </c>
      <c r="I1307" s="147" t="str">
        <f t="shared" si="1"/>
        <v/>
      </c>
      <c r="J1307" s="147" t="str">
        <f t="shared" si="13"/>
        <v/>
      </c>
      <c r="K1307" s="147" t="str">
        <f>IFERROR(__xludf.DUMMYFUNCTION("if(C1307="""","""",iferror(if(row()&lt;&gt;2,INDEX(arrayformula(filter($L$2:$L1306,$C$2:$C1306&lt;&gt;"""",row($C$2:$C1306)=max(if($C$2:$C1306=C1307,row($C$2:$C1306),0)))) ,1),0),0))"),"")</f>
        <v/>
      </c>
      <c r="L1307" s="147" t="str">
        <f t="shared" si="14"/>
        <v/>
      </c>
      <c r="M1307" s="147" t="str">
        <f t="shared" si="15"/>
        <v/>
      </c>
      <c r="N1307" s="147" t="str">
        <f t="shared" si="16"/>
        <v/>
      </c>
      <c r="O1307" s="147" t="str">
        <f t="shared" si="6"/>
        <v/>
      </c>
      <c r="P1307" s="150" t="str">
        <f t="shared" si="7"/>
        <v/>
      </c>
      <c r="Q1307" s="151" t="str">
        <f>IFERROR(VLOOKUP(C1307,Ativos!$A$1:$G2000,5,),)</f>
        <v/>
      </c>
    </row>
    <row r="1308" ht="21.0" customHeight="1">
      <c r="A1308" s="152"/>
      <c r="B1308" s="160"/>
      <c r="C1308" s="153"/>
      <c r="D1308" s="169"/>
      <c r="E1308" s="139"/>
      <c r="F1308" s="141"/>
      <c r="G1308" s="170" t="str">
        <f>IFERROR(__xludf.DUMMYFUNCTION("if($C1308="""","""",iferror(if(row()&lt;&gt;2,INDEX(arrayformula(filter($H$2:$H1307,$C$2:$C1307&lt;&gt;"""",row($C$2:$C1307)=max(if($C$2:$C1307=C1308,row($C$2:$C1307),0)))) ,1),0),0))"),"")</f>
        <v/>
      </c>
      <c r="H1308" s="170" t="str">
        <f t="shared" si="8"/>
        <v/>
      </c>
      <c r="I1308" s="147" t="str">
        <f t="shared" si="1"/>
        <v/>
      </c>
      <c r="J1308" s="147" t="str">
        <f t="shared" si="13"/>
        <v/>
      </c>
      <c r="K1308" s="147" t="str">
        <f>IFERROR(__xludf.DUMMYFUNCTION("if(C1308="""","""",iferror(if(row()&lt;&gt;2,INDEX(arrayformula(filter($L$2:$L1307,$C$2:$C1307&lt;&gt;"""",row($C$2:$C1307)=max(if($C$2:$C1307=C1308,row($C$2:$C1307),0)))) ,1),0),0))"),"")</f>
        <v/>
      </c>
      <c r="L1308" s="147" t="str">
        <f t="shared" si="14"/>
        <v/>
      </c>
      <c r="M1308" s="147" t="str">
        <f t="shared" si="15"/>
        <v/>
      </c>
      <c r="N1308" s="147" t="str">
        <f t="shared" si="16"/>
        <v/>
      </c>
      <c r="O1308" s="147" t="str">
        <f t="shared" si="6"/>
        <v/>
      </c>
      <c r="P1308" s="150" t="str">
        <f t="shared" si="7"/>
        <v/>
      </c>
      <c r="Q1308" s="151" t="str">
        <f>IFERROR(VLOOKUP(C1308,Ativos!$A$1:$G2000,5,),)</f>
        <v/>
      </c>
    </row>
    <row r="1309" ht="21.0" customHeight="1">
      <c r="A1309" s="152"/>
      <c r="B1309" s="160"/>
      <c r="C1309" s="153"/>
      <c r="D1309" s="169"/>
      <c r="E1309" s="139"/>
      <c r="F1309" s="141"/>
      <c r="G1309" s="170" t="str">
        <f>IFERROR(__xludf.DUMMYFUNCTION("if($C1309="""","""",iferror(if(row()&lt;&gt;2,INDEX(arrayformula(filter($H$2:$H1308,$C$2:$C1308&lt;&gt;"""",row($C$2:$C1308)=max(if($C$2:$C1308=C1309,row($C$2:$C1308),0)))) ,1),0),0))"),"")</f>
        <v/>
      </c>
      <c r="H1309" s="170" t="str">
        <f t="shared" si="8"/>
        <v/>
      </c>
      <c r="I1309" s="147" t="str">
        <f t="shared" si="1"/>
        <v/>
      </c>
      <c r="J1309" s="147" t="str">
        <f t="shared" si="13"/>
        <v/>
      </c>
      <c r="K1309" s="147" t="str">
        <f>IFERROR(__xludf.DUMMYFUNCTION("if(C1309="""","""",iferror(if(row()&lt;&gt;2,INDEX(arrayformula(filter($L$2:$L1308,$C$2:$C1308&lt;&gt;"""",row($C$2:$C1308)=max(if($C$2:$C1308=C1309,row($C$2:$C1308),0)))) ,1),0),0))"),"")</f>
        <v/>
      </c>
      <c r="L1309" s="147" t="str">
        <f t="shared" si="14"/>
        <v/>
      </c>
      <c r="M1309" s="147" t="str">
        <f t="shared" si="15"/>
        <v/>
      </c>
      <c r="N1309" s="147" t="str">
        <f t="shared" si="16"/>
        <v/>
      </c>
      <c r="O1309" s="147" t="str">
        <f t="shared" si="6"/>
        <v/>
      </c>
      <c r="P1309" s="150" t="str">
        <f t="shared" si="7"/>
        <v/>
      </c>
      <c r="Q1309" s="151" t="str">
        <f>IFERROR(VLOOKUP(C1309,Ativos!$A$1:$G2000,5,),)</f>
        <v/>
      </c>
    </row>
    <row r="1310" ht="21.0" customHeight="1">
      <c r="A1310" s="152"/>
      <c r="B1310" s="160"/>
      <c r="C1310" s="153"/>
      <c r="D1310" s="169"/>
      <c r="E1310" s="139"/>
      <c r="F1310" s="141"/>
      <c r="G1310" s="170" t="str">
        <f>IFERROR(__xludf.DUMMYFUNCTION("if($C1310="""","""",iferror(if(row()&lt;&gt;2,INDEX(arrayformula(filter($H$2:$H1309,$C$2:$C1309&lt;&gt;"""",row($C$2:$C1309)=max(if($C$2:$C1309=C1310,row($C$2:$C1309),0)))) ,1),0),0))"),"")</f>
        <v/>
      </c>
      <c r="H1310" s="170" t="str">
        <f t="shared" si="8"/>
        <v/>
      </c>
      <c r="I1310" s="147" t="str">
        <f t="shared" si="1"/>
        <v/>
      </c>
      <c r="J1310" s="147" t="str">
        <f t="shared" si="13"/>
        <v/>
      </c>
      <c r="K1310" s="147" t="str">
        <f>IFERROR(__xludf.DUMMYFUNCTION("if(C1310="""","""",iferror(if(row()&lt;&gt;2,INDEX(arrayformula(filter($L$2:$L1309,$C$2:$C1309&lt;&gt;"""",row($C$2:$C1309)=max(if($C$2:$C1309=C1310,row($C$2:$C1309),0)))) ,1),0),0))"),"")</f>
        <v/>
      </c>
      <c r="L1310" s="147" t="str">
        <f t="shared" si="14"/>
        <v/>
      </c>
      <c r="M1310" s="147" t="str">
        <f t="shared" si="15"/>
        <v/>
      </c>
      <c r="N1310" s="147" t="str">
        <f t="shared" si="16"/>
        <v/>
      </c>
      <c r="O1310" s="147" t="str">
        <f t="shared" si="6"/>
        <v/>
      </c>
      <c r="P1310" s="150" t="str">
        <f t="shared" si="7"/>
        <v/>
      </c>
      <c r="Q1310" s="151" t="str">
        <f>IFERROR(VLOOKUP(C1310,Ativos!$A$1:$G2000,5,),)</f>
        <v/>
      </c>
    </row>
    <row r="1311" ht="21.0" customHeight="1">
      <c r="A1311" s="152"/>
      <c r="B1311" s="160"/>
      <c r="C1311" s="153"/>
      <c r="D1311" s="169"/>
      <c r="E1311" s="139"/>
      <c r="F1311" s="141"/>
      <c r="G1311" s="170" t="str">
        <f>IFERROR(__xludf.DUMMYFUNCTION("if($C1311="""","""",iferror(if(row()&lt;&gt;2,INDEX(arrayformula(filter($H$2:$H1310,$C$2:$C1310&lt;&gt;"""",row($C$2:$C1310)=max(if($C$2:$C1310=C1311,row($C$2:$C1310),0)))) ,1),0),0))"),"")</f>
        <v/>
      </c>
      <c r="H1311" s="170" t="str">
        <f t="shared" si="8"/>
        <v/>
      </c>
      <c r="I1311" s="147" t="str">
        <f t="shared" si="1"/>
        <v/>
      </c>
      <c r="J1311" s="147" t="str">
        <f t="shared" si="13"/>
        <v/>
      </c>
      <c r="K1311" s="147" t="str">
        <f>IFERROR(__xludf.DUMMYFUNCTION("if(C1311="""","""",iferror(if(row()&lt;&gt;2,INDEX(arrayformula(filter($L$2:$L1310,$C$2:$C1310&lt;&gt;"""",row($C$2:$C1310)=max(if($C$2:$C1310=C1311,row($C$2:$C1310),0)))) ,1),0),0))"),"")</f>
        <v/>
      </c>
      <c r="L1311" s="147" t="str">
        <f t="shared" si="14"/>
        <v/>
      </c>
      <c r="M1311" s="147" t="str">
        <f t="shared" si="15"/>
        <v/>
      </c>
      <c r="N1311" s="147" t="str">
        <f t="shared" si="16"/>
        <v/>
      </c>
      <c r="O1311" s="147" t="str">
        <f t="shared" si="6"/>
        <v/>
      </c>
      <c r="P1311" s="150" t="str">
        <f t="shared" si="7"/>
        <v/>
      </c>
      <c r="Q1311" s="151" t="str">
        <f>IFERROR(VLOOKUP(C1311,Ativos!$A$1:$G2000,5,),)</f>
        <v/>
      </c>
    </row>
    <row r="1312" ht="21.0" customHeight="1">
      <c r="A1312" s="152"/>
      <c r="B1312" s="160"/>
      <c r="C1312" s="153"/>
      <c r="D1312" s="169"/>
      <c r="E1312" s="139"/>
      <c r="F1312" s="141"/>
      <c r="G1312" s="170" t="str">
        <f>IFERROR(__xludf.DUMMYFUNCTION("if($C1312="""","""",iferror(if(row()&lt;&gt;2,INDEX(arrayformula(filter($H$2:$H1311,$C$2:$C1311&lt;&gt;"""",row($C$2:$C1311)=max(if($C$2:$C1311=C1312,row($C$2:$C1311),0)))) ,1),0),0))"),"")</f>
        <v/>
      </c>
      <c r="H1312" s="170" t="str">
        <f t="shared" si="8"/>
        <v/>
      </c>
      <c r="I1312" s="147" t="str">
        <f t="shared" si="1"/>
        <v/>
      </c>
      <c r="J1312" s="147" t="str">
        <f t="shared" si="13"/>
        <v/>
      </c>
      <c r="K1312" s="147" t="str">
        <f>IFERROR(__xludf.DUMMYFUNCTION("if(C1312="""","""",iferror(if(row()&lt;&gt;2,INDEX(arrayformula(filter($L$2:$L1311,$C$2:$C1311&lt;&gt;"""",row($C$2:$C1311)=max(if($C$2:$C1311=C1312,row($C$2:$C1311),0)))) ,1),0),0))"),"")</f>
        <v/>
      </c>
      <c r="L1312" s="147" t="str">
        <f t="shared" si="14"/>
        <v/>
      </c>
      <c r="M1312" s="147" t="str">
        <f t="shared" si="15"/>
        <v/>
      </c>
      <c r="N1312" s="147" t="str">
        <f t="shared" si="16"/>
        <v/>
      </c>
      <c r="O1312" s="147" t="str">
        <f t="shared" si="6"/>
        <v/>
      </c>
      <c r="P1312" s="150" t="str">
        <f t="shared" si="7"/>
        <v/>
      </c>
      <c r="Q1312" s="151" t="str">
        <f>IFERROR(VLOOKUP(C1312,Ativos!$A$1:$G2000,5,),)</f>
        <v/>
      </c>
    </row>
    <row r="1313" ht="21.0" customHeight="1">
      <c r="A1313" s="152"/>
      <c r="B1313" s="160"/>
      <c r="C1313" s="153"/>
      <c r="D1313" s="169"/>
      <c r="E1313" s="139"/>
      <c r="F1313" s="141"/>
      <c r="G1313" s="170" t="str">
        <f>IFERROR(__xludf.DUMMYFUNCTION("if($C1313="""","""",iferror(if(row()&lt;&gt;2,INDEX(arrayformula(filter($H$2:$H1312,$C$2:$C1312&lt;&gt;"""",row($C$2:$C1312)=max(if($C$2:$C1312=C1313,row($C$2:$C1312),0)))) ,1),0),0))"),"")</f>
        <v/>
      </c>
      <c r="H1313" s="170" t="str">
        <f t="shared" si="8"/>
        <v/>
      </c>
      <c r="I1313" s="147" t="str">
        <f t="shared" si="1"/>
        <v/>
      </c>
      <c r="J1313" s="147" t="str">
        <f t="shared" si="13"/>
        <v/>
      </c>
      <c r="K1313" s="147" t="str">
        <f>IFERROR(__xludf.DUMMYFUNCTION("if(C1313="""","""",iferror(if(row()&lt;&gt;2,INDEX(arrayformula(filter($L$2:$L1312,$C$2:$C1312&lt;&gt;"""",row($C$2:$C1312)=max(if($C$2:$C1312=C1313,row($C$2:$C1312),0)))) ,1),0),0))"),"")</f>
        <v/>
      </c>
      <c r="L1313" s="147" t="str">
        <f t="shared" si="14"/>
        <v/>
      </c>
      <c r="M1313" s="147" t="str">
        <f t="shared" si="15"/>
        <v/>
      </c>
      <c r="N1313" s="147" t="str">
        <f t="shared" si="16"/>
        <v/>
      </c>
      <c r="O1313" s="147" t="str">
        <f t="shared" si="6"/>
        <v/>
      </c>
      <c r="P1313" s="150" t="str">
        <f t="shared" si="7"/>
        <v/>
      </c>
      <c r="Q1313" s="151" t="str">
        <f>IFERROR(VLOOKUP(C1313,Ativos!$A$1:$G2000,5,),)</f>
        <v/>
      </c>
    </row>
    <row r="1314" ht="21.0" customHeight="1">
      <c r="A1314" s="152"/>
      <c r="B1314" s="160"/>
      <c r="C1314" s="153"/>
      <c r="D1314" s="169"/>
      <c r="E1314" s="139"/>
      <c r="F1314" s="141"/>
      <c r="G1314" s="170" t="str">
        <f>IFERROR(__xludf.DUMMYFUNCTION("if($C1314="""","""",iferror(if(row()&lt;&gt;2,INDEX(arrayformula(filter($H$2:$H1313,$C$2:$C1313&lt;&gt;"""",row($C$2:$C1313)=max(if($C$2:$C1313=C1314,row($C$2:$C1313),0)))) ,1),0),0))"),"")</f>
        <v/>
      </c>
      <c r="H1314" s="170" t="str">
        <f t="shared" si="8"/>
        <v/>
      </c>
      <c r="I1314" s="147" t="str">
        <f t="shared" si="1"/>
        <v/>
      </c>
      <c r="J1314" s="147" t="str">
        <f t="shared" si="13"/>
        <v/>
      </c>
      <c r="K1314" s="147" t="str">
        <f>IFERROR(__xludf.DUMMYFUNCTION("if(C1314="""","""",iferror(if(row()&lt;&gt;2,INDEX(arrayformula(filter($L$2:$L1313,$C$2:$C1313&lt;&gt;"""",row($C$2:$C1313)=max(if($C$2:$C1313=C1314,row($C$2:$C1313),0)))) ,1),0),0))"),"")</f>
        <v/>
      </c>
      <c r="L1314" s="147" t="str">
        <f t="shared" si="14"/>
        <v/>
      </c>
      <c r="M1314" s="147" t="str">
        <f t="shared" si="15"/>
        <v/>
      </c>
      <c r="N1314" s="147" t="str">
        <f t="shared" si="16"/>
        <v/>
      </c>
      <c r="O1314" s="147" t="str">
        <f t="shared" si="6"/>
        <v/>
      </c>
      <c r="P1314" s="150" t="str">
        <f t="shared" si="7"/>
        <v/>
      </c>
      <c r="Q1314" s="151" t="str">
        <f>IFERROR(VLOOKUP(C1314,Ativos!$A$1:$G2000,5,),)</f>
        <v/>
      </c>
    </row>
    <row r="1315" ht="21.0" customHeight="1">
      <c r="A1315" s="152"/>
      <c r="B1315" s="160"/>
      <c r="C1315" s="153"/>
      <c r="D1315" s="169"/>
      <c r="E1315" s="139"/>
      <c r="F1315" s="141"/>
      <c r="G1315" s="170" t="str">
        <f>IFERROR(__xludf.DUMMYFUNCTION("if($C1315="""","""",iferror(if(row()&lt;&gt;2,INDEX(arrayformula(filter($H$2:$H1314,$C$2:$C1314&lt;&gt;"""",row($C$2:$C1314)=max(if($C$2:$C1314=C1315,row($C$2:$C1314),0)))) ,1),0),0))"),"")</f>
        <v/>
      </c>
      <c r="H1315" s="170" t="str">
        <f t="shared" si="8"/>
        <v/>
      </c>
      <c r="I1315" s="147" t="str">
        <f t="shared" si="1"/>
        <v/>
      </c>
      <c r="J1315" s="147" t="str">
        <f t="shared" si="13"/>
        <v/>
      </c>
      <c r="K1315" s="147" t="str">
        <f>IFERROR(__xludf.DUMMYFUNCTION("if(C1315="""","""",iferror(if(row()&lt;&gt;2,INDEX(arrayformula(filter($L$2:$L1314,$C$2:$C1314&lt;&gt;"""",row($C$2:$C1314)=max(if($C$2:$C1314=C1315,row($C$2:$C1314),0)))) ,1),0),0))"),"")</f>
        <v/>
      </c>
      <c r="L1315" s="147" t="str">
        <f t="shared" si="14"/>
        <v/>
      </c>
      <c r="M1315" s="147" t="str">
        <f t="shared" si="15"/>
        <v/>
      </c>
      <c r="N1315" s="147" t="str">
        <f t="shared" si="16"/>
        <v/>
      </c>
      <c r="O1315" s="147" t="str">
        <f t="shared" si="6"/>
        <v/>
      </c>
      <c r="P1315" s="150" t="str">
        <f t="shared" si="7"/>
        <v/>
      </c>
      <c r="Q1315" s="151" t="str">
        <f>IFERROR(VLOOKUP(C1315,Ativos!$A$1:$G2000,5,),)</f>
        <v/>
      </c>
    </row>
    <row r="1316" ht="21.0" customHeight="1">
      <c r="A1316" s="152"/>
      <c r="B1316" s="160"/>
      <c r="C1316" s="153"/>
      <c r="D1316" s="169"/>
      <c r="E1316" s="139"/>
      <c r="F1316" s="141"/>
      <c r="G1316" s="170" t="str">
        <f>IFERROR(__xludf.DUMMYFUNCTION("if($C1316="""","""",iferror(if(row()&lt;&gt;2,INDEX(arrayformula(filter($H$2:$H1315,$C$2:$C1315&lt;&gt;"""",row($C$2:$C1315)=max(if($C$2:$C1315=C1316,row($C$2:$C1315),0)))) ,1),0),0))"),"")</f>
        <v/>
      </c>
      <c r="H1316" s="170" t="str">
        <f t="shared" si="8"/>
        <v/>
      </c>
      <c r="I1316" s="147" t="str">
        <f t="shared" si="1"/>
        <v/>
      </c>
      <c r="J1316" s="147" t="str">
        <f t="shared" si="13"/>
        <v/>
      </c>
      <c r="K1316" s="147" t="str">
        <f>IFERROR(__xludf.DUMMYFUNCTION("if(C1316="""","""",iferror(if(row()&lt;&gt;2,INDEX(arrayformula(filter($L$2:$L1315,$C$2:$C1315&lt;&gt;"""",row($C$2:$C1315)=max(if($C$2:$C1315=C1316,row($C$2:$C1315),0)))) ,1),0),0))"),"")</f>
        <v/>
      </c>
      <c r="L1316" s="147" t="str">
        <f t="shared" si="14"/>
        <v/>
      </c>
      <c r="M1316" s="147" t="str">
        <f t="shared" si="15"/>
        <v/>
      </c>
      <c r="N1316" s="147" t="str">
        <f t="shared" si="16"/>
        <v/>
      </c>
      <c r="O1316" s="147" t="str">
        <f t="shared" si="6"/>
        <v/>
      </c>
      <c r="P1316" s="150" t="str">
        <f t="shared" si="7"/>
        <v/>
      </c>
      <c r="Q1316" s="151" t="str">
        <f>IFERROR(VLOOKUP(C1316,Ativos!$A$1:$G2000,5,),)</f>
        <v/>
      </c>
    </row>
    <row r="1317" ht="21.0" customHeight="1">
      <c r="A1317" s="152"/>
      <c r="B1317" s="160"/>
      <c r="C1317" s="153"/>
      <c r="D1317" s="169"/>
      <c r="E1317" s="139"/>
      <c r="F1317" s="141"/>
      <c r="G1317" s="170" t="str">
        <f>IFERROR(__xludf.DUMMYFUNCTION("if($C1317="""","""",iferror(if(row()&lt;&gt;2,INDEX(arrayformula(filter($H$2:$H1316,$C$2:$C1316&lt;&gt;"""",row($C$2:$C1316)=max(if($C$2:$C1316=C1317,row($C$2:$C1316),0)))) ,1),0),0))"),"")</f>
        <v/>
      </c>
      <c r="H1317" s="170" t="str">
        <f t="shared" si="8"/>
        <v/>
      </c>
      <c r="I1317" s="147" t="str">
        <f t="shared" si="1"/>
        <v/>
      </c>
      <c r="J1317" s="147" t="str">
        <f t="shared" si="13"/>
        <v/>
      </c>
      <c r="K1317" s="147" t="str">
        <f>IFERROR(__xludf.DUMMYFUNCTION("if(C1317="""","""",iferror(if(row()&lt;&gt;2,INDEX(arrayformula(filter($L$2:$L1316,$C$2:$C1316&lt;&gt;"""",row($C$2:$C1316)=max(if($C$2:$C1316=C1317,row($C$2:$C1316),0)))) ,1),0),0))"),"")</f>
        <v/>
      </c>
      <c r="L1317" s="147" t="str">
        <f t="shared" si="14"/>
        <v/>
      </c>
      <c r="M1317" s="147" t="str">
        <f t="shared" si="15"/>
        <v/>
      </c>
      <c r="N1317" s="147" t="str">
        <f t="shared" si="16"/>
        <v/>
      </c>
      <c r="O1317" s="147" t="str">
        <f t="shared" si="6"/>
        <v/>
      </c>
      <c r="P1317" s="150" t="str">
        <f t="shared" si="7"/>
        <v/>
      </c>
      <c r="Q1317" s="151" t="str">
        <f>IFERROR(VLOOKUP(C1317,Ativos!$A$1:$G2000,5,),)</f>
        <v/>
      </c>
    </row>
    <row r="1318" ht="21.0" customHeight="1">
      <c r="A1318" s="152"/>
      <c r="B1318" s="160"/>
      <c r="C1318" s="153"/>
      <c r="D1318" s="169"/>
      <c r="E1318" s="139"/>
      <c r="F1318" s="141"/>
      <c r="G1318" s="170" t="str">
        <f>IFERROR(__xludf.DUMMYFUNCTION("if($C1318="""","""",iferror(if(row()&lt;&gt;2,INDEX(arrayformula(filter($H$2:$H1317,$C$2:$C1317&lt;&gt;"""",row($C$2:$C1317)=max(if($C$2:$C1317=C1318,row($C$2:$C1317),0)))) ,1),0),0))"),"")</f>
        <v/>
      </c>
      <c r="H1318" s="170" t="str">
        <f t="shared" si="8"/>
        <v/>
      </c>
      <c r="I1318" s="147" t="str">
        <f t="shared" si="1"/>
        <v/>
      </c>
      <c r="J1318" s="147" t="str">
        <f t="shared" si="13"/>
        <v/>
      </c>
      <c r="K1318" s="147" t="str">
        <f>IFERROR(__xludf.DUMMYFUNCTION("if(C1318="""","""",iferror(if(row()&lt;&gt;2,INDEX(arrayformula(filter($L$2:$L1317,$C$2:$C1317&lt;&gt;"""",row($C$2:$C1317)=max(if($C$2:$C1317=C1318,row($C$2:$C1317),0)))) ,1),0),0))"),"")</f>
        <v/>
      </c>
      <c r="L1318" s="147" t="str">
        <f t="shared" si="14"/>
        <v/>
      </c>
      <c r="M1318" s="147" t="str">
        <f t="shared" si="15"/>
        <v/>
      </c>
      <c r="N1318" s="147" t="str">
        <f t="shared" si="16"/>
        <v/>
      </c>
      <c r="O1318" s="147" t="str">
        <f t="shared" si="6"/>
        <v/>
      </c>
      <c r="P1318" s="150" t="str">
        <f t="shared" si="7"/>
        <v/>
      </c>
      <c r="Q1318" s="151" t="str">
        <f>IFERROR(VLOOKUP(C1318,Ativos!$A$1:$G2000,5,),)</f>
        <v/>
      </c>
    </row>
    <row r="1319" ht="21.0" customHeight="1">
      <c r="A1319" s="152"/>
      <c r="B1319" s="160"/>
      <c r="C1319" s="153"/>
      <c r="D1319" s="169"/>
      <c r="E1319" s="139"/>
      <c r="F1319" s="141"/>
      <c r="G1319" s="170" t="str">
        <f>IFERROR(__xludf.DUMMYFUNCTION("if($C1319="""","""",iferror(if(row()&lt;&gt;2,INDEX(arrayformula(filter($H$2:$H1318,$C$2:$C1318&lt;&gt;"""",row($C$2:$C1318)=max(if($C$2:$C1318=C1319,row($C$2:$C1318),0)))) ,1),0),0))"),"")</f>
        <v/>
      </c>
      <c r="H1319" s="170" t="str">
        <f t="shared" si="8"/>
        <v/>
      </c>
      <c r="I1319" s="147" t="str">
        <f t="shared" si="1"/>
        <v/>
      </c>
      <c r="J1319" s="147" t="str">
        <f t="shared" si="13"/>
        <v/>
      </c>
      <c r="K1319" s="147" t="str">
        <f>IFERROR(__xludf.DUMMYFUNCTION("if(C1319="""","""",iferror(if(row()&lt;&gt;2,INDEX(arrayformula(filter($L$2:$L1318,$C$2:$C1318&lt;&gt;"""",row($C$2:$C1318)=max(if($C$2:$C1318=C1319,row($C$2:$C1318),0)))) ,1),0),0))"),"")</f>
        <v/>
      </c>
      <c r="L1319" s="147" t="str">
        <f t="shared" si="14"/>
        <v/>
      </c>
      <c r="M1319" s="147" t="str">
        <f t="shared" si="15"/>
        <v/>
      </c>
      <c r="N1319" s="147" t="str">
        <f t="shared" si="16"/>
        <v/>
      </c>
      <c r="O1319" s="147" t="str">
        <f t="shared" si="6"/>
        <v/>
      </c>
      <c r="P1319" s="150" t="str">
        <f t="shared" si="7"/>
        <v/>
      </c>
      <c r="Q1319" s="151" t="str">
        <f>IFERROR(VLOOKUP(C1319,Ativos!$A$1:$G2000,5,),)</f>
        <v/>
      </c>
    </row>
    <row r="1320" ht="21.0" customHeight="1">
      <c r="A1320" s="152"/>
      <c r="B1320" s="160"/>
      <c r="C1320" s="153"/>
      <c r="D1320" s="169"/>
      <c r="E1320" s="139"/>
      <c r="F1320" s="141"/>
      <c r="G1320" s="170" t="str">
        <f>IFERROR(__xludf.DUMMYFUNCTION("if($C1320="""","""",iferror(if(row()&lt;&gt;2,INDEX(arrayformula(filter($H$2:$H1319,$C$2:$C1319&lt;&gt;"""",row($C$2:$C1319)=max(if($C$2:$C1319=C1320,row($C$2:$C1319),0)))) ,1),0),0))"),"")</f>
        <v/>
      </c>
      <c r="H1320" s="170" t="str">
        <f t="shared" si="8"/>
        <v/>
      </c>
      <c r="I1320" s="147" t="str">
        <f t="shared" si="1"/>
        <v/>
      </c>
      <c r="J1320" s="147" t="str">
        <f t="shared" si="13"/>
        <v/>
      </c>
      <c r="K1320" s="147" t="str">
        <f>IFERROR(__xludf.DUMMYFUNCTION("if(C1320="""","""",iferror(if(row()&lt;&gt;2,INDEX(arrayformula(filter($L$2:$L1319,$C$2:$C1319&lt;&gt;"""",row($C$2:$C1319)=max(if($C$2:$C1319=C1320,row($C$2:$C1319),0)))) ,1),0),0))"),"")</f>
        <v/>
      </c>
      <c r="L1320" s="147" t="str">
        <f t="shared" si="14"/>
        <v/>
      </c>
      <c r="M1320" s="147" t="str">
        <f t="shared" si="15"/>
        <v/>
      </c>
      <c r="N1320" s="147" t="str">
        <f t="shared" si="16"/>
        <v/>
      </c>
      <c r="O1320" s="147" t="str">
        <f t="shared" si="6"/>
        <v/>
      </c>
      <c r="P1320" s="150" t="str">
        <f t="shared" si="7"/>
        <v/>
      </c>
      <c r="Q1320" s="151" t="str">
        <f>IFERROR(VLOOKUP(C1320,Ativos!$A$1:$G2000,5,),)</f>
        <v/>
      </c>
    </row>
    <row r="1321" ht="21.0" customHeight="1">
      <c r="A1321" s="152"/>
      <c r="B1321" s="160"/>
      <c r="C1321" s="153"/>
      <c r="D1321" s="169"/>
      <c r="E1321" s="139"/>
      <c r="F1321" s="141"/>
      <c r="G1321" s="170" t="str">
        <f>IFERROR(__xludf.DUMMYFUNCTION("if($C1321="""","""",iferror(if(row()&lt;&gt;2,INDEX(arrayformula(filter($H$2:$H1320,$C$2:$C1320&lt;&gt;"""",row($C$2:$C1320)=max(if($C$2:$C1320=C1321,row($C$2:$C1320),0)))) ,1),0),0))"),"")</f>
        <v/>
      </c>
      <c r="H1321" s="170" t="str">
        <f t="shared" si="8"/>
        <v/>
      </c>
      <c r="I1321" s="147" t="str">
        <f t="shared" si="1"/>
        <v/>
      </c>
      <c r="J1321" s="147" t="str">
        <f t="shared" si="13"/>
        <v/>
      </c>
      <c r="K1321" s="147" t="str">
        <f>IFERROR(__xludf.DUMMYFUNCTION("if(C1321="""","""",iferror(if(row()&lt;&gt;2,INDEX(arrayformula(filter($L$2:$L1320,$C$2:$C1320&lt;&gt;"""",row($C$2:$C1320)=max(if($C$2:$C1320=C1321,row($C$2:$C1320),0)))) ,1),0),0))"),"")</f>
        <v/>
      </c>
      <c r="L1321" s="147" t="str">
        <f t="shared" si="14"/>
        <v/>
      </c>
      <c r="M1321" s="147" t="str">
        <f t="shared" si="15"/>
        <v/>
      </c>
      <c r="N1321" s="147" t="str">
        <f t="shared" si="16"/>
        <v/>
      </c>
      <c r="O1321" s="147" t="str">
        <f t="shared" si="6"/>
        <v/>
      </c>
      <c r="P1321" s="150" t="str">
        <f t="shared" si="7"/>
        <v/>
      </c>
      <c r="Q1321" s="151" t="str">
        <f>IFERROR(VLOOKUP(C1321,Ativos!$A$1:$G2000,5,),)</f>
        <v/>
      </c>
    </row>
    <row r="1322" ht="21.0" customHeight="1">
      <c r="A1322" s="152"/>
      <c r="B1322" s="160"/>
      <c r="C1322" s="153"/>
      <c r="D1322" s="169"/>
      <c r="E1322" s="139"/>
      <c r="F1322" s="141"/>
      <c r="G1322" s="170" t="str">
        <f>IFERROR(__xludf.DUMMYFUNCTION("if($C1322="""","""",iferror(if(row()&lt;&gt;2,INDEX(arrayformula(filter($H$2:$H1321,$C$2:$C1321&lt;&gt;"""",row($C$2:$C1321)=max(if($C$2:$C1321=C1322,row($C$2:$C1321),0)))) ,1),0),0))"),"")</f>
        <v/>
      </c>
      <c r="H1322" s="170" t="str">
        <f t="shared" si="8"/>
        <v/>
      </c>
      <c r="I1322" s="147" t="str">
        <f t="shared" si="1"/>
        <v/>
      </c>
      <c r="J1322" s="147" t="str">
        <f t="shared" si="13"/>
        <v/>
      </c>
      <c r="K1322" s="147" t="str">
        <f>IFERROR(__xludf.DUMMYFUNCTION("if(C1322="""","""",iferror(if(row()&lt;&gt;2,INDEX(arrayformula(filter($L$2:$L1321,$C$2:$C1321&lt;&gt;"""",row($C$2:$C1321)=max(if($C$2:$C1321=C1322,row($C$2:$C1321),0)))) ,1),0),0))"),"")</f>
        <v/>
      </c>
      <c r="L1322" s="147" t="str">
        <f t="shared" si="14"/>
        <v/>
      </c>
      <c r="M1322" s="147" t="str">
        <f t="shared" si="15"/>
        <v/>
      </c>
      <c r="N1322" s="147" t="str">
        <f t="shared" si="16"/>
        <v/>
      </c>
      <c r="O1322" s="147" t="str">
        <f t="shared" si="6"/>
        <v/>
      </c>
      <c r="P1322" s="150" t="str">
        <f t="shared" si="7"/>
        <v/>
      </c>
      <c r="Q1322" s="151" t="str">
        <f>IFERROR(VLOOKUP(C1322,Ativos!$A$1:$G2000,5,),)</f>
        <v/>
      </c>
    </row>
    <row r="1323" ht="21.0" customHeight="1">
      <c r="A1323" s="152"/>
      <c r="B1323" s="160"/>
      <c r="C1323" s="153"/>
      <c r="D1323" s="169"/>
      <c r="E1323" s="139"/>
      <c r="F1323" s="141"/>
      <c r="G1323" s="170" t="str">
        <f>IFERROR(__xludf.DUMMYFUNCTION("if($C1323="""","""",iferror(if(row()&lt;&gt;2,INDEX(arrayformula(filter($H$2:$H1322,$C$2:$C1322&lt;&gt;"""",row($C$2:$C1322)=max(if($C$2:$C1322=C1323,row($C$2:$C1322),0)))) ,1),0),0))"),"")</f>
        <v/>
      </c>
      <c r="H1323" s="170" t="str">
        <f t="shared" si="8"/>
        <v/>
      </c>
      <c r="I1323" s="147" t="str">
        <f t="shared" si="1"/>
        <v/>
      </c>
      <c r="J1323" s="147" t="str">
        <f t="shared" si="13"/>
        <v/>
      </c>
      <c r="K1323" s="147" t="str">
        <f>IFERROR(__xludf.DUMMYFUNCTION("if(C1323="""","""",iferror(if(row()&lt;&gt;2,INDEX(arrayformula(filter($L$2:$L1322,$C$2:$C1322&lt;&gt;"""",row($C$2:$C1322)=max(if($C$2:$C1322=C1323,row($C$2:$C1322),0)))) ,1),0),0))"),"")</f>
        <v/>
      </c>
      <c r="L1323" s="147" t="str">
        <f t="shared" si="14"/>
        <v/>
      </c>
      <c r="M1323" s="147" t="str">
        <f t="shared" si="15"/>
        <v/>
      </c>
      <c r="N1323" s="147" t="str">
        <f t="shared" si="16"/>
        <v/>
      </c>
      <c r="O1323" s="147" t="str">
        <f t="shared" si="6"/>
        <v/>
      </c>
      <c r="P1323" s="150" t="str">
        <f t="shared" si="7"/>
        <v/>
      </c>
      <c r="Q1323" s="151" t="str">
        <f>IFERROR(VLOOKUP(C1323,Ativos!$A$1:$G2000,5,),)</f>
        <v/>
      </c>
    </row>
    <row r="1324" ht="21.0" customHeight="1">
      <c r="A1324" s="152"/>
      <c r="B1324" s="160"/>
      <c r="C1324" s="153"/>
      <c r="D1324" s="169"/>
      <c r="E1324" s="139"/>
      <c r="F1324" s="141"/>
      <c r="G1324" s="170" t="str">
        <f>IFERROR(__xludf.DUMMYFUNCTION("if($C1324="""","""",iferror(if(row()&lt;&gt;2,INDEX(arrayformula(filter($H$2:$H1323,$C$2:$C1323&lt;&gt;"""",row($C$2:$C1323)=max(if($C$2:$C1323=C1324,row($C$2:$C1323),0)))) ,1),0),0))"),"")</f>
        <v/>
      </c>
      <c r="H1324" s="170" t="str">
        <f t="shared" si="8"/>
        <v/>
      </c>
      <c r="I1324" s="147" t="str">
        <f t="shared" si="1"/>
        <v/>
      </c>
      <c r="J1324" s="147" t="str">
        <f t="shared" si="13"/>
        <v/>
      </c>
      <c r="K1324" s="147" t="str">
        <f>IFERROR(__xludf.DUMMYFUNCTION("if(C1324="""","""",iferror(if(row()&lt;&gt;2,INDEX(arrayformula(filter($L$2:$L1323,$C$2:$C1323&lt;&gt;"""",row($C$2:$C1323)=max(if($C$2:$C1323=C1324,row($C$2:$C1323),0)))) ,1),0),0))"),"")</f>
        <v/>
      </c>
      <c r="L1324" s="147" t="str">
        <f t="shared" si="14"/>
        <v/>
      </c>
      <c r="M1324" s="147" t="str">
        <f t="shared" si="15"/>
        <v/>
      </c>
      <c r="N1324" s="147" t="str">
        <f t="shared" si="16"/>
        <v/>
      </c>
      <c r="O1324" s="147" t="str">
        <f t="shared" si="6"/>
        <v/>
      </c>
      <c r="P1324" s="150" t="str">
        <f t="shared" si="7"/>
        <v/>
      </c>
      <c r="Q1324" s="151" t="str">
        <f>IFERROR(VLOOKUP(C1324,Ativos!$A$1:$G2000,5,),)</f>
        <v/>
      </c>
    </row>
    <row r="1325" ht="21.0" customHeight="1">
      <c r="A1325" s="152"/>
      <c r="B1325" s="160"/>
      <c r="C1325" s="153"/>
      <c r="D1325" s="169"/>
      <c r="E1325" s="139"/>
      <c r="F1325" s="141"/>
      <c r="G1325" s="170" t="str">
        <f>IFERROR(__xludf.DUMMYFUNCTION("if($C1325="""","""",iferror(if(row()&lt;&gt;2,INDEX(arrayformula(filter($H$2:$H1324,$C$2:$C1324&lt;&gt;"""",row($C$2:$C1324)=max(if($C$2:$C1324=C1325,row($C$2:$C1324),0)))) ,1),0),0))"),"")</f>
        <v/>
      </c>
      <c r="H1325" s="170" t="str">
        <f t="shared" si="8"/>
        <v/>
      </c>
      <c r="I1325" s="147" t="str">
        <f t="shared" si="1"/>
        <v/>
      </c>
      <c r="J1325" s="147" t="str">
        <f t="shared" si="13"/>
        <v/>
      </c>
      <c r="K1325" s="147" t="str">
        <f>IFERROR(__xludf.DUMMYFUNCTION("if(C1325="""","""",iferror(if(row()&lt;&gt;2,INDEX(arrayformula(filter($L$2:$L1324,$C$2:$C1324&lt;&gt;"""",row($C$2:$C1324)=max(if($C$2:$C1324=C1325,row($C$2:$C1324),0)))) ,1),0),0))"),"")</f>
        <v/>
      </c>
      <c r="L1325" s="147" t="str">
        <f t="shared" si="14"/>
        <v/>
      </c>
      <c r="M1325" s="147" t="str">
        <f t="shared" si="15"/>
        <v/>
      </c>
      <c r="N1325" s="147" t="str">
        <f t="shared" si="16"/>
        <v/>
      </c>
      <c r="O1325" s="147" t="str">
        <f t="shared" si="6"/>
        <v/>
      </c>
      <c r="P1325" s="150" t="str">
        <f t="shared" si="7"/>
        <v/>
      </c>
      <c r="Q1325" s="151" t="str">
        <f>IFERROR(VLOOKUP(C1325,Ativos!$A$1:$G2000,5,),)</f>
        <v/>
      </c>
    </row>
    <row r="1326" ht="21.0" customHeight="1">
      <c r="A1326" s="152"/>
      <c r="B1326" s="160"/>
      <c r="C1326" s="153"/>
      <c r="D1326" s="169"/>
      <c r="E1326" s="139"/>
      <c r="F1326" s="141"/>
      <c r="G1326" s="170" t="str">
        <f>IFERROR(__xludf.DUMMYFUNCTION("if($C1326="""","""",iferror(if(row()&lt;&gt;2,INDEX(arrayformula(filter($H$2:$H1325,$C$2:$C1325&lt;&gt;"""",row($C$2:$C1325)=max(if($C$2:$C1325=C1326,row($C$2:$C1325),0)))) ,1),0),0))"),"")</f>
        <v/>
      </c>
      <c r="H1326" s="170" t="str">
        <f t="shared" si="8"/>
        <v/>
      </c>
      <c r="I1326" s="147" t="str">
        <f t="shared" si="1"/>
        <v/>
      </c>
      <c r="J1326" s="147" t="str">
        <f t="shared" si="13"/>
        <v/>
      </c>
      <c r="K1326" s="147" t="str">
        <f>IFERROR(__xludf.DUMMYFUNCTION("if(C1326="""","""",iferror(if(row()&lt;&gt;2,INDEX(arrayformula(filter($L$2:$L1325,$C$2:$C1325&lt;&gt;"""",row($C$2:$C1325)=max(if($C$2:$C1325=C1326,row($C$2:$C1325),0)))) ,1),0),0))"),"")</f>
        <v/>
      </c>
      <c r="L1326" s="147" t="str">
        <f t="shared" si="14"/>
        <v/>
      </c>
      <c r="M1326" s="147" t="str">
        <f t="shared" si="15"/>
        <v/>
      </c>
      <c r="N1326" s="147" t="str">
        <f t="shared" si="16"/>
        <v/>
      </c>
      <c r="O1326" s="147" t="str">
        <f t="shared" si="6"/>
        <v/>
      </c>
      <c r="P1326" s="150" t="str">
        <f t="shared" si="7"/>
        <v/>
      </c>
      <c r="Q1326" s="151" t="str">
        <f>IFERROR(VLOOKUP(C1326,Ativos!$A$1:$G2000,5,),)</f>
        <v/>
      </c>
    </row>
    <row r="1327" ht="21.0" customHeight="1">
      <c r="A1327" s="152"/>
      <c r="B1327" s="160"/>
      <c r="C1327" s="153"/>
      <c r="D1327" s="169"/>
      <c r="E1327" s="139"/>
      <c r="F1327" s="141"/>
      <c r="G1327" s="170" t="str">
        <f>IFERROR(__xludf.DUMMYFUNCTION("if($C1327="""","""",iferror(if(row()&lt;&gt;2,INDEX(arrayformula(filter($H$2:$H1326,$C$2:$C1326&lt;&gt;"""",row($C$2:$C1326)=max(if($C$2:$C1326=C1327,row($C$2:$C1326),0)))) ,1),0),0))"),"")</f>
        <v/>
      </c>
      <c r="H1327" s="170" t="str">
        <f t="shared" si="8"/>
        <v/>
      </c>
      <c r="I1327" s="147" t="str">
        <f t="shared" si="1"/>
        <v/>
      </c>
      <c r="J1327" s="147" t="str">
        <f t="shared" si="13"/>
        <v/>
      </c>
      <c r="K1327" s="147" t="str">
        <f>IFERROR(__xludf.DUMMYFUNCTION("if(C1327="""","""",iferror(if(row()&lt;&gt;2,INDEX(arrayformula(filter($L$2:$L1326,$C$2:$C1326&lt;&gt;"""",row($C$2:$C1326)=max(if($C$2:$C1326=C1327,row($C$2:$C1326),0)))) ,1),0),0))"),"")</f>
        <v/>
      </c>
      <c r="L1327" s="147" t="str">
        <f t="shared" si="14"/>
        <v/>
      </c>
      <c r="M1327" s="147" t="str">
        <f t="shared" si="15"/>
        <v/>
      </c>
      <c r="N1327" s="147" t="str">
        <f t="shared" si="16"/>
        <v/>
      </c>
      <c r="O1327" s="147" t="str">
        <f t="shared" si="6"/>
        <v/>
      </c>
      <c r="P1327" s="150" t="str">
        <f t="shared" si="7"/>
        <v/>
      </c>
      <c r="Q1327" s="151" t="str">
        <f>IFERROR(VLOOKUP(C1327,Ativos!$A$1:$G2000,5,),)</f>
        <v/>
      </c>
    </row>
    <row r="1328" ht="21.0" customHeight="1">
      <c r="A1328" s="152"/>
      <c r="B1328" s="160"/>
      <c r="C1328" s="153"/>
      <c r="D1328" s="169"/>
      <c r="E1328" s="139"/>
      <c r="F1328" s="141"/>
      <c r="G1328" s="170" t="str">
        <f>IFERROR(__xludf.DUMMYFUNCTION("if($C1328="""","""",iferror(if(row()&lt;&gt;2,INDEX(arrayformula(filter($H$2:$H1327,$C$2:$C1327&lt;&gt;"""",row($C$2:$C1327)=max(if($C$2:$C1327=C1328,row($C$2:$C1327),0)))) ,1),0),0))"),"")</f>
        <v/>
      </c>
      <c r="H1328" s="170" t="str">
        <f t="shared" si="8"/>
        <v/>
      </c>
      <c r="I1328" s="147" t="str">
        <f t="shared" si="1"/>
        <v/>
      </c>
      <c r="J1328" s="147" t="str">
        <f t="shared" si="13"/>
        <v/>
      </c>
      <c r="K1328" s="147" t="str">
        <f>IFERROR(__xludf.DUMMYFUNCTION("if(C1328="""","""",iferror(if(row()&lt;&gt;2,INDEX(arrayformula(filter($L$2:$L1327,$C$2:$C1327&lt;&gt;"""",row($C$2:$C1327)=max(if($C$2:$C1327=C1328,row($C$2:$C1327),0)))) ,1),0),0))"),"")</f>
        <v/>
      </c>
      <c r="L1328" s="147" t="str">
        <f t="shared" si="14"/>
        <v/>
      </c>
      <c r="M1328" s="147" t="str">
        <f t="shared" si="15"/>
        <v/>
      </c>
      <c r="N1328" s="147" t="str">
        <f t="shared" si="16"/>
        <v/>
      </c>
      <c r="O1328" s="147" t="str">
        <f t="shared" si="6"/>
        <v/>
      </c>
      <c r="P1328" s="150" t="str">
        <f t="shared" si="7"/>
        <v/>
      </c>
      <c r="Q1328" s="151" t="str">
        <f>IFERROR(VLOOKUP(C1328,Ativos!$A$1:$G2000,5,),)</f>
        <v/>
      </c>
    </row>
    <row r="1329" ht="21.0" customHeight="1">
      <c r="A1329" s="152"/>
      <c r="B1329" s="160"/>
      <c r="C1329" s="153"/>
      <c r="D1329" s="169"/>
      <c r="E1329" s="139"/>
      <c r="F1329" s="141"/>
      <c r="G1329" s="170" t="str">
        <f>IFERROR(__xludf.DUMMYFUNCTION("if($C1329="""","""",iferror(if(row()&lt;&gt;2,INDEX(arrayformula(filter($H$2:$H1328,$C$2:$C1328&lt;&gt;"""",row($C$2:$C1328)=max(if($C$2:$C1328=C1329,row($C$2:$C1328),0)))) ,1),0),0))"),"")</f>
        <v/>
      </c>
      <c r="H1329" s="170" t="str">
        <f t="shared" si="8"/>
        <v/>
      </c>
      <c r="I1329" s="147" t="str">
        <f t="shared" si="1"/>
        <v/>
      </c>
      <c r="J1329" s="147" t="str">
        <f t="shared" si="13"/>
        <v/>
      </c>
      <c r="K1329" s="147" t="str">
        <f>IFERROR(__xludf.DUMMYFUNCTION("if(C1329="""","""",iferror(if(row()&lt;&gt;2,INDEX(arrayformula(filter($L$2:$L1328,$C$2:$C1328&lt;&gt;"""",row($C$2:$C1328)=max(if($C$2:$C1328=C1329,row($C$2:$C1328),0)))) ,1),0),0))"),"")</f>
        <v/>
      </c>
      <c r="L1329" s="147" t="str">
        <f t="shared" si="14"/>
        <v/>
      </c>
      <c r="M1329" s="147" t="str">
        <f t="shared" si="15"/>
        <v/>
      </c>
      <c r="N1329" s="147" t="str">
        <f t="shared" si="16"/>
        <v/>
      </c>
      <c r="O1329" s="147" t="str">
        <f t="shared" si="6"/>
        <v/>
      </c>
      <c r="P1329" s="150" t="str">
        <f t="shared" si="7"/>
        <v/>
      </c>
      <c r="Q1329" s="151" t="str">
        <f>IFERROR(VLOOKUP(C1329,Ativos!$A$1:$G2000,5,),)</f>
        <v/>
      </c>
    </row>
    <row r="1330" ht="21.0" customHeight="1">
      <c r="A1330" s="152"/>
      <c r="B1330" s="160"/>
      <c r="C1330" s="153"/>
      <c r="D1330" s="169"/>
      <c r="E1330" s="139"/>
      <c r="F1330" s="141"/>
      <c r="G1330" s="170" t="str">
        <f>IFERROR(__xludf.DUMMYFUNCTION("if($C1330="""","""",iferror(if(row()&lt;&gt;2,INDEX(arrayformula(filter($H$2:$H1329,$C$2:$C1329&lt;&gt;"""",row($C$2:$C1329)=max(if($C$2:$C1329=C1330,row($C$2:$C1329),0)))) ,1),0),0))"),"")</f>
        <v/>
      </c>
      <c r="H1330" s="170" t="str">
        <f t="shared" si="8"/>
        <v/>
      </c>
      <c r="I1330" s="147" t="str">
        <f t="shared" si="1"/>
        <v/>
      </c>
      <c r="J1330" s="147" t="str">
        <f t="shared" si="13"/>
        <v/>
      </c>
      <c r="K1330" s="147" t="str">
        <f>IFERROR(__xludf.DUMMYFUNCTION("if(C1330="""","""",iferror(if(row()&lt;&gt;2,INDEX(arrayformula(filter($L$2:$L1329,$C$2:$C1329&lt;&gt;"""",row($C$2:$C1329)=max(if($C$2:$C1329=C1330,row($C$2:$C1329),0)))) ,1),0),0))"),"")</f>
        <v/>
      </c>
      <c r="L1330" s="147" t="str">
        <f t="shared" si="14"/>
        <v/>
      </c>
      <c r="M1330" s="147" t="str">
        <f t="shared" si="15"/>
        <v/>
      </c>
      <c r="N1330" s="147" t="str">
        <f t="shared" si="16"/>
        <v/>
      </c>
      <c r="O1330" s="147" t="str">
        <f t="shared" si="6"/>
        <v/>
      </c>
      <c r="P1330" s="150" t="str">
        <f t="shared" si="7"/>
        <v/>
      </c>
      <c r="Q1330" s="151" t="str">
        <f>IFERROR(VLOOKUP(C1330,Ativos!$A$1:$G2000,5,),)</f>
        <v/>
      </c>
    </row>
    <row r="1331" ht="21.0" customHeight="1">
      <c r="A1331" s="152"/>
      <c r="B1331" s="160"/>
      <c r="C1331" s="153"/>
      <c r="D1331" s="169"/>
      <c r="E1331" s="139"/>
      <c r="F1331" s="141"/>
      <c r="G1331" s="170" t="str">
        <f>IFERROR(__xludf.DUMMYFUNCTION("if($C1331="""","""",iferror(if(row()&lt;&gt;2,INDEX(arrayformula(filter($H$2:$H1330,$C$2:$C1330&lt;&gt;"""",row($C$2:$C1330)=max(if($C$2:$C1330=C1331,row($C$2:$C1330),0)))) ,1),0),0))"),"")</f>
        <v/>
      </c>
      <c r="H1331" s="170" t="str">
        <f t="shared" si="8"/>
        <v/>
      </c>
      <c r="I1331" s="147" t="str">
        <f t="shared" si="1"/>
        <v/>
      </c>
      <c r="J1331" s="147" t="str">
        <f t="shared" si="13"/>
        <v/>
      </c>
      <c r="K1331" s="147" t="str">
        <f>IFERROR(__xludf.DUMMYFUNCTION("if(C1331="""","""",iferror(if(row()&lt;&gt;2,INDEX(arrayformula(filter($L$2:$L1330,$C$2:$C1330&lt;&gt;"""",row($C$2:$C1330)=max(if($C$2:$C1330=C1331,row($C$2:$C1330),0)))) ,1),0),0))"),"")</f>
        <v/>
      </c>
      <c r="L1331" s="147" t="str">
        <f t="shared" si="14"/>
        <v/>
      </c>
      <c r="M1331" s="147" t="str">
        <f t="shared" si="15"/>
        <v/>
      </c>
      <c r="N1331" s="147" t="str">
        <f t="shared" si="16"/>
        <v/>
      </c>
      <c r="O1331" s="147" t="str">
        <f t="shared" si="6"/>
        <v/>
      </c>
      <c r="P1331" s="150" t="str">
        <f t="shared" si="7"/>
        <v/>
      </c>
      <c r="Q1331" s="151" t="str">
        <f>IFERROR(VLOOKUP(C1331,Ativos!$A$1:$G2000,5,),)</f>
        <v/>
      </c>
    </row>
    <row r="1332" ht="21.0" customHeight="1">
      <c r="A1332" s="152"/>
      <c r="B1332" s="160"/>
      <c r="C1332" s="153"/>
      <c r="D1332" s="169"/>
      <c r="E1332" s="139"/>
      <c r="F1332" s="141"/>
      <c r="G1332" s="170" t="str">
        <f>IFERROR(__xludf.DUMMYFUNCTION("if($C1332="""","""",iferror(if(row()&lt;&gt;2,INDEX(arrayformula(filter($H$2:$H1331,$C$2:$C1331&lt;&gt;"""",row($C$2:$C1331)=max(if($C$2:$C1331=C1332,row($C$2:$C1331),0)))) ,1),0),0))"),"")</f>
        <v/>
      </c>
      <c r="H1332" s="170" t="str">
        <f t="shared" si="8"/>
        <v/>
      </c>
      <c r="I1332" s="147" t="str">
        <f t="shared" si="1"/>
        <v/>
      </c>
      <c r="J1332" s="147" t="str">
        <f t="shared" si="13"/>
        <v/>
      </c>
      <c r="K1332" s="147" t="str">
        <f>IFERROR(__xludf.DUMMYFUNCTION("if(C1332="""","""",iferror(if(row()&lt;&gt;2,INDEX(arrayformula(filter($L$2:$L1331,$C$2:$C1331&lt;&gt;"""",row($C$2:$C1331)=max(if($C$2:$C1331=C1332,row($C$2:$C1331),0)))) ,1),0),0))"),"")</f>
        <v/>
      </c>
      <c r="L1332" s="147" t="str">
        <f t="shared" si="14"/>
        <v/>
      </c>
      <c r="M1332" s="147" t="str">
        <f t="shared" si="15"/>
        <v/>
      </c>
      <c r="N1332" s="147" t="str">
        <f t="shared" si="16"/>
        <v/>
      </c>
      <c r="O1332" s="147" t="str">
        <f t="shared" si="6"/>
        <v/>
      </c>
      <c r="P1332" s="150" t="str">
        <f t="shared" si="7"/>
        <v/>
      </c>
      <c r="Q1332" s="151" t="str">
        <f>IFERROR(VLOOKUP(C1332,Ativos!$A$1:$G2000,5,),)</f>
        <v/>
      </c>
    </row>
    <row r="1333" ht="21.0" customHeight="1">
      <c r="A1333" s="152"/>
      <c r="B1333" s="160"/>
      <c r="C1333" s="153"/>
      <c r="D1333" s="169"/>
      <c r="E1333" s="139"/>
      <c r="F1333" s="141"/>
      <c r="G1333" s="170" t="str">
        <f>IFERROR(__xludf.DUMMYFUNCTION("if($C1333="""","""",iferror(if(row()&lt;&gt;2,INDEX(arrayformula(filter($H$2:$H1332,$C$2:$C1332&lt;&gt;"""",row($C$2:$C1332)=max(if($C$2:$C1332=C1333,row($C$2:$C1332),0)))) ,1),0),0))"),"")</f>
        <v/>
      </c>
      <c r="H1333" s="170" t="str">
        <f t="shared" si="8"/>
        <v/>
      </c>
      <c r="I1333" s="147" t="str">
        <f t="shared" si="1"/>
        <v/>
      </c>
      <c r="J1333" s="147" t="str">
        <f t="shared" si="13"/>
        <v/>
      </c>
      <c r="K1333" s="147" t="str">
        <f>IFERROR(__xludf.DUMMYFUNCTION("if(C1333="""","""",iferror(if(row()&lt;&gt;2,INDEX(arrayformula(filter($L$2:$L1332,$C$2:$C1332&lt;&gt;"""",row($C$2:$C1332)=max(if($C$2:$C1332=C1333,row($C$2:$C1332),0)))) ,1),0),0))"),"")</f>
        <v/>
      </c>
      <c r="L1333" s="147" t="str">
        <f t="shared" si="14"/>
        <v/>
      </c>
      <c r="M1333" s="147" t="str">
        <f t="shared" si="15"/>
        <v/>
      </c>
      <c r="N1333" s="147" t="str">
        <f t="shared" si="16"/>
        <v/>
      </c>
      <c r="O1333" s="147" t="str">
        <f t="shared" si="6"/>
        <v/>
      </c>
      <c r="P1333" s="150" t="str">
        <f t="shared" si="7"/>
        <v/>
      </c>
      <c r="Q1333" s="151" t="str">
        <f>IFERROR(VLOOKUP(C1333,Ativos!$A$1:$G2000,5,),)</f>
        <v/>
      </c>
    </row>
    <row r="1334" ht="21.0" customHeight="1">
      <c r="A1334" s="152"/>
      <c r="B1334" s="160"/>
      <c r="C1334" s="153"/>
      <c r="D1334" s="169"/>
      <c r="E1334" s="139"/>
      <c r="F1334" s="141"/>
      <c r="G1334" s="170" t="str">
        <f>IFERROR(__xludf.DUMMYFUNCTION("if($C1334="""","""",iferror(if(row()&lt;&gt;2,INDEX(arrayformula(filter($H$2:$H1333,$C$2:$C1333&lt;&gt;"""",row($C$2:$C1333)=max(if($C$2:$C1333=C1334,row($C$2:$C1333),0)))) ,1),0),0))"),"")</f>
        <v/>
      </c>
      <c r="H1334" s="170" t="str">
        <f t="shared" si="8"/>
        <v/>
      </c>
      <c r="I1334" s="147" t="str">
        <f t="shared" si="1"/>
        <v/>
      </c>
      <c r="J1334" s="147" t="str">
        <f t="shared" si="13"/>
        <v/>
      </c>
      <c r="K1334" s="147" t="str">
        <f>IFERROR(__xludf.DUMMYFUNCTION("if(C1334="""","""",iferror(if(row()&lt;&gt;2,INDEX(arrayformula(filter($L$2:$L1333,$C$2:$C1333&lt;&gt;"""",row($C$2:$C1333)=max(if($C$2:$C1333=C1334,row($C$2:$C1333),0)))) ,1),0),0))"),"")</f>
        <v/>
      </c>
      <c r="L1334" s="147" t="str">
        <f t="shared" si="14"/>
        <v/>
      </c>
      <c r="M1334" s="147" t="str">
        <f t="shared" si="15"/>
        <v/>
      </c>
      <c r="N1334" s="147" t="str">
        <f t="shared" si="16"/>
        <v/>
      </c>
      <c r="O1334" s="147" t="str">
        <f t="shared" si="6"/>
        <v/>
      </c>
      <c r="P1334" s="150" t="str">
        <f t="shared" si="7"/>
        <v/>
      </c>
      <c r="Q1334" s="151" t="str">
        <f>IFERROR(VLOOKUP(C1334,Ativos!$A$1:$G2000,5,),)</f>
        <v/>
      </c>
    </row>
    <row r="1335" ht="21.0" customHeight="1">
      <c r="A1335" s="152"/>
      <c r="B1335" s="160"/>
      <c r="C1335" s="153"/>
      <c r="D1335" s="169"/>
      <c r="E1335" s="139"/>
      <c r="F1335" s="141"/>
      <c r="G1335" s="170" t="str">
        <f>IFERROR(__xludf.DUMMYFUNCTION("if($C1335="""","""",iferror(if(row()&lt;&gt;2,INDEX(arrayformula(filter($H$2:$H1334,$C$2:$C1334&lt;&gt;"""",row($C$2:$C1334)=max(if($C$2:$C1334=C1335,row($C$2:$C1334),0)))) ,1),0),0))"),"")</f>
        <v/>
      </c>
      <c r="H1335" s="170" t="str">
        <f t="shared" si="8"/>
        <v/>
      </c>
      <c r="I1335" s="147" t="str">
        <f t="shared" si="1"/>
        <v/>
      </c>
      <c r="J1335" s="147" t="str">
        <f t="shared" si="13"/>
        <v/>
      </c>
      <c r="K1335" s="147" t="str">
        <f>IFERROR(__xludf.DUMMYFUNCTION("if(C1335="""","""",iferror(if(row()&lt;&gt;2,INDEX(arrayformula(filter($L$2:$L1334,$C$2:$C1334&lt;&gt;"""",row($C$2:$C1334)=max(if($C$2:$C1334=C1335,row($C$2:$C1334),0)))) ,1),0),0))"),"")</f>
        <v/>
      </c>
      <c r="L1335" s="147" t="str">
        <f t="shared" si="14"/>
        <v/>
      </c>
      <c r="M1335" s="147" t="str">
        <f t="shared" si="15"/>
        <v/>
      </c>
      <c r="N1335" s="147" t="str">
        <f t="shared" si="16"/>
        <v/>
      </c>
      <c r="O1335" s="147" t="str">
        <f t="shared" si="6"/>
        <v/>
      </c>
      <c r="P1335" s="150" t="str">
        <f t="shared" si="7"/>
        <v/>
      </c>
      <c r="Q1335" s="151" t="str">
        <f>IFERROR(VLOOKUP(C1335,Ativos!$A$1:$G2000,5,),)</f>
        <v/>
      </c>
    </row>
    <row r="1336" ht="21.0" customHeight="1">
      <c r="A1336" s="152"/>
      <c r="B1336" s="160"/>
      <c r="C1336" s="153"/>
      <c r="D1336" s="169"/>
      <c r="E1336" s="139"/>
      <c r="F1336" s="141"/>
      <c r="G1336" s="170" t="str">
        <f>IFERROR(__xludf.DUMMYFUNCTION("if($C1336="""","""",iferror(if(row()&lt;&gt;2,INDEX(arrayformula(filter($H$2:$H1335,$C$2:$C1335&lt;&gt;"""",row($C$2:$C1335)=max(if($C$2:$C1335=C1336,row($C$2:$C1335),0)))) ,1),0),0))"),"")</f>
        <v/>
      </c>
      <c r="H1336" s="170" t="str">
        <f t="shared" si="8"/>
        <v/>
      </c>
      <c r="I1336" s="147" t="str">
        <f t="shared" si="1"/>
        <v/>
      </c>
      <c r="J1336" s="147" t="str">
        <f t="shared" si="13"/>
        <v/>
      </c>
      <c r="K1336" s="147" t="str">
        <f>IFERROR(__xludf.DUMMYFUNCTION("if(C1336="""","""",iferror(if(row()&lt;&gt;2,INDEX(arrayformula(filter($L$2:$L1335,$C$2:$C1335&lt;&gt;"""",row($C$2:$C1335)=max(if($C$2:$C1335=C1336,row($C$2:$C1335),0)))) ,1),0),0))"),"")</f>
        <v/>
      </c>
      <c r="L1336" s="147" t="str">
        <f t="shared" si="14"/>
        <v/>
      </c>
      <c r="M1336" s="147" t="str">
        <f t="shared" si="15"/>
        <v/>
      </c>
      <c r="N1336" s="147" t="str">
        <f t="shared" si="16"/>
        <v/>
      </c>
      <c r="O1336" s="147" t="str">
        <f t="shared" si="6"/>
        <v/>
      </c>
      <c r="P1336" s="150" t="str">
        <f t="shared" si="7"/>
        <v/>
      </c>
      <c r="Q1336" s="151" t="str">
        <f>IFERROR(VLOOKUP(C1336,Ativos!$A$1:$G2000,5,),)</f>
        <v/>
      </c>
    </row>
    <row r="1337" ht="21.0" customHeight="1">
      <c r="A1337" s="152"/>
      <c r="B1337" s="160"/>
      <c r="C1337" s="153"/>
      <c r="D1337" s="169"/>
      <c r="E1337" s="139"/>
      <c r="F1337" s="141"/>
      <c r="G1337" s="170" t="str">
        <f>IFERROR(__xludf.DUMMYFUNCTION("if($C1337="""","""",iferror(if(row()&lt;&gt;2,INDEX(arrayformula(filter($H$2:$H1336,$C$2:$C1336&lt;&gt;"""",row($C$2:$C1336)=max(if($C$2:$C1336=C1337,row($C$2:$C1336),0)))) ,1),0),0))"),"")</f>
        <v/>
      </c>
      <c r="H1337" s="170" t="str">
        <f t="shared" si="8"/>
        <v/>
      </c>
      <c r="I1337" s="147" t="str">
        <f t="shared" si="1"/>
        <v/>
      </c>
      <c r="J1337" s="147" t="str">
        <f t="shared" si="13"/>
        <v/>
      </c>
      <c r="K1337" s="147" t="str">
        <f>IFERROR(__xludf.DUMMYFUNCTION("if(C1337="""","""",iferror(if(row()&lt;&gt;2,INDEX(arrayformula(filter($L$2:$L1336,$C$2:$C1336&lt;&gt;"""",row($C$2:$C1336)=max(if($C$2:$C1336=C1337,row($C$2:$C1336),0)))) ,1),0),0))"),"")</f>
        <v/>
      </c>
      <c r="L1337" s="147" t="str">
        <f t="shared" si="14"/>
        <v/>
      </c>
      <c r="M1337" s="147" t="str">
        <f t="shared" si="15"/>
        <v/>
      </c>
      <c r="N1337" s="147" t="str">
        <f t="shared" si="16"/>
        <v/>
      </c>
      <c r="O1337" s="147" t="str">
        <f t="shared" si="6"/>
        <v/>
      </c>
      <c r="P1337" s="150" t="str">
        <f t="shared" si="7"/>
        <v/>
      </c>
      <c r="Q1337" s="151" t="str">
        <f>IFERROR(VLOOKUP(C1337,Ativos!$A$1:$G2000,5,),)</f>
        <v/>
      </c>
    </row>
    <row r="1338" ht="21.0" customHeight="1">
      <c r="A1338" s="152"/>
      <c r="B1338" s="160"/>
      <c r="C1338" s="153"/>
      <c r="D1338" s="169"/>
      <c r="E1338" s="139"/>
      <c r="F1338" s="141"/>
      <c r="G1338" s="170" t="str">
        <f>IFERROR(__xludf.DUMMYFUNCTION("if($C1338="""","""",iferror(if(row()&lt;&gt;2,INDEX(arrayformula(filter($H$2:$H1337,$C$2:$C1337&lt;&gt;"""",row($C$2:$C1337)=max(if($C$2:$C1337=C1338,row($C$2:$C1337),0)))) ,1),0),0))"),"")</f>
        <v/>
      </c>
      <c r="H1338" s="170" t="str">
        <f t="shared" si="8"/>
        <v/>
      </c>
      <c r="I1338" s="147" t="str">
        <f t="shared" si="1"/>
        <v/>
      </c>
      <c r="J1338" s="147" t="str">
        <f t="shared" si="13"/>
        <v/>
      </c>
      <c r="K1338" s="147" t="str">
        <f>IFERROR(__xludf.DUMMYFUNCTION("if(C1338="""","""",iferror(if(row()&lt;&gt;2,INDEX(arrayformula(filter($L$2:$L1337,$C$2:$C1337&lt;&gt;"""",row($C$2:$C1337)=max(if($C$2:$C1337=C1338,row($C$2:$C1337),0)))) ,1),0),0))"),"")</f>
        <v/>
      </c>
      <c r="L1338" s="147" t="str">
        <f t="shared" si="14"/>
        <v/>
      </c>
      <c r="M1338" s="147" t="str">
        <f t="shared" si="15"/>
        <v/>
      </c>
      <c r="N1338" s="147" t="str">
        <f t="shared" si="16"/>
        <v/>
      </c>
      <c r="O1338" s="147" t="str">
        <f t="shared" si="6"/>
        <v/>
      </c>
      <c r="P1338" s="150" t="str">
        <f t="shared" si="7"/>
        <v/>
      </c>
      <c r="Q1338" s="151" t="str">
        <f>IFERROR(VLOOKUP(C1338,Ativos!$A$1:$G2000,5,),)</f>
        <v/>
      </c>
    </row>
    <row r="1339" ht="21.0" customHeight="1">
      <c r="A1339" s="152"/>
      <c r="B1339" s="160"/>
      <c r="C1339" s="153"/>
      <c r="D1339" s="169"/>
      <c r="E1339" s="139"/>
      <c r="F1339" s="141"/>
      <c r="G1339" s="170" t="str">
        <f>IFERROR(__xludf.DUMMYFUNCTION("if($C1339="""","""",iferror(if(row()&lt;&gt;2,INDEX(arrayformula(filter($H$2:$H1338,$C$2:$C1338&lt;&gt;"""",row($C$2:$C1338)=max(if($C$2:$C1338=C1339,row($C$2:$C1338),0)))) ,1),0),0))"),"")</f>
        <v/>
      </c>
      <c r="H1339" s="170" t="str">
        <f t="shared" si="8"/>
        <v/>
      </c>
      <c r="I1339" s="147" t="str">
        <f t="shared" si="1"/>
        <v/>
      </c>
      <c r="J1339" s="147" t="str">
        <f t="shared" si="13"/>
        <v/>
      </c>
      <c r="K1339" s="147" t="str">
        <f>IFERROR(__xludf.DUMMYFUNCTION("if(C1339="""","""",iferror(if(row()&lt;&gt;2,INDEX(arrayformula(filter($L$2:$L1338,$C$2:$C1338&lt;&gt;"""",row($C$2:$C1338)=max(if($C$2:$C1338=C1339,row($C$2:$C1338),0)))) ,1),0),0))"),"")</f>
        <v/>
      </c>
      <c r="L1339" s="147" t="str">
        <f t="shared" si="14"/>
        <v/>
      </c>
      <c r="M1339" s="147" t="str">
        <f t="shared" si="15"/>
        <v/>
      </c>
      <c r="N1339" s="147" t="str">
        <f t="shared" si="16"/>
        <v/>
      </c>
      <c r="O1339" s="147" t="str">
        <f t="shared" si="6"/>
        <v/>
      </c>
      <c r="P1339" s="150" t="str">
        <f t="shared" si="7"/>
        <v/>
      </c>
      <c r="Q1339" s="151" t="str">
        <f>IFERROR(VLOOKUP(C1339,Ativos!$A$1:$G2000,5,),)</f>
        <v/>
      </c>
    </row>
    <row r="1340" ht="21.0" customHeight="1">
      <c r="A1340" s="152"/>
      <c r="B1340" s="160"/>
      <c r="C1340" s="153"/>
      <c r="D1340" s="169"/>
      <c r="E1340" s="139"/>
      <c r="F1340" s="141"/>
      <c r="G1340" s="170" t="str">
        <f>IFERROR(__xludf.DUMMYFUNCTION("if($C1340="""","""",iferror(if(row()&lt;&gt;2,INDEX(arrayformula(filter($H$2:$H1339,$C$2:$C1339&lt;&gt;"""",row($C$2:$C1339)=max(if($C$2:$C1339=C1340,row($C$2:$C1339),0)))) ,1),0),0))"),"")</f>
        <v/>
      </c>
      <c r="H1340" s="170" t="str">
        <f t="shared" si="8"/>
        <v/>
      </c>
      <c r="I1340" s="147" t="str">
        <f t="shared" si="1"/>
        <v/>
      </c>
      <c r="J1340" s="147" t="str">
        <f t="shared" si="13"/>
        <v/>
      </c>
      <c r="K1340" s="147" t="str">
        <f>IFERROR(__xludf.DUMMYFUNCTION("if(C1340="""","""",iferror(if(row()&lt;&gt;2,INDEX(arrayformula(filter($L$2:$L1339,$C$2:$C1339&lt;&gt;"""",row($C$2:$C1339)=max(if($C$2:$C1339=C1340,row($C$2:$C1339),0)))) ,1),0),0))"),"")</f>
        <v/>
      </c>
      <c r="L1340" s="147" t="str">
        <f t="shared" si="14"/>
        <v/>
      </c>
      <c r="M1340" s="147" t="str">
        <f t="shared" si="15"/>
        <v/>
      </c>
      <c r="N1340" s="147" t="str">
        <f t="shared" si="16"/>
        <v/>
      </c>
      <c r="O1340" s="147" t="str">
        <f t="shared" si="6"/>
        <v/>
      </c>
      <c r="P1340" s="150" t="str">
        <f t="shared" si="7"/>
        <v/>
      </c>
      <c r="Q1340" s="151" t="str">
        <f>IFERROR(VLOOKUP(C1340,Ativos!$A$1:$G2000,5,),)</f>
        <v/>
      </c>
    </row>
    <row r="1341" ht="21.0" customHeight="1">
      <c r="A1341" s="152"/>
      <c r="B1341" s="160"/>
      <c r="C1341" s="153"/>
      <c r="D1341" s="169"/>
      <c r="E1341" s="139"/>
      <c r="F1341" s="141"/>
      <c r="G1341" s="170" t="str">
        <f>IFERROR(__xludf.DUMMYFUNCTION("if($C1341="""","""",iferror(if(row()&lt;&gt;2,INDEX(arrayformula(filter($H$2:$H1340,$C$2:$C1340&lt;&gt;"""",row($C$2:$C1340)=max(if($C$2:$C1340=C1341,row($C$2:$C1340),0)))) ,1),0),0))"),"")</f>
        <v/>
      </c>
      <c r="H1341" s="170" t="str">
        <f t="shared" si="8"/>
        <v/>
      </c>
      <c r="I1341" s="147" t="str">
        <f t="shared" si="1"/>
        <v/>
      </c>
      <c r="J1341" s="147" t="str">
        <f t="shared" si="13"/>
        <v/>
      </c>
      <c r="K1341" s="147" t="str">
        <f>IFERROR(__xludf.DUMMYFUNCTION("if(C1341="""","""",iferror(if(row()&lt;&gt;2,INDEX(arrayformula(filter($L$2:$L1340,$C$2:$C1340&lt;&gt;"""",row($C$2:$C1340)=max(if($C$2:$C1340=C1341,row($C$2:$C1340),0)))) ,1),0),0))"),"")</f>
        <v/>
      </c>
      <c r="L1341" s="147" t="str">
        <f t="shared" si="14"/>
        <v/>
      </c>
      <c r="M1341" s="147" t="str">
        <f t="shared" si="15"/>
        <v/>
      </c>
      <c r="N1341" s="147" t="str">
        <f t="shared" si="16"/>
        <v/>
      </c>
      <c r="O1341" s="147" t="str">
        <f t="shared" si="6"/>
        <v/>
      </c>
      <c r="P1341" s="150" t="str">
        <f t="shared" si="7"/>
        <v/>
      </c>
      <c r="Q1341" s="151" t="str">
        <f>IFERROR(VLOOKUP(C1341,Ativos!$A$1:$G2000,5,),)</f>
        <v/>
      </c>
    </row>
    <row r="1342" ht="21.0" customHeight="1">
      <c r="A1342" s="152"/>
      <c r="B1342" s="160"/>
      <c r="C1342" s="153"/>
      <c r="D1342" s="169"/>
      <c r="E1342" s="139"/>
      <c r="F1342" s="141"/>
      <c r="G1342" s="170" t="str">
        <f>IFERROR(__xludf.DUMMYFUNCTION("if($C1342="""","""",iferror(if(row()&lt;&gt;2,INDEX(arrayformula(filter($H$2:$H1341,$C$2:$C1341&lt;&gt;"""",row($C$2:$C1341)=max(if($C$2:$C1341=C1342,row($C$2:$C1341),0)))) ,1),0),0))"),"")</f>
        <v/>
      </c>
      <c r="H1342" s="170" t="str">
        <f t="shared" si="8"/>
        <v/>
      </c>
      <c r="I1342" s="147" t="str">
        <f t="shared" si="1"/>
        <v/>
      </c>
      <c r="J1342" s="147" t="str">
        <f t="shared" si="13"/>
        <v/>
      </c>
      <c r="K1342" s="147" t="str">
        <f>IFERROR(__xludf.DUMMYFUNCTION("if(C1342="""","""",iferror(if(row()&lt;&gt;2,INDEX(arrayformula(filter($L$2:$L1341,$C$2:$C1341&lt;&gt;"""",row($C$2:$C1341)=max(if($C$2:$C1341=C1342,row($C$2:$C1341),0)))) ,1),0),0))"),"")</f>
        <v/>
      </c>
      <c r="L1342" s="147" t="str">
        <f t="shared" si="14"/>
        <v/>
      </c>
      <c r="M1342" s="147" t="str">
        <f t="shared" si="15"/>
        <v/>
      </c>
      <c r="N1342" s="147" t="str">
        <f t="shared" si="16"/>
        <v/>
      </c>
      <c r="O1342" s="147" t="str">
        <f t="shared" si="6"/>
        <v/>
      </c>
      <c r="P1342" s="150" t="str">
        <f t="shared" si="7"/>
        <v/>
      </c>
      <c r="Q1342" s="151" t="str">
        <f>IFERROR(VLOOKUP(C1342,Ativos!$A$1:$G2000,5,),)</f>
        <v/>
      </c>
    </row>
    <row r="1343" ht="21.0" customHeight="1">
      <c r="A1343" s="152"/>
      <c r="B1343" s="160"/>
      <c r="C1343" s="153"/>
      <c r="D1343" s="169"/>
      <c r="E1343" s="139"/>
      <c r="F1343" s="141"/>
      <c r="G1343" s="170" t="str">
        <f>IFERROR(__xludf.DUMMYFUNCTION("if($C1343="""","""",iferror(if(row()&lt;&gt;2,INDEX(arrayformula(filter($H$2:$H1342,$C$2:$C1342&lt;&gt;"""",row($C$2:$C1342)=max(if($C$2:$C1342=C1343,row($C$2:$C1342),0)))) ,1),0),0))"),"")</f>
        <v/>
      </c>
      <c r="H1343" s="170" t="str">
        <f t="shared" si="8"/>
        <v/>
      </c>
      <c r="I1343" s="147" t="str">
        <f t="shared" si="1"/>
        <v/>
      </c>
      <c r="J1343" s="147" t="str">
        <f t="shared" si="13"/>
        <v/>
      </c>
      <c r="K1343" s="147" t="str">
        <f>IFERROR(__xludf.DUMMYFUNCTION("if(C1343="""","""",iferror(if(row()&lt;&gt;2,INDEX(arrayformula(filter($L$2:$L1342,$C$2:$C1342&lt;&gt;"""",row($C$2:$C1342)=max(if($C$2:$C1342=C1343,row($C$2:$C1342),0)))) ,1),0),0))"),"")</f>
        <v/>
      </c>
      <c r="L1343" s="147" t="str">
        <f t="shared" si="14"/>
        <v/>
      </c>
      <c r="M1343" s="147" t="str">
        <f t="shared" si="15"/>
        <v/>
      </c>
      <c r="N1343" s="147" t="str">
        <f t="shared" si="16"/>
        <v/>
      </c>
      <c r="O1343" s="147" t="str">
        <f t="shared" si="6"/>
        <v/>
      </c>
      <c r="P1343" s="150" t="str">
        <f t="shared" si="7"/>
        <v/>
      </c>
      <c r="Q1343" s="151" t="str">
        <f>IFERROR(VLOOKUP(C1343,Ativos!$A$1:$G2000,5,),)</f>
        <v/>
      </c>
    </row>
    <row r="1344" ht="21.0" customHeight="1">
      <c r="A1344" s="152"/>
      <c r="B1344" s="160"/>
      <c r="C1344" s="153"/>
      <c r="D1344" s="169"/>
      <c r="E1344" s="139"/>
      <c r="F1344" s="141"/>
      <c r="G1344" s="170" t="str">
        <f>IFERROR(__xludf.DUMMYFUNCTION("if($C1344="""","""",iferror(if(row()&lt;&gt;2,INDEX(arrayformula(filter($H$2:$H1343,$C$2:$C1343&lt;&gt;"""",row($C$2:$C1343)=max(if($C$2:$C1343=C1344,row($C$2:$C1343),0)))) ,1),0),0))"),"")</f>
        <v/>
      </c>
      <c r="H1344" s="170" t="str">
        <f t="shared" si="8"/>
        <v/>
      </c>
      <c r="I1344" s="147" t="str">
        <f t="shared" si="1"/>
        <v/>
      </c>
      <c r="J1344" s="147" t="str">
        <f t="shared" si="13"/>
        <v/>
      </c>
      <c r="K1344" s="147" t="str">
        <f>IFERROR(__xludf.DUMMYFUNCTION("if(C1344="""","""",iferror(if(row()&lt;&gt;2,INDEX(arrayformula(filter($L$2:$L1343,$C$2:$C1343&lt;&gt;"""",row($C$2:$C1343)=max(if($C$2:$C1343=C1344,row($C$2:$C1343),0)))) ,1),0),0))"),"")</f>
        <v/>
      </c>
      <c r="L1344" s="147" t="str">
        <f t="shared" si="14"/>
        <v/>
      </c>
      <c r="M1344" s="147" t="str">
        <f t="shared" si="15"/>
        <v/>
      </c>
      <c r="N1344" s="147" t="str">
        <f t="shared" si="16"/>
        <v/>
      </c>
      <c r="O1344" s="147" t="str">
        <f t="shared" si="6"/>
        <v/>
      </c>
      <c r="P1344" s="150" t="str">
        <f t="shared" si="7"/>
        <v/>
      </c>
      <c r="Q1344" s="151" t="str">
        <f>IFERROR(VLOOKUP(C1344,Ativos!$A$1:$G2000,5,),)</f>
        <v/>
      </c>
    </row>
    <row r="1345" ht="21.0" customHeight="1">
      <c r="A1345" s="152"/>
      <c r="B1345" s="160"/>
      <c r="C1345" s="153"/>
      <c r="D1345" s="169"/>
      <c r="E1345" s="139"/>
      <c r="F1345" s="141"/>
      <c r="G1345" s="170" t="str">
        <f>IFERROR(__xludf.DUMMYFUNCTION("if($C1345="""","""",iferror(if(row()&lt;&gt;2,INDEX(arrayformula(filter($H$2:$H1344,$C$2:$C1344&lt;&gt;"""",row($C$2:$C1344)=max(if($C$2:$C1344=C1345,row($C$2:$C1344),0)))) ,1),0),0))"),"")</f>
        <v/>
      </c>
      <c r="H1345" s="170" t="str">
        <f t="shared" si="8"/>
        <v/>
      </c>
      <c r="I1345" s="147" t="str">
        <f t="shared" si="1"/>
        <v/>
      </c>
      <c r="J1345" s="147" t="str">
        <f t="shared" si="13"/>
        <v/>
      </c>
      <c r="K1345" s="147" t="str">
        <f>IFERROR(__xludf.DUMMYFUNCTION("if(C1345="""","""",iferror(if(row()&lt;&gt;2,INDEX(arrayformula(filter($L$2:$L1344,$C$2:$C1344&lt;&gt;"""",row($C$2:$C1344)=max(if($C$2:$C1344=C1345,row($C$2:$C1344),0)))) ,1),0),0))"),"")</f>
        <v/>
      </c>
      <c r="L1345" s="147" t="str">
        <f t="shared" si="14"/>
        <v/>
      </c>
      <c r="M1345" s="147" t="str">
        <f t="shared" si="15"/>
        <v/>
      </c>
      <c r="N1345" s="147" t="str">
        <f t="shared" si="16"/>
        <v/>
      </c>
      <c r="O1345" s="147" t="str">
        <f t="shared" si="6"/>
        <v/>
      </c>
      <c r="P1345" s="150" t="str">
        <f t="shared" si="7"/>
        <v/>
      </c>
      <c r="Q1345" s="151" t="str">
        <f>IFERROR(VLOOKUP(C1345,Ativos!$A$1:$G2000,5,),)</f>
        <v/>
      </c>
    </row>
    <row r="1346" ht="21.0" customHeight="1">
      <c r="A1346" s="152"/>
      <c r="B1346" s="160"/>
      <c r="C1346" s="153"/>
      <c r="D1346" s="169"/>
      <c r="E1346" s="139"/>
      <c r="F1346" s="141"/>
      <c r="G1346" s="170" t="str">
        <f>IFERROR(__xludf.DUMMYFUNCTION("if($C1346="""","""",iferror(if(row()&lt;&gt;2,INDEX(arrayformula(filter($H$2:$H1345,$C$2:$C1345&lt;&gt;"""",row($C$2:$C1345)=max(if($C$2:$C1345=C1346,row($C$2:$C1345),0)))) ,1),0),0))"),"")</f>
        <v/>
      </c>
      <c r="H1346" s="170" t="str">
        <f t="shared" si="8"/>
        <v/>
      </c>
      <c r="I1346" s="147" t="str">
        <f t="shared" si="1"/>
        <v/>
      </c>
      <c r="J1346" s="147" t="str">
        <f t="shared" si="13"/>
        <v/>
      </c>
      <c r="K1346" s="147" t="str">
        <f>IFERROR(__xludf.DUMMYFUNCTION("if(C1346="""","""",iferror(if(row()&lt;&gt;2,INDEX(arrayformula(filter($L$2:$L1345,$C$2:$C1345&lt;&gt;"""",row($C$2:$C1345)=max(if($C$2:$C1345=C1346,row($C$2:$C1345),0)))) ,1),0),0))"),"")</f>
        <v/>
      </c>
      <c r="L1346" s="147" t="str">
        <f t="shared" si="14"/>
        <v/>
      </c>
      <c r="M1346" s="147" t="str">
        <f t="shared" si="15"/>
        <v/>
      </c>
      <c r="N1346" s="147" t="str">
        <f t="shared" si="16"/>
        <v/>
      </c>
      <c r="O1346" s="147" t="str">
        <f t="shared" si="6"/>
        <v/>
      </c>
      <c r="P1346" s="150" t="str">
        <f t="shared" si="7"/>
        <v/>
      </c>
      <c r="Q1346" s="151" t="str">
        <f>IFERROR(VLOOKUP(C1346,Ativos!$A$1:$G2000,5,),)</f>
        <v/>
      </c>
    </row>
    <row r="1347" ht="21.0" customHeight="1">
      <c r="A1347" s="152"/>
      <c r="B1347" s="160"/>
      <c r="C1347" s="153"/>
      <c r="D1347" s="169"/>
      <c r="E1347" s="139"/>
      <c r="F1347" s="141"/>
      <c r="G1347" s="170" t="str">
        <f>IFERROR(__xludf.DUMMYFUNCTION("if($C1347="""","""",iferror(if(row()&lt;&gt;2,INDEX(arrayformula(filter($H$2:$H1346,$C$2:$C1346&lt;&gt;"""",row($C$2:$C1346)=max(if($C$2:$C1346=C1347,row($C$2:$C1346),0)))) ,1),0),0))"),"")</f>
        <v/>
      </c>
      <c r="H1347" s="170" t="str">
        <f t="shared" si="8"/>
        <v/>
      </c>
      <c r="I1347" s="147" t="str">
        <f t="shared" si="1"/>
        <v/>
      </c>
      <c r="J1347" s="147" t="str">
        <f t="shared" si="13"/>
        <v/>
      </c>
      <c r="K1347" s="147" t="str">
        <f>IFERROR(__xludf.DUMMYFUNCTION("if(C1347="""","""",iferror(if(row()&lt;&gt;2,INDEX(arrayformula(filter($L$2:$L1346,$C$2:$C1346&lt;&gt;"""",row($C$2:$C1346)=max(if($C$2:$C1346=C1347,row($C$2:$C1346),0)))) ,1),0),0))"),"")</f>
        <v/>
      </c>
      <c r="L1347" s="147" t="str">
        <f t="shared" si="14"/>
        <v/>
      </c>
      <c r="M1347" s="147" t="str">
        <f t="shared" si="15"/>
        <v/>
      </c>
      <c r="N1347" s="147" t="str">
        <f t="shared" si="16"/>
        <v/>
      </c>
      <c r="O1347" s="147" t="str">
        <f t="shared" si="6"/>
        <v/>
      </c>
      <c r="P1347" s="150" t="str">
        <f t="shared" si="7"/>
        <v/>
      </c>
      <c r="Q1347" s="151" t="str">
        <f>IFERROR(VLOOKUP(C1347,Ativos!$A$1:$G2000,5,),)</f>
        <v/>
      </c>
    </row>
    <row r="1348" ht="21.0" customHeight="1">
      <c r="A1348" s="152"/>
      <c r="B1348" s="160"/>
      <c r="C1348" s="153"/>
      <c r="D1348" s="169"/>
      <c r="E1348" s="139"/>
      <c r="F1348" s="141"/>
      <c r="G1348" s="170" t="str">
        <f>IFERROR(__xludf.DUMMYFUNCTION("if($C1348="""","""",iferror(if(row()&lt;&gt;2,INDEX(arrayformula(filter($H$2:$H1347,$C$2:$C1347&lt;&gt;"""",row($C$2:$C1347)=max(if($C$2:$C1347=C1348,row($C$2:$C1347),0)))) ,1),0),0))"),"")</f>
        <v/>
      </c>
      <c r="H1348" s="170" t="str">
        <f t="shared" si="8"/>
        <v/>
      </c>
      <c r="I1348" s="147" t="str">
        <f t="shared" si="1"/>
        <v/>
      </c>
      <c r="J1348" s="147" t="str">
        <f t="shared" si="13"/>
        <v/>
      </c>
      <c r="K1348" s="147" t="str">
        <f>IFERROR(__xludf.DUMMYFUNCTION("if(C1348="""","""",iferror(if(row()&lt;&gt;2,INDEX(arrayformula(filter($L$2:$L1347,$C$2:$C1347&lt;&gt;"""",row($C$2:$C1347)=max(if($C$2:$C1347=C1348,row($C$2:$C1347),0)))) ,1),0),0))"),"")</f>
        <v/>
      </c>
      <c r="L1348" s="147" t="str">
        <f t="shared" si="14"/>
        <v/>
      </c>
      <c r="M1348" s="147" t="str">
        <f t="shared" si="15"/>
        <v/>
      </c>
      <c r="N1348" s="147" t="str">
        <f t="shared" si="16"/>
        <v/>
      </c>
      <c r="O1348" s="147" t="str">
        <f t="shared" si="6"/>
        <v/>
      </c>
      <c r="P1348" s="150" t="str">
        <f t="shared" si="7"/>
        <v/>
      </c>
      <c r="Q1348" s="151" t="str">
        <f>IFERROR(VLOOKUP(C1348,Ativos!$A$1:$G2000,5,),)</f>
        <v/>
      </c>
    </row>
    <row r="1349" ht="21.0" customHeight="1">
      <c r="A1349" s="152"/>
      <c r="B1349" s="160"/>
      <c r="C1349" s="153"/>
      <c r="D1349" s="169"/>
      <c r="E1349" s="139"/>
      <c r="F1349" s="141"/>
      <c r="G1349" s="170" t="str">
        <f>IFERROR(__xludf.DUMMYFUNCTION("if($C1349="""","""",iferror(if(row()&lt;&gt;2,INDEX(arrayformula(filter($H$2:$H1348,$C$2:$C1348&lt;&gt;"""",row($C$2:$C1348)=max(if($C$2:$C1348=C1349,row($C$2:$C1348),0)))) ,1),0),0))"),"")</f>
        <v/>
      </c>
      <c r="H1349" s="170" t="str">
        <f t="shared" si="8"/>
        <v/>
      </c>
      <c r="I1349" s="147" t="str">
        <f t="shared" si="1"/>
        <v/>
      </c>
      <c r="J1349" s="147" t="str">
        <f t="shared" si="13"/>
        <v/>
      </c>
      <c r="K1349" s="147" t="str">
        <f>IFERROR(__xludf.DUMMYFUNCTION("if(C1349="""","""",iferror(if(row()&lt;&gt;2,INDEX(arrayformula(filter($L$2:$L1348,$C$2:$C1348&lt;&gt;"""",row($C$2:$C1348)=max(if($C$2:$C1348=C1349,row($C$2:$C1348),0)))) ,1),0),0))"),"")</f>
        <v/>
      </c>
      <c r="L1349" s="147" t="str">
        <f t="shared" si="14"/>
        <v/>
      </c>
      <c r="M1349" s="147" t="str">
        <f t="shared" si="15"/>
        <v/>
      </c>
      <c r="N1349" s="147" t="str">
        <f t="shared" si="16"/>
        <v/>
      </c>
      <c r="O1349" s="147" t="str">
        <f t="shared" si="6"/>
        <v/>
      </c>
      <c r="P1349" s="150" t="str">
        <f t="shared" si="7"/>
        <v/>
      </c>
      <c r="Q1349" s="151" t="str">
        <f>IFERROR(VLOOKUP(C1349,Ativos!$A$1:$G2000,5,),)</f>
        <v/>
      </c>
    </row>
    <row r="1350" ht="21.0" customHeight="1">
      <c r="A1350" s="152"/>
      <c r="B1350" s="160"/>
      <c r="C1350" s="153"/>
      <c r="D1350" s="169"/>
      <c r="E1350" s="139"/>
      <c r="F1350" s="141"/>
      <c r="G1350" s="170" t="str">
        <f>IFERROR(__xludf.DUMMYFUNCTION("if($C1350="""","""",iferror(if(row()&lt;&gt;2,INDEX(arrayformula(filter($H$2:$H1349,$C$2:$C1349&lt;&gt;"""",row($C$2:$C1349)=max(if($C$2:$C1349=C1350,row($C$2:$C1349),0)))) ,1),0),0))"),"")</f>
        <v/>
      </c>
      <c r="H1350" s="170" t="str">
        <f t="shared" si="8"/>
        <v/>
      </c>
      <c r="I1350" s="147" t="str">
        <f t="shared" si="1"/>
        <v/>
      </c>
      <c r="J1350" s="147" t="str">
        <f t="shared" si="13"/>
        <v/>
      </c>
      <c r="K1350" s="147" t="str">
        <f>IFERROR(__xludf.DUMMYFUNCTION("if(C1350="""","""",iferror(if(row()&lt;&gt;2,INDEX(arrayformula(filter($L$2:$L1349,$C$2:$C1349&lt;&gt;"""",row($C$2:$C1349)=max(if($C$2:$C1349=C1350,row($C$2:$C1349),0)))) ,1),0),0))"),"")</f>
        <v/>
      </c>
      <c r="L1350" s="147" t="str">
        <f t="shared" si="14"/>
        <v/>
      </c>
      <c r="M1350" s="147" t="str">
        <f t="shared" si="15"/>
        <v/>
      </c>
      <c r="N1350" s="147" t="str">
        <f t="shared" si="16"/>
        <v/>
      </c>
      <c r="O1350" s="147" t="str">
        <f t="shared" si="6"/>
        <v/>
      </c>
      <c r="P1350" s="150" t="str">
        <f t="shared" si="7"/>
        <v/>
      </c>
      <c r="Q1350" s="151" t="str">
        <f>IFERROR(VLOOKUP(C1350,Ativos!$A$1:$G2000,5,),)</f>
        <v/>
      </c>
    </row>
    <row r="1351" ht="21.0" customHeight="1">
      <c r="A1351" s="152"/>
      <c r="B1351" s="160"/>
      <c r="C1351" s="153"/>
      <c r="D1351" s="169"/>
      <c r="E1351" s="139"/>
      <c r="F1351" s="141"/>
      <c r="G1351" s="170" t="str">
        <f>IFERROR(__xludf.DUMMYFUNCTION("if($C1351="""","""",iferror(if(row()&lt;&gt;2,INDEX(arrayformula(filter($H$2:$H1350,$C$2:$C1350&lt;&gt;"""",row($C$2:$C1350)=max(if($C$2:$C1350=C1351,row($C$2:$C1350),0)))) ,1),0),0))"),"")</f>
        <v/>
      </c>
      <c r="H1351" s="170" t="str">
        <f t="shared" si="8"/>
        <v/>
      </c>
      <c r="I1351" s="147" t="str">
        <f t="shared" si="1"/>
        <v/>
      </c>
      <c r="J1351" s="147" t="str">
        <f t="shared" si="13"/>
        <v/>
      </c>
      <c r="K1351" s="147" t="str">
        <f>IFERROR(__xludf.DUMMYFUNCTION("if(C1351="""","""",iferror(if(row()&lt;&gt;2,INDEX(arrayformula(filter($L$2:$L1350,$C$2:$C1350&lt;&gt;"""",row($C$2:$C1350)=max(if($C$2:$C1350=C1351,row($C$2:$C1350),0)))) ,1),0),0))"),"")</f>
        <v/>
      </c>
      <c r="L1351" s="147" t="str">
        <f t="shared" si="14"/>
        <v/>
      </c>
      <c r="M1351" s="147" t="str">
        <f t="shared" si="15"/>
        <v/>
      </c>
      <c r="N1351" s="147" t="str">
        <f t="shared" si="16"/>
        <v/>
      </c>
      <c r="O1351" s="147" t="str">
        <f t="shared" si="6"/>
        <v/>
      </c>
      <c r="P1351" s="150" t="str">
        <f t="shared" si="7"/>
        <v/>
      </c>
      <c r="Q1351" s="151" t="str">
        <f>IFERROR(VLOOKUP(C1351,Ativos!$A$1:$G2000,5,),)</f>
        <v/>
      </c>
    </row>
    <row r="1352" ht="21.0" customHeight="1">
      <c r="A1352" s="152"/>
      <c r="B1352" s="160"/>
      <c r="C1352" s="153"/>
      <c r="D1352" s="169"/>
      <c r="E1352" s="139"/>
      <c r="F1352" s="141"/>
      <c r="G1352" s="170" t="str">
        <f>IFERROR(__xludf.DUMMYFUNCTION("if($C1352="""","""",iferror(if(row()&lt;&gt;2,INDEX(arrayformula(filter($H$2:$H1351,$C$2:$C1351&lt;&gt;"""",row($C$2:$C1351)=max(if($C$2:$C1351=C1352,row($C$2:$C1351),0)))) ,1),0),0))"),"")</f>
        <v/>
      </c>
      <c r="H1352" s="170" t="str">
        <f t="shared" si="8"/>
        <v/>
      </c>
      <c r="I1352" s="147" t="str">
        <f t="shared" si="1"/>
        <v/>
      </c>
      <c r="J1352" s="147" t="str">
        <f t="shared" si="13"/>
        <v/>
      </c>
      <c r="K1352" s="147" t="str">
        <f>IFERROR(__xludf.DUMMYFUNCTION("if(C1352="""","""",iferror(if(row()&lt;&gt;2,INDEX(arrayformula(filter($L$2:$L1351,$C$2:$C1351&lt;&gt;"""",row($C$2:$C1351)=max(if($C$2:$C1351=C1352,row($C$2:$C1351),0)))) ,1),0),0))"),"")</f>
        <v/>
      </c>
      <c r="L1352" s="147" t="str">
        <f t="shared" si="14"/>
        <v/>
      </c>
      <c r="M1352" s="147" t="str">
        <f t="shared" si="15"/>
        <v/>
      </c>
      <c r="N1352" s="147" t="str">
        <f t="shared" si="16"/>
        <v/>
      </c>
      <c r="O1352" s="147" t="str">
        <f t="shared" si="6"/>
        <v/>
      </c>
      <c r="P1352" s="150" t="str">
        <f t="shared" si="7"/>
        <v/>
      </c>
      <c r="Q1352" s="151" t="str">
        <f>IFERROR(VLOOKUP(C1352,Ativos!$A$1:$G2000,5,),)</f>
        <v/>
      </c>
    </row>
    <row r="1353" ht="21.0" customHeight="1">
      <c r="A1353" s="152"/>
      <c r="B1353" s="160"/>
      <c r="C1353" s="153"/>
      <c r="D1353" s="169"/>
      <c r="E1353" s="139"/>
      <c r="F1353" s="141"/>
      <c r="G1353" s="170" t="str">
        <f>IFERROR(__xludf.DUMMYFUNCTION("if($C1353="""","""",iferror(if(row()&lt;&gt;2,INDEX(arrayformula(filter($H$2:$H1352,$C$2:$C1352&lt;&gt;"""",row($C$2:$C1352)=max(if($C$2:$C1352=C1353,row($C$2:$C1352),0)))) ,1),0),0))"),"")</f>
        <v/>
      </c>
      <c r="H1353" s="170" t="str">
        <f t="shared" si="8"/>
        <v/>
      </c>
      <c r="I1353" s="147" t="str">
        <f t="shared" si="1"/>
        <v/>
      </c>
      <c r="J1353" s="147" t="str">
        <f t="shared" si="13"/>
        <v/>
      </c>
      <c r="K1353" s="147" t="str">
        <f>IFERROR(__xludf.DUMMYFUNCTION("if(C1353="""","""",iferror(if(row()&lt;&gt;2,INDEX(arrayformula(filter($L$2:$L1352,$C$2:$C1352&lt;&gt;"""",row($C$2:$C1352)=max(if($C$2:$C1352=C1353,row($C$2:$C1352),0)))) ,1),0),0))"),"")</f>
        <v/>
      </c>
      <c r="L1353" s="147" t="str">
        <f t="shared" si="14"/>
        <v/>
      </c>
      <c r="M1353" s="147" t="str">
        <f t="shared" si="15"/>
        <v/>
      </c>
      <c r="N1353" s="147" t="str">
        <f t="shared" si="16"/>
        <v/>
      </c>
      <c r="O1353" s="147" t="str">
        <f t="shared" si="6"/>
        <v/>
      </c>
      <c r="P1353" s="150" t="str">
        <f t="shared" si="7"/>
        <v/>
      </c>
      <c r="Q1353" s="151" t="str">
        <f>IFERROR(VLOOKUP(C1353,Ativos!$A$1:$G2000,5,),)</f>
        <v/>
      </c>
    </row>
    <row r="1354" ht="21.0" customHeight="1">
      <c r="A1354" s="152"/>
      <c r="B1354" s="160"/>
      <c r="C1354" s="153"/>
      <c r="D1354" s="169"/>
      <c r="E1354" s="139"/>
      <c r="F1354" s="141"/>
      <c r="G1354" s="170" t="str">
        <f>IFERROR(__xludf.DUMMYFUNCTION("if($C1354="""","""",iferror(if(row()&lt;&gt;2,INDEX(arrayformula(filter($H$2:$H1353,$C$2:$C1353&lt;&gt;"""",row($C$2:$C1353)=max(if($C$2:$C1353=C1354,row($C$2:$C1353),0)))) ,1),0),0))"),"")</f>
        <v/>
      </c>
      <c r="H1354" s="170" t="str">
        <f t="shared" si="8"/>
        <v/>
      </c>
      <c r="I1354" s="147" t="str">
        <f t="shared" si="1"/>
        <v/>
      </c>
      <c r="J1354" s="147" t="str">
        <f t="shared" si="13"/>
        <v/>
      </c>
      <c r="K1354" s="147" t="str">
        <f>IFERROR(__xludf.DUMMYFUNCTION("if(C1354="""","""",iferror(if(row()&lt;&gt;2,INDEX(arrayformula(filter($L$2:$L1353,$C$2:$C1353&lt;&gt;"""",row($C$2:$C1353)=max(if($C$2:$C1353=C1354,row($C$2:$C1353),0)))) ,1),0),0))"),"")</f>
        <v/>
      </c>
      <c r="L1354" s="147" t="str">
        <f t="shared" si="14"/>
        <v/>
      </c>
      <c r="M1354" s="147" t="str">
        <f t="shared" si="15"/>
        <v/>
      </c>
      <c r="N1354" s="147" t="str">
        <f t="shared" si="16"/>
        <v/>
      </c>
      <c r="O1354" s="147" t="str">
        <f t="shared" si="6"/>
        <v/>
      </c>
      <c r="P1354" s="150" t="str">
        <f t="shared" si="7"/>
        <v/>
      </c>
      <c r="Q1354" s="151" t="str">
        <f>IFERROR(VLOOKUP(C1354,Ativos!$A$1:$G2000,5,),)</f>
        <v/>
      </c>
    </row>
    <row r="1355" ht="21.0" customHeight="1">
      <c r="A1355" s="152"/>
      <c r="B1355" s="160"/>
      <c r="C1355" s="153"/>
      <c r="D1355" s="169"/>
      <c r="E1355" s="139"/>
      <c r="F1355" s="141"/>
      <c r="G1355" s="170" t="str">
        <f>IFERROR(__xludf.DUMMYFUNCTION("if($C1355="""","""",iferror(if(row()&lt;&gt;2,INDEX(arrayformula(filter($H$2:$H1354,$C$2:$C1354&lt;&gt;"""",row($C$2:$C1354)=max(if($C$2:$C1354=C1355,row($C$2:$C1354),0)))) ,1),0),0))"),"")</f>
        <v/>
      </c>
      <c r="H1355" s="170" t="str">
        <f t="shared" si="8"/>
        <v/>
      </c>
      <c r="I1355" s="147" t="str">
        <f t="shared" si="1"/>
        <v/>
      </c>
      <c r="J1355" s="147" t="str">
        <f t="shared" si="13"/>
        <v/>
      </c>
      <c r="K1355" s="147" t="str">
        <f>IFERROR(__xludf.DUMMYFUNCTION("if(C1355="""","""",iferror(if(row()&lt;&gt;2,INDEX(arrayformula(filter($L$2:$L1354,$C$2:$C1354&lt;&gt;"""",row($C$2:$C1354)=max(if($C$2:$C1354=C1355,row($C$2:$C1354),0)))) ,1),0),0))"),"")</f>
        <v/>
      </c>
      <c r="L1355" s="147" t="str">
        <f t="shared" si="14"/>
        <v/>
      </c>
      <c r="M1355" s="147" t="str">
        <f t="shared" si="15"/>
        <v/>
      </c>
      <c r="N1355" s="147" t="str">
        <f t="shared" si="16"/>
        <v/>
      </c>
      <c r="O1355" s="147" t="str">
        <f t="shared" si="6"/>
        <v/>
      </c>
      <c r="P1355" s="150" t="str">
        <f t="shared" si="7"/>
        <v/>
      </c>
      <c r="Q1355" s="151" t="str">
        <f>IFERROR(VLOOKUP(C1355,Ativos!$A$1:$G2000,5,),)</f>
        <v/>
      </c>
    </row>
    <row r="1356" ht="21.0" customHeight="1">
      <c r="A1356" s="152"/>
      <c r="B1356" s="160"/>
      <c r="C1356" s="153"/>
      <c r="D1356" s="169"/>
      <c r="E1356" s="139"/>
      <c r="F1356" s="141"/>
      <c r="G1356" s="170" t="str">
        <f>IFERROR(__xludf.DUMMYFUNCTION("if($C1356="""","""",iferror(if(row()&lt;&gt;2,INDEX(arrayformula(filter($H$2:$H1355,$C$2:$C1355&lt;&gt;"""",row($C$2:$C1355)=max(if($C$2:$C1355=C1356,row($C$2:$C1355),0)))) ,1),0),0))"),"")</f>
        <v/>
      </c>
      <c r="H1356" s="170" t="str">
        <f t="shared" si="8"/>
        <v/>
      </c>
      <c r="I1356" s="147" t="str">
        <f t="shared" si="1"/>
        <v/>
      </c>
      <c r="J1356" s="147" t="str">
        <f t="shared" si="13"/>
        <v/>
      </c>
      <c r="K1356" s="147" t="str">
        <f>IFERROR(__xludf.DUMMYFUNCTION("if(C1356="""","""",iferror(if(row()&lt;&gt;2,INDEX(arrayformula(filter($L$2:$L1355,$C$2:$C1355&lt;&gt;"""",row($C$2:$C1355)=max(if($C$2:$C1355=C1356,row($C$2:$C1355),0)))) ,1),0),0))"),"")</f>
        <v/>
      </c>
      <c r="L1356" s="147" t="str">
        <f t="shared" si="14"/>
        <v/>
      </c>
      <c r="M1356" s="147" t="str">
        <f t="shared" si="15"/>
        <v/>
      </c>
      <c r="N1356" s="147" t="str">
        <f t="shared" si="16"/>
        <v/>
      </c>
      <c r="O1356" s="147" t="str">
        <f t="shared" si="6"/>
        <v/>
      </c>
      <c r="P1356" s="150" t="str">
        <f t="shared" si="7"/>
        <v/>
      </c>
      <c r="Q1356" s="151" t="str">
        <f>IFERROR(VLOOKUP(C1356,Ativos!$A$1:$G2000,5,),)</f>
        <v/>
      </c>
    </row>
    <row r="1357" ht="21.0" customHeight="1">
      <c r="A1357" s="152"/>
      <c r="B1357" s="160"/>
      <c r="C1357" s="153"/>
      <c r="D1357" s="169"/>
      <c r="E1357" s="139"/>
      <c r="F1357" s="141"/>
      <c r="G1357" s="170" t="str">
        <f>IFERROR(__xludf.DUMMYFUNCTION("if($C1357="""","""",iferror(if(row()&lt;&gt;2,INDEX(arrayformula(filter($H$2:$H1356,$C$2:$C1356&lt;&gt;"""",row($C$2:$C1356)=max(if($C$2:$C1356=C1357,row($C$2:$C1356),0)))) ,1),0),0))"),"")</f>
        <v/>
      </c>
      <c r="H1357" s="170" t="str">
        <f t="shared" si="8"/>
        <v/>
      </c>
      <c r="I1357" s="147" t="str">
        <f t="shared" si="1"/>
        <v/>
      </c>
      <c r="J1357" s="147" t="str">
        <f t="shared" si="13"/>
        <v/>
      </c>
      <c r="K1357" s="147" t="str">
        <f>IFERROR(__xludf.DUMMYFUNCTION("if(C1357="""","""",iferror(if(row()&lt;&gt;2,INDEX(arrayformula(filter($L$2:$L1356,$C$2:$C1356&lt;&gt;"""",row($C$2:$C1356)=max(if($C$2:$C1356=C1357,row($C$2:$C1356),0)))) ,1),0),0))"),"")</f>
        <v/>
      </c>
      <c r="L1357" s="147" t="str">
        <f t="shared" si="14"/>
        <v/>
      </c>
      <c r="M1357" s="147" t="str">
        <f t="shared" si="15"/>
        <v/>
      </c>
      <c r="N1357" s="147" t="str">
        <f t="shared" si="16"/>
        <v/>
      </c>
      <c r="O1357" s="147" t="str">
        <f t="shared" si="6"/>
        <v/>
      </c>
      <c r="P1357" s="150" t="str">
        <f t="shared" si="7"/>
        <v/>
      </c>
      <c r="Q1357" s="151" t="str">
        <f>IFERROR(VLOOKUP(C1357,Ativos!$A$1:$G2000,5,),)</f>
        <v/>
      </c>
    </row>
    <row r="1358" ht="21.0" customHeight="1">
      <c r="A1358" s="152"/>
      <c r="B1358" s="160"/>
      <c r="C1358" s="153"/>
      <c r="D1358" s="169"/>
      <c r="E1358" s="139"/>
      <c r="F1358" s="141"/>
      <c r="G1358" s="170" t="str">
        <f>IFERROR(__xludf.DUMMYFUNCTION("if($C1358="""","""",iferror(if(row()&lt;&gt;2,INDEX(arrayformula(filter($H$2:$H1357,$C$2:$C1357&lt;&gt;"""",row($C$2:$C1357)=max(if($C$2:$C1357=C1358,row($C$2:$C1357),0)))) ,1),0),0))"),"")</f>
        <v/>
      </c>
      <c r="H1358" s="170" t="str">
        <f t="shared" si="8"/>
        <v/>
      </c>
      <c r="I1358" s="147" t="str">
        <f t="shared" si="1"/>
        <v/>
      </c>
      <c r="J1358" s="147" t="str">
        <f t="shared" si="13"/>
        <v/>
      </c>
      <c r="K1358" s="147" t="str">
        <f>IFERROR(__xludf.DUMMYFUNCTION("if(C1358="""","""",iferror(if(row()&lt;&gt;2,INDEX(arrayformula(filter($L$2:$L1357,$C$2:$C1357&lt;&gt;"""",row($C$2:$C1357)=max(if($C$2:$C1357=C1358,row($C$2:$C1357),0)))) ,1),0),0))"),"")</f>
        <v/>
      </c>
      <c r="L1358" s="147" t="str">
        <f t="shared" si="14"/>
        <v/>
      </c>
      <c r="M1358" s="147" t="str">
        <f t="shared" si="15"/>
        <v/>
      </c>
      <c r="N1358" s="147" t="str">
        <f t="shared" si="16"/>
        <v/>
      </c>
      <c r="O1358" s="147" t="str">
        <f t="shared" si="6"/>
        <v/>
      </c>
      <c r="P1358" s="150" t="str">
        <f t="shared" si="7"/>
        <v/>
      </c>
      <c r="Q1358" s="151" t="str">
        <f>IFERROR(VLOOKUP(C1358,Ativos!$A$1:$G2000,5,),)</f>
        <v/>
      </c>
    </row>
    <row r="1359" ht="21.0" customHeight="1">
      <c r="A1359" s="152"/>
      <c r="B1359" s="160"/>
      <c r="C1359" s="153"/>
      <c r="D1359" s="169"/>
      <c r="E1359" s="139"/>
      <c r="F1359" s="141"/>
      <c r="G1359" s="170" t="str">
        <f>IFERROR(__xludf.DUMMYFUNCTION("if($C1359="""","""",iferror(if(row()&lt;&gt;2,INDEX(arrayformula(filter($H$2:$H1358,$C$2:$C1358&lt;&gt;"""",row($C$2:$C1358)=max(if($C$2:$C1358=C1359,row($C$2:$C1358),0)))) ,1),0),0))"),"")</f>
        <v/>
      </c>
      <c r="H1359" s="170" t="str">
        <f t="shared" si="8"/>
        <v/>
      </c>
      <c r="I1359" s="147" t="str">
        <f t="shared" si="1"/>
        <v/>
      </c>
      <c r="J1359" s="147" t="str">
        <f t="shared" si="13"/>
        <v/>
      </c>
      <c r="K1359" s="147" t="str">
        <f>IFERROR(__xludf.DUMMYFUNCTION("if(C1359="""","""",iferror(if(row()&lt;&gt;2,INDEX(arrayformula(filter($L$2:$L1358,$C$2:$C1358&lt;&gt;"""",row($C$2:$C1358)=max(if($C$2:$C1358=C1359,row($C$2:$C1358),0)))) ,1),0),0))"),"")</f>
        <v/>
      </c>
      <c r="L1359" s="147" t="str">
        <f t="shared" si="14"/>
        <v/>
      </c>
      <c r="M1359" s="147" t="str">
        <f t="shared" si="15"/>
        <v/>
      </c>
      <c r="N1359" s="147" t="str">
        <f t="shared" si="16"/>
        <v/>
      </c>
      <c r="O1359" s="147" t="str">
        <f t="shared" si="6"/>
        <v/>
      </c>
      <c r="P1359" s="150" t="str">
        <f t="shared" si="7"/>
        <v/>
      </c>
      <c r="Q1359" s="151" t="str">
        <f>IFERROR(VLOOKUP(C1359,Ativos!$A$1:$G2000,5,),)</f>
        <v/>
      </c>
    </row>
    <row r="1360" ht="21.0" customHeight="1">
      <c r="A1360" s="152"/>
      <c r="B1360" s="160"/>
      <c r="C1360" s="153"/>
      <c r="D1360" s="169"/>
      <c r="E1360" s="139"/>
      <c r="F1360" s="141"/>
      <c r="G1360" s="170" t="str">
        <f>IFERROR(__xludf.DUMMYFUNCTION("if($C1360="""","""",iferror(if(row()&lt;&gt;2,INDEX(arrayformula(filter($H$2:$H1359,$C$2:$C1359&lt;&gt;"""",row($C$2:$C1359)=max(if($C$2:$C1359=C1360,row($C$2:$C1359),0)))) ,1),0),0))"),"")</f>
        <v/>
      </c>
      <c r="H1360" s="170" t="str">
        <f t="shared" si="8"/>
        <v/>
      </c>
      <c r="I1360" s="147" t="str">
        <f t="shared" si="1"/>
        <v/>
      </c>
      <c r="J1360" s="147" t="str">
        <f t="shared" si="13"/>
        <v/>
      </c>
      <c r="K1360" s="147" t="str">
        <f>IFERROR(__xludf.DUMMYFUNCTION("if(C1360="""","""",iferror(if(row()&lt;&gt;2,INDEX(arrayformula(filter($L$2:$L1359,$C$2:$C1359&lt;&gt;"""",row($C$2:$C1359)=max(if($C$2:$C1359=C1360,row($C$2:$C1359),0)))) ,1),0),0))"),"")</f>
        <v/>
      </c>
      <c r="L1360" s="147" t="str">
        <f t="shared" si="14"/>
        <v/>
      </c>
      <c r="M1360" s="147" t="str">
        <f t="shared" si="15"/>
        <v/>
      </c>
      <c r="N1360" s="147" t="str">
        <f t="shared" si="16"/>
        <v/>
      </c>
      <c r="O1360" s="147" t="str">
        <f t="shared" si="6"/>
        <v/>
      </c>
      <c r="P1360" s="150" t="str">
        <f t="shared" si="7"/>
        <v/>
      </c>
      <c r="Q1360" s="151" t="str">
        <f>IFERROR(VLOOKUP(C1360,Ativos!$A$1:$G2000,5,),)</f>
        <v/>
      </c>
    </row>
    <row r="1361" ht="21.0" customHeight="1">
      <c r="A1361" s="152"/>
      <c r="B1361" s="160"/>
      <c r="C1361" s="153"/>
      <c r="D1361" s="169"/>
      <c r="E1361" s="139"/>
      <c r="F1361" s="141"/>
      <c r="G1361" s="170" t="str">
        <f>IFERROR(__xludf.DUMMYFUNCTION("if($C1361="""","""",iferror(if(row()&lt;&gt;2,INDEX(arrayformula(filter($H$2:$H1360,$C$2:$C1360&lt;&gt;"""",row($C$2:$C1360)=max(if($C$2:$C1360=C1361,row($C$2:$C1360),0)))) ,1),0),0))"),"")</f>
        <v/>
      </c>
      <c r="H1361" s="170" t="str">
        <f t="shared" si="8"/>
        <v/>
      </c>
      <c r="I1361" s="147" t="str">
        <f t="shared" si="1"/>
        <v/>
      </c>
      <c r="J1361" s="147" t="str">
        <f t="shared" si="13"/>
        <v/>
      </c>
      <c r="K1361" s="147" t="str">
        <f>IFERROR(__xludf.DUMMYFUNCTION("if(C1361="""","""",iferror(if(row()&lt;&gt;2,INDEX(arrayformula(filter($L$2:$L1360,$C$2:$C1360&lt;&gt;"""",row($C$2:$C1360)=max(if($C$2:$C1360=C1361,row($C$2:$C1360),0)))) ,1),0),0))"),"")</f>
        <v/>
      </c>
      <c r="L1361" s="147" t="str">
        <f t="shared" si="14"/>
        <v/>
      </c>
      <c r="M1361" s="147" t="str">
        <f t="shared" si="15"/>
        <v/>
      </c>
      <c r="N1361" s="147" t="str">
        <f t="shared" si="16"/>
        <v/>
      </c>
      <c r="O1361" s="147" t="str">
        <f t="shared" si="6"/>
        <v/>
      </c>
      <c r="P1361" s="150" t="str">
        <f t="shared" si="7"/>
        <v/>
      </c>
      <c r="Q1361" s="151" t="str">
        <f>IFERROR(VLOOKUP(C1361,Ativos!$A$1:$G2000,5,),)</f>
        <v/>
      </c>
    </row>
    <row r="1362" ht="21.0" customHeight="1">
      <c r="A1362" s="152"/>
      <c r="B1362" s="160"/>
      <c r="C1362" s="153"/>
      <c r="D1362" s="169"/>
      <c r="E1362" s="139"/>
      <c r="F1362" s="141"/>
      <c r="G1362" s="170" t="str">
        <f>IFERROR(__xludf.DUMMYFUNCTION("if($C1362="""","""",iferror(if(row()&lt;&gt;2,INDEX(arrayformula(filter($H$2:$H1361,$C$2:$C1361&lt;&gt;"""",row($C$2:$C1361)=max(if($C$2:$C1361=C1362,row($C$2:$C1361),0)))) ,1),0),0))"),"")</f>
        <v/>
      </c>
      <c r="H1362" s="170" t="str">
        <f t="shared" si="8"/>
        <v/>
      </c>
      <c r="I1362" s="147" t="str">
        <f t="shared" si="1"/>
        <v/>
      </c>
      <c r="J1362" s="147" t="str">
        <f t="shared" si="13"/>
        <v/>
      </c>
      <c r="K1362" s="147" t="str">
        <f>IFERROR(__xludf.DUMMYFUNCTION("if(C1362="""","""",iferror(if(row()&lt;&gt;2,INDEX(arrayformula(filter($L$2:$L1361,$C$2:$C1361&lt;&gt;"""",row($C$2:$C1361)=max(if($C$2:$C1361=C1362,row($C$2:$C1361),0)))) ,1),0),0))"),"")</f>
        <v/>
      </c>
      <c r="L1362" s="147" t="str">
        <f t="shared" si="14"/>
        <v/>
      </c>
      <c r="M1362" s="147" t="str">
        <f t="shared" si="15"/>
        <v/>
      </c>
      <c r="N1362" s="147" t="str">
        <f t="shared" si="16"/>
        <v/>
      </c>
      <c r="O1362" s="147" t="str">
        <f t="shared" si="6"/>
        <v/>
      </c>
      <c r="P1362" s="150" t="str">
        <f t="shared" si="7"/>
        <v/>
      </c>
      <c r="Q1362" s="151" t="str">
        <f>IFERROR(VLOOKUP(C1362,Ativos!$A$1:$G2000,5,),)</f>
        <v/>
      </c>
    </row>
    <row r="1363" ht="21.0" customHeight="1">
      <c r="A1363" s="152"/>
      <c r="B1363" s="160"/>
      <c r="C1363" s="153"/>
      <c r="D1363" s="169"/>
      <c r="E1363" s="139"/>
      <c r="F1363" s="141"/>
      <c r="G1363" s="170" t="str">
        <f>IFERROR(__xludf.DUMMYFUNCTION("if($C1363="""","""",iferror(if(row()&lt;&gt;2,INDEX(arrayformula(filter($H$2:$H1362,$C$2:$C1362&lt;&gt;"""",row($C$2:$C1362)=max(if($C$2:$C1362=C1363,row($C$2:$C1362),0)))) ,1),0),0))"),"")</f>
        <v/>
      </c>
      <c r="H1363" s="170" t="str">
        <f t="shared" si="8"/>
        <v/>
      </c>
      <c r="I1363" s="147" t="str">
        <f t="shared" si="1"/>
        <v/>
      </c>
      <c r="J1363" s="147" t="str">
        <f t="shared" si="13"/>
        <v/>
      </c>
      <c r="K1363" s="147" t="str">
        <f>IFERROR(__xludf.DUMMYFUNCTION("if(C1363="""","""",iferror(if(row()&lt;&gt;2,INDEX(arrayformula(filter($L$2:$L1362,$C$2:$C1362&lt;&gt;"""",row($C$2:$C1362)=max(if($C$2:$C1362=C1363,row($C$2:$C1362),0)))) ,1),0),0))"),"")</f>
        <v/>
      </c>
      <c r="L1363" s="147" t="str">
        <f t="shared" si="14"/>
        <v/>
      </c>
      <c r="M1363" s="147" t="str">
        <f t="shared" si="15"/>
        <v/>
      </c>
      <c r="N1363" s="147" t="str">
        <f t="shared" si="16"/>
        <v/>
      </c>
      <c r="O1363" s="147" t="str">
        <f t="shared" si="6"/>
        <v/>
      </c>
      <c r="P1363" s="150" t="str">
        <f t="shared" si="7"/>
        <v/>
      </c>
      <c r="Q1363" s="151" t="str">
        <f>IFERROR(VLOOKUP(C1363,Ativos!$A$1:$G2000,5,),)</f>
        <v/>
      </c>
    </row>
    <row r="1364" ht="21.0" customHeight="1">
      <c r="A1364" s="152"/>
      <c r="B1364" s="160"/>
      <c r="C1364" s="153"/>
      <c r="D1364" s="169"/>
      <c r="E1364" s="139"/>
      <c r="F1364" s="141"/>
      <c r="G1364" s="170" t="str">
        <f>IFERROR(__xludf.DUMMYFUNCTION("if($C1364="""","""",iferror(if(row()&lt;&gt;2,INDEX(arrayformula(filter($H$2:$H1363,$C$2:$C1363&lt;&gt;"""",row($C$2:$C1363)=max(if($C$2:$C1363=C1364,row($C$2:$C1363),0)))) ,1),0),0))"),"")</f>
        <v/>
      </c>
      <c r="H1364" s="170" t="str">
        <f t="shared" si="8"/>
        <v/>
      </c>
      <c r="I1364" s="147" t="str">
        <f t="shared" si="1"/>
        <v/>
      </c>
      <c r="J1364" s="147" t="str">
        <f t="shared" si="13"/>
        <v/>
      </c>
      <c r="K1364" s="147" t="str">
        <f>IFERROR(__xludf.DUMMYFUNCTION("if(C1364="""","""",iferror(if(row()&lt;&gt;2,INDEX(arrayformula(filter($L$2:$L1363,$C$2:$C1363&lt;&gt;"""",row($C$2:$C1363)=max(if($C$2:$C1363=C1364,row($C$2:$C1363),0)))) ,1),0),0))"),"")</f>
        <v/>
      </c>
      <c r="L1364" s="147" t="str">
        <f t="shared" si="14"/>
        <v/>
      </c>
      <c r="M1364" s="147" t="str">
        <f t="shared" si="15"/>
        <v/>
      </c>
      <c r="N1364" s="147" t="str">
        <f t="shared" si="16"/>
        <v/>
      </c>
      <c r="O1364" s="147" t="str">
        <f t="shared" si="6"/>
        <v/>
      </c>
      <c r="P1364" s="150" t="str">
        <f t="shared" si="7"/>
        <v/>
      </c>
      <c r="Q1364" s="151" t="str">
        <f>IFERROR(VLOOKUP(C1364,Ativos!$A$1:$G2000,5,),)</f>
        <v/>
      </c>
    </row>
    <row r="1365" ht="21.0" customHeight="1">
      <c r="A1365" s="152"/>
      <c r="B1365" s="160"/>
      <c r="C1365" s="153"/>
      <c r="D1365" s="169"/>
      <c r="E1365" s="139"/>
      <c r="F1365" s="141"/>
      <c r="G1365" s="170" t="str">
        <f>IFERROR(__xludf.DUMMYFUNCTION("if($C1365="""","""",iferror(if(row()&lt;&gt;2,INDEX(arrayformula(filter($H$2:$H1364,$C$2:$C1364&lt;&gt;"""",row($C$2:$C1364)=max(if($C$2:$C1364=C1365,row($C$2:$C1364),0)))) ,1),0),0))"),"")</f>
        <v/>
      </c>
      <c r="H1365" s="170" t="str">
        <f t="shared" si="8"/>
        <v/>
      </c>
      <c r="I1365" s="147" t="str">
        <f t="shared" si="1"/>
        <v/>
      </c>
      <c r="J1365" s="147" t="str">
        <f t="shared" si="13"/>
        <v/>
      </c>
      <c r="K1365" s="147" t="str">
        <f>IFERROR(__xludf.DUMMYFUNCTION("if(C1365="""","""",iferror(if(row()&lt;&gt;2,INDEX(arrayformula(filter($L$2:$L1364,$C$2:$C1364&lt;&gt;"""",row($C$2:$C1364)=max(if($C$2:$C1364=C1365,row($C$2:$C1364),0)))) ,1),0),0))"),"")</f>
        <v/>
      </c>
      <c r="L1365" s="147" t="str">
        <f t="shared" si="14"/>
        <v/>
      </c>
      <c r="M1365" s="147" t="str">
        <f t="shared" si="15"/>
        <v/>
      </c>
      <c r="N1365" s="147" t="str">
        <f t="shared" si="16"/>
        <v/>
      </c>
      <c r="O1365" s="147" t="str">
        <f t="shared" si="6"/>
        <v/>
      </c>
      <c r="P1365" s="150" t="str">
        <f t="shared" si="7"/>
        <v/>
      </c>
      <c r="Q1365" s="151" t="str">
        <f>IFERROR(VLOOKUP(C1365,Ativos!$A$1:$G2000,5,),)</f>
        <v/>
      </c>
    </row>
    <row r="1366" ht="21.0" customHeight="1">
      <c r="A1366" s="152"/>
      <c r="B1366" s="160"/>
      <c r="C1366" s="153"/>
      <c r="D1366" s="169"/>
      <c r="E1366" s="139"/>
      <c r="F1366" s="141"/>
      <c r="G1366" s="170" t="str">
        <f>IFERROR(__xludf.DUMMYFUNCTION("if($C1366="""","""",iferror(if(row()&lt;&gt;2,INDEX(arrayformula(filter($H$2:$H1365,$C$2:$C1365&lt;&gt;"""",row($C$2:$C1365)=max(if($C$2:$C1365=C1366,row($C$2:$C1365),0)))) ,1),0),0))"),"")</f>
        <v/>
      </c>
      <c r="H1366" s="170" t="str">
        <f t="shared" si="8"/>
        <v/>
      </c>
      <c r="I1366" s="147" t="str">
        <f t="shared" si="1"/>
        <v/>
      </c>
      <c r="J1366" s="147" t="str">
        <f t="shared" si="13"/>
        <v/>
      </c>
      <c r="K1366" s="147" t="str">
        <f>IFERROR(__xludf.DUMMYFUNCTION("if(C1366="""","""",iferror(if(row()&lt;&gt;2,INDEX(arrayformula(filter($L$2:$L1365,$C$2:$C1365&lt;&gt;"""",row($C$2:$C1365)=max(if($C$2:$C1365=C1366,row($C$2:$C1365),0)))) ,1),0),0))"),"")</f>
        <v/>
      </c>
      <c r="L1366" s="147" t="str">
        <f t="shared" si="14"/>
        <v/>
      </c>
      <c r="M1366" s="147" t="str">
        <f t="shared" si="15"/>
        <v/>
      </c>
      <c r="N1366" s="147" t="str">
        <f t="shared" si="16"/>
        <v/>
      </c>
      <c r="O1366" s="147" t="str">
        <f t="shared" si="6"/>
        <v/>
      </c>
      <c r="P1366" s="150" t="str">
        <f t="shared" si="7"/>
        <v/>
      </c>
      <c r="Q1366" s="151" t="str">
        <f>IFERROR(VLOOKUP(C1366,Ativos!$A$1:$G2000,5,),)</f>
        <v/>
      </c>
    </row>
    <row r="1367" ht="21.0" customHeight="1">
      <c r="A1367" s="152"/>
      <c r="B1367" s="160"/>
      <c r="C1367" s="153"/>
      <c r="D1367" s="169"/>
      <c r="E1367" s="139"/>
      <c r="F1367" s="141"/>
      <c r="G1367" s="170" t="str">
        <f>IFERROR(__xludf.DUMMYFUNCTION("if($C1367="""","""",iferror(if(row()&lt;&gt;2,INDEX(arrayformula(filter($H$2:$H1366,$C$2:$C1366&lt;&gt;"""",row($C$2:$C1366)=max(if($C$2:$C1366=C1367,row($C$2:$C1366),0)))) ,1),0),0))"),"")</f>
        <v/>
      </c>
      <c r="H1367" s="170" t="str">
        <f t="shared" si="8"/>
        <v/>
      </c>
      <c r="I1367" s="147" t="str">
        <f t="shared" si="1"/>
        <v/>
      </c>
      <c r="J1367" s="147" t="str">
        <f t="shared" si="13"/>
        <v/>
      </c>
      <c r="K1367" s="147" t="str">
        <f>IFERROR(__xludf.DUMMYFUNCTION("if(C1367="""","""",iferror(if(row()&lt;&gt;2,INDEX(arrayformula(filter($L$2:$L1366,$C$2:$C1366&lt;&gt;"""",row($C$2:$C1366)=max(if($C$2:$C1366=C1367,row($C$2:$C1366),0)))) ,1),0),0))"),"")</f>
        <v/>
      </c>
      <c r="L1367" s="147" t="str">
        <f t="shared" si="14"/>
        <v/>
      </c>
      <c r="M1367" s="147" t="str">
        <f t="shared" si="15"/>
        <v/>
      </c>
      <c r="N1367" s="147" t="str">
        <f t="shared" si="16"/>
        <v/>
      </c>
      <c r="O1367" s="147" t="str">
        <f t="shared" si="6"/>
        <v/>
      </c>
      <c r="P1367" s="150" t="str">
        <f t="shared" si="7"/>
        <v/>
      </c>
      <c r="Q1367" s="151" t="str">
        <f>IFERROR(VLOOKUP(C1367,Ativos!$A$1:$G2000,5,),)</f>
        <v/>
      </c>
    </row>
    <row r="1368" ht="21.0" customHeight="1">
      <c r="A1368" s="152"/>
      <c r="B1368" s="160"/>
      <c r="C1368" s="153"/>
      <c r="D1368" s="169"/>
      <c r="E1368" s="139"/>
      <c r="F1368" s="141"/>
      <c r="G1368" s="170" t="str">
        <f>IFERROR(__xludf.DUMMYFUNCTION("if($C1368="""","""",iferror(if(row()&lt;&gt;2,INDEX(arrayformula(filter($H$2:$H1367,$C$2:$C1367&lt;&gt;"""",row($C$2:$C1367)=max(if($C$2:$C1367=C1368,row($C$2:$C1367),0)))) ,1),0),0))"),"")</f>
        <v/>
      </c>
      <c r="H1368" s="170" t="str">
        <f t="shared" si="8"/>
        <v/>
      </c>
      <c r="I1368" s="147" t="str">
        <f t="shared" si="1"/>
        <v/>
      </c>
      <c r="J1368" s="147" t="str">
        <f t="shared" si="13"/>
        <v/>
      </c>
      <c r="K1368" s="147" t="str">
        <f>IFERROR(__xludf.DUMMYFUNCTION("if(C1368="""","""",iferror(if(row()&lt;&gt;2,INDEX(arrayformula(filter($L$2:$L1367,$C$2:$C1367&lt;&gt;"""",row($C$2:$C1367)=max(if($C$2:$C1367=C1368,row($C$2:$C1367),0)))) ,1),0),0))"),"")</f>
        <v/>
      </c>
      <c r="L1368" s="147" t="str">
        <f t="shared" si="14"/>
        <v/>
      </c>
      <c r="M1368" s="147" t="str">
        <f t="shared" si="15"/>
        <v/>
      </c>
      <c r="N1368" s="147" t="str">
        <f t="shared" si="16"/>
        <v/>
      </c>
      <c r="O1368" s="147" t="str">
        <f t="shared" si="6"/>
        <v/>
      </c>
      <c r="P1368" s="150" t="str">
        <f t="shared" si="7"/>
        <v/>
      </c>
      <c r="Q1368" s="151" t="str">
        <f>IFERROR(VLOOKUP(C1368,Ativos!$A$1:$G2000,5,),)</f>
        <v/>
      </c>
    </row>
    <row r="1369" ht="21.0" customHeight="1">
      <c r="A1369" s="152"/>
      <c r="B1369" s="160"/>
      <c r="C1369" s="153"/>
      <c r="D1369" s="169"/>
      <c r="E1369" s="139"/>
      <c r="F1369" s="141"/>
      <c r="G1369" s="170" t="str">
        <f>IFERROR(__xludf.DUMMYFUNCTION("if($C1369="""","""",iferror(if(row()&lt;&gt;2,INDEX(arrayformula(filter($H$2:$H1368,$C$2:$C1368&lt;&gt;"""",row($C$2:$C1368)=max(if($C$2:$C1368=C1369,row($C$2:$C1368),0)))) ,1),0),0))"),"")</f>
        <v/>
      </c>
      <c r="H1369" s="170" t="str">
        <f t="shared" si="8"/>
        <v/>
      </c>
      <c r="I1369" s="147" t="str">
        <f t="shared" si="1"/>
        <v/>
      </c>
      <c r="J1369" s="147" t="str">
        <f t="shared" si="13"/>
        <v/>
      </c>
      <c r="K1369" s="147" t="str">
        <f>IFERROR(__xludf.DUMMYFUNCTION("if(C1369="""","""",iferror(if(row()&lt;&gt;2,INDEX(arrayformula(filter($L$2:$L1368,$C$2:$C1368&lt;&gt;"""",row($C$2:$C1368)=max(if($C$2:$C1368=C1369,row($C$2:$C1368),0)))) ,1),0),0))"),"")</f>
        <v/>
      </c>
      <c r="L1369" s="147" t="str">
        <f t="shared" si="14"/>
        <v/>
      </c>
      <c r="M1369" s="147" t="str">
        <f t="shared" si="15"/>
        <v/>
      </c>
      <c r="N1369" s="147" t="str">
        <f t="shared" si="16"/>
        <v/>
      </c>
      <c r="O1369" s="147" t="str">
        <f t="shared" si="6"/>
        <v/>
      </c>
      <c r="P1369" s="150" t="str">
        <f t="shared" si="7"/>
        <v/>
      </c>
      <c r="Q1369" s="151" t="str">
        <f>IFERROR(VLOOKUP(C1369,Ativos!$A$1:$G2000,5,),)</f>
        <v/>
      </c>
    </row>
    <row r="1370" ht="21.0" customHeight="1">
      <c r="A1370" s="152"/>
      <c r="B1370" s="160"/>
      <c r="C1370" s="153"/>
      <c r="D1370" s="169"/>
      <c r="E1370" s="139"/>
      <c r="F1370" s="141"/>
      <c r="G1370" s="170" t="str">
        <f>IFERROR(__xludf.DUMMYFUNCTION("if($C1370="""","""",iferror(if(row()&lt;&gt;2,INDEX(arrayformula(filter($H$2:$H1369,$C$2:$C1369&lt;&gt;"""",row($C$2:$C1369)=max(if($C$2:$C1369=C1370,row($C$2:$C1369),0)))) ,1),0),0))"),"")</f>
        <v/>
      </c>
      <c r="H1370" s="170" t="str">
        <f t="shared" si="8"/>
        <v/>
      </c>
      <c r="I1370" s="147" t="str">
        <f t="shared" si="1"/>
        <v/>
      </c>
      <c r="J1370" s="147" t="str">
        <f t="shared" si="13"/>
        <v/>
      </c>
      <c r="K1370" s="147" t="str">
        <f>IFERROR(__xludf.DUMMYFUNCTION("if(C1370="""","""",iferror(if(row()&lt;&gt;2,INDEX(arrayformula(filter($L$2:$L1369,$C$2:$C1369&lt;&gt;"""",row($C$2:$C1369)=max(if($C$2:$C1369=C1370,row($C$2:$C1369),0)))) ,1),0),0))"),"")</f>
        <v/>
      </c>
      <c r="L1370" s="147" t="str">
        <f t="shared" si="14"/>
        <v/>
      </c>
      <c r="M1370" s="147" t="str">
        <f t="shared" si="15"/>
        <v/>
      </c>
      <c r="N1370" s="147" t="str">
        <f t="shared" si="16"/>
        <v/>
      </c>
      <c r="O1370" s="147" t="str">
        <f t="shared" si="6"/>
        <v/>
      </c>
      <c r="P1370" s="150" t="str">
        <f t="shared" si="7"/>
        <v/>
      </c>
      <c r="Q1370" s="151" t="str">
        <f>IFERROR(VLOOKUP(C1370,Ativos!$A$1:$G2000,5,),)</f>
        <v/>
      </c>
    </row>
    <row r="1371" ht="21.0" customHeight="1">
      <c r="A1371" s="152"/>
      <c r="B1371" s="160"/>
      <c r="C1371" s="153"/>
      <c r="D1371" s="169"/>
      <c r="E1371" s="139"/>
      <c r="F1371" s="141"/>
      <c r="G1371" s="170" t="str">
        <f>IFERROR(__xludf.DUMMYFUNCTION("if($C1371="""","""",iferror(if(row()&lt;&gt;2,INDEX(arrayformula(filter($H$2:$H1370,$C$2:$C1370&lt;&gt;"""",row($C$2:$C1370)=max(if($C$2:$C1370=C1371,row($C$2:$C1370),0)))) ,1),0),0))"),"")</f>
        <v/>
      </c>
      <c r="H1371" s="170" t="str">
        <f t="shared" si="8"/>
        <v/>
      </c>
      <c r="I1371" s="147" t="str">
        <f t="shared" si="1"/>
        <v/>
      </c>
      <c r="J1371" s="147" t="str">
        <f t="shared" si="13"/>
        <v/>
      </c>
      <c r="K1371" s="147" t="str">
        <f>IFERROR(__xludf.DUMMYFUNCTION("if(C1371="""","""",iferror(if(row()&lt;&gt;2,INDEX(arrayformula(filter($L$2:$L1370,$C$2:$C1370&lt;&gt;"""",row($C$2:$C1370)=max(if($C$2:$C1370=C1371,row($C$2:$C1370),0)))) ,1),0),0))"),"")</f>
        <v/>
      </c>
      <c r="L1371" s="147" t="str">
        <f t="shared" si="14"/>
        <v/>
      </c>
      <c r="M1371" s="147" t="str">
        <f t="shared" si="15"/>
        <v/>
      </c>
      <c r="N1371" s="147" t="str">
        <f t="shared" si="16"/>
        <v/>
      </c>
      <c r="O1371" s="147" t="str">
        <f t="shared" si="6"/>
        <v/>
      </c>
      <c r="P1371" s="150" t="str">
        <f t="shared" si="7"/>
        <v/>
      </c>
      <c r="Q1371" s="151" t="str">
        <f>IFERROR(VLOOKUP(C1371,Ativos!$A$1:$G2000,5,),)</f>
        <v/>
      </c>
    </row>
    <row r="1372" ht="21.0" customHeight="1">
      <c r="A1372" s="152"/>
      <c r="B1372" s="160"/>
      <c r="C1372" s="153"/>
      <c r="D1372" s="169"/>
      <c r="E1372" s="139"/>
      <c r="F1372" s="141"/>
      <c r="G1372" s="170" t="str">
        <f>IFERROR(__xludf.DUMMYFUNCTION("if($C1372="""","""",iferror(if(row()&lt;&gt;2,INDEX(arrayformula(filter($H$2:$H1371,$C$2:$C1371&lt;&gt;"""",row($C$2:$C1371)=max(if($C$2:$C1371=C1372,row($C$2:$C1371),0)))) ,1),0),0))"),"")</f>
        <v/>
      </c>
      <c r="H1372" s="170" t="str">
        <f t="shared" si="8"/>
        <v/>
      </c>
      <c r="I1372" s="147" t="str">
        <f t="shared" si="1"/>
        <v/>
      </c>
      <c r="J1372" s="147" t="str">
        <f t="shared" si="13"/>
        <v/>
      </c>
      <c r="K1372" s="147" t="str">
        <f>IFERROR(__xludf.DUMMYFUNCTION("if(C1372="""","""",iferror(if(row()&lt;&gt;2,INDEX(arrayformula(filter($L$2:$L1371,$C$2:$C1371&lt;&gt;"""",row($C$2:$C1371)=max(if($C$2:$C1371=C1372,row($C$2:$C1371),0)))) ,1),0),0))"),"")</f>
        <v/>
      </c>
      <c r="L1372" s="147" t="str">
        <f t="shared" si="14"/>
        <v/>
      </c>
      <c r="M1372" s="147" t="str">
        <f t="shared" si="15"/>
        <v/>
      </c>
      <c r="N1372" s="147" t="str">
        <f t="shared" si="16"/>
        <v/>
      </c>
      <c r="O1372" s="147" t="str">
        <f t="shared" si="6"/>
        <v/>
      </c>
      <c r="P1372" s="150" t="str">
        <f t="shared" si="7"/>
        <v/>
      </c>
      <c r="Q1372" s="151" t="str">
        <f>IFERROR(VLOOKUP(C1372,Ativos!$A$1:$G2000,5,),)</f>
        <v/>
      </c>
    </row>
    <row r="1373" ht="21.0" customHeight="1">
      <c r="A1373" s="152"/>
      <c r="B1373" s="160"/>
      <c r="C1373" s="153"/>
      <c r="D1373" s="169"/>
      <c r="E1373" s="139"/>
      <c r="F1373" s="141"/>
      <c r="G1373" s="170" t="str">
        <f>IFERROR(__xludf.DUMMYFUNCTION("if($C1373="""","""",iferror(if(row()&lt;&gt;2,INDEX(arrayformula(filter($H$2:$H1372,$C$2:$C1372&lt;&gt;"""",row($C$2:$C1372)=max(if($C$2:$C1372=C1373,row($C$2:$C1372),0)))) ,1),0),0))"),"")</f>
        <v/>
      </c>
      <c r="H1373" s="170" t="str">
        <f t="shared" si="8"/>
        <v/>
      </c>
      <c r="I1373" s="147" t="str">
        <f t="shared" si="1"/>
        <v/>
      </c>
      <c r="J1373" s="147" t="str">
        <f t="shared" si="13"/>
        <v/>
      </c>
      <c r="K1373" s="147" t="str">
        <f>IFERROR(__xludf.DUMMYFUNCTION("if(C1373="""","""",iferror(if(row()&lt;&gt;2,INDEX(arrayformula(filter($L$2:$L1372,$C$2:$C1372&lt;&gt;"""",row($C$2:$C1372)=max(if($C$2:$C1372=C1373,row($C$2:$C1372),0)))) ,1),0),0))"),"")</f>
        <v/>
      </c>
      <c r="L1373" s="147" t="str">
        <f t="shared" si="14"/>
        <v/>
      </c>
      <c r="M1373" s="147" t="str">
        <f t="shared" si="15"/>
        <v/>
      </c>
      <c r="N1373" s="147" t="str">
        <f t="shared" si="16"/>
        <v/>
      </c>
      <c r="O1373" s="147" t="str">
        <f t="shared" si="6"/>
        <v/>
      </c>
      <c r="P1373" s="150" t="str">
        <f t="shared" si="7"/>
        <v/>
      </c>
      <c r="Q1373" s="151" t="str">
        <f>IFERROR(VLOOKUP(C1373,Ativos!$A$1:$G2000,5,),)</f>
        <v/>
      </c>
    </row>
    <row r="1374" ht="21.0" customHeight="1">
      <c r="A1374" s="152"/>
      <c r="B1374" s="160"/>
      <c r="C1374" s="153"/>
      <c r="D1374" s="169"/>
      <c r="E1374" s="139"/>
      <c r="F1374" s="141"/>
      <c r="G1374" s="170" t="str">
        <f>IFERROR(__xludf.DUMMYFUNCTION("if($C1374="""","""",iferror(if(row()&lt;&gt;2,INDEX(arrayformula(filter($H$2:$H1373,$C$2:$C1373&lt;&gt;"""",row($C$2:$C1373)=max(if($C$2:$C1373=C1374,row($C$2:$C1373),0)))) ,1),0),0))"),"")</f>
        <v/>
      </c>
      <c r="H1374" s="170" t="str">
        <f t="shared" si="8"/>
        <v/>
      </c>
      <c r="I1374" s="147" t="str">
        <f t="shared" si="1"/>
        <v/>
      </c>
      <c r="J1374" s="147" t="str">
        <f t="shared" si="13"/>
        <v/>
      </c>
      <c r="K1374" s="147" t="str">
        <f>IFERROR(__xludf.DUMMYFUNCTION("if(C1374="""","""",iferror(if(row()&lt;&gt;2,INDEX(arrayformula(filter($L$2:$L1373,$C$2:$C1373&lt;&gt;"""",row($C$2:$C1373)=max(if($C$2:$C1373=C1374,row($C$2:$C1373),0)))) ,1),0),0))"),"")</f>
        <v/>
      </c>
      <c r="L1374" s="147" t="str">
        <f t="shared" si="14"/>
        <v/>
      </c>
      <c r="M1374" s="147" t="str">
        <f t="shared" si="15"/>
        <v/>
      </c>
      <c r="N1374" s="147" t="str">
        <f t="shared" si="16"/>
        <v/>
      </c>
      <c r="O1374" s="147" t="str">
        <f t="shared" si="6"/>
        <v/>
      </c>
      <c r="P1374" s="150" t="str">
        <f t="shared" si="7"/>
        <v/>
      </c>
      <c r="Q1374" s="151" t="str">
        <f>IFERROR(VLOOKUP(C1374,Ativos!$A$1:$G2000,5,),)</f>
        <v/>
      </c>
    </row>
    <row r="1375" ht="21.0" customHeight="1">
      <c r="A1375" s="152"/>
      <c r="B1375" s="160"/>
      <c r="C1375" s="153"/>
      <c r="D1375" s="169"/>
      <c r="E1375" s="139"/>
      <c r="F1375" s="141"/>
      <c r="G1375" s="170" t="str">
        <f>IFERROR(__xludf.DUMMYFUNCTION("if($C1375="""","""",iferror(if(row()&lt;&gt;2,INDEX(arrayformula(filter($H$2:$H1374,$C$2:$C1374&lt;&gt;"""",row($C$2:$C1374)=max(if($C$2:$C1374=C1375,row($C$2:$C1374),0)))) ,1),0),0))"),"")</f>
        <v/>
      </c>
      <c r="H1375" s="170" t="str">
        <f t="shared" si="8"/>
        <v/>
      </c>
      <c r="I1375" s="147" t="str">
        <f t="shared" si="1"/>
        <v/>
      </c>
      <c r="J1375" s="147" t="str">
        <f t="shared" si="13"/>
        <v/>
      </c>
      <c r="K1375" s="147" t="str">
        <f>IFERROR(__xludf.DUMMYFUNCTION("if(C1375="""","""",iferror(if(row()&lt;&gt;2,INDEX(arrayformula(filter($L$2:$L1374,$C$2:$C1374&lt;&gt;"""",row($C$2:$C1374)=max(if($C$2:$C1374=C1375,row($C$2:$C1374),0)))) ,1),0),0))"),"")</f>
        <v/>
      </c>
      <c r="L1375" s="147" t="str">
        <f t="shared" si="14"/>
        <v/>
      </c>
      <c r="M1375" s="147" t="str">
        <f t="shared" si="15"/>
        <v/>
      </c>
      <c r="N1375" s="147" t="str">
        <f t="shared" si="16"/>
        <v/>
      </c>
      <c r="O1375" s="147" t="str">
        <f t="shared" si="6"/>
        <v/>
      </c>
      <c r="P1375" s="150" t="str">
        <f t="shared" si="7"/>
        <v/>
      </c>
      <c r="Q1375" s="151" t="str">
        <f>IFERROR(VLOOKUP(C1375,Ativos!$A$1:$G2000,5,),)</f>
        <v/>
      </c>
    </row>
    <row r="1376" ht="21.0" customHeight="1">
      <c r="A1376" s="152"/>
      <c r="B1376" s="160"/>
      <c r="C1376" s="153"/>
      <c r="D1376" s="169"/>
      <c r="E1376" s="139"/>
      <c r="F1376" s="141"/>
      <c r="G1376" s="170" t="str">
        <f>IFERROR(__xludf.DUMMYFUNCTION("if($C1376="""","""",iferror(if(row()&lt;&gt;2,INDEX(arrayformula(filter($H$2:$H1375,$C$2:$C1375&lt;&gt;"""",row($C$2:$C1375)=max(if($C$2:$C1375=C1376,row($C$2:$C1375),0)))) ,1),0),0))"),"")</f>
        <v/>
      </c>
      <c r="H1376" s="170" t="str">
        <f t="shared" si="8"/>
        <v/>
      </c>
      <c r="I1376" s="147" t="str">
        <f t="shared" si="1"/>
        <v/>
      </c>
      <c r="J1376" s="147" t="str">
        <f t="shared" si="13"/>
        <v/>
      </c>
      <c r="K1376" s="147" t="str">
        <f>IFERROR(__xludf.DUMMYFUNCTION("if(C1376="""","""",iferror(if(row()&lt;&gt;2,INDEX(arrayformula(filter($L$2:$L1375,$C$2:$C1375&lt;&gt;"""",row($C$2:$C1375)=max(if($C$2:$C1375=C1376,row($C$2:$C1375),0)))) ,1),0),0))"),"")</f>
        <v/>
      </c>
      <c r="L1376" s="147" t="str">
        <f t="shared" si="14"/>
        <v/>
      </c>
      <c r="M1376" s="147" t="str">
        <f t="shared" si="15"/>
        <v/>
      </c>
      <c r="N1376" s="147" t="str">
        <f t="shared" si="16"/>
        <v/>
      </c>
      <c r="O1376" s="147" t="str">
        <f t="shared" si="6"/>
        <v/>
      </c>
      <c r="P1376" s="150" t="str">
        <f t="shared" si="7"/>
        <v/>
      </c>
      <c r="Q1376" s="151" t="str">
        <f>IFERROR(VLOOKUP(C1376,Ativos!$A$1:$G2000,5,),)</f>
        <v/>
      </c>
    </row>
    <row r="1377" ht="21.0" customHeight="1">
      <c r="A1377" s="152"/>
      <c r="B1377" s="160"/>
      <c r="C1377" s="153"/>
      <c r="D1377" s="169"/>
      <c r="E1377" s="139"/>
      <c r="F1377" s="141"/>
      <c r="G1377" s="170" t="str">
        <f>IFERROR(__xludf.DUMMYFUNCTION("if($C1377="""","""",iferror(if(row()&lt;&gt;2,INDEX(arrayformula(filter($H$2:$H1376,$C$2:$C1376&lt;&gt;"""",row($C$2:$C1376)=max(if($C$2:$C1376=C1377,row($C$2:$C1376),0)))) ,1),0),0))"),"")</f>
        <v/>
      </c>
      <c r="H1377" s="170" t="str">
        <f t="shared" si="8"/>
        <v/>
      </c>
      <c r="I1377" s="147" t="str">
        <f t="shared" si="1"/>
        <v/>
      </c>
      <c r="J1377" s="147" t="str">
        <f t="shared" si="13"/>
        <v/>
      </c>
      <c r="K1377" s="147" t="str">
        <f>IFERROR(__xludf.DUMMYFUNCTION("if(C1377="""","""",iferror(if(row()&lt;&gt;2,INDEX(arrayformula(filter($L$2:$L1376,$C$2:$C1376&lt;&gt;"""",row($C$2:$C1376)=max(if($C$2:$C1376=C1377,row($C$2:$C1376),0)))) ,1),0),0))"),"")</f>
        <v/>
      </c>
      <c r="L1377" s="147" t="str">
        <f t="shared" si="14"/>
        <v/>
      </c>
      <c r="M1377" s="147" t="str">
        <f t="shared" si="15"/>
        <v/>
      </c>
      <c r="N1377" s="147" t="str">
        <f t="shared" si="16"/>
        <v/>
      </c>
      <c r="O1377" s="147" t="str">
        <f t="shared" si="6"/>
        <v/>
      </c>
      <c r="P1377" s="150" t="str">
        <f t="shared" si="7"/>
        <v/>
      </c>
      <c r="Q1377" s="151" t="str">
        <f>IFERROR(VLOOKUP(C1377,Ativos!$A$1:$G2000,5,),)</f>
        <v/>
      </c>
    </row>
    <row r="1378" ht="21.0" customHeight="1">
      <c r="A1378" s="152"/>
      <c r="B1378" s="160"/>
      <c r="C1378" s="153"/>
      <c r="D1378" s="169"/>
      <c r="E1378" s="139"/>
      <c r="F1378" s="141"/>
      <c r="G1378" s="170" t="str">
        <f>IFERROR(__xludf.DUMMYFUNCTION("if($C1378="""","""",iferror(if(row()&lt;&gt;2,INDEX(arrayformula(filter($H$2:$H1377,$C$2:$C1377&lt;&gt;"""",row($C$2:$C1377)=max(if($C$2:$C1377=C1378,row($C$2:$C1377),0)))) ,1),0),0))"),"")</f>
        <v/>
      </c>
      <c r="H1378" s="170" t="str">
        <f t="shared" si="8"/>
        <v/>
      </c>
      <c r="I1378" s="147" t="str">
        <f t="shared" si="1"/>
        <v/>
      </c>
      <c r="J1378" s="147" t="str">
        <f t="shared" si="13"/>
        <v/>
      </c>
      <c r="K1378" s="147" t="str">
        <f>IFERROR(__xludf.DUMMYFUNCTION("if(C1378="""","""",iferror(if(row()&lt;&gt;2,INDEX(arrayformula(filter($L$2:$L1377,$C$2:$C1377&lt;&gt;"""",row($C$2:$C1377)=max(if($C$2:$C1377=C1378,row($C$2:$C1377),0)))) ,1),0),0))"),"")</f>
        <v/>
      </c>
      <c r="L1378" s="147" t="str">
        <f t="shared" si="14"/>
        <v/>
      </c>
      <c r="M1378" s="147" t="str">
        <f t="shared" si="15"/>
        <v/>
      </c>
      <c r="N1378" s="147" t="str">
        <f t="shared" si="16"/>
        <v/>
      </c>
      <c r="O1378" s="147" t="str">
        <f t="shared" si="6"/>
        <v/>
      </c>
      <c r="P1378" s="150" t="str">
        <f t="shared" si="7"/>
        <v/>
      </c>
      <c r="Q1378" s="151" t="str">
        <f>IFERROR(VLOOKUP(C1378,Ativos!$A$1:$G2000,5,),)</f>
        <v/>
      </c>
    </row>
    <row r="1379" ht="21.0" customHeight="1">
      <c r="A1379" s="152"/>
      <c r="B1379" s="160"/>
      <c r="C1379" s="153"/>
      <c r="D1379" s="169"/>
      <c r="E1379" s="139"/>
      <c r="F1379" s="141"/>
      <c r="G1379" s="170" t="str">
        <f>IFERROR(__xludf.DUMMYFUNCTION("if($C1379="""","""",iferror(if(row()&lt;&gt;2,INDEX(arrayformula(filter($H$2:$H1378,$C$2:$C1378&lt;&gt;"""",row($C$2:$C1378)=max(if($C$2:$C1378=C1379,row($C$2:$C1378),0)))) ,1),0),0))"),"")</f>
        <v/>
      </c>
      <c r="H1379" s="170" t="str">
        <f t="shared" si="8"/>
        <v/>
      </c>
      <c r="I1379" s="147" t="str">
        <f t="shared" si="1"/>
        <v/>
      </c>
      <c r="J1379" s="147" t="str">
        <f t="shared" si="13"/>
        <v/>
      </c>
      <c r="K1379" s="147" t="str">
        <f>IFERROR(__xludf.DUMMYFUNCTION("if(C1379="""","""",iferror(if(row()&lt;&gt;2,INDEX(arrayformula(filter($L$2:$L1378,$C$2:$C1378&lt;&gt;"""",row($C$2:$C1378)=max(if($C$2:$C1378=C1379,row($C$2:$C1378),0)))) ,1),0),0))"),"")</f>
        <v/>
      </c>
      <c r="L1379" s="147" t="str">
        <f t="shared" si="14"/>
        <v/>
      </c>
      <c r="M1379" s="147" t="str">
        <f t="shared" si="15"/>
        <v/>
      </c>
      <c r="N1379" s="147" t="str">
        <f t="shared" si="16"/>
        <v/>
      </c>
      <c r="O1379" s="147" t="str">
        <f t="shared" si="6"/>
        <v/>
      </c>
      <c r="P1379" s="150" t="str">
        <f t="shared" si="7"/>
        <v/>
      </c>
      <c r="Q1379" s="151" t="str">
        <f>IFERROR(VLOOKUP(C1379,Ativos!$A$1:$G2000,5,),)</f>
        <v/>
      </c>
    </row>
    <row r="1380" ht="21.0" customHeight="1">
      <c r="A1380" s="152"/>
      <c r="B1380" s="160"/>
      <c r="C1380" s="153"/>
      <c r="D1380" s="169"/>
      <c r="E1380" s="139"/>
      <c r="F1380" s="141"/>
      <c r="G1380" s="170" t="str">
        <f>IFERROR(__xludf.DUMMYFUNCTION("if($C1380="""","""",iferror(if(row()&lt;&gt;2,INDEX(arrayformula(filter($H$2:$H1379,$C$2:$C1379&lt;&gt;"""",row($C$2:$C1379)=max(if($C$2:$C1379=C1380,row($C$2:$C1379),0)))) ,1),0),0))"),"")</f>
        <v/>
      </c>
      <c r="H1380" s="170" t="str">
        <f t="shared" si="8"/>
        <v/>
      </c>
      <c r="I1380" s="147" t="str">
        <f t="shared" si="1"/>
        <v/>
      </c>
      <c r="J1380" s="147" t="str">
        <f t="shared" si="13"/>
        <v/>
      </c>
      <c r="K1380" s="147" t="str">
        <f>IFERROR(__xludf.DUMMYFUNCTION("if(C1380="""","""",iferror(if(row()&lt;&gt;2,INDEX(arrayformula(filter($L$2:$L1379,$C$2:$C1379&lt;&gt;"""",row($C$2:$C1379)=max(if($C$2:$C1379=C1380,row($C$2:$C1379),0)))) ,1),0),0))"),"")</f>
        <v/>
      </c>
      <c r="L1380" s="147" t="str">
        <f t="shared" si="14"/>
        <v/>
      </c>
      <c r="M1380" s="147" t="str">
        <f t="shared" si="15"/>
        <v/>
      </c>
      <c r="N1380" s="147" t="str">
        <f t="shared" si="16"/>
        <v/>
      </c>
      <c r="O1380" s="147" t="str">
        <f t="shared" si="6"/>
        <v/>
      </c>
      <c r="P1380" s="150" t="str">
        <f t="shared" si="7"/>
        <v/>
      </c>
      <c r="Q1380" s="151" t="str">
        <f>IFERROR(VLOOKUP(C1380,Ativos!$A$1:$G2000,5,),)</f>
        <v/>
      </c>
    </row>
    <row r="1381" ht="21.0" customHeight="1">
      <c r="A1381" s="152"/>
      <c r="B1381" s="160"/>
      <c r="C1381" s="153"/>
      <c r="D1381" s="169"/>
      <c r="E1381" s="139"/>
      <c r="F1381" s="141"/>
      <c r="G1381" s="170" t="str">
        <f>IFERROR(__xludf.DUMMYFUNCTION("if($C1381="""","""",iferror(if(row()&lt;&gt;2,INDEX(arrayformula(filter($H$2:$H1380,$C$2:$C1380&lt;&gt;"""",row($C$2:$C1380)=max(if($C$2:$C1380=C1381,row($C$2:$C1380),0)))) ,1),0),0))"),"")</f>
        <v/>
      </c>
      <c r="H1381" s="170" t="str">
        <f t="shared" si="8"/>
        <v/>
      </c>
      <c r="I1381" s="147" t="str">
        <f t="shared" si="1"/>
        <v/>
      </c>
      <c r="J1381" s="147" t="str">
        <f t="shared" si="13"/>
        <v/>
      </c>
      <c r="K1381" s="147" t="str">
        <f>IFERROR(__xludf.DUMMYFUNCTION("if(C1381="""","""",iferror(if(row()&lt;&gt;2,INDEX(arrayformula(filter($L$2:$L1380,$C$2:$C1380&lt;&gt;"""",row($C$2:$C1380)=max(if($C$2:$C1380=C1381,row($C$2:$C1380),0)))) ,1),0),0))"),"")</f>
        <v/>
      </c>
      <c r="L1381" s="147" t="str">
        <f t="shared" si="14"/>
        <v/>
      </c>
      <c r="M1381" s="147" t="str">
        <f t="shared" si="15"/>
        <v/>
      </c>
      <c r="N1381" s="147" t="str">
        <f t="shared" si="16"/>
        <v/>
      </c>
      <c r="O1381" s="147" t="str">
        <f t="shared" si="6"/>
        <v/>
      </c>
      <c r="P1381" s="150" t="str">
        <f t="shared" si="7"/>
        <v/>
      </c>
      <c r="Q1381" s="151" t="str">
        <f>IFERROR(VLOOKUP(C1381,Ativos!$A$1:$G2000,5,),)</f>
        <v/>
      </c>
    </row>
    <row r="1382" ht="21.0" customHeight="1">
      <c r="A1382" s="152"/>
      <c r="B1382" s="160"/>
      <c r="C1382" s="153"/>
      <c r="D1382" s="169"/>
      <c r="E1382" s="139"/>
      <c r="F1382" s="141"/>
      <c r="G1382" s="170" t="str">
        <f>IFERROR(__xludf.DUMMYFUNCTION("if($C1382="""","""",iferror(if(row()&lt;&gt;2,INDEX(arrayformula(filter($H$2:$H1381,$C$2:$C1381&lt;&gt;"""",row($C$2:$C1381)=max(if($C$2:$C1381=C1382,row($C$2:$C1381),0)))) ,1),0),0))"),"")</f>
        <v/>
      </c>
      <c r="H1382" s="170" t="str">
        <f t="shared" si="8"/>
        <v/>
      </c>
      <c r="I1382" s="147" t="str">
        <f t="shared" si="1"/>
        <v/>
      </c>
      <c r="J1382" s="147" t="str">
        <f t="shared" si="13"/>
        <v/>
      </c>
      <c r="K1382" s="147" t="str">
        <f>IFERROR(__xludf.DUMMYFUNCTION("if(C1382="""","""",iferror(if(row()&lt;&gt;2,INDEX(arrayformula(filter($L$2:$L1381,$C$2:$C1381&lt;&gt;"""",row($C$2:$C1381)=max(if($C$2:$C1381=C1382,row($C$2:$C1381),0)))) ,1),0),0))"),"")</f>
        <v/>
      </c>
      <c r="L1382" s="147" t="str">
        <f t="shared" si="14"/>
        <v/>
      </c>
      <c r="M1382" s="147" t="str">
        <f t="shared" si="15"/>
        <v/>
      </c>
      <c r="N1382" s="147" t="str">
        <f t="shared" si="16"/>
        <v/>
      </c>
      <c r="O1382" s="147" t="str">
        <f t="shared" si="6"/>
        <v/>
      </c>
      <c r="P1382" s="150" t="str">
        <f t="shared" si="7"/>
        <v/>
      </c>
      <c r="Q1382" s="151" t="str">
        <f>IFERROR(VLOOKUP(C1382,Ativos!$A$1:$G2000,5,),)</f>
        <v/>
      </c>
    </row>
    <row r="1383" ht="21.0" customHeight="1">
      <c r="A1383" s="152"/>
      <c r="B1383" s="160"/>
      <c r="C1383" s="153"/>
      <c r="D1383" s="169"/>
      <c r="E1383" s="139"/>
      <c r="F1383" s="141"/>
      <c r="G1383" s="170" t="str">
        <f>IFERROR(__xludf.DUMMYFUNCTION("if($C1383="""","""",iferror(if(row()&lt;&gt;2,INDEX(arrayformula(filter($H$2:$H1382,$C$2:$C1382&lt;&gt;"""",row($C$2:$C1382)=max(if($C$2:$C1382=C1383,row($C$2:$C1382),0)))) ,1),0),0))"),"")</f>
        <v/>
      </c>
      <c r="H1383" s="170" t="str">
        <f t="shared" si="8"/>
        <v/>
      </c>
      <c r="I1383" s="147" t="str">
        <f t="shared" si="1"/>
        <v/>
      </c>
      <c r="J1383" s="147" t="str">
        <f t="shared" si="13"/>
        <v/>
      </c>
      <c r="K1383" s="147" t="str">
        <f>IFERROR(__xludf.DUMMYFUNCTION("if(C1383="""","""",iferror(if(row()&lt;&gt;2,INDEX(arrayformula(filter($L$2:$L1382,$C$2:$C1382&lt;&gt;"""",row($C$2:$C1382)=max(if($C$2:$C1382=C1383,row($C$2:$C1382),0)))) ,1),0),0))"),"")</f>
        <v/>
      </c>
      <c r="L1383" s="147" t="str">
        <f t="shared" si="14"/>
        <v/>
      </c>
      <c r="M1383" s="147" t="str">
        <f t="shared" si="15"/>
        <v/>
      </c>
      <c r="N1383" s="147" t="str">
        <f t="shared" si="16"/>
        <v/>
      </c>
      <c r="O1383" s="147" t="str">
        <f t="shared" si="6"/>
        <v/>
      </c>
      <c r="P1383" s="150" t="str">
        <f t="shared" si="7"/>
        <v/>
      </c>
      <c r="Q1383" s="151" t="str">
        <f>IFERROR(VLOOKUP(C1383,Ativos!$A$1:$G2000,5,),)</f>
        <v/>
      </c>
    </row>
    <row r="1384" ht="21.0" customHeight="1">
      <c r="A1384" s="152"/>
      <c r="B1384" s="160"/>
      <c r="C1384" s="153"/>
      <c r="D1384" s="169"/>
      <c r="E1384" s="139"/>
      <c r="F1384" s="141"/>
      <c r="G1384" s="170" t="str">
        <f>IFERROR(__xludf.DUMMYFUNCTION("if($C1384="""","""",iferror(if(row()&lt;&gt;2,INDEX(arrayformula(filter($H$2:$H1383,$C$2:$C1383&lt;&gt;"""",row($C$2:$C1383)=max(if($C$2:$C1383=C1384,row($C$2:$C1383),0)))) ,1),0),0))"),"")</f>
        <v/>
      </c>
      <c r="H1384" s="170" t="str">
        <f t="shared" si="8"/>
        <v/>
      </c>
      <c r="I1384" s="147" t="str">
        <f t="shared" si="1"/>
        <v/>
      </c>
      <c r="J1384" s="147" t="str">
        <f t="shared" si="13"/>
        <v/>
      </c>
      <c r="K1384" s="147" t="str">
        <f>IFERROR(__xludf.DUMMYFUNCTION("if(C1384="""","""",iferror(if(row()&lt;&gt;2,INDEX(arrayformula(filter($L$2:$L1383,$C$2:$C1383&lt;&gt;"""",row($C$2:$C1383)=max(if($C$2:$C1383=C1384,row($C$2:$C1383),0)))) ,1),0),0))"),"")</f>
        <v/>
      </c>
      <c r="L1384" s="147" t="str">
        <f t="shared" si="14"/>
        <v/>
      </c>
      <c r="M1384" s="147" t="str">
        <f t="shared" si="15"/>
        <v/>
      </c>
      <c r="N1384" s="147" t="str">
        <f t="shared" si="16"/>
        <v/>
      </c>
      <c r="O1384" s="147" t="str">
        <f t="shared" si="6"/>
        <v/>
      </c>
      <c r="P1384" s="150" t="str">
        <f t="shared" si="7"/>
        <v/>
      </c>
      <c r="Q1384" s="151" t="str">
        <f>IFERROR(VLOOKUP(C1384,Ativos!$A$1:$G2000,5,),)</f>
        <v/>
      </c>
    </row>
    <row r="1385" ht="21.0" customHeight="1">
      <c r="A1385" s="152"/>
      <c r="B1385" s="160"/>
      <c r="C1385" s="153"/>
      <c r="D1385" s="169"/>
      <c r="E1385" s="139"/>
      <c r="F1385" s="141"/>
      <c r="G1385" s="170" t="str">
        <f>IFERROR(__xludf.DUMMYFUNCTION("if($C1385="""","""",iferror(if(row()&lt;&gt;2,INDEX(arrayformula(filter($H$2:$H1384,$C$2:$C1384&lt;&gt;"""",row($C$2:$C1384)=max(if($C$2:$C1384=C1385,row($C$2:$C1384),0)))) ,1),0),0))"),"")</f>
        <v/>
      </c>
      <c r="H1385" s="170" t="str">
        <f t="shared" si="8"/>
        <v/>
      </c>
      <c r="I1385" s="147" t="str">
        <f t="shared" si="1"/>
        <v/>
      </c>
      <c r="J1385" s="147" t="str">
        <f t="shared" si="13"/>
        <v/>
      </c>
      <c r="K1385" s="147" t="str">
        <f>IFERROR(__xludf.DUMMYFUNCTION("if(C1385="""","""",iferror(if(row()&lt;&gt;2,INDEX(arrayformula(filter($L$2:$L1384,$C$2:$C1384&lt;&gt;"""",row($C$2:$C1384)=max(if($C$2:$C1384=C1385,row($C$2:$C1384),0)))) ,1),0),0))"),"")</f>
        <v/>
      </c>
      <c r="L1385" s="147" t="str">
        <f t="shared" si="14"/>
        <v/>
      </c>
      <c r="M1385" s="147" t="str">
        <f t="shared" si="15"/>
        <v/>
      </c>
      <c r="N1385" s="147" t="str">
        <f t="shared" si="16"/>
        <v/>
      </c>
      <c r="O1385" s="147" t="str">
        <f t="shared" si="6"/>
        <v/>
      </c>
      <c r="P1385" s="150" t="str">
        <f t="shared" si="7"/>
        <v/>
      </c>
      <c r="Q1385" s="151" t="str">
        <f>IFERROR(VLOOKUP(C1385,Ativos!$A$1:$G2000,5,),)</f>
        <v/>
      </c>
    </row>
    <row r="1386" ht="21.0" customHeight="1">
      <c r="A1386" s="152"/>
      <c r="B1386" s="160"/>
      <c r="C1386" s="153"/>
      <c r="D1386" s="169"/>
      <c r="E1386" s="139"/>
      <c r="F1386" s="141"/>
      <c r="G1386" s="170" t="str">
        <f>IFERROR(__xludf.DUMMYFUNCTION("if($C1386="""","""",iferror(if(row()&lt;&gt;2,INDEX(arrayformula(filter($H$2:$H1385,$C$2:$C1385&lt;&gt;"""",row($C$2:$C1385)=max(if($C$2:$C1385=C1386,row($C$2:$C1385),0)))) ,1),0),0))"),"")</f>
        <v/>
      </c>
      <c r="H1386" s="170" t="str">
        <f t="shared" si="8"/>
        <v/>
      </c>
      <c r="I1386" s="147" t="str">
        <f t="shared" si="1"/>
        <v/>
      </c>
      <c r="J1386" s="147" t="str">
        <f t="shared" si="13"/>
        <v/>
      </c>
      <c r="K1386" s="147" t="str">
        <f>IFERROR(__xludf.DUMMYFUNCTION("if(C1386="""","""",iferror(if(row()&lt;&gt;2,INDEX(arrayformula(filter($L$2:$L1385,$C$2:$C1385&lt;&gt;"""",row($C$2:$C1385)=max(if($C$2:$C1385=C1386,row($C$2:$C1385),0)))) ,1),0),0))"),"")</f>
        <v/>
      </c>
      <c r="L1386" s="147" t="str">
        <f t="shared" si="14"/>
        <v/>
      </c>
      <c r="M1386" s="147" t="str">
        <f t="shared" si="15"/>
        <v/>
      </c>
      <c r="N1386" s="147" t="str">
        <f t="shared" si="16"/>
        <v/>
      </c>
      <c r="O1386" s="147" t="str">
        <f t="shared" si="6"/>
        <v/>
      </c>
      <c r="P1386" s="150" t="str">
        <f t="shared" si="7"/>
        <v/>
      </c>
      <c r="Q1386" s="151" t="str">
        <f>IFERROR(VLOOKUP(C1386,Ativos!$A$1:$G2000,5,),)</f>
        <v/>
      </c>
    </row>
    <row r="1387" ht="21.0" customHeight="1">
      <c r="A1387" s="152"/>
      <c r="B1387" s="160"/>
      <c r="C1387" s="153"/>
      <c r="D1387" s="169"/>
      <c r="E1387" s="139"/>
      <c r="F1387" s="141"/>
      <c r="G1387" s="170" t="str">
        <f>IFERROR(__xludf.DUMMYFUNCTION("if($C1387="""","""",iferror(if(row()&lt;&gt;2,INDEX(arrayformula(filter($H$2:$H1386,$C$2:$C1386&lt;&gt;"""",row($C$2:$C1386)=max(if($C$2:$C1386=C1387,row($C$2:$C1386),0)))) ,1),0),0))"),"")</f>
        <v/>
      </c>
      <c r="H1387" s="170" t="str">
        <f t="shared" si="8"/>
        <v/>
      </c>
      <c r="I1387" s="147" t="str">
        <f t="shared" si="1"/>
        <v/>
      </c>
      <c r="J1387" s="147" t="str">
        <f t="shared" si="13"/>
        <v/>
      </c>
      <c r="K1387" s="147" t="str">
        <f>IFERROR(__xludf.DUMMYFUNCTION("if(C1387="""","""",iferror(if(row()&lt;&gt;2,INDEX(arrayformula(filter($L$2:$L1386,$C$2:$C1386&lt;&gt;"""",row($C$2:$C1386)=max(if($C$2:$C1386=C1387,row($C$2:$C1386),0)))) ,1),0),0))"),"")</f>
        <v/>
      </c>
      <c r="L1387" s="147" t="str">
        <f t="shared" si="14"/>
        <v/>
      </c>
      <c r="M1387" s="147" t="str">
        <f t="shared" si="15"/>
        <v/>
      </c>
      <c r="N1387" s="147" t="str">
        <f t="shared" si="16"/>
        <v/>
      </c>
      <c r="O1387" s="147" t="str">
        <f t="shared" si="6"/>
        <v/>
      </c>
      <c r="P1387" s="150" t="str">
        <f t="shared" si="7"/>
        <v/>
      </c>
      <c r="Q1387" s="151" t="str">
        <f>IFERROR(VLOOKUP(C1387,Ativos!$A$1:$G2000,5,),)</f>
        <v/>
      </c>
    </row>
    <row r="1388" ht="21.0" customHeight="1">
      <c r="A1388" s="152"/>
      <c r="B1388" s="160"/>
      <c r="C1388" s="153"/>
      <c r="D1388" s="169"/>
      <c r="E1388" s="139"/>
      <c r="F1388" s="141"/>
      <c r="G1388" s="170" t="str">
        <f>IFERROR(__xludf.DUMMYFUNCTION("if($C1388="""","""",iferror(if(row()&lt;&gt;2,INDEX(arrayformula(filter($H$2:$H1387,$C$2:$C1387&lt;&gt;"""",row($C$2:$C1387)=max(if($C$2:$C1387=C1388,row($C$2:$C1387),0)))) ,1),0),0))"),"")</f>
        <v/>
      </c>
      <c r="H1388" s="170" t="str">
        <f t="shared" si="8"/>
        <v/>
      </c>
      <c r="I1388" s="147" t="str">
        <f t="shared" si="1"/>
        <v/>
      </c>
      <c r="J1388" s="147" t="str">
        <f t="shared" si="13"/>
        <v/>
      </c>
      <c r="K1388" s="147" t="str">
        <f>IFERROR(__xludf.DUMMYFUNCTION("if(C1388="""","""",iferror(if(row()&lt;&gt;2,INDEX(arrayformula(filter($L$2:$L1387,$C$2:$C1387&lt;&gt;"""",row($C$2:$C1387)=max(if($C$2:$C1387=C1388,row($C$2:$C1387),0)))) ,1),0),0))"),"")</f>
        <v/>
      </c>
      <c r="L1388" s="147" t="str">
        <f t="shared" si="14"/>
        <v/>
      </c>
      <c r="M1388" s="147" t="str">
        <f t="shared" si="15"/>
        <v/>
      </c>
      <c r="N1388" s="147" t="str">
        <f t="shared" si="16"/>
        <v/>
      </c>
      <c r="O1388" s="147" t="str">
        <f t="shared" si="6"/>
        <v/>
      </c>
      <c r="P1388" s="150" t="str">
        <f t="shared" si="7"/>
        <v/>
      </c>
      <c r="Q1388" s="151" t="str">
        <f>IFERROR(VLOOKUP(C1388,Ativos!$A$1:$G2000,5,),)</f>
        <v/>
      </c>
    </row>
    <row r="1389" ht="21.0" customHeight="1">
      <c r="A1389" s="152"/>
      <c r="B1389" s="160"/>
      <c r="C1389" s="153"/>
      <c r="D1389" s="169"/>
      <c r="E1389" s="139"/>
      <c r="F1389" s="141"/>
      <c r="G1389" s="170" t="str">
        <f>IFERROR(__xludf.DUMMYFUNCTION("if($C1389="""","""",iferror(if(row()&lt;&gt;2,INDEX(arrayformula(filter($H$2:$H1388,$C$2:$C1388&lt;&gt;"""",row($C$2:$C1388)=max(if($C$2:$C1388=C1389,row($C$2:$C1388),0)))) ,1),0),0))"),"")</f>
        <v/>
      </c>
      <c r="H1389" s="170" t="str">
        <f t="shared" si="8"/>
        <v/>
      </c>
      <c r="I1389" s="147" t="str">
        <f t="shared" si="1"/>
        <v/>
      </c>
      <c r="J1389" s="147" t="str">
        <f t="shared" si="13"/>
        <v/>
      </c>
      <c r="K1389" s="147" t="str">
        <f>IFERROR(__xludf.DUMMYFUNCTION("if(C1389="""","""",iferror(if(row()&lt;&gt;2,INDEX(arrayformula(filter($L$2:$L1388,$C$2:$C1388&lt;&gt;"""",row($C$2:$C1388)=max(if($C$2:$C1388=C1389,row($C$2:$C1388),0)))) ,1),0),0))"),"")</f>
        <v/>
      </c>
      <c r="L1389" s="147" t="str">
        <f t="shared" si="14"/>
        <v/>
      </c>
      <c r="M1389" s="147" t="str">
        <f t="shared" si="15"/>
        <v/>
      </c>
      <c r="N1389" s="147" t="str">
        <f t="shared" si="16"/>
        <v/>
      </c>
      <c r="O1389" s="147" t="str">
        <f t="shared" si="6"/>
        <v/>
      </c>
      <c r="P1389" s="150" t="str">
        <f t="shared" si="7"/>
        <v/>
      </c>
      <c r="Q1389" s="151" t="str">
        <f>IFERROR(VLOOKUP(C1389,Ativos!$A$1:$G2000,5,),)</f>
        <v/>
      </c>
    </row>
    <row r="1390" ht="21.0" customHeight="1">
      <c r="A1390" s="152"/>
      <c r="B1390" s="160"/>
      <c r="C1390" s="153"/>
      <c r="D1390" s="169"/>
      <c r="E1390" s="139"/>
      <c r="F1390" s="141"/>
      <c r="G1390" s="170" t="str">
        <f>IFERROR(__xludf.DUMMYFUNCTION("if($C1390="""","""",iferror(if(row()&lt;&gt;2,INDEX(arrayformula(filter($H$2:$H1389,$C$2:$C1389&lt;&gt;"""",row($C$2:$C1389)=max(if($C$2:$C1389=C1390,row($C$2:$C1389),0)))) ,1),0),0))"),"")</f>
        <v/>
      </c>
      <c r="H1390" s="170" t="str">
        <f t="shared" si="8"/>
        <v/>
      </c>
      <c r="I1390" s="147" t="str">
        <f t="shared" si="1"/>
        <v/>
      </c>
      <c r="J1390" s="147" t="str">
        <f t="shared" si="13"/>
        <v/>
      </c>
      <c r="K1390" s="147" t="str">
        <f>IFERROR(__xludf.DUMMYFUNCTION("if(C1390="""","""",iferror(if(row()&lt;&gt;2,INDEX(arrayformula(filter($L$2:$L1389,$C$2:$C1389&lt;&gt;"""",row($C$2:$C1389)=max(if($C$2:$C1389=C1390,row($C$2:$C1389),0)))) ,1),0),0))"),"")</f>
        <v/>
      </c>
      <c r="L1390" s="147" t="str">
        <f t="shared" si="14"/>
        <v/>
      </c>
      <c r="M1390" s="147" t="str">
        <f t="shared" si="15"/>
        <v/>
      </c>
      <c r="N1390" s="147" t="str">
        <f t="shared" si="16"/>
        <v/>
      </c>
      <c r="O1390" s="147" t="str">
        <f t="shared" si="6"/>
        <v/>
      </c>
      <c r="P1390" s="150" t="str">
        <f t="shared" si="7"/>
        <v/>
      </c>
      <c r="Q1390" s="151" t="str">
        <f>IFERROR(VLOOKUP(C1390,Ativos!$A$1:$G2000,5,),)</f>
        <v/>
      </c>
    </row>
    <row r="1391" ht="21.0" customHeight="1">
      <c r="A1391" s="152"/>
      <c r="B1391" s="160"/>
      <c r="C1391" s="153"/>
      <c r="D1391" s="169"/>
      <c r="E1391" s="139"/>
      <c r="F1391" s="141"/>
      <c r="G1391" s="170" t="str">
        <f>IFERROR(__xludf.DUMMYFUNCTION("if($C1391="""","""",iferror(if(row()&lt;&gt;2,INDEX(arrayformula(filter($H$2:$H1390,$C$2:$C1390&lt;&gt;"""",row($C$2:$C1390)=max(if($C$2:$C1390=C1391,row($C$2:$C1390),0)))) ,1),0),0))"),"")</f>
        <v/>
      </c>
      <c r="H1391" s="170" t="str">
        <f t="shared" si="8"/>
        <v/>
      </c>
      <c r="I1391" s="147" t="str">
        <f t="shared" si="1"/>
        <v/>
      </c>
      <c r="J1391" s="147" t="str">
        <f t="shared" si="13"/>
        <v/>
      </c>
      <c r="K1391" s="147" t="str">
        <f>IFERROR(__xludf.DUMMYFUNCTION("if(C1391="""","""",iferror(if(row()&lt;&gt;2,INDEX(arrayformula(filter($L$2:$L1390,$C$2:$C1390&lt;&gt;"""",row($C$2:$C1390)=max(if($C$2:$C1390=C1391,row($C$2:$C1390),0)))) ,1),0),0))"),"")</f>
        <v/>
      </c>
      <c r="L1391" s="147" t="str">
        <f t="shared" si="14"/>
        <v/>
      </c>
      <c r="M1391" s="147" t="str">
        <f t="shared" si="15"/>
        <v/>
      </c>
      <c r="N1391" s="147" t="str">
        <f t="shared" si="16"/>
        <v/>
      </c>
      <c r="O1391" s="147" t="str">
        <f t="shared" si="6"/>
        <v/>
      </c>
      <c r="P1391" s="150" t="str">
        <f t="shared" si="7"/>
        <v/>
      </c>
      <c r="Q1391" s="151" t="str">
        <f>IFERROR(VLOOKUP(C1391,Ativos!$A$1:$G2000,5,),)</f>
        <v/>
      </c>
    </row>
    <row r="1392" ht="21.0" customHeight="1">
      <c r="A1392" s="152"/>
      <c r="B1392" s="160"/>
      <c r="C1392" s="153"/>
      <c r="D1392" s="169"/>
      <c r="E1392" s="139"/>
      <c r="F1392" s="141"/>
      <c r="G1392" s="170" t="str">
        <f>IFERROR(__xludf.DUMMYFUNCTION("if($C1392="""","""",iferror(if(row()&lt;&gt;2,INDEX(arrayformula(filter($H$2:$H1391,$C$2:$C1391&lt;&gt;"""",row($C$2:$C1391)=max(if($C$2:$C1391=C1392,row($C$2:$C1391),0)))) ,1),0),0))"),"")</f>
        <v/>
      </c>
      <c r="H1392" s="170" t="str">
        <f t="shared" si="8"/>
        <v/>
      </c>
      <c r="I1392" s="147" t="str">
        <f t="shared" si="1"/>
        <v/>
      </c>
      <c r="J1392" s="147" t="str">
        <f t="shared" si="13"/>
        <v/>
      </c>
      <c r="K1392" s="147" t="str">
        <f>IFERROR(__xludf.DUMMYFUNCTION("if(C1392="""","""",iferror(if(row()&lt;&gt;2,INDEX(arrayformula(filter($L$2:$L1391,$C$2:$C1391&lt;&gt;"""",row($C$2:$C1391)=max(if($C$2:$C1391=C1392,row($C$2:$C1391),0)))) ,1),0),0))"),"")</f>
        <v/>
      </c>
      <c r="L1392" s="147" t="str">
        <f t="shared" si="14"/>
        <v/>
      </c>
      <c r="M1392" s="147" t="str">
        <f t="shared" si="15"/>
        <v/>
      </c>
      <c r="N1392" s="147" t="str">
        <f t="shared" si="16"/>
        <v/>
      </c>
      <c r="O1392" s="147" t="str">
        <f t="shared" si="6"/>
        <v/>
      </c>
      <c r="P1392" s="150" t="str">
        <f t="shared" si="7"/>
        <v/>
      </c>
      <c r="Q1392" s="151" t="str">
        <f>IFERROR(VLOOKUP(C1392,Ativos!$A$1:$G2000,5,),)</f>
        <v/>
      </c>
    </row>
    <row r="1393" ht="21.0" customHeight="1">
      <c r="A1393" s="152"/>
      <c r="B1393" s="160"/>
      <c r="C1393" s="153"/>
      <c r="D1393" s="169"/>
      <c r="E1393" s="139"/>
      <c r="F1393" s="141"/>
      <c r="G1393" s="170" t="str">
        <f>IFERROR(__xludf.DUMMYFUNCTION("if($C1393="""","""",iferror(if(row()&lt;&gt;2,INDEX(arrayformula(filter($H$2:$H1392,$C$2:$C1392&lt;&gt;"""",row($C$2:$C1392)=max(if($C$2:$C1392=C1393,row($C$2:$C1392),0)))) ,1),0),0))"),"")</f>
        <v/>
      </c>
      <c r="H1393" s="170" t="str">
        <f t="shared" si="8"/>
        <v/>
      </c>
      <c r="I1393" s="147" t="str">
        <f t="shared" si="1"/>
        <v/>
      </c>
      <c r="J1393" s="147" t="str">
        <f t="shared" si="13"/>
        <v/>
      </c>
      <c r="K1393" s="147" t="str">
        <f>IFERROR(__xludf.DUMMYFUNCTION("if(C1393="""","""",iferror(if(row()&lt;&gt;2,INDEX(arrayformula(filter($L$2:$L1392,$C$2:$C1392&lt;&gt;"""",row($C$2:$C1392)=max(if($C$2:$C1392=C1393,row($C$2:$C1392),0)))) ,1),0),0))"),"")</f>
        <v/>
      </c>
      <c r="L1393" s="147" t="str">
        <f t="shared" si="14"/>
        <v/>
      </c>
      <c r="M1393" s="147" t="str">
        <f t="shared" si="15"/>
        <v/>
      </c>
      <c r="N1393" s="147" t="str">
        <f t="shared" si="16"/>
        <v/>
      </c>
      <c r="O1393" s="147" t="str">
        <f t="shared" si="6"/>
        <v/>
      </c>
      <c r="P1393" s="150" t="str">
        <f t="shared" si="7"/>
        <v/>
      </c>
      <c r="Q1393" s="151" t="str">
        <f>IFERROR(VLOOKUP(C1393,Ativos!$A$1:$G2000,5,),)</f>
        <v/>
      </c>
    </row>
    <row r="1394" ht="21.0" customHeight="1">
      <c r="A1394" s="152"/>
      <c r="B1394" s="160"/>
      <c r="C1394" s="153"/>
      <c r="D1394" s="169"/>
      <c r="E1394" s="139"/>
      <c r="F1394" s="141"/>
      <c r="G1394" s="170" t="str">
        <f>IFERROR(__xludf.DUMMYFUNCTION("if($C1394="""","""",iferror(if(row()&lt;&gt;2,INDEX(arrayformula(filter($H$2:$H1393,$C$2:$C1393&lt;&gt;"""",row($C$2:$C1393)=max(if($C$2:$C1393=C1394,row($C$2:$C1393),0)))) ,1),0),0))"),"")</f>
        <v/>
      </c>
      <c r="H1394" s="170" t="str">
        <f t="shared" si="8"/>
        <v/>
      </c>
      <c r="I1394" s="147" t="str">
        <f t="shared" si="1"/>
        <v/>
      </c>
      <c r="J1394" s="147" t="str">
        <f t="shared" si="13"/>
        <v/>
      </c>
      <c r="K1394" s="147" t="str">
        <f>IFERROR(__xludf.DUMMYFUNCTION("if(C1394="""","""",iferror(if(row()&lt;&gt;2,INDEX(arrayformula(filter($L$2:$L1393,$C$2:$C1393&lt;&gt;"""",row($C$2:$C1393)=max(if($C$2:$C1393=C1394,row($C$2:$C1393),0)))) ,1),0),0))"),"")</f>
        <v/>
      </c>
      <c r="L1394" s="147" t="str">
        <f t="shared" si="14"/>
        <v/>
      </c>
      <c r="M1394" s="147" t="str">
        <f t="shared" si="15"/>
        <v/>
      </c>
      <c r="N1394" s="147" t="str">
        <f t="shared" si="16"/>
        <v/>
      </c>
      <c r="O1394" s="147" t="str">
        <f t="shared" si="6"/>
        <v/>
      </c>
      <c r="P1394" s="150" t="str">
        <f t="shared" si="7"/>
        <v/>
      </c>
      <c r="Q1394" s="151" t="str">
        <f>IFERROR(VLOOKUP(C1394,Ativos!$A$1:$G2000,5,),)</f>
        <v/>
      </c>
    </row>
    <row r="1395" ht="21.0" customHeight="1">
      <c r="A1395" s="152"/>
      <c r="B1395" s="160"/>
      <c r="C1395" s="153"/>
      <c r="D1395" s="169"/>
      <c r="E1395" s="139"/>
      <c r="F1395" s="141"/>
      <c r="G1395" s="170" t="str">
        <f>IFERROR(__xludf.DUMMYFUNCTION("if($C1395="""","""",iferror(if(row()&lt;&gt;2,INDEX(arrayformula(filter($H$2:$H1394,$C$2:$C1394&lt;&gt;"""",row($C$2:$C1394)=max(if($C$2:$C1394=C1395,row($C$2:$C1394),0)))) ,1),0),0))"),"")</f>
        <v/>
      </c>
      <c r="H1395" s="170" t="str">
        <f t="shared" si="8"/>
        <v/>
      </c>
      <c r="I1395" s="147" t="str">
        <f t="shared" si="1"/>
        <v/>
      </c>
      <c r="J1395" s="147" t="str">
        <f t="shared" si="13"/>
        <v/>
      </c>
      <c r="K1395" s="147" t="str">
        <f>IFERROR(__xludf.DUMMYFUNCTION("if(C1395="""","""",iferror(if(row()&lt;&gt;2,INDEX(arrayformula(filter($L$2:$L1394,$C$2:$C1394&lt;&gt;"""",row($C$2:$C1394)=max(if($C$2:$C1394=C1395,row($C$2:$C1394),0)))) ,1),0),0))"),"")</f>
        <v/>
      </c>
      <c r="L1395" s="147" t="str">
        <f t="shared" si="14"/>
        <v/>
      </c>
      <c r="M1395" s="147" t="str">
        <f t="shared" si="15"/>
        <v/>
      </c>
      <c r="N1395" s="147" t="str">
        <f t="shared" si="16"/>
        <v/>
      </c>
      <c r="O1395" s="147" t="str">
        <f t="shared" si="6"/>
        <v/>
      </c>
      <c r="P1395" s="150" t="str">
        <f t="shared" si="7"/>
        <v/>
      </c>
      <c r="Q1395" s="151" t="str">
        <f>IFERROR(VLOOKUP(C1395,Ativos!$A$1:$G2000,5,),)</f>
        <v/>
      </c>
    </row>
    <row r="1396" ht="21.0" customHeight="1">
      <c r="A1396" s="152"/>
      <c r="B1396" s="160"/>
      <c r="C1396" s="153"/>
      <c r="D1396" s="169"/>
      <c r="E1396" s="139"/>
      <c r="F1396" s="141"/>
      <c r="G1396" s="170" t="str">
        <f>IFERROR(__xludf.DUMMYFUNCTION("if($C1396="""","""",iferror(if(row()&lt;&gt;2,INDEX(arrayformula(filter($H$2:$H1395,$C$2:$C1395&lt;&gt;"""",row($C$2:$C1395)=max(if($C$2:$C1395=C1396,row($C$2:$C1395),0)))) ,1),0),0))"),"")</f>
        <v/>
      </c>
      <c r="H1396" s="170" t="str">
        <f t="shared" si="8"/>
        <v/>
      </c>
      <c r="I1396" s="147" t="str">
        <f t="shared" si="1"/>
        <v/>
      </c>
      <c r="J1396" s="147" t="str">
        <f t="shared" si="13"/>
        <v/>
      </c>
      <c r="K1396" s="147" t="str">
        <f>IFERROR(__xludf.DUMMYFUNCTION("if(C1396="""","""",iferror(if(row()&lt;&gt;2,INDEX(arrayformula(filter($L$2:$L1395,$C$2:$C1395&lt;&gt;"""",row($C$2:$C1395)=max(if($C$2:$C1395=C1396,row($C$2:$C1395),0)))) ,1),0),0))"),"")</f>
        <v/>
      </c>
      <c r="L1396" s="147" t="str">
        <f t="shared" si="14"/>
        <v/>
      </c>
      <c r="M1396" s="147" t="str">
        <f t="shared" si="15"/>
        <v/>
      </c>
      <c r="N1396" s="147" t="str">
        <f t="shared" si="16"/>
        <v/>
      </c>
      <c r="O1396" s="147" t="str">
        <f t="shared" si="6"/>
        <v/>
      </c>
      <c r="P1396" s="150" t="str">
        <f t="shared" si="7"/>
        <v/>
      </c>
      <c r="Q1396" s="151" t="str">
        <f>IFERROR(VLOOKUP(C1396,Ativos!$A$1:$G2000,5,),)</f>
        <v/>
      </c>
    </row>
    <row r="1397" ht="21.0" customHeight="1">
      <c r="A1397" s="152"/>
      <c r="B1397" s="160"/>
      <c r="C1397" s="153"/>
      <c r="D1397" s="169"/>
      <c r="E1397" s="139"/>
      <c r="F1397" s="141"/>
      <c r="G1397" s="170" t="str">
        <f>IFERROR(__xludf.DUMMYFUNCTION("if($C1397="""","""",iferror(if(row()&lt;&gt;2,INDEX(arrayformula(filter($H$2:$H1396,$C$2:$C1396&lt;&gt;"""",row($C$2:$C1396)=max(if($C$2:$C1396=C1397,row($C$2:$C1396),0)))) ,1),0),0))"),"")</f>
        <v/>
      </c>
      <c r="H1397" s="170" t="str">
        <f t="shared" si="8"/>
        <v/>
      </c>
      <c r="I1397" s="147" t="str">
        <f t="shared" si="1"/>
        <v/>
      </c>
      <c r="J1397" s="147" t="str">
        <f t="shared" si="13"/>
        <v/>
      </c>
      <c r="K1397" s="147" t="str">
        <f>IFERROR(__xludf.DUMMYFUNCTION("if(C1397="""","""",iferror(if(row()&lt;&gt;2,INDEX(arrayformula(filter($L$2:$L1396,$C$2:$C1396&lt;&gt;"""",row($C$2:$C1396)=max(if($C$2:$C1396=C1397,row($C$2:$C1396),0)))) ,1),0),0))"),"")</f>
        <v/>
      </c>
      <c r="L1397" s="147" t="str">
        <f t="shared" si="14"/>
        <v/>
      </c>
      <c r="M1397" s="147" t="str">
        <f t="shared" si="15"/>
        <v/>
      </c>
      <c r="N1397" s="147" t="str">
        <f t="shared" si="16"/>
        <v/>
      </c>
      <c r="O1397" s="147" t="str">
        <f t="shared" si="6"/>
        <v/>
      </c>
      <c r="P1397" s="150" t="str">
        <f t="shared" si="7"/>
        <v/>
      </c>
      <c r="Q1397" s="151" t="str">
        <f>IFERROR(VLOOKUP(C1397,Ativos!$A$1:$G2000,5,),)</f>
        <v/>
      </c>
    </row>
    <row r="1398" ht="21.0" customHeight="1">
      <c r="A1398" s="152"/>
      <c r="B1398" s="160"/>
      <c r="C1398" s="153"/>
      <c r="D1398" s="169"/>
      <c r="E1398" s="139"/>
      <c r="F1398" s="141"/>
      <c r="G1398" s="170" t="str">
        <f>IFERROR(__xludf.DUMMYFUNCTION("if($C1398="""","""",iferror(if(row()&lt;&gt;2,INDEX(arrayformula(filter($H$2:$H1397,$C$2:$C1397&lt;&gt;"""",row($C$2:$C1397)=max(if($C$2:$C1397=C1398,row($C$2:$C1397),0)))) ,1),0),0))"),"")</f>
        <v/>
      </c>
      <c r="H1398" s="170" t="str">
        <f t="shared" si="8"/>
        <v/>
      </c>
      <c r="I1398" s="147" t="str">
        <f t="shared" si="1"/>
        <v/>
      </c>
      <c r="J1398" s="147" t="str">
        <f t="shared" si="13"/>
        <v/>
      </c>
      <c r="K1398" s="147" t="str">
        <f>IFERROR(__xludf.DUMMYFUNCTION("if(C1398="""","""",iferror(if(row()&lt;&gt;2,INDEX(arrayformula(filter($L$2:$L1397,$C$2:$C1397&lt;&gt;"""",row($C$2:$C1397)=max(if($C$2:$C1397=C1398,row($C$2:$C1397),0)))) ,1),0),0))"),"")</f>
        <v/>
      </c>
      <c r="L1398" s="147" t="str">
        <f t="shared" si="14"/>
        <v/>
      </c>
      <c r="M1398" s="147" t="str">
        <f t="shared" si="15"/>
        <v/>
      </c>
      <c r="N1398" s="147" t="str">
        <f t="shared" si="16"/>
        <v/>
      </c>
      <c r="O1398" s="147" t="str">
        <f t="shared" si="6"/>
        <v/>
      </c>
      <c r="P1398" s="150" t="str">
        <f t="shared" si="7"/>
        <v/>
      </c>
      <c r="Q1398" s="151" t="str">
        <f>IFERROR(VLOOKUP(C1398,Ativos!$A$1:$G2000,5,),)</f>
        <v/>
      </c>
    </row>
    <row r="1399" ht="21.0" customHeight="1">
      <c r="A1399" s="152"/>
      <c r="B1399" s="160"/>
      <c r="C1399" s="153"/>
      <c r="D1399" s="169"/>
      <c r="E1399" s="139"/>
      <c r="F1399" s="141"/>
      <c r="G1399" s="170" t="str">
        <f>IFERROR(__xludf.DUMMYFUNCTION("if($C1399="""","""",iferror(if(row()&lt;&gt;2,INDEX(arrayformula(filter($H$2:$H1398,$C$2:$C1398&lt;&gt;"""",row($C$2:$C1398)=max(if($C$2:$C1398=C1399,row($C$2:$C1398),0)))) ,1),0),0))"),"")</f>
        <v/>
      </c>
      <c r="H1399" s="170" t="str">
        <f t="shared" si="8"/>
        <v/>
      </c>
      <c r="I1399" s="147" t="str">
        <f t="shared" si="1"/>
        <v/>
      </c>
      <c r="J1399" s="147" t="str">
        <f t="shared" si="13"/>
        <v/>
      </c>
      <c r="K1399" s="147" t="str">
        <f>IFERROR(__xludf.DUMMYFUNCTION("if(C1399="""","""",iferror(if(row()&lt;&gt;2,INDEX(arrayformula(filter($L$2:$L1398,$C$2:$C1398&lt;&gt;"""",row($C$2:$C1398)=max(if($C$2:$C1398=C1399,row($C$2:$C1398),0)))) ,1),0),0))"),"")</f>
        <v/>
      </c>
      <c r="L1399" s="147" t="str">
        <f t="shared" si="14"/>
        <v/>
      </c>
      <c r="M1399" s="147" t="str">
        <f t="shared" si="15"/>
        <v/>
      </c>
      <c r="N1399" s="147" t="str">
        <f t="shared" si="16"/>
        <v/>
      </c>
      <c r="O1399" s="147" t="str">
        <f t="shared" si="6"/>
        <v/>
      </c>
      <c r="P1399" s="150" t="str">
        <f t="shared" si="7"/>
        <v/>
      </c>
      <c r="Q1399" s="151" t="str">
        <f>IFERROR(VLOOKUP(C1399,Ativos!$A$1:$G2000,5,),)</f>
        <v/>
      </c>
    </row>
    <row r="1400" ht="21.0" customHeight="1">
      <c r="A1400" s="152"/>
      <c r="B1400" s="160"/>
      <c r="C1400" s="153"/>
      <c r="D1400" s="169"/>
      <c r="E1400" s="139"/>
      <c r="F1400" s="141"/>
      <c r="G1400" s="170" t="str">
        <f>IFERROR(__xludf.DUMMYFUNCTION("if($C1400="""","""",iferror(if(row()&lt;&gt;2,INDEX(arrayformula(filter($H$2:$H1399,$C$2:$C1399&lt;&gt;"""",row($C$2:$C1399)=max(if($C$2:$C1399=C1400,row($C$2:$C1399),0)))) ,1),0),0))"),"")</f>
        <v/>
      </c>
      <c r="H1400" s="170" t="str">
        <f t="shared" si="8"/>
        <v/>
      </c>
      <c r="I1400" s="147" t="str">
        <f t="shared" si="1"/>
        <v/>
      </c>
      <c r="J1400" s="147" t="str">
        <f t="shared" si="13"/>
        <v/>
      </c>
      <c r="K1400" s="147" t="str">
        <f>IFERROR(__xludf.DUMMYFUNCTION("if(C1400="""","""",iferror(if(row()&lt;&gt;2,INDEX(arrayformula(filter($L$2:$L1399,$C$2:$C1399&lt;&gt;"""",row($C$2:$C1399)=max(if($C$2:$C1399=C1400,row($C$2:$C1399),0)))) ,1),0),0))"),"")</f>
        <v/>
      </c>
      <c r="L1400" s="147" t="str">
        <f t="shared" si="14"/>
        <v/>
      </c>
      <c r="M1400" s="147" t="str">
        <f t="shared" si="15"/>
        <v/>
      </c>
      <c r="N1400" s="147" t="str">
        <f t="shared" si="16"/>
        <v/>
      </c>
      <c r="O1400" s="147" t="str">
        <f t="shared" si="6"/>
        <v/>
      </c>
      <c r="P1400" s="150" t="str">
        <f t="shared" si="7"/>
        <v/>
      </c>
      <c r="Q1400" s="151" t="str">
        <f>IFERROR(VLOOKUP(C1400,Ativos!$A$1:$G2000,5,),)</f>
        <v/>
      </c>
    </row>
    <row r="1401" ht="21.0" customHeight="1">
      <c r="A1401" s="152"/>
      <c r="B1401" s="160"/>
      <c r="C1401" s="153"/>
      <c r="D1401" s="169"/>
      <c r="E1401" s="139"/>
      <c r="F1401" s="141"/>
      <c r="G1401" s="170" t="str">
        <f>IFERROR(__xludf.DUMMYFUNCTION("if($C1401="""","""",iferror(if(row()&lt;&gt;2,INDEX(arrayformula(filter($H$2:$H1400,$C$2:$C1400&lt;&gt;"""",row($C$2:$C1400)=max(if($C$2:$C1400=C1401,row($C$2:$C1400),0)))) ,1),0),0))"),"")</f>
        <v/>
      </c>
      <c r="H1401" s="170" t="str">
        <f t="shared" si="8"/>
        <v/>
      </c>
      <c r="I1401" s="147" t="str">
        <f t="shared" si="1"/>
        <v/>
      </c>
      <c r="J1401" s="147" t="str">
        <f t="shared" si="13"/>
        <v/>
      </c>
      <c r="K1401" s="147" t="str">
        <f>IFERROR(__xludf.DUMMYFUNCTION("if(C1401="""","""",iferror(if(row()&lt;&gt;2,INDEX(arrayformula(filter($L$2:$L1400,$C$2:$C1400&lt;&gt;"""",row($C$2:$C1400)=max(if($C$2:$C1400=C1401,row($C$2:$C1400),0)))) ,1),0),0))"),"")</f>
        <v/>
      </c>
      <c r="L1401" s="147" t="str">
        <f t="shared" si="14"/>
        <v/>
      </c>
      <c r="M1401" s="147" t="str">
        <f t="shared" si="15"/>
        <v/>
      </c>
      <c r="N1401" s="147" t="str">
        <f t="shared" si="16"/>
        <v/>
      </c>
      <c r="O1401" s="147" t="str">
        <f t="shared" si="6"/>
        <v/>
      </c>
      <c r="P1401" s="150" t="str">
        <f t="shared" si="7"/>
        <v/>
      </c>
      <c r="Q1401" s="151" t="str">
        <f>IFERROR(VLOOKUP(C1401,Ativos!$A$1:$G2000,5,),)</f>
        <v/>
      </c>
    </row>
    <row r="1402" ht="21.0" customHeight="1">
      <c r="A1402" s="152"/>
      <c r="B1402" s="160"/>
      <c r="C1402" s="153"/>
      <c r="D1402" s="169"/>
      <c r="E1402" s="139"/>
      <c r="F1402" s="141"/>
      <c r="G1402" s="170" t="str">
        <f>IFERROR(__xludf.DUMMYFUNCTION("if($C1402="""","""",iferror(if(row()&lt;&gt;2,INDEX(arrayformula(filter($H$2:$H1401,$C$2:$C1401&lt;&gt;"""",row($C$2:$C1401)=max(if($C$2:$C1401=C1402,row($C$2:$C1401),0)))) ,1),0),0))"),"")</f>
        <v/>
      </c>
      <c r="H1402" s="170" t="str">
        <f t="shared" si="8"/>
        <v/>
      </c>
      <c r="I1402" s="147" t="str">
        <f t="shared" si="1"/>
        <v/>
      </c>
      <c r="J1402" s="147" t="str">
        <f t="shared" si="13"/>
        <v/>
      </c>
      <c r="K1402" s="147" t="str">
        <f>IFERROR(__xludf.DUMMYFUNCTION("if(C1402="""","""",iferror(if(row()&lt;&gt;2,INDEX(arrayformula(filter($L$2:$L1401,$C$2:$C1401&lt;&gt;"""",row($C$2:$C1401)=max(if($C$2:$C1401=C1402,row($C$2:$C1401),0)))) ,1),0),0))"),"")</f>
        <v/>
      </c>
      <c r="L1402" s="147" t="str">
        <f t="shared" si="14"/>
        <v/>
      </c>
      <c r="M1402" s="147" t="str">
        <f t="shared" si="15"/>
        <v/>
      </c>
      <c r="N1402" s="147" t="str">
        <f t="shared" si="16"/>
        <v/>
      </c>
      <c r="O1402" s="147" t="str">
        <f t="shared" si="6"/>
        <v/>
      </c>
      <c r="P1402" s="150" t="str">
        <f t="shared" si="7"/>
        <v/>
      </c>
      <c r="Q1402" s="151" t="str">
        <f>IFERROR(VLOOKUP(C1402,Ativos!$A$1:$G2000,5,),)</f>
        <v/>
      </c>
    </row>
    <row r="1403" ht="21.0" customHeight="1">
      <c r="A1403" s="152"/>
      <c r="B1403" s="160"/>
      <c r="C1403" s="153"/>
      <c r="D1403" s="169"/>
      <c r="E1403" s="139"/>
      <c r="F1403" s="141"/>
      <c r="G1403" s="170" t="str">
        <f>IFERROR(__xludf.DUMMYFUNCTION("if($C1403="""","""",iferror(if(row()&lt;&gt;2,INDEX(arrayformula(filter($H$2:$H1402,$C$2:$C1402&lt;&gt;"""",row($C$2:$C1402)=max(if($C$2:$C1402=C1403,row($C$2:$C1402),0)))) ,1),0),0))"),"")</f>
        <v/>
      </c>
      <c r="H1403" s="170" t="str">
        <f t="shared" si="8"/>
        <v/>
      </c>
      <c r="I1403" s="147" t="str">
        <f t="shared" si="1"/>
        <v/>
      </c>
      <c r="J1403" s="147" t="str">
        <f t="shared" si="13"/>
        <v/>
      </c>
      <c r="K1403" s="147" t="str">
        <f>IFERROR(__xludf.DUMMYFUNCTION("if(C1403="""","""",iferror(if(row()&lt;&gt;2,INDEX(arrayformula(filter($L$2:$L1402,$C$2:$C1402&lt;&gt;"""",row($C$2:$C1402)=max(if($C$2:$C1402=C1403,row($C$2:$C1402),0)))) ,1),0),0))"),"")</f>
        <v/>
      </c>
      <c r="L1403" s="147" t="str">
        <f t="shared" si="14"/>
        <v/>
      </c>
      <c r="M1403" s="147" t="str">
        <f t="shared" si="15"/>
        <v/>
      </c>
      <c r="N1403" s="147" t="str">
        <f t="shared" si="16"/>
        <v/>
      </c>
      <c r="O1403" s="147" t="str">
        <f t="shared" si="6"/>
        <v/>
      </c>
      <c r="P1403" s="150" t="str">
        <f t="shared" si="7"/>
        <v/>
      </c>
      <c r="Q1403" s="151" t="str">
        <f>IFERROR(VLOOKUP(C1403,Ativos!$A$1:$G2000,5,),)</f>
        <v/>
      </c>
    </row>
    <row r="1404" ht="21.0" customHeight="1">
      <c r="A1404" s="152"/>
      <c r="B1404" s="160"/>
      <c r="C1404" s="153"/>
      <c r="D1404" s="169"/>
      <c r="E1404" s="139"/>
      <c r="F1404" s="141"/>
      <c r="G1404" s="170" t="str">
        <f>IFERROR(__xludf.DUMMYFUNCTION("if($C1404="""","""",iferror(if(row()&lt;&gt;2,INDEX(arrayformula(filter($H$2:$H1403,$C$2:$C1403&lt;&gt;"""",row($C$2:$C1403)=max(if($C$2:$C1403=C1404,row($C$2:$C1403),0)))) ,1),0),0))"),"")</f>
        <v/>
      </c>
      <c r="H1404" s="170" t="str">
        <f t="shared" si="8"/>
        <v/>
      </c>
      <c r="I1404" s="147" t="str">
        <f t="shared" si="1"/>
        <v/>
      </c>
      <c r="J1404" s="147" t="str">
        <f t="shared" si="13"/>
        <v/>
      </c>
      <c r="K1404" s="147" t="str">
        <f>IFERROR(__xludf.DUMMYFUNCTION("if(C1404="""","""",iferror(if(row()&lt;&gt;2,INDEX(arrayformula(filter($L$2:$L1403,$C$2:$C1403&lt;&gt;"""",row($C$2:$C1403)=max(if($C$2:$C1403=C1404,row($C$2:$C1403),0)))) ,1),0),0))"),"")</f>
        <v/>
      </c>
      <c r="L1404" s="147" t="str">
        <f t="shared" si="14"/>
        <v/>
      </c>
      <c r="M1404" s="147" t="str">
        <f t="shared" si="15"/>
        <v/>
      </c>
      <c r="N1404" s="147" t="str">
        <f t="shared" si="16"/>
        <v/>
      </c>
      <c r="O1404" s="147" t="str">
        <f t="shared" si="6"/>
        <v/>
      </c>
      <c r="P1404" s="150" t="str">
        <f t="shared" si="7"/>
        <v/>
      </c>
      <c r="Q1404" s="151" t="str">
        <f>IFERROR(VLOOKUP(C1404,Ativos!$A$1:$G2000,5,),)</f>
        <v/>
      </c>
    </row>
    <row r="1405" ht="21.0" customHeight="1">
      <c r="A1405" s="152"/>
      <c r="B1405" s="160"/>
      <c r="C1405" s="153"/>
      <c r="D1405" s="169"/>
      <c r="E1405" s="139"/>
      <c r="F1405" s="141"/>
      <c r="G1405" s="170" t="str">
        <f>IFERROR(__xludf.DUMMYFUNCTION("if($C1405="""","""",iferror(if(row()&lt;&gt;2,INDEX(arrayformula(filter($H$2:$H1404,$C$2:$C1404&lt;&gt;"""",row($C$2:$C1404)=max(if($C$2:$C1404=C1405,row($C$2:$C1404),0)))) ,1),0),0))"),"")</f>
        <v/>
      </c>
      <c r="H1405" s="170" t="str">
        <f t="shared" si="8"/>
        <v/>
      </c>
      <c r="I1405" s="147" t="str">
        <f t="shared" si="1"/>
        <v/>
      </c>
      <c r="J1405" s="147" t="str">
        <f t="shared" si="13"/>
        <v/>
      </c>
      <c r="K1405" s="147" t="str">
        <f>IFERROR(__xludf.DUMMYFUNCTION("if(C1405="""","""",iferror(if(row()&lt;&gt;2,INDEX(arrayformula(filter($L$2:$L1404,$C$2:$C1404&lt;&gt;"""",row($C$2:$C1404)=max(if($C$2:$C1404=C1405,row($C$2:$C1404),0)))) ,1),0),0))"),"")</f>
        <v/>
      </c>
      <c r="L1405" s="147" t="str">
        <f t="shared" si="14"/>
        <v/>
      </c>
      <c r="M1405" s="147" t="str">
        <f t="shared" si="15"/>
        <v/>
      </c>
      <c r="N1405" s="147" t="str">
        <f t="shared" si="16"/>
        <v/>
      </c>
      <c r="O1405" s="147" t="str">
        <f t="shared" si="6"/>
        <v/>
      </c>
      <c r="P1405" s="150" t="str">
        <f t="shared" si="7"/>
        <v/>
      </c>
      <c r="Q1405" s="151" t="str">
        <f>IFERROR(VLOOKUP(C1405,Ativos!$A$1:$G2000,5,),)</f>
        <v/>
      </c>
    </row>
    <row r="1406" ht="21.0" customHeight="1">
      <c r="A1406" s="152"/>
      <c r="B1406" s="160"/>
      <c r="C1406" s="153"/>
      <c r="D1406" s="169"/>
      <c r="E1406" s="139"/>
      <c r="F1406" s="141"/>
      <c r="G1406" s="170" t="str">
        <f>IFERROR(__xludf.DUMMYFUNCTION("if($C1406="""","""",iferror(if(row()&lt;&gt;2,INDEX(arrayformula(filter($H$2:$H1405,$C$2:$C1405&lt;&gt;"""",row($C$2:$C1405)=max(if($C$2:$C1405=C1406,row($C$2:$C1405),0)))) ,1),0),0))"),"")</f>
        <v/>
      </c>
      <c r="H1406" s="170" t="str">
        <f t="shared" si="8"/>
        <v/>
      </c>
      <c r="I1406" s="147" t="str">
        <f t="shared" si="1"/>
        <v/>
      </c>
      <c r="J1406" s="147" t="str">
        <f t="shared" si="13"/>
        <v/>
      </c>
      <c r="K1406" s="147" t="str">
        <f>IFERROR(__xludf.DUMMYFUNCTION("if(C1406="""","""",iferror(if(row()&lt;&gt;2,INDEX(arrayformula(filter($L$2:$L1405,$C$2:$C1405&lt;&gt;"""",row($C$2:$C1405)=max(if($C$2:$C1405=C1406,row($C$2:$C1405),0)))) ,1),0),0))"),"")</f>
        <v/>
      </c>
      <c r="L1406" s="147" t="str">
        <f t="shared" si="14"/>
        <v/>
      </c>
      <c r="M1406" s="147" t="str">
        <f t="shared" si="15"/>
        <v/>
      </c>
      <c r="N1406" s="147" t="str">
        <f t="shared" si="16"/>
        <v/>
      </c>
      <c r="O1406" s="147" t="str">
        <f t="shared" si="6"/>
        <v/>
      </c>
      <c r="P1406" s="150" t="str">
        <f t="shared" si="7"/>
        <v/>
      </c>
      <c r="Q1406" s="151" t="str">
        <f>IFERROR(VLOOKUP(C1406,Ativos!$A$1:$G2000,5,),)</f>
        <v/>
      </c>
    </row>
    <row r="1407" ht="21.0" customHeight="1">
      <c r="A1407" s="152"/>
      <c r="B1407" s="160"/>
      <c r="C1407" s="153"/>
      <c r="D1407" s="169"/>
      <c r="E1407" s="139"/>
      <c r="F1407" s="141"/>
      <c r="G1407" s="170" t="str">
        <f>IFERROR(__xludf.DUMMYFUNCTION("if($C1407="""","""",iferror(if(row()&lt;&gt;2,INDEX(arrayformula(filter($H$2:$H1406,$C$2:$C1406&lt;&gt;"""",row($C$2:$C1406)=max(if($C$2:$C1406=C1407,row($C$2:$C1406),0)))) ,1),0),0))"),"")</f>
        <v/>
      </c>
      <c r="H1407" s="170" t="str">
        <f t="shared" si="8"/>
        <v/>
      </c>
      <c r="I1407" s="147" t="str">
        <f t="shared" si="1"/>
        <v/>
      </c>
      <c r="J1407" s="147" t="str">
        <f t="shared" si="13"/>
        <v/>
      </c>
      <c r="K1407" s="147" t="str">
        <f>IFERROR(__xludf.DUMMYFUNCTION("if(C1407="""","""",iferror(if(row()&lt;&gt;2,INDEX(arrayformula(filter($L$2:$L1406,$C$2:$C1406&lt;&gt;"""",row($C$2:$C1406)=max(if($C$2:$C1406=C1407,row($C$2:$C1406),0)))) ,1),0),0))"),"")</f>
        <v/>
      </c>
      <c r="L1407" s="147" t="str">
        <f t="shared" si="14"/>
        <v/>
      </c>
      <c r="M1407" s="147" t="str">
        <f t="shared" si="15"/>
        <v/>
      </c>
      <c r="N1407" s="147" t="str">
        <f t="shared" si="16"/>
        <v/>
      </c>
      <c r="O1407" s="147" t="str">
        <f t="shared" si="6"/>
        <v/>
      </c>
      <c r="P1407" s="150" t="str">
        <f t="shared" si="7"/>
        <v/>
      </c>
      <c r="Q1407" s="151" t="str">
        <f>IFERROR(VLOOKUP(C1407,Ativos!$A$1:$G2000,5,),)</f>
        <v/>
      </c>
    </row>
    <row r="1408" ht="21.0" customHeight="1">
      <c r="A1408" s="152"/>
      <c r="B1408" s="160"/>
      <c r="C1408" s="153"/>
      <c r="D1408" s="169"/>
      <c r="E1408" s="139"/>
      <c r="F1408" s="141"/>
      <c r="G1408" s="170" t="str">
        <f>IFERROR(__xludf.DUMMYFUNCTION("if($C1408="""","""",iferror(if(row()&lt;&gt;2,INDEX(arrayformula(filter($H$2:$H1407,$C$2:$C1407&lt;&gt;"""",row($C$2:$C1407)=max(if($C$2:$C1407=C1408,row($C$2:$C1407),0)))) ,1),0),0))"),"")</f>
        <v/>
      </c>
      <c r="H1408" s="170" t="str">
        <f t="shared" si="8"/>
        <v/>
      </c>
      <c r="I1408" s="147" t="str">
        <f t="shared" si="1"/>
        <v/>
      </c>
      <c r="J1408" s="147" t="str">
        <f t="shared" si="13"/>
        <v/>
      </c>
      <c r="K1408" s="147" t="str">
        <f>IFERROR(__xludf.DUMMYFUNCTION("if(C1408="""","""",iferror(if(row()&lt;&gt;2,INDEX(arrayformula(filter($L$2:$L1407,$C$2:$C1407&lt;&gt;"""",row($C$2:$C1407)=max(if($C$2:$C1407=C1408,row($C$2:$C1407),0)))) ,1),0),0))"),"")</f>
        <v/>
      </c>
      <c r="L1408" s="147" t="str">
        <f t="shared" si="14"/>
        <v/>
      </c>
      <c r="M1408" s="147" t="str">
        <f t="shared" si="15"/>
        <v/>
      </c>
      <c r="N1408" s="147" t="str">
        <f t="shared" si="16"/>
        <v/>
      </c>
      <c r="O1408" s="147" t="str">
        <f t="shared" si="6"/>
        <v/>
      </c>
      <c r="P1408" s="150" t="str">
        <f t="shared" si="7"/>
        <v/>
      </c>
      <c r="Q1408" s="151" t="str">
        <f>IFERROR(VLOOKUP(C1408,Ativos!$A$1:$G2000,5,),)</f>
        <v/>
      </c>
    </row>
    <row r="1409" ht="21.0" customHeight="1">
      <c r="A1409" s="152"/>
      <c r="B1409" s="160"/>
      <c r="C1409" s="153"/>
      <c r="D1409" s="169"/>
      <c r="E1409" s="139"/>
      <c r="F1409" s="141"/>
      <c r="G1409" s="170" t="str">
        <f>IFERROR(__xludf.DUMMYFUNCTION("if($C1409="""","""",iferror(if(row()&lt;&gt;2,INDEX(arrayformula(filter($H$2:$H1408,$C$2:$C1408&lt;&gt;"""",row($C$2:$C1408)=max(if($C$2:$C1408=C1409,row($C$2:$C1408),0)))) ,1),0),0))"),"")</f>
        <v/>
      </c>
      <c r="H1409" s="170" t="str">
        <f t="shared" si="8"/>
        <v/>
      </c>
      <c r="I1409" s="147" t="str">
        <f t="shared" si="1"/>
        <v/>
      </c>
      <c r="J1409" s="147" t="str">
        <f t="shared" si="13"/>
        <v/>
      </c>
      <c r="K1409" s="147" t="str">
        <f>IFERROR(__xludf.DUMMYFUNCTION("if(C1409="""","""",iferror(if(row()&lt;&gt;2,INDEX(arrayformula(filter($L$2:$L1408,$C$2:$C1408&lt;&gt;"""",row($C$2:$C1408)=max(if($C$2:$C1408=C1409,row($C$2:$C1408),0)))) ,1),0),0))"),"")</f>
        <v/>
      </c>
      <c r="L1409" s="147" t="str">
        <f t="shared" si="14"/>
        <v/>
      </c>
      <c r="M1409" s="147" t="str">
        <f t="shared" si="15"/>
        <v/>
      </c>
      <c r="N1409" s="147" t="str">
        <f t="shared" si="16"/>
        <v/>
      </c>
      <c r="O1409" s="147" t="str">
        <f t="shared" si="6"/>
        <v/>
      </c>
      <c r="P1409" s="150" t="str">
        <f t="shared" si="7"/>
        <v/>
      </c>
      <c r="Q1409" s="151" t="str">
        <f>IFERROR(VLOOKUP(C1409,Ativos!$A$1:$G2000,5,),)</f>
        <v/>
      </c>
    </row>
    <row r="1410" ht="21.0" customHeight="1">
      <c r="A1410" s="152"/>
      <c r="B1410" s="160"/>
      <c r="C1410" s="153"/>
      <c r="D1410" s="169"/>
      <c r="E1410" s="139"/>
      <c r="F1410" s="141"/>
      <c r="G1410" s="170" t="str">
        <f>IFERROR(__xludf.DUMMYFUNCTION("if($C1410="""","""",iferror(if(row()&lt;&gt;2,INDEX(arrayformula(filter($H$2:$H1409,$C$2:$C1409&lt;&gt;"""",row($C$2:$C1409)=max(if($C$2:$C1409=C1410,row($C$2:$C1409),0)))) ,1),0),0))"),"")</f>
        <v/>
      </c>
      <c r="H1410" s="170" t="str">
        <f t="shared" si="8"/>
        <v/>
      </c>
      <c r="I1410" s="147" t="str">
        <f t="shared" si="1"/>
        <v/>
      </c>
      <c r="J1410" s="147" t="str">
        <f t="shared" si="13"/>
        <v/>
      </c>
      <c r="K1410" s="147" t="str">
        <f>IFERROR(__xludf.DUMMYFUNCTION("if(C1410="""","""",iferror(if(row()&lt;&gt;2,INDEX(arrayformula(filter($L$2:$L1409,$C$2:$C1409&lt;&gt;"""",row($C$2:$C1409)=max(if($C$2:$C1409=C1410,row($C$2:$C1409),0)))) ,1),0),0))"),"")</f>
        <v/>
      </c>
      <c r="L1410" s="147" t="str">
        <f t="shared" si="14"/>
        <v/>
      </c>
      <c r="M1410" s="147" t="str">
        <f t="shared" si="15"/>
        <v/>
      </c>
      <c r="N1410" s="147" t="str">
        <f t="shared" si="16"/>
        <v/>
      </c>
      <c r="O1410" s="147" t="str">
        <f t="shared" si="6"/>
        <v/>
      </c>
      <c r="P1410" s="150" t="str">
        <f t="shared" si="7"/>
        <v/>
      </c>
      <c r="Q1410" s="151" t="str">
        <f>IFERROR(VLOOKUP(C1410,Ativos!$A$1:$G2000,5,),)</f>
        <v/>
      </c>
    </row>
    <row r="1411" ht="21.0" customHeight="1">
      <c r="A1411" s="152"/>
      <c r="B1411" s="160"/>
      <c r="C1411" s="153"/>
      <c r="D1411" s="169"/>
      <c r="E1411" s="139"/>
      <c r="F1411" s="141"/>
      <c r="G1411" s="170" t="str">
        <f>IFERROR(__xludf.DUMMYFUNCTION("if($C1411="""","""",iferror(if(row()&lt;&gt;2,INDEX(arrayformula(filter($H$2:$H1410,$C$2:$C1410&lt;&gt;"""",row($C$2:$C1410)=max(if($C$2:$C1410=C1411,row($C$2:$C1410),0)))) ,1),0),0))"),"")</f>
        <v/>
      </c>
      <c r="H1411" s="170" t="str">
        <f t="shared" si="8"/>
        <v/>
      </c>
      <c r="I1411" s="147" t="str">
        <f t="shared" si="1"/>
        <v/>
      </c>
      <c r="J1411" s="147" t="str">
        <f t="shared" si="13"/>
        <v/>
      </c>
      <c r="K1411" s="147" t="str">
        <f>IFERROR(__xludf.DUMMYFUNCTION("if(C1411="""","""",iferror(if(row()&lt;&gt;2,INDEX(arrayformula(filter($L$2:$L1410,$C$2:$C1410&lt;&gt;"""",row($C$2:$C1410)=max(if($C$2:$C1410=C1411,row($C$2:$C1410),0)))) ,1),0),0))"),"")</f>
        <v/>
      </c>
      <c r="L1411" s="147" t="str">
        <f t="shared" si="14"/>
        <v/>
      </c>
      <c r="M1411" s="147" t="str">
        <f t="shared" si="15"/>
        <v/>
      </c>
      <c r="N1411" s="147" t="str">
        <f t="shared" si="16"/>
        <v/>
      </c>
      <c r="O1411" s="147" t="str">
        <f t="shared" si="6"/>
        <v/>
      </c>
      <c r="P1411" s="150" t="str">
        <f t="shared" si="7"/>
        <v/>
      </c>
      <c r="Q1411" s="151" t="str">
        <f>IFERROR(VLOOKUP(C1411,Ativos!$A$1:$G2000,5,),)</f>
        <v/>
      </c>
    </row>
    <row r="1412" ht="21.0" customHeight="1">
      <c r="A1412" s="152"/>
      <c r="B1412" s="160"/>
      <c r="C1412" s="153"/>
      <c r="D1412" s="169"/>
      <c r="E1412" s="139"/>
      <c r="F1412" s="141"/>
      <c r="G1412" s="170" t="str">
        <f>IFERROR(__xludf.DUMMYFUNCTION("if($C1412="""","""",iferror(if(row()&lt;&gt;2,INDEX(arrayformula(filter($H$2:$H1411,$C$2:$C1411&lt;&gt;"""",row($C$2:$C1411)=max(if($C$2:$C1411=C1412,row($C$2:$C1411),0)))) ,1),0),0))"),"")</f>
        <v/>
      </c>
      <c r="H1412" s="170" t="str">
        <f t="shared" si="8"/>
        <v/>
      </c>
      <c r="I1412" s="147" t="str">
        <f t="shared" si="1"/>
        <v/>
      </c>
      <c r="J1412" s="147" t="str">
        <f t="shared" si="13"/>
        <v/>
      </c>
      <c r="K1412" s="147" t="str">
        <f>IFERROR(__xludf.DUMMYFUNCTION("if(C1412="""","""",iferror(if(row()&lt;&gt;2,INDEX(arrayformula(filter($L$2:$L1411,$C$2:$C1411&lt;&gt;"""",row($C$2:$C1411)=max(if($C$2:$C1411=C1412,row($C$2:$C1411),0)))) ,1),0),0))"),"")</f>
        <v/>
      </c>
      <c r="L1412" s="147" t="str">
        <f t="shared" si="14"/>
        <v/>
      </c>
      <c r="M1412" s="147" t="str">
        <f t="shared" si="15"/>
        <v/>
      </c>
      <c r="N1412" s="147" t="str">
        <f t="shared" si="16"/>
        <v/>
      </c>
      <c r="O1412" s="147" t="str">
        <f t="shared" si="6"/>
        <v/>
      </c>
      <c r="P1412" s="150" t="str">
        <f t="shared" si="7"/>
        <v/>
      </c>
      <c r="Q1412" s="151" t="str">
        <f>IFERROR(VLOOKUP(C1412,Ativos!$A$1:$G2000,5,),)</f>
        <v/>
      </c>
    </row>
    <row r="1413" ht="21.0" customHeight="1">
      <c r="A1413" s="152"/>
      <c r="B1413" s="160"/>
      <c r="C1413" s="153"/>
      <c r="D1413" s="169"/>
      <c r="E1413" s="139"/>
      <c r="F1413" s="141"/>
      <c r="G1413" s="170" t="str">
        <f>IFERROR(__xludf.DUMMYFUNCTION("if($C1413="""","""",iferror(if(row()&lt;&gt;2,INDEX(arrayformula(filter($H$2:$H1412,$C$2:$C1412&lt;&gt;"""",row($C$2:$C1412)=max(if($C$2:$C1412=C1413,row($C$2:$C1412),0)))) ,1),0),0))"),"")</f>
        <v/>
      </c>
      <c r="H1413" s="170" t="str">
        <f t="shared" si="8"/>
        <v/>
      </c>
      <c r="I1413" s="147" t="str">
        <f t="shared" si="1"/>
        <v/>
      </c>
      <c r="J1413" s="147" t="str">
        <f t="shared" si="13"/>
        <v/>
      </c>
      <c r="K1413" s="147" t="str">
        <f>IFERROR(__xludf.DUMMYFUNCTION("if(C1413="""","""",iferror(if(row()&lt;&gt;2,INDEX(arrayformula(filter($L$2:$L1412,$C$2:$C1412&lt;&gt;"""",row($C$2:$C1412)=max(if($C$2:$C1412=C1413,row($C$2:$C1412),0)))) ,1),0),0))"),"")</f>
        <v/>
      </c>
      <c r="L1413" s="147" t="str">
        <f t="shared" si="14"/>
        <v/>
      </c>
      <c r="M1413" s="147" t="str">
        <f t="shared" si="15"/>
        <v/>
      </c>
      <c r="N1413" s="147" t="str">
        <f t="shared" si="16"/>
        <v/>
      </c>
      <c r="O1413" s="147" t="str">
        <f t="shared" si="6"/>
        <v/>
      </c>
      <c r="P1413" s="150" t="str">
        <f t="shared" si="7"/>
        <v/>
      </c>
      <c r="Q1413" s="151" t="str">
        <f>IFERROR(VLOOKUP(C1413,Ativos!$A$1:$G2000,5,),)</f>
        <v/>
      </c>
    </row>
    <row r="1414" ht="21.0" customHeight="1">
      <c r="A1414" s="152"/>
      <c r="B1414" s="160"/>
      <c r="C1414" s="153"/>
      <c r="D1414" s="169"/>
      <c r="E1414" s="139"/>
      <c r="F1414" s="141"/>
      <c r="G1414" s="170" t="str">
        <f>IFERROR(__xludf.DUMMYFUNCTION("if($C1414="""","""",iferror(if(row()&lt;&gt;2,INDEX(arrayformula(filter($H$2:$H1413,$C$2:$C1413&lt;&gt;"""",row($C$2:$C1413)=max(if($C$2:$C1413=C1414,row($C$2:$C1413),0)))) ,1),0),0))"),"")</f>
        <v/>
      </c>
      <c r="H1414" s="170" t="str">
        <f t="shared" si="8"/>
        <v/>
      </c>
      <c r="I1414" s="147" t="str">
        <f t="shared" si="1"/>
        <v/>
      </c>
      <c r="J1414" s="147" t="str">
        <f t="shared" si="13"/>
        <v/>
      </c>
      <c r="K1414" s="147" t="str">
        <f>IFERROR(__xludf.DUMMYFUNCTION("if(C1414="""","""",iferror(if(row()&lt;&gt;2,INDEX(arrayformula(filter($L$2:$L1413,$C$2:$C1413&lt;&gt;"""",row($C$2:$C1413)=max(if($C$2:$C1413=C1414,row($C$2:$C1413),0)))) ,1),0),0))"),"")</f>
        <v/>
      </c>
      <c r="L1414" s="147" t="str">
        <f t="shared" si="14"/>
        <v/>
      </c>
      <c r="M1414" s="147" t="str">
        <f t="shared" si="15"/>
        <v/>
      </c>
      <c r="N1414" s="147" t="str">
        <f t="shared" si="16"/>
        <v/>
      </c>
      <c r="O1414" s="147" t="str">
        <f t="shared" si="6"/>
        <v/>
      </c>
      <c r="P1414" s="150" t="str">
        <f t="shared" si="7"/>
        <v/>
      </c>
      <c r="Q1414" s="151" t="str">
        <f>IFERROR(VLOOKUP(C1414,Ativos!$A$1:$G2000,5,),)</f>
        <v/>
      </c>
    </row>
    <row r="1415" ht="21.0" customHeight="1">
      <c r="A1415" s="152"/>
      <c r="B1415" s="160"/>
      <c r="C1415" s="153"/>
      <c r="D1415" s="169"/>
      <c r="E1415" s="139"/>
      <c r="F1415" s="141"/>
      <c r="G1415" s="170" t="str">
        <f>IFERROR(__xludf.DUMMYFUNCTION("if($C1415="""","""",iferror(if(row()&lt;&gt;2,INDEX(arrayformula(filter($H$2:$H1414,$C$2:$C1414&lt;&gt;"""",row($C$2:$C1414)=max(if($C$2:$C1414=C1415,row($C$2:$C1414),0)))) ,1),0),0))"),"")</f>
        <v/>
      </c>
      <c r="H1415" s="170" t="str">
        <f t="shared" si="8"/>
        <v/>
      </c>
      <c r="I1415" s="147" t="str">
        <f t="shared" si="1"/>
        <v/>
      </c>
      <c r="J1415" s="147" t="str">
        <f t="shared" si="13"/>
        <v/>
      </c>
      <c r="K1415" s="147" t="str">
        <f>IFERROR(__xludf.DUMMYFUNCTION("if(C1415="""","""",iferror(if(row()&lt;&gt;2,INDEX(arrayformula(filter($L$2:$L1414,$C$2:$C1414&lt;&gt;"""",row($C$2:$C1414)=max(if($C$2:$C1414=C1415,row($C$2:$C1414),0)))) ,1),0),0))"),"")</f>
        <v/>
      </c>
      <c r="L1415" s="147" t="str">
        <f t="shared" si="14"/>
        <v/>
      </c>
      <c r="M1415" s="147" t="str">
        <f t="shared" si="15"/>
        <v/>
      </c>
      <c r="N1415" s="147" t="str">
        <f t="shared" si="16"/>
        <v/>
      </c>
      <c r="O1415" s="147" t="str">
        <f t="shared" si="6"/>
        <v/>
      </c>
      <c r="P1415" s="150" t="str">
        <f t="shared" si="7"/>
        <v/>
      </c>
      <c r="Q1415" s="151" t="str">
        <f>IFERROR(VLOOKUP(C1415,Ativos!$A$1:$G2000,5,),)</f>
        <v/>
      </c>
    </row>
    <row r="1416" ht="21.0" customHeight="1">
      <c r="A1416" s="152"/>
      <c r="B1416" s="160"/>
      <c r="C1416" s="153"/>
      <c r="D1416" s="169"/>
      <c r="E1416" s="139"/>
      <c r="F1416" s="141"/>
      <c r="G1416" s="170" t="str">
        <f>IFERROR(__xludf.DUMMYFUNCTION("if($C1416="""","""",iferror(if(row()&lt;&gt;2,INDEX(arrayformula(filter($H$2:$H1415,$C$2:$C1415&lt;&gt;"""",row($C$2:$C1415)=max(if($C$2:$C1415=C1416,row($C$2:$C1415),0)))) ,1),0),0))"),"")</f>
        <v/>
      </c>
      <c r="H1416" s="170" t="str">
        <f t="shared" si="8"/>
        <v/>
      </c>
      <c r="I1416" s="147" t="str">
        <f t="shared" si="1"/>
        <v/>
      </c>
      <c r="J1416" s="147" t="str">
        <f t="shared" si="13"/>
        <v/>
      </c>
      <c r="K1416" s="147" t="str">
        <f>IFERROR(__xludf.DUMMYFUNCTION("if(C1416="""","""",iferror(if(row()&lt;&gt;2,INDEX(arrayformula(filter($L$2:$L1415,$C$2:$C1415&lt;&gt;"""",row($C$2:$C1415)=max(if($C$2:$C1415=C1416,row($C$2:$C1415),0)))) ,1),0),0))"),"")</f>
        <v/>
      </c>
      <c r="L1416" s="147" t="str">
        <f t="shared" si="14"/>
        <v/>
      </c>
      <c r="M1416" s="147" t="str">
        <f t="shared" si="15"/>
        <v/>
      </c>
      <c r="N1416" s="147" t="str">
        <f t="shared" si="16"/>
        <v/>
      </c>
      <c r="O1416" s="147" t="str">
        <f t="shared" si="6"/>
        <v/>
      </c>
      <c r="P1416" s="150" t="str">
        <f t="shared" si="7"/>
        <v/>
      </c>
      <c r="Q1416" s="151" t="str">
        <f>IFERROR(VLOOKUP(C1416,Ativos!$A$1:$G2000,5,),)</f>
        <v/>
      </c>
    </row>
    <row r="1417" ht="21.0" customHeight="1">
      <c r="A1417" s="152"/>
      <c r="B1417" s="160"/>
      <c r="C1417" s="153"/>
      <c r="D1417" s="169"/>
      <c r="E1417" s="139"/>
      <c r="F1417" s="141"/>
      <c r="G1417" s="170" t="str">
        <f>IFERROR(__xludf.DUMMYFUNCTION("if($C1417="""","""",iferror(if(row()&lt;&gt;2,INDEX(arrayformula(filter($H$2:$H1416,$C$2:$C1416&lt;&gt;"""",row($C$2:$C1416)=max(if($C$2:$C1416=C1417,row($C$2:$C1416),0)))) ,1),0),0))"),"")</f>
        <v/>
      </c>
      <c r="H1417" s="170" t="str">
        <f t="shared" si="8"/>
        <v/>
      </c>
      <c r="I1417" s="147" t="str">
        <f t="shared" si="1"/>
        <v/>
      </c>
      <c r="J1417" s="147" t="str">
        <f t="shared" si="13"/>
        <v/>
      </c>
      <c r="K1417" s="147" t="str">
        <f>IFERROR(__xludf.DUMMYFUNCTION("if(C1417="""","""",iferror(if(row()&lt;&gt;2,INDEX(arrayformula(filter($L$2:$L1416,$C$2:$C1416&lt;&gt;"""",row($C$2:$C1416)=max(if($C$2:$C1416=C1417,row($C$2:$C1416),0)))) ,1),0),0))"),"")</f>
        <v/>
      </c>
      <c r="L1417" s="147" t="str">
        <f t="shared" si="14"/>
        <v/>
      </c>
      <c r="M1417" s="147" t="str">
        <f t="shared" si="15"/>
        <v/>
      </c>
      <c r="N1417" s="147" t="str">
        <f t="shared" si="16"/>
        <v/>
      </c>
      <c r="O1417" s="147" t="str">
        <f t="shared" si="6"/>
        <v/>
      </c>
      <c r="P1417" s="150" t="str">
        <f t="shared" si="7"/>
        <v/>
      </c>
      <c r="Q1417" s="151" t="str">
        <f>IFERROR(VLOOKUP(C1417,Ativos!$A$1:$G2000,5,),)</f>
        <v/>
      </c>
    </row>
    <row r="1418" ht="21.0" customHeight="1">
      <c r="A1418" s="152"/>
      <c r="B1418" s="160"/>
      <c r="C1418" s="153"/>
      <c r="D1418" s="169"/>
      <c r="E1418" s="139"/>
      <c r="F1418" s="141"/>
      <c r="G1418" s="170" t="str">
        <f>IFERROR(__xludf.DUMMYFUNCTION("if($C1418="""","""",iferror(if(row()&lt;&gt;2,INDEX(arrayformula(filter($H$2:$H1417,$C$2:$C1417&lt;&gt;"""",row($C$2:$C1417)=max(if($C$2:$C1417=C1418,row($C$2:$C1417),0)))) ,1),0),0))"),"")</f>
        <v/>
      </c>
      <c r="H1418" s="170" t="str">
        <f t="shared" si="8"/>
        <v/>
      </c>
      <c r="I1418" s="147" t="str">
        <f t="shared" si="1"/>
        <v/>
      </c>
      <c r="J1418" s="147" t="str">
        <f t="shared" si="13"/>
        <v/>
      </c>
      <c r="K1418" s="147" t="str">
        <f>IFERROR(__xludf.DUMMYFUNCTION("if(C1418="""","""",iferror(if(row()&lt;&gt;2,INDEX(arrayformula(filter($L$2:$L1417,$C$2:$C1417&lt;&gt;"""",row($C$2:$C1417)=max(if($C$2:$C1417=C1418,row($C$2:$C1417),0)))) ,1),0),0))"),"")</f>
        <v/>
      </c>
      <c r="L1418" s="147" t="str">
        <f t="shared" si="14"/>
        <v/>
      </c>
      <c r="M1418" s="147" t="str">
        <f t="shared" si="15"/>
        <v/>
      </c>
      <c r="N1418" s="147" t="str">
        <f t="shared" si="16"/>
        <v/>
      </c>
      <c r="O1418" s="147" t="str">
        <f t="shared" si="6"/>
        <v/>
      </c>
      <c r="P1418" s="150" t="str">
        <f t="shared" si="7"/>
        <v/>
      </c>
      <c r="Q1418" s="151" t="str">
        <f>IFERROR(VLOOKUP(C1418,Ativos!$A$1:$G2000,5,),)</f>
        <v/>
      </c>
    </row>
    <row r="1419" ht="21.0" customHeight="1">
      <c r="A1419" s="152"/>
      <c r="B1419" s="160"/>
      <c r="C1419" s="153"/>
      <c r="D1419" s="169"/>
      <c r="E1419" s="139"/>
      <c r="F1419" s="141"/>
      <c r="G1419" s="170" t="str">
        <f>IFERROR(__xludf.DUMMYFUNCTION("if($C1419="""","""",iferror(if(row()&lt;&gt;2,INDEX(arrayformula(filter($H$2:$H1418,$C$2:$C1418&lt;&gt;"""",row($C$2:$C1418)=max(if($C$2:$C1418=C1419,row($C$2:$C1418),0)))) ,1),0),0))"),"")</f>
        <v/>
      </c>
      <c r="H1419" s="170" t="str">
        <f t="shared" si="8"/>
        <v/>
      </c>
      <c r="I1419" s="147" t="str">
        <f t="shared" si="1"/>
        <v/>
      </c>
      <c r="J1419" s="147" t="str">
        <f t="shared" si="13"/>
        <v/>
      </c>
      <c r="K1419" s="147" t="str">
        <f>IFERROR(__xludf.DUMMYFUNCTION("if(C1419="""","""",iferror(if(row()&lt;&gt;2,INDEX(arrayformula(filter($L$2:$L1418,$C$2:$C1418&lt;&gt;"""",row($C$2:$C1418)=max(if($C$2:$C1418=C1419,row($C$2:$C1418),0)))) ,1),0),0))"),"")</f>
        <v/>
      </c>
      <c r="L1419" s="147" t="str">
        <f t="shared" si="14"/>
        <v/>
      </c>
      <c r="M1419" s="147" t="str">
        <f t="shared" si="15"/>
        <v/>
      </c>
      <c r="N1419" s="147" t="str">
        <f t="shared" si="16"/>
        <v/>
      </c>
      <c r="O1419" s="147" t="str">
        <f t="shared" si="6"/>
        <v/>
      </c>
      <c r="P1419" s="150" t="str">
        <f t="shared" si="7"/>
        <v/>
      </c>
      <c r="Q1419" s="151" t="str">
        <f>IFERROR(VLOOKUP(C1419,Ativos!$A$1:$G2000,5,),)</f>
        <v/>
      </c>
    </row>
    <row r="1420" ht="21.0" customHeight="1">
      <c r="A1420" s="152"/>
      <c r="B1420" s="160"/>
      <c r="C1420" s="153"/>
      <c r="D1420" s="169"/>
      <c r="E1420" s="139"/>
      <c r="F1420" s="141"/>
      <c r="G1420" s="170" t="str">
        <f>IFERROR(__xludf.DUMMYFUNCTION("if($C1420="""","""",iferror(if(row()&lt;&gt;2,INDEX(arrayformula(filter($H$2:$H1419,$C$2:$C1419&lt;&gt;"""",row($C$2:$C1419)=max(if($C$2:$C1419=C1420,row($C$2:$C1419),0)))) ,1),0),0))"),"")</f>
        <v/>
      </c>
      <c r="H1420" s="170" t="str">
        <f t="shared" si="8"/>
        <v/>
      </c>
      <c r="I1420" s="147" t="str">
        <f t="shared" si="1"/>
        <v/>
      </c>
      <c r="J1420" s="147" t="str">
        <f t="shared" si="13"/>
        <v/>
      </c>
      <c r="K1420" s="147" t="str">
        <f>IFERROR(__xludf.DUMMYFUNCTION("if(C1420="""","""",iferror(if(row()&lt;&gt;2,INDEX(arrayformula(filter($L$2:$L1419,$C$2:$C1419&lt;&gt;"""",row($C$2:$C1419)=max(if($C$2:$C1419=C1420,row($C$2:$C1419),0)))) ,1),0),0))"),"")</f>
        <v/>
      </c>
      <c r="L1420" s="147" t="str">
        <f t="shared" si="14"/>
        <v/>
      </c>
      <c r="M1420" s="147" t="str">
        <f t="shared" si="15"/>
        <v/>
      </c>
      <c r="N1420" s="147" t="str">
        <f t="shared" si="16"/>
        <v/>
      </c>
      <c r="O1420" s="147" t="str">
        <f t="shared" si="6"/>
        <v/>
      </c>
      <c r="P1420" s="150" t="str">
        <f t="shared" si="7"/>
        <v/>
      </c>
      <c r="Q1420" s="151" t="str">
        <f>IFERROR(VLOOKUP(C1420,Ativos!$A$1:$G2000,5,),)</f>
        <v/>
      </c>
    </row>
    <row r="1421" ht="21.0" customHeight="1">
      <c r="A1421" s="152"/>
      <c r="B1421" s="160"/>
      <c r="C1421" s="153"/>
      <c r="D1421" s="169"/>
      <c r="E1421" s="139"/>
      <c r="F1421" s="141"/>
      <c r="G1421" s="170" t="str">
        <f>IFERROR(__xludf.DUMMYFUNCTION("if($C1421="""","""",iferror(if(row()&lt;&gt;2,INDEX(arrayformula(filter($H$2:$H1420,$C$2:$C1420&lt;&gt;"""",row($C$2:$C1420)=max(if($C$2:$C1420=C1421,row($C$2:$C1420),0)))) ,1),0),0))"),"")</f>
        <v/>
      </c>
      <c r="H1421" s="170" t="str">
        <f t="shared" si="8"/>
        <v/>
      </c>
      <c r="I1421" s="147" t="str">
        <f t="shared" si="1"/>
        <v/>
      </c>
      <c r="J1421" s="147" t="str">
        <f t="shared" si="13"/>
        <v/>
      </c>
      <c r="K1421" s="147" t="str">
        <f>IFERROR(__xludf.DUMMYFUNCTION("if(C1421="""","""",iferror(if(row()&lt;&gt;2,INDEX(arrayformula(filter($L$2:$L1420,$C$2:$C1420&lt;&gt;"""",row($C$2:$C1420)=max(if($C$2:$C1420=C1421,row($C$2:$C1420),0)))) ,1),0),0))"),"")</f>
        <v/>
      </c>
      <c r="L1421" s="147" t="str">
        <f t="shared" si="14"/>
        <v/>
      </c>
      <c r="M1421" s="147" t="str">
        <f t="shared" si="15"/>
        <v/>
      </c>
      <c r="N1421" s="147" t="str">
        <f t="shared" si="16"/>
        <v/>
      </c>
      <c r="O1421" s="147" t="str">
        <f t="shared" si="6"/>
        <v/>
      </c>
      <c r="P1421" s="150" t="str">
        <f t="shared" si="7"/>
        <v/>
      </c>
      <c r="Q1421" s="151" t="str">
        <f>IFERROR(VLOOKUP(C1421,Ativos!$A$1:$G2000,5,),)</f>
        <v/>
      </c>
    </row>
    <row r="1422" ht="21.0" customHeight="1">
      <c r="A1422" s="152"/>
      <c r="B1422" s="160"/>
      <c r="C1422" s="153"/>
      <c r="D1422" s="169"/>
      <c r="E1422" s="139"/>
      <c r="F1422" s="141"/>
      <c r="G1422" s="170" t="str">
        <f>IFERROR(__xludf.DUMMYFUNCTION("if($C1422="""","""",iferror(if(row()&lt;&gt;2,INDEX(arrayformula(filter($H$2:$H1421,$C$2:$C1421&lt;&gt;"""",row($C$2:$C1421)=max(if($C$2:$C1421=C1422,row($C$2:$C1421),0)))) ,1),0),0))"),"")</f>
        <v/>
      </c>
      <c r="H1422" s="170" t="str">
        <f t="shared" si="8"/>
        <v/>
      </c>
      <c r="I1422" s="147" t="str">
        <f t="shared" si="1"/>
        <v/>
      </c>
      <c r="J1422" s="147" t="str">
        <f t="shared" si="13"/>
        <v/>
      </c>
      <c r="K1422" s="147" t="str">
        <f>IFERROR(__xludf.DUMMYFUNCTION("if(C1422="""","""",iferror(if(row()&lt;&gt;2,INDEX(arrayformula(filter($L$2:$L1421,$C$2:$C1421&lt;&gt;"""",row($C$2:$C1421)=max(if($C$2:$C1421=C1422,row($C$2:$C1421),0)))) ,1),0),0))"),"")</f>
        <v/>
      </c>
      <c r="L1422" s="147" t="str">
        <f t="shared" si="14"/>
        <v/>
      </c>
      <c r="M1422" s="147" t="str">
        <f t="shared" si="15"/>
        <v/>
      </c>
      <c r="N1422" s="147" t="str">
        <f t="shared" si="16"/>
        <v/>
      </c>
      <c r="O1422" s="147" t="str">
        <f t="shared" si="6"/>
        <v/>
      </c>
      <c r="P1422" s="150" t="str">
        <f t="shared" si="7"/>
        <v/>
      </c>
      <c r="Q1422" s="151" t="str">
        <f>IFERROR(VLOOKUP(C1422,Ativos!$A$1:$G2000,5,),)</f>
        <v/>
      </c>
    </row>
    <row r="1423" ht="21.0" customHeight="1">
      <c r="A1423" s="152"/>
      <c r="B1423" s="160"/>
      <c r="C1423" s="153"/>
      <c r="D1423" s="169"/>
      <c r="E1423" s="139"/>
      <c r="F1423" s="141"/>
      <c r="G1423" s="170" t="str">
        <f>IFERROR(__xludf.DUMMYFUNCTION("if($C1423="""","""",iferror(if(row()&lt;&gt;2,INDEX(arrayformula(filter($H$2:$H1422,$C$2:$C1422&lt;&gt;"""",row($C$2:$C1422)=max(if($C$2:$C1422=C1423,row($C$2:$C1422),0)))) ,1),0),0))"),"")</f>
        <v/>
      </c>
      <c r="H1423" s="170" t="str">
        <f t="shared" si="8"/>
        <v/>
      </c>
      <c r="I1423" s="147" t="str">
        <f t="shared" si="1"/>
        <v/>
      </c>
      <c r="J1423" s="147" t="str">
        <f t="shared" si="13"/>
        <v/>
      </c>
      <c r="K1423" s="147" t="str">
        <f>IFERROR(__xludf.DUMMYFUNCTION("if(C1423="""","""",iferror(if(row()&lt;&gt;2,INDEX(arrayformula(filter($L$2:$L1422,$C$2:$C1422&lt;&gt;"""",row($C$2:$C1422)=max(if($C$2:$C1422=C1423,row($C$2:$C1422),0)))) ,1),0),0))"),"")</f>
        <v/>
      </c>
      <c r="L1423" s="147" t="str">
        <f t="shared" si="14"/>
        <v/>
      </c>
      <c r="M1423" s="147" t="str">
        <f t="shared" si="15"/>
        <v/>
      </c>
      <c r="N1423" s="147" t="str">
        <f t="shared" si="16"/>
        <v/>
      </c>
      <c r="O1423" s="147" t="str">
        <f t="shared" si="6"/>
        <v/>
      </c>
      <c r="P1423" s="150" t="str">
        <f t="shared" si="7"/>
        <v/>
      </c>
      <c r="Q1423" s="151" t="str">
        <f>IFERROR(VLOOKUP(C1423,Ativos!$A$1:$G2000,5,),)</f>
        <v/>
      </c>
    </row>
    <row r="1424" ht="21.0" customHeight="1">
      <c r="A1424" s="152"/>
      <c r="B1424" s="160"/>
      <c r="C1424" s="153"/>
      <c r="D1424" s="169"/>
      <c r="E1424" s="139"/>
      <c r="F1424" s="141"/>
      <c r="G1424" s="170" t="str">
        <f>IFERROR(__xludf.DUMMYFUNCTION("if($C1424="""","""",iferror(if(row()&lt;&gt;2,INDEX(arrayformula(filter($H$2:$H1423,$C$2:$C1423&lt;&gt;"""",row($C$2:$C1423)=max(if($C$2:$C1423=C1424,row($C$2:$C1423),0)))) ,1),0),0))"),"")</f>
        <v/>
      </c>
      <c r="H1424" s="170" t="str">
        <f t="shared" si="8"/>
        <v/>
      </c>
      <c r="I1424" s="147" t="str">
        <f t="shared" si="1"/>
        <v/>
      </c>
      <c r="J1424" s="147" t="str">
        <f t="shared" si="13"/>
        <v/>
      </c>
      <c r="K1424" s="147" t="str">
        <f>IFERROR(__xludf.DUMMYFUNCTION("if(C1424="""","""",iferror(if(row()&lt;&gt;2,INDEX(arrayformula(filter($L$2:$L1423,$C$2:$C1423&lt;&gt;"""",row($C$2:$C1423)=max(if($C$2:$C1423=C1424,row($C$2:$C1423),0)))) ,1),0),0))"),"")</f>
        <v/>
      </c>
      <c r="L1424" s="147" t="str">
        <f t="shared" si="14"/>
        <v/>
      </c>
      <c r="M1424" s="147" t="str">
        <f t="shared" si="15"/>
        <v/>
      </c>
      <c r="N1424" s="147" t="str">
        <f t="shared" si="16"/>
        <v/>
      </c>
      <c r="O1424" s="147" t="str">
        <f t="shared" si="6"/>
        <v/>
      </c>
      <c r="P1424" s="150" t="str">
        <f t="shared" si="7"/>
        <v/>
      </c>
      <c r="Q1424" s="151" t="str">
        <f>IFERROR(VLOOKUP(C1424,Ativos!$A$1:$G2000,5,),)</f>
        <v/>
      </c>
    </row>
    <row r="1425" ht="21.0" customHeight="1">
      <c r="A1425" s="152"/>
      <c r="B1425" s="160"/>
      <c r="C1425" s="153"/>
      <c r="D1425" s="169"/>
      <c r="E1425" s="139"/>
      <c r="F1425" s="141"/>
      <c r="G1425" s="170" t="str">
        <f>IFERROR(__xludf.DUMMYFUNCTION("if($C1425="""","""",iferror(if(row()&lt;&gt;2,INDEX(arrayformula(filter($H$2:$H1424,$C$2:$C1424&lt;&gt;"""",row($C$2:$C1424)=max(if($C$2:$C1424=C1425,row($C$2:$C1424),0)))) ,1),0),0))"),"")</f>
        <v/>
      </c>
      <c r="H1425" s="170" t="str">
        <f t="shared" si="8"/>
        <v/>
      </c>
      <c r="I1425" s="147" t="str">
        <f t="shared" si="1"/>
        <v/>
      </c>
      <c r="J1425" s="147" t="str">
        <f t="shared" si="13"/>
        <v/>
      </c>
      <c r="K1425" s="147" t="str">
        <f>IFERROR(__xludf.DUMMYFUNCTION("if(C1425="""","""",iferror(if(row()&lt;&gt;2,INDEX(arrayformula(filter($L$2:$L1424,$C$2:$C1424&lt;&gt;"""",row($C$2:$C1424)=max(if($C$2:$C1424=C1425,row($C$2:$C1424),0)))) ,1),0),0))"),"")</f>
        <v/>
      </c>
      <c r="L1425" s="147" t="str">
        <f t="shared" si="14"/>
        <v/>
      </c>
      <c r="M1425" s="147" t="str">
        <f t="shared" si="15"/>
        <v/>
      </c>
      <c r="N1425" s="147" t="str">
        <f t="shared" si="16"/>
        <v/>
      </c>
      <c r="O1425" s="147" t="str">
        <f t="shared" si="6"/>
        <v/>
      </c>
      <c r="P1425" s="150" t="str">
        <f t="shared" si="7"/>
        <v/>
      </c>
      <c r="Q1425" s="151" t="str">
        <f>IFERROR(VLOOKUP(C1425,Ativos!$A$1:$G2000,5,),)</f>
        <v/>
      </c>
    </row>
    <row r="1426" ht="21.0" customHeight="1">
      <c r="A1426" s="152"/>
      <c r="B1426" s="160"/>
      <c r="C1426" s="153"/>
      <c r="D1426" s="169"/>
      <c r="E1426" s="139"/>
      <c r="F1426" s="141"/>
      <c r="G1426" s="170" t="str">
        <f>IFERROR(__xludf.DUMMYFUNCTION("if($C1426="""","""",iferror(if(row()&lt;&gt;2,INDEX(arrayformula(filter($H$2:$H1425,$C$2:$C1425&lt;&gt;"""",row($C$2:$C1425)=max(if($C$2:$C1425=C1426,row($C$2:$C1425),0)))) ,1),0),0))"),"")</f>
        <v/>
      </c>
      <c r="H1426" s="170" t="str">
        <f t="shared" si="8"/>
        <v/>
      </c>
      <c r="I1426" s="147" t="str">
        <f t="shared" si="1"/>
        <v/>
      </c>
      <c r="J1426" s="147" t="str">
        <f t="shared" si="13"/>
        <v/>
      </c>
      <c r="K1426" s="147" t="str">
        <f>IFERROR(__xludf.DUMMYFUNCTION("if(C1426="""","""",iferror(if(row()&lt;&gt;2,INDEX(arrayformula(filter($L$2:$L1425,$C$2:$C1425&lt;&gt;"""",row($C$2:$C1425)=max(if($C$2:$C1425=C1426,row($C$2:$C1425),0)))) ,1),0),0))"),"")</f>
        <v/>
      </c>
      <c r="L1426" s="147" t="str">
        <f t="shared" si="14"/>
        <v/>
      </c>
      <c r="M1426" s="147" t="str">
        <f t="shared" si="15"/>
        <v/>
      </c>
      <c r="N1426" s="147" t="str">
        <f t="shared" si="16"/>
        <v/>
      </c>
      <c r="O1426" s="147" t="str">
        <f t="shared" si="6"/>
        <v/>
      </c>
      <c r="P1426" s="150" t="str">
        <f t="shared" si="7"/>
        <v/>
      </c>
      <c r="Q1426" s="151" t="str">
        <f>IFERROR(VLOOKUP(C1426,Ativos!$A$1:$G2000,5,),)</f>
        <v/>
      </c>
    </row>
    <row r="1427" ht="21.0" customHeight="1">
      <c r="A1427" s="152"/>
      <c r="B1427" s="160"/>
      <c r="C1427" s="153"/>
      <c r="D1427" s="169"/>
      <c r="E1427" s="139"/>
      <c r="F1427" s="141"/>
      <c r="G1427" s="170" t="str">
        <f>IFERROR(__xludf.DUMMYFUNCTION("if($C1427="""","""",iferror(if(row()&lt;&gt;2,INDEX(arrayformula(filter($H$2:$H1426,$C$2:$C1426&lt;&gt;"""",row($C$2:$C1426)=max(if($C$2:$C1426=C1427,row($C$2:$C1426),0)))) ,1),0),0))"),"")</f>
        <v/>
      </c>
      <c r="H1427" s="170" t="str">
        <f t="shared" si="8"/>
        <v/>
      </c>
      <c r="I1427" s="147" t="str">
        <f t="shared" si="1"/>
        <v/>
      </c>
      <c r="J1427" s="147" t="str">
        <f t="shared" si="13"/>
        <v/>
      </c>
      <c r="K1427" s="147" t="str">
        <f>IFERROR(__xludf.DUMMYFUNCTION("if(C1427="""","""",iferror(if(row()&lt;&gt;2,INDEX(arrayformula(filter($L$2:$L1426,$C$2:$C1426&lt;&gt;"""",row($C$2:$C1426)=max(if($C$2:$C1426=C1427,row($C$2:$C1426),0)))) ,1),0),0))"),"")</f>
        <v/>
      </c>
      <c r="L1427" s="147" t="str">
        <f t="shared" si="14"/>
        <v/>
      </c>
      <c r="M1427" s="147" t="str">
        <f t="shared" si="15"/>
        <v/>
      </c>
      <c r="N1427" s="147" t="str">
        <f t="shared" si="16"/>
        <v/>
      </c>
      <c r="O1427" s="147" t="str">
        <f t="shared" si="6"/>
        <v/>
      </c>
      <c r="P1427" s="150" t="str">
        <f t="shared" si="7"/>
        <v/>
      </c>
      <c r="Q1427" s="151" t="str">
        <f>IFERROR(VLOOKUP(C1427,Ativos!$A$1:$G2000,5,),)</f>
        <v/>
      </c>
    </row>
    <row r="1428" ht="21.0" customHeight="1">
      <c r="A1428" s="152"/>
      <c r="B1428" s="160"/>
      <c r="C1428" s="153"/>
      <c r="D1428" s="169"/>
      <c r="E1428" s="139"/>
      <c r="F1428" s="141"/>
      <c r="G1428" s="170" t="str">
        <f>IFERROR(__xludf.DUMMYFUNCTION("if($C1428="""","""",iferror(if(row()&lt;&gt;2,INDEX(arrayformula(filter($H$2:$H1427,$C$2:$C1427&lt;&gt;"""",row($C$2:$C1427)=max(if($C$2:$C1427=C1428,row($C$2:$C1427),0)))) ,1),0),0))"),"")</f>
        <v/>
      </c>
      <c r="H1428" s="170" t="str">
        <f t="shared" si="8"/>
        <v/>
      </c>
      <c r="I1428" s="147" t="str">
        <f t="shared" si="1"/>
        <v/>
      </c>
      <c r="J1428" s="147" t="str">
        <f t="shared" si="13"/>
        <v/>
      </c>
      <c r="K1428" s="147" t="str">
        <f>IFERROR(__xludf.DUMMYFUNCTION("if(C1428="""","""",iferror(if(row()&lt;&gt;2,INDEX(arrayformula(filter($L$2:$L1427,$C$2:$C1427&lt;&gt;"""",row($C$2:$C1427)=max(if($C$2:$C1427=C1428,row($C$2:$C1427),0)))) ,1),0),0))"),"")</f>
        <v/>
      </c>
      <c r="L1428" s="147" t="str">
        <f t="shared" si="14"/>
        <v/>
      </c>
      <c r="M1428" s="147" t="str">
        <f t="shared" si="15"/>
        <v/>
      </c>
      <c r="N1428" s="147" t="str">
        <f t="shared" si="16"/>
        <v/>
      </c>
      <c r="O1428" s="147" t="str">
        <f t="shared" si="6"/>
        <v/>
      </c>
      <c r="P1428" s="150" t="str">
        <f t="shared" si="7"/>
        <v/>
      </c>
      <c r="Q1428" s="151" t="str">
        <f>IFERROR(VLOOKUP(C1428,Ativos!$A$1:$G2000,5,),)</f>
        <v/>
      </c>
    </row>
    <row r="1429" ht="21.0" customHeight="1">
      <c r="A1429" s="152"/>
      <c r="B1429" s="160"/>
      <c r="C1429" s="153"/>
      <c r="D1429" s="169"/>
      <c r="E1429" s="139"/>
      <c r="F1429" s="141"/>
      <c r="G1429" s="170" t="str">
        <f>IFERROR(__xludf.DUMMYFUNCTION("if($C1429="""","""",iferror(if(row()&lt;&gt;2,INDEX(arrayformula(filter($H$2:$H1428,$C$2:$C1428&lt;&gt;"""",row($C$2:$C1428)=max(if($C$2:$C1428=C1429,row($C$2:$C1428),0)))) ,1),0),0))"),"")</f>
        <v/>
      </c>
      <c r="H1429" s="170" t="str">
        <f t="shared" si="8"/>
        <v/>
      </c>
      <c r="I1429" s="147" t="str">
        <f t="shared" si="1"/>
        <v/>
      </c>
      <c r="J1429" s="147" t="str">
        <f t="shared" si="13"/>
        <v/>
      </c>
      <c r="K1429" s="147" t="str">
        <f>IFERROR(__xludf.DUMMYFUNCTION("if(C1429="""","""",iferror(if(row()&lt;&gt;2,INDEX(arrayformula(filter($L$2:$L1428,$C$2:$C1428&lt;&gt;"""",row($C$2:$C1428)=max(if($C$2:$C1428=C1429,row($C$2:$C1428),0)))) ,1),0),0))"),"")</f>
        <v/>
      </c>
      <c r="L1429" s="147" t="str">
        <f t="shared" si="14"/>
        <v/>
      </c>
      <c r="M1429" s="147" t="str">
        <f t="shared" si="15"/>
        <v/>
      </c>
      <c r="N1429" s="147" t="str">
        <f t="shared" si="16"/>
        <v/>
      </c>
      <c r="O1429" s="147" t="str">
        <f t="shared" si="6"/>
        <v/>
      </c>
      <c r="P1429" s="150" t="str">
        <f t="shared" si="7"/>
        <v/>
      </c>
      <c r="Q1429" s="151" t="str">
        <f>IFERROR(VLOOKUP(C1429,Ativos!$A$1:$G2000,5,),)</f>
        <v/>
      </c>
    </row>
    <row r="1430" ht="21.0" customHeight="1">
      <c r="A1430" s="152"/>
      <c r="B1430" s="160"/>
      <c r="C1430" s="153"/>
      <c r="D1430" s="169"/>
      <c r="E1430" s="139"/>
      <c r="F1430" s="141"/>
      <c r="G1430" s="170" t="str">
        <f>IFERROR(__xludf.DUMMYFUNCTION("if($C1430="""","""",iferror(if(row()&lt;&gt;2,INDEX(arrayformula(filter($H$2:$H1429,$C$2:$C1429&lt;&gt;"""",row($C$2:$C1429)=max(if($C$2:$C1429=C1430,row($C$2:$C1429),0)))) ,1),0),0))"),"")</f>
        <v/>
      </c>
      <c r="H1430" s="170" t="str">
        <f t="shared" si="8"/>
        <v/>
      </c>
      <c r="I1430" s="147" t="str">
        <f t="shared" si="1"/>
        <v/>
      </c>
      <c r="J1430" s="147" t="str">
        <f t="shared" si="13"/>
        <v/>
      </c>
      <c r="K1430" s="147" t="str">
        <f>IFERROR(__xludf.DUMMYFUNCTION("if(C1430="""","""",iferror(if(row()&lt;&gt;2,INDEX(arrayformula(filter($L$2:$L1429,$C$2:$C1429&lt;&gt;"""",row($C$2:$C1429)=max(if($C$2:$C1429=C1430,row($C$2:$C1429),0)))) ,1),0),0))"),"")</f>
        <v/>
      </c>
      <c r="L1430" s="147" t="str">
        <f t="shared" si="14"/>
        <v/>
      </c>
      <c r="M1430" s="147" t="str">
        <f t="shared" si="15"/>
        <v/>
      </c>
      <c r="N1430" s="147" t="str">
        <f t="shared" si="16"/>
        <v/>
      </c>
      <c r="O1430" s="147" t="str">
        <f t="shared" si="6"/>
        <v/>
      </c>
      <c r="P1430" s="150" t="str">
        <f t="shared" si="7"/>
        <v/>
      </c>
      <c r="Q1430" s="151" t="str">
        <f>IFERROR(VLOOKUP(C1430,Ativos!$A$1:$G2000,5,),)</f>
        <v/>
      </c>
    </row>
    <row r="1431" ht="21.0" customHeight="1">
      <c r="A1431" s="152"/>
      <c r="B1431" s="160"/>
      <c r="C1431" s="153"/>
      <c r="D1431" s="169"/>
      <c r="E1431" s="139"/>
      <c r="F1431" s="141"/>
      <c r="G1431" s="170" t="str">
        <f>IFERROR(__xludf.DUMMYFUNCTION("if($C1431="""","""",iferror(if(row()&lt;&gt;2,INDEX(arrayformula(filter($H$2:$H1430,$C$2:$C1430&lt;&gt;"""",row($C$2:$C1430)=max(if($C$2:$C1430=C1431,row($C$2:$C1430),0)))) ,1),0),0))"),"")</f>
        <v/>
      </c>
      <c r="H1431" s="170" t="str">
        <f t="shared" si="8"/>
        <v/>
      </c>
      <c r="I1431" s="147" t="str">
        <f t="shared" si="1"/>
        <v/>
      </c>
      <c r="J1431" s="147" t="str">
        <f t="shared" si="13"/>
        <v/>
      </c>
      <c r="K1431" s="147" t="str">
        <f>IFERROR(__xludf.DUMMYFUNCTION("if(C1431="""","""",iferror(if(row()&lt;&gt;2,INDEX(arrayformula(filter($L$2:$L1430,$C$2:$C1430&lt;&gt;"""",row($C$2:$C1430)=max(if($C$2:$C1430=C1431,row($C$2:$C1430),0)))) ,1),0),0))"),"")</f>
        <v/>
      </c>
      <c r="L1431" s="147" t="str">
        <f t="shared" si="14"/>
        <v/>
      </c>
      <c r="M1431" s="147" t="str">
        <f t="shared" si="15"/>
        <v/>
      </c>
      <c r="N1431" s="147" t="str">
        <f t="shared" si="16"/>
        <v/>
      </c>
      <c r="O1431" s="147" t="str">
        <f t="shared" si="6"/>
        <v/>
      </c>
      <c r="P1431" s="150" t="str">
        <f t="shared" si="7"/>
        <v/>
      </c>
      <c r="Q1431" s="151" t="str">
        <f>IFERROR(VLOOKUP(C1431,Ativos!$A$1:$G2000,5,),)</f>
        <v/>
      </c>
    </row>
    <row r="1432" ht="21.0" customHeight="1">
      <c r="A1432" s="152"/>
      <c r="B1432" s="160"/>
      <c r="C1432" s="153"/>
      <c r="D1432" s="169"/>
      <c r="E1432" s="139"/>
      <c r="F1432" s="141"/>
      <c r="G1432" s="170" t="str">
        <f>IFERROR(__xludf.DUMMYFUNCTION("if($C1432="""","""",iferror(if(row()&lt;&gt;2,INDEX(arrayformula(filter($H$2:$H1431,$C$2:$C1431&lt;&gt;"""",row($C$2:$C1431)=max(if($C$2:$C1431=C1432,row($C$2:$C1431),0)))) ,1),0),0))"),"")</f>
        <v/>
      </c>
      <c r="H1432" s="170" t="str">
        <f t="shared" si="8"/>
        <v/>
      </c>
      <c r="I1432" s="147" t="str">
        <f t="shared" si="1"/>
        <v/>
      </c>
      <c r="J1432" s="147" t="str">
        <f t="shared" si="13"/>
        <v/>
      </c>
      <c r="K1432" s="147" t="str">
        <f>IFERROR(__xludf.DUMMYFUNCTION("if(C1432="""","""",iferror(if(row()&lt;&gt;2,INDEX(arrayformula(filter($L$2:$L1431,$C$2:$C1431&lt;&gt;"""",row($C$2:$C1431)=max(if($C$2:$C1431=C1432,row($C$2:$C1431),0)))) ,1),0),0))"),"")</f>
        <v/>
      </c>
      <c r="L1432" s="147" t="str">
        <f t="shared" si="14"/>
        <v/>
      </c>
      <c r="M1432" s="147" t="str">
        <f t="shared" si="15"/>
        <v/>
      </c>
      <c r="N1432" s="147" t="str">
        <f t="shared" si="16"/>
        <v/>
      </c>
      <c r="O1432" s="147" t="str">
        <f t="shared" si="6"/>
        <v/>
      </c>
      <c r="P1432" s="150" t="str">
        <f t="shared" si="7"/>
        <v/>
      </c>
      <c r="Q1432" s="151" t="str">
        <f>IFERROR(VLOOKUP(C1432,Ativos!$A$1:$G2000,5,),)</f>
        <v/>
      </c>
    </row>
    <row r="1433" ht="21.0" customHeight="1">
      <c r="A1433" s="152"/>
      <c r="B1433" s="160"/>
      <c r="C1433" s="153"/>
      <c r="D1433" s="169"/>
      <c r="E1433" s="139"/>
      <c r="F1433" s="141"/>
      <c r="G1433" s="170" t="str">
        <f>IFERROR(__xludf.DUMMYFUNCTION("if($C1433="""","""",iferror(if(row()&lt;&gt;2,INDEX(arrayformula(filter($H$2:$H1432,$C$2:$C1432&lt;&gt;"""",row($C$2:$C1432)=max(if($C$2:$C1432=C1433,row($C$2:$C1432),0)))) ,1),0),0))"),"")</f>
        <v/>
      </c>
      <c r="H1433" s="170" t="str">
        <f t="shared" si="8"/>
        <v/>
      </c>
      <c r="I1433" s="147" t="str">
        <f t="shared" si="1"/>
        <v/>
      </c>
      <c r="J1433" s="147" t="str">
        <f t="shared" si="13"/>
        <v/>
      </c>
      <c r="K1433" s="147" t="str">
        <f>IFERROR(__xludf.DUMMYFUNCTION("if(C1433="""","""",iferror(if(row()&lt;&gt;2,INDEX(arrayformula(filter($L$2:$L1432,$C$2:$C1432&lt;&gt;"""",row($C$2:$C1432)=max(if($C$2:$C1432=C1433,row($C$2:$C1432),0)))) ,1),0),0))"),"")</f>
        <v/>
      </c>
      <c r="L1433" s="147" t="str">
        <f t="shared" si="14"/>
        <v/>
      </c>
      <c r="M1433" s="147" t="str">
        <f t="shared" si="15"/>
        <v/>
      </c>
      <c r="N1433" s="147" t="str">
        <f t="shared" si="16"/>
        <v/>
      </c>
      <c r="O1433" s="147" t="str">
        <f t="shared" si="6"/>
        <v/>
      </c>
      <c r="P1433" s="150" t="str">
        <f t="shared" si="7"/>
        <v/>
      </c>
      <c r="Q1433" s="151" t="str">
        <f>IFERROR(VLOOKUP(C1433,Ativos!$A$1:$G2000,5,),)</f>
        <v/>
      </c>
    </row>
    <row r="1434" ht="21.0" customHeight="1">
      <c r="A1434" s="152"/>
      <c r="B1434" s="160"/>
      <c r="C1434" s="153"/>
      <c r="D1434" s="169"/>
      <c r="E1434" s="139"/>
      <c r="F1434" s="141"/>
      <c r="G1434" s="170" t="str">
        <f>IFERROR(__xludf.DUMMYFUNCTION("if($C1434="""","""",iferror(if(row()&lt;&gt;2,INDEX(arrayformula(filter($H$2:$H1433,$C$2:$C1433&lt;&gt;"""",row($C$2:$C1433)=max(if($C$2:$C1433=C1434,row($C$2:$C1433),0)))) ,1),0),0))"),"")</f>
        <v/>
      </c>
      <c r="H1434" s="170" t="str">
        <f t="shared" si="8"/>
        <v/>
      </c>
      <c r="I1434" s="147" t="str">
        <f t="shared" si="1"/>
        <v/>
      </c>
      <c r="J1434" s="147" t="str">
        <f t="shared" si="13"/>
        <v/>
      </c>
      <c r="K1434" s="147" t="str">
        <f>IFERROR(__xludf.DUMMYFUNCTION("if(C1434="""","""",iferror(if(row()&lt;&gt;2,INDEX(arrayformula(filter($L$2:$L1433,$C$2:$C1433&lt;&gt;"""",row($C$2:$C1433)=max(if($C$2:$C1433=C1434,row($C$2:$C1433),0)))) ,1),0),0))"),"")</f>
        <v/>
      </c>
      <c r="L1434" s="147" t="str">
        <f t="shared" si="14"/>
        <v/>
      </c>
      <c r="M1434" s="147" t="str">
        <f t="shared" si="15"/>
        <v/>
      </c>
      <c r="N1434" s="147" t="str">
        <f t="shared" si="16"/>
        <v/>
      </c>
      <c r="O1434" s="147" t="str">
        <f t="shared" si="6"/>
        <v/>
      </c>
      <c r="P1434" s="150" t="str">
        <f t="shared" si="7"/>
        <v/>
      </c>
      <c r="Q1434" s="151" t="str">
        <f>IFERROR(VLOOKUP(C1434,Ativos!$A$1:$G2000,5,),)</f>
        <v/>
      </c>
    </row>
    <row r="1435" ht="21.0" customHeight="1">
      <c r="A1435" s="152"/>
      <c r="B1435" s="160"/>
      <c r="C1435" s="153"/>
      <c r="D1435" s="169"/>
      <c r="E1435" s="139"/>
      <c r="F1435" s="141"/>
      <c r="G1435" s="170" t="str">
        <f>IFERROR(__xludf.DUMMYFUNCTION("if($C1435="""","""",iferror(if(row()&lt;&gt;2,INDEX(arrayformula(filter($H$2:$H1434,$C$2:$C1434&lt;&gt;"""",row($C$2:$C1434)=max(if($C$2:$C1434=C1435,row($C$2:$C1434),0)))) ,1),0),0))"),"")</f>
        <v/>
      </c>
      <c r="H1435" s="170" t="str">
        <f t="shared" si="8"/>
        <v/>
      </c>
      <c r="I1435" s="147" t="str">
        <f t="shared" si="1"/>
        <v/>
      </c>
      <c r="J1435" s="147" t="str">
        <f t="shared" si="13"/>
        <v/>
      </c>
      <c r="K1435" s="147" t="str">
        <f>IFERROR(__xludf.DUMMYFUNCTION("if(C1435="""","""",iferror(if(row()&lt;&gt;2,INDEX(arrayformula(filter($L$2:$L1434,$C$2:$C1434&lt;&gt;"""",row($C$2:$C1434)=max(if($C$2:$C1434=C1435,row($C$2:$C1434),0)))) ,1),0),0))"),"")</f>
        <v/>
      </c>
      <c r="L1435" s="147" t="str">
        <f t="shared" si="14"/>
        <v/>
      </c>
      <c r="M1435" s="147" t="str">
        <f t="shared" si="15"/>
        <v/>
      </c>
      <c r="N1435" s="147" t="str">
        <f t="shared" si="16"/>
        <v/>
      </c>
      <c r="O1435" s="147" t="str">
        <f t="shared" si="6"/>
        <v/>
      </c>
      <c r="P1435" s="150" t="str">
        <f t="shared" si="7"/>
        <v/>
      </c>
      <c r="Q1435" s="151" t="str">
        <f>IFERROR(VLOOKUP(C1435,Ativos!$A$1:$G2000,5,),)</f>
        <v/>
      </c>
    </row>
    <row r="1436" ht="21.0" customHeight="1">
      <c r="A1436" s="152"/>
      <c r="B1436" s="160"/>
      <c r="C1436" s="153"/>
      <c r="D1436" s="169"/>
      <c r="E1436" s="139"/>
      <c r="F1436" s="141"/>
      <c r="G1436" s="170" t="str">
        <f>IFERROR(__xludf.DUMMYFUNCTION("if($C1436="""","""",iferror(if(row()&lt;&gt;2,INDEX(arrayformula(filter($H$2:$H1435,$C$2:$C1435&lt;&gt;"""",row($C$2:$C1435)=max(if($C$2:$C1435=C1436,row($C$2:$C1435),0)))) ,1),0),0))"),"")</f>
        <v/>
      </c>
      <c r="H1436" s="170" t="str">
        <f t="shared" si="8"/>
        <v/>
      </c>
      <c r="I1436" s="147" t="str">
        <f t="shared" si="1"/>
        <v/>
      </c>
      <c r="J1436" s="147" t="str">
        <f t="shared" si="13"/>
        <v/>
      </c>
      <c r="K1436" s="147" t="str">
        <f>IFERROR(__xludf.DUMMYFUNCTION("if(C1436="""","""",iferror(if(row()&lt;&gt;2,INDEX(arrayformula(filter($L$2:$L1435,$C$2:$C1435&lt;&gt;"""",row($C$2:$C1435)=max(if($C$2:$C1435=C1436,row($C$2:$C1435),0)))) ,1),0),0))"),"")</f>
        <v/>
      </c>
      <c r="L1436" s="147" t="str">
        <f t="shared" si="14"/>
        <v/>
      </c>
      <c r="M1436" s="147" t="str">
        <f t="shared" si="15"/>
        <v/>
      </c>
      <c r="N1436" s="147" t="str">
        <f t="shared" si="16"/>
        <v/>
      </c>
      <c r="O1436" s="147" t="str">
        <f t="shared" si="6"/>
        <v/>
      </c>
      <c r="P1436" s="150" t="str">
        <f t="shared" si="7"/>
        <v/>
      </c>
      <c r="Q1436" s="151" t="str">
        <f>IFERROR(VLOOKUP(C1436,Ativos!$A$1:$G2000,5,),)</f>
        <v/>
      </c>
    </row>
    <row r="1437" ht="21.0" customHeight="1">
      <c r="A1437" s="152"/>
      <c r="B1437" s="160"/>
      <c r="C1437" s="153"/>
      <c r="D1437" s="169"/>
      <c r="E1437" s="139"/>
      <c r="F1437" s="141"/>
      <c r="G1437" s="170" t="str">
        <f>IFERROR(__xludf.DUMMYFUNCTION("if($C1437="""","""",iferror(if(row()&lt;&gt;2,INDEX(arrayformula(filter($H$2:$H1436,$C$2:$C1436&lt;&gt;"""",row($C$2:$C1436)=max(if($C$2:$C1436=C1437,row($C$2:$C1436),0)))) ,1),0),0))"),"")</f>
        <v/>
      </c>
      <c r="H1437" s="170" t="str">
        <f t="shared" si="8"/>
        <v/>
      </c>
      <c r="I1437" s="147" t="str">
        <f t="shared" si="1"/>
        <v/>
      </c>
      <c r="J1437" s="147" t="str">
        <f t="shared" si="13"/>
        <v/>
      </c>
      <c r="K1437" s="147" t="str">
        <f>IFERROR(__xludf.DUMMYFUNCTION("if(C1437="""","""",iferror(if(row()&lt;&gt;2,INDEX(arrayformula(filter($L$2:$L1436,$C$2:$C1436&lt;&gt;"""",row($C$2:$C1436)=max(if($C$2:$C1436=C1437,row($C$2:$C1436),0)))) ,1),0),0))"),"")</f>
        <v/>
      </c>
      <c r="L1437" s="147" t="str">
        <f t="shared" si="14"/>
        <v/>
      </c>
      <c r="M1437" s="147" t="str">
        <f t="shared" si="15"/>
        <v/>
      </c>
      <c r="N1437" s="147" t="str">
        <f t="shared" si="16"/>
        <v/>
      </c>
      <c r="O1437" s="147" t="str">
        <f t="shared" si="6"/>
        <v/>
      </c>
      <c r="P1437" s="150" t="str">
        <f t="shared" si="7"/>
        <v/>
      </c>
      <c r="Q1437" s="151" t="str">
        <f>IFERROR(VLOOKUP(C1437,Ativos!$A$1:$G2000,5,),)</f>
        <v/>
      </c>
    </row>
    <row r="1438" ht="21.0" customHeight="1">
      <c r="A1438" s="152"/>
      <c r="B1438" s="160"/>
      <c r="C1438" s="153"/>
      <c r="D1438" s="169"/>
      <c r="E1438" s="139"/>
      <c r="F1438" s="141"/>
      <c r="G1438" s="170" t="str">
        <f>IFERROR(__xludf.DUMMYFUNCTION("if($C1438="""","""",iferror(if(row()&lt;&gt;2,INDEX(arrayformula(filter($H$2:$H1437,$C$2:$C1437&lt;&gt;"""",row($C$2:$C1437)=max(if($C$2:$C1437=C1438,row($C$2:$C1437),0)))) ,1),0),0))"),"")</f>
        <v/>
      </c>
      <c r="H1438" s="170" t="str">
        <f t="shared" si="8"/>
        <v/>
      </c>
      <c r="I1438" s="147" t="str">
        <f t="shared" si="1"/>
        <v/>
      </c>
      <c r="J1438" s="147" t="str">
        <f t="shared" si="13"/>
        <v/>
      </c>
      <c r="K1438" s="147" t="str">
        <f>IFERROR(__xludf.DUMMYFUNCTION("if(C1438="""","""",iferror(if(row()&lt;&gt;2,INDEX(arrayformula(filter($L$2:$L1437,$C$2:$C1437&lt;&gt;"""",row($C$2:$C1437)=max(if($C$2:$C1437=C1438,row($C$2:$C1437),0)))) ,1),0),0))"),"")</f>
        <v/>
      </c>
      <c r="L1438" s="147" t="str">
        <f t="shared" si="14"/>
        <v/>
      </c>
      <c r="M1438" s="147" t="str">
        <f t="shared" si="15"/>
        <v/>
      </c>
      <c r="N1438" s="147" t="str">
        <f t="shared" si="16"/>
        <v/>
      </c>
      <c r="O1438" s="147" t="str">
        <f t="shared" si="6"/>
        <v/>
      </c>
      <c r="P1438" s="150" t="str">
        <f t="shared" si="7"/>
        <v/>
      </c>
      <c r="Q1438" s="151" t="str">
        <f>IFERROR(VLOOKUP(C1438,Ativos!$A$1:$G2000,5,),)</f>
        <v/>
      </c>
    </row>
    <row r="1439" ht="21.0" customHeight="1">
      <c r="A1439" s="152"/>
      <c r="B1439" s="160"/>
      <c r="C1439" s="153"/>
      <c r="D1439" s="169"/>
      <c r="E1439" s="139"/>
      <c r="F1439" s="141"/>
      <c r="G1439" s="170" t="str">
        <f>IFERROR(__xludf.DUMMYFUNCTION("if($C1439="""","""",iferror(if(row()&lt;&gt;2,INDEX(arrayformula(filter($H$2:$H1438,$C$2:$C1438&lt;&gt;"""",row($C$2:$C1438)=max(if($C$2:$C1438=C1439,row($C$2:$C1438),0)))) ,1),0),0))"),"")</f>
        <v/>
      </c>
      <c r="H1439" s="170" t="str">
        <f t="shared" si="8"/>
        <v/>
      </c>
      <c r="I1439" s="147" t="str">
        <f t="shared" si="1"/>
        <v/>
      </c>
      <c r="J1439" s="147" t="str">
        <f t="shared" si="13"/>
        <v/>
      </c>
      <c r="K1439" s="147" t="str">
        <f>IFERROR(__xludf.DUMMYFUNCTION("if(C1439="""","""",iferror(if(row()&lt;&gt;2,INDEX(arrayformula(filter($L$2:$L1438,$C$2:$C1438&lt;&gt;"""",row($C$2:$C1438)=max(if($C$2:$C1438=C1439,row($C$2:$C1438),0)))) ,1),0),0))"),"")</f>
        <v/>
      </c>
      <c r="L1439" s="147" t="str">
        <f t="shared" si="14"/>
        <v/>
      </c>
      <c r="M1439" s="147" t="str">
        <f t="shared" si="15"/>
        <v/>
      </c>
      <c r="N1439" s="147" t="str">
        <f t="shared" si="16"/>
        <v/>
      </c>
      <c r="O1439" s="147" t="str">
        <f t="shared" si="6"/>
        <v/>
      </c>
      <c r="P1439" s="150" t="str">
        <f t="shared" si="7"/>
        <v/>
      </c>
      <c r="Q1439" s="151" t="str">
        <f>IFERROR(VLOOKUP(C1439,Ativos!$A$1:$G2000,5,),)</f>
        <v/>
      </c>
    </row>
    <row r="1440" ht="21.0" customHeight="1">
      <c r="A1440" s="152"/>
      <c r="B1440" s="160"/>
      <c r="C1440" s="153"/>
      <c r="D1440" s="169"/>
      <c r="E1440" s="139"/>
      <c r="F1440" s="141"/>
      <c r="G1440" s="170" t="str">
        <f>IFERROR(__xludf.DUMMYFUNCTION("if($C1440="""","""",iferror(if(row()&lt;&gt;2,INDEX(arrayformula(filter($H$2:$H1439,$C$2:$C1439&lt;&gt;"""",row($C$2:$C1439)=max(if($C$2:$C1439=C1440,row($C$2:$C1439),0)))) ,1),0),0))"),"")</f>
        <v/>
      </c>
      <c r="H1440" s="170" t="str">
        <f t="shared" si="8"/>
        <v/>
      </c>
      <c r="I1440" s="147" t="str">
        <f t="shared" si="1"/>
        <v/>
      </c>
      <c r="J1440" s="147" t="str">
        <f t="shared" si="13"/>
        <v/>
      </c>
      <c r="K1440" s="147" t="str">
        <f>IFERROR(__xludf.DUMMYFUNCTION("if(C1440="""","""",iferror(if(row()&lt;&gt;2,INDEX(arrayformula(filter($L$2:$L1439,$C$2:$C1439&lt;&gt;"""",row($C$2:$C1439)=max(if($C$2:$C1439=C1440,row($C$2:$C1439),0)))) ,1),0),0))"),"")</f>
        <v/>
      </c>
      <c r="L1440" s="147" t="str">
        <f t="shared" si="14"/>
        <v/>
      </c>
      <c r="M1440" s="147" t="str">
        <f t="shared" si="15"/>
        <v/>
      </c>
      <c r="N1440" s="147" t="str">
        <f t="shared" si="16"/>
        <v/>
      </c>
      <c r="O1440" s="147" t="str">
        <f t="shared" si="6"/>
        <v/>
      </c>
      <c r="P1440" s="150" t="str">
        <f t="shared" si="7"/>
        <v/>
      </c>
      <c r="Q1440" s="151" t="str">
        <f>IFERROR(VLOOKUP(C1440,Ativos!$A$1:$G2000,5,),)</f>
        <v/>
      </c>
    </row>
    <row r="1441" ht="21.0" customHeight="1">
      <c r="A1441" s="152"/>
      <c r="B1441" s="160"/>
      <c r="C1441" s="153"/>
      <c r="D1441" s="169"/>
      <c r="E1441" s="139"/>
      <c r="F1441" s="141"/>
      <c r="G1441" s="170" t="str">
        <f>IFERROR(__xludf.DUMMYFUNCTION("if($C1441="""","""",iferror(if(row()&lt;&gt;2,INDEX(arrayformula(filter($H$2:$H1440,$C$2:$C1440&lt;&gt;"""",row($C$2:$C1440)=max(if($C$2:$C1440=C1441,row($C$2:$C1440),0)))) ,1),0),0))"),"")</f>
        <v/>
      </c>
      <c r="H1441" s="170" t="str">
        <f t="shared" si="8"/>
        <v/>
      </c>
      <c r="I1441" s="147" t="str">
        <f t="shared" si="1"/>
        <v/>
      </c>
      <c r="J1441" s="147" t="str">
        <f t="shared" si="13"/>
        <v/>
      </c>
      <c r="K1441" s="147" t="str">
        <f>IFERROR(__xludf.DUMMYFUNCTION("if(C1441="""","""",iferror(if(row()&lt;&gt;2,INDEX(arrayformula(filter($L$2:$L1440,$C$2:$C1440&lt;&gt;"""",row($C$2:$C1440)=max(if($C$2:$C1440=C1441,row($C$2:$C1440),0)))) ,1),0),0))"),"")</f>
        <v/>
      </c>
      <c r="L1441" s="147" t="str">
        <f t="shared" si="14"/>
        <v/>
      </c>
      <c r="M1441" s="147" t="str">
        <f t="shared" si="15"/>
        <v/>
      </c>
      <c r="N1441" s="147" t="str">
        <f t="shared" si="16"/>
        <v/>
      </c>
      <c r="O1441" s="147" t="str">
        <f t="shared" si="6"/>
        <v/>
      </c>
      <c r="P1441" s="150" t="str">
        <f t="shared" si="7"/>
        <v/>
      </c>
      <c r="Q1441" s="151" t="str">
        <f>IFERROR(VLOOKUP(C1441,Ativos!$A$1:$G2000,5,),)</f>
        <v/>
      </c>
    </row>
    <row r="1442" ht="21.0" customHeight="1">
      <c r="A1442" s="152"/>
      <c r="B1442" s="160"/>
      <c r="C1442" s="153"/>
      <c r="D1442" s="169"/>
      <c r="E1442" s="139"/>
      <c r="F1442" s="141"/>
      <c r="G1442" s="170" t="str">
        <f>IFERROR(__xludf.DUMMYFUNCTION("if($C1442="""","""",iferror(if(row()&lt;&gt;2,INDEX(arrayformula(filter($H$2:$H1441,$C$2:$C1441&lt;&gt;"""",row($C$2:$C1441)=max(if($C$2:$C1441=C1442,row($C$2:$C1441),0)))) ,1),0),0))"),"")</f>
        <v/>
      </c>
      <c r="H1442" s="170" t="str">
        <f t="shared" si="8"/>
        <v/>
      </c>
      <c r="I1442" s="147" t="str">
        <f t="shared" si="1"/>
        <v/>
      </c>
      <c r="J1442" s="147" t="str">
        <f t="shared" si="13"/>
        <v/>
      </c>
      <c r="K1442" s="147" t="str">
        <f>IFERROR(__xludf.DUMMYFUNCTION("if(C1442="""","""",iferror(if(row()&lt;&gt;2,INDEX(arrayformula(filter($L$2:$L1441,$C$2:$C1441&lt;&gt;"""",row($C$2:$C1441)=max(if($C$2:$C1441=C1442,row($C$2:$C1441),0)))) ,1),0),0))"),"")</f>
        <v/>
      </c>
      <c r="L1442" s="147" t="str">
        <f t="shared" si="14"/>
        <v/>
      </c>
      <c r="M1442" s="147" t="str">
        <f t="shared" si="15"/>
        <v/>
      </c>
      <c r="N1442" s="147" t="str">
        <f t="shared" si="16"/>
        <v/>
      </c>
      <c r="O1442" s="147" t="str">
        <f t="shared" si="6"/>
        <v/>
      </c>
      <c r="P1442" s="150" t="str">
        <f t="shared" si="7"/>
        <v/>
      </c>
      <c r="Q1442" s="151" t="str">
        <f>IFERROR(VLOOKUP(C1442,Ativos!$A$1:$G2000,5,),)</f>
        <v/>
      </c>
    </row>
    <row r="1443" ht="21.0" customHeight="1">
      <c r="A1443" s="152"/>
      <c r="B1443" s="160"/>
      <c r="C1443" s="153"/>
      <c r="D1443" s="169"/>
      <c r="E1443" s="139"/>
      <c r="F1443" s="141"/>
      <c r="G1443" s="170" t="str">
        <f>IFERROR(__xludf.DUMMYFUNCTION("if($C1443="""","""",iferror(if(row()&lt;&gt;2,INDEX(arrayformula(filter($H$2:$H1442,$C$2:$C1442&lt;&gt;"""",row($C$2:$C1442)=max(if($C$2:$C1442=C1443,row($C$2:$C1442),0)))) ,1),0),0))"),"")</f>
        <v/>
      </c>
      <c r="H1443" s="170" t="str">
        <f t="shared" si="8"/>
        <v/>
      </c>
      <c r="I1443" s="147" t="str">
        <f t="shared" si="1"/>
        <v/>
      </c>
      <c r="J1443" s="147" t="str">
        <f t="shared" si="13"/>
        <v/>
      </c>
      <c r="K1443" s="147" t="str">
        <f>IFERROR(__xludf.DUMMYFUNCTION("if(C1443="""","""",iferror(if(row()&lt;&gt;2,INDEX(arrayformula(filter($L$2:$L1442,$C$2:$C1442&lt;&gt;"""",row($C$2:$C1442)=max(if($C$2:$C1442=C1443,row($C$2:$C1442),0)))) ,1),0),0))"),"")</f>
        <v/>
      </c>
      <c r="L1443" s="147" t="str">
        <f t="shared" si="14"/>
        <v/>
      </c>
      <c r="M1443" s="147" t="str">
        <f t="shared" si="15"/>
        <v/>
      </c>
      <c r="N1443" s="147" t="str">
        <f t="shared" si="16"/>
        <v/>
      </c>
      <c r="O1443" s="147" t="str">
        <f t="shared" si="6"/>
        <v/>
      </c>
      <c r="P1443" s="150" t="str">
        <f t="shared" si="7"/>
        <v/>
      </c>
      <c r="Q1443" s="151" t="str">
        <f>IFERROR(VLOOKUP(C1443,Ativos!$A$1:$G2000,5,),)</f>
        <v/>
      </c>
    </row>
    <row r="1444" ht="21.0" customHeight="1">
      <c r="A1444" s="152"/>
      <c r="B1444" s="160"/>
      <c r="C1444" s="153"/>
      <c r="D1444" s="169"/>
      <c r="E1444" s="139"/>
      <c r="F1444" s="141"/>
      <c r="G1444" s="170" t="str">
        <f>IFERROR(__xludf.DUMMYFUNCTION("if($C1444="""","""",iferror(if(row()&lt;&gt;2,INDEX(arrayformula(filter($H$2:$H1443,$C$2:$C1443&lt;&gt;"""",row($C$2:$C1443)=max(if($C$2:$C1443=C1444,row($C$2:$C1443),0)))) ,1),0),0))"),"")</f>
        <v/>
      </c>
      <c r="H1444" s="170" t="str">
        <f t="shared" si="8"/>
        <v/>
      </c>
      <c r="I1444" s="147" t="str">
        <f t="shared" si="1"/>
        <v/>
      </c>
      <c r="J1444" s="147" t="str">
        <f t="shared" si="13"/>
        <v/>
      </c>
      <c r="K1444" s="147" t="str">
        <f>IFERROR(__xludf.DUMMYFUNCTION("if(C1444="""","""",iferror(if(row()&lt;&gt;2,INDEX(arrayformula(filter($L$2:$L1443,$C$2:$C1443&lt;&gt;"""",row($C$2:$C1443)=max(if($C$2:$C1443=C1444,row($C$2:$C1443),0)))) ,1),0),0))"),"")</f>
        <v/>
      </c>
      <c r="L1444" s="147" t="str">
        <f t="shared" si="14"/>
        <v/>
      </c>
      <c r="M1444" s="147" t="str">
        <f t="shared" si="15"/>
        <v/>
      </c>
      <c r="N1444" s="147" t="str">
        <f t="shared" si="16"/>
        <v/>
      </c>
      <c r="O1444" s="147" t="str">
        <f t="shared" si="6"/>
        <v/>
      </c>
      <c r="P1444" s="150" t="str">
        <f t="shared" si="7"/>
        <v/>
      </c>
      <c r="Q1444" s="151" t="str">
        <f>IFERROR(VLOOKUP(C1444,Ativos!$A$1:$G2000,5,),)</f>
        <v/>
      </c>
    </row>
    <row r="1445" ht="21.0" customHeight="1">
      <c r="A1445" s="152"/>
      <c r="B1445" s="160"/>
      <c r="C1445" s="153"/>
      <c r="D1445" s="169"/>
      <c r="E1445" s="139"/>
      <c r="F1445" s="141"/>
      <c r="G1445" s="170" t="str">
        <f>IFERROR(__xludf.DUMMYFUNCTION("if($C1445="""","""",iferror(if(row()&lt;&gt;2,INDEX(arrayformula(filter($H$2:$H1444,$C$2:$C1444&lt;&gt;"""",row($C$2:$C1444)=max(if($C$2:$C1444=C1445,row($C$2:$C1444),0)))) ,1),0),0))"),"")</f>
        <v/>
      </c>
      <c r="H1445" s="170" t="str">
        <f t="shared" si="8"/>
        <v/>
      </c>
      <c r="I1445" s="147" t="str">
        <f t="shared" si="1"/>
        <v/>
      </c>
      <c r="J1445" s="147" t="str">
        <f t="shared" si="13"/>
        <v/>
      </c>
      <c r="K1445" s="147" t="str">
        <f>IFERROR(__xludf.DUMMYFUNCTION("if(C1445="""","""",iferror(if(row()&lt;&gt;2,INDEX(arrayformula(filter($L$2:$L1444,$C$2:$C1444&lt;&gt;"""",row($C$2:$C1444)=max(if($C$2:$C1444=C1445,row($C$2:$C1444),0)))) ,1),0),0))"),"")</f>
        <v/>
      </c>
      <c r="L1445" s="147" t="str">
        <f t="shared" si="14"/>
        <v/>
      </c>
      <c r="M1445" s="147" t="str">
        <f t="shared" si="15"/>
        <v/>
      </c>
      <c r="N1445" s="147" t="str">
        <f t="shared" si="16"/>
        <v/>
      </c>
      <c r="O1445" s="147" t="str">
        <f t="shared" si="6"/>
        <v/>
      </c>
      <c r="P1445" s="150" t="str">
        <f t="shared" si="7"/>
        <v/>
      </c>
      <c r="Q1445" s="151" t="str">
        <f>IFERROR(VLOOKUP(C1445,Ativos!$A$1:$G2000,5,),)</f>
        <v/>
      </c>
    </row>
    <row r="1446" ht="21.0" customHeight="1">
      <c r="A1446" s="152"/>
      <c r="B1446" s="160"/>
      <c r="C1446" s="153"/>
      <c r="D1446" s="169"/>
      <c r="E1446" s="139"/>
      <c r="F1446" s="141"/>
      <c r="G1446" s="170" t="str">
        <f>IFERROR(__xludf.DUMMYFUNCTION("if($C1446="""","""",iferror(if(row()&lt;&gt;2,INDEX(arrayformula(filter($H$2:$H1445,$C$2:$C1445&lt;&gt;"""",row($C$2:$C1445)=max(if($C$2:$C1445=C1446,row($C$2:$C1445),0)))) ,1),0),0))"),"")</f>
        <v/>
      </c>
      <c r="H1446" s="170" t="str">
        <f t="shared" si="8"/>
        <v/>
      </c>
      <c r="I1446" s="147" t="str">
        <f t="shared" si="1"/>
        <v/>
      </c>
      <c r="J1446" s="147" t="str">
        <f t="shared" si="13"/>
        <v/>
      </c>
      <c r="K1446" s="147" t="str">
        <f>IFERROR(__xludf.DUMMYFUNCTION("if(C1446="""","""",iferror(if(row()&lt;&gt;2,INDEX(arrayformula(filter($L$2:$L1445,$C$2:$C1445&lt;&gt;"""",row($C$2:$C1445)=max(if($C$2:$C1445=C1446,row($C$2:$C1445),0)))) ,1),0),0))"),"")</f>
        <v/>
      </c>
      <c r="L1446" s="147" t="str">
        <f t="shared" si="14"/>
        <v/>
      </c>
      <c r="M1446" s="147" t="str">
        <f t="shared" si="15"/>
        <v/>
      </c>
      <c r="N1446" s="147" t="str">
        <f t="shared" si="16"/>
        <v/>
      </c>
      <c r="O1446" s="147" t="str">
        <f t="shared" si="6"/>
        <v/>
      </c>
      <c r="P1446" s="150" t="str">
        <f t="shared" si="7"/>
        <v/>
      </c>
      <c r="Q1446" s="151" t="str">
        <f>IFERROR(VLOOKUP(C1446,Ativos!$A$1:$G2000,5,),)</f>
        <v/>
      </c>
    </row>
    <row r="1447" ht="21.0" customHeight="1">
      <c r="A1447" s="152"/>
      <c r="B1447" s="160"/>
      <c r="C1447" s="153"/>
      <c r="D1447" s="169"/>
      <c r="E1447" s="139"/>
      <c r="F1447" s="141"/>
      <c r="G1447" s="170" t="str">
        <f>IFERROR(__xludf.DUMMYFUNCTION("if($C1447="""","""",iferror(if(row()&lt;&gt;2,INDEX(arrayformula(filter($H$2:$H1446,$C$2:$C1446&lt;&gt;"""",row($C$2:$C1446)=max(if($C$2:$C1446=C1447,row($C$2:$C1446),0)))) ,1),0),0))"),"")</f>
        <v/>
      </c>
      <c r="H1447" s="170" t="str">
        <f t="shared" si="8"/>
        <v/>
      </c>
      <c r="I1447" s="147" t="str">
        <f t="shared" si="1"/>
        <v/>
      </c>
      <c r="J1447" s="147" t="str">
        <f t="shared" si="13"/>
        <v/>
      </c>
      <c r="K1447" s="147" t="str">
        <f>IFERROR(__xludf.DUMMYFUNCTION("if(C1447="""","""",iferror(if(row()&lt;&gt;2,INDEX(arrayformula(filter($L$2:$L1446,$C$2:$C1446&lt;&gt;"""",row($C$2:$C1446)=max(if($C$2:$C1446=C1447,row($C$2:$C1446),0)))) ,1),0),0))"),"")</f>
        <v/>
      </c>
      <c r="L1447" s="147" t="str">
        <f t="shared" si="14"/>
        <v/>
      </c>
      <c r="M1447" s="147" t="str">
        <f t="shared" si="15"/>
        <v/>
      </c>
      <c r="N1447" s="147" t="str">
        <f t="shared" si="16"/>
        <v/>
      </c>
      <c r="O1447" s="147" t="str">
        <f t="shared" si="6"/>
        <v/>
      </c>
      <c r="P1447" s="150" t="str">
        <f t="shared" si="7"/>
        <v/>
      </c>
      <c r="Q1447" s="151" t="str">
        <f>IFERROR(VLOOKUP(C1447,Ativos!$A$1:$G2000,5,),)</f>
        <v/>
      </c>
    </row>
    <row r="1448" ht="21.0" customHeight="1">
      <c r="A1448" s="152"/>
      <c r="B1448" s="160"/>
      <c r="C1448" s="153"/>
      <c r="D1448" s="169"/>
      <c r="E1448" s="139"/>
      <c r="F1448" s="141"/>
      <c r="G1448" s="170" t="str">
        <f>IFERROR(__xludf.DUMMYFUNCTION("if($C1448="""","""",iferror(if(row()&lt;&gt;2,INDEX(arrayformula(filter($H$2:$H1447,$C$2:$C1447&lt;&gt;"""",row($C$2:$C1447)=max(if($C$2:$C1447=C1448,row($C$2:$C1447),0)))) ,1),0),0))"),"")</f>
        <v/>
      </c>
      <c r="H1448" s="170" t="str">
        <f t="shared" si="8"/>
        <v/>
      </c>
      <c r="I1448" s="147" t="str">
        <f t="shared" si="1"/>
        <v/>
      </c>
      <c r="J1448" s="147" t="str">
        <f t="shared" si="13"/>
        <v/>
      </c>
      <c r="K1448" s="147" t="str">
        <f>IFERROR(__xludf.DUMMYFUNCTION("if(C1448="""","""",iferror(if(row()&lt;&gt;2,INDEX(arrayformula(filter($L$2:$L1447,$C$2:$C1447&lt;&gt;"""",row($C$2:$C1447)=max(if($C$2:$C1447=C1448,row($C$2:$C1447),0)))) ,1),0),0))"),"")</f>
        <v/>
      </c>
      <c r="L1448" s="147" t="str">
        <f t="shared" si="14"/>
        <v/>
      </c>
      <c r="M1448" s="147" t="str">
        <f t="shared" si="15"/>
        <v/>
      </c>
      <c r="N1448" s="147" t="str">
        <f t="shared" si="16"/>
        <v/>
      </c>
      <c r="O1448" s="147" t="str">
        <f t="shared" si="6"/>
        <v/>
      </c>
      <c r="P1448" s="150" t="str">
        <f t="shared" si="7"/>
        <v/>
      </c>
      <c r="Q1448" s="151" t="str">
        <f>IFERROR(VLOOKUP(C1448,Ativos!$A$1:$G2000,5,),)</f>
        <v/>
      </c>
    </row>
    <row r="1449" ht="21.0" customHeight="1">
      <c r="A1449" s="152"/>
      <c r="B1449" s="160"/>
      <c r="C1449" s="153"/>
      <c r="D1449" s="169"/>
      <c r="E1449" s="139"/>
      <c r="F1449" s="141"/>
      <c r="G1449" s="170" t="str">
        <f>IFERROR(__xludf.DUMMYFUNCTION("if($C1449="""","""",iferror(if(row()&lt;&gt;2,INDEX(arrayformula(filter($H$2:$H1448,$C$2:$C1448&lt;&gt;"""",row($C$2:$C1448)=max(if($C$2:$C1448=C1449,row($C$2:$C1448),0)))) ,1),0),0))"),"")</f>
        <v/>
      </c>
      <c r="H1449" s="170" t="str">
        <f t="shared" si="8"/>
        <v/>
      </c>
      <c r="I1449" s="147" t="str">
        <f t="shared" si="1"/>
        <v/>
      </c>
      <c r="J1449" s="147" t="str">
        <f t="shared" si="13"/>
        <v/>
      </c>
      <c r="K1449" s="147" t="str">
        <f>IFERROR(__xludf.DUMMYFUNCTION("if(C1449="""","""",iferror(if(row()&lt;&gt;2,INDEX(arrayformula(filter($L$2:$L1448,$C$2:$C1448&lt;&gt;"""",row($C$2:$C1448)=max(if($C$2:$C1448=C1449,row($C$2:$C1448),0)))) ,1),0),0))"),"")</f>
        <v/>
      </c>
      <c r="L1449" s="147" t="str">
        <f t="shared" si="14"/>
        <v/>
      </c>
      <c r="M1449" s="147" t="str">
        <f t="shared" si="15"/>
        <v/>
      </c>
      <c r="N1449" s="147" t="str">
        <f t="shared" si="16"/>
        <v/>
      </c>
      <c r="O1449" s="147" t="str">
        <f t="shared" si="6"/>
        <v/>
      </c>
      <c r="P1449" s="150" t="str">
        <f t="shared" si="7"/>
        <v/>
      </c>
      <c r="Q1449" s="151" t="str">
        <f>IFERROR(VLOOKUP(C1449,Ativos!$A$1:$G2000,5,),)</f>
        <v/>
      </c>
    </row>
    <row r="1450" ht="21.0" customHeight="1">
      <c r="A1450" s="152"/>
      <c r="B1450" s="160"/>
      <c r="C1450" s="153"/>
      <c r="D1450" s="169"/>
      <c r="E1450" s="139"/>
      <c r="F1450" s="141"/>
      <c r="G1450" s="170" t="str">
        <f>IFERROR(__xludf.DUMMYFUNCTION("if($C1450="""","""",iferror(if(row()&lt;&gt;2,INDEX(arrayformula(filter($H$2:$H1449,$C$2:$C1449&lt;&gt;"""",row($C$2:$C1449)=max(if($C$2:$C1449=C1450,row($C$2:$C1449),0)))) ,1),0),0))"),"")</f>
        <v/>
      </c>
      <c r="H1450" s="170" t="str">
        <f t="shared" si="8"/>
        <v/>
      </c>
      <c r="I1450" s="147" t="str">
        <f t="shared" si="1"/>
        <v/>
      </c>
      <c r="J1450" s="147" t="str">
        <f t="shared" si="13"/>
        <v/>
      </c>
      <c r="K1450" s="147" t="str">
        <f>IFERROR(__xludf.DUMMYFUNCTION("if(C1450="""","""",iferror(if(row()&lt;&gt;2,INDEX(arrayformula(filter($L$2:$L1449,$C$2:$C1449&lt;&gt;"""",row($C$2:$C1449)=max(if($C$2:$C1449=C1450,row($C$2:$C1449),0)))) ,1),0),0))"),"")</f>
        <v/>
      </c>
      <c r="L1450" s="147" t="str">
        <f t="shared" si="14"/>
        <v/>
      </c>
      <c r="M1450" s="147" t="str">
        <f t="shared" si="15"/>
        <v/>
      </c>
      <c r="N1450" s="147" t="str">
        <f t="shared" si="16"/>
        <v/>
      </c>
      <c r="O1450" s="147" t="str">
        <f t="shared" si="6"/>
        <v/>
      </c>
      <c r="P1450" s="150" t="str">
        <f t="shared" si="7"/>
        <v/>
      </c>
      <c r="Q1450" s="151" t="str">
        <f>IFERROR(VLOOKUP(C1450,Ativos!$A$1:$G2000,5,),)</f>
        <v/>
      </c>
    </row>
    <row r="1451" ht="21.0" customHeight="1">
      <c r="A1451" s="152"/>
      <c r="B1451" s="160"/>
      <c r="C1451" s="153"/>
      <c r="D1451" s="169"/>
      <c r="E1451" s="139"/>
      <c r="F1451" s="141"/>
      <c r="G1451" s="170" t="str">
        <f>IFERROR(__xludf.DUMMYFUNCTION("if($C1451="""","""",iferror(if(row()&lt;&gt;2,INDEX(arrayformula(filter($H$2:$H1450,$C$2:$C1450&lt;&gt;"""",row($C$2:$C1450)=max(if($C$2:$C1450=C1451,row($C$2:$C1450),0)))) ,1),0),0))"),"")</f>
        <v/>
      </c>
      <c r="H1451" s="170" t="str">
        <f t="shared" si="8"/>
        <v/>
      </c>
      <c r="I1451" s="147" t="str">
        <f t="shared" si="1"/>
        <v/>
      </c>
      <c r="J1451" s="147" t="str">
        <f t="shared" si="13"/>
        <v/>
      </c>
      <c r="K1451" s="147" t="str">
        <f>IFERROR(__xludf.DUMMYFUNCTION("if(C1451="""","""",iferror(if(row()&lt;&gt;2,INDEX(arrayformula(filter($L$2:$L1450,$C$2:$C1450&lt;&gt;"""",row($C$2:$C1450)=max(if($C$2:$C1450=C1451,row($C$2:$C1450),0)))) ,1),0),0))"),"")</f>
        <v/>
      </c>
      <c r="L1451" s="147" t="str">
        <f t="shared" si="14"/>
        <v/>
      </c>
      <c r="M1451" s="147" t="str">
        <f t="shared" si="15"/>
        <v/>
      </c>
      <c r="N1451" s="147" t="str">
        <f t="shared" si="16"/>
        <v/>
      </c>
      <c r="O1451" s="147" t="str">
        <f t="shared" si="6"/>
        <v/>
      </c>
      <c r="P1451" s="150" t="str">
        <f t="shared" si="7"/>
        <v/>
      </c>
      <c r="Q1451" s="151" t="str">
        <f>IFERROR(VLOOKUP(C1451,Ativos!$A$1:$G2000,5,),)</f>
        <v/>
      </c>
    </row>
    <row r="1452" ht="21.0" customHeight="1">
      <c r="A1452" s="152"/>
      <c r="B1452" s="160"/>
      <c r="C1452" s="153"/>
      <c r="D1452" s="169"/>
      <c r="E1452" s="139"/>
      <c r="F1452" s="141"/>
      <c r="G1452" s="170" t="str">
        <f>IFERROR(__xludf.DUMMYFUNCTION("if($C1452="""","""",iferror(if(row()&lt;&gt;2,INDEX(arrayformula(filter($H$2:$H1451,$C$2:$C1451&lt;&gt;"""",row($C$2:$C1451)=max(if($C$2:$C1451=C1452,row($C$2:$C1451),0)))) ,1),0),0))"),"")</f>
        <v/>
      </c>
      <c r="H1452" s="170" t="str">
        <f t="shared" si="8"/>
        <v/>
      </c>
      <c r="I1452" s="147" t="str">
        <f t="shared" si="1"/>
        <v/>
      </c>
      <c r="J1452" s="147" t="str">
        <f t="shared" si="13"/>
        <v/>
      </c>
      <c r="K1452" s="147" t="str">
        <f>IFERROR(__xludf.DUMMYFUNCTION("if(C1452="""","""",iferror(if(row()&lt;&gt;2,INDEX(arrayformula(filter($L$2:$L1451,$C$2:$C1451&lt;&gt;"""",row($C$2:$C1451)=max(if($C$2:$C1451=C1452,row($C$2:$C1451),0)))) ,1),0),0))"),"")</f>
        <v/>
      </c>
      <c r="L1452" s="147" t="str">
        <f t="shared" si="14"/>
        <v/>
      </c>
      <c r="M1452" s="147" t="str">
        <f t="shared" si="15"/>
        <v/>
      </c>
      <c r="N1452" s="147" t="str">
        <f t="shared" si="16"/>
        <v/>
      </c>
      <c r="O1452" s="147" t="str">
        <f t="shared" si="6"/>
        <v/>
      </c>
      <c r="P1452" s="150" t="str">
        <f t="shared" si="7"/>
        <v/>
      </c>
      <c r="Q1452" s="151" t="str">
        <f>IFERROR(VLOOKUP(C1452,Ativos!$A$1:$G2000,5,),)</f>
        <v/>
      </c>
    </row>
    <row r="1453" ht="21.0" customHeight="1">
      <c r="A1453" s="152"/>
      <c r="B1453" s="160"/>
      <c r="C1453" s="153"/>
      <c r="D1453" s="169"/>
      <c r="E1453" s="139"/>
      <c r="F1453" s="141"/>
      <c r="G1453" s="170" t="str">
        <f>IFERROR(__xludf.DUMMYFUNCTION("if($C1453="""","""",iferror(if(row()&lt;&gt;2,INDEX(arrayformula(filter($H$2:$H1452,$C$2:$C1452&lt;&gt;"""",row($C$2:$C1452)=max(if($C$2:$C1452=C1453,row($C$2:$C1452),0)))) ,1),0),0))"),"")</f>
        <v/>
      </c>
      <c r="H1453" s="170" t="str">
        <f t="shared" si="8"/>
        <v/>
      </c>
      <c r="I1453" s="147" t="str">
        <f t="shared" si="1"/>
        <v/>
      </c>
      <c r="J1453" s="147" t="str">
        <f t="shared" si="13"/>
        <v/>
      </c>
      <c r="K1453" s="147" t="str">
        <f>IFERROR(__xludf.DUMMYFUNCTION("if(C1453="""","""",iferror(if(row()&lt;&gt;2,INDEX(arrayformula(filter($L$2:$L1452,$C$2:$C1452&lt;&gt;"""",row($C$2:$C1452)=max(if($C$2:$C1452=C1453,row($C$2:$C1452),0)))) ,1),0),0))"),"")</f>
        <v/>
      </c>
      <c r="L1453" s="147" t="str">
        <f t="shared" si="14"/>
        <v/>
      </c>
      <c r="M1453" s="147" t="str">
        <f t="shared" si="15"/>
        <v/>
      </c>
      <c r="N1453" s="147" t="str">
        <f t="shared" si="16"/>
        <v/>
      </c>
      <c r="O1453" s="147" t="str">
        <f t="shared" si="6"/>
        <v/>
      </c>
      <c r="P1453" s="150" t="str">
        <f t="shared" si="7"/>
        <v/>
      </c>
      <c r="Q1453" s="151" t="str">
        <f>IFERROR(VLOOKUP(C1453,Ativos!$A$1:$G2000,5,),)</f>
        <v/>
      </c>
    </row>
    <row r="1454" ht="21.0" customHeight="1">
      <c r="A1454" s="152"/>
      <c r="B1454" s="160"/>
      <c r="C1454" s="153"/>
      <c r="D1454" s="169"/>
      <c r="E1454" s="139"/>
      <c r="F1454" s="141"/>
      <c r="G1454" s="170" t="str">
        <f>IFERROR(__xludf.DUMMYFUNCTION("if($C1454="""","""",iferror(if(row()&lt;&gt;2,INDEX(arrayformula(filter($H$2:$H1453,$C$2:$C1453&lt;&gt;"""",row($C$2:$C1453)=max(if($C$2:$C1453=C1454,row($C$2:$C1453),0)))) ,1),0),0))"),"")</f>
        <v/>
      </c>
      <c r="H1454" s="170" t="str">
        <f t="shared" si="8"/>
        <v/>
      </c>
      <c r="I1454" s="147" t="str">
        <f t="shared" si="1"/>
        <v/>
      </c>
      <c r="J1454" s="147" t="str">
        <f t="shared" si="13"/>
        <v/>
      </c>
      <c r="K1454" s="147" t="str">
        <f>IFERROR(__xludf.DUMMYFUNCTION("if(C1454="""","""",iferror(if(row()&lt;&gt;2,INDEX(arrayformula(filter($L$2:$L1453,$C$2:$C1453&lt;&gt;"""",row($C$2:$C1453)=max(if($C$2:$C1453=C1454,row($C$2:$C1453),0)))) ,1),0),0))"),"")</f>
        <v/>
      </c>
      <c r="L1454" s="147" t="str">
        <f t="shared" si="14"/>
        <v/>
      </c>
      <c r="M1454" s="147" t="str">
        <f t="shared" si="15"/>
        <v/>
      </c>
      <c r="N1454" s="147" t="str">
        <f t="shared" si="16"/>
        <v/>
      </c>
      <c r="O1454" s="147" t="str">
        <f t="shared" si="6"/>
        <v/>
      </c>
      <c r="P1454" s="150" t="str">
        <f t="shared" si="7"/>
        <v/>
      </c>
      <c r="Q1454" s="151" t="str">
        <f>IFERROR(VLOOKUP(C1454,Ativos!$A$1:$G2000,5,),)</f>
        <v/>
      </c>
    </row>
    <row r="1455" ht="21.0" customHeight="1">
      <c r="A1455" s="152"/>
      <c r="B1455" s="160"/>
      <c r="C1455" s="153"/>
      <c r="D1455" s="169"/>
      <c r="E1455" s="139"/>
      <c r="F1455" s="141"/>
      <c r="G1455" s="170" t="str">
        <f>IFERROR(__xludf.DUMMYFUNCTION("if($C1455="""","""",iferror(if(row()&lt;&gt;2,INDEX(arrayformula(filter($H$2:$H1454,$C$2:$C1454&lt;&gt;"""",row($C$2:$C1454)=max(if($C$2:$C1454=C1455,row($C$2:$C1454),0)))) ,1),0),0))"),"")</f>
        <v/>
      </c>
      <c r="H1455" s="170" t="str">
        <f t="shared" si="8"/>
        <v/>
      </c>
      <c r="I1455" s="147" t="str">
        <f t="shared" si="1"/>
        <v/>
      </c>
      <c r="J1455" s="147" t="str">
        <f t="shared" si="13"/>
        <v/>
      </c>
      <c r="K1455" s="147" t="str">
        <f>IFERROR(__xludf.DUMMYFUNCTION("if(C1455="""","""",iferror(if(row()&lt;&gt;2,INDEX(arrayformula(filter($L$2:$L1454,$C$2:$C1454&lt;&gt;"""",row($C$2:$C1454)=max(if($C$2:$C1454=C1455,row($C$2:$C1454),0)))) ,1),0),0))"),"")</f>
        <v/>
      </c>
      <c r="L1455" s="147" t="str">
        <f t="shared" si="14"/>
        <v/>
      </c>
      <c r="M1455" s="147" t="str">
        <f t="shared" si="15"/>
        <v/>
      </c>
      <c r="N1455" s="147" t="str">
        <f t="shared" si="16"/>
        <v/>
      </c>
      <c r="O1455" s="147" t="str">
        <f t="shared" si="6"/>
        <v/>
      </c>
      <c r="P1455" s="150" t="str">
        <f t="shared" si="7"/>
        <v/>
      </c>
      <c r="Q1455" s="151" t="str">
        <f>IFERROR(VLOOKUP(C1455,Ativos!$A$1:$G2000,5,),)</f>
        <v/>
      </c>
    </row>
    <row r="1456" ht="21.0" customHeight="1">
      <c r="A1456" s="152"/>
      <c r="B1456" s="160"/>
      <c r="C1456" s="153"/>
      <c r="D1456" s="169"/>
      <c r="E1456" s="139"/>
      <c r="F1456" s="141"/>
      <c r="G1456" s="170" t="str">
        <f>IFERROR(__xludf.DUMMYFUNCTION("if($C1456="""","""",iferror(if(row()&lt;&gt;2,INDEX(arrayformula(filter($H$2:$H1455,$C$2:$C1455&lt;&gt;"""",row($C$2:$C1455)=max(if($C$2:$C1455=C1456,row($C$2:$C1455),0)))) ,1),0),0))"),"")</f>
        <v/>
      </c>
      <c r="H1456" s="170" t="str">
        <f t="shared" si="8"/>
        <v/>
      </c>
      <c r="I1456" s="147" t="str">
        <f t="shared" si="1"/>
        <v/>
      </c>
      <c r="J1456" s="147" t="str">
        <f t="shared" si="13"/>
        <v/>
      </c>
      <c r="K1456" s="147" t="str">
        <f>IFERROR(__xludf.DUMMYFUNCTION("if(C1456="""","""",iferror(if(row()&lt;&gt;2,INDEX(arrayformula(filter($L$2:$L1455,$C$2:$C1455&lt;&gt;"""",row($C$2:$C1455)=max(if($C$2:$C1455=C1456,row($C$2:$C1455),0)))) ,1),0),0))"),"")</f>
        <v/>
      </c>
      <c r="L1456" s="147" t="str">
        <f t="shared" si="14"/>
        <v/>
      </c>
      <c r="M1456" s="147" t="str">
        <f t="shared" si="15"/>
        <v/>
      </c>
      <c r="N1456" s="147" t="str">
        <f t="shared" si="16"/>
        <v/>
      </c>
      <c r="O1456" s="147" t="str">
        <f t="shared" si="6"/>
        <v/>
      </c>
      <c r="P1456" s="150" t="str">
        <f t="shared" si="7"/>
        <v/>
      </c>
      <c r="Q1456" s="151" t="str">
        <f>IFERROR(VLOOKUP(C1456,Ativos!$A$1:$G2000,5,),)</f>
        <v/>
      </c>
    </row>
    <row r="1457" ht="21.0" customHeight="1">
      <c r="A1457" s="152"/>
      <c r="B1457" s="160"/>
      <c r="C1457" s="153"/>
      <c r="D1457" s="169"/>
      <c r="E1457" s="139"/>
      <c r="F1457" s="141"/>
      <c r="G1457" s="170" t="str">
        <f>IFERROR(__xludf.DUMMYFUNCTION("if($C1457="""","""",iferror(if(row()&lt;&gt;2,INDEX(arrayformula(filter($H$2:$H1456,$C$2:$C1456&lt;&gt;"""",row($C$2:$C1456)=max(if($C$2:$C1456=C1457,row($C$2:$C1456),0)))) ,1),0),0))"),"")</f>
        <v/>
      </c>
      <c r="H1457" s="170" t="str">
        <f t="shared" si="8"/>
        <v/>
      </c>
      <c r="I1457" s="147" t="str">
        <f t="shared" si="1"/>
        <v/>
      </c>
      <c r="J1457" s="147" t="str">
        <f t="shared" si="13"/>
        <v/>
      </c>
      <c r="K1457" s="147" t="str">
        <f>IFERROR(__xludf.DUMMYFUNCTION("if(C1457="""","""",iferror(if(row()&lt;&gt;2,INDEX(arrayformula(filter($L$2:$L1456,$C$2:$C1456&lt;&gt;"""",row($C$2:$C1456)=max(if($C$2:$C1456=C1457,row($C$2:$C1456),0)))) ,1),0),0))"),"")</f>
        <v/>
      </c>
      <c r="L1457" s="147" t="str">
        <f t="shared" si="14"/>
        <v/>
      </c>
      <c r="M1457" s="147" t="str">
        <f t="shared" si="15"/>
        <v/>
      </c>
      <c r="N1457" s="147" t="str">
        <f t="shared" si="16"/>
        <v/>
      </c>
      <c r="O1457" s="147" t="str">
        <f t="shared" si="6"/>
        <v/>
      </c>
      <c r="P1457" s="150" t="str">
        <f t="shared" si="7"/>
        <v/>
      </c>
      <c r="Q1457" s="151" t="str">
        <f>IFERROR(VLOOKUP(C1457,Ativos!$A$1:$G2000,5,),)</f>
        <v/>
      </c>
    </row>
    <row r="1458" ht="21.0" customHeight="1">
      <c r="A1458" s="152"/>
      <c r="B1458" s="160"/>
      <c r="C1458" s="153"/>
      <c r="D1458" s="169"/>
      <c r="E1458" s="139"/>
      <c r="F1458" s="141"/>
      <c r="G1458" s="170" t="str">
        <f>IFERROR(__xludf.DUMMYFUNCTION("if($C1458="""","""",iferror(if(row()&lt;&gt;2,INDEX(arrayformula(filter($H$2:$H1457,$C$2:$C1457&lt;&gt;"""",row($C$2:$C1457)=max(if($C$2:$C1457=C1458,row($C$2:$C1457),0)))) ,1),0),0))"),"")</f>
        <v/>
      </c>
      <c r="H1458" s="170" t="str">
        <f t="shared" si="8"/>
        <v/>
      </c>
      <c r="I1458" s="147" t="str">
        <f t="shared" si="1"/>
        <v/>
      </c>
      <c r="J1458" s="147" t="str">
        <f t="shared" si="13"/>
        <v/>
      </c>
      <c r="K1458" s="147" t="str">
        <f>IFERROR(__xludf.DUMMYFUNCTION("if(C1458="""","""",iferror(if(row()&lt;&gt;2,INDEX(arrayformula(filter($L$2:$L1457,$C$2:$C1457&lt;&gt;"""",row($C$2:$C1457)=max(if($C$2:$C1457=C1458,row($C$2:$C1457),0)))) ,1),0),0))"),"")</f>
        <v/>
      </c>
      <c r="L1458" s="147" t="str">
        <f t="shared" si="14"/>
        <v/>
      </c>
      <c r="M1458" s="147" t="str">
        <f t="shared" si="15"/>
        <v/>
      </c>
      <c r="N1458" s="147" t="str">
        <f t="shared" si="16"/>
        <v/>
      </c>
      <c r="O1458" s="147" t="str">
        <f t="shared" si="6"/>
        <v/>
      </c>
      <c r="P1458" s="150" t="str">
        <f t="shared" si="7"/>
        <v/>
      </c>
      <c r="Q1458" s="151" t="str">
        <f>IFERROR(VLOOKUP(C1458,Ativos!$A$1:$G2000,5,),)</f>
        <v/>
      </c>
    </row>
    <row r="1459" ht="21.0" customHeight="1">
      <c r="A1459" s="152"/>
      <c r="B1459" s="160"/>
      <c r="C1459" s="153"/>
      <c r="D1459" s="169"/>
      <c r="E1459" s="139"/>
      <c r="F1459" s="141"/>
      <c r="G1459" s="170" t="str">
        <f>IFERROR(__xludf.DUMMYFUNCTION("if($C1459="""","""",iferror(if(row()&lt;&gt;2,INDEX(arrayformula(filter($H$2:$H1458,$C$2:$C1458&lt;&gt;"""",row($C$2:$C1458)=max(if($C$2:$C1458=C1459,row($C$2:$C1458),0)))) ,1),0),0))"),"")</f>
        <v/>
      </c>
      <c r="H1459" s="170" t="str">
        <f t="shared" si="8"/>
        <v/>
      </c>
      <c r="I1459" s="147" t="str">
        <f t="shared" si="1"/>
        <v/>
      </c>
      <c r="J1459" s="147" t="str">
        <f t="shared" si="13"/>
        <v/>
      </c>
      <c r="K1459" s="147" t="str">
        <f>IFERROR(__xludf.DUMMYFUNCTION("if(C1459="""","""",iferror(if(row()&lt;&gt;2,INDEX(arrayformula(filter($L$2:$L1458,$C$2:$C1458&lt;&gt;"""",row($C$2:$C1458)=max(if($C$2:$C1458=C1459,row($C$2:$C1458),0)))) ,1),0),0))"),"")</f>
        <v/>
      </c>
      <c r="L1459" s="147" t="str">
        <f t="shared" si="14"/>
        <v/>
      </c>
      <c r="M1459" s="147" t="str">
        <f t="shared" si="15"/>
        <v/>
      </c>
      <c r="N1459" s="147" t="str">
        <f t="shared" si="16"/>
        <v/>
      </c>
      <c r="O1459" s="147" t="str">
        <f t="shared" si="6"/>
        <v/>
      </c>
      <c r="P1459" s="150" t="str">
        <f t="shared" si="7"/>
        <v/>
      </c>
      <c r="Q1459" s="151" t="str">
        <f>IFERROR(VLOOKUP(C1459,Ativos!$A$1:$G2000,5,),)</f>
        <v/>
      </c>
    </row>
    <row r="1460" ht="21.0" customHeight="1">
      <c r="A1460" s="152"/>
      <c r="B1460" s="160"/>
      <c r="C1460" s="153"/>
      <c r="D1460" s="169"/>
      <c r="E1460" s="139"/>
      <c r="F1460" s="141"/>
      <c r="G1460" s="170" t="str">
        <f>IFERROR(__xludf.DUMMYFUNCTION("if($C1460="""","""",iferror(if(row()&lt;&gt;2,INDEX(arrayformula(filter($H$2:$H1459,$C$2:$C1459&lt;&gt;"""",row($C$2:$C1459)=max(if($C$2:$C1459=C1460,row($C$2:$C1459),0)))) ,1),0),0))"),"")</f>
        <v/>
      </c>
      <c r="H1460" s="170" t="str">
        <f t="shared" si="8"/>
        <v/>
      </c>
      <c r="I1460" s="147" t="str">
        <f t="shared" si="1"/>
        <v/>
      </c>
      <c r="J1460" s="147" t="str">
        <f t="shared" si="13"/>
        <v/>
      </c>
      <c r="K1460" s="147" t="str">
        <f>IFERROR(__xludf.DUMMYFUNCTION("if(C1460="""","""",iferror(if(row()&lt;&gt;2,INDEX(arrayformula(filter($L$2:$L1459,$C$2:$C1459&lt;&gt;"""",row($C$2:$C1459)=max(if($C$2:$C1459=C1460,row($C$2:$C1459),0)))) ,1),0),0))"),"")</f>
        <v/>
      </c>
      <c r="L1460" s="147" t="str">
        <f t="shared" si="14"/>
        <v/>
      </c>
      <c r="M1460" s="147" t="str">
        <f t="shared" si="15"/>
        <v/>
      </c>
      <c r="N1460" s="147" t="str">
        <f t="shared" si="16"/>
        <v/>
      </c>
      <c r="O1460" s="147" t="str">
        <f t="shared" si="6"/>
        <v/>
      </c>
      <c r="P1460" s="150" t="str">
        <f t="shared" si="7"/>
        <v/>
      </c>
      <c r="Q1460" s="151" t="str">
        <f>IFERROR(VLOOKUP(C1460,Ativos!$A$1:$G2000,5,),)</f>
        <v/>
      </c>
    </row>
    <row r="1461" ht="21.0" customHeight="1">
      <c r="A1461" s="152"/>
      <c r="B1461" s="160"/>
      <c r="C1461" s="153"/>
      <c r="D1461" s="169"/>
      <c r="E1461" s="139"/>
      <c r="F1461" s="141"/>
      <c r="G1461" s="170" t="str">
        <f>IFERROR(__xludf.DUMMYFUNCTION("if($C1461="""","""",iferror(if(row()&lt;&gt;2,INDEX(arrayformula(filter($H$2:$H1460,$C$2:$C1460&lt;&gt;"""",row($C$2:$C1460)=max(if($C$2:$C1460=C1461,row($C$2:$C1460),0)))) ,1),0),0))"),"")</f>
        <v/>
      </c>
      <c r="H1461" s="170" t="str">
        <f t="shared" si="8"/>
        <v/>
      </c>
      <c r="I1461" s="147" t="str">
        <f t="shared" si="1"/>
        <v/>
      </c>
      <c r="J1461" s="147" t="str">
        <f t="shared" si="13"/>
        <v/>
      </c>
      <c r="K1461" s="147" t="str">
        <f>IFERROR(__xludf.DUMMYFUNCTION("if(C1461="""","""",iferror(if(row()&lt;&gt;2,INDEX(arrayformula(filter($L$2:$L1460,$C$2:$C1460&lt;&gt;"""",row($C$2:$C1460)=max(if($C$2:$C1460=C1461,row($C$2:$C1460),0)))) ,1),0),0))"),"")</f>
        <v/>
      </c>
      <c r="L1461" s="147" t="str">
        <f t="shared" si="14"/>
        <v/>
      </c>
      <c r="M1461" s="147" t="str">
        <f t="shared" si="15"/>
        <v/>
      </c>
      <c r="N1461" s="147" t="str">
        <f t="shared" si="16"/>
        <v/>
      </c>
      <c r="O1461" s="147" t="str">
        <f t="shared" si="6"/>
        <v/>
      </c>
      <c r="P1461" s="150" t="str">
        <f t="shared" si="7"/>
        <v/>
      </c>
      <c r="Q1461" s="151" t="str">
        <f>IFERROR(VLOOKUP(C1461,Ativos!$A$1:$G2000,5,),)</f>
        <v/>
      </c>
    </row>
    <row r="1462" ht="21.0" customHeight="1">
      <c r="A1462" s="152"/>
      <c r="B1462" s="160"/>
      <c r="C1462" s="153"/>
      <c r="D1462" s="169"/>
      <c r="E1462" s="139"/>
      <c r="F1462" s="141"/>
      <c r="G1462" s="170" t="str">
        <f>IFERROR(__xludf.DUMMYFUNCTION("if($C1462="""","""",iferror(if(row()&lt;&gt;2,INDEX(arrayformula(filter($H$2:$H1461,$C$2:$C1461&lt;&gt;"""",row($C$2:$C1461)=max(if($C$2:$C1461=C1462,row($C$2:$C1461),0)))) ,1),0),0))"),"")</f>
        <v/>
      </c>
      <c r="H1462" s="170" t="str">
        <f t="shared" si="8"/>
        <v/>
      </c>
      <c r="I1462" s="147" t="str">
        <f t="shared" si="1"/>
        <v/>
      </c>
      <c r="J1462" s="147" t="str">
        <f t="shared" si="13"/>
        <v/>
      </c>
      <c r="K1462" s="147" t="str">
        <f>IFERROR(__xludf.DUMMYFUNCTION("if(C1462="""","""",iferror(if(row()&lt;&gt;2,INDEX(arrayformula(filter($L$2:$L1461,$C$2:$C1461&lt;&gt;"""",row($C$2:$C1461)=max(if($C$2:$C1461=C1462,row($C$2:$C1461),0)))) ,1),0),0))"),"")</f>
        <v/>
      </c>
      <c r="L1462" s="147" t="str">
        <f t="shared" si="14"/>
        <v/>
      </c>
      <c r="M1462" s="147" t="str">
        <f t="shared" si="15"/>
        <v/>
      </c>
      <c r="N1462" s="147" t="str">
        <f t="shared" si="16"/>
        <v/>
      </c>
      <c r="O1462" s="147" t="str">
        <f t="shared" si="6"/>
        <v/>
      </c>
      <c r="P1462" s="150" t="str">
        <f t="shared" si="7"/>
        <v/>
      </c>
      <c r="Q1462" s="151" t="str">
        <f>IFERROR(VLOOKUP(C1462,Ativos!$A$1:$G2000,5,),)</f>
        <v/>
      </c>
    </row>
    <row r="1463" ht="21.0" customHeight="1">
      <c r="A1463" s="152"/>
      <c r="B1463" s="160"/>
      <c r="C1463" s="153"/>
      <c r="D1463" s="169"/>
      <c r="E1463" s="139"/>
      <c r="F1463" s="141"/>
      <c r="G1463" s="170" t="str">
        <f>IFERROR(__xludf.DUMMYFUNCTION("if($C1463="""","""",iferror(if(row()&lt;&gt;2,INDEX(arrayformula(filter($H$2:$H1462,$C$2:$C1462&lt;&gt;"""",row($C$2:$C1462)=max(if($C$2:$C1462=C1463,row($C$2:$C1462),0)))) ,1),0),0))"),"")</f>
        <v/>
      </c>
      <c r="H1463" s="170" t="str">
        <f t="shared" si="8"/>
        <v/>
      </c>
      <c r="I1463" s="147" t="str">
        <f t="shared" si="1"/>
        <v/>
      </c>
      <c r="J1463" s="147" t="str">
        <f t="shared" si="13"/>
        <v/>
      </c>
      <c r="K1463" s="147" t="str">
        <f>IFERROR(__xludf.DUMMYFUNCTION("if(C1463="""","""",iferror(if(row()&lt;&gt;2,INDEX(arrayformula(filter($L$2:$L1462,$C$2:$C1462&lt;&gt;"""",row($C$2:$C1462)=max(if($C$2:$C1462=C1463,row($C$2:$C1462),0)))) ,1),0),0))"),"")</f>
        <v/>
      </c>
      <c r="L1463" s="147" t="str">
        <f t="shared" si="14"/>
        <v/>
      </c>
      <c r="M1463" s="147" t="str">
        <f t="shared" si="15"/>
        <v/>
      </c>
      <c r="N1463" s="147" t="str">
        <f t="shared" si="16"/>
        <v/>
      </c>
      <c r="O1463" s="147" t="str">
        <f t="shared" si="6"/>
        <v/>
      </c>
      <c r="P1463" s="150" t="str">
        <f t="shared" si="7"/>
        <v/>
      </c>
      <c r="Q1463" s="151" t="str">
        <f>IFERROR(VLOOKUP(C1463,Ativos!$A$1:$G2000,5,),)</f>
        <v/>
      </c>
    </row>
    <row r="1464" ht="21.0" customHeight="1">
      <c r="A1464" s="152"/>
      <c r="B1464" s="160"/>
      <c r="C1464" s="153"/>
      <c r="D1464" s="169"/>
      <c r="E1464" s="139"/>
      <c r="F1464" s="141"/>
      <c r="G1464" s="170" t="str">
        <f>IFERROR(__xludf.DUMMYFUNCTION("if($C1464="""","""",iferror(if(row()&lt;&gt;2,INDEX(arrayformula(filter($H$2:$H1463,$C$2:$C1463&lt;&gt;"""",row($C$2:$C1463)=max(if($C$2:$C1463=C1464,row($C$2:$C1463),0)))) ,1),0),0))"),"")</f>
        <v/>
      </c>
      <c r="H1464" s="170" t="str">
        <f t="shared" si="8"/>
        <v/>
      </c>
      <c r="I1464" s="147" t="str">
        <f t="shared" si="1"/>
        <v/>
      </c>
      <c r="J1464" s="147" t="str">
        <f t="shared" si="13"/>
        <v/>
      </c>
      <c r="K1464" s="147" t="str">
        <f>IFERROR(__xludf.DUMMYFUNCTION("if(C1464="""","""",iferror(if(row()&lt;&gt;2,INDEX(arrayformula(filter($L$2:$L1463,$C$2:$C1463&lt;&gt;"""",row($C$2:$C1463)=max(if($C$2:$C1463=C1464,row($C$2:$C1463),0)))) ,1),0),0))"),"")</f>
        <v/>
      </c>
      <c r="L1464" s="147" t="str">
        <f t="shared" si="14"/>
        <v/>
      </c>
      <c r="M1464" s="147" t="str">
        <f t="shared" si="15"/>
        <v/>
      </c>
      <c r="N1464" s="147" t="str">
        <f t="shared" si="16"/>
        <v/>
      </c>
      <c r="O1464" s="147" t="str">
        <f t="shared" si="6"/>
        <v/>
      </c>
      <c r="P1464" s="150" t="str">
        <f t="shared" si="7"/>
        <v/>
      </c>
      <c r="Q1464" s="151" t="str">
        <f>IFERROR(VLOOKUP(C1464,Ativos!$A$1:$G2000,5,),)</f>
        <v/>
      </c>
    </row>
    <row r="1465" ht="21.0" customHeight="1">
      <c r="A1465" s="152"/>
      <c r="B1465" s="160"/>
      <c r="C1465" s="153"/>
      <c r="D1465" s="169"/>
      <c r="E1465" s="139"/>
      <c r="F1465" s="141"/>
      <c r="G1465" s="170" t="str">
        <f>IFERROR(__xludf.DUMMYFUNCTION("if($C1465="""","""",iferror(if(row()&lt;&gt;2,INDEX(arrayformula(filter($H$2:$H1464,$C$2:$C1464&lt;&gt;"""",row($C$2:$C1464)=max(if($C$2:$C1464=C1465,row($C$2:$C1464),0)))) ,1),0),0))"),"")</f>
        <v/>
      </c>
      <c r="H1465" s="170" t="str">
        <f t="shared" si="8"/>
        <v/>
      </c>
      <c r="I1465" s="147" t="str">
        <f t="shared" si="1"/>
        <v/>
      </c>
      <c r="J1465" s="147" t="str">
        <f t="shared" si="13"/>
        <v/>
      </c>
      <c r="K1465" s="147" t="str">
        <f>IFERROR(__xludf.DUMMYFUNCTION("if(C1465="""","""",iferror(if(row()&lt;&gt;2,INDEX(arrayformula(filter($L$2:$L1464,$C$2:$C1464&lt;&gt;"""",row($C$2:$C1464)=max(if($C$2:$C1464=C1465,row($C$2:$C1464),0)))) ,1),0),0))"),"")</f>
        <v/>
      </c>
      <c r="L1465" s="147" t="str">
        <f t="shared" si="14"/>
        <v/>
      </c>
      <c r="M1465" s="147" t="str">
        <f t="shared" si="15"/>
        <v/>
      </c>
      <c r="N1465" s="147" t="str">
        <f t="shared" si="16"/>
        <v/>
      </c>
      <c r="O1465" s="147" t="str">
        <f t="shared" si="6"/>
        <v/>
      </c>
      <c r="P1465" s="150" t="str">
        <f t="shared" si="7"/>
        <v/>
      </c>
      <c r="Q1465" s="151" t="str">
        <f>IFERROR(VLOOKUP(C1465,Ativos!$A$1:$G2000,5,),)</f>
        <v/>
      </c>
    </row>
    <row r="1466" ht="21.0" customHeight="1">
      <c r="A1466" s="152"/>
      <c r="B1466" s="160"/>
      <c r="C1466" s="153"/>
      <c r="D1466" s="169"/>
      <c r="E1466" s="139"/>
      <c r="F1466" s="141"/>
      <c r="G1466" s="170" t="str">
        <f>IFERROR(__xludf.DUMMYFUNCTION("if($C1466="""","""",iferror(if(row()&lt;&gt;2,INDEX(arrayformula(filter($H$2:$H1465,$C$2:$C1465&lt;&gt;"""",row($C$2:$C1465)=max(if($C$2:$C1465=C1466,row($C$2:$C1465),0)))) ,1),0),0))"),"")</f>
        <v/>
      </c>
      <c r="H1466" s="170" t="str">
        <f t="shared" si="8"/>
        <v/>
      </c>
      <c r="I1466" s="147" t="str">
        <f t="shared" si="1"/>
        <v/>
      </c>
      <c r="J1466" s="147" t="str">
        <f t="shared" si="13"/>
        <v/>
      </c>
      <c r="K1466" s="147" t="str">
        <f>IFERROR(__xludf.DUMMYFUNCTION("if(C1466="""","""",iferror(if(row()&lt;&gt;2,INDEX(arrayformula(filter($L$2:$L1465,$C$2:$C1465&lt;&gt;"""",row($C$2:$C1465)=max(if($C$2:$C1465=C1466,row($C$2:$C1465),0)))) ,1),0),0))"),"")</f>
        <v/>
      </c>
      <c r="L1466" s="147" t="str">
        <f t="shared" si="14"/>
        <v/>
      </c>
      <c r="M1466" s="147" t="str">
        <f t="shared" si="15"/>
        <v/>
      </c>
      <c r="N1466" s="147" t="str">
        <f t="shared" si="16"/>
        <v/>
      </c>
      <c r="O1466" s="147" t="str">
        <f t="shared" si="6"/>
        <v/>
      </c>
      <c r="P1466" s="150" t="str">
        <f t="shared" si="7"/>
        <v/>
      </c>
      <c r="Q1466" s="151" t="str">
        <f>IFERROR(VLOOKUP(C1466,Ativos!$A$1:$G2000,5,),)</f>
        <v/>
      </c>
    </row>
    <row r="1467" ht="21.0" customHeight="1">
      <c r="A1467" s="152"/>
      <c r="B1467" s="160"/>
      <c r="C1467" s="153"/>
      <c r="D1467" s="169"/>
      <c r="E1467" s="139"/>
      <c r="F1467" s="141"/>
      <c r="G1467" s="170" t="str">
        <f>IFERROR(__xludf.DUMMYFUNCTION("if($C1467="""","""",iferror(if(row()&lt;&gt;2,INDEX(arrayformula(filter($H$2:$H1466,$C$2:$C1466&lt;&gt;"""",row($C$2:$C1466)=max(if($C$2:$C1466=C1467,row($C$2:$C1466),0)))) ,1),0),0))"),"")</f>
        <v/>
      </c>
      <c r="H1467" s="170" t="str">
        <f t="shared" si="8"/>
        <v/>
      </c>
      <c r="I1467" s="147" t="str">
        <f t="shared" si="1"/>
        <v/>
      </c>
      <c r="J1467" s="147" t="str">
        <f t="shared" si="13"/>
        <v/>
      </c>
      <c r="K1467" s="147" t="str">
        <f>IFERROR(__xludf.DUMMYFUNCTION("if(C1467="""","""",iferror(if(row()&lt;&gt;2,INDEX(arrayformula(filter($L$2:$L1466,$C$2:$C1466&lt;&gt;"""",row($C$2:$C1466)=max(if($C$2:$C1466=C1467,row($C$2:$C1466),0)))) ,1),0),0))"),"")</f>
        <v/>
      </c>
      <c r="L1467" s="147" t="str">
        <f t="shared" si="14"/>
        <v/>
      </c>
      <c r="M1467" s="147" t="str">
        <f t="shared" si="15"/>
        <v/>
      </c>
      <c r="N1467" s="147" t="str">
        <f t="shared" si="16"/>
        <v/>
      </c>
      <c r="O1467" s="147" t="str">
        <f t="shared" si="6"/>
        <v/>
      </c>
      <c r="P1467" s="150" t="str">
        <f t="shared" si="7"/>
        <v/>
      </c>
      <c r="Q1467" s="151" t="str">
        <f>IFERROR(VLOOKUP(C1467,Ativos!$A$1:$G2000,5,),)</f>
        <v/>
      </c>
    </row>
    <row r="1468" ht="21.0" customHeight="1">
      <c r="A1468" s="152"/>
      <c r="B1468" s="160"/>
      <c r="C1468" s="153"/>
      <c r="D1468" s="169"/>
      <c r="E1468" s="139"/>
      <c r="F1468" s="141"/>
      <c r="G1468" s="170" t="str">
        <f>IFERROR(__xludf.DUMMYFUNCTION("if($C1468="""","""",iferror(if(row()&lt;&gt;2,INDEX(arrayformula(filter($H$2:$H1467,$C$2:$C1467&lt;&gt;"""",row($C$2:$C1467)=max(if($C$2:$C1467=C1468,row($C$2:$C1467),0)))) ,1),0),0))"),"")</f>
        <v/>
      </c>
      <c r="H1468" s="170" t="str">
        <f t="shared" si="8"/>
        <v/>
      </c>
      <c r="I1468" s="147" t="str">
        <f t="shared" si="1"/>
        <v/>
      </c>
      <c r="J1468" s="147" t="str">
        <f t="shared" si="13"/>
        <v/>
      </c>
      <c r="K1468" s="147" t="str">
        <f>IFERROR(__xludf.DUMMYFUNCTION("if(C1468="""","""",iferror(if(row()&lt;&gt;2,INDEX(arrayformula(filter($L$2:$L1467,$C$2:$C1467&lt;&gt;"""",row($C$2:$C1467)=max(if($C$2:$C1467=C1468,row($C$2:$C1467),0)))) ,1),0),0))"),"")</f>
        <v/>
      </c>
      <c r="L1468" s="147" t="str">
        <f t="shared" si="14"/>
        <v/>
      </c>
      <c r="M1468" s="147" t="str">
        <f t="shared" si="15"/>
        <v/>
      </c>
      <c r="N1468" s="147" t="str">
        <f t="shared" si="16"/>
        <v/>
      </c>
      <c r="O1468" s="147" t="str">
        <f t="shared" si="6"/>
        <v/>
      </c>
      <c r="P1468" s="150" t="str">
        <f t="shared" si="7"/>
        <v/>
      </c>
      <c r="Q1468" s="151" t="str">
        <f>IFERROR(VLOOKUP(C1468,Ativos!$A$1:$G2000,5,),)</f>
        <v/>
      </c>
    </row>
    <row r="1469" ht="21.0" customHeight="1">
      <c r="A1469" s="152"/>
      <c r="B1469" s="160"/>
      <c r="C1469" s="153"/>
      <c r="D1469" s="169"/>
      <c r="E1469" s="139"/>
      <c r="F1469" s="141"/>
      <c r="G1469" s="170" t="str">
        <f>IFERROR(__xludf.DUMMYFUNCTION("if($C1469="""","""",iferror(if(row()&lt;&gt;2,INDEX(arrayformula(filter($H$2:$H1468,$C$2:$C1468&lt;&gt;"""",row($C$2:$C1468)=max(if($C$2:$C1468=C1469,row($C$2:$C1468),0)))) ,1),0),0))"),"")</f>
        <v/>
      </c>
      <c r="H1469" s="170" t="str">
        <f t="shared" si="8"/>
        <v/>
      </c>
      <c r="I1469" s="147" t="str">
        <f t="shared" si="1"/>
        <v/>
      </c>
      <c r="J1469" s="147" t="str">
        <f t="shared" si="13"/>
        <v/>
      </c>
      <c r="K1469" s="147" t="str">
        <f>IFERROR(__xludf.DUMMYFUNCTION("if(C1469="""","""",iferror(if(row()&lt;&gt;2,INDEX(arrayformula(filter($L$2:$L1468,$C$2:$C1468&lt;&gt;"""",row($C$2:$C1468)=max(if($C$2:$C1468=C1469,row($C$2:$C1468),0)))) ,1),0),0))"),"")</f>
        <v/>
      </c>
      <c r="L1469" s="147" t="str">
        <f t="shared" si="14"/>
        <v/>
      </c>
      <c r="M1469" s="147" t="str">
        <f t="shared" si="15"/>
        <v/>
      </c>
      <c r="N1469" s="147" t="str">
        <f t="shared" si="16"/>
        <v/>
      </c>
      <c r="O1469" s="147" t="str">
        <f t="shared" si="6"/>
        <v/>
      </c>
      <c r="P1469" s="150" t="str">
        <f t="shared" si="7"/>
        <v/>
      </c>
      <c r="Q1469" s="151" t="str">
        <f>IFERROR(VLOOKUP(C1469,Ativos!$A$1:$G2000,5,),)</f>
        <v/>
      </c>
    </row>
    <row r="1470" ht="21.0" customHeight="1">
      <c r="A1470" s="152"/>
      <c r="B1470" s="160"/>
      <c r="C1470" s="153"/>
      <c r="D1470" s="169"/>
      <c r="E1470" s="139"/>
      <c r="F1470" s="141"/>
      <c r="G1470" s="170" t="str">
        <f>IFERROR(__xludf.DUMMYFUNCTION("if($C1470="""","""",iferror(if(row()&lt;&gt;2,INDEX(arrayformula(filter($H$2:$H1469,$C$2:$C1469&lt;&gt;"""",row($C$2:$C1469)=max(if($C$2:$C1469=C1470,row($C$2:$C1469),0)))) ,1),0),0))"),"")</f>
        <v/>
      </c>
      <c r="H1470" s="170" t="str">
        <f t="shared" si="8"/>
        <v/>
      </c>
      <c r="I1470" s="147" t="str">
        <f t="shared" si="1"/>
        <v/>
      </c>
      <c r="J1470" s="147" t="str">
        <f t="shared" si="13"/>
        <v/>
      </c>
      <c r="K1470" s="147" t="str">
        <f>IFERROR(__xludf.DUMMYFUNCTION("if(C1470="""","""",iferror(if(row()&lt;&gt;2,INDEX(arrayformula(filter($L$2:$L1469,$C$2:$C1469&lt;&gt;"""",row($C$2:$C1469)=max(if($C$2:$C1469=C1470,row($C$2:$C1469),0)))) ,1),0),0))"),"")</f>
        <v/>
      </c>
      <c r="L1470" s="147" t="str">
        <f t="shared" si="14"/>
        <v/>
      </c>
      <c r="M1470" s="147" t="str">
        <f t="shared" si="15"/>
        <v/>
      </c>
      <c r="N1470" s="147" t="str">
        <f t="shared" si="16"/>
        <v/>
      </c>
      <c r="O1470" s="147" t="str">
        <f t="shared" si="6"/>
        <v/>
      </c>
      <c r="P1470" s="150" t="str">
        <f t="shared" si="7"/>
        <v/>
      </c>
      <c r="Q1470" s="151" t="str">
        <f>IFERROR(VLOOKUP(C1470,Ativos!$A$1:$G2000,5,),)</f>
        <v/>
      </c>
    </row>
    <row r="1471" ht="21.0" customHeight="1">
      <c r="A1471" s="152"/>
      <c r="B1471" s="160"/>
      <c r="C1471" s="153"/>
      <c r="D1471" s="169"/>
      <c r="E1471" s="139"/>
      <c r="F1471" s="141"/>
      <c r="G1471" s="170" t="str">
        <f>IFERROR(__xludf.DUMMYFUNCTION("if($C1471="""","""",iferror(if(row()&lt;&gt;2,INDEX(arrayformula(filter($H$2:$H1470,$C$2:$C1470&lt;&gt;"""",row($C$2:$C1470)=max(if($C$2:$C1470=C1471,row($C$2:$C1470),0)))) ,1),0),0))"),"")</f>
        <v/>
      </c>
      <c r="H1471" s="170" t="str">
        <f t="shared" si="8"/>
        <v/>
      </c>
      <c r="I1471" s="147" t="str">
        <f t="shared" si="1"/>
        <v/>
      </c>
      <c r="J1471" s="147" t="str">
        <f t="shared" si="13"/>
        <v/>
      </c>
      <c r="K1471" s="147" t="str">
        <f>IFERROR(__xludf.DUMMYFUNCTION("if(C1471="""","""",iferror(if(row()&lt;&gt;2,INDEX(arrayformula(filter($L$2:$L1470,$C$2:$C1470&lt;&gt;"""",row($C$2:$C1470)=max(if($C$2:$C1470=C1471,row($C$2:$C1470),0)))) ,1),0),0))"),"")</f>
        <v/>
      </c>
      <c r="L1471" s="147" t="str">
        <f t="shared" si="14"/>
        <v/>
      </c>
      <c r="M1471" s="147" t="str">
        <f t="shared" si="15"/>
        <v/>
      </c>
      <c r="N1471" s="147" t="str">
        <f t="shared" si="16"/>
        <v/>
      </c>
      <c r="O1471" s="147" t="str">
        <f t="shared" si="6"/>
        <v/>
      </c>
      <c r="P1471" s="150" t="str">
        <f t="shared" si="7"/>
        <v/>
      </c>
      <c r="Q1471" s="151" t="str">
        <f>IFERROR(VLOOKUP(C1471,Ativos!$A$1:$G2000,5,),)</f>
        <v/>
      </c>
    </row>
    <row r="1472" ht="21.0" customHeight="1">
      <c r="A1472" s="152"/>
      <c r="B1472" s="160"/>
      <c r="C1472" s="153"/>
      <c r="D1472" s="169"/>
      <c r="E1472" s="139"/>
      <c r="F1472" s="141"/>
      <c r="G1472" s="170" t="str">
        <f>IFERROR(__xludf.DUMMYFUNCTION("if($C1472="""","""",iferror(if(row()&lt;&gt;2,INDEX(arrayformula(filter($H$2:$H1471,$C$2:$C1471&lt;&gt;"""",row($C$2:$C1471)=max(if($C$2:$C1471=C1472,row($C$2:$C1471),0)))) ,1),0),0))"),"")</f>
        <v/>
      </c>
      <c r="H1472" s="170" t="str">
        <f t="shared" si="8"/>
        <v/>
      </c>
      <c r="I1472" s="147" t="str">
        <f t="shared" si="1"/>
        <v/>
      </c>
      <c r="J1472" s="147" t="str">
        <f t="shared" si="13"/>
        <v/>
      </c>
      <c r="K1472" s="147" t="str">
        <f>IFERROR(__xludf.DUMMYFUNCTION("if(C1472="""","""",iferror(if(row()&lt;&gt;2,INDEX(arrayformula(filter($L$2:$L1471,$C$2:$C1471&lt;&gt;"""",row($C$2:$C1471)=max(if($C$2:$C1471=C1472,row($C$2:$C1471),0)))) ,1),0),0))"),"")</f>
        <v/>
      </c>
      <c r="L1472" s="147" t="str">
        <f t="shared" si="14"/>
        <v/>
      </c>
      <c r="M1472" s="147" t="str">
        <f t="shared" si="15"/>
        <v/>
      </c>
      <c r="N1472" s="147" t="str">
        <f t="shared" si="16"/>
        <v/>
      </c>
      <c r="O1472" s="147" t="str">
        <f t="shared" si="6"/>
        <v/>
      </c>
      <c r="P1472" s="150" t="str">
        <f t="shared" si="7"/>
        <v/>
      </c>
      <c r="Q1472" s="151" t="str">
        <f>IFERROR(VLOOKUP(C1472,Ativos!$A$1:$G2000,5,),)</f>
        <v/>
      </c>
    </row>
    <row r="1473" ht="21.0" customHeight="1">
      <c r="A1473" s="152"/>
      <c r="B1473" s="160"/>
      <c r="C1473" s="153"/>
      <c r="D1473" s="169"/>
      <c r="E1473" s="139"/>
      <c r="F1473" s="141"/>
      <c r="G1473" s="170" t="str">
        <f>IFERROR(__xludf.DUMMYFUNCTION("if($C1473="""","""",iferror(if(row()&lt;&gt;2,INDEX(arrayformula(filter($H$2:$H1472,$C$2:$C1472&lt;&gt;"""",row($C$2:$C1472)=max(if($C$2:$C1472=C1473,row($C$2:$C1472),0)))) ,1),0),0))"),"")</f>
        <v/>
      </c>
      <c r="H1473" s="170" t="str">
        <f t="shared" si="8"/>
        <v/>
      </c>
      <c r="I1473" s="147" t="str">
        <f t="shared" si="1"/>
        <v/>
      </c>
      <c r="J1473" s="147" t="str">
        <f t="shared" si="13"/>
        <v/>
      </c>
      <c r="K1473" s="147" t="str">
        <f>IFERROR(__xludf.DUMMYFUNCTION("if(C1473="""","""",iferror(if(row()&lt;&gt;2,INDEX(arrayformula(filter($L$2:$L1472,$C$2:$C1472&lt;&gt;"""",row($C$2:$C1472)=max(if($C$2:$C1472=C1473,row($C$2:$C1472),0)))) ,1),0),0))"),"")</f>
        <v/>
      </c>
      <c r="L1473" s="147" t="str">
        <f t="shared" si="14"/>
        <v/>
      </c>
      <c r="M1473" s="147" t="str">
        <f t="shared" si="15"/>
        <v/>
      </c>
      <c r="N1473" s="147" t="str">
        <f t="shared" si="16"/>
        <v/>
      </c>
      <c r="O1473" s="147" t="str">
        <f t="shared" si="6"/>
        <v/>
      </c>
      <c r="P1473" s="150" t="str">
        <f t="shared" si="7"/>
        <v/>
      </c>
      <c r="Q1473" s="151" t="str">
        <f>IFERROR(VLOOKUP(C1473,Ativos!$A$1:$G2000,5,),)</f>
        <v/>
      </c>
    </row>
    <row r="1474" ht="21.0" customHeight="1">
      <c r="A1474" s="152"/>
      <c r="B1474" s="160"/>
      <c r="C1474" s="153"/>
      <c r="D1474" s="169"/>
      <c r="E1474" s="139"/>
      <c r="F1474" s="141"/>
      <c r="G1474" s="170" t="str">
        <f>IFERROR(__xludf.DUMMYFUNCTION("if($C1474="""","""",iferror(if(row()&lt;&gt;2,INDEX(arrayformula(filter($H$2:$H1473,$C$2:$C1473&lt;&gt;"""",row($C$2:$C1473)=max(if($C$2:$C1473=C1474,row($C$2:$C1473),0)))) ,1),0),0))"),"")</f>
        <v/>
      </c>
      <c r="H1474" s="170" t="str">
        <f t="shared" si="8"/>
        <v/>
      </c>
      <c r="I1474" s="147" t="str">
        <f t="shared" si="1"/>
        <v/>
      </c>
      <c r="J1474" s="147" t="str">
        <f t="shared" si="13"/>
        <v/>
      </c>
      <c r="K1474" s="147" t="str">
        <f>IFERROR(__xludf.DUMMYFUNCTION("if(C1474="""","""",iferror(if(row()&lt;&gt;2,INDEX(arrayformula(filter($L$2:$L1473,$C$2:$C1473&lt;&gt;"""",row($C$2:$C1473)=max(if($C$2:$C1473=C1474,row($C$2:$C1473),0)))) ,1),0),0))"),"")</f>
        <v/>
      </c>
      <c r="L1474" s="147" t="str">
        <f t="shared" si="14"/>
        <v/>
      </c>
      <c r="M1474" s="147" t="str">
        <f t="shared" si="15"/>
        <v/>
      </c>
      <c r="N1474" s="147" t="str">
        <f t="shared" si="16"/>
        <v/>
      </c>
      <c r="O1474" s="147" t="str">
        <f t="shared" si="6"/>
        <v/>
      </c>
      <c r="P1474" s="150" t="str">
        <f t="shared" si="7"/>
        <v/>
      </c>
      <c r="Q1474" s="151" t="str">
        <f>IFERROR(VLOOKUP(C1474,Ativos!$A$1:$G2000,5,),)</f>
        <v/>
      </c>
    </row>
    <row r="1475" ht="21.0" customHeight="1">
      <c r="A1475" s="152"/>
      <c r="B1475" s="160"/>
      <c r="C1475" s="153"/>
      <c r="D1475" s="169"/>
      <c r="E1475" s="139"/>
      <c r="F1475" s="141"/>
      <c r="G1475" s="170" t="str">
        <f>IFERROR(__xludf.DUMMYFUNCTION("if($C1475="""","""",iferror(if(row()&lt;&gt;2,INDEX(arrayformula(filter($H$2:$H1474,$C$2:$C1474&lt;&gt;"""",row($C$2:$C1474)=max(if($C$2:$C1474=C1475,row($C$2:$C1474),0)))) ,1),0),0))"),"")</f>
        <v/>
      </c>
      <c r="H1475" s="170" t="str">
        <f t="shared" si="8"/>
        <v/>
      </c>
      <c r="I1475" s="147" t="str">
        <f t="shared" si="1"/>
        <v/>
      </c>
      <c r="J1475" s="147" t="str">
        <f t="shared" si="13"/>
        <v/>
      </c>
      <c r="K1475" s="147" t="str">
        <f>IFERROR(__xludf.DUMMYFUNCTION("if(C1475="""","""",iferror(if(row()&lt;&gt;2,INDEX(arrayformula(filter($L$2:$L1474,$C$2:$C1474&lt;&gt;"""",row($C$2:$C1474)=max(if($C$2:$C1474=C1475,row($C$2:$C1474),0)))) ,1),0),0))"),"")</f>
        <v/>
      </c>
      <c r="L1475" s="147" t="str">
        <f t="shared" si="14"/>
        <v/>
      </c>
      <c r="M1475" s="147" t="str">
        <f t="shared" si="15"/>
        <v/>
      </c>
      <c r="N1475" s="147" t="str">
        <f t="shared" si="16"/>
        <v/>
      </c>
      <c r="O1475" s="147" t="str">
        <f t="shared" si="6"/>
        <v/>
      </c>
      <c r="P1475" s="150" t="str">
        <f t="shared" si="7"/>
        <v/>
      </c>
      <c r="Q1475" s="151" t="str">
        <f>IFERROR(VLOOKUP(C1475,Ativos!$A$1:$G2000,5,),)</f>
        <v/>
      </c>
    </row>
    <row r="1476" ht="21.0" customHeight="1">
      <c r="A1476" s="152"/>
      <c r="B1476" s="160"/>
      <c r="C1476" s="153"/>
      <c r="D1476" s="169"/>
      <c r="E1476" s="139"/>
      <c r="F1476" s="141"/>
      <c r="G1476" s="170" t="str">
        <f>IFERROR(__xludf.DUMMYFUNCTION("if($C1476="""","""",iferror(if(row()&lt;&gt;2,INDEX(arrayformula(filter($H$2:$H1475,$C$2:$C1475&lt;&gt;"""",row($C$2:$C1475)=max(if($C$2:$C1475=C1476,row($C$2:$C1475),0)))) ,1),0),0))"),"")</f>
        <v/>
      </c>
      <c r="H1476" s="170" t="str">
        <f t="shared" si="8"/>
        <v/>
      </c>
      <c r="I1476" s="147" t="str">
        <f t="shared" si="1"/>
        <v/>
      </c>
      <c r="J1476" s="147" t="str">
        <f t="shared" si="13"/>
        <v/>
      </c>
      <c r="K1476" s="147" t="str">
        <f>IFERROR(__xludf.DUMMYFUNCTION("if(C1476="""","""",iferror(if(row()&lt;&gt;2,INDEX(arrayformula(filter($L$2:$L1475,$C$2:$C1475&lt;&gt;"""",row($C$2:$C1475)=max(if($C$2:$C1475=C1476,row($C$2:$C1475),0)))) ,1),0),0))"),"")</f>
        <v/>
      </c>
      <c r="L1476" s="147" t="str">
        <f t="shared" si="14"/>
        <v/>
      </c>
      <c r="M1476" s="147" t="str">
        <f t="shared" si="15"/>
        <v/>
      </c>
      <c r="N1476" s="147" t="str">
        <f t="shared" si="16"/>
        <v/>
      </c>
      <c r="O1476" s="147" t="str">
        <f t="shared" si="6"/>
        <v/>
      </c>
      <c r="P1476" s="150" t="str">
        <f t="shared" si="7"/>
        <v/>
      </c>
      <c r="Q1476" s="151" t="str">
        <f>IFERROR(VLOOKUP(C1476,Ativos!$A$1:$G2000,5,),)</f>
        <v/>
      </c>
    </row>
    <row r="1477" ht="21.0" customHeight="1">
      <c r="A1477" s="152"/>
      <c r="B1477" s="160"/>
      <c r="C1477" s="153"/>
      <c r="D1477" s="169"/>
      <c r="E1477" s="139"/>
      <c r="F1477" s="141"/>
      <c r="G1477" s="170" t="str">
        <f>IFERROR(__xludf.DUMMYFUNCTION("if($C1477="""","""",iferror(if(row()&lt;&gt;2,INDEX(arrayformula(filter($H$2:$H1476,$C$2:$C1476&lt;&gt;"""",row($C$2:$C1476)=max(if($C$2:$C1476=C1477,row($C$2:$C1476),0)))) ,1),0),0))"),"")</f>
        <v/>
      </c>
      <c r="H1477" s="170" t="str">
        <f t="shared" si="8"/>
        <v/>
      </c>
      <c r="I1477" s="147" t="str">
        <f t="shared" si="1"/>
        <v/>
      </c>
      <c r="J1477" s="147" t="str">
        <f t="shared" si="13"/>
        <v/>
      </c>
      <c r="K1477" s="147" t="str">
        <f>IFERROR(__xludf.DUMMYFUNCTION("if(C1477="""","""",iferror(if(row()&lt;&gt;2,INDEX(arrayformula(filter($L$2:$L1476,$C$2:$C1476&lt;&gt;"""",row($C$2:$C1476)=max(if($C$2:$C1476=C1477,row($C$2:$C1476),0)))) ,1),0),0))"),"")</f>
        <v/>
      </c>
      <c r="L1477" s="147" t="str">
        <f t="shared" si="14"/>
        <v/>
      </c>
      <c r="M1477" s="147" t="str">
        <f t="shared" si="15"/>
        <v/>
      </c>
      <c r="N1477" s="147" t="str">
        <f t="shared" si="16"/>
        <v/>
      </c>
      <c r="O1477" s="147" t="str">
        <f t="shared" si="6"/>
        <v/>
      </c>
      <c r="P1477" s="150" t="str">
        <f t="shared" si="7"/>
        <v/>
      </c>
      <c r="Q1477" s="151" t="str">
        <f>IFERROR(VLOOKUP(C1477,Ativos!$A$1:$G2000,5,),)</f>
        <v/>
      </c>
    </row>
    <row r="1478" ht="21.0" customHeight="1">
      <c r="A1478" s="152"/>
      <c r="B1478" s="160"/>
      <c r="C1478" s="153"/>
      <c r="D1478" s="169"/>
      <c r="E1478" s="139"/>
      <c r="F1478" s="141"/>
      <c r="G1478" s="170" t="str">
        <f>IFERROR(__xludf.DUMMYFUNCTION("if($C1478="""","""",iferror(if(row()&lt;&gt;2,INDEX(arrayformula(filter($H$2:$H1477,$C$2:$C1477&lt;&gt;"""",row($C$2:$C1477)=max(if($C$2:$C1477=C1478,row($C$2:$C1477),0)))) ,1),0),0))"),"")</f>
        <v/>
      </c>
      <c r="H1478" s="170" t="str">
        <f t="shared" si="8"/>
        <v/>
      </c>
      <c r="I1478" s="147" t="str">
        <f t="shared" si="1"/>
        <v/>
      </c>
      <c r="J1478" s="147" t="str">
        <f t="shared" si="13"/>
        <v/>
      </c>
      <c r="K1478" s="147" t="str">
        <f>IFERROR(__xludf.DUMMYFUNCTION("if(C1478="""","""",iferror(if(row()&lt;&gt;2,INDEX(arrayformula(filter($L$2:$L1477,$C$2:$C1477&lt;&gt;"""",row($C$2:$C1477)=max(if($C$2:$C1477=C1478,row($C$2:$C1477),0)))) ,1),0),0))"),"")</f>
        <v/>
      </c>
      <c r="L1478" s="147" t="str">
        <f t="shared" si="14"/>
        <v/>
      </c>
      <c r="M1478" s="147" t="str">
        <f t="shared" si="15"/>
        <v/>
      </c>
      <c r="N1478" s="147" t="str">
        <f t="shared" si="16"/>
        <v/>
      </c>
      <c r="O1478" s="147" t="str">
        <f t="shared" si="6"/>
        <v/>
      </c>
      <c r="P1478" s="150" t="str">
        <f t="shared" si="7"/>
        <v/>
      </c>
      <c r="Q1478" s="151" t="str">
        <f>IFERROR(VLOOKUP(C1478,Ativos!$A$1:$G2000,5,),)</f>
        <v/>
      </c>
    </row>
    <row r="1479" ht="21.0" customHeight="1">
      <c r="A1479" s="152"/>
      <c r="B1479" s="160"/>
      <c r="C1479" s="153"/>
      <c r="D1479" s="169"/>
      <c r="E1479" s="139"/>
      <c r="F1479" s="141"/>
      <c r="G1479" s="170" t="str">
        <f>IFERROR(__xludf.DUMMYFUNCTION("if($C1479="""","""",iferror(if(row()&lt;&gt;2,INDEX(arrayformula(filter($H$2:$H1478,$C$2:$C1478&lt;&gt;"""",row($C$2:$C1478)=max(if($C$2:$C1478=C1479,row($C$2:$C1478),0)))) ,1),0),0))"),"")</f>
        <v/>
      </c>
      <c r="H1479" s="170" t="str">
        <f t="shared" si="8"/>
        <v/>
      </c>
      <c r="I1479" s="147" t="str">
        <f t="shared" si="1"/>
        <v/>
      </c>
      <c r="J1479" s="147" t="str">
        <f t="shared" si="13"/>
        <v/>
      </c>
      <c r="K1479" s="147" t="str">
        <f>IFERROR(__xludf.DUMMYFUNCTION("if(C1479="""","""",iferror(if(row()&lt;&gt;2,INDEX(arrayformula(filter($L$2:$L1478,$C$2:$C1478&lt;&gt;"""",row($C$2:$C1478)=max(if($C$2:$C1478=C1479,row($C$2:$C1478),0)))) ,1),0),0))"),"")</f>
        <v/>
      </c>
      <c r="L1479" s="147" t="str">
        <f t="shared" si="14"/>
        <v/>
      </c>
      <c r="M1479" s="147" t="str">
        <f t="shared" si="15"/>
        <v/>
      </c>
      <c r="N1479" s="147" t="str">
        <f t="shared" si="16"/>
        <v/>
      </c>
      <c r="O1479" s="147" t="str">
        <f t="shared" si="6"/>
        <v/>
      </c>
      <c r="P1479" s="150" t="str">
        <f t="shared" si="7"/>
        <v/>
      </c>
      <c r="Q1479" s="151" t="str">
        <f>IFERROR(VLOOKUP(C1479,Ativos!$A$1:$G2000,5,),)</f>
        <v/>
      </c>
    </row>
    <row r="1480" ht="21.0" customHeight="1">
      <c r="A1480" s="152"/>
      <c r="B1480" s="160"/>
      <c r="C1480" s="153"/>
      <c r="D1480" s="169"/>
      <c r="E1480" s="139"/>
      <c r="F1480" s="141"/>
      <c r="G1480" s="170" t="str">
        <f>IFERROR(__xludf.DUMMYFUNCTION("if($C1480="""","""",iferror(if(row()&lt;&gt;2,INDEX(arrayformula(filter($H$2:$H1479,$C$2:$C1479&lt;&gt;"""",row($C$2:$C1479)=max(if($C$2:$C1479=C1480,row($C$2:$C1479),0)))) ,1),0),0))"),"")</f>
        <v/>
      </c>
      <c r="H1480" s="170" t="str">
        <f t="shared" si="8"/>
        <v/>
      </c>
      <c r="I1480" s="147" t="str">
        <f t="shared" si="1"/>
        <v/>
      </c>
      <c r="J1480" s="147" t="str">
        <f t="shared" si="13"/>
        <v/>
      </c>
      <c r="K1480" s="147" t="str">
        <f>IFERROR(__xludf.DUMMYFUNCTION("if(C1480="""","""",iferror(if(row()&lt;&gt;2,INDEX(arrayformula(filter($L$2:$L1479,$C$2:$C1479&lt;&gt;"""",row($C$2:$C1479)=max(if($C$2:$C1479=C1480,row($C$2:$C1479),0)))) ,1),0),0))"),"")</f>
        <v/>
      </c>
      <c r="L1480" s="147" t="str">
        <f t="shared" si="14"/>
        <v/>
      </c>
      <c r="M1480" s="147" t="str">
        <f t="shared" si="15"/>
        <v/>
      </c>
      <c r="N1480" s="147" t="str">
        <f t="shared" si="16"/>
        <v/>
      </c>
      <c r="O1480" s="147" t="str">
        <f t="shared" si="6"/>
        <v/>
      </c>
      <c r="P1480" s="150" t="str">
        <f t="shared" si="7"/>
        <v/>
      </c>
      <c r="Q1480" s="151" t="str">
        <f>IFERROR(VLOOKUP(C1480,Ativos!$A$1:$G2000,5,),)</f>
        <v/>
      </c>
    </row>
    <row r="1481" ht="21.0" customHeight="1">
      <c r="A1481" s="152"/>
      <c r="B1481" s="160"/>
      <c r="C1481" s="153"/>
      <c r="D1481" s="169"/>
      <c r="E1481" s="139"/>
      <c r="F1481" s="141"/>
      <c r="G1481" s="170" t="str">
        <f>IFERROR(__xludf.DUMMYFUNCTION("if($C1481="""","""",iferror(if(row()&lt;&gt;2,INDEX(arrayformula(filter($H$2:$H1480,$C$2:$C1480&lt;&gt;"""",row($C$2:$C1480)=max(if($C$2:$C1480=C1481,row($C$2:$C1480),0)))) ,1),0),0))"),"")</f>
        <v/>
      </c>
      <c r="H1481" s="170" t="str">
        <f t="shared" si="8"/>
        <v/>
      </c>
      <c r="I1481" s="147" t="str">
        <f t="shared" si="1"/>
        <v/>
      </c>
      <c r="J1481" s="147" t="str">
        <f t="shared" si="13"/>
        <v/>
      </c>
      <c r="K1481" s="147" t="str">
        <f>IFERROR(__xludf.DUMMYFUNCTION("if(C1481="""","""",iferror(if(row()&lt;&gt;2,INDEX(arrayformula(filter($L$2:$L1480,$C$2:$C1480&lt;&gt;"""",row($C$2:$C1480)=max(if($C$2:$C1480=C1481,row($C$2:$C1480),0)))) ,1),0),0))"),"")</f>
        <v/>
      </c>
      <c r="L1481" s="147" t="str">
        <f t="shared" si="14"/>
        <v/>
      </c>
      <c r="M1481" s="147" t="str">
        <f t="shared" si="15"/>
        <v/>
      </c>
      <c r="N1481" s="147" t="str">
        <f t="shared" si="16"/>
        <v/>
      </c>
      <c r="O1481" s="147" t="str">
        <f t="shared" si="6"/>
        <v/>
      </c>
      <c r="P1481" s="150" t="str">
        <f t="shared" si="7"/>
        <v/>
      </c>
      <c r="Q1481" s="151" t="str">
        <f>IFERROR(VLOOKUP(C1481,Ativos!$A$1:$G2000,5,),)</f>
        <v/>
      </c>
    </row>
    <row r="1482" ht="21.0" customHeight="1">
      <c r="A1482" s="152"/>
      <c r="B1482" s="160"/>
      <c r="C1482" s="153"/>
      <c r="D1482" s="169"/>
      <c r="E1482" s="139"/>
      <c r="F1482" s="141"/>
      <c r="G1482" s="170" t="str">
        <f>IFERROR(__xludf.DUMMYFUNCTION("if($C1482="""","""",iferror(if(row()&lt;&gt;2,INDEX(arrayformula(filter($H$2:$H1481,$C$2:$C1481&lt;&gt;"""",row($C$2:$C1481)=max(if($C$2:$C1481=C1482,row($C$2:$C1481),0)))) ,1),0),0))"),"")</f>
        <v/>
      </c>
      <c r="H1482" s="170" t="str">
        <f t="shared" si="8"/>
        <v/>
      </c>
      <c r="I1482" s="147" t="str">
        <f t="shared" si="1"/>
        <v/>
      </c>
      <c r="J1482" s="147" t="str">
        <f t="shared" si="13"/>
        <v/>
      </c>
      <c r="K1482" s="147" t="str">
        <f>IFERROR(__xludf.DUMMYFUNCTION("if(C1482="""","""",iferror(if(row()&lt;&gt;2,INDEX(arrayformula(filter($L$2:$L1481,$C$2:$C1481&lt;&gt;"""",row($C$2:$C1481)=max(if($C$2:$C1481=C1482,row($C$2:$C1481),0)))) ,1),0),0))"),"")</f>
        <v/>
      </c>
      <c r="L1482" s="147" t="str">
        <f t="shared" si="14"/>
        <v/>
      </c>
      <c r="M1482" s="147" t="str">
        <f t="shared" si="15"/>
        <v/>
      </c>
      <c r="N1482" s="147" t="str">
        <f t="shared" si="16"/>
        <v/>
      </c>
      <c r="O1482" s="147" t="str">
        <f t="shared" si="6"/>
        <v/>
      </c>
      <c r="P1482" s="150" t="str">
        <f t="shared" si="7"/>
        <v/>
      </c>
      <c r="Q1482" s="151" t="str">
        <f>IFERROR(VLOOKUP(C1482,Ativos!$A$1:$G2000,5,),)</f>
        <v/>
      </c>
    </row>
    <row r="1483" ht="21.0" customHeight="1">
      <c r="A1483" s="152"/>
      <c r="B1483" s="160"/>
      <c r="C1483" s="153"/>
      <c r="D1483" s="169"/>
      <c r="E1483" s="139"/>
      <c r="F1483" s="141"/>
      <c r="G1483" s="170" t="str">
        <f>IFERROR(__xludf.DUMMYFUNCTION("if($C1483="""","""",iferror(if(row()&lt;&gt;2,INDEX(arrayformula(filter($H$2:$H1482,$C$2:$C1482&lt;&gt;"""",row($C$2:$C1482)=max(if($C$2:$C1482=C1483,row($C$2:$C1482),0)))) ,1),0),0))"),"")</f>
        <v/>
      </c>
      <c r="H1483" s="170" t="str">
        <f t="shared" si="8"/>
        <v/>
      </c>
      <c r="I1483" s="147" t="str">
        <f t="shared" si="1"/>
        <v/>
      </c>
      <c r="J1483" s="147" t="str">
        <f t="shared" si="13"/>
        <v/>
      </c>
      <c r="K1483" s="147" t="str">
        <f>IFERROR(__xludf.DUMMYFUNCTION("if(C1483="""","""",iferror(if(row()&lt;&gt;2,INDEX(arrayformula(filter($L$2:$L1482,$C$2:$C1482&lt;&gt;"""",row($C$2:$C1482)=max(if($C$2:$C1482=C1483,row($C$2:$C1482),0)))) ,1),0),0))"),"")</f>
        <v/>
      </c>
      <c r="L1483" s="147" t="str">
        <f t="shared" si="14"/>
        <v/>
      </c>
      <c r="M1483" s="147" t="str">
        <f t="shared" si="15"/>
        <v/>
      </c>
      <c r="N1483" s="147" t="str">
        <f t="shared" si="16"/>
        <v/>
      </c>
      <c r="O1483" s="147" t="str">
        <f t="shared" si="6"/>
        <v/>
      </c>
      <c r="P1483" s="150" t="str">
        <f t="shared" si="7"/>
        <v/>
      </c>
      <c r="Q1483" s="151" t="str">
        <f>IFERROR(VLOOKUP(C1483,Ativos!$A$1:$G2000,5,),)</f>
        <v/>
      </c>
    </row>
    <row r="1484" ht="21.0" customHeight="1">
      <c r="A1484" s="152"/>
      <c r="B1484" s="160"/>
      <c r="C1484" s="153"/>
      <c r="D1484" s="169"/>
      <c r="E1484" s="139"/>
      <c r="F1484" s="141"/>
      <c r="G1484" s="170" t="str">
        <f>IFERROR(__xludf.DUMMYFUNCTION("if($C1484="""","""",iferror(if(row()&lt;&gt;2,INDEX(arrayformula(filter($H$2:$H1483,$C$2:$C1483&lt;&gt;"""",row($C$2:$C1483)=max(if($C$2:$C1483=C1484,row($C$2:$C1483),0)))) ,1),0),0))"),"")</f>
        <v/>
      </c>
      <c r="H1484" s="170" t="str">
        <f t="shared" si="8"/>
        <v/>
      </c>
      <c r="I1484" s="147" t="str">
        <f t="shared" si="1"/>
        <v/>
      </c>
      <c r="J1484" s="147" t="str">
        <f t="shared" si="13"/>
        <v/>
      </c>
      <c r="K1484" s="147" t="str">
        <f>IFERROR(__xludf.DUMMYFUNCTION("if(C1484="""","""",iferror(if(row()&lt;&gt;2,INDEX(arrayformula(filter($L$2:$L1483,$C$2:$C1483&lt;&gt;"""",row($C$2:$C1483)=max(if($C$2:$C1483=C1484,row($C$2:$C1483),0)))) ,1),0),0))"),"")</f>
        <v/>
      </c>
      <c r="L1484" s="147" t="str">
        <f t="shared" si="14"/>
        <v/>
      </c>
      <c r="M1484" s="147" t="str">
        <f t="shared" si="15"/>
        <v/>
      </c>
      <c r="N1484" s="147" t="str">
        <f t="shared" si="16"/>
        <v/>
      </c>
      <c r="O1484" s="147" t="str">
        <f t="shared" si="6"/>
        <v/>
      </c>
      <c r="P1484" s="150" t="str">
        <f t="shared" si="7"/>
        <v/>
      </c>
      <c r="Q1484" s="151" t="str">
        <f>IFERROR(VLOOKUP(C1484,Ativos!$A$1:$G2000,5,),)</f>
        <v/>
      </c>
    </row>
    <row r="1485" ht="21.0" customHeight="1">
      <c r="A1485" s="152"/>
      <c r="B1485" s="160"/>
      <c r="C1485" s="153"/>
      <c r="D1485" s="169"/>
      <c r="E1485" s="139"/>
      <c r="F1485" s="141"/>
      <c r="G1485" s="170" t="str">
        <f>IFERROR(__xludf.DUMMYFUNCTION("if($C1485="""","""",iferror(if(row()&lt;&gt;2,INDEX(arrayformula(filter($H$2:$H1484,$C$2:$C1484&lt;&gt;"""",row($C$2:$C1484)=max(if($C$2:$C1484=C1485,row($C$2:$C1484),0)))) ,1),0),0))"),"")</f>
        <v/>
      </c>
      <c r="H1485" s="170" t="str">
        <f t="shared" si="8"/>
        <v/>
      </c>
      <c r="I1485" s="147" t="str">
        <f t="shared" si="1"/>
        <v/>
      </c>
      <c r="J1485" s="147" t="str">
        <f t="shared" si="13"/>
        <v/>
      </c>
      <c r="K1485" s="147" t="str">
        <f>IFERROR(__xludf.DUMMYFUNCTION("if(C1485="""","""",iferror(if(row()&lt;&gt;2,INDEX(arrayformula(filter($L$2:$L1484,$C$2:$C1484&lt;&gt;"""",row($C$2:$C1484)=max(if($C$2:$C1484=C1485,row($C$2:$C1484),0)))) ,1),0),0))"),"")</f>
        <v/>
      </c>
      <c r="L1485" s="147" t="str">
        <f t="shared" si="14"/>
        <v/>
      </c>
      <c r="M1485" s="147" t="str">
        <f t="shared" si="15"/>
        <v/>
      </c>
      <c r="N1485" s="147" t="str">
        <f t="shared" si="16"/>
        <v/>
      </c>
      <c r="O1485" s="147" t="str">
        <f t="shared" si="6"/>
        <v/>
      </c>
      <c r="P1485" s="150" t="str">
        <f t="shared" si="7"/>
        <v/>
      </c>
      <c r="Q1485" s="151" t="str">
        <f>IFERROR(VLOOKUP(C1485,Ativos!$A$1:$G2000,5,),)</f>
        <v/>
      </c>
    </row>
    <row r="1486" ht="21.0" customHeight="1">
      <c r="A1486" s="152"/>
      <c r="B1486" s="160"/>
      <c r="C1486" s="153"/>
      <c r="D1486" s="169"/>
      <c r="E1486" s="139"/>
      <c r="F1486" s="141"/>
      <c r="G1486" s="170" t="str">
        <f>IFERROR(__xludf.DUMMYFUNCTION("if($C1486="""","""",iferror(if(row()&lt;&gt;2,INDEX(arrayformula(filter($H$2:$H1485,$C$2:$C1485&lt;&gt;"""",row($C$2:$C1485)=max(if($C$2:$C1485=C1486,row($C$2:$C1485),0)))) ,1),0),0))"),"")</f>
        <v/>
      </c>
      <c r="H1486" s="170" t="str">
        <f t="shared" si="8"/>
        <v/>
      </c>
      <c r="I1486" s="147" t="str">
        <f t="shared" si="1"/>
        <v/>
      </c>
      <c r="J1486" s="147" t="str">
        <f t="shared" si="13"/>
        <v/>
      </c>
      <c r="K1486" s="147" t="str">
        <f>IFERROR(__xludf.DUMMYFUNCTION("if(C1486="""","""",iferror(if(row()&lt;&gt;2,INDEX(arrayformula(filter($L$2:$L1485,$C$2:$C1485&lt;&gt;"""",row($C$2:$C1485)=max(if($C$2:$C1485=C1486,row($C$2:$C1485),0)))) ,1),0),0))"),"")</f>
        <v/>
      </c>
      <c r="L1486" s="147" t="str">
        <f t="shared" si="14"/>
        <v/>
      </c>
      <c r="M1486" s="147" t="str">
        <f t="shared" si="15"/>
        <v/>
      </c>
      <c r="N1486" s="147" t="str">
        <f t="shared" si="16"/>
        <v/>
      </c>
      <c r="O1486" s="147" t="str">
        <f t="shared" si="6"/>
        <v/>
      </c>
      <c r="P1486" s="150" t="str">
        <f t="shared" si="7"/>
        <v/>
      </c>
      <c r="Q1486" s="151" t="str">
        <f>IFERROR(VLOOKUP(C1486,Ativos!$A$1:$G2000,5,),)</f>
        <v/>
      </c>
    </row>
    <row r="1487" ht="21.0" customHeight="1">
      <c r="A1487" s="152"/>
      <c r="B1487" s="160"/>
      <c r="C1487" s="153"/>
      <c r="D1487" s="169"/>
      <c r="E1487" s="139"/>
      <c r="F1487" s="141"/>
      <c r="G1487" s="170" t="str">
        <f>IFERROR(__xludf.DUMMYFUNCTION("if($C1487="""","""",iferror(if(row()&lt;&gt;2,INDEX(arrayformula(filter($H$2:$H1486,$C$2:$C1486&lt;&gt;"""",row($C$2:$C1486)=max(if($C$2:$C1486=C1487,row($C$2:$C1486),0)))) ,1),0),0))"),"")</f>
        <v/>
      </c>
      <c r="H1487" s="170" t="str">
        <f t="shared" si="8"/>
        <v/>
      </c>
      <c r="I1487" s="147" t="str">
        <f t="shared" si="1"/>
        <v/>
      </c>
      <c r="J1487" s="147" t="str">
        <f t="shared" si="13"/>
        <v/>
      </c>
      <c r="K1487" s="147" t="str">
        <f>IFERROR(__xludf.DUMMYFUNCTION("if(C1487="""","""",iferror(if(row()&lt;&gt;2,INDEX(arrayformula(filter($L$2:$L1486,$C$2:$C1486&lt;&gt;"""",row($C$2:$C1486)=max(if($C$2:$C1486=C1487,row($C$2:$C1486),0)))) ,1),0),0))"),"")</f>
        <v/>
      </c>
      <c r="L1487" s="147" t="str">
        <f t="shared" si="14"/>
        <v/>
      </c>
      <c r="M1487" s="147" t="str">
        <f t="shared" si="15"/>
        <v/>
      </c>
      <c r="N1487" s="147" t="str">
        <f t="shared" si="16"/>
        <v/>
      </c>
      <c r="O1487" s="147" t="str">
        <f t="shared" si="6"/>
        <v/>
      </c>
      <c r="P1487" s="150" t="str">
        <f t="shared" si="7"/>
        <v/>
      </c>
      <c r="Q1487" s="151" t="str">
        <f>IFERROR(VLOOKUP(C1487,Ativos!$A$1:$G2000,5,),)</f>
        <v/>
      </c>
    </row>
    <row r="1488" ht="21.0" customHeight="1">
      <c r="A1488" s="152"/>
      <c r="B1488" s="160"/>
      <c r="C1488" s="153"/>
      <c r="D1488" s="169"/>
      <c r="E1488" s="139"/>
      <c r="F1488" s="141"/>
      <c r="G1488" s="170" t="str">
        <f>IFERROR(__xludf.DUMMYFUNCTION("if($C1488="""","""",iferror(if(row()&lt;&gt;2,INDEX(arrayformula(filter($H$2:$H1487,$C$2:$C1487&lt;&gt;"""",row($C$2:$C1487)=max(if($C$2:$C1487=C1488,row($C$2:$C1487),0)))) ,1),0),0))"),"")</f>
        <v/>
      </c>
      <c r="H1488" s="170" t="str">
        <f t="shared" si="8"/>
        <v/>
      </c>
      <c r="I1488" s="147" t="str">
        <f t="shared" si="1"/>
        <v/>
      </c>
      <c r="J1488" s="147" t="str">
        <f t="shared" si="13"/>
        <v/>
      </c>
      <c r="K1488" s="147" t="str">
        <f>IFERROR(__xludf.DUMMYFUNCTION("if(C1488="""","""",iferror(if(row()&lt;&gt;2,INDEX(arrayformula(filter($L$2:$L1487,$C$2:$C1487&lt;&gt;"""",row($C$2:$C1487)=max(if($C$2:$C1487=C1488,row($C$2:$C1487),0)))) ,1),0),0))"),"")</f>
        <v/>
      </c>
      <c r="L1488" s="147" t="str">
        <f t="shared" si="14"/>
        <v/>
      </c>
      <c r="M1488" s="147" t="str">
        <f t="shared" si="15"/>
        <v/>
      </c>
      <c r="N1488" s="147" t="str">
        <f t="shared" si="16"/>
        <v/>
      </c>
      <c r="O1488" s="147" t="str">
        <f t="shared" si="6"/>
        <v/>
      </c>
      <c r="P1488" s="150" t="str">
        <f t="shared" si="7"/>
        <v/>
      </c>
      <c r="Q1488" s="151" t="str">
        <f>IFERROR(VLOOKUP(C1488,Ativos!$A$1:$G2000,5,),)</f>
        <v/>
      </c>
    </row>
    <row r="1489" ht="21.0" customHeight="1">
      <c r="A1489" s="152"/>
      <c r="B1489" s="160"/>
      <c r="C1489" s="153"/>
      <c r="D1489" s="169"/>
      <c r="E1489" s="139"/>
      <c r="F1489" s="141"/>
      <c r="G1489" s="170" t="str">
        <f>IFERROR(__xludf.DUMMYFUNCTION("if($C1489="""","""",iferror(if(row()&lt;&gt;2,INDEX(arrayformula(filter($H$2:$H1488,$C$2:$C1488&lt;&gt;"""",row($C$2:$C1488)=max(if($C$2:$C1488=C1489,row($C$2:$C1488),0)))) ,1),0),0))"),"")</f>
        <v/>
      </c>
      <c r="H1489" s="170" t="str">
        <f t="shared" si="8"/>
        <v/>
      </c>
      <c r="I1489" s="147" t="str">
        <f t="shared" si="1"/>
        <v/>
      </c>
      <c r="J1489" s="147" t="str">
        <f t="shared" si="13"/>
        <v/>
      </c>
      <c r="K1489" s="147" t="str">
        <f>IFERROR(__xludf.DUMMYFUNCTION("if(C1489="""","""",iferror(if(row()&lt;&gt;2,INDEX(arrayformula(filter($L$2:$L1488,$C$2:$C1488&lt;&gt;"""",row($C$2:$C1488)=max(if($C$2:$C1488=C1489,row($C$2:$C1488),0)))) ,1),0),0))"),"")</f>
        <v/>
      </c>
      <c r="L1489" s="147" t="str">
        <f t="shared" si="14"/>
        <v/>
      </c>
      <c r="M1489" s="147" t="str">
        <f t="shared" si="15"/>
        <v/>
      </c>
      <c r="N1489" s="147" t="str">
        <f t="shared" si="16"/>
        <v/>
      </c>
      <c r="O1489" s="147" t="str">
        <f t="shared" si="6"/>
        <v/>
      </c>
      <c r="P1489" s="150" t="str">
        <f t="shared" si="7"/>
        <v/>
      </c>
      <c r="Q1489" s="151" t="str">
        <f>IFERROR(VLOOKUP(C1489,Ativos!$A$1:$G2000,5,),)</f>
        <v/>
      </c>
    </row>
    <row r="1490" ht="21.0" customHeight="1">
      <c r="A1490" s="152"/>
      <c r="B1490" s="160"/>
      <c r="C1490" s="153"/>
      <c r="D1490" s="169"/>
      <c r="E1490" s="139"/>
      <c r="F1490" s="141"/>
      <c r="G1490" s="170" t="str">
        <f>IFERROR(__xludf.DUMMYFUNCTION("if($C1490="""","""",iferror(if(row()&lt;&gt;2,INDEX(arrayformula(filter($H$2:$H1489,$C$2:$C1489&lt;&gt;"""",row($C$2:$C1489)=max(if($C$2:$C1489=C1490,row($C$2:$C1489),0)))) ,1),0),0))"),"")</f>
        <v/>
      </c>
      <c r="H1490" s="170" t="str">
        <f t="shared" si="8"/>
        <v/>
      </c>
      <c r="I1490" s="147" t="str">
        <f t="shared" si="1"/>
        <v/>
      </c>
      <c r="J1490" s="147" t="str">
        <f t="shared" si="13"/>
        <v/>
      </c>
      <c r="K1490" s="147" t="str">
        <f>IFERROR(__xludf.DUMMYFUNCTION("if(C1490="""","""",iferror(if(row()&lt;&gt;2,INDEX(arrayformula(filter($L$2:$L1489,$C$2:$C1489&lt;&gt;"""",row($C$2:$C1489)=max(if($C$2:$C1489=C1490,row($C$2:$C1489),0)))) ,1),0),0))"),"")</f>
        <v/>
      </c>
      <c r="L1490" s="147" t="str">
        <f t="shared" si="14"/>
        <v/>
      </c>
      <c r="M1490" s="147" t="str">
        <f t="shared" si="15"/>
        <v/>
      </c>
      <c r="N1490" s="147" t="str">
        <f t="shared" si="16"/>
        <v/>
      </c>
      <c r="O1490" s="147" t="str">
        <f t="shared" si="6"/>
        <v/>
      </c>
      <c r="P1490" s="150" t="str">
        <f t="shared" si="7"/>
        <v/>
      </c>
      <c r="Q1490" s="151" t="str">
        <f>IFERROR(VLOOKUP(C1490,Ativos!$A$1:$G2000,5,),)</f>
        <v/>
      </c>
    </row>
    <row r="1491" ht="21.0" customHeight="1">
      <c r="A1491" s="152"/>
      <c r="B1491" s="160"/>
      <c r="C1491" s="153"/>
      <c r="D1491" s="169"/>
      <c r="E1491" s="139"/>
      <c r="F1491" s="141"/>
      <c r="G1491" s="170" t="str">
        <f>IFERROR(__xludf.DUMMYFUNCTION("if($C1491="""","""",iferror(if(row()&lt;&gt;2,INDEX(arrayformula(filter($H$2:$H1490,$C$2:$C1490&lt;&gt;"""",row($C$2:$C1490)=max(if($C$2:$C1490=C1491,row($C$2:$C1490),0)))) ,1),0),0))"),"")</f>
        <v/>
      </c>
      <c r="H1491" s="170" t="str">
        <f t="shared" si="8"/>
        <v/>
      </c>
      <c r="I1491" s="147" t="str">
        <f t="shared" si="1"/>
        <v/>
      </c>
      <c r="J1491" s="147" t="str">
        <f t="shared" si="13"/>
        <v/>
      </c>
      <c r="K1491" s="147" t="str">
        <f>IFERROR(__xludf.DUMMYFUNCTION("if(C1491="""","""",iferror(if(row()&lt;&gt;2,INDEX(arrayformula(filter($L$2:$L1490,$C$2:$C1490&lt;&gt;"""",row($C$2:$C1490)=max(if($C$2:$C1490=C1491,row($C$2:$C1490),0)))) ,1),0),0))"),"")</f>
        <v/>
      </c>
      <c r="L1491" s="147" t="str">
        <f t="shared" si="14"/>
        <v/>
      </c>
      <c r="M1491" s="147" t="str">
        <f t="shared" si="15"/>
        <v/>
      </c>
      <c r="N1491" s="147" t="str">
        <f t="shared" si="16"/>
        <v/>
      </c>
      <c r="O1491" s="147" t="str">
        <f t="shared" si="6"/>
        <v/>
      </c>
      <c r="P1491" s="150" t="str">
        <f t="shared" si="7"/>
        <v/>
      </c>
      <c r="Q1491" s="151" t="str">
        <f>IFERROR(VLOOKUP(C1491,Ativos!$A$1:$G2000,5,),)</f>
        <v/>
      </c>
    </row>
    <row r="1492" ht="21.0" customHeight="1">
      <c r="A1492" s="152"/>
      <c r="B1492" s="160"/>
      <c r="C1492" s="153"/>
      <c r="D1492" s="169"/>
      <c r="E1492" s="139"/>
      <c r="F1492" s="141"/>
      <c r="G1492" s="170" t="str">
        <f>IFERROR(__xludf.DUMMYFUNCTION("if($C1492="""","""",iferror(if(row()&lt;&gt;2,INDEX(arrayformula(filter($H$2:$H1491,$C$2:$C1491&lt;&gt;"""",row($C$2:$C1491)=max(if($C$2:$C1491=C1492,row($C$2:$C1491),0)))) ,1),0),0))"),"")</f>
        <v/>
      </c>
      <c r="H1492" s="170" t="str">
        <f t="shared" si="8"/>
        <v/>
      </c>
      <c r="I1492" s="147" t="str">
        <f t="shared" si="1"/>
        <v/>
      </c>
      <c r="J1492" s="147" t="str">
        <f t="shared" si="13"/>
        <v/>
      </c>
      <c r="K1492" s="147" t="str">
        <f>IFERROR(__xludf.DUMMYFUNCTION("if(C1492="""","""",iferror(if(row()&lt;&gt;2,INDEX(arrayformula(filter($L$2:$L1491,$C$2:$C1491&lt;&gt;"""",row($C$2:$C1491)=max(if($C$2:$C1491=C1492,row($C$2:$C1491),0)))) ,1),0),0))"),"")</f>
        <v/>
      </c>
      <c r="L1492" s="147" t="str">
        <f t="shared" si="14"/>
        <v/>
      </c>
      <c r="M1492" s="147" t="str">
        <f t="shared" si="15"/>
        <v/>
      </c>
      <c r="N1492" s="147" t="str">
        <f t="shared" si="16"/>
        <v/>
      </c>
      <c r="O1492" s="147" t="str">
        <f t="shared" si="6"/>
        <v/>
      </c>
      <c r="P1492" s="150" t="str">
        <f t="shared" si="7"/>
        <v/>
      </c>
      <c r="Q1492" s="151" t="str">
        <f>IFERROR(VLOOKUP(C1492,Ativos!$A$1:$G2000,5,),)</f>
        <v/>
      </c>
    </row>
    <row r="1493" ht="21.0" customHeight="1">
      <c r="A1493" s="152"/>
      <c r="B1493" s="160"/>
      <c r="C1493" s="153"/>
      <c r="D1493" s="169"/>
      <c r="E1493" s="139"/>
      <c r="F1493" s="141"/>
      <c r="G1493" s="170" t="str">
        <f>IFERROR(__xludf.DUMMYFUNCTION("if($C1493="""","""",iferror(if(row()&lt;&gt;2,INDEX(arrayformula(filter($H$2:$H1492,$C$2:$C1492&lt;&gt;"""",row($C$2:$C1492)=max(if($C$2:$C1492=C1493,row($C$2:$C1492),0)))) ,1),0),0))"),"")</f>
        <v/>
      </c>
      <c r="H1493" s="170" t="str">
        <f t="shared" si="8"/>
        <v/>
      </c>
      <c r="I1493" s="147" t="str">
        <f t="shared" si="1"/>
        <v/>
      </c>
      <c r="J1493" s="147" t="str">
        <f t="shared" si="13"/>
        <v/>
      </c>
      <c r="K1493" s="147" t="str">
        <f>IFERROR(__xludf.DUMMYFUNCTION("if(C1493="""","""",iferror(if(row()&lt;&gt;2,INDEX(arrayformula(filter($L$2:$L1492,$C$2:$C1492&lt;&gt;"""",row($C$2:$C1492)=max(if($C$2:$C1492=C1493,row($C$2:$C1492),0)))) ,1),0),0))"),"")</f>
        <v/>
      </c>
      <c r="L1493" s="147" t="str">
        <f t="shared" si="14"/>
        <v/>
      </c>
      <c r="M1493" s="147" t="str">
        <f t="shared" si="15"/>
        <v/>
      </c>
      <c r="N1493" s="147" t="str">
        <f t="shared" si="16"/>
        <v/>
      </c>
      <c r="O1493" s="147" t="str">
        <f t="shared" si="6"/>
        <v/>
      </c>
      <c r="P1493" s="150" t="str">
        <f t="shared" si="7"/>
        <v/>
      </c>
      <c r="Q1493" s="151" t="str">
        <f>IFERROR(VLOOKUP(C1493,Ativos!$A$1:$G2000,5,),)</f>
        <v/>
      </c>
    </row>
    <row r="1494" ht="21.0" customHeight="1">
      <c r="A1494" s="152"/>
      <c r="B1494" s="160"/>
      <c r="C1494" s="153"/>
      <c r="D1494" s="169"/>
      <c r="E1494" s="139"/>
      <c r="F1494" s="141"/>
      <c r="G1494" s="170" t="str">
        <f>IFERROR(__xludf.DUMMYFUNCTION("if($C1494="""","""",iferror(if(row()&lt;&gt;2,INDEX(arrayformula(filter($H$2:$H1493,$C$2:$C1493&lt;&gt;"""",row($C$2:$C1493)=max(if($C$2:$C1493=C1494,row($C$2:$C1493),0)))) ,1),0),0))"),"")</f>
        <v/>
      </c>
      <c r="H1494" s="170" t="str">
        <f t="shared" si="8"/>
        <v/>
      </c>
      <c r="I1494" s="147" t="str">
        <f t="shared" si="1"/>
        <v/>
      </c>
      <c r="J1494" s="147" t="str">
        <f t="shared" si="13"/>
        <v/>
      </c>
      <c r="K1494" s="147" t="str">
        <f>IFERROR(__xludf.DUMMYFUNCTION("if(C1494="""","""",iferror(if(row()&lt;&gt;2,INDEX(arrayformula(filter($L$2:$L1493,$C$2:$C1493&lt;&gt;"""",row($C$2:$C1493)=max(if($C$2:$C1493=C1494,row($C$2:$C1493),0)))) ,1),0),0))"),"")</f>
        <v/>
      </c>
      <c r="L1494" s="147" t="str">
        <f t="shared" si="14"/>
        <v/>
      </c>
      <c r="M1494" s="147" t="str">
        <f t="shared" si="15"/>
        <v/>
      </c>
      <c r="N1494" s="147" t="str">
        <f t="shared" si="16"/>
        <v/>
      </c>
      <c r="O1494" s="147" t="str">
        <f t="shared" si="6"/>
        <v/>
      </c>
      <c r="P1494" s="150" t="str">
        <f t="shared" si="7"/>
        <v/>
      </c>
      <c r="Q1494" s="151" t="str">
        <f>IFERROR(VLOOKUP(C1494,Ativos!$A$1:$G2000,5,),)</f>
        <v/>
      </c>
    </row>
    <row r="1495" ht="21.0" customHeight="1">
      <c r="A1495" s="152"/>
      <c r="B1495" s="160"/>
      <c r="C1495" s="153"/>
      <c r="D1495" s="169"/>
      <c r="E1495" s="139"/>
      <c r="F1495" s="141"/>
      <c r="G1495" s="170" t="str">
        <f>IFERROR(__xludf.DUMMYFUNCTION("if($C1495="""","""",iferror(if(row()&lt;&gt;2,INDEX(arrayformula(filter($H$2:$H1494,$C$2:$C1494&lt;&gt;"""",row($C$2:$C1494)=max(if($C$2:$C1494=C1495,row($C$2:$C1494),0)))) ,1),0),0))"),"")</f>
        <v/>
      </c>
      <c r="H1495" s="170" t="str">
        <f t="shared" si="8"/>
        <v/>
      </c>
      <c r="I1495" s="147" t="str">
        <f t="shared" si="1"/>
        <v/>
      </c>
      <c r="J1495" s="147" t="str">
        <f t="shared" si="13"/>
        <v/>
      </c>
      <c r="K1495" s="147" t="str">
        <f>IFERROR(__xludf.DUMMYFUNCTION("if(C1495="""","""",iferror(if(row()&lt;&gt;2,INDEX(arrayformula(filter($L$2:$L1494,$C$2:$C1494&lt;&gt;"""",row($C$2:$C1494)=max(if($C$2:$C1494=C1495,row($C$2:$C1494),0)))) ,1),0),0))"),"")</f>
        <v/>
      </c>
      <c r="L1495" s="147" t="str">
        <f t="shared" si="14"/>
        <v/>
      </c>
      <c r="M1495" s="147" t="str">
        <f t="shared" si="15"/>
        <v/>
      </c>
      <c r="N1495" s="147" t="str">
        <f t="shared" si="16"/>
        <v/>
      </c>
      <c r="O1495" s="147" t="str">
        <f t="shared" si="6"/>
        <v/>
      </c>
      <c r="P1495" s="150" t="str">
        <f t="shared" si="7"/>
        <v/>
      </c>
      <c r="Q1495" s="151" t="str">
        <f>IFERROR(VLOOKUP(C1495,Ativos!$A$1:$G2000,5,),)</f>
        <v/>
      </c>
    </row>
    <row r="1496" ht="21.0" customHeight="1">
      <c r="A1496" s="152"/>
      <c r="B1496" s="160"/>
      <c r="C1496" s="153"/>
      <c r="D1496" s="169"/>
      <c r="E1496" s="139"/>
      <c r="F1496" s="141"/>
      <c r="G1496" s="170" t="str">
        <f>IFERROR(__xludf.DUMMYFUNCTION("if($C1496="""","""",iferror(if(row()&lt;&gt;2,INDEX(arrayformula(filter($H$2:$H1495,$C$2:$C1495&lt;&gt;"""",row($C$2:$C1495)=max(if($C$2:$C1495=C1496,row($C$2:$C1495),0)))) ,1),0),0))"),"")</f>
        <v/>
      </c>
      <c r="H1496" s="170" t="str">
        <f t="shared" si="8"/>
        <v/>
      </c>
      <c r="I1496" s="147" t="str">
        <f t="shared" si="1"/>
        <v/>
      </c>
      <c r="J1496" s="147" t="str">
        <f t="shared" si="13"/>
        <v/>
      </c>
      <c r="K1496" s="147" t="str">
        <f>IFERROR(__xludf.DUMMYFUNCTION("if(C1496="""","""",iferror(if(row()&lt;&gt;2,INDEX(arrayformula(filter($L$2:$L1495,$C$2:$C1495&lt;&gt;"""",row($C$2:$C1495)=max(if($C$2:$C1495=C1496,row($C$2:$C1495),0)))) ,1),0),0))"),"")</f>
        <v/>
      </c>
      <c r="L1496" s="147" t="str">
        <f t="shared" si="14"/>
        <v/>
      </c>
      <c r="M1496" s="147" t="str">
        <f t="shared" si="15"/>
        <v/>
      </c>
      <c r="N1496" s="147" t="str">
        <f t="shared" si="16"/>
        <v/>
      </c>
      <c r="O1496" s="147" t="str">
        <f t="shared" si="6"/>
        <v/>
      </c>
      <c r="P1496" s="150" t="str">
        <f t="shared" si="7"/>
        <v/>
      </c>
      <c r="Q1496" s="151" t="str">
        <f>IFERROR(VLOOKUP(C1496,Ativos!$A$1:$G2000,5,),)</f>
        <v/>
      </c>
    </row>
    <row r="1497" ht="21.0" customHeight="1">
      <c r="A1497" s="152"/>
      <c r="B1497" s="160"/>
      <c r="C1497" s="153"/>
      <c r="D1497" s="169"/>
      <c r="E1497" s="139"/>
      <c r="F1497" s="141"/>
      <c r="G1497" s="170" t="str">
        <f>IFERROR(__xludf.DUMMYFUNCTION("if($C1497="""","""",iferror(if(row()&lt;&gt;2,INDEX(arrayformula(filter($H$2:$H1496,$C$2:$C1496&lt;&gt;"""",row($C$2:$C1496)=max(if($C$2:$C1496=C1497,row($C$2:$C1496),0)))) ,1),0),0))"),"")</f>
        <v/>
      </c>
      <c r="H1497" s="170" t="str">
        <f t="shared" si="8"/>
        <v/>
      </c>
      <c r="I1497" s="147" t="str">
        <f t="shared" si="1"/>
        <v/>
      </c>
      <c r="J1497" s="147" t="str">
        <f t="shared" si="13"/>
        <v/>
      </c>
      <c r="K1497" s="147" t="str">
        <f>IFERROR(__xludf.DUMMYFUNCTION("if(C1497="""","""",iferror(if(row()&lt;&gt;2,INDEX(arrayformula(filter($L$2:$L1496,$C$2:$C1496&lt;&gt;"""",row($C$2:$C1496)=max(if($C$2:$C1496=C1497,row($C$2:$C1496),0)))) ,1),0),0))"),"")</f>
        <v/>
      </c>
      <c r="L1497" s="147" t="str">
        <f t="shared" si="14"/>
        <v/>
      </c>
      <c r="M1497" s="147" t="str">
        <f t="shared" si="15"/>
        <v/>
      </c>
      <c r="N1497" s="147" t="str">
        <f t="shared" si="16"/>
        <v/>
      </c>
      <c r="O1497" s="147" t="str">
        <f t="shared" si="6"/>
        <v/>
      </c>
      <c r="P1497" s="150" t="str">
        <f t="shared" si="7"/>
        <v/>
      </c>
      <c r="Q1497" s="151" t="str">
        <f>IFERROR(VLOOKUP(C1497,Ativos!$A$1:$G2000,5,),)</f>
        <v/>
      </c>
    </row>
    <row r="1498" ht="21.0" customHeight="1">
      <c r="A1498" s="152"/>
      <c r="B1498" s="160"/>
      <c r="C1498" s="153"/>
      <c r="D1498" s="169"/>
      <c r="E1498" s="139"/>
      <c r="F1498" s="141"/>
      <c r="G1498" s="170" t="str">
        <f>IFERROR(__xludf.DUMMYFUNCTION("if($C1498="""","""",iferror(if(row()&lt;&gt;2,INDEX(arrayformula(filter($H$2:$H1497,$C$2:$C1497&lt;&gt;"""",row($C$2:$C1497)=max(if($C$2:$C1497=C1498,row($C$2:$C1497),0)))) ,1),0),0))"),"")</f>
        <v/>
      </c>
      <c r="H1498" s="170" t="str">
        <f t="shared" si="8"/>
        <v/>
      </c>
      <c r="I1498" s="147" t="str">
        <f t="shared" si="1"/>
        <v/>
      </c>
      <c r="J1498" s="147" t="str">
        <f t="shared" si="13"/>
        <v/>
      </c>
      <c r="K1498" s="147" t="str">
        <f>IFERROR(__xludf.DUMMYFUNCTION("if(C1498="""","""",iferror(if(row()&lt;&gt;2,INDEX(arrayformula(filter($L$2:$L1497,$C$2:$C1497&lt;&gt;"""",row($C$2:$C1497)=max(if($C$2:$C1497=C1498,row($C$2:$C1497),0)))) ,1),0),0))"),"")</f>
        <v/>
      </c>
      <c r="L1498" s="147" t="str">
        <f t="shared" si="14"/>
        <v/>
      </c>
      <c r="M1498" s="147" t="str">
        <f t="shared" si="15"/>
        <v/>
      </c>
      <c r="N1498" s="147" t="str">
        <f t="shared" si="16"/>
        <v/>
      </c>
      <c r="O1498" s="147" t="str">
        <f t="shared" si="6"/>
        <v/>
      </c>
      <c r="P1498" s="150" t="str">
        <f t="shared" si="7"/>
        <v/>
      </c>
      <c r="Q1498" s="151" t="str">
        <f>IFERROR(VLOOKUP(C1498,Ativos!$A$1:$G2000,5,),)</f>
        <v/>
      </c>
    </row>
    <row r="1499" ht="21.0" customHeight="1">
      <c r="A1499" s="152"/>
      <c r="B1499" s="160"/>
      <c r="C1499" s="153"/>
      <c r="D1499" s="169"/>
      <c r="E1499" s="139"/>
      <c r="F1499" s="141"/>
      <c r="G1499" s="170" t="str">
        <f>IFERROR(__xludf.DUMMYFUNCTION("if($C1499="""","""",iferror(if(row()&lt;&gt;2,INDEX(arrayformula(filter($H$2:$H1498,$C$2:$C1498&lt;&gt;"""",row($C$2:$C1498)=max(if($C$2:$C1498=C1499,row($C$2:$C1498),0)))) ,1),0),0))"),"")</f>
        <v/>
      </c>
      <c r="H1499" s="170" t="str">
        <f t="shared" si="8"/>
        <v/>
      </c>
      <c r="I1499" s="147" t="str">
        <f t="shared" si="1"/>
        <v/>
      </c>
      <c r="J1499" s="147" t="str">
        <f t="shared" si="13"/>
        <v/>
      </c>
      <c r="K1499" s="147" t="str">
        <f>IFERROR(__xludf.DUMMYFUNCTION("if(C1499="""","""",iferror(if(row()&lt;&gt;2,INDEX(arrayformula(filter($L$2:$L1498,$C$2:$C1498&lt;&gt;"""",row($C$2:$C1498)=max(if($C$2:$C1498=C1499,row($C$2:$C1498),0)))) ,1),0),0))"),"")</f>
        <v/>
      </c>
      <c r="L1499" s="147" t="str">
        <f t="shared" si="14"/>
        <v/>
      </c>
      <c r="M1499" s="147" t="str">
        <f t="shared" si="15"/>
        <v/>
      </c>
      <c r="N1499" s="147" t="str">
        <f t="shared" si="16"/>
        <v/>
      </c>
      <c r="O1499" s="147" t="str">
        <f t="shared" si="6"/>
        <v/>
      </c>
      <c r="P1499" s="150" t="str">
        <f t="shared" si="7"/>
        <v/>
      </c>
      <c r="Q1499" s="151" t="str">
        <f>IFERROR(VLOOKUP(C1499,Ativos!$A$1:$G2000,5,),)</f>
        <v/>
      </c>
    </row>
    <row r="1500" ht="21.0" customHeight="1">
      <c r="A1500" s="152"/>
      <c r="B1500" s="160"/>
      <c r="C1500" s="153"/>
      <c r="D1500" s="169"/>
      <c r="E1500" s="139"/>
      <c r="F1500" s="141"/>
      <c r="G1500" s="170" t="str">
        <f>IFERROR(__xludf.DUMMYFUNCTION("if($C1500="""","""",iferror(if(row()&lt;&gt;2,INDEX(arrayformula(filter($H$2:$H1499,$C$2:$C1499&lt;&gt;"""",row($C$2:$C1499)=max(if($C$2:$C1499=C1500,row($C$2:$C1499),0)))) ,1),0),0))"),"")</f>
        <v/>
      </c>
      <c r="H1500" s="170" t="str">
        <f t="shared" si="8"/>
        <v/>
      </c>
      <c r="I1500" s="147" t="str">
        <f t="shared" si="1"/>
        <v/>
      </c>
      <c r="J1500" s="147" t="str">
        <f t="shared" si="13"/>
        <v/>
      </c>
      <c r="K1500" s="147" t="str">
        <f>IFERROR(__xludf.DUMMYFUNCTION("if(C1500="""","""",iferror(if(row()&lt;&gt;2,INDEX(arrayformula(filter($L$2:$L1499,$C$2:$C1499&lt;&gt;"""",row($C$2:$C1499)=max(if($C$2:$C1499=C1500,row($C$2:$C1499),0)))) ,1),0),0))"),"")</f>
        <v/>
      </c>
      <c r="L1500" s="147" t="str">
        <f t="shared" si="14"/>
        <v/>
      </c>
      <c r="M1500" s="147" t="str">
        <f t="shared" si="15"/>
        <v/>
      </c>
      <c r="N1500" s="147" t="str">
        <f t="shared" si="16"/>
        <v/>
      </c>
      <c r="O1500" s="147" t="str">
        <f t="shared" si="6"/>
        <v/>
      </c>
      <c r="P1500" s="150" t="str">
        <f t="shared" si="7"/>
        <v/>
      </c>
      <c r="Q1500" s="151" t="str">
        <f>IFERROR(VLOOKUP(C1500,Ativos!$A$1:$G2000,5,),)</f>
        <v/>
      </c>
    </row>
    <row r="1501" ht="21.0" customHeight="1">
      <c r="A1501" s="152"/>
      <c r="B1501" s="160"/>
      <c r="C1501" s="153"/>
      <c r="D1501" s="169"/>
      <c r="E1501" s="139"/>
      <c r="F1501" s="141"/>
      <c r="G1501" s="170" t="str">
        <f>IFERROR(__xludf.DUMMYFUNCTION("if($C1501="""","""",iferror(if(row()&lt;&gt;2,INDEX(arrayformula(filter($H$2:$H1500,$C$2:$C1500&lt;&gt;"""",row($C$2:$C1500)=max(if($C$2:$C1500=C1501,row($C$2:$C1500),0)))) ,1),0),0))"),"")</f>
        <v/>
      </c>
      <c r="H1501" s="170" t="str">
        <f t="shared" si="8"/>
        <v/>
      </c>
      <c r="I1501" s="147" t="str">
        <f t="shared" si="1"/>
        <v/>
      </c>
      <c r="J1501" s="147" t="str">
        <f t="shared" si="13"/>
        <v/>
      </c>
      <c r="K1501" s="147" t="str">
        <f>IFERROR(__xludf.DUMMYFUNCTION("if(C1501="""","""",iferror(if(row()&lt;&gt;2,INDEX(arrayformula(filter($L$2:$L1500,$C$2:$C1500&lt;&gt;"""",row($C$2:$C1500)=max(if($C$2:$C1500=C1501,row($C$2:$C1500),0)))) ,1),0),0))"),"")</f>
        <v/>
      </c>
      <c r="L1501" s="147" t="str">
        <f t="shared" si="14"/>
        <v/>
      </c>
      <c r="M1501" s="147" t="str">
        <f t="shared" si="15"/>
        <v/>
      </c>
      <c r="N1501" s="147" t="str">
        <f t="shared" si="16"/>
        <v/>
      </c>
      <c r="O1501" s="147" t="str">
        <f t="shared" si="6"/>
        <v/>
      </c>
      <c r="P1501" s="150" t="str">
        <f t="shared" si="7"/>
        <v/>
      </c>
      <c r="Q1501" s="151" t="str">
        <f>IFERROR(VLOOKUP(C1501,Ativos!$A$1:$G2000,5,),)</f>
        <v/>
      </c>
    </row>
    <row r="1502" ht="21.0" customHeight="1">
      <c r="A1502" s="152"/>
      <c r="B1502" s="160"/>
      <c r="C1502" s="153"/>
      <c r="D1502" s="169"/>
      <c r="E1502" s="139"/>
      <c r="F1502" s="141"/>
      <c r="G1502" s="170" t="str">
        <f>IFERROR(__xludf.DUMMYFUNCTION("if($C1502="""","""",iferror(if(row()&lt;&gt;2,INDEX(arrayformula(filter($H$2:$H1501,$C$2:$C1501&lt;&gt;"""",row($C$2:$C1501)=max(if($C$2:$C1501=C1502,row($C$2:$C1501),0)))) ,1),0),0))"),"")</f>
        <v/>
      </c>
      <c r="H1502" s="170" t="str">
        <f t="shared" si="8"/>
        <v/>
      </c>
      <c r="I1502" s="147" t="str">
        <f t="shared" si="1"/>
        <v/>
      </c>
      <c r="J1502" s="147" t="str">
        <f t="shared" si="13"/>
        <v/>
      </c>
      <c r="K1502" s="147" t="str">
        <f>IFERROR(__xludf.DUMMYFUNCTION("if(C1502="""","""",iferror(if(row()&lt;&gt;2,INDEX(arrayformula(filter($L$2:$L1501,$C$2:$C1501&lt;&gt;"""",row($C$2:$C1501)=max(if($C$2:$C1501=C1502,row($C$2:$C1501),0)))) ,1),0),0))"),"")</f>
        <v/>
      </c>
      <c r="L1502" s="147" t="str">
        <f t="shared" si="14"/>
        <v/>
      </c>
      <c r="M1502" s="147" t="str">
        <f t="shared" si="15"/>
        <v/>
      </c>
      <c r="N1502" s="147" t="str">
        <f t="shared" si="16"/>
        <v/>
      </c>
      <c r="O1502" s="147" t="str">
        <f t="shared" si="6"/>
        <v/>
      </c>
      <c r="P1502" s="150" t="str">
        <f t="shared" si="7"/>
        <v/>
      </c>
      <c r="Q1502" s="151" t="str">
        <f>IFERROR(VLOOKUP(C1502,Ativos!$A$1:$G2000,5,),)</f>
        <v/>
      </c>
    </row>
    <row r="1503" ht="21.0" customHeight="1">
      <c r="A1503" s="152"/>
      <c r="B1503" s="160"/>
      <c r="C1503" s="153"/>
      <c r="D1503" s="169"/>
      <c r="E1503" s="139"/>
      <c r="F1503" s="141"/>
      <c r="G1503" s="170" t="str">
        <f>IFERROR(__xludf.DUMMYFUNCTION("if($C1503="""","""",iferror(if(row()&lt;&gt;2,INDEX(arrayformula(filter($H$2:$H1502,$C$2:$C1502&lt;&gt;"""",row($C$2:$C1502)=max(if($C$2:$C1502=C1503,row($C$2:$C1502),0)))) ,1),0),0))"),"")</f>
        <v/>
      </c>
      <c r="H1503" s="170" t="str">
        <f t="shared" si="8"/>
        <v/>
      </c>
      <c r="I1503" s="147" t="str">
        <f t="shared" si="1"/>
        <v/>
      </c>
      <c r="J1503" s="147" t="str">
        <f t="shared" si="13"/>
        <v/>
      </c>
      <c r="K1503" s="147" t="str">
        <f>IFERROR(__xludf.DUMMYFUNCTION("if(C1503="""","""",iferror(if(row()&lt;&gt;2,INDEX(arrayformula(filter($L$2:$L1502,$C$2:$C1502&lt;&gt;"""",row($C$2:$C1502)=max(if($C$2:$C1502=C1503,row($C$2:$C1502),0)))) ,1),0),0))"),"")</f>
        <v/>
      </c>
      <c r="L1503" s="147" t="str">
        <f t="shared" si="14"/>
        <v/>
      </c>
      <c r="M1503" s="147" t="str">
        <f t="shared" si="15"/>
        <v/>
      </c>
      <c r="N1503" s="147" t="str">
        <f t="shared" si="16"/>
        <v/>
      </c>
      <c r="O1503" s="147" t="str">
        <f t="shared" si="6"/>
        <v/>
      </c>
      <c r="P1503" s="150" t="str">
        <f t="shared" si="7"/>
        <v/>
      </c>
      <c r="Q1503" s="151" t="str">
        <f>IFERROR(VLOOKUP(C1503,Ativos!$A$1:$G2000,5,),)</f>
        <v/>
      </c>
    </row>
    <row r="1504" ht="21.0" customHeight="1">
      <c r="A1504" s="152"/>
      <c r="B1504" s="160"/>
      <c r="C1504" s="153"/>
      <c r="D1504" s="169"/>
      <c r="E1504" s="139"/>
      <c r="F1504" s="141"/>
      <c r="G1504" s="170" t="str">
        <f>IFERROR(__xludf.DUMMYFUNCTION("if($C1504="""","""",iferror(if(row()&lt;&gt;2,INDEX(arrayformula(filter($H$2:$H1503,$C$2:$C1503&lt;&gt;"""",row($C$2:$C1503)=max(if($C$2:$C1503=C1504,row($C$2:$C1503),0)))) ,1),0),0))"),"")</f>
        <v/>
      </c>
      <c r="H1504" s="170" t="str">
        <f t="shared" si="8"/>
        <v/>
      </c>
      <c r="I1504" s="147" t="str">
        <f t="shared" si="1"/>
        <v/>
      </c>
      <c r="J1504" s="147" t="str">
        <f t="shared" si="13"/>
        <v/>
      </c>
      <c r="K1504" s="147" t="str">
        <f>IFERROR(__xludf.DUMMYFUNCTION("if(C1504="""","""",iferror(if(row()&lt;&gt;2,INDEX(arrayformula(filter($L$2:$L1503,$C$2:$C1503&lt;&gt;"""",row($C$2:$C1503)=max(if($C$2:$C1503=C1504,row($C$2:$C1503),0)))) ,1),0),0))"),"")</f>
        <v/>
      </c>
      <c r="L1504" s="147" t="str">
        <f t="shared" si="14"/>
        <v/>
      </c>
      <c r="M1504" s="147" t="str">
        <f t="shared" si="15"/>
        <v/>
      </c>
      <c r="N1504" s="147" t="str">
        <f t="shared" si="16"/>
        <v/>
      </c>
      <c r="O1504" s="147" t="str">
        <f t="shared" si="6"/>
        <v/>
      </c>
      <c r="P1504" s="150" t="str">
        <f t="shared" si="7"/>
        <v/>
      </c>
      <c r="Q1504" s="151" t="str">
        <f>IFERROR(VLOOKUP(C1504,Ativos!$A$1:$G2000,5,),)</f>
        <v/>
      </c>
    </row>
    <row r="1505" ht="21.0" customHeight="1">
      <c r="A1505" s="152"/>
      <c r="B1505" s="160"/>
      <c r="C1505" s="153"/>
      <c r="D1505" s="169"/>
      <c r="E1505" s="139"/>
      <c r="F1505" s="141"/>
      <c r="G1505" s="170" t="str">
        <f>IFERROR(__xludf.DUMMYFUNCTION("if($C1505="""","""",iferror(if(row()&lt;&gt;2,INDEX(arrayformula(filter($H$2:$H1504,$C$2:$C1504&lt;&gt;"""",row($C$2:$C1504)=max(if($C$2:$C1504=C1505,row($C$2:$C1504),0)))) ,1),0),0))"),"")</f>
        <v/>
      </c>
      <c r="H1505" s="170" t="str">
        <f t="shared" si="8"/>
        <v/>
      </c>
      <c r="I1505" s="147" t="str">
        <f t="shared" si="1"/>
        <v/>
      </c>
      <c r="J1505" s="147" t="str">
        <f t="shared" si="13"/>
        <v/>
      </c>
      <c r="K1505" s="147" t="str">
        <f>IFERROR(__xludf.DUMMYFUNCTION("if(C1505="""","""",iferror(if(row()&lt;&gt;2,INDEX(arrayformula(filter($L$2:$L1504,$C$2:$C1504&lt;&gt;"""",row($C$2:$C1504)=max(if($C$2:$C1504=C1505,row($C$2:$C1504),0)))) ,1),0),0))"),"")</f>
        <v/>
      </c>
      <c r="L1505" s="147" t="str">
        <f t="shared" si="14"/>
        <v/>
      </c>
      <c r="M1505" s="147" t="str">
        <f t="shared" si="15"/>
        <v/>
      </c>
      <c r="N1505" s="147" t="str">
        <f t="shared" si="16"/>
        <v/>
      </c>
      <c r="O1505" s="147" t="str">
        <f t="shared" si="6"/>
        <v/>
      </c>
      <c r="P1505" s="150" t="str">
        <f t="shared" si="7"/>
        <v/>
      </c>
      <c r="Q1505" s="151" t="str">
        <f>IFERROR(VLOOKUP(C1505,Ativos!$A$1:$G2000,5,),)</f>
        <v/>
      </c>
    </row>
    <row r="1506" ht="21.0" customHeight="1">
      <c r="A1506" s="152"/>
      <c r="B1506" s="160"/>
      <c r="C1506" s="153"/>
      <c r="D1506" s="169"/>
      <c r="E1506" s="139"/>
      <c r="F1506" s="141"/>
      <c r="G1506" s="170" t="str">
        <f>IFERROR(__xludf.DUMMYFUNCTION("if($C1506="""","""",iferror(if(row()&lt;&gt;2,INDEX(arrayformula(filter($H$2:$H1505,$C$2:$C1505&lt;&gt;"""",row($C$2:$C1505)=max(if($C$2:$C1505=C1506,row($C$2:$C1505),0)))) ,1),0),0))"),"")</f>
        <v/>
      </c>
      <c r="H1506" s="170" t="str">
        <f t="shared" si="8"/>
        <v/>
      </c>
      <c r="I1506" s="147" t="str">
        <f t="shared" si="1"/>
        <v/>
      </c>
      <c r="J1506" s="147" t="str">
        <f t="shared" si="13"/>
        <v/>
      </c>
      <c r="K1506" s="147" t="str">
        <f>IFERROR(__xludf.DUMMYFUNCTION("if(C1506="""","""",iferror(if(row()&lt;&gt;2,INDEX(arrayformula(filter($L$2:$L1505,$C$2:$C1505&lt;&gt;"""",row($C$2:$C1505)=max(if($C$2:$C1505=C1506,row($C$2:$C1505),0)))) ,1),0),0))"),"")</f>
        <v/>
      </c>
      <c r="L1506" s="147" t="str">
        <f t="shared" si="14"/>
        <v/>
      </c>
      <c r="M1506" s="147" t="str">
        <f t="shared" si="15"/>
        <v/>
      </c>
      <c r="N1506" s="147" t="str">
        <f t="shared" si="16"/>
        <v/>
      </c>
      <c r="O1506" s="147" t="str">
        <f t="shared" si="6"/>
        <v/>
      </c>
      <c r="P1506" s="150" t="str">
        <f t="shared" si="7"/>
        <v/>
      </c>
      <c r="Q1506" s="151" t="str">
        <f>IFERROR(VLOOKUP(C1506,Ativos!$A$1:$G2000,5,),)</f>
        <v/>
      </c>
    </row>
    <row r="1507" ht="21.0" customHeight="1">
      <c r="A1507" s="152"/>
      <c r="B1507" s="160"/>
      <c r="C1507" s="153"/>
      <c r="D1507" s="169"/>
      <c r="E1507" s="139"/>
      <c r="F1507" s="141"/>
      <c r="G1507" s="170" t="str">
        <f>IFERROR(__xludf.DUMMYFUNCTION("if($C1507="""","""",iferror(if(row()&lt;&gt;2,INDEX(arrayformula(filter($H$2:$H1506,$C$2:$C1506&lt;&gt;"""",row($C$2:$C1506)=max(if($C$2:$C1506=C1507,row($C$2:$C1506),0)))) ,1),0),0))"),"")</f>
        <v/>
      </c>
      <c r="H1507" s="170" t="str">
        <f t="shared" si="8"/>
        <v/>
      </c>
      <c r="I1507" s="147" t="str">
        <f t="shared" si="1"/>
        <v/>
      </c>
      <c r="J1507" s="147" t="str">
        <f t="shared" si="13"/>
        <v/>
      </c>
      <c r="K1507" s="147" t="str">
        <f>IFERROR(__xludf.DUMMYFUNCTION("if(C1507="""","""",iferror(if(row()&lt;&gt;2,INDEX(arrayformula(filter($L$2:$L1506,$C$2:$C1506&lt;&gt;"""",row($C$2:$C1506)=max(if($C$2:$C1506=C1507,row($C$2:$C1506),0)))) ,1),0),0))"),"")</f>
        <v/>
      </c>
      <c r="L1507" s="147" t="str">
        <f t="shared" si="14"/>
        <v/>
      </c>
      <c r="M1507" s="147" t="str">
        <f t="shared" si="15"/>
        <v/>
      </c>
      <c r="N1507" s="147" t="str">
        <f t="shared" si="16"/>
        <v/>
      </c>
      <c r="O1507" s="147" t="str">
        <f t="shared" si="6"/>
        <v/>
      </c>
      <c r="P1507" s="150" t="str">
        <f t="shared" si="7"/>
        <v/>
      </c>
      <c r="Q1507" s="151" t="str">
        <f>IFERROR(VLOOKUP(C1507,Ativos!$A$1:$G2000,5,),)</f>
        <v/>
      </c>
    </row>
    <row r="1508" ht="21.0" customHeight="1">
      <c r="A1508" s="152"/>
      <c r="B1508" s="160"/>
      <c r="C1508" s="153"/>
      <c r="D1508" s="169"/>
      <c r="E1508" s="139"/>
      <c r="F1508" s="141"/>
      <c r="G1508" s="170" t="str">
        <f>IFERROR(__xludf.DUMMYFUNCTION("if($C1508="""","""",iferror(if(row()&lt;&gt;2,INDEX(arrayformula(filter($H$2:$H1507,$C$2:$C1507&lt;&gt;"""",row($C$2:$C1507)=max(if($C$2:$C1507=C1508,row($C$2:$C1507),0)))) ,1),0),0))"),"")</f>
        <v/>
      </c>
      <c r="H1508" s="170" t="str">
        <f t="shared" si="8"/>
        <v/>
      </c>
      <c r="I1508" s="147" t="str">
        <f t="shared" si="1"/>
        <v/>
      </c>
      <c r="J1508" s="147" t="str">
        <f t="shared" si="13"/>
        <v/>
      </c>
      <c r="K1508" s="147" t="str">
        <f>IFERROR(__xludf.DUMMYFUNCTION("if(C1508="""","""",iferror(if(row()&lt;&gt;2,INDEX(arrayformula(filter($L$2:$L1507,$C$2:$C1507&lt;&gt;"""",row($C$2:$C1507)=max(if($C$2:$C1507=C1508,row($C$2:$C1507),0)))) ,1),0),0))"),"")</f>
        <v/>
      </c>
      <c r="L1508" s="147" t="str">
        <f t="shared" si="14"/>
        <v/>
      </c>
      <c r="M1508" s="147" t="str">
        <f t="shared" si="15"/>
        <v/>
      </c>
      <c r="N1508" s="147" t="str">
        <f t="shared" si="16"/>
        <v/>
      </c>
      <c r="O1508" s="147" t="str">
        <f t="shared" si="6"/>
        <v/>
      </c>
      <c r="P1508" s="150" t="str">
        <f t="shared" si="7"/>
        <v/>
      </c>
      <c r="Q1508" s="151" t="str">
        <f>IFERROR(VLOOKUP(C1508,Ativos!$A$1:$G2000,5,),)</f>
        <v/>
      </c>
    </row>
    <row r="1509" ht="21.0" customHeight="1">
      <c r="A1509" s="152"/>
      <c r="B1509" s="160"/>
      <c r="C1509" s="153"/>
      <c r="D1509" s="169"/>
      <c r="E1509" s="139"/>
      <c r="F1509" s="141"/>
      <c r="G1509" s="170" t="str">
        <f>IFERROR(__xludf.DUMMYFUNCTION("if($C1509="""","""",iferror(if(row()&lt;&gt;2,INDEX(arrayformula(filter($H$2:$H1508,$C$2:$C1508&lt;&gt;"""",row($C$2:$C1508)=max(if($C$2:$C1508=C1509,row($C$2:$C1508),0)))) ,1),0),0))"),"")</f>
        <v/>
      </c>
      <c r="H1509" s="170" t="str">
        <f t="shared" si="8"/>
        <v/>
      </c>
      <c r="I1509" s="147" t="str">
        <f t="shared" si="1"/>
        <v/>
      </c>
      <c r="J1509" s="147" t="str">
        <f t="shared" si="13"/>
        <v/>
      </c>
      <c r="K1509" s="147" t="str">
        <f>IFERROR(__xludf.DUMMYFUNCTION("if(C1509="""","""",iferror(if(row()&lt;&gt;2,INDEX(arrayformula(filter($L$2:$L1508,$C$2:$C1508&lt;&gt;"""",row($C$2:$C1508)=max(if($C$2:$C1508=C1509,row($C$2:$C1508),0)))) ,1),0),0))"),"")</f>
        <v/>
      </c>
      <c r="L1509" s="147" t="str">
        <f t="shared" si="14"/>
        <v/>
      </c>
      <c r="M1509" s="147" t="str">
        <f t="shared" si="15"/>
        <v/>
      </c>
      <c r="N1509" s="147" t="str">
        <f t="shared" si="16"/>
        <v/>
      </c>
      <c r="O1509" s="147" t="str">
        <f t="shared" si="6"/>
        <v/>
      </c>
      <c r="P1509" s="150" t="str">
        <f t="shared" si="7"/>
        <v/>
      </c>
      <c r="Q1509" s="151" t="str">
        <f>IFERROR(VLOOKUP(C1509,Ativos!$A$1:$G2000,5,),)</f>
        <v/>
      </c>
    </row>
    <row r="1510" ht="21.0" customHeight="1">
      <c r="A1510" s="152"/>
      <c r="B1510" s="160"/>
      <c r="C1510" s="153"/>
      <c r="D1510" s="169"/>
      <c r="E1510" s="139"/>
      <c r="F1510" s="141"/>
      <c r="G1510" s="170" t="str">
        <f>IFERROR(__xludf.DUMMYFUNCTION("if($C1510="""","""",iferror(if(row()&lt;&gt;2,INDEX(arrayformula(filter($H$2:$H1509,$C$2:$C1509&lt;&gt;"""",row($C$2:$C1509)=max(if($C$2:$C1509=C1510,row($C$2:$C1509),0)))) ,1),0),0))"),"")</f>
        <v/>
      </c>
      <c r="H1510" s="170" t="str">
        <f t="shared" si="8"/>
        <v/>
      </c>
      <c r="I1510" s="147" t="str">
        <f t="shared" si="1"/>
        <v/>
      </c>
      <c r="J1510" s="147" t="str">
        <f t="shared" si="13"/>
        <v/>
      </c>
      <c r="K1510" s="147" t="str">
        <f>IFERROR(__xludf.DUMMYFUNCTION("if(C1510="""","""",iferror(if(row()&lt;&gt;2,INDEX(arrayformula(filter($L$2:$L1509,$C$2:$C1509&lt;&gt;"""",row($C$2:$C1509)=max(if($C$2:$C1509=C1510,row($C$2:$C1509),0)))) ,1),0),0))"),"")</f>
        <v/>
      </c>
      <c r="L1510" s="147" t="str">
        <f t="shared" si="14"/>
        <v/>
      </c>
      <c r="M1510" s="147" t="str">
        <f t="shared" si="15"/>
        <v/>
      </c>
      <c r="N1510" s="147" t="str">
        <f t="shared" si="16"/>
        <v/>
      </c>
      <c r="O1510" s="147" t="str">
        <f t="shared" si="6"/>
        <v/>
      </c>
      <c r="P1510" s="150" t="str">
        <f t="shared" si="7"/>
        <v/>
      </c>
      <c r="Q1510" s="151" t="str">
        <f>IFERROR(VLOOKUP(C1510,Ativos!$A$1:$G2000,5,),)</f>
        <v/>
      </c>
    </row>
    <row r="1511" ht="21.0" customHeight="1">
      <c r="A1511" s="152"/>
      <c r="B1511" s="160"/>
      <c r="C1511" s="153"/>
      <c r="D1511" s="169"/>
      <c r="E1511" s="139"/>
      <c r="F1511" s="141"/>
      <c r="G1511" s="170" t="str">
        <f>IFERROR(__xludf.DUMMYFUNCTION("if($C1511="""","""",iferror(if(row()&lt;&gt;2,INDEX(arrayformula(filter($H$2:$H1510,$C$2:$C1510&lt;&gt;"""",row($C$2:$C1510)=max(if($C$2:$C1510=C1511,row($C$2:$C1510),0)))) ,1),0),0))"),"")</f>
        <v/>
      </c>
      <c r="H1511" s="170" t="str">
        <f t="shared" si="8"/>
        <v/>
      </c>
      <c r="I1511" s="147" t="str">
        <f t="shared" si="1"/>
        <v/>
      </c>
      <c r="J1511" s="147" t="str">
        <f t="shared" si="13"/>
        <v/>
      </c>
      <c r="K1511" s="147" t="str">
        <f>IFERROR(__xludf.DUMMYFUNCTION("if(C1511="""","""",iferror(if(row()&lt;&gt;2,INDEX(arrayformula(filter($L$2:$L1510,$C$2:$C1510&lt;&gt;"""",row($C$2:$C1510)=max(if($C$2:$C1510=C1511,row($C$2:$C1510),0)))) ,1),0),0))"),"")</f>
        <v/>
      </c>
      <c r="L1511" s="147" t="str">
        <f t="shared" si="14"/>
        <v/>
      </c>
      <c r="M1511" s="147" t="str">
        <f t="shared" si="15"/>
        <v/>
      </c>
      <c r="N1511" s="147" t="str">
        <f t="shared" si="16"/>
        <v/>
      </c>
      <c r="O1511" s="147" t="str">
        <f t="shared" si="6"/>
        <v/>
      </c>
      <c r="P1511" s="150" t="str">
        <f t="shared" si="7"/>
        <v/>
      </c>
      <c r="Q1511" s="151" t="str">
        <f>IFERROR(VLOOKUP(C1511,Ativos!$A$1:$G2000,5,),)</f>
        <v/>
      </c>
    </row>
    <row r="1512" ht="21.0" customHeight="1">
      <c r="A1512" s="152"/>
      <c r="B1512" s="160"/>
      <c r="C1512" s="153"/>
      <c r="D1512" s="169"/>
      <c r="E1512" s="139"/>
      <c r="F1512" s="141"/>
      <c r="G1512" s="170" t="str">
        <f>IFERROR(__xludf.DUMMYFUNCTION("if($C1512="""","""",iferror(if(row()&lt;&gt;2,INDEX(arrayformula(filter($H$2:$H1511,$C$2:$C1511&lt;&gt;"""",row($C$2:$C1511)=max(if($C$2:$C1511=C1512,row($C$2:$C1511),0)))) ,1),0),0))"),"")</f>
        <v/>
      </c>
      <c r="H1512" s="170" t="str">
        <f t="shared" si="8"/>
        <v/>
      </c>
      <c r="I1512" s="147" t="str">
        <f t="shared" si="1"/>
        <v/>
      </c>
      <c r="J1512" s="147" t="str">
        <f t="shared" si="13"/>
        <v/>
      </c>
      <c r="K1512" s="147" t="str">
        <f>IFERROR(__xludf.DUMMYFUNCTION("if(C1512="""","""",iferror(if(row()&lt;&gt;2,INDEX(arrayformula(filter($L$2:$L1511,$C$2:$C1511&lt;&gt;"""",row($C$2:$C1511)=max(if($C$2:$C1511=C1512,row($C$2:$C1511),0)))) ,1),0),0))"),"")</f>
        <v/>
      </c>
      <c r="L1512" s="147" t="str">
        <f t="shared" si="14"/>
        <v/>
      </c>
      <c r="M1512" s="147" t="str">
        <f t="shared" si="15"/>
        <v/>
      </c>
      <c r="N1512" s="147" t="str">
        <f t="shared" si="16"/>
        <v/>
      </c>
      <c r="O1512" s="147" t="str">
        <f t="shared" si="6"/>
        <v/>
      </c>
      <c r="P1512" s="150" t="str">
        <f t="shared" si="7"/>
        <v/>
      </c>
      <c r="Q1512" s="151" t="str">
        <f>IFERROR(VLOOKUP(C1512,Ativos!$A$1:$G2000,5,),)</f>
        <v/>
      </c>
    </row>
    <row r="1513" ht="21.0" customHeight="1">
      <c r="A1513" s="152"/>
      <c r="B1513" s="160"/>
      <c r="C1513" s="153"/>
      <c r="D1513" s="169"/>
      <c r="E1513" s="139"/>
      <c r="F1513" s="141"/>
      <c r="G1513" s="170" t="str">
        <f>IFERROR(__xludf.DUMMYFUNCTION("if($C1513="""","""",iferror(if(row()&lt;&gt;2,INDEX(arrayformula(filter($H$2:$H1512,$C$2:$C1512&lt;&gt;"""",row($C$2:$C1512)=max(if($C$2:$C1512=C1513,row($C$2:$C1512),0)))) ,1),0),0))"),"")</f>
        <v/>
      </c>
      <c r="H1513" s="170" t="str">
        <f t="shared" si="8"/>
        <v/>
      </c>
      <c r="I1513" s="147" t="str">
        <f t="shared" si="1"/>
        <v/>
      </c>
      <c r="J1513" s="147" t="str">
        <f t="shared" si="13"/>
        <v/>
      </c>
      <c r="K1513" s="147" t="str">
        <f>IFERROR(__xludf.DUMMYFUNCTION("if(C1513="""","""",iferror(if(row()&lt;&gt;2,INDEX(arrayformula(filter($L$2:$L1512,$C$2:$C1512&lt;&gt;"""",row($C$2:$C1512)=max(if($C$2:$C1512=C1513,row($C$2:$C1512),0)))) ,1),0),0))"),"")</f>
        <v/>
      </c>
      <c r="L1513" s="147" t="str">
        <f t="shared" si="14"/>
        <v/>
      </c>
      <c r="M1513" s="147" t="str">
        <f t="shared" si="15"/>
        <v/>
      </c>
      <c r="N1513" s="147" t="str">
        <f t="shared" si="16"/>
        <v/>
      </c>
      <c r="O1513" s="147" t="str">
        <f t="shared" si="6"/>
        <v/>
      </c>
      <c r="P1513" s="150" t="str">
        <f t="shared" si="7"/>
        <v/>
      </c>
      <c r="Q1513" s="151" t="str">
        <f>IFERROR(VLOOKUP(C1513,Ativos!$A$1:$G2000,5,),)</f>
        <v/>
      </c>
    </row>
    <row r="1514" ht="21.0" customHeight="1">
      <c r="A1514" s="152"/>
      <c r="B1514" s="160"/>
      <c r="C1514" s="153"/>
      <c r="D1514" s="169"/>
      <c r="E1514" s="139"/>
      <c r="F1514" s="141"/>
      <c r="G1514" s="170" t="str">
        <f>IFERROR(__xludf.DUMMYFUNCTION("if($C1514="""","""",iferror(if(row()&lt;&gt;2,INDEX(arrayformula(filter($H$2:$H1513,$C$2:$C1513&lt;&gt;"""",row($C$2:$C1513)=max(if($C$2:$C1513=C1514,row($C$2:$C1513),0)))) ,1),0),0))"),"")</f>
        <v/>
      </c>
      <c r="H1514" s="170" t="str">
        <f t="shared" si="8"/>
        <v/>
      </c>
      <c r="I1514" s="147" t="str">
        <f t="shared" si="1"/>
        <v/>
      </c>
      <c r="J1514" s="147" t="str">
        <f t="shared" si="13"/>
        <v/>
      </c>
      <c r="K1514" s="147" t="str">
        <f>IFERROR(__xludf.DUMMYFUNCTION("if(C1514="""","""",iferror(if(row()&lt;&gt;2,INDEX(arrayformula(filter($L$2:$L1513,$C$2:$C1513&lt;&gt;"""",row($C$2:$C1513)=max(if($C$2:$C1513=C1514,row($C$2:$C1513),0)))) ,1),0),0))"),"")</f>
        <v/>
      </c>
      <c r="L1514" s="147" t="str">
        <f t="shared" si="14"/>
        <v/>
      </c>
      <c r="M1514" s="147" t="str">
        <f t="shared" si="15"/>
        <v/>
      </c>
      <c r="N1514" s="147" t="str">
        <f t="shared" si="16"/>
        <v/>
      </c>
      <c r="O1514" s="147" t="str">
        <f t="shared" si="6"/>
        <v/>
      </c>
      <c r="P1514" s="150" t="str">
        <f t="shared" si="7"/>
        <v/>
      </c>
      <c r="Q1514" s="151" t="str">
        <f>IFERROR(VLOOKUP(C1514,Ativos!$A$1:$G2000,5,),)</f>
        <v/>
      </c>
    </row>
    <row r="1515" ht="21.0" customHeight="1">
      <c r="A1515" s="152"/>
      <c r="B1515" s="160"/>
      <c r="C1515" s="153"/>
      <c r="D1515" s="169"/>
      <c r="E1515" s="139"/>
      <c r="F1515" s="141"/>
      <c r="G1515" s="170" t="str">
        <f>IFERROR(__xludf.DUMMYFUNCTION("if($C1515="""","""",iferror(if(row()&lt;&gt;2,INDEX(arrayformula(filter($H$2:$H1514,$C$2:$C1514&lt;&gt;"""",row($C$2:$C1514)=max(if($C$2:$C1514=C1515,row($C$2:$C1514),0)))) ,1),0),0))"),"")</f>
        <v/>
      </c>
      <c r="H1515" s="170" t="str">
        <f t="shared" si="8"/>
        <v/>
      </c>
      <c r="I1515" s="147" t="str">
        <f t="shared" si="1"/>
        <v/>
      </c>
      <c r="J1515" s="147" t="str">
        <f t="shared" si="13"/>
        <v/>
      </c>
      <c r="K1515" s="147" t="str">
        <f>IFERROR(__xludf.DUMMYFUNCTION("if(C1515="""","""",iferror(if(row()&lt;&gt;2,INDEX(arrayformula(filter($L$2:$L1514,$C$2:$C1514&lt;&gt;"""",row($C$2:$C1514)=max(if($C$2:$C1514=C1515,row($C$2:$C1514),0)))) ,1),0),0))"),"")</f>
        <v/>
      </c>
      <c r="L1515" s="147" t="str">
        <f t="shared" si="14"/>
        <v/>
      </c>
      <c r="M1515" s="147" t="str">
        <f t="shared" si="15"/>
        <v/>
      </c>
      <c r="N1515" s="147" t="str">
        <f t="shared" si="16"/>
        <v/>
      </c>
      <c r="O1515" s="147" t="str">
        <f t="shared" si="6"/>
        <v/>
      </c>
      <c r="P1515" s="150" t="str">
        <f t="shared" si="7"/>
        <v/>
      </c>
      <c r="Q1515" s="151" t="str">
        <f>IFERROR(VLOOKUP(C1515,Ativos!$A$1:$G2000,5,),)</f>
        <v/>
      </c>
    </row>
    <row r="1516" ht="21.0" customHeight="1">
      <c r="A1516" s="152"/>
      <c r="B1516" s="160"/>
      <c r="C1516" s="153"/>
      <c r="D1516" s="169"/>
      <c r="E1516" s="139"/>
      <c r="F1516" s="141"/>
      <c r="G1516" s="170" t="str">
        <f>IFERROR(__xludf.DUMMYFUNCTION("if($C1516="""","""",iferror(if(row()&lt;&gt;2,INDEX(arrayformula(filter($H$2:$H1515,$C$2:$C1515&lt;&gt;"""",row($C$2:$C1515)=max(if($C$2:$C1515=C1516,row($C$2:$C1515),0)))) ,1),0),0))"),"")</f>
        <v/>
      </c>
      <c r="H1516" s="170" t="str">
        <f t="shared" si="8"/>
        <v/>
      </c>
      <c r="I1516" s="147" t="str">
        <f t="shared" si="1"/>
        <v/>
      </c>
      <c r="J1516" s="147" t="str">
        <f t="shared" si="13"/>
        <v/>
      </c>
      <c r="K1516" s="147" t="str">
        <f>IFERROR(__xludf.DUMMYFUNCTION("if(C1516="""","""",iferror(if(row()&lt;&gt;2,INDEX(arrayformula(filter($L$2:$L1515,$C$2:$C1515&lt;&gt;"""",row($C$2:$C1515)=max(if($C$2:$C1515=C1516,row($C$2:$C1515),0)))) ,1),0),0))"),"")</f>
        <v/>
      </c>
      <c r="L1516" s="147" t="str">
        <f t="shared" si="14"/>
        <v/>
      </c>
      <c r="M1516" s="147" t="str">
        <f t="shared" si="15"/>
        <v/>
      </c>
      <c r="N1516" s="147" t="str">
        <f t="shared" si="16"/>
        <v/>
      </c>
      <c r="O1516" s="147" t="str">
        <f t="shared" si="6"/>
        <v/>
      </c>
      <c r="P1516" s="150" t="str">
        <f t="shared" si="7"/>
        <v/>
      </c>
      <c r="Q1516" s="151" t="str">
        <f>IFERROR(VLOOKUP(C1516,Ativos!$A$1:$G2000,5,),)</f>
        <v/>
      </c>
    </row>
    <row r="1517" ht="21.0" customHeight="1">
      <c r="A1517" s="152"/>
      <c r="B1517" s="160"/>
      <c r="C1517" s="153"/>
      <c r="D1517" s="169"/>
      <c r="E1517" s="139"/>
      <c r="F1517" s="141"/>
      <c r="G1517" s="170" t="str">
        <f>IFERROR(__xludf.DUMMYFUNCTION("if($C1517="""","""",iferror(if(row()&lt;&gt;2,INDEX(arrayformula(filter($H$2:$H1516,$C$2:$C1516&lt;&gt;"""",row($C$2:$C1516)=max(if($C$2:$C1516=C1517,row($C$2:$C1516),0)))) ,1),0),0))"),"")</f>
        <v/>
      </c>
      <c r="H1517" s="170" t="str">
        <f t="shared" si="8"/>
        <v/>
      </c>
      <c r="I1517" s="147" t="str">
        <f t="shared" si="1"/>
        <v/>
      </c>
      <c r="J1517" s="147" t="str">
        <f t="shared" si="13"/>
        <v/>
      </c>
      <c r="K1517" s="147" t="str">
        <f>IFERROR(__xludf.DUMMYFUNCTION("if(C1517="""","""",iferror(if(row()&lt;&gt;2,INDEX(arrayformula(filter($L$2:$L1516,$C$2:$C1516&lt;&gt;"""",row($C$2:$C1516)=max(if($C$2:$C1516=C1517,row($C$2:$C1516),0)))) ,1),0),0))"),"")</f>
        <v/>
      </c>
      <c r="L1517" s="147" t="str">
        <f t="shared" si="14"/>
        <v/>
      </c>
      <c r="M1517" s="147" t="str">
        <f t="shared" si="15"/>
        <v/>
      </c>
      <c r="N1517" s="147" t="str">
        <f t="shared" si="16"/>
        <v/>
      </c>
      <c r="O1517" s="147" t="str">
        <f t="shared" si="6"/>
        <v/>
      </c>
      <c r="P1517" s="150" t="str">
        <f t="shared" si="7"/>
        <v/>
      </c>
      <c r="Q1517" s="151" t="str">
        <f>IFERROR(VLOOKUP(C1517,Ativos!$A$1:$G2000,5,),)</f>
        <v/>
      </c>
    </row>
    <row r="1518" ht="21.0" customHeight="1">
      <c r="A1518" s="152"/>
      <c r="B1518" s="160"/>
      <c r="C1518" s="153"/>
      <c r="D1518" s="169"/>
      <c r="E1518" s="139"/>
      <c r="F1518" s="141"/>
      <c r="G1518" s="170" t="str">
        <f>IFERROR(__xludf.DUMMYFUNCTION("if($C1518="""","""",iferror(if(row()&lt;&gt;2,INDEX(arrayformula(filter($H$2:$H1517,$C$2:$C1517&lt;&gt;"""",row($C$2:$C1517)=max(if($C$2:$C1517=C1518,row($C$2:$C1517),0)))) ,1),0),0))"),"")</f>
        <v/>
      </c>
      <c r="H1518" s="170" t="str">
        <f t="shared" si="8"/>
        <v/>
      </c>
      <c r="I1518" s="147" t="str">
        <f t="shared" si="1"/>
        <v/>
      </c>
      <c r="J1518" s="147" t="str">
        <f t="shared" si="13"/>
        <v/>
      </c>
      <c r="K1518" s="147" t="str">
        <f>IFERROR(__xludf.DUMMYFUNCTION("if(C1518="""","""",iferror(if(row()&lt;&gt;2,INDEX(arrayformula(filter($L$2:$L1517,$C$2:$C1517&lt;&gt;"""",row($C$2:$C1517)=max(if($C$2:$C1517=C1518,row($C$2:$C1517),0)))) ,1),0),0))"),"")</f>
        <v/>
      </c>
      <c r="L1518" s="147" t="str">
        <f t="shared" si="14"/>
        <v/>
      </c>
      <c r="M1518" s="147" t="str">
        <f t="shared" si="15"/>
        <v/>
      </c>
      <c r="N1518" s="147" t="str">
        <f t="shared" si="16"/>
        <v/>
      </c>
      <c r="O1518" s="147" t="str">
        <f t="shared" si="6"/>
        <v/>
      </c>
      <c r="P1518" s="150" t="str">
        <f t="shared" si="7"/>
        <v/>
      </c>
      <c r="Q1518" s="151" t="str">
        <f>IFERROR(VLOOKUP(C1518,Ativos!$A$1:$G2000,5,),)</f>
        <v/>
      </c>
    </row>
    <row r="1519" ht="21.0" customHeight="1">
      <c r="A1519" s="152"/>
      <c r="B1519" s="160"/>
      <c r="C1519" s="153"/>
      <c r="D1519" s="169"/>
      <c r="E1519" s="139"/>
      <c r="F1519" s="141"/>
      <c r="G1519" s="170" t="str">
        <f>IFERROR(__xludf.DUMMYFUNCTION("if($C1519="""","""",iferror(if(row()&lt;&gt;2,INDEX(arrayformula(filter($H$2:$H1518,$C$2:$C1518&lt;&gt;"""",row($C$2:$C1518)=max(if($C$2:$C1518=C1519,row($C$2:$C1518),0)))) ,1),0),0))"),"")</f>
        <v/>
      </c>
      <c r="H1519" s="170" t="str">
        <f t="shared" si="8"/>
        <v/>
      </c>
      <c r="I1519" s="147" t="str">
        <f t="shared" si="1"/>
        <v/>
      </c>
      <c r="J1519" s="147" t="str">
        <f t="shared" si="13"/>
        <v/>
      </c>
      <c r="K1519" s="147" t="str">
        <f>IFERROR(__xludf.DUMMYFUNCTION("if(C1519="""","""",iferror(if(row()&lt;&gt;2,INDEX(arrayformula(filter($L$2:$L1518,$C$2:$C1518&lt;&gt;"""",row($C$2:$C1518)=max(if($C$2:$C1518=C1519,row($C$2:$C1518),0)))) ,1),0),0))"),"")</f>
        <v/>
      </c>
      <c r="L1519" s="147" t="str">
        <f t="shared" si="14"/>
        <v/>
      </c>
      <c r="M1519" s="147" t="str">
        <f t="shared" si="15"/>
        <v/>
      </c>
      <c r="N1519" s="147" t="str">
        <f t="shared" si="16"/>
        <v/>
      </c>
      <c r="O1519" s="147" t="str">
        <f t="shared" si="6"/>
        <v/>
      </c>
      <c r="P1519" s="150" t="str">
        <f t="shared" si="7"/>
        <v/>
      </c>
      <c r="Q1519" s="151" t="str">
        <f>IFERROR(VLOOKUP(C1519,Ativos!$A$1:$G2000,5,),)</f>
        <v/>
      </c>
    </row>
    <row r="1520" ht="21.0" customHeight="1">
      <c r="A1520" s="152"/>
      <c r="B1520" s="160"/>
      <c r="C1520" s="153"/>
      <c r="D1520" s="169"/>
      <c r="E1520" s="139"/>
      <c r="F1520" s="141"/>
      <c r="G1520" s="170" t="str">
        <f>IFERROR(__xludf.DUMMYFUNCTION("if($C1520="""","""",iferror(if(row()&lt;&gt;2,INDEX(arrayformula(filter($H$2:$H1519,$C$2:$C1519&lt;&gt;"""",row($C$2:$C1519)=max(if($C$2:$C1519=C1520,row($C$2:$C1519),0)))) ,1),0),0))"),"")</f>
        <v/>
      </c>
      <c r="H1520" s="170" t="str">
        <f t="shared" si="8"/>
        <v/>
      </c>
      <c r="I1520" s="147" t="str">
        <f t="shared" si="1"/>
        <v/>
      </c>
      <c r="J1520" s="147" t="str">
        <f t="shared" si="13"/>
        <v/>
      </c>
      <c r="K1520" s="147" t="str">
        <f>IFERROR(__xludf.DUMMYFUNCTION("if(C1520="""","""",iferror(if(row()&lt;&gt;2,INDEX(arrayformula(filter($L$2:$L1519,$C$2:$C1519&lt;&gt;"""",row($C$2:$C1519)=max(if($C$2:$C1519=C1520,row($C$2:$C1519),0)))) ,1),0),0))"),"")</f>
        <v/>
      </c>
      <c r="L1520" s="147" t="str">
        <f t="shared" si="14"/>
        <v/>
      </c>
      <c r="M1520" s="147" t="str">
        <f t="shared" si="15"/>
        <v/>
      </c>
      <c r="N1520" s="147" t="str">
        <f t="shared" si="16"/>
        <v/>
      </c>
      <c r="O1520" s="147" t="str">
        <f t="shared" si="6"/>
        <v/>
      </c>
      <c r="P1520" s="150" t="str">
        <f t="shared" si="7"/>
        <v/>
      </c>
      <c r="Q1520" s="151" t="str">
        <f>IFERROR(VLOOKUP(C1520,Ativos!$A$1:$G2000,5,),)</f>
        <v/>
      </c>
    </row>
    <row r="1521" ht="21.0" customHeight="1">
      <c r="A1521" s="152"/>
      <c r="B1521" s="160"/>
      <c r="C1521" s="153"/>
      <c r="D1521" s="169"/>
      <c r="E1521" s="139"/>
      <c r="F1521" s="141"/>
      <c r="G1521" s="170" t="str">
        <f>IFERROR(__xludf.DUMMYFUNCTION("if($C1521="""","""",iferror(if(row()&lt;&gt;2,INDEX(arrayformula(filter($H$2:$H1520,$C$2:$C1520&lt;&gt;"""",row($C$2:$C1520)=max(if($C$2:$C1520=C1521,row($C$2:$C1520),0)))) ,1),0),0))"),"")</f>
        <v/>
      </c>
      <c r="H1521" s="170" t="str">
        <f t="shared" si="8"/>
        <v/>
      </c>
      <c r="I1521" s="147" t="str">
        <f t="shared" si="1"/>
        <v/>
      </c>
      <c r="J1521" s="147" t="str">
        <f t="shared" si="13"/>
        <v/>
      </c>
      <c r="K1521" s="147" t="str">
        <f>IFERROR(__xludf.DUMMYFUNCTION("if(C1521="""","""",iferror(if(row()&lt;&gt;2,INDEX(arrayformula(filter($L$2:$L1520,$C$2:$C1520&lt;&gt;"""",row($C$2:$C1520)=max(if($C$2:$C1520=C1521,row($C$2:$C1520),0)))) ,1),0),0))"),"")</f>
        <v/>
      </c>
      <c r="L1521" s="147" t="str">
        <f t="shared" si="14"/>
        <v/>
      </c>
      <c r="M1521" s="147" t="str">
        <f t="shared" si="15"/>
        <v/>
      </c>
      <c r="N1521" s="147" t="str">
        <f t="shared" si="16"/>
        <v/>
      </c>
      <c r="O1521" s="147" t="str">
        <f t="shared" si="6"/>
        <v/>
      </c>
      <c r="P1521" s="150" t="str">
        <f t="shared" si="7"/>
        <v/>
      </c>
      <c r="Q1521" s="151" t="str">
        <f>IFERROR(VLOOKUP(C1521,Ativos!$A$1:$G2000,5,),)</f>
        <v/>
      </c>
    </row>
    <row r="1522" ht="21.0" customHeight="1">
      <c r="A1522" s="152"/>
      <c r="B1522" s="160"/>
      <c r="C1522" s="153"/>
      <c r="D1522" s="169"/>
      <c r="E1522" s="139"/>
      <c r="F1522" s="141"/>
      <c r="G1522" s="170" t="str">
        <f>IFERROR(__xludf.DUMMYFUNCTION("if($C1522="""","""",iferror(if(row()&lt;&gt;2,INDEX(arrayformula(filter($H$2:$H1521,$C$2:$C1521&lt;&gt;"""",row($C$2:$C1521)=max(if($C$2:$C1521=C1522,row($C$2:$C1521),0)))) ,1),0),0))"),"")</f>
        <v/>
      </c>
      <c r="H1522" s="170" t="str">
        <f t="shared" si="8"/>
        <v/>
      </c>
      <c r="I1522" s="147" t="str">
        <f t="shared" si="1"/>
        <v/>
      </c>
      <c r="J1522" s="147" t="str">
        <f t="shared" si="13"/>
        <v/>
      </c>
      <c r="K1522" s="147" t="str">
        <f>IFERROR(__xludf.DUMMYFUNCTION("if(C1522="""","""",iferror(if(row()&lt;&gt;2,INDEX(arrayformula(filter($L$2:$L1521,$C$2:$C1521&lt;&gt;"""",row($C$2:$C1521)=max(if($C$2:$C1521=C1522,row($C$2:$C1521),0)))) ,1),0),0))"),"")</f>
        <v/>
      </c>
      <c r="L1522" s="147" t="str">
        <f t="shared" si="14"/>
        <v/>
      </c>
      <c r="M1522" s="147" t="str">
        <f t="shared" si="15"/>
        <v/>
      </c>
      <c r="N1522" s="147" t="str">
        <f t="shared" si="16"/>
        <v/>
      </c>
      <c r="O1522" s="147" t="str">
        <f t="shared" si="6"/>
        <v/>
      </c>
      <c r="P1522" s="150" t="str">
        <f t="shared" si="7"/>
        <v/>
      </c>
      <c r="Q1522" s="151" t="str">
        <f>IFERROR(VLOOKUP(C1522,Ativos!$A$1:$G2000,5,),)</f>
        <v/>
      </c>
    </row>
    <row r="1523" ht="21.0" customHeight="1">
      <c r="A1523" s="152"/>
      <c r="B1523" s="160"/>
      <c r="C1523" s="153"/>
      <c r="D1523" s="169"/>
      <c r="E1523" s="139"/>
      <c r="F1523" s="141"/>
      <c r="G1523" s="170" t="str">
        <f>IFERROR(__xludf.DUMMYFUNCTION("if($C1523="""","""",iferror(if(row()&lt;&gt;2,INDEX(arrayformula(filter($H$2:$H1522,$C$2:$C1522&lt;&gt;"""",row($C$2:$C1522)=max(if($C$2:$C1522=C1523,row($C$2:$C1522),0)))) ,1),0),0))"),"")</f>
        <v/>
      </c>
      <c r="H1523" s="170" t="str">
        <f t="shared" si="8"/>
        <v/>
      </c>
      <c r="I1523" s="147" t="str">
        <f t="shared" si="1"/>
        <v/>
      </c>
      <c r="J1523" s="147" t="str">
        <f t="shared" si="13"/>
        <v/>
      </c>
      <c r="K1523" s="147" t="str">
        <f>IFERROR(__xludf.DUMMYFUNCTION("if(C1523="""","""",iferror(if(row()&lt;&gt;2,INDEX(arrayformula(filter($L$2:$L1522,$C$2:$C1522&lt;&gt;"""",row($C$2:$C1522)=max(if($C$2:$C1522=C1523,row($C$2:$C1522),0)))) ,1),0),0))"),"")</f>
        <v/>
      </c>
      <c r="L1523" s="147" t="str">
        <f t="shared" si="14"/>
        <v/>
      </c>
      <c r="M1523" s="147" t="str">
        <f t="shared" si="15"/>
        <v/>
      </c>
      <c r="N1523" s="147" t="str">
        <f t="shared" si="16"/>
        <v/>
      </c>
      <c r="O1523" s="147" t="str">
        <f t="shared" si="6"/>
        <v/>
      </c>
      <c r="P1523" s="150" t="str">
        <f t="shared" si="7"/>
        <v/>
      </c>
      <c r="Q1523" s="151" t="str">
        <f>IFERROR(VLOOKUP(C1523,Ativos!$A$1:$G2000,5,),)</f>
        <v/>
      </c>
    </row>
    <row r="1524" ht="21.0" customHeight="1">
      <c r="A1524" s="152"/>
      <c r="B1524" s="160"/>
      <c r="C1524" s="153"/>
      <c r="D1524" s="169"/>
      <c r="E1524" s="139"/>
      <c r="F1524" s="141"/>
      <c r="G1524" s="170" t="str">
        <f>IFERROR(__xludf.DUMMYFUNCTION("if($C1524="""","""",iferror(if(row()&lt;&gt;2,INDEX(arrayformula(filter($H$2:$H1523,$C$2:$C1523&lt;&gt;"""",row($C$2:$C1523)=max(if($C$2:$C1523=C1524,row($C$2:$C1523),0)))) ,1),0),0))"),"")</f>
        <v/>
      </c>
      <c r="H1524" s="170" t="str">
        <f t="shared" si="8"/>
        <v/>
      </c>
      <c r="I1524" s="147" t="str">
        <f t="shared" si="1"/>
        <v/>
      </c>
      <c r="J1524" s="147" t="str">
        <f t="shared" si="13"/>
        <v/>
      </c>
      <c r="K1524" s="147" t="str">
        <f>IFERROR(__xludf.DUMMYFUNCTION("if(C1524="""","""",iferror(if(row()&lt;&gt;2,INDEX(arrayformula(filter($L$2:$L1523,$C$2:$C1523&lt;&gt;"""",row($C$2:$C1523)=max(if($C$2:$C1523=C1524,row($C$2:$C1523),0)))) ,1),0),0))"),"")</f>
        <v/>
      </c>
      <c r="L1524" s="147" t="str">
        <f t="shared" si="14"/>
        <v/>
      </c>
      <c r="M1524" s="147" t="str">
        <f t="shared" si="15"/>
        <v/>
      </c>
      <c r="N1524" s="147" t="str">
        <f t="shared" si="16"/>
        <v/>
      </c>
      <c r="O1524" s="147" t="str">
        <f t="shared" si="6"/>
        <v/>
      </c>
      <c r="P1524" s="150" t="str">
        <f t="shared" si="7"/>
        <v/>
      </c>
      <c r="Q1524" s="151" t="str">
        <f>IFERROR(VLOOKUP(C1524,Ativos!$A$1:$G2000,5,),)</f>
        <v/>
      </c>
    </row>
    <row r="1525" ht="21.0" customHeight="1">
      <c r="A1525" s="152"/>
      <c r="B1525" s="160"/>
      <c r="C1525" s="153"/>
      <c r="D1525" s="169"/>
      <c r="E1525" s="139"/>
      <c r="F1525" s="141"/>
      <c r="G1525" s="170" t="str">
        <f>IFERROR(__xludf.DUMMYFUNCTION("if($C1525="""","""",iferror(if(row()&lt;&gt;2,INDEX(arrayformula(filter($H$2:$H1524,$C$2:$C1524&lt;&gt;"""",row($C$2:$C1524)=max(if($C$2:$C1524=C1525,row($C$2:$C1524),0)))) ,1),0),0))"),"")</f>
        <v/>
      </c>
      <c r="H1525" s="170" t="str">
        <f t="shared" si="8"/>
        <v/>
      </c>
      <c r="I1525" s="147" t="str">
        <f t="shared" si="1"/>
        <v/>
      </c>
      <c r="J1525" s="147" t="str">
        <f t="shared" si="13"/>
        <v/>
      </c>
      <c r="K1525" s="147" t="str">
        <f>IFERROR(__xludf.DUMMYFUNCTION("if(C1525="""","""",iferror(if(row()&lt;&gt;2,INDEX(arrayformula(filter($L$2:$L1524,$C$2:$C1524&lt;&gt;"""",row($C$2:$C1524)=max(if($C$2:$C1524=C1525,row($C$2:$C1524),0)))) ,1),0),0))"),"")</f>
        <v/>
      </c>
      <c r="L1525" s="147" t="str">
        <f t="shared" si="14"/>
        <v/>
      </c>
      <c r="M1525" s="147" t="str">
        <f t="shared" si="15"/>
        <v/>
      </c>
      <c r="N1525" s="147" t="str">
        <f t="shared" si="16"/>
        <v/>
      </c>
      <c r="O1525" s="147" t="str">
        <f t="shared" si="6"/>
        <v/>
      </c>
      <c r="P1525" s="150" t="str">
        <f t="shared" si="7"/>
        <v/>
      </c>
      <c r="Q1525" s="151" t="str">
        <f>IFERROR(VLOOKUP(C1525,Ativos!$A$1:$G2000,5,),)</f>
        <v/>
      </c>
    </row>
    <row r="1526" ht="21.0" customHeight="1">
      <c r="A1526" s="152"/>
      <c r="B1526" s="160"/>
      <c r="C1526" s="153"/>
      <c r="D1526" s="169"/>
      <c r="E1526" s="139"/>
      <c r="F1526" s="141"/>
      <c r="G1526" s="170" t="str">
        <f>IFERROR(__xludf.DUMMYFUNCTION("if($C1526="""","""",iferror(if(row()&lt;&gt;2,INDEX(arrayformula(filter($H$2:$H1525,$C$2:$C1525&lt;&gt;"""",row($C$2:$C1525)=max(if($C$2:$C1525=C1526,row($C$2:$C1525),0)))) ,1),0),0))"),"")</f>
        <v/>
      </c>
      <c r="H1526" s="170" t="str">
        <f t="shared" si="8"/>
        <v/>
      </c>
      <c r="I1526" s="147" t="str">
        <f t="shared" si="1"/>
        <v/>
      </c>
      <c r="J1526" s="147" t="str">
        <f t="shared" si="13"/>
        <v/>
      </c>
      <c r="K1526" s="147" t="str">
        <f>IFERROR(__xludf.DUMMYFUNCTION("if(C1526="""","""",iferror(if(row()&lt;&gt;2,INDEX(arrayformula(filter($L$2:$L1525,$C$2:$C1525&lt;&gt;"""",row($C$2:$C1525)=max(if($C$2:$C1525=C1526,row($C$2:$C1525),0)))) ,1),0),0))"),"")</f>
        <v/>
      </c>
      <c r="L1526" s="147" t="str">
        <f t="shared" si="14"/>
        <v/>
      </c>
      <c r="M1526" s="147" t="str">
        <f t="shared" si="15"/>
        <v/>
      </c>
      <c r="N1526" s="147" t="str">
        <f t="shared" si="16"/>
        <v/>
      </c>
      <c r="O1526" s="147" t="str">
        <f t="shared" si="6"/>
        <v/>
      </c>
      <c r="P1526" s="150" t="str">
        <f t="shared" si="7"/>
        <v/>
      </c>
      <c r="Q1526" s="151" t="str">
        <f>IFERROR(VLOOKUP(C1526,Ativos!$A$1:$G2000,5,),)</f>
        <v/>
      </c>
    </row>
    <row r="1527" ht="21.0" customHeight="1">
      <c r="A1527" s="152"/>
      <c r="B1527" s="160"/>
      <c r="C1527" s="153"/>
      <c r="D1527" s="169"/>
      <c r="E1527" s="139"/>
      <c r="F1527" s="141"/>
      <c r="G1527" s="170" t="str">
        <f>IFERROR(__xludf.DUMMYFUNCTION("if($C1527="""","""",iferror(if(row()&lt;&gt;2,INDEX(arrayformula(filter($H$2:$H1526,$C$2:$C1526&lt;&gt;"""",row($C$2:$C1526)=max(if($C$2:$C1526=C1527,row($C$2:$C1526),0)))) ,1),0),0))"),"")</f>
        <v/>
      </c>
      <c r="H1527" s="170" t="str">
        <f t="shared" si="8"/>
        <v/>
      </c>
      <c r="I1527" s="147" t="str">
        <f t="shared" si="1"/>
        <v/>
      </c>
      <c r="J1527" s="147" t="str">
        <f t="shared" si="13"/>
        <v/>
      </c>
      <c r="K1527" s="147" t="str">
        <f>IFERROR(__xludf.DUMMYFUNCTION("if(C1527="""","""",iferror(if(row()&lt;&gt;2,INDEX(arrayformula(filter($L$2:$L1526,$C$2:$C1526&lt;&gt;"""",row($C$2:$C1526)=max(if($C$2:$C1526=C1527,row($C$2:$C1526),0)))) ,1),0),0))"),"")</f>
        <v/>
      </c>
      <c r="L1527" s="147" t="str">
        <f t="shared" si="14"/>
        <v/>
      </c>
      <c r="M1527" s="147" t="str">
        <f t="shared" si="15"/>
        <v/>
      </c>
      <c r="N1527" s="147" t="str">
        <f t="shared" si="16"/>
        <v/>
      </c>
      <c r="O1527" s="147" t="str">
        <f t="shared" si="6"/>
        <v/>
      </c>
      <c r="P1527" s="150" t="str">
        <f t="shared" si="7"/>
        <v/>
      </c>
      <c r="Q1527" s="151" t="str">
        <f>IFERROR(VLOOKUP(C1527,Ativos!$A$1:$G2000,5,),)</f>
        <v/>
      </c>
    </row>
    <row r="1528" ht="21.0" customHeight="1">
      <c r="A1528" s="152"/>
      <c r="B1528" s="160"/>
      <c r="C1528" s="153"/>
      <c r="D1528" s="169"/>
      <c r="E1528" s="139"/>
      <c r="F1528" s="141"/>
      <c r="G1528" s="170" t="str">
        <f>IFERROR(__xludf.DUMMYFUNCTION("if($C1528="""","""",iferror(if(row()&lt;&gt;2,INDEX(arrayformula(filter($H$2:$H1527,$C$2:$C1527&lt;&gt;"""",row($C$2:$C1527)=max(if($C$2:$C1527=C1528,row($C$2:$C1527),0)))) ,1),0),0))"),"")</f>
        <v/>
      </c>
      <c r="H1528" s="170" t="str">
        <f t="shared" si="8"/>
        <v/>
      </c>
      <c r="I1528" s="147" t="str">
        <f t="shared" si="1"/>
        <v/>
      </c>
      <c r="J1528" s="147" t="str">
        <f t="shared" si="13"/>
        <v/>
      </c>
      <c r="K1528" s="147" t="str">
        <f>IFERROR(__xludf.DUMMYFUNCTION("if(C1528="""","""",iferror(if(row()&lt;&gt;2,INDEX(arrayformula(filter($L$2:$L1527,$C$2:$C1527&lt;&gt;"""",row($C$2:$C1527)=max(if($C$2:$C1527=C1528,row($C$2:$C1527),0)))) ,1),0),0))"),"")</f>
        <v/>
      </c>
      <c r="L1528" s="147" t="str">
        <f t="shared" si="14"/>
        <v/>
      </c>
      <c r="M1528" s="147" t="str">
        <f t="shared" si="15"/>
        <v/>
      </c>
      <c r="N1528" s="147" t="str">
        <f t="shared" si="16"/>
        <v/>
      </c>
      <c r="O1528" s="147" t="str">
        <f t="shared" si="6"/>
        <v/>
      </c>
      <c r="P1528" s="150" t="str">
        <f t="shared" si="7"/>
        <v/>
      </c>
      <c r="Q1528" s="151" t="str">
        <f>IFERROR(VLOOKUP(C1528,Ativos!$A$1:$G2000,5,),)</f>
        <v/>
      </c>
    </row>
    <row r="1529" ht="21.0" customHeight="1">
      <c r="A1529" s="152"/>
      <c r="B1529" s="160"/>
      <c r="C1529" s="153"/>
      <c r="D1529" s="169"/>
      <c r="E1529" s="139"/>
      <c r="F1529" s="141"/>
      <c r="G1529" s="170" t="str">
        <f>IFERROR(__xludf.DUMMYFUNCTION("if($C1529="""","""",iferror(if(row()&lt;&gt;2,INDEX(arrayformula(filter($H$2:$H1528,$C$2:$C1528&lt;&gt;"""",row($C$2:$C1528)=max(if($C$2:$C1528=C1529,row($C$2:$C1528),0)))) ,1),0),0))"),"")</f>
        <v/>
      </c>
      <c r="H1529" s="170" t="str">
        <f t="shared" si="8"/>
        <v/>
      </c>
      <c r="I1529" s="147" t="str">
        <f t="shared" si="1"/>
        <v/>
      </c>
      <c r="J1529" s="147" t="str">
        <f t="shared" si="13"/>
        <v/>
      </c>
      <c r="K1529" s="147" t="str">
        <f>IFERROR(__xludf.DUMMYFUNCTION("if(C1529="""","""",iferror(if(row()&lt;&gt;2,INDEX(arrayformula(filter($L$2:$L1528,$C$2:$C1528&lt;&gt;"""",row($C$2:$C1528)=max(if($C$2:$C1528=C1529,row($C$2:$C1528),0)))) ,1),0),0))"),"")</f>
        <v/>
      </c>
      <c r="L1529" s="147" t="str">
        <f t="shared" si="14"/>
        <v/>
      </c>
      <c r="M1529" s="147" t="str">
        <f t="shared" si="15"/>
        <v/>
      </c>
      <c r="N1529" s="147" t="str">
        <f t="shared" si="16"/>
        <v/>
      </c>
      <c r="O1529" s="147" t="str">
        <f t="shared" si="6"/>
        <v/>
      </c>
      <c r="P1529" s="150" t="str">
        <f t="shared" si="7"/>
        <v/>
      </c>
      <c r="Q1529" s="151" t="str">
        <f>IFERROR(VLOOKUP(C1529,Ativos!$A$1:$G2000,5,),)</f>
        <v/>
      </c>
    </row>
    <row r="1530" ht="21.0" customHeight="1">
      <c r="A1530" s="152"/>
      <c r="B1530" s="160"/>
      <c r="C1530" s="153"/>
      <c r="D1530" s="169"/>
      <c r="E1530" s="139"/>
      <c r="F1530" s="141"/>
      <c r="G1530" s="170" t="str">
        <f>IFERROR(__xludf.DUMMYFUNCTION("if($C1530="""","""",iferror(if(row()&lt;&gt;2,INDEX(arrayformula(filter($H$2:$H1529,$C$2:$C1529&lt;&gt;"""",row($C$2:$C1529)=max(if($C$2:$C1529=C1530,row($C$2:$C1529),0)))) ,1),0),0))"),"")</f>
        <v/>
      </c>
      <c r="H1530" s="170" t="str">
        <f t="shared" si="8"/>
        <v/>
      </c>
      <c r="I1530" s="147" t="str">
        <f t="shared" si="1"/>
        <v/>
      </c>
      <c r="J1530" s="147" t="str">
        <f t="shared" si="13"/>
        <v/>
      </c>
      <c r="K1530" s="147" t="str">
        <f>IFERROR(__xludf.DUMMYFUNCTION("if(C1530="""","""",iferror(if(row()&lt;&gt;2,INDEX(arrayformula(filter($L$2:$L1529,$C$2:$C1529&lt;&gt;"""",row($C$2:$C1529)=max(if($C$2:$C1529=C1530,row($C$2:$C1529),0)))) ,1),0),0))"),"")</f>
        <v/>
      </c>
      <c r="L1530" s="147" t="str">
        <f t="shared" si="14"/>
        <v/>
      </c>
      <c r="M1530" s="147" t="str">
        <f t="shared" si="15"/>
        <v/>
      </c>
      <c r="N1530" s="147" t="str">
        <f t="shared" si="16"/>
        <v/>
      </c>
      <c r="O1530" s="147" t="str">
        <f t="shared" si="6"/>
        <v/>
      </c>
      <c r="P1530" s="150" t="str">
        <f t="shared" si="7"/>
        <v/>
      </c>
      <c r="Q1530" s="151" t="str">
        <f>IFERROR(VLOOKUP(C1530,Ativos!$A$1:$G2000,5,),)</f>
        <v/>
      </c>
    </row>
    <row r="1531" ht="21.0" customHeight="1">
      <c r="A1531" s="152"/>
      <c r="B1531" s="160"/>
      <c r="C1531" s="153"/>
      <c r="D1531" s="169"/>
      <c r="E1531" s="139"/>
      <c r="F1531" s="141"/>
      <c r="G1531" s="170" t="str">
        <f>IFERROR(__xludf.DUMMYFUNCTION("if($C1531="""","""",iferror(if(row()&lt;&gt;2,INDEX(arrayformula(filter($H$2:$H1530,$C$2:$C1530&lt;&gt;"""",row($C$2:$C1530)=max(if($C$2:$C1530=C1531,row($C$2:$C1530),0)))) ,1),0),0))"),"")</f>
        <v/>
      </c>
      <c r="H1531" s="170" t="str">
        <f t="shared" si="8"/>
        <v/>
      </c>
      <c r="I1531" s="147" t="str">
        <f t="shared" si="1"/>
        <v/>
      </c>
      <c r="J1531" s="147" t="str">
        <f t="shared" si="13"/>
        <v/>
      </c>
      <c r="K1531" s="147" t="str">
        <f>IFERROR(__xludf.DUMMYFUNCTION("if(C1531="""","""",iferror(if(row()&lt;&gt;2,INDEX(arrayformula(filter($L$2:$L1530,$C$2:$C1530&lt;&gt;"""",row($C$2:$C1530)=max(if($C$2:$C1530=C1531,row($C$2:$C1530),0)))) ,1),0),0))"),"")</f>
        <v/>
      </c>
      <c r="L1531" s="147" t="str">
        <f t="shared" si="14"/>
        <v/>
      </c>
      <c r="M1531" s="147" t="str">
        <f t="shared" si="15"/>
        <v/>
      </c>
      <c r="N1531" s="147" t="str">
        <f t="shared" si="16"/>
        <v/>
      </c>
      <c r="O1531" s="147" t="str">
        <f t="shared" si="6"/>
        <v/>
      </c>
      <c r="P1531" s="150" t="str">
        <f t="shared" si="7"/>
        <v/>
      </c>
      <c r="Q1531" s="151" t="str">
        <f>IFERROR(VLOOKUP(C1531,Ativos!$A$1:$G2000,5,),)</f>
        <v/>
      </c>
    </row>
    <row r="1532" ht="21.0" customHeight="1">
      <c r="A1532" s="152"/>
      <c r="B1532" s="160"/>
      <c r="C1532" s="153"/>
      <c r="D1532" s="169"/>
      <c r="E1532" s="139"/>
      <c r="F1532" s="141"/>
      <c r="G1532" s="170" t="str">
        <f>IFERROR(__xludf.DUMMYFUNCTION("if($C1532="""","""",iferror(if(row()&lt;&gt;2,INDEX(arrayformula(filter($H$2:$H1531,$C$2:$C1531&lt;&gt;"""",row($C$2:$C1531)=max(if($C$2:$C1531=C1532,row($C$2:$C1531),0)))) ,1),0),0))"),"")</f>
        <v/>
      </c>
      <c r="H1532" s="170" t="str">
        <f t="shared" si="8"/>
        <v/>
      </c>
      <c r="I1532" s="147" t="str">
        <f t="shared" si="1"/>
        <v/>
      </c>
      <c r="J1532" s="147" t="str">
        <f t="shared" si="13"/>
        <v/>
      </c>
      <c r="K1532" s="147" t="str">
        <f>IFERROR(__xludf.DUMMYFUNCTION("if(C1532="""","""",iferror(if(row()&lt;&gt;2,INDEX(arrayformula(filter($L$2:$L1531,$C$2:$C1531&lt;&gt;"""",row($C$2:$C1531)=max(if($C$2:$C1531=C1532,row($C$2:$C1531),0)))) ,1),0),0))"),"")</f>
        <v/>
      </c>
      <c r="L1532" s="147" t="str">
        <f t="shared" si="14"/>
        <v/>
      </c>
      <c r="M1532" s="147" t="str">
        <f t="shared" si="15"/>
        <v/>
      </c>
      <c r="N1532" s="147" t="str">
        <f t="shared" si="16"/>
        <v/>
      </c>
      <c r="O1532" s="147" t="str">
        <f t="shared" si="6"/>
        <v/>
      </c>
      <c r="P1532" s="150" t="str">
        <f t="shared" si="7"/>
        <v/>
      </c>
      <c r="Q1532" s="151" t="str">
        <f>IFERROR(VLOOKUP(C1532,Ativos!$A$1:$G2000,5,),)</f>
        <v/>
      </c>
    </row>
    <row r="1533" ht="21.0" customHeight="1">
      <c r="A1533" s="152"/>
      <c r="B1533" s="160"/>
      <c r="C1533" s="153"/>
      <c r="D1533" s="169"/>
      <c r="E1533" s="139"/>
      <c r="F1533" s="141"/>
      <c r="G1533" s="170" t="str">
        <f>IFERROR(__xludf.DUMMYFUNCTION("if($C1533="""","""",iferror(if(row()&lt;&gt;2,INDEX(arrayformula(filter($H$2:$H1532,$C$2:$C1532&lt;&gt;"""",row($C$2:$C1532)=max(if($C$2:$C1532=C1533,row($C$2:$C1532),0)))) ,1),0),0))"),"")</f>
        <v/>
      </c>
      <c r="H1533" s="170" t="str">
        <f t="shared" si="8"/>
        <v/>
      </c>
      <c r="I1533" s="147" t="str">
        <f t="shared" si="1"/>
        <v/>
      </c>
      <c r="J1533" s="147" t="str">
        <f t="shared" si="13"/>
        <v/>
      </c>
      <c r="K1533" s="147" t="str">
        <f>IFERROR(__xludf.DUMMYFUNCTION("if(C1533="""","""",iferror(if(row()&lt;&gt;2,INDEX(arrayformula(filter($L$2:$L1532,$C$2:$C1532&lt;&gt;"""",row($C$2:$C1532)=max(if($C$2:$C1532=C1533,row($C$2:$C1532),0)))) ,1),0),0))"),"")</f>
        <v/>
      </c>
      <c r="L1533" s="147" t="str">
        <f t="shared" si="14"/>
        <v/>
      </c>
      <c r="M1533" s="147" t="str">
        <f t="shared" si="15"/>
        <v/>
      </c>
      <c r="N1533" s="147" t="str">
        <f t="shared" si="16"/>
        <v/>
      </c>
      <c r="O1533" s="147" t="str">
        <f t="shared" si="6"/>
        <v/>
      </c>
      <c r="P1533" s="150" t="str">
        <f t="shared" si="7"/>
        <v/>
      </c>
      <c r="Q1533" s="151" t="str">
        <f>IFERROR(VLOOKUP(C1533,Ativos!$A$1:$G2000,5,),)</f>
        <v/>
      </c>
    </row>
    <row r="1534" ht="21.0" customHeight="1">
      <c r="A1534" s="152"/>
      <c r="B1534" s="160"/>
      <c r="C1534" s="153"/>
      <c r="D1534" s="169"/>
      <c r="E1534" s="139"/>
      <c r="F1534" s="141"/>
      <c r="G1534" s="170" t="str">
        <f>IFERROR(__xludf.DUMMYFUNCTION("if($C1534="""","""",iferror(if(row()&lt;&gt;2,INDEX(arrayformula(filter($H$2:$H1533,$C$2:$C1533&lt;&gt;"""",row($C$2:$C1533)=max(if($C$2:$C1533=C1534,row($C$2:$C1533),0)))) ,1),0),0))"),"")</f>
        <v/>
      </c>
      <c r="H1534" s="170" t="str">
        <f t="shared" si="8"/>
        <v/>
      </c>
      <c r="I1534" s="147" t="str">
        <f t="shared" si="1"/>
        <v/>
      </c>
      <c r="J1534" s="147" t="str">
        <f t="shared" si="13"/>
        <v/>
      </c>
      <c r="K1534" s="147" t="str">
        <f>IFERROR(__xludf.DUMMYFUNCTION("if(C1534="""","""",iferror(if(row()&lt;&gt;2,INDEX(arrayformula(filter($L$2:$L1533,$C$2:$C1533&lt;&gt;"""",row($C$2:$C1533)=max(if($C$2:$C1533=C1534,row($C$2:$C1533),0)))) ,1),0),0))"),"")</f>
        <v/>
      </c>
      <c r="L1534" s="147" t="str">
        <f t="shared" si="14"/>
        <v/>
      </c>
      <c r="M1534" s="147" t="str">
        <f t="shared" si="15"/>
        <v/>
      </c>
      <c r="N1534" s="147" t="str">
        <f t="shared" si="16"/>
        <v/>
      </c>
      <c r="O1534" s="147" t="str">
        <f t="shared" si="6"/>
        <v/>
      </c>
      <c r="P1534" s="150" t="str">
        <f t="shared" si="7"/>
        <v/>
      </c>
      <c r="Q1534" s="151" t="str">
        <f>IFERROR(VLOOKUP(C1534,Ativos!$A$1:$G2000,5,),)</f>
        <v/>
      </c>
    </row>
    <row r="1535" ht="21.0" customHeight="1">
      <c r="A1535" s="152"/>
      <c r="B1535" s="160"/>
      <c r="C1535" s="153"/>
      <c r="D1535" s="169"/>
      <c r="E1535" s="139"/>
      <c r="F1535" s="141"/>
      <c r="G1535" s="170" t="str">
        <f>IFERROR(__xludf.DUMMYFUNCTION("if($C1535="""","""",iferror(if(row()&lt;&gt;2,INDEX(arrayformula(filter($H$2:$H1534,$C$2:$C1534&lt;&gt;"""",row($C$2:$C1534)=max(if($C$2:$C1534=C1535,row($C$2:$C1534),0)))) ,1),0),0))"),"")</f>
        <v/>
      </c>
      <c r="H1535" s="170" t="str">
        <f t="shared" si="8"/>
        <v/>
      </c>
      <c r="I1535" s="147" t="str">
        <f t="shared" si="1"/>
        <v/>
      </c>
      <c r="J1535" s="147" t="str">
        <f t="shared" si="13"/>
        <v/>
      </c>
      <c r="K1535" s="147" t="str">
        <f>IFERROR(__xludf.DUMMYFUNCTION("if(C1535="""","""",iferror(if(row()&lt;&gt;2,INDEX(arrayformula(filter($L$2:$L1534,$C$2:$C1534&lt;&gt;"""",row($C$2:$C1534)=max(if($C$2:$C1534=C1535,row($C$2:$C1534),0)))) ,1),0),0))"),"")</f>
        <v/>
      </c>
      <c r="L1535" s="147" t="str">
        <f t="shared" si="14"/>
        <v/>
      </c>
      <c r="M1535" s="147" t="str">
        <f t="shared" si="15"/>
        <v/>
      </c>
      <c r="N1535" s="147" t="str">
        <f t="shared" si="16"/>
        <v/>
      </c>
      <c r="O1535" s="147" t="str">
        <f t="shared" si="6"/>
        <v/>
      </c>
      <c r="P1535" s="150" t="str">
        <f t="shared" si="7"/>
        <v/>
      </c>
      <c r="Q1535" s="151" t="str">
        <f>IFERROR(VLOOKUP(C1535,Ativos!$A$1:$G2000,5,),)</f>
        <v/>
      </c>
    </row>
    <row r="1536" ht="21.0" customHeight="1">
      <c r="A1536" s="152"/>
      <c r="B1536" s="160"/>
      <c r="C1536" s="153"/>
      <c r="D1536" s="169"/>
      <c r="E1536" s="139"/>
      <c r="F1536" s="141"/>
      <c r="G1536" s="170" t="str">
        <f>IFERROR(__xludf.DUMMYFUNCTION("if($C1536="""","""",iferror(if(row()&lt;&gt;2,INDEX(arrayformula(filter($H$2:$H1535,$C$2:$C1535&lt;&gt;"""",row($C$2:$C1535)=max(if($C$2:$C1535=C1536,row($C$2:$C1535),0)))) ,1),0),0))"),"")</f>
        <v/>
      </c>
      <c r="H1536" s="170" t="str">
        <f t="shared" si="8"/>
        <v/>
      </c>
      <c r="I1536" s="147" t="str">
        <f t="shared" si="1"/>
        <v/>
      </c>
      <c r="J1536" s="147" t="str">
        <f t="shared" si="13"/>
        <v/>
      </c>
      <c r="K1536" s="147" t="str">
        <f>IFERROR(__xludf.DUMMYFUNCTION("if(C1536="""","""",iferror(if(row()&lt;&gt;2,INDEX(arrayformula(filter($L$2:$L1535,$C$2:$C1535&lt;&gt;"""",row($C$2:$C1535)=max(if($C$2:$C1535=C1536,row($C$2:$C1535),0)))) ,1),0),0))"),"")</f>
        <v/>
      </c>
      <c r="L1536" s="147" t="str">
        <f t="shared" si="14"/>
        <v/>
      </c>
      <c r="M1536" s="147" t="str">
        <f t="shared" si="15"/>
        <v/>
      </c>
      <c r="N1536" s="147" t="str">
        <f t="shared" si="16"/>
        <v/>
      </c>
      <c r="O1536" s="147" t="str">
        <f t="shared" si="6"/>
        <v/>
      </c>
      <c r="P1536" s="150" t="str">
        <f t="shared" si="7"/>
        <v/>
      </c>
      <c r="Q1536" s="151" t="str">
        <f>IFERROR(VLOOKUP(C1536,Ativos!$A$1:$G2000,5,),)</f>
        <v/>
      </c>
    </row>
    <row r="1537" ht="21.0" customHeight="1">
      <c r="A1537" s="152"/>
      <c r="B1537" s="160"/>
      <c r="C1537" s="153"/>
      <c r="D1537" s="169"/>
      <c r="E1537" s="139"/>
      <c r="F1537" s="141"/>
      <c r="G1537" s="170" t="str">
        <f>IFERROR(__xludf.DUMMYFUNCTION("if($C1537="""","""",iferror(if(row()&lt;&gt;2,INDEX(arrayformula(filter($H$2:$H1536,$C$2:$C1536&lt;&gt;"""",row($C$2:$C1536)=max(if($C$2:$C1536=C1537,row($C$2:$C1536),0)))) ,1),0),0))"),"")</f>
        <v/>
      </c>
      <c r="H1537" s="170" t="str">
        <f t="shared" si="8"/>
        <v/>
      </c>
      <c r="I1537" s="147" t="str">
        <f t="shared" si="1"/>
        <v/>
      </c>
      <c r="J1537" s="147" t="str">
        <f t="shared" si="13"/>
        <v/>
      </c>
      <c r="K1537" s="147" t="str">
        <f>IFERROR(__xludf.DUMMYFUNCTION("if(C1537="""","""",iferror(if(row()&lt;&gt;2,INDEX(arrayformula(filter($L$2:$L1536,$C$2:$C1536&lt;&gt;"""",row($C$2:$C1536)=max(if($C$2:$C1536=C1537,row($C$2:$C1536),0)))) ,1),0),0))"),"")</f>
        <v/>
      </c>
      <c r="L1537" s="147" t="str">
        <f t="shared" si="14"/>
        <v/>
      </c>
      <c r="M1537" s="147" t="str">
        <f t="shared" si="15"/>
        <v/>
      </c>
      <c r="N1537" s="147" t="str">
        <f t="shared" si="16"/>
        <v/>
      </c>
      <c r="O1537" s="147" t="str">
        <f t="shared" si="6"/>
        <v/>
      </c>
      <c r="P1537" s="150" t="str">
        <f t="shared" si="7"/>
        <v/>
      </c>
      <c r="Q1537" s="151" t="str">
        <f>IFERROR(VLOOKUP(C1537,Ativos!$A$1:$G2000,5,),)</f>
        <v/>
      </c>
    </row>
    <row r="1538" ht="21.0" customHeight="1">
      <c r="A1538" s="152"/>
      <c r="B1538" s="160"/>
      <c r="C1538" s="153"/>
      <c r="D1538" s="169"/>
      <c r="E1538" s="139"/>
      <c r="F1538" s="141"/>
      <c r="G1538" s="170" t="str">
        <f>IFERROR(__xludf.DUMMYFUNCTION("if($C1538="""","""",iferror(if(row()&lt;&gt;2,INDEX(arrayformula(filter($H$2:$H1537,$C$2:$C1537&lt;&gt;"""",row($C$2:$C1537)=max(if($C$2:$C1537=C1538,row($C$2:$C1537),0)))) ,1),0),0))"),"")</f>
        <v/>
      </c>
      <c r="H1538" s="170" t="str">
        <f t="shared" si="8"/>
        <v/>
      </c>
      <c r="I1538" s="147" t="str">
        <f t="shared" si="1"/>
        <v/>
      </c>
      <c r="J1538" s="147" t="str">
        <f t="shared" si="13"/>
        <v/>
      </c>
      <c r="K1538" s="147" t="str">
        <f>IFERROR(__xludf.DUMMYFUNCTION("if(C1538="""","""",iferror(if(row()&lt;&gt;2,INDEX(arrayformula(filter($L$2:$L1537,$C$2:$C1537&lt;&gt;"""",row($C$2:$C1537)=max(if($C$2:$C1537=C1538,row($C$2:$C1537),0)))) ,1),0),0))"),"")</f>
        <v/>
      </c>
      <c r="L1538" s="147" t="str">
        <f t="shared" si="14"/>
        <v/>
      </c>
      <c r="M1538" s="147" t="str">
        <f t="shared" si="15"/>
        <v/>
      </c>
      <c r="N1538" s="147" t="str">
        <f t="shared" si="16"/>
        <v/>
      </c>
      <c r="O1538" s="147" t="str">
        <f t="shared" si="6"/>
        <v/>
      </c>
      <c r="P1538" s="150" t="str">
        <f t="shared" si="7"/>
        <v/>
      </c>
      <c r="Q1538" s="151" t="str">
        <f>IFERROR(VLOOKUP(C1538,Ativos!$A$1:$G2000,5,),)</f>
        <v/>
      </c>
    </row>
    <row r="1539" ht="21.0" customHeight="1">
      <c r="A1539" s="152"/>
      <c r="B1539" s="160"/>
      <c r="C1539" s="153"/>
      <c r="D1539" s="169"/>
      <c r="E1539" s="139"/>
      <c r="F1539" s="141"/>
      <c r="G1539" s="170" t="str">
        <f>IFERROR(__xludf.DUMMYFUNCTION("if($C1539="""","""",iferror(if(row()&lt;&gt;2,INDEX(arrayformula(filter($H$2:$H1538,$C$2:$C1538&lt;&gt;"""",row($C$2:$C1538)=max(if($C$2:$C1538=C1539,row($C$2:$C1538),0)))) ,1),0),0))"),"")</f>
        <v/>
      </c>
      <c r="H1539" s="170" t="str">
        <f t="shared" si="8"/>
        <v/>
      </c>
      <c r="I1539" s="147" t="str">
        <f t="shared" si="1"/>
        <v/>
      </c>
      <c r="J1539" s="147" t="str">
        <f t="shared" si="13"/>
        <v/>
      </c>
      <c r="K1539" s="147" t="str">
        <f>IFERROR(__xludf.DUMMYFUNCTION("if(C1539="""","""",iferror(if(row()&lt;&gt;2,INDEX(arrayformula(filter($L$2:$L1538,$C$2:$C1538&lt;&gt;"""",row($C$2:$C1538)=max(if($C$2:$C1538=C1539,row($C$2:$C1538),0)))) ,1),0),0))"),"")</f>
        <v/>
      </c>
      <c r="L1539" s="147" t="str">
        <f t="shared" si="14"/>
        <v/>
      </c>
      <c r="M1539" s="147" t="str">
        <f t="shared" si="15"/>
        <v/>
      </c>
      <c r="N1539" s="147" t="str">
        <f t="shared" si="16"/>
        <v/>
      </c>
      <c r="O1539" s="147" t="str">
        <f t="shared" si="6"/>
        <v/>
      </c>
      <c r="P1539" s="150" t="str">
        <f t="shared" si="7"/>
        <v/>
      </c>
      <c r="Q1539" s="151" t="str">
        <f>IFERROR(VLOOKUP(C1539,Ativos!$A$1:$G2000,5,),)</f>
        <v/>
      </c>
    </row>
    <row r="1540" ht="21.0" customHeight="1">
      <c r="A1540" s="152"/>
      <c r="B1540" s="160"/>
      <c r="C1540" s="153"/>
      <c r="D1540" s="169"/>
      <c r="E1540" s="139"/>
      <c r="F1540" s="141"/>
      <c r="G1540" s="170" t="str">
        <f>IFERROR(__xludf.DUMMYFUNCTION("if($C1540="""","""",iferror(if(row()&lt;&gt;2,INDEX(arrayformula(filter($H$2:$H1539,$C$2:$C1539&lt;&gt;"""",row($C$2:$C1539)=max(if($C$2:$C1539=C1540,row($C$2:$C1539),0)))) ,1),0),0))"),"")</f>
        <v/>
      </c>
      <c r="H1540" s="170" t="str">
        <f t="shared" si="8"/>
        <v/>
      </c>
      <c r="I1540" s="147" t="str">
        <f t="shared" si="1"/>
        <v/>
      </c>
      <c r="J1540" s="147" t="str">
        <f t="shared" si="13"/>
        <v/>
      </c>
      <c r="K1540" s="147" t="str">
        <f>IFERROR(__xludf.DUMMYFUNCTION("if(C1540="""","""",iferror(if(row()&lt;&gt;2,INDEX(arrayformula(filter($L$2:$L1539,$C$2:$C1539&lt;&gt;"""",row($C$2:$C1539)=max(if($C$2:$C1539=C1540,row($C$2:$C1539),0)))) ,1),0),0))"),"")</f>
        <v/>
      </c>
      <c r="L1540" s="147" t="str">
        <f t="shared" si="14"/>
        <v/>
      </c>
      <c r="M1540" s="147" t="str">
        <f t="shared" si="15"/>
        <v/>
      </c>
      <c r="N1540" s="147" t="str">
        <f t="shared" si="16"/>
        <v/>
      </c>
      <c r="O1540" s="147" t="str">
        <f t="shared" si="6"/>
        <v/>
      </c>
      <c r="P1540" s="150" t="str">
        <f t="shared" si="7"/>
        <v/>
      </c>
      <c r="Q1540" s="151" t="str">
        <f>IFERROR(VLOOKUP(C1540,Ativos!$A$1:$G2000,5,),)</f>
        <v/>
      </c>
    </row>
    <row r="1541" ht="21.0" customHeight="1">
      <c r="A1541" s="152"/>
      <c r="B1541" s="160"/>
      <c r="C1541" s="153"/>
      <c r="D1541" s="169"/>
      <c r="E1541" s="139"/>
      <c r="F1541" s="141"/>
      <c r="G1541" s="170" t="str">
        <f>IFERROR(__xludf.DUMMYFUNCTION("if($C1541="""","""",iferror(if(row()&lt;&gt;2,INDEX(arrayformula(filter($H$2:$H1540,$C$2:$C1540&lt;&gt;"""",row($C$2:$C1540)=max(if($C$2:$C1540=C1541,row($C$2:$C1540),0)))) ,1),0),0))"),"")</f>
        <v/>
      </c>
      <c r="H1541" s="170" t="str">
        <f t="shared" si="8"/>
        <v/>
      </c>
      <c r="I1541" s="147" t="str">
        <f t="shared" si="1"/>
        <v/>
      </c>
      <c r="J1541" s="147" t="str">
        <f t="shared" si="13"/>
        <v/>
      </c>
      <c r="K1541" s="147" t="str">
        <f>IFERROR(__xludf.DUMMYFUNCTION("if(C1541="""","""",iferror(if(row()&lt;&gt;2,INDEX(arrayformula(filter($L$2:$L1540,$C$2:$C1540&lt;&gt;"""",row($C$2:$C1540)=max(if($C$2:$C1540=C1541,row($C$2:$C1540),0)))) ,1),0),0))"),"")</f>
        <v/>
      </c>
      <c r="L1541" s="147" t="str">
        <f t="shared" si="14"/>
        <v/>
      </c>
      <c r="M1541" s="147" t="str">
        <f t="shared" si="15"/>
        <v/>
      </c>
      <c r="N1541" s="147" t="str">
        <f t="shared" si="16"/>
        <v/>
      </c>
      <c r="O1541" s="147" t="str">
        <f t="shared" si="6"/>
        <v/>
      </c>
      <c r="P1541" s="150" t="str">
        <f t="shared" si="7"/>
        <v/>
      </c>
      <c r="Q1541" s="151" t="str">
        <f>IFERROR(VLOOKUP(C1541,Ativos!$A$1:$G2000,5,),)</f>
        <v/>
      </c>
    </row>
    <row r="1542" ht="21.0" customHeight="1">
      <c r="A1542" s="152"/>
      <c r="B1542" s="160"/>
      <c r="C1542" s="153"/>
      <c r="D1542" s="169"/>
      <c r="E1542" s="139"/>
      <c r="F1542" s="141"/>
      <c r="G1542" s="170" t="str">
        <f>IFERROR(__xludf.DUMMYFUNCTION("if($C1542="""","""",iferror(if(row()&lt;&gt;2,INDEX(arrayformula(filter($H$2:$H1541,$C$2:$C1541&lt;&gt;"""",row($C$2:$C1541)=max(if($C$2:$C1541=C1542,row($C$2:$C1541),0)))) ,1),0),0))"),"")</f>
        <v/>
      </c>
      <c r="H1542" s="170" t="str">
        <f t="shared" si="8"/>
        <v/>
      </c>
      <c r="I1542" s="147" t="str">
        <f t="shared" si="1"/>
        <v/>
      </c>
      <c r="J1542" s="147" t="str">
        <f t="shared" si="13"/>
        <v/>
      </c>
      <c r="K1542" s="147" t="str">
        <f>IFERROR(__xludf.DUMMYFUNCTION("if(C1542="""","""",iferror(if(row()&lt;&gt;2,INDEX(arrayformula(filter($L$2:$L1541,$C$2:$C1541&lt;&gt;"""",row($C$2:$C1541)=max(if($C$2:$C1541=C1542,row($C$2:$C1541),0)))) ,1),0),0))"),"")</f>
        <v/>
      </c>
      <c r="L1542" s="147" t="str">
        <f t="shared" si="14"/>
        <v/>
      </c>
      <c r="M1542" s="147" t="str">
        <f t="shared" si="15"/>
        <v/>
      </c>
      <c r="N1542" s="147" t="str">
        <f t="shared" si="16"/>
        <v/>
      </c>
      <c r="O1542" s="147" t="str">
        <f t="shared" si="6"/>
        <v/>
      </c>
      <c r="P1542" s="150" t="str">
        <f t="shared" si="7"/>
        <v/>
      </c>
      <c r="Q1542" s="151" t="str">
        <f>IFERROR(VLOOKUP(C1542,Ativos!$A$1:$G2000,5,),)</f>
        <v/>
      </c>
    </row>
    <row r="1543" ht="21.0" customHeight="1">
      <c r="A1543" s="152"/>
      <c r="B1543" s="160"/>
      <c r="C1543" s="153"/>
      <c r="D1543" s="169"/>
      <c r="E1543" s="139"/>
      <c r="F1543" s="141"/>
      <c r="G1543" s="170" t="str">
        <f>IFERROR(__xludf.DUMMYFUNCTION("if($C1543="""","""",iferror(if(row()&lt;&gt;2,INDEX(arrayformula(filter($H$2:$H1542,$C$2:$C1542&lt;&gt;"""",row($C$2:$C1542)=max(if($C$2:$C1542=C1543,row($C$2:$C1542),0)))) ,1),0),0))"),"")</f>
        <v/>
      </c>
      <c r="H1543" s="170" t="str">
        <f t="shared" si="8"/>
        <v/>
      </c>
      <c r="I1543" s="147" t="str">
        <f t="shared" si="1"/>
        <v/>
      </c>
      <c r="J1543" s="147" t="str">
        <f t="shared" si="13"/>
        <v/>
      </c>
      <c r="K1543" s="147" t="str">
        <f>IFERROR(__xludf.DUMMYFUNCTION("if(C1543="""","""",iferror(if(row()&lt;&gt;2,INDEX(arrayformula(filter($L$2:$L1542,$C$2:$C1542&lt;&gt;"""",row($C$2:$C1542)=max(if($C$2:$C1542=C1543,row($C$2:$C1542),0)))) ,1),0),0))"),"")</f>
        <v/>
      </c>
      <c r="L1543" s="147" t="str">
        <f t="shared" si="14"/>
        <v/>
      </c>
      <c r="M1543" s="147" t="str">
        <f t="shared" si="15"/>
        <v/>
      </c>
      <c r="N1543" s="147" t="str">
        <f t="shared" si="16"/>
        <v/>
      </c>
      <c r="O1543" s="147" t="str">
        <f t="shared" si="6"/>
        <v/>
      </c>
      <c r="P1543" s="150" t="str">
        <f t="shared" si="7"/>
        <v/>
      </c>
      <c r="Q1543" s="151" t="str">
        <f>IFERROR(VLOOKUP(C1543,Ativos!$A$1:$G2000,5,),)</f>
        <v/>
      </c>
    </row>
    <row r="1544" ht="21.0" customHeight="1">
      <c r="A1544" s="152"/>
      <c r="B1544" s="160"/>
      <c r="C1544" s="153"/>
      <c r="D1544" s="169"/>
      <c r="E1544" s="139"/>
      <c r="F1544" s="141"/>
      <c r="G1544" s="170" t="str">
        <f>IFERROR(__xludf.DUMMYFUNCTION("if($C1544="""","""",iferror(if(row()&lt;&gt;2,INDEX(arrayformula(filter($H$2:$H1543,$C$2:$C1543&lt;&gt;"""",row($C$2:$C1543)=max(if($C$2:$C1543=C1544,row($C$2:$C1543),0)))) ,1),0),0))"),"")</f>
        <v/>
      </c>
      <c r="H1544" s="170" t="str">
        <f t="shared" si="8"/>
        <v/>
      </c>
      <c r="I1544" s="147" t="str">
        <f t="shared" si="1"/>
        <v/>
      </c>
      <c r="J1544" s="147" t="str">
        <f t="shared" si="13"/>
        <v/>
      </c>
      <c r="K1544" s="147" t="str">
        <f>IFERROR(__xludf.DUMMYFUNCTION("if(C1544="""","""",iferror(if(row()&lt;&gt;2,INDEX(arrayformula(filter($L$2:$L1543,$C$2:$C1543&lt;&gt;"""",row($C$2:$C1543)=max(if($C$2:$C1543=C1544,row($C$2:$C1543),0)))) ,1),0),0))"),"")</f>
        <v/>
      </c>
      <c r="L1544" s="147" t="str">
        <f t="shared" si="14"/>
        <v/>
      </c>
      <c r="M1544" s="147" t="str">
        <f t="shared" si="15"/>
        <v/>
      </c>
      <c r="N1544" s="147" t="str">
        <f t="shared" si="16"/>
        <v/>
      </c>
      <c r="O1544" s="147" t="str">
        <f t="shared" si="6"/>
        <v/>
      </c>
      <c r="P1544" s="150" t="str">
        <f t="shared" si="7"/>
        <v/>
      </c>
      <c r="Q1544" s="151" t="str">
        <f>IFERROR(VLOOKUP(C1544,Ativos!$A$1:$G2000,5,),)</f>
        <v/>
      </c>
    </row>
    <row r="1545" ht="21.0" customHeight="1">
      <c r="A1545" s="152"/>
      <c r="B1545" s="160"/>
      <c r="C1545" s="153"/>
      <c r="D1545" s="169"/>
      <c r="E1545" s="139"/>
      <c r="F1545" s="141"/>
      <c r="G1545" s="170" t="str">
        <f>IFERROR(__xludf.DUMMYFUNCTION("if($C1545="""","""",iferror(if(row()&lt;&gt;2,INDEX(arrayformula(filter($H$2:$H1544,$C$2:$C1544&lt;&gt;"""",row($C$2:$C1544)=max(if($C$2:$C1544=C1545,row($C$2:$C1544),0)))) ,1),0),0))"),"")</f>
        <v/>
      </c>
      <c r="H1545" s="170" t="str">
        <f t="shared" si="8"/>
        <v/>
      </c>
      <c r="I1545" s="147" t="str">
        <f t="shared" si="1"/>
        <v/>
      </c>
      <c r="J1545" s="147" t="str">
        <f t="shared" si="13"/>
        <v/>
      </c>
      <c r="K1545" s="147" t="str">
        <f>IFERROR(__xludf.DUMMYFUNCTION("if(C1545="""","""",iferror(if(row()&lt;&gt;2,INDEX(arrayformula(filter($L$2:$L1544,$C$2:$C1544&lt;&gt;"""",row($C$2:$C1544)=max(if($C$2:$C1544=C1545,row($C$2:$C1544),0)))) ,1),0),0))"),"")</f>
        <v/>
      </c>
      <c r="L1545" s="147" t="str">
        <f t="shared" si="14"/>
        <v/>
      </c>
      <c r="M1545" s="147" t="str">
        <f t="shared" si="15"/>
        <v/>
      </c>
      <c r="N1545" s="147" t="str">
        <f t="shared" si="16"/>
        <v/>
      </c>
      <c r="O1545" s="147" t="str">
        <f t="shared" si="6"/>
        <v/>
      </c>
      <c r="P1545" s="150" t="str">
        <f t="shared" si="7"/>
        <v/>
      </c>
      <c r="Q1545" s="151" t="str">
        <f>IFERROR(VLOOKUP(C1545,Ativos!$A$1:$G2000,5,),)</f>
        <v/>
      </c>
    </row>
    <row r="1546" ht="21.0" customHeight="1">
      <c r="A1546" s="152"/>
      <c r="B1546" s="160"/>
      <c r="C1546" s="153"/>
      <c r="D1546" s="169"/>
      <c r="E1546" s="139"/>
      <c r="F1546" s="141"/>
      <c r="G1546" s="170" t="str">
        <f>IFERROR(__xludf.DUMMYFUNCTION("if($C1546="""","""",iferror(if(row()&lt;&gt;2,INDEX(arrayformula(filter($H$2:$H1545,$C$2:$C1545&lt;&gt;"""",row($C$2:$C1545)=max(if($C$2:$C1545=C1546,row($C$2:$C1545),0)))) ,1),0),0))"),"")</f>
        <v/>
      </c>
      <c r="H1546" s="170" t="str">
        <f t="shared" si="8"/>
        <v/>
      </c>
      <c r="I1546" s="147" t="str">
        <f t="shared" si="1"/>
        <v/>
      </c>
      <c r="J1546" s="147" t="str">
        <f t="shared" si="13"/>
        <v/>
      </c>
      <c r="K1546" s="147" t="str">
        <f>IFERROR(__xludf.DUMMYFUNCTION("if(C1546="""","""",iferror(if(row()&lt;&gt;2,INDEX(arrayformula(filter($L$2:$L1545,$C$2:$C1545&lt;&gt;"""",row($C$2:$C1545)=max(if($C$2:$C1545=C1546,row($C$2:$C1545),0)))) ,1),0),0))"),"")</f>
        <v/>
      </c>
      <c r="L1546" s="147" t="str">
        <f t="shared" si="14"/>
        <v/>
      </c>
      <c r="M1546" s="147" t="str">
        <f t="shared" si="15"/>
        <v/>
      </c>
      <c r="N1546" s="147" t="str">
        <f t="shared" si="16"/>
        <v/>
      </c>
      <c r="O1546" s="147" t="str">
        <f t="shared" si="6"/>
        <v/>
      </c>
      <c r="P1546" s="150" t="str">
        <f t="shared" si="7"/>
        <v/>
      </c>
      <c r="Q1546" s="151" t="str">
        <f>IFERROR(VLOOKUP(C1546,Ativos!$A$1:$G2000,5,),)</f>
        <v/>
      </c>
    </row>
    <row r="1547" ht="21.0" customHeight="1">
      <c r="A1547" s="152"/>
      <c r="B1547" s="160"/>
      <c r="C1547" s="153"/>
      <c r="D1547" s="169"/>
      <c r="E1547" s="139"/>
      <c r="F1547" s="141"/>
      <c r="G1547" s="170" t="str">
        <f>IFERROR(__xludf.DUMMYFUNCTION("if($C1547="""","""",iferror(if(row()&lt;&gt;2,INDEX(arrayformula(filter($H$2:$H1546,$C$2:$C1546&lt;&gt;"""",row($C$2:$C1546)=max(if($C$2:$C1546=C1547,row($C$2:$C1546),0)))) ,1),0),0))"),"")</f>
        <v/>
      </c>
      <c r="H1547" s="170" t="str">
        <f t="shared" si="8"/>
        <v/>
      </c>
      <c r="I1547" s="147" t="str">
        <f t="shared" si="1"/>
        <v/>
      </c>
      <c r="J1547" s="147" t="str">
        <f t="shared" si="13"/>
        <v/>
      </c>
      <c r="K1547" s="147" t="str">
        <f>IFERROR(__xludf.DUMMYFUNCTION("if(C1547="""","""",iferror(if(row()&lt;&gt;2,INDEX(arrayformula(filter($L$2:$L1546,$C$2:$C1546&lt;&gt;"""",row($C$2:$C1546)=max(if($C$2:$C1546=C1547,row($C$2:$C1546),0)))) ,1),0),0))"),"")</f>
        <v/>
      </c>
      <c r="L1547" s="147" t="str">
        <f t="shared" si="14"/>
        <v/>
      </c>
      <c r="M1547" s="147" t="str">
        <f t="shared" si="15"/>
        <v/>
      </c>
      <c r="N1547" s="147" t="str">
        <f t="shared" si="16"/>
        <v/>
      </c>
      <c r="O1547" s="147" t="str">
        <f t="shared" si="6"/>
        <v/>
      </c>
      <c r="P1547" s="150" t="str">
        <f t="shared" si="7"/>
        <v/>
      </c>
      <c r="Q1547" s="151" t="str">
        <f>IFERROR(VLOOKUP(C1547,Ativos!$A$1:$G2000,5,),)</f>
        <v/>
      </c>
    </row>
    <row r="1548" ht="21.0" customHeight="1">
      <c r="A1548" s="152"/>
      <c r="B1548" s="160"/>
      <c r="C1548" s="153"/>
      <c r="D1548" s="169"/>
      <c r="E1548" s="139"/>
      <c r="F1548" s="141"/>
      <c r="G1548" s="170" t="str">
        <f>IFERROR(__xludf.DUMMYFUNCTION("if($C1548="""","""",iferror(if(row()&lt;&gt;2,INDEX(arrayformula(filter($H$2:$H1547,$C$2:$C1547&lt;&gt;"""",row($C$2:$C1547)=max(if($C$2:$C1547=C1548,row($C$2:$C1547),0)))) ,1),0),0))"),"")</f>
        <v/>
      </c>
      <c r="H1548" s="170" t="str">
        <f t="shared" si="8"/>
        <v/>
      </c>
      <c r="I1548" s="147" t="str">
        <f t="shared" si="1"/>
        <v/>
      </c>
      <c r="J1548" s="147" t="str">
        <f t="shared" si="13"/>
        <v/>
      </c>
      <c r="K1548" s="147" t="str">
        <f>IFERROR(__xludf.DUMMYFUNCTION("if(C1548="""","""",iferror(if(row()&lt;&gt;2,INDEX(arrayformula(filter($L$2:$L1547,$C$2:$C1547&lt;&gt;"""",row($C$2:$C1547)=max(if($C$2:$C1547=C1548,row($C$2:$C1547),0)))) ,1),0),0))"),"")</f>
        <v/>
      </c>
      <c r="L1548" s="147" t="str">
        <f t="shared" si="14"/>
        <v/>
      </c>
      <c r="M1548" s="147" t="str">
        <f t="shared" si="15"/>
        <v/>
      </c>
      <c r="N1548" s="147" t="str">
        <f t="shared" si="16"/>
        <v/>
      </c>
      <c r="O1548" s="147" t="str">
        <f t="shared" si="6"/>
        <v/>
      </c>
      <c r="P1548" s="150" t="str">
        <f t="shared" si="7"/>
        <v/>
      </c>
      <c r="Q1548" s="151" t="str">
        <f>IFERROR(VLOOKUP(C1548,Ativos!$A$1:$G2000,5,),)</f>
        <v/>
      </c>
    </row>
    <row r="1549" ht="21.0" customHeight="1">
      <c r="A1549" s="152"/>
      <c r="B1549" s="160"/>
      <c r="C1549" s="153"/>
      <c r="D1549" s="169"/>
      <c r="E1549" s="139"/>
      <c r="F1549" s="141"/>
      <c r="G1549" s="170" t="str">
        <f>IFERROR(__xludf.DUMMYFUNCTION("if($C1549="""","""",iferror(if(row()&lt;&gt;2,INDEX(arrayformula(filter($H$2:$H1548,$C$2:$C1548&lt;&gt;"""",row($C$2:$C1548)=max(if($C$2:$C1548=C1549,row($C$2:$C1548),0)))) ,1),0),0))"),"")</f>
        <v/>
      </c>
      <c r="H1549" s="170" t="str">
        <f t="shared" si="8"/>
        <v/>
      </c>
      <c r="I1549" s="147" t="str">
        <f t="shared" si="1"/>
        <v/>
      </c>
      <c r="J1549" s="147" t="str">
        <f t="shared" si="13"/>
        <v/>
      </c>
      <c r="K1549" s="147" t="str">
        <f>IFERROR(__xludf.DUMMYFUNCTION("if(C1549="""","""",iferror(if(row()&lt;&gt;2,INDEX(arrayformula(filter($L$2:$L1548,$C$2:$C1548&lt;&gt;"""",row($C$2:$C1548)=max(if($C$2:$C1548=C1549,row($C$2:$C1548),0)))) ,1),0),0))"),"")</f>
        <v/>
      </c>
      <c r="L1549" s="147" t="str">
        <f t="shared" si="14"/>
        <v/>
      </c>
      <c r="M1549" s="147" t="str">
        <f t="shared" si="15"/>
        <v/>
      </c>
      <c r="N1549" s="147" t="str">
        <f t="shared" si="16"/>
        <v/>
      </c>
      <c r="O1549" s="147" t="str">
        <f t="shared" si="6"/>
        <v/>
      </c>
      <c r="P1549" s="150" t="str">
        <f t="shared" si="7"/>
        <v/>
      </c>
      <c r="Q1549" s="151" t="str">
        <f>IFERROR(VLOOKUP(C1549,Ativos!$A$1:$G2000,5,),)</f>
        <v/>
      </c>
    </row>
    <row r="1550" ht="21.0" customHeight="1">
      <c r="A1550" s="152"/>
      <c r="B1550" s="160"/>
      <c r="C1550" s="153"/>
      <c r="D1550" s="169"/>
      <c r="E1550" s="139"/>
      <c r="F1550" s="141"/>
      <c r="G1550" s="170" t="str">
        <f>IFERROR(__xludf.DUMMYFUNCTION("if($C1550="""","""",iferror(if(row()&lt;&gt;2,INDEX(arrayformula(filter($H$2:$H1549,$C$2:$C1549&lt;&gt;"""",row($C$2:$C1549)=max(if($C$2:$C1549=C1550,row($C$2:$C1549),0)))) ,1),0),0))"),"")</f>
        <v/>
      </c>
      <c r="H1550" s="170" t="str">
        <f t="shared" si="8"/>
        <v/>
      </c>
      <c r="I1550" s="147" t="str">
        <f t="shared" si="1"/>
        <v/>
      </c>
      <c r="J1550" s="147" t="str">
        <f t="shared" si="13"/>
        <v/>
      </c>
      <c r="K1550" s="147" t="str">
        <f>IFERROR(__xludf.DUMMYFUNCTION("if(C1550="""","""",iferror(if(row()&lt;&gt;2,INDEX(arrayformula(filter($L$2:$L1549,$C$2:$C1549&lt;&gt;"""",row($C$2:$C1549)=max(if($C$2:$C1549=C1550,row($C$2:$C1549),0)))) ,1),0),0))"),"")</f>
        <v/>
      </c>
      <c r="L1550" s="147" t="str">
        <f t="shared" si="14"/>
        <v/>
      </c>
      <c r="M1550" s="147" t="str">
        <f t="shared" si="15"/>
        <v/>
      </c>
      <c r="N1550" s="147" t="str">
        <f t="shared" si="16"/>
        <v/>
      </c>
      <c r="O1550" s="147" t="str">
        <f t="shared" si="6"/>
        <v/>
      </c>
      <c r="P1550" s="150" t="str">
        <f t="shared" si="7"/>
        <v/>
      </c>
      <c r="Q1550" s="151" t="str">
        <f>IFERROR(VLOOKUP(C1550,Ativos!$A$1:$G2000,5,),)</f>
        <v/>
      </c>
    </row>
    <row r="1551" ht="21.0" customHeight="1">
      <c r="A1551" s="152"/>
      <c r="B1551" s="160"/>
      <c r="C1551" s="153"/>
      <c r="D1551" s="169"/>
      <c r="E1551" s="139"/>
      <c r="F1551" s="141"/>
      <c r="G1551" s="170" t="str">
        <f>IFERROR(__xludf.DUMMYFUNCTION("if($C1551="""","""",iferror(if(row()&lt;&gt;2,INDEX(arrayformula(filter($H$2:$H1550,$C$2:$C1550&lt;&gt;"""",row($C$2:$C1550)=max(if($C$2:$C1550=C1551,row($C$2:$C1550),0)))) ,1),0),0))"),"")</f>
        <v/>
      </c>
      <c r="H1551" s="170" t="str">
        <f t="shared" si="8"/>
        <v/>
      </c>
      <c r="I1551" s="147" t="str">
        <f t="shared" si="1"/>
        <v/>
      </c>
      <c r="J1551" s="147" t="str">
        <f t="shared" si="13"/>
        <v/>
      </c>
      <c r="K1551" s="147" t="str">
        <f>IFERROR(__xludf.DUMMYFUNCTION("if(C1551="""","""",iferror(if(row()&lt;&gt;2,INDEX(arrayformula(filter($L$2:$L1550,$C$2:$C1550&lt;&gt;"""",row($C$2:$C1550)=max(if($C$2:$C1550=C1551,row($C$2:$C1550),0)))) ,1),0),0))"),"")</f>
        <v/>
      </c>
      <c r="L1551" s="147" t="str">
        <f t="shared" si="14"/>
        <v/>
      </c>
      <c r="M1551" s="147" t="str">
        <f t="shared" si="15"/>
        <v/>
      </c>
      <c r="N1551" s="147" t="str">
        <f t="shared" si="16"/>
        <v/>
      </c>
      <c r="O1551" s="147" t="str">
        <f t="shared" si="6"/>
        <v/>
      </c>
      <c r="P1551" s="150" t="str">
        <f t="shared" si="7"/>
        <v/>
      </c>
      <c r="Q1551" s="151" t="str">
        <f>IFERROR(VLOOKUP(C1551,Ativos!$A$1:$G2000,5,),)</f>
        <v/>
      </c>
    </row>
    <row r="1552" ht="21.0" customHeight="1">
      <c r="A1552" s="152"/>
      <c r="B1552" s="160"/>
      <c r="C1552" s="153"/>
      <c r="D1552" s="169"/>
      <c r="E1552" s="139"/>
      <c r="F1552" s="141"/>
      <c r="G1552" s="170" t="str">
        <f>IFERROR(__xludf.DUMMYFUNCTION("if($C1552="""","""",iferror(if(row()&lt;&gt;2,INDEX(arrayformula(filter($H$2:$H1551,$C$2:$C1551&lt;&gt;"""",row($C$2:$C1551)=max(if($C$2:$C1551=C1552,row($C$2:$C1551),0)))) ,1),0),0))"),"")</f>
        <v/>
      </c>
      <c r="H1552" s="170" t="str">
        <f t="shared" si="8"/>
        <v/>
      </c>
      <c r="I1552" s="147" t="str">
        <f t="shared" si="1"/>
        <v/>
      </c>
      <c r="J1552" s="147" t="str">
        <f t="shared" si="13"/>
        <v/>
      </c>
      <c r="K1552" s="147" t="str">
        <f>IFERROR(__xludf.DUMMYFUNCTION("if(C1552="""","""",iferror(if(row()&lt;&gt;2,INDEX(arrayformula(filter($L$2:$L1551,$C$2:$C1551&lt;&gt;"""",row($C$2:$C1551)=max(if($C$2:$C1551=C1552,row($C$2:$C1551),0)))) ,1),0),0))"),"")</f>
        <v/>
      </c>
      <c r="L1552" s="147" t="str">
        <f t="shared" si="14"/>
        <v/>
      </c>
      <c r="M1552" s="147" t="str">
        <f t="shared" si="15"/>
        <v/>
      </c>
      <c r="N1552" s="147" t="str">
        <f t="shared" si="16"/>
        <v/>
      </c>
      <c r="O1552" s="147" t="str">
        <f t="shared" si="6"/>
        <v/>
      </c>
      <c r="P1552" s="150" t="str">
        <f t="shared" si="7"/>
        <v/>
      </c>
      <c r="Q1552" s="151" t="str">
        <f>IFERROR(VLOOKUP(C1552,Ativos!$A$1:$G2000,5,),)</f>
        <v/>
      </c>
    </row>
    <row r="1553" ht="21.0" customHeight="1">
      <c r="A1553" s="152"/>
      <c r="B1553" s="160"/>
      <c r="C1553" s="153"/>
      <c r="D1553" s="169"/>
      <c r="E1553" s="139"/>
      <c r="F1553" s="141"/>
      <c r="G1553" s="170" t="str">
        <f>IFERROR(__xludf.DUMMYFUNCTION("if($C1553="""","""",iferror(if(row()&lt;&gt;2,INDEX(arrayformula(filter($H$2:$H1552,$C$2:$C1552&lt;&gt;"""",row($C$2:$C1552)=max(if($C$2:$C1552=C1553,row($C$2:$C1552),0)))) ,1),0),0))"),"")</f>
        <v/>
      </c>
      <c r="H1553" s="170" t="str">
        <f t="shared" si="8"/>
        <v/>
      </c>
      <c r="I1553" s="147" t="str">
        <f t="shared" si="1"/>
        <v/>
      </c>
      <c r="J1553" s="147" t="str">
        <f t="shared" si="13"/>
        <v/>
      </c>
      <c r="K1553" s="147" t="str">
        <f>IFERROR(__xludf.DUMMYFUNCTION("if(C1553="""","""",iferror(if(row()&lt;&gt;2,INDEX(arrayformula(filter($L$2:$L1552,$C$2:$C1552&lt;&gt;"""",row($C$2:$C1552)=max(if($C$2:$C1552=C1553,row($C$2:$C1552),0)))) ,1),0),0))"),"")</f>
        <v/>
      </c>
      <c r="L1553" s="147" t="str">
        <f t="shared" si="14"/>
        <v/>
      </c>
      <c r="M1553" s="147" t="str">
        <f t="shared" si="15"/>
        <v/>
      </c>
      <c r="N1553" s="147" t="str">
        <f t="shared" si="16"/>
        <v/>
      </c>
      <c r="O1553" s="147" t="str">
        <f t="shared" si="6"/>
        <v/>
      </c>
      <c r="P1553" s="150" t="str">
        <f t="shared" si="7"/>
        <v/>
      </c>
      <c r="Q1553" s="151" t="str">
        <f>IFERROR(VLOOKUP(C1553,Ativos!$A$1:$G2000,5,),)</f>
        <v/>
      </c>
    </row>
    <row r="1554" ht="21.0" customHeight="1">
      <c r="A1554" s="152"/>
      <c r="B1554" s="160"/>
      <c r="C1554" s="153"/>
      <c r="D1554" s="169"/>
      <c r="E1554" s="139"/>
      <c r="F1554" s="141"/>
      <c r="G1554" s="170" t="str">
        <f>IFERROR(__xludf.DUMMYFUNCTION("if($C1554="""","""",iferror(if(row()&lt;&gt;2,INDEX(arrayformula(filter($H$2:$H1553,$C$2:$C1553&lt;&gt;"""",row($C$2:$C1553)=max(if($C$2:$C1553=C1554,row($C$2:$C1553),0)))) ,1),0),0))"),"")</f>
        <v/>
      </c>
      <c r="H1554" s="170" t="str">
        <f t="shared" si="8"/>
        <v/>
      </c>
      <c r="I1554" s="147" t="str">
        <f t="shared" si="1"/>
        <v/>
      </c>
      <c r="J1554" s="147" t="str">
        <f t="shared" si="13"/>
        <v/>
      </c>
      <c r="K1554" s="147" t="str">
        <f>IFERROR(__xludf.DUMMYFUNCTION("if(C1554="""","""",iferror(if(row()&lt;&gt;2,INDEX(arrayformula(filter($L$2:$L1553,$C$2:$C1553&lt;&gt;"""",row($C$2:$C1553)=max(if($C$2:$C1553=C1554,row($C$2:$C1553),0)))) ,1),0),0))"),"")</f>
        <v/>
      </c>
      <c r="L1554" s="147" t="str">
        <f t="shared" si="14"/>
        <v/>
      </c>
      <c r="M1554" s="147" t="str">
        <f t="shared" si="15"/>
        <v/>
      </c>
      <c r="N1554" s="147" t="str">
        <f t="shared" si="16"/>
        <v/>
      </c>
      <c r="O1554" s="147" t="str">
        <f t="shared" si="6"/>
        <v/>
      </c>
      <c r="P1554" s="150" t="str">
        <f t="shared" si="7"/>
        <v/>
      </c>
      <c r="Q1554" s="151" t="str">
        <f>IFERROR(VLOOKUP(C1554,Ativos!$A$1:$G2000,5,),)</f>
        <v/>
      </c>
    </row>
    <row r="1555" ht="21.0" customHeight="1">
      <c r="A1555" s="152"/>
      <c r="B1555" s="160"/>
      <c r="C1555" s="153"/>
      <c r="D1555" s="169"/>
      <c r="E1555" s="139"/>
      <c r="F1555" s="141"/>
      <c r="G1555" s="170" t="str">
        <f>IFERROR(__xludf.DUMMYFUNCTION("if($C1555="""","""",iferror(if(row()&lt;&gt;2,INDEX(arrayformula(filter($H$2:$H1554,$C$2:$C1554&lt;&gt;"""",row($C$2:$C1554)=max(if($C$2:$C1554=C1555,row($C$2:$C1554),0)))) ,1),0),0))"),"")</f>
        <v/>
      </c>
      <c r="H1555" s="170" t="str">
        <f t="shared" si="8"/>
        <v/>
      </c>
      <c r="I1555" s="147" t="str">
        <f t="shared" si="1"/>
        <v/>
      </c>
      <c r="J1555" s="147" t="str">
        <f t="shared" si="13"/>
        <v/>
      </c>
      <c r="K1555" s="147" t="str">
        <f>IFERROR(__xludf.DUMMYFUNCTION("if(C1555="""","""",iferror(if(row()&lt;&gt;2,INDEX(arrayformula(filter($L$2:$L1554,$C$2:$C1554&lt;&gt;"""",row($C$2:$C1554)=max(if($C$2:$C1554=C1555,row($C$2:$C1554),0)))) ,1),0),0))"),"")</f>
        <v/>
      </c>
      <c r="L1555" s="147" t="str">
        <f t="shared" si="14"/>
        <v/>
      </c>
      <c r="M1555" s="147" t="str">
        <f t="shared" si="15"/>
        <v/>
      </c>
      <c r="N1555" s="147" t="str">
        <f t="shared" si="16"/>
        <v/>
      </c>
      <c r="O1555" s="147" t="str">
        <f t="shared" si="6"/>
        <v/>
      </c>
      <c r="P1555" s="150" t="str">
        <f t="shared" si="7"/>
        <v/>
      </c>
      <c r="Q1555" s="151" t="str">
        <f>IFERROR(VLOOKUP(C1555,Ativos!$A$1:$G2000,5,),)</f>
        <v/>
      </c>
    </row>
    <row r="1556" ht="21.0" customHeight="1">
      <c r="A1556" s="152"/>
      <c r="B1556" s="160"/>
      <c r="C1556" s="153"/>
      <c r="D1556" s="169"/>
      <c r="E1556" s="139"/>
      <c r="F1556" s="141"/>
      <c r="G1556" s="170" t="str">
        <f>IFERROR(__xludf.DUMMYFUNCTION("if($C1556="""","""",iferror(if(row()&lt;&gt;2,INDEX(arrayformula(filter($H$2:$H1555,$C$2:$C1555&lt;&gt;"""",row($C$2:$C1555)=max(if($C$2:$C1555=C1556,row($C$2:$C1555),0)))) ,1),0),0))"),"")</f>
        <v/>
      </c>
      <c r="H1556" s="170" t="str">
        <f t="shared" si="8"/>
        <v/>
      </c>
      <c r="I1556" s="147" t="str">
        <f t="shared" si="1"/>
        <v/>
      </c>
      <c r="J1556" s="147" t="str">
        <f t="shared" si="13"/>
        <v/>
      </c>
      <c r="K1556" s="147" t="str">
        <f>IFERROR(__xludf.DUMMYFUNCTION("if(C1556="""","""",iferror(if(row()&lt;&gt;2,INDEX(arrayformula(filter($L$2:$L1555,$C$2:$C1555&lt;&gt;"""",row($C$2:$C1555)=max(if($C$2:$C1555=C1556,row($C$2:$C1555),0)))) ,1),0),0))"),"")</f>
        <v/>
      </c>
      <c r="L1556" s="147" t="str">
        <f t="shared" si="14"/>
        <v/>
      </c>
      <c r="M1556" s="147" t="str">
        <f t="shared" si="15"/>
        <v/>
      </c>
      <c r="N1556" s="147" t="str">
        <f t="shared" si="16"/>
        <v/>
      </c>
      <c r="O1556" s="147" t="str">
        <f t="shared" si="6"/>
        <v/>
      </c>
      <c r="P1556" s="150" t="str">
        <f t="shared" si="7"/>
        <v/>
      </c>
      <c r="Q1556" s="151" t="str">
        <f>IFERROR(VLOOKUP(C1556,Ativos!$A$1:$G2000,5,),)</f>
        <v/>
      </c>
    </row>
    <row r="1557" ht="21.0" customHeight="1">
      <c r="A1557" s="152"/>
      <c r="B1557" s="160"/>
      <c r="C1557" s="153"/>
      <c r="D1557" s="169"/>
      <c r="E1557" s="139"/>
      <c r="F1557" s="141"/>
      <c r="G1557" s="170" t="str">
        <f>IFERROR(__xludf.DUMMYFUNCTION("if($C1557="""","""",iferror(if(row()&lt;&gt;2,INDEX(arrayformula(filter($H$2:$H1556,$C$2:$C1556&lt;&gt;"""",row($C$2:$C1556)=max(if($C$2:$C1556=C1557,row($C$2:$C1556),0)))) ,1),0),0))"),"")</f>
        <v/>
      </c>
      <c r="H1557" s="170" t="str">
        <f t="shared" si="8"/>
        <v/>
      </c>
      <c r="I1557" s="147" t="str">
        <f t="shared" si="1"/>
        <v/>
      </c>
      <c r="J1557" s="147" t="str">
        <f t="shared" si="13"/>
        <v/>
      </c>
      <c r="K1557" s="147" t="str">
        <f>IFERROR(__xludf.DUMMYFUNCTION("if(C1557="""","""",iferror(if(row()&lt;&gt;2,INDEX(arrayformula(filter($L$2:$L1556,$C$2:$C1556&lt;&gt;"""",row($C$2:$C1556)=max(if($C$2:$C1556=C1557,row($C$2:$C1556),0)))) ,1),0),0))"),"")</f>
        <v/>
      </c>
      <c r="L1557" s="147" t="str">
        <f t="shared" si="14"/>
        <v/>
      </c>
      <c r="M1557" s="147" t="str">
        <f t="shared" si="15"/>
        <v/>
      </c>
      <c r="N1557" s="147" t="str">
        <f t="shared" si="16"/>
        <v/>
      </c>
      <c r="O1557" s="147" t="str">
        <f t="shared" si="6"/>
        <v/>
      </c>
      <c r="P1557" s="150" t="str">
        <f t="shared" si="7"/>
        <v/>
      </c>
      <c r="Q1557" s="151" t="str">
        <f>IFERROR(VLOOKUP(C1557,Ativos!$A$1:$G2000,5,),)</f>
        <v/>
      </c>
    </row>
    <row r="1558" ht="21.0" customHeight="1">
      <c r="A1558" s="152"/>
      <c r="B1558" s="160"/>
      <c r="C1558" s="153"/>
      <c r="D1558" s="169"/>
      <c r="E1558" s="139"/>
      <c r="F1558" s="141"/>
      <c r="G1558" s="170" t="str">
        <f>IFERROR(__xludf.DUMMYFUNCTION("if($C1558="""","""",iferror(if(row()&lt;&gt;2,INDEX(arrayformula(filter($H$2:$H1557,$C$2:$C1557&lt;&gt;"""",row($C$2:$C1557)=max(if($C$2:$C1557=C1558,row($C$2:$C1557),0)))) ,1),0),0))"),"")</f>
        <v/>
      </c>
      <c r="H1558" s="170" t="str">
        <f t="shared" si="8"/>
        <v/>
      </c>
      <c r="I1558" s="147" t="str">
        <f t="shared" si="1"/>
        <v/>
      </c>
      <c r="J1558" s="147" t="str">
        <f t="shared" si="13"/>
        <v/>
      </c>
      <c r="K1558" s="147" t="str">
        <f>IFERROR(__xludf.DUMMYFUNCTION("if(C1558="""","""",iferror(if(row()&lt;&gt;2,INDEX(arrayformula(filter($L$2:$L1557,$C$2:$C1557&lt;&gt;"""",row($C$2:$C1557)=max(if($C$2:$C1557=C1558,row($C$2:$C1557),0)))) ,1),0),0))"),"")</f>
        <v/>
      </c>
      <c r="L1558" s="147" t="str">
        <f t="shared" si="14"/>
        <v/>
      </c>
      <c r="M1558" s="147" t="str">
        <f t="shared" si="15"/>
        <v/>
      </c>
      <c r="N1558" s="147" t="str">
        <f t="shared" si="16"/>
        <v/>
      </c>
      <c r="O1558" s="147" t="str">
        <f t="shared" si="6"/>
        <v/>
      </c>
      <c r="P1558" s="150" t="str">
        <f t="shared" si="7"/>
        <v/>
      </c>
      <c r="Q1558" s="151" t="str">
        <f>IFERROR(VLOOKUP(C1558,Ativos!$A$1:$G2000,5,),)</f>
        <v/>
      </c>
    </row>
    <row r="1559" ht="21.0" customHeight="1">
      <c r="A1559" s="152"/>
      <c r="B1559" s="160"/>
      <c r="C1559" s="153"/>
      <c r="D1559" s="169"/>
      <c r="E1559" s="139"/>
      <c r="F1559" s="141"/>
      <c r="G1559" s="170" t="str">
        <f>IFERROR(__xludf.DUMMYFUNCTION("if($C1559="""","""",iferror(if(row()&lt;&gt;2,INDEX(arrayformula(filter($H$2:$H1558,$C$2:$C1558&lt;&gt;"""",row($C$2:$C1558)=max(if($C$2:$C1558=C1559,row($C$2:$C1558),0)))) ,1),0),0))"),"")</f>
        <v/>
      </c>
      <c r="H1559" s="170" t="str">
        <f t="shared" si="8"/>
        <v/>
      </c>
      <c r="I1559" s="147" t="str">
        <f t="shared" si="1"/>
        <v/>
      </c>
      <c r="J1559" s="147" t="str">
        <f t="shared" si="13"/>
        <v/>
      </c>
      <c r="K1559" s="147" t="str">
        <f>IFERROR(__xludf.DUMMYFUNCTION("if(C1559="""","""",iferror(if(row()&lt;&gt;2,INDEX(arrayformula(filter($L$2:$L1558,$C$2:$C1558&lt;&gt;"""",row($C$2:$C1558)=max(if($C$2:$C1558=C1559,row($C$2:$C1558),0)))) ,1),0),0))"),"")</f>
        <v/>
      </c>
      <c r="L1559" s="147" t="str">
        <f t="shared" si="14"/>
        <v/>
      </c>
      <c r="M1559" s="147" t="str">
        <f t="shared" si="15"/>
        <v/>
      </c>
      <c r="N1559" s="147" t="str">
        <f t="shared" si="16"/>
        <v/>
      </c>
      <c r="O1559" s="147" t="str">
        <f t="shared" si="6"/>
        <v/>
      </c>
      <c r="P1559" s="150" t="str">
        <f t="shared" si="7"/>
        <v/>
      </c>
      <c r="Q1559" s="151" t="str">
        <f>IFERROR(VLOOKUP(C1559,Ativos!$A$1:$G2000,5,),)</f>
        <v/>
      </c>
    </row>
    <row r="1560" ht="21.0" customHeight="1">
      <c r="A1560" s="152"/>
      <c r="B1560" s="160"/>
      <c r="C1560" s="153"/>
      <c r="D1560" s="169"/>
      <c r="E1560" s="139"/>
      <c r="F1560" s="141"/>
      <c r="G1560" s="170" t="str">
        <f>IFERROR(__xludf.DUMMYFUNCTION("if($C1560="""","""",iferror(if(row()&lt;&gt;2,INDEX(arrayformula(filter($H$2:$H1559,$C$2:$C1559&lt;&gt;"""",row($C$2:$C1559)=max(if($C$2:$C1559=C1560,row($C$2:$C1559),0)))) ,1),0),0))"),"")</f>
        <v/>
      </c>
      <c r="H1560" s="170" t="str">
        <f t="shared" si="8"/>
        <v/>
      </c>
      <c r="I1560" s="147" t="str">
        <f t="shared" si="1"/>
        <v/>
      </c>
      <c r="J1560" s="147" t="str">
        <f t="shared" si="13"/>
        <v/>
      </c>
      <c r="K1560" s="147" t="str">
        <f>IFERROR(__xludf.DUMMYFUNCTION("if(C1560="""","""",iferror(if(row()&lt;&gt;2,INDEX(arrayformula(filter($L$2:$L1559,$C$2:$C1559&lt;&gt;"""",row($C$2:$C1559)=max(if($C$2:$C1559=C1560,row($C$2:$C1559),0)))) ,1),0),0))"),"")</f>
        <v/>
      </c>
      <c r="L1560" s="147" t="str">
        <f t="shared" si="14"/>
        <v/>
      </c>
      <c r="M1560" s="147" t="str">
        <f t="shared" si="15"/>
        <v/>
      </c>
      <c r="N1560" s="147" t="str">
        <f t="shared" si="16"/>
        <v/>
      </c>
      <c r="O1560" s="147" t="str">
        <f t="shared" si="6"/>
        <v/>
      </c>
      <c r="P1560" s="150" t="str">
        <f t="shared" si="7"/>
        <v/>
      </c>
      <c r="Q1560" s="151" t="str">
        <f>IFERROR(VLOOKUP(C1560,Ativos!$A$1:$G2000,5,),)</f>
        <v/>
      </c>
    </row>
    <row r="1561" ht="21.0" customHeight="1">
      <c r="A1561" s="152"/>
      <c r="B1561" s="160"/>
      <c r="C1561" s="153"/>
      <c r="D1561" s="169"/>
      <c r="E1561" s="139"/>
      <c r="F1561" s="141"/>
      <c r="G1561" s="170" t="str">
        <f>IFERROR(__xludf.DUMMYFUNCTION("if($C1561="""","""",iferror(if(row()&lt;&gt;2,INDEX(arrayformula(filter($H$2:$H1560,$C$2:$C1560&lt;&gt;"""",row($C$2:$C1560)=max(if($C$2:$C1560=C1561,row($C$2:$C1560),0)))) ,1),0),0))"),"")</f>
        <v/>
      </c>
      <c r="H1561" s="170" t="str">
        <f t="shared" si="8"/>
        <v/>
      </c>
      <c r="I1561" s="147" t="str">
        <f t="shared" si="1"/>
        <v/>
      </c>
      <c r="J1561" s="147" t="str">
        <f t="shared" si="13"/>
        <v/>
      </c>
      <c r="K1561" s="147" t="str">
        <f>IFERROR(__xludf.DUMMYFUNCTION("if(C1561="""","""",iferror(if(row()&lt;&gt;2,INDEX(arrayformula(filter($L$2:$L1560,$C$2:$C1560&lt;&gt;"""",row($C$2:$C1560)=max(if($C$2:$C1560=C1561,row($C$2:$C1560),0)))) ,1),0),0))"),"")</f>
        <v/>
      </c>
      <c r="L1561" s="147" t="str">
        <f t="shared" si="14"/>
        <v/>
      </c>
      <c r="M1561" s="147" t="str">
        <f t="shared" si="15"/>
        <v/>
      </c>
      <c r="N1561" s="147" t="str">
        <f t="shared" si="16"/>
        <v/>
      </c>
      <c r="O1561" s="147" t="str">
        <f t="shared" si="6"/>
        <v/>
      </c>
      <c r="P1561" s="150" t="str">
        <f t="shared" si="7"/>
        <v/>
      </c>
      <c r="Q1561" s="151" t="str">
        <f>IFERROR(VLOOKUP(C1561,Ativos!$A$1:$G2000,5,),)</f>
        <v/>
      </c>
    </row>
    <row r="1562" ht="21.0" customHeight="1">
      <c r="A1562" s="152"/>
      <c r="B1562" s="160"/>
      <c r="C1562" s="153"/>
      <c r="D1562" s="169"/>
      <c r="E1562" s="139"/>
      <c r="F1562" s="141"/>
      <c r="G1562" s="170" t="str">
        <f>IFERROR(__xludf.DUMMYFUNCTION("if($C1562="""","""",iferror(if(row()&lt;&gt;2,INDEX(arrayformula(filter($H$2:$H1561,$C$2:$C1561&lt;&gt;"""",row($C$2:$C1561)=max(if($C$2:$C1561=C1562,row($C$2:$C1561),0)))) ,1),0),0))"),"")</f>
        <v/>
      </c>
      <c r="H1562" s="170" t="str">
        <f t="shared" si="8"/>
        <v/>
      </c>
      <c r="I1562" s="147" t="str">
        <f t="shared" si="1"/>
        <v/>
      </c>
      <c r="J1562" s="147" t="str">
        <f t="shared" si="13"/>
        <v/>
      </c>
      <c r="K1562" s="147" t="str">
        <f>IFERROR(__xludf.DUMMYFUNCTION("if(C1562="""","""",iferror(if(row()&lt;&gt;2,INDEX(arrayformula(filter($L$2:$L1561,$C$2:$C1561&lt;&gt;"""",row($C$2:$C1561)=max(if($C$2:$C1561=C1562,row($C$2:$C1561),0)))) ,1),0),0))"),"")</f>
        <v/>
      </c>
      <c r="L1562" s="147" t="str">
        <f t="shared" si="14"/>
        <v/>
      </c>
      <c r="M1562" s="147" t="str">
        <f t="shared" si="15"/>
        <v/>
      </c>
      <c r="N1562" s="147" t="str">
        <f t="shared" si="16"/>
        <v/>
      </c>
      <c r="O1562" s="147" t="str">
        <f t="shared" si="6"/>
        <v/>
      </c>
      <c r="P1562" s="150" t="str">
        <f t="shared" si="7"/>
        <v/>
      </c>
      <c r="Q1562" s="151" t="str">
        <f>IFERROR(VLOOKUP(C1562,Ativos!$A$1:$G2000,5,),)</f>
        <v/>
      </c>
    </row>
    <row r="1563" ht="21.0" customHeight="1">
      <c r="A1563" s="152"/>
      <c r="B1563" s="160"/>
      <c r="C1563" s="153"/>
      <c r="D1563" s="169"/>
      <c r="E1563" s="139"/>
      <c r="F1563" s="141"/>
      <c r="G1563" s="170" t="str">
        <f>IFERROR(__xludf.DUMMYFUNCTION("if($C1563="""","""",iferror(if(row()&lt;&gt;2,INDEX(arrayformula(filter($H$2:$H1562,$C$2:$C1562&lt;&gt;"""",row($C$2:$C1562)=max(if($C$2:$C1562=C1563,row($C$2:$C1562),0)))) ,1),0),0))"),"")</f>
        <v/>
      </c>
      <c r="H1563" s="170" t="str">
        <f t="shared" si="8"/>
        <v/>
      </c>
      <c r="I1563" s="147" t="str">
        <f t="shared" si="1"/>
        <v/>
      </c>
      <c r="J1563" s="147" t="str">
        <f t="shared" si="13"/>
        <v/>
      </c>
      <c r="K1563" s="147" t="str">
        <f>IFERROR(__xludf.DUMMYFUNCTION("if(C1563="""","""",iferror(if(row()&lt;&gt;2,INDEX(arrayformula(filter($L$2:$L1562,$C$2:$C1562&lt;&gt;"""",row($C$2:$C1562)=max(if($C$2:$C1562=C1563,row($C$2:$C1562),0)))) ,1),0),0))"),"")</f>
        <v/>
      </c>
      <c r="L1563" s="147" t="str">
        <f t="shared" si="14"/>
        <v/>
      </c>
      <c r="M1563" s="147" t="str">
        <f t="shared" si="15"/>
        <v/>
      </c>
      <c r="N1563" s="147" t="str">
        <f t="shared" si="16"/>
        <v/>
      </c>
      <c r="O1563" s="147" t="str">
        <f t="shared" si="6"/>
        <v/>
      </c>
      <c r="P1563" s="150" t="str">
        <f t="shared" si="7"/>
        <v/>
      </c>
      <c r="Q1563" s="151" t="str">
        <f>IFERROR(VLOOKUP(C1563,Ativos!$A$1:$G2000,5,),)</f>
        <v/>
      </c>
    </row>
    <row r="1564" ht="21.0" customHeight="1">
      <c r="A1564" s="152"/>
      <c r="B1564" s="160"/>
      <c r="C1564" s="153"/>
      <c r="D1564" s="169"/>
      <c r="E1564" s="139"/>
      <c r="F1564" s="141"/>
      <c r="G1564" s="170" t="str">
        <f>IFERROR(__xludf.DUMMYFUNCTION("if($C1564="""","""",iferror(if(row()&lt;&gt;2,INDEX(arrayformula(filter($H$2:$H1563,$C$2:$C1563&lt;&gt;"""",row($C$2:$C1563)=max(if($C$2:$C1563=C1564,row($C$2:$C1563),0)))) ,1),0),0))"),"")</f>
        <v/>
      </c>
      <c r="H1564" s="170" t="str">
        <f t="shared" si="8"/>
        <v/>
      </c>
      <c r="I1564" s="147" t="str">
        <f t="shared" si="1"/>
        <v/>
      </c>
      <c r="J1564" s="147" t="str">
        <f t="shared" si="13"/>
        <v/>
      </c>
      <c r="K1564" s="147" t="str">
        <f>IFERROR(__xludf.DUMMYFUNCTION("if(C1564="""","""",iferror(if(row()&lt;&gt;2,INDEX(arrayformula(filter($L$2:$L1563,$C$2:$C1563&lt;&gt;"""",row($C$2:$C1563)=max(if($C$2:$C1563=C1564,row($C$2:$C1563),0)))) ,1),0),0))"),"")</f>
        <v/>
      </c>
      <c r="L1564" s="147" t="str">
        <f t="shared" si="14"/>
        <v/>
      </c>
      <c r="M1564" s="147" t="str">
        <f t="shared" si="15"/>
        <v/>
      </c>
      <c r="N1564" s="147" t="str">
        <f t="shared" si="16"/>
        <v/>
      </c>
      <c r="O1564" s="147" t="str">
        <f t="shared" si="6"/>
        <v/>
      </c>
      <c r="P1564" s="150" t="str">
        <f t="shared" si="7"/>
        <v/>
      </c>
      <c r="Q1564" s="151" t="str">
        <f>IFERROR(VLOOKUP(C1564,Ativos!$A$1:$G2000,5,),)</f>
        <v/>
      </c>
    </row>
    <row r="1565" ht="21.0" customHeight="1">
      <c r="A1565" s="152"/>
      <c r="B1565" s="160"/>
      <c r="C1565" s="153"/>
      <c r="D1565" s="169"/>
      <c r="E1565" s="139"/>
      <c r="F1565" s="141"/>
      <c r="G1565" s="170" t="str">
        <f>IFERROR(__xludf.DUMMYFUNCTION("if($C1565="""","""",iferror(if(row()&lt;&gt;2,INDEX(arrayformula(filter($H$2:$H1564,$C$2:$C1564&lt;&gt;"""",row($C$2:$C1564)=max(if($C$2:$C1564=C1565,row($C$2:$C1564),0)))) ,1),0),0))"),"")</f>
        <v/>
      </c>
      <c r="H1565" s="170" t="str">
        <f t="shared" si="8"/>
        <v/>
      </c>
      <c r="I1565" s="147" t="str">
        <f t="shared" si="1"/>
        <v/>
      </c>
      <c r="J1565" s="147" t="str">
        <f t="shared" si="13"/>
        <v/>
      </c>
      <c r="K1565" s="147" t="str">
        <f>IFERROR(__xludf.DUMMYFUNCTION("if(C1565="""","""",iferror(if(row()&lt;&gt;2,INDEX(arrayformula(filter($L$2:$L1564,$C$2:$C1564&lt;&gt;"""",row($C$2:$C1564)=max(if($C$2:$C1564=C1565,row($C$2:$C1564),0)))) ,1),0),0))"),"")</f>
        <v/>
      </c>
      <c r="L1565" s="147" t="str">
        <f t="shared" si="14"/>
        <v/>
      </c>
      <c r="M1565" s="147" t="str">
        <f t="shared" si="15"/>
        <v/>
      </c>
      <c r="N1565" s="147" t="str">
        <f t="shared" si="16"/>
        <v/>
      </c>
      <c r="O1565" s="147" t="str">
        <f t="shared" si="6"/>
        <v/>
      </c>
      <c r="P1565" s="150" t="str">
        <f t="shared" si="7"/>
        <v/>
      </c>
      <c r="Q1565" s="151" t="str">
        <f>IFERROR(VLOOKUP(C1565,Ativos!$A$1:$G2000,5,),)</f>
        <v/>
      </c>
    </row>
    <row r="1566" ht="21.0" customHeight="1">
      <c r="A1566" s="152"/>
      <c r="B1566" s="160"/>
      <c r="C1566" s="153"/>
      <c r="D1566" s="169"/>
      <c r="E1566" s="139"/>
      <c r="F1566" s="141"/>
      <c r="G1566" s="170" t="str">
        <f>IFERROR(__xludf.DUMMYFUNCTION("if($C1566="""","""",iferror(if(row()&lt;&gt;2,INDEX(arrayformula(filter($H$2:$H1565,$C$2:$C1565&lt;&gt;"""",row($C$2:$C1565)=max(if($C$2:$C1565=C1566,row($C$2:$C1565),0)))) ,1),0),0))"),"")</f>
        <v/>
      </c>
      <c r="H1566" s="170" t="str">
        <f t="shared" si="8"/>
        <v/>
      </c>
      <c r="I1566" s="147" t="str">
        <f t="shared" si="1"/>
        <v/>
      </c>
      <c r="J1566" s="147" t="str">
        <f t="shared" si="13"/>
        <v/>
      </c>
      <c r="K1566" s="147" t="str">
        <f>IFERROR(__xludf.DUMMYFUNCTION("if(C1566="""","""",iferror(if(row()&lt;&gt;2,INDEX(arrayformula(filter($L$2:$L1565,$C$2:$C1565&lt;&gt;"""",row($C$2:$C1565)=max(if($C$2:$C1565=C1566,row($C$2:$C1565),0)))) ,1),0),0))"),"")</f>
        <v/>
      </c>
      <c r="L1566" s="147" t="str">
        <f t="shared" si="14"/>
        <v/>
      </c>
      <c r="M1566" s="147" t="str">
        <f t="shared" si="15"/>
        <v/>
      </c>
      <c r="N1566" s="147" t="str">
        <f t="shared" si="16"/>
        <v/>
      </c>
      <c r="O1566" s="147" t="str">
        <f t="shared" si="6"/>
        <v/>
      </c>
      <c r="P1566" s="150" t="str">
        <f t="shared" si="7"/>
        <v/>
      </c>
      <c r="Q1566" s="151" t="str">
        <f>IFERROR(VLOOKUP(C1566,Ativos!$A$1:$G2000,5,),)</f>
        <v/>
      </c>
    </row>
    <row r="1567" ht="21.0" customHeight="1">
      <c r="A1567" s="152"/>
      <c r="B1567" s="160"/>
      <c r="C1567" s="153"/>
      <c r="D1567" s="169"/>
      <c r="E1567" s="139"/>
      <c r="F1567" s="141"/>
      <c r="G1567" s="170" t="str">
        <f>IFERROR(__xludf.DUMMYFUNCTION("if($C1567="""","""",iferror(if(row()&lt;&gt;2,INDEX(arrayformula(filter($H$2:$H1566,$C$2:$C1566&lt;&gt;"""",row($C$2:$C1566)=max(if($C$2:$C1566=C1567,row($C$2:$C1566),0)))) ,1),0),0))"),"")</f>
        <v/>
      </c>
      <c r="H1567" s="170" t="str">
        <f t="shared" si="8"/>
        <v/>
      </c>
      <c r="I1567" s="147" t="str">
        <f t="shared" si="1"/>
        <v/>
      </c>
      <c r="J1567" s="147" t="str">
        <f t="shared" si="13"/>
        <v/>
      </c>
      <c r="K1567" s="147" t="str">
        <f>IFERROR(__xludf.DUMMYFUNCTION("if(C1567="""","""",iferror(if(row()&lt;&gt;2,INDEX(arrayformula(filter($L$2:$L1566,$C$2:$C1566&lt;&gt;"""",row($C$2:$C1566)=max(if($C$2:$C1566=C1567,row($C$2:$C1566),0)))) ,1),0),0))"),"")</f>
        <v/>
      </c>
      <c r="L1567" s="147" t="str">
        <f t="shared" si="14"/>
        <v/>
      </c>
      <c r="M1567" s="147" t="str">
        <f t="shared" si="15"/>
        <v/>
      </c>
      <c r="N1567" s="147" t="str">
        <f t="shared" si="16"/>
        <v/>
      </c>
      <c r="O1567" s="147" t="str">
        <f t="shared" si="6"/>
        <v/>
      </c>
      <c r="P1567" s="150" t="str">
        <f t="shared" si="7"/>
        <v/>
      </c>
      <c r="Q1567" s="151" t="str">
        <f>IFERROR(VLOOKUP(C1567,Ativos!$A$1:$G2000,5,),)</f>
        <v/>
      </c>
    </row>
    <row r="1568" ht="21.0" customHeight="1">
      <c r="A1568" s="152"/>
      <c r="B1568" s="160"/>
      <c r="C1568" s="153"/>
      <c r="D1568" s="169"/>
      <c r="E1568" s="139"/>
      <c r="F1568" s="141"/>
      <c r="G1568" s="170" t="str">
        <f>IFERROR(__xludf.DUMMYFUNCTION("if($C1568="""","""",iferror(if(row()&lt;&gt;2,INDEX(arrayformula(filter($H$2:$H1567,$C$2:$C1567&lt;&gt;"""",row($C$2:$C1567)=max(if($C$2:$C1567=C1568,row($C$2:$C1567),0)))) ,1),0),0))"),"")</f>
        <v/>
      </c>
      <c r="H1568" s="170" t="str">
        <f t="shared" si="8"/>
        <v/>
      </c>
      <c r="I1568" s="147" t="str">
        <f t="shared" si="1"/>
        <v/>
      </c>
      <c r="J1568" s="147" t="str">
        <f t="shared" si="13"/>
        <v/>
      </c>
      <c r="K1568" s="147" t="str">
        <f>IFERROR(__xludf.DUMMYFUNCTION("if(C1568="""","""",iferror(if(row()&lt;&gt;2,INDEX(arrayformula(filter($L$2:$L1567,$C$2:$C1567&lt;&gt;"""",row($C$2:$C1567)=max(if($C$2:$C1567=C1568,row($C$2:$C1567),0)))) ,1),0),0))"),"")</f>
        <v/>
      </c>
      <c r="L1568" s="147" t="str">
        <f t="shared" si="14"/>
        <v/>
      </c>
      <c r="M1568" s="147" t="str">
        <f t="shared" si="15"/>
        <v/>
      </c>
      <c r="N1568" s="147" t="str">
        <f t="shared" si="16"/>
        <v/>
      </c>
      <c r="O1568" s="147" t="str">
        <f t="shared" si="6"/>
        <v/>
      </c>
      <c r="P1568" s="150" t="str">
        <f t="shared" si="7"/>
        <v/>
      </c>
      <c r="Q1568" s="151" t="str">
        <f>IFERROR(VLOOKUP(C1568,Ativos!$A$1:$G2000,5,),)</f>
        <v/>
      </c>
    </row>
    <row r="1569" ht="21.0" customHeight="1">
      <c r="A1569" s="152"/>
      <c r="B1569" s="160"/>
      <c r="C1569" s="153"/>
      <c r="D1569" s="169"/>
      <c r="E1569" s="139"/>
      <c r="F1569" s="141"/>
      <c r="G1569" s="170" t="str">
        <f>IFERROR(__xludf.DUMMYFUNCTION("if($C1569="""","""",iferror(if(row()&lt;&gt;2,INDEX(arrayformula(filter($H$2:$H1568,$C$2:$C1568&lt;&gt;"""",row($C$2:$C1568)=max(if($C$2:$C1568=C1569,row($C$2:$C1568),0)))) ,1),0),0))"),"")</f>
        <v/>
      </c>
      <c r="H1569" s="170" t="str">
        <f t="shared" si="8"/>
        <v/>
      </c>
      <c r="I1569" s="147" t="str">
        <f t="shared" si="1"/>
        <v/>
      </c>
      <c r="J1569" s="147" t="str">
        <f t="shared" si="13"/>
        <v/>
      </c>
      <c r="K1569" s="147" t="str">
        <f>IFERROR(__xludf.DUMMYFUNCTION("if(C1569="""","""",iferror(if(row()&lt;&gt;2,INDEX(arrayformula(filter($L$2:$L1568,$C$2:$C1568&lt;&gt;"""",row($C$2:$C1568)=max(if($C$2:$C1568=C1569,row($C$2:$C1568),0)))) ,1),0),0))"),"")</f>
        <v/>
      </c>
      <c r="L1569" s="147" t="str">
        <f t="shared" si="14"/>
        <v/>
      </c>
      <c r="M1569" s="147" t="str">
        <f t="shared" si="15"/>
        <v/>
      </c>
      <c r="N1569" s="147" t="str">
        <f t="shared" si="16"/>
        <v/>
      </c>
      <c r="O1569" s="147" t="str">
        <f t="shared" si="6"/>
        <v/>
      </c>
      <c r="P1569" s="150" t="str">
        <f t="shared" si="7"/>
        <v/>
      </c>
      <c r="Q1569" s="151" t="str">
        <f>IFERROR(VLOOKUP(C1569,Ativos!$A$1:$G2000,5,),)</f>
        <v/>
      </c>
    </row>
    <row r="1570" ht="21.0" customHeight="1">
      <c r="A1570" s="152"/>
      <c r="B1570" s="160"/>
      <c r="C1570" s="153"/>
      <c r="D1570" s="169"/>
      <c r="E1570" s="139"/>
      <c r="F1570" s="141"/>
      <c r="G1570" s="170" t="str">
        <f>IFERROR(__xludf.DUMMYFUNCTION("if($C1570="""","""",iferror(if(row()&lt;&gt;2,INDEX(arrayformula(filter($H$2:$H1569,$C$2:$C1569&lt;&gt;"""",row($C$2:$C1569)=max(if($C$2:$C1569=C1570,row($C$2:$C1569),0)))) ,1),0),0))"),"")</f>
        <v/>
      </c>
      <c r="H1570" s="170" t="str">
        <f t="shared" si="8"/>
        <v/>
      </c>
      <c r="I1570" s="147" t="str">
        <f t="shared" si="1"/>
        <v/>
      </c>
      <c r="J1570" s="147" t="str">
        <f t="shared" si="13"/>
        <v/>
      </c>
      <c r="K1570" s="147" t="str">
        <f>IFERROR(__xludf.DUMMYFUNCTION("if(C1570="""","""",iferror(if(row()&lt;&gt;2,INDEX(arrayformula(filter($L$2:$L1569,$C$2:$C1569&lt;&gt;"""",row($C$2:$C1569)=max(if($C$2:$C1569=C1570,row($C$2:$C1569),0)))) ,1),0),0))"),"")</f>
        <v/>
      </c>
      <c r="L1570" s="147" t="str">
        <f t="shared" si="14"/>
        <v/>
      </c>
      <c r="M1570" s="147" t="str">
        <f t="shared" si="15"/>
        <v/>
      </c>
      <c r="N1570" s="147" t="str">
        <f t="shared" si="16"/>
        <v/>
      </c>
      <c r="O1570" s="147" t="str">
        <f t="shared" si="6"/>
        <v/>
      </c>
      <c r="P1570" s="150" t="str">
        <f t="shared" si="7"/>
        <v/>
      </c>
      <c r="Q1570" s="151" t="str">
        <f>IFERROR(VLOOKUP(C1570,Ativos!$A$1:$G2000,5,),)</f>
        <v/>
      </c>
    </row>
    <row r="1571" ht="21.0" customHeight="1">
      <c r="A1571" s="152"/>
      <c r="B1571" s="160"/>
      <c r="C1571" s="153"/>
      <c r="D1571" s="169"/>
      <c r="E1571" s="139"/>
      <c r="F1571" s="141"/>
      <c r="G1571" s="170" t="str">
        <f>IFERROR(__xludf.DUMMYFUNCTION("if($C1571="""","""",iferror(if(row()&lt;&gt;2,INDEX(arrayformula(filter($H$2:$H1570,$C$2:$C1570&lt;&gt;"""",row($C$2:$C1570)=max(if($C$2:$C1570=C1571,row($C$2:$C1570),0)))) ,1),0),0))"),"")</f>
        <v/>
      </c>
      <c r="H1571" s="170" t="str">
        <f t="shared" si="8"/>
        <v/>
      </c>
      <c r="I1571" s="147" t="str">
        <f t="shared" si="1"/>
        <v/>
      </c>
      <c r="J1571" s="147" t="str">
        <f t="shared" si="13"/>
        <v/>
      </c>
      <c r="K1571" s="147" t="str">
        <f>IFERROR(__xludf.DUMMYFUNCTION("if(C1571="""","""",iferror(if(row()&lt;&gt;2,INDEX(arrayformula(filter($L$2:$L1570,$C$2:$C1570&lt;&gt;"""",row($C$2:$C1570)=max(if($C$2:$C1570=C1571,row($C$2:$C1570),0)))) ,1),0),0))"),"")</f>
        <v/>
      </c>
      <c r="L1571" s="147" t="str">
        <f t="shared" si="14"/>
        <v/>
      </c>
      <c r="M1571" s="147" t="str">
        <f t="shared" si="15"/>
        <v/>
      </c>
      <c r="N1571" s="147" t="str">
        <f t="shared" si="16"/>
        <v/>
      </c>
      <c r="O1571" s="147" t="str">
        <f t="shared" si="6"/>
        <v/>
      </c>
      <c r="P1571" s="150" t="str">
        <f t="shared" si="7"/>
        <v/>
      </c>
      <c r="Q1571" s="151" t="str">
        <f>IFERROR(VLOOKUP(C1571,Ativos!$A$1:$G2000,5,),)</f>
        <v/>
      </c>
    </row>
    <row r="1572" ht="21.0" customHeight="1">
      <c r="A1572" s="152"/>
      <c r="B1572" s="160"/>
      <c r="C1572" s="153"/>
      <c r="D1572" s="169"/>
      <c r="E1572" s="139"/>
      <c r="F1572" s="141"/>
      <c r="G1572" s="170" t="str">
        <f>IFERROR(__xludf.DUMMYFUNCTION("if($C1572="""","""",iferror(if(row()&lt;&gt;2,INDEX(arrayformula(filter($H$2:$H1571,$C$2:$C1571&lt;&gt;"""",row($C$2:$C1571)=max(if($C$2:$C1571=C1572,row($C$2:$C1571),0)))) ,1),0),0))"),"")</f>
        <v/>
      </c>
      <c r="H1572" s="170" t="str">
        <f t="shared" si="8"/>
        <v/>
      </c>
      <c r="I1572" s="147" t="str">
        <f t="shared" si="1"/>
        <v/>
      </c>
      <c r="J1572" s="147" t="str">
        <f t="shared" si="13"/>
        <v/>
      </c>
      <c r="K1572" s="147" t="str">
        <f>IFERROR(__xludf.DUMMYFUNCTION("if(C1572="""","""",iferror(if(row()&lt;&gt;2,INDEX(arrayformula(filter($L$2:$L1571,$C$2:$C1571&lt;&gt;"""",row($C$2:$C1571)=max(if($C$2:$C1571=C1572,row($C$2:$C1571),0)))) ,1),0),0))"),"")</f>
        <v/>
      </c>
      <c r="L1572" s="147" t="str">
        <f t="shared" si="14"/>
        <v/>
      </c>
      <c r="M1572" s="147" t="str">
        <f t="shared" si="15"/>
        <v/>
      </c>
      <c r="N1572" s="147" t="str">
        <f t="shared" si="16"/>
        <v/>
      </c>
      <c r="O1572" s="147" t="str">
        <f t="shared" si="6"/>
        <v/>
      </c>
      <c r="P1572" s="150" t="str">
        <f t="shared" si="7"/>
        <v/>
      </c>
      <c r="Q1572" s="151" t="str">
        <f>IFERROR(VLOOKUP(C1572,Ativos!$A$1:$G2000,5,),)</f>
        <v/>
      </c>
    </row>
    <row r="1573" ht="21.0" customHeight="1">
      <c r="A1573" s="152"/>
      <c r="B1573" s="160"/>
      <c r="C1573" s="153"/>
      <c r="D1573" s="169"/>
      <c r="E1573" s="139"/>
      <c r="F1573" s="141"/>
      <c r="G1573" s="170" t="str">
        <f>IFERROR(__xludf.DUMMYFUNCTION("if($C1573="""","""",iferror(if(row()&lt;&gt;2,INDEX(arrayformula(filter($H$2:$H1572,$C$2:$C1572&lt;&gt;"""",row($C$2:$C1572)=max(if($C$2:$C1572=C1573,row($C$2:$C1572),0)))) ,1),0),0))"),"")</f>
        <v/>
      </c>
      <c r="H1573" s="170" t="str">
        <f t="shared" si="8"/>
        <v/>
      </c>
      <c r="I1573" s="147" t="str">
        <f t="shared" si="1"/>
        <v/>
      </c>
      <c r="J1573" s="147" t="str">
        <f t="shared" si="13"/>
        <v/>
      </c>
      <c r="K1573" s="147" t="str">
        <f>IFERROR(__xludf.DUMMYFUNCTION("if(C1573="""","""",iferror(if(row()&lt;&gt;2,INDEX(arrayformula(filter($L$2:$L1572,$C$2:$C1572&lt;&gt;"""",row($C$2:$C1572)=max(if($C$2:$C1572=C1573,row($C$2:$C1572),0)))) ,1),0),0))"),"")</f>
        <v/>
      </c>
      <c r="L1573" s="147" t="str">
        <f t="shared" si="14"/>
        <v/>
      </c>
      <c r="M1573" s="147" t="str">
        <f t="shared" si="15"/>
        <v/>
      </c>
      <c r="N1573" s="147" t="str">
        <f t="shared" si="16"/>
        <v/>
      </c>
      <c r="O1573" s="147" t="str">
        <f t="shared" si="6"/>
        <v/>
      </c>
      <c r="P1573" s="150" t="str">
        <f t="shared" si="7"/>
        <v/>
      </c>
      <c r="Q1573" s="151" t="str">
        <f>IFERROR(VLOOKUP(C1573,Ativos!$A$1:$G2000,5,),)</f>
        <v/>
      </c>
    </row>
    <row r="1574" ht="21.0" customHeight="1">
      <c r="A1574" s="152"/>
      <c r="B1574" s="160"/>
      <c r="C1574" s="153"/>
      <c r="D1574" s="169"/>
      <c r="E1574" s="139"/>
      <c r="F1574" s="141"/>
      <c r="G1574" s="170" t="str">
        <f>IFERROR(__xludf.DUMMYFUNCTION("if($C1574="""","""",iferror(if(row()&lt;&gt;2,INDEX(arrayformula(filter($H$2:$H1573,$C$2:$C1573&lt;&gt;"""",row($C$2:$C1573)=max(if($C$2:$C1573=C1574,row($C$2:$C1573),0)))) ,1),0),0))"),"")</f>
        <v/>
      </c>
      <c r="H1574" s="170" t="str">
        <f t="shared" si="8"/>
        <v/>
      </c>
      <c r="I1574" s="147" t="str">
        <f t="shared" si="1"/>
        <v/>
      </c>
      <c r="J1574" s="147" t="str">
        <f t="shared" si="13"/>
        <v/>
      </c>
      <c r="K1574" s="147" t="str">
        <f>IFERROR(__xludf.DUMMYFUNCTION("if(C1574="""","""",iferror(if(row()&lt;&gt;2,INDEX(arrayformula(filter($L$2:$L1573,$C$2:$C1573&lt;&gt;"""",row($C$2:$C1573)=max(if($C$2:$C1573=C1574,row($C$2:$C1573),0)))) ,1),0),0))"),"")</f>
        <v/>
      </c>
      <c r="L1574" s="147" t="str">
        <f t="shared" si="14"/>
        <v/>
      </c>
      <c r="M1574" s="147" t="str">
        <f t="shared" si="15"/>
        <v/>
      </c>
      <c r="N1574" s="147" t="str">
        <f t="shared" si="16"/>
        <v/>
      </c>
      <c r="O1574" s="147" t="str">
        <f t="shared" si="6"/>
        <v/>
      </c>
      <c r="P1574" s="150" t="str">
        <f t="shared" si="7"/>
        <v/>
      </c>
      <c r="Q1574" s="151" t="str">
        <f>IFERROR(VLOOKUP(C1574,Ativos!$A$1:$G2000,5,),)</f>
        <v/>
      </c>
    </row>
    <row r="1575" ht="21.0" customHeight="1">
      <c r="A1575" s="152"/>
      <c r="B1575" s="160"/>
      <c r="C1575" s="153"/>
      <c r="D1575" s="169"/>
      <c r="E1575" s="139"/>
      <c r="F1575" s="141"/>
      <c r="G1575" s="170" t="str">
        <f>IFERROR(__xludf.DUMMYFUNCTION("if($C1575="""","""",iferror(if(row()&lt;&gt;2,INDEX(arrayformula(filter($H$2:$H1574,$C$2:$C1574&lt;&gt;"""",row($C$2:$C1574)=max(if($C$2:$C1574=C1575,row($C$2:$C1574),0)))) ,1),0),0))"),"")</f>
        <v/>
      </c>
      <c r="H1575" s="170" t="str">
        <f t="shared" si="8"/>
        <v/>
      </c>
      <c r="I1575" s="147" t="str">
        <f t="shared" si="1"/>
        <v/>
      </c>
      <c r="J1575" s="147" t="str">
        <f t="shared" si="13"/>
        <v/>
      </c>
      <c r="K1575" s="147" t="str">
        <f>IFERROR(__xludf.DUMMYFUNCTION("if(C1575="""","""",iferror(if(row()&lt;&gt;2,INDEX(arrayformula(filter($L$2:$L1574,$C$2:$C1574&lt;&gt;"""",row($C$2:$C1574)=max(if($C$2:$C1574=C1575,row($C$2:$C1574),0)))) ,1),0),0))"),"")</f>
        <v/>
      </c>
      <c r="L1575" s="147" t="str">
        <f t="shared" si="14"/>
        <v/>
      </c>
      <c r="M1575" s="147" t="str">
        <f t="shared" si="15"/>
        <v/>
      </c>
      <c r="N1575" s="147" t="str">
        <f t="shared" si="16"/>
        <v/>
      </c>
      <c r="O1575" s="147" t="str">
        <f t="shared" si="6"/>
        <v/>
      </c>
      <c r="P1575" s="150" t="str">
        <f t="shared" si="7"/>
        <v/>
      </c>
      <c r="Q1575" s="151" t="str">
        <f>IFERROR(VLOOKUP(C1575,Ativos!$A$1:$G2000,5,),)</f>
        <v/>
      </c>
    </row>
    <row r="1576" ht="21.0" customHeight="1">
      <c r="A1576" s="152"/>
      <c r="B1576" s="160"/>
      <c r="C1576" s="153"/>
      <c r="D1576" s="169"/>
      <c r="E1576" s="139"/>
      <c r="F1576" s="141"/>
      <c r="G1576" s="170" t="str">
        <f>IFERROR(__xludf.DUMMYFUNCTION("if($C1576="""","""",iferror(if(row()&lt;&gt;2,INDEX(arrayformula(filter($H$2:$H1575,$C$2:$C1575&lt;&gt;"""",row($C$2:$C1575)=max(if($C$2:$C1575=C1576,row($C$2:$C1575),0)))) ,1),0),0))"),"")</f>
        <v/>
      </c>
      <c r="H1576" s="170" t="str">
        <f t="shared" si="8"/>
        <v/>
      </c>
      <c r="I1576" s="147" t="str">
        <f t="shared" si="1"/>
        <v/>
      </c>
      <c r="J1576" s="147" t="str">
        <f t="shared" si="13"/>
        <v/>
      </c>
      <c r="K1576" s="147" t="str">
        <f>IFERROR(__xludf.DUMMYFUNCTION("if(C1576="""","""",iferror(if(row()&lt;&gt;2,INDEX(arrayformula(filter($L$2:$L1575,$C$2:$C1575&lt;&gt;"""",row($C$2:$C1575)=max(if($C$2:$C1575=C1576,row($C$2:$C1575),0)))) ,1),0),0))"),"")</f>
        <v/>
      </c>
      <c r="L1576" s="147" t="str">
        <f t="shared" si="14"/>
        <v/>
      </c>
      <c r="M1576" s="147" t="str">
        <f t="shared" si="15"/>
        <v/>
      </c>
      <c r="N1576" s="147" t="str">
        <f t="shared" si="16"/>
        <v/>
      </c>
      <c r="O1576" s="147" t="str">
        <f t="shared" si="6"/>
        <v/>
      </c>
      <c r="P1576" s="150" t="str">
        <f t="shared" si="7"/>
        <v/>
      </c>
      <c r="Q1576" s="151" t="str">
        <f>IFERROR(VLOOKUP(C1576,Ativos!$A$1:$G2000,5,),)</f>
        <v/>
      </c>
    </row>
    <row r="1577" ht="21.0" customHeight="1">
      <c r="A1577" s="152"/>
      <c r="B1577" s="160"/>
      <c r="C1577" s="153"/>
      <c r="D1577" s="169"/>
      <c r="E1577" s="139"/>
      <c r="F1577" s="141"/>
      <c r="G1577" s="170" t="str">
        <f>IFERROR(__xludf.DUMMYFUNCTION("if($C1577="""","""",iferror(if(row()&lt;&gt;2,INDEX(arrayformula(filter($H$2:$H1576,$C$2:$C1576&lt;&gt;"""",row($C$2:$C1576)=max(if($C$2:$C1576=C1577,row($C$2:$C1576),0)))) ,1),0),0))"),"")</f>
        <v/>
      </c>
      <c r="H1577" s="170" t="str">
        <f t="shared" si="8"/>
        <v/>
      </c>
      <c r="I1577" s="147" t="str">
        <f t="shared" si="1"/>
        <v/>
      </c>
      <c r="J1577" s="147" t="str">
        <f t="shared" si="13"/>
        <v/>
      </c>
      <c r="K1577" s="147" t="str">
        <f>IFERROR(__xludf.DUMMYFUNCTION("if(C1577="""","""",iferror(if(row()&lt;&gt;2,INDEX(arrayformula(filter($L$2:$L1576,$C$2:$C1576&lt;&gt;"""",row($C$2:$C1576)=max(if($C$2:$C1576=C1577,row($C$2:$C1576),0)))) ,1),0),0))"),"")</f>
        <v/>
      </c>
      <c r="L1577" s="147" t="str">
        <f t="shared" si="14"/>
        <v/>
      </c>
      <c r="M1577" s="147" t="str">
        <f t="shared" si="15"/>
        <v/>
      </c>
      <c r="N1577" s="147" t="str">
        <f t="shared" si="16"/>
        <v/>
      </c>
      <c r="O1577" s="147" t="str">
        <f t="shared" si="6"/>
        <v/>
      </c>
      <c r="P1577" s="150" t="str">
        <f t="shared" si="7"/>
        <v/>
      </c>
      <c r="Q1577" s="151" t="str">
        <f>IFERROR(VLOOKUP(C1577,Ativos!$A$1:$G2000,5,),)</f>
        <v/>
      </c>
    </row>
    <row r="1578" ht="21.0" customHeight="1">
      <c r="A1578" s="152"/>
      <c r="B1578" s="160"/>
      <c r="C1578" s="153"/>
      <c r="D1578" s="169"/>
      <c r="E1578" s="139"/>
      <c r="F1578" s="141"/>
      <c r="G1578" s="170" t="str">
        <f>IFERROR(__xludf.DUMMYFUNCTION("if($C1578="""","""",iferror(if(row()&lt;&gt;2,INDEX(arrayformula(filter($H$2:$H1577,$C$2:$C1577&lt;&gt;"""",row($C$2:$C1577)=max(if($C$2:$C1577=C1578,row($C$2:$C1577),0)))) ,1),0),0))"),"")</f>
        <v/>
      </c>
      <c r="H1578" s="170" t="str">
        <f t="shared" si="8"/>
        <v/>
      </c>
      <c r="I1578" s="147" t="str">
        <f t="shared" si="1"/>
        <v/>
      </c>
      <c r="J1578" s="147" t="str">
        <f t="shared" si="13"/>
        <v/>
      </c>
      <c r="K1578" s="147" t="str">
        <f>IFERROR(__xludf.DUMMYFUNCTION("if(C1578="""","""",iferror(if(row()&lt;&gt;2,INDEX(arrayformula(filter($L$2:$L1577,$C$2:$C1577&lt;&gt;"""",row($C$2:$C1577)=max(if($C$2:$C1577=C1578,row($C$2:$C1577),0)))) ,1),0),0))"),"")</f>
        <v/>
      </c>
      <c r="L1578" s="147" t="str">
        <f t="shared" si="14"/>
        <v/>
      </c>
      <c r="M1578" s="147" t="str">
        <f t="shared" si="15"/>
        <v/>
      </c>
      <c r="N1578" s="147" t="str">
        <f t="shared" si="16"/>
        <v/>
      </c>
      <c r="O1578" s="147" t="str">
        <f t="shared" si="6"/>
        <v/>
      </c>
      <c r="P1578" s="150" t="str">
        <f t="shared" si="7"/>
        <v/>
      </c>
      <c r="Q1578" s="151" t="str">
        <f>IFERROR(VLOOKUP(C1578,Ativos!$A$1:$G2000,5,),)</f>
        <v/>
      </c>
    </row>
    <row r="1579" ht="21.0" customHeight="1">
      <c r="A1579" s="152"/>
      <c r="B1579" s="160"/>
      <c r="C1579" s="153"/>
      <c r="D1579" s="169"/>
      <c r="E1579" s="139"/>
      <c r="F1579" s="141"/>
      <c r="G1579" s="170" t="str">
        <f>IFERROR(__xludf.DUMMYFUNCTION("if($C1579="""","""",iferror(if(row()&lt;&gt;2,INDEX(arrayformula(filter($H$2:$H1578,$C$2:$C1578&lt;&gt;"""",row($C$2:$C1578)=max(if($C$2:$C1578=C1579,row($C$2:$C1578),0)))) ,1),0),0))"),"")</f>
        <v/>
      </c>
      <c r="H1579" s="170" t="str">
        <f t="shared" si="8"/>
        <v/>
      </c>
      <c r="I1579" s="147" t="str">
        <f t="shared" si="1"/>
        <v/>
      </c>
      <c r="J1579" s="147" t="str">
        <f t="shared" si="13"/>
        <v/>
      </c>
      <c r="K1579" s="147" t="str">
        <f>IFERROR(__xludf.DUMMYFUNCTION("if(C1579="""","""",iferror(if(row()&lt;&gt;2,INDEX(arrayformula(filter($L$2:$L1578,$C$2:$C1578&lt;&gt;"""",row($C$2:$C1578)=max(if($C$2:$C1578=C1579,row($C$2:$C1578),0)))) ,1),0),0))"),"")</f>
        <v/>
      </c>
      <c r="L1579" s="147" t="str">
        <f t="shared" si="14"/>
        <v/>
      </c>
      <c r="M1579" s="147" t="str">
        <f t="shared" si="15"/>
        <v/>
      </c>
      <c r="N1579" s="147" t="str">
        <f t="shared" si="16"/>
        <v/>
      </c>
      <c r="O1579" s="147" t="str">
        <f t="shared" si="6"/>
        <v/>
      </c>
      <c r="P1579" s="150" t="str">
        <f t="shared" si="7"/>
        <v/>
      </c>
      <c r="Q1579" s="151" t="str">
        <f>IFERROR(VLOOKUP(C1579,Ativos!$A$1:$G2000,5,),)</f>
        <v/>
      </c>
    </row>
    <row r="1580" ht="21.0" customHeight="1">
      <c r="A1580" s="152"/>
      <c r="B1580" s="160"/>
      <c r="C1580" s="153"/>
      <c r="D1580" s="169"/>
      <c r="E1580" s="139"/>
      <c r="F1580" s="141"/>
      <c r="G1580" s="170" t="str">
        <f>IFERROR(__xludf.DUMMYFUNCTION("if($C1580="""","""",iferror(if(row()&lt;&gt;2,INDEX(arrayformula(filter($H$2:$H1579,$C$2:$C1579&lt;&gt;"""",row($C$2:$C1579)=max(if($C$2:$C1579=C1580,row($C$2:$C1579),0)))) ,1),0),0))"),"")</f>
        <v/>
      </c>
      <c r="H1580" s="170" t="str">
        <f t="shared" si="8"/>
        <v/>
      </c>
      <c r="I1580" s="147" t="str">
        <f t="shared" si="1"/>
        <v/>
      </c>
      <c r="J1580" s="147" t="str">
        <f t="shared" si="13"/>
        <v/>
      </c>
      <c r="K1580" s="147" t="str">
        <f>IFERROR(__xludf.DUMMYFUNCTION("if(C1580="""","""",iferror(if(row()&lt;&gt;2,INDEX(arrayformula(filter($L$2:$L1579,$C$2:$C1579&lt;&gt;"""",row($C$2:$C1579)=max(if($C$2:$C1579=C1580,row($C$2:$C1579),0)))) ,1),0),0))"),"")</f>
        <v/>
      </c>
      <c r="L1580" s="147" t="str">
        <f t="shared" si="14"/>
        <v/>
      </c>
      <c r="M1580" s="147" t="str">
        <f t="shared" si="15"/>
        <v/>
      </c>
      <c r="N1580" s="147" t="str">
        <f t="shared" si="16"/>
        <v/>
      </c>
      <c r="O1580" s="147" t="str">
        <f t="shared" si="6"/>
        <v/>
      </c>
      <c r="P1580" s="150" t="str">
        <f t="shared" si="7"/>
        <v/>
      </c>
      <c r="Q1580" s="151" t="str">
        <f>IFERROR(VLOOKUP(C1580,Ativos!$A$1:$G2000,5,),)</f>
        <v/>
      </c>
    </row>
    <row r="1581" ht="21.0" customHeight="1">
      <c r="A1581" s="152"/>
      <c r="B1581" s="160"/>
      <c r="C1581" s="153"/>
      <c r="D1581" s="169"/>
      <c r="E1581" s="139"/>
      <c r="F1581" s="141"/>
      <c r="G1581" s="170" t="str">
        <f>IFERROR(__xludf.DUMMYFUNCTION("if($C1581="""","""",iferror(if(row()&lt;&gt;2,INDEX(arrayformula(filter($H$2:$H1580,$C$2:$C1580&lt;&gt;"""",row($C$2:$C1580)=max(if($C$2:$C1580=C1581,row($C$2:$C1580),0)))) ,1),0),0))"),"")</f>
        <v/>
      </c>
      <c r="H1581" s="170" t="str">
        <f t="shared" si="8"/>
        <v/>
      </c>
      <c r="I1581" s="147" t="str">
        <f t="shared" si="1"/>
        <v/>
      </c>
      <c r="J1581" s="147" t="str">
        <f t="shared" si="13"/>
        <v/>
      </c>
      <c r="K1581" s="147" t="str">
        <f>IFERROR(__xludf.DUMMYFUNCTION("if(C1581="""","""",iferror(if(row()&lt;&gt;2,INDEX(arrayformula(filter($L$2:$L1580,$C$2:$C1580&lt;&gt;"""",row($C$2:$C1580)=max(if($C$2:$C1580=C1581,row($C$2:$C1580),0)))) ,1),0),0))"),"")</f>
        <v/>
      </c>
      <c r="L1581" s="147" t="str">
        <f t="shared" si="14"/>
        <v/>
      </c>
      <c r="M1581" s="147" t="str">
        <f t="shared" si="15"/>
        <v/>
      </c>
      <c r="N1581" s="147" t="str">
        <f t="shared" si="16"/>
        <v/>
      </c>
      <c r="O1581" s="147" t="str">
        <f t="shared" si="6"/>
        <v/>
      </c>
      <c r="P1581" s="150" t="str">
        <f t="shared" si="7"/>
        <v/>
      </c>
      <c r="Q1581" s="151" t="str">
        <f>IFERROR(VLOOKUP(C1581,Ativos!$A$1:$G2000,5,),)</f>
        <v/>
      </c>
    </row>
    <row r="1582" ht="21.0" customHeight="1">
      <c r="A1582" s="152"/>
      <c r="B1582" s="160"/>
      <c r="C1582" s="153"/>
      <c r="D1582" s="169"/>
      <c r="E1582" s="139"/>
      <c r="F1582" s="141"/>
      <c r="G1582" s="170" t="str">
        <f>IFERROR(__xludf.DUMMYFUNCTION("if($C1582="""","""",iferror(if(row()&lt;&gt;2,INDEX(arrayformula(filter($H$2:$H1581,$C$2:$C1581&lt;&gt;"""",row($C$2:$C1581)=max(if($C$2:$C1581=C1582,row($C$2:$C1581),0)))) ,1),0),0))"),"")</f>
        <v/>
      </c>
      <c r="H1582" s="170" t="str">
        <f t="shared" si="8"/>
        <v/>
      </c>
      <c r="I1582" s="147" t="str">
        <f t="shared" si="1"/>
        <v/>
      </c>
      <c r="J1582" s="147" t="str">
        <f t="shared" si="13"/>
        <v/>
      </c>
      <c r="K1582" s="147" t="str">
        <f>IFERROR(__xludf.DUMMYFUNCTION("if(C1582="""","""",iferror(if(row()&lt;&gt;2,INDEX(arrayformula(filter($L$2:$L1581,$C$2:$C1581&lt;&gt;"""",row($C$2:$C1581)=max(if($C$2:$C1581=C1582,row($C$2:$C1581),0)))) ,1),0),0))"),"")</f>
        <v/>
      </c>
      <c r="L1582" s="147" t="str">
        <f t="shared" si="14"/>
        <v/>
      </c>
      <c r="M1582" s="147" t="str">
        <f t="shared" si="15"/>
        <v/>
      </c>
      <c r="N1582" s="147" t="str">
        <f t="shared" si="16"/>
        <v/>
      </c>
      <c r="O1582" s="147" t="str">
        <f t="shared" si="6"/>
        <v/>
      </c>
      <c r="P1582" s="150" t="str">
        <f t="shared" si="7"/>
        <v/>
      </c>
      <c r="Q1582" s="151" t="str">
        <f>IFERROR(VLOOKUP(C1582,Ativos!$A$1:$G2000,5,),)</f>
        <v/>
      </c>
    </row>
    <row r="1583" ht="21.0" customHeight="1">
      <c r="A1583" s="152"/>
      <c r="B1583" s="160"/>
      <c r="C1583" s="153"/>
      <c r="D1583" s="169"/>
      <c r="E1583" s="139"/>
      <c r="F1583" s="141"/>
      <c r="G1583" s="170" t="str">
        <f>IFERROR(__xludf.DUMMYFUNCTION("if($C1583="""","""",iferror(if(row()&lt;&gt;2,INDEX(arrayformula(filter($H$2:$H1582,$C$2:$C1582&lt;&gt;"""",row($C$2:$C1582)=max(if($C$2:$C1582=C1583,row($C$2:$C1582),0)))) ,1),0),0))"),"")</f>
        <v/>
      </c>
      <c r="H1583" s="170" t="str">
        <f t="shared" si="8"/>
        <v/>
      </c>
      <c r="I1583" s="147" t="str">
        <f t="shared" si="1"/>
        <v/>
      </c>
      <c r="J1583" s="147" t="str">
        <f t="shared" si="13"/>
        <v/>
      </c>
      <c r="K1583" s="147" t="str">
        <f>IFERROR(__xludf.DUMMYFUNCTION("if(C1583="""","""",iferror(if(row()&lt;&gt;2,INDEX(arrayformula(filter($L$2:$L1582,$C$2:$C1582&lt;&gt;"""",row($C$2:$C1582)=max(if($C$2:$C1582=C1583,row($C$2:$C1582),0)))) ,1),0),0))"),"")</f>
        <v/>
      </c>
      <c r="L1583" s="147" t="str">
        <f t="shared" si="14"/>
        <v/>
      </c>
      <c r="M1583" s="147" t="str">
        <f t="shared" si="15"/>
        <v/>
      </c>
      <c r="N1583" s="147" t="str">
        <f t="shared" si="16"/>
        <v/>
      </c>
      <c r="O1583" s="147" t="str">
        <f t="shared" si="6"/>
        <v/>
      </c>
      <c r="P1583" s="150" t="str">
        <f t="shared" si="7"/>
        <v/>
      </c>
      <c r="Q1583" s="151" t="str">
        <f>IFERROR(VLOOKUP(C1583,Ativos!$A$1:$G2000,5,),)</f>
        <v/>
      </c>
    </row>
    <row r="1584" ht="21.0" customHeight="1">
      <c r="A1584" s="152"/>
      <c r="B1584" s="160"/>
      <c r="C1584" s="153"/>
      <c r="D1584" s="169"/>
      <c r="E1584" s="139"/>
      <c r="F1584" s="141"/>
      <c r="G1584" s="170" t="str">
        <f>IFERROR(__xludf.DUMMYFUNCTION("if($C1584="""","""",iferror(if(row()&lt;&gt;2,INDEX(arrayformula(filter($H$2:$H1583,$C$2:$C1583&lt;&gt;"""",row($C$2:$C1583)=max(if($C$2:$C1583=C1584,row($C$2:$C1583),0)))) ,1),0),0))"),"")</f>
        <v/>
      </c>
      <c r="H1584" s="170" t="str">
        <f t="shared" si="8"/>
        <v/>
      </c>
      <c r="I1584" s="147" t="str">
        <f t="shared" si="1"/>
        <v/>
      </c>
      <c r="J1584" s="147" t="str">
        <f t="shared" si="13"/>
        <v/>
      </c>
      <c r="K1584" s="147" t="str">
        <f>IFERROR(__xludf.DUMMYFUNCTION("if(C1584="""","""",iferror(if(row()&lt;&gt;2,INDEX(arrayformula(filter($L$2:$L1583,$C$2:$C1583&lt;&gt;"""",row($C$2:$C1583)=max(if($C$2:$C1583=C1584,row($C$2:$C1583),0)))) ,1),0),0))"),"")</f>
        <v/>
      </c>
      <c r="L1584" s="147" t="str">
        <f t="shared" si="14"/>
        <v/>
      </c>
      <c r="M1584" s="147" t="str">
        <f t="shared" si="15"/>
        <v/>
      </c>
      <c r="N1584" s="147" t="str">
        <f t="shared" si="16"/>
        <v/>
      </c>
      <c r="O1584" s="147" t="str">
        <f t="shared" si="6"/>
        <v/>
      </c>
      <c r="P1584" s="150" t="str">
        <f t="shared" si="7"/>
        <v/>
      </c>
      <c r="Q1584" s="151" t="str">
        <f>IFERROR(VLOOKUP(C1584,Ativos!$A$1:$G2000,5,),)</f>
        <v/>
      </c>
    </row>
    <row r="1585" ht="21.0" customHeight="1">
      <c r="A1585" s="152"/>
      <c r="B1585" s="160"/>
      <c r="C1585" s="153"/>
      <c r="D1585" s="169"/>
      <c r="E1585" s="139"/>
      <c r="F1585" s="141"/>
      <c r="G1585" s="170" t="str">
        <f>IFERROR(__xludf.DUMMYFUNCTION("if($C1585="""","""",iferror(if(row()&lt;&gt;2,INDEX(arrayformula(filter($H$2:$H1584,$C$2:$C1584&lt;&gt;"""",row($C$2:$C1584)=max(if($C$2:$C1584=C1585,row($C$2:$C1584),0)))) ,1),0),0))"),"")</f>
        <v/>
      </c>
      <c r="H1585" s="170" t="str">
        <f t="shared" si="8"/>
        <v/>
      </c>
      <c r="I1585" s="147" t="str">
        <f t="shared" si="1"/>
        <v/>
      </c>
      <c r="J1585" s="147" t="str">
        <f t="shared" si="13"/>
        <v/>
      </c>
      <c r="K1585" s="147" t="str">
        <f>IFERROR(__xludf.DUMMYFUNCTION("if(C1585="""","""",iferror(if(row()&lt;&gt;2,INDEX(arrayformula(filter($L$2:$L1584,$C$2:$C1584&lt;&gt;"""",row($C$2:$C1584)=max(if($C$2:$C1584=C1585,row($C$2:$C1584),0)))) ,1),0),0))"),"")</f>
        <v/>
      </c>
      <c r="L1585" s="147" t="str">
        <f t="shared" si="14"/>
        <v/>
      </c>
      <c r="M1585" s="147" t="str">
        <f t="shared" si="15"/>
        <v/>
      </c>
      <c r="N1585" s="147" t="str">
        <f t="shared" si="16"/>
        <v/>
      </c>
      <c r="O1585" s="147" t="str">
        <f t="shared" si="6"/>
        <v/>
      </c>
      <c r="P1585" s="150" t="str">
        <f t="shared" si="7"/>
        <v/>
      </c>
      <c r="Q1585" s="151" t="str">
        <f>IFERROR(VLOOKUP(C1585,Ativos!$A$1:$G2000,5,),)</f>
        <v/>
      </c>
    </row>
    <row r="1586" ht="21.0" customHeight="1">
      <c r="A1586" s="152"/>
      <c r="B1586" s="160"/>
      <c r="C1586" s="153"/>
      <c r="D1586" s="169"/>
      <c r="E1586" s="139"/>
      <c r="F1586" s="141"/>
      <c r="G1586" s="170" t="str">
        <f>IFERROR(__xludf.DUMMYFUNCTION("if($C1586="""","""",iferror(if(row()&lt;&gt;2,INDEX(arrayformula(filter($H$2:$H1585,$C$2:$C1585&lt;&gt;"""",row($C$2:$C1585)=max(if($C$2:$C1585=C1586,row($C$2:$C1585),0)))) ,1),0),0))"),"")</f>
        <v/>
      </c>
      <c r="H1586" s="170" t="str">
        <f t="shared" si="8"/>
        <v/>
      </c>
      <c r="I1586" s="147" t="str">
        <f t="shared" si="1"/>
        <v/>
      </c>
      <c r="J1586" s="147" t="str">
        <f t="shared" si="13"/>
        <v/>
      </c>
      <c r="K1586" s="147" t="str">
        <f>IFERROR(__xludf.DUMMYFUNCTION("if(C1586="""","""",iferror(if(row()&lt;&gt;2,INDEX(arrayformula(filter($L$2:$L1585,$C$2:$C1585&lt;&gt;"""",row($C$2:$C1585)=max(if($C$2:$C1585=C1586,row($C$2:$C1585),0)))) ,1),0),0))"),"")</f>
        <v/>
      </c>
      <c r="L1586" s="147" t="str">
        <f t="shared" si="14"/>
        <v/>
      </c>
      <c r="M1586" s="147" t="str">
        <f t="shared" si="15"/>
        <v/>
      </c>
      <c r="N1586" s="147" t="str">
        <f t="shared" si="16"/>
        <v/>
      </c>
      <c r="O1586" s="147" t="str">
        <f t="shared" si="6"/>
        <v/>
      </c>
      <c r="P1586" s="150" t="str">
        <f t="shared" si="7"/>
        <v/>
      </c>
      <c r="Q1586" s="151" t="str">
        <f>IFERROR(VLOOKUP(C1586,Ativos!$A$1:$G2000,5,),)</f>
        <v/>
      </c>
    </row>
    <row r="1587" ht="21.0" customHeight="1">
      <c r="A1587" s="152"/>
      <c r="B1587" s="160"/>
      <c r="C1587" s="153"/>
      <c r="D1587" s="169"/>
      <c r="E1587" s="139"/>
      <c r="F1587" s="141"/>
      <c r="G1587" s="170" t="str">
        <f>IFERROR(__xludf.DUMMYFUNCTION("if($C1587="""","""",iferror(if(row()&lt;&gt;2,INDEX(arrayformula(filter($H$2:$H1586,$C$2:$C1586&lt;&gt;"""",row($C$2:$C1586)=max(if($C$2:$C1586=C1587,row($C$2:$C1586),0)))) ,1),0),0))"),"")</f>
        <v/>
      </c>
      <c r="H1587" s="170" t="str">
        <f t="shared" si="8"/>
        <v/>
      </c>
      <c r="I1587" s="147" t="str">
        <f t="shared" si="1"/>
        <v/>
      </c>
      <c r="J1587" s="147" t="str">
        <f t="shared" si="13"/>
        <v/>
      </c>
      <c r="K1587" s="147" t="str">
        <f>IFERROR(__xludf.DUMMYFUNCTION("if(C1587="""","""",iferror(if(row()&lt;&gt;2,INDEX(arrayformula(filter($L$2:$L1586,$C$2:$C1586&lt;&gt;"""",row($C$2:$C1586)=max(if($C$2:$C1586=C1587,row($C$2:$C1586),0)))) ,1),0),0))"),"")</f>
        <v/>
      </c>
      <c r="L1587" s="147" t="str">
        <f t="shared" si="14"/>
        <v/>
      </c>
      <c r="M1587" s="147" t="str">
        <f t="shared" si="15"/>
        <v/>
      </c>
      <c r="N1587" s="147" t="str">
        <f t="shared" si="16"/>
        <v/>
      </c>
      <c r="O1587" s="147" t="str">
        <f t="shared" si="6"/>
        <v/>
      </c>
      <c r="P1587" s="150" t="str">
        <f t="shared" si="7"/>
        <v/>
      </c>
      <c r="Q1587" s="151" t="str">
        <f>IFERROR(VLOOKUP(C1587,Ativos!$A$1:$G2000,5,),)</f>
        <v/>
      </c>
    </row>
    <row r="1588" ht="21.0" customHeight="1">
      <c r="A1588" s="152"/>
      <c r="B1588" s="160"/>
      <c r="C1588" s="153"/>
      <c r="D1588" s="169"/>
      <c r="E1588" s="139"/>
      <c r="F1588" s="141"/>
      <c r="G1588" s="170" t="str">
        <f>IFERROR(__xludf.DUMMYFUNCTION("if($C1588="""","""",iferror(if(row()&lt;&gt;2,INDEX(arrayformula(filter($H$2:$H1587,$C$2:$C1587&lt;&gt;"""",row($C$2:$C1587)=max(if($C$2:$C1587=C1588,row($C$2:$C1587),0)))) ,1),0),0))"),"")</f>
        <v/>
      </c>
      <c r="H1588" s="170" t="str">
        <f t="shared" si="8"/>
        <v/>
      </c>
      <c r="I1588" s="147" t="str">
        <f t="shared" si="1"/>
        <v/>
      </c>
      <c r="J1588" s="147" t="str">
        <f t="shared" si="13"/>
        <v/>
      </c>
      <c r="K1588" s="147" t="str">
        <f>IFERROR(__xludf.DUMMYFUNCTION("if(C1588="""","""",iferror(if(row()&lt;&gt;2,INDEX(arrayformula(filter($L$2:$L1587,$C$2:$C1587&lt;&gt;"""",row($C$2:$C1587)=max(if($C$2:$C1587=C1588,row($C$2:$C1587),0)))) ,1),0),0))"),"")</f>
        <v/>
      </c>
      <c r="L1588" s="147" t="str">
        <f t="shared" si="14"/>
        <v/>
      </c>
      <c r="M1588" s="147" t="str">
        <f t="shared" si="15"/>
        <v/>
      </c>
      <c r="N1588" s="147" t="str">
        <f t="shared" si="16"/>
        <v/>
      </c>
      <c r="O1588" s="147" t="str">
        <f t="shared" si="6"/>
        <v/>
      </c>
      <c r="P1588" s="150" t="str">
        <f t="shared" si="7"/>
        <v/>
      </c>
      <c r="Q1588" s="151" t="str">
        <f>IFERROR(VLOOKUP(C1588,Ativos!$A$1:$G2000,5,),)</f>
        <v/>
      </c>
    </row>
    <row r="1589" ht="21.0" customHeight="1">
      <c r="A1589" s="152"/>
      <c r="B1589" s="160"/>
      <c r="C1589" s="153"/>
      <c r="D1589" s="169"/>
      <c r="E1589" s="139"/>
      <c r="F1589" s="141"/>
      <c r="G1589" s="170" t="str">
        <f>IFERROR(__xludf.DUMMYFUNCTION("if($C1589="""","""",iferror(if(row()&lt;&gt;2,INDEX(arrayformula(filter($H$2:$H1588,$C$2:$C1588&lt;&gt;"""",row($C$2:$C1588)=max(if($C$2:$C1588=C1589,row($C$2:$C1588),0)))) ,1),0),0))"),"")</f>
        <v/>
      </c>
      <c r="H1589" s="170" t="str">
        <f t="shared" si="8"/>
        <v/>
      </c>
      <c r="I1589" s="147" t="str">
        <f t="shared" si="1"/>
        <v/>
      </c>
      <c r="J1589" s="147" t="str">
        <f t="shared" si="13"/>
        <v/>
      </c>
      <c r="K1589" s="147" t="str">
        <f>IFERROR(__xludf.DUMMYFUNCTION("if(C1589="""","""",iferror(if(row()&lt;&gt;2,INDEX(arrayformula(filter($L$2:$L1588,$C$2:$C1588&lt;&gt;"""",row($C$2:$C1588)=max(if($C$2:$C1588=C1589,row($C$2:$C1588),0)))) ,1),0),0))"),"")</f>
        <v/>
      </c>
      <c r="L1589" s="147" t="str">
        <f t="shared" si="14"/>
        <v/>
      </c>
      <c r="M1589" s="147" t="str">
        <f t="shared" si="15"/>
        <v/>
      </c>
      <c r="N1589" s="147" t="str">
        <f t="shared" si="16"/>
        <v/>
      </c>
      <c r="O1589" s="147" t="str">
        <f t="shared" si="6"/>
        <v/>
      </c>
      <c r="P1589" s="150" t="str">
        <f t="shared" si="7"/>
        <v/>
      </c>
      <c r="Q1589" s="151" t="str">
        <f>IFERROR(VLOOKUP(C1589,Ativos!$A$1:$G2000,5,),)</f>
        <v/>
      </c>
    </row>
    <row r="1590" ht="21.0" customHeight="1">
      <c r="A1590" s="152"/>
      <c r="B1590" s="160"/>
      <c r="C1590" s="153"/>
      <c r="D1590" s="169"/>
      <c r="E1590" s="139"/>
      <c r="F1590" s="141"/>
      <c r="G1590" s="170" t="str">
        <f>IFERROR(__xludf.DUMMYFUNCTION("if($C1590="""","""",iferror(if(row()&lt;&gt;2,INDEX(arrayformula(filter($H$2:$H1589,$C$2:$C1589&lt;&gt;"""",row($C$2:$C1589)=max(if($C$2:$C1589=C1590,row($C$2:$C1589),0)))) ,1),0),0))"),"")</f>
        <v/>
      </c>
      <c r="H1590" s="170" t="str">
        <f t="shared" si="8"/>
        <v/>
      </c>
      <c r="I1590" s="147" t="str">
        <f t="shared" si="1"/>
        <v/>
      </c>
      <c r="J1590" s="147" t="str">
        <f t="shared" si="13"/>
        <v/>
      </c>
      <c r="K1590" s="147" t="str">
        <f>IFERROR(__xludf.DUMMYFUNCTION("if(C1590="""","""",iferror(if(row()&lt;&gt;2,INDEX(arrayformula(filter($L$2:$L1589,$C$2:$C1589&lt;&gt;"""",row($C$2:$C1589)=max(if($C$2:$C1589=C1590,row($C$2:$C1589),0)))) ,1),0),0))"),"")</f>
        <v/>
      </c>
      <c r="L1590" s="147" t="str">
        <f t="shared" si="14"/>
        <v/>
      </c>
      <c r="M1590" s="147" t="str">
        <f t="shared" si="15"/>
        <v/>
      </c>
      <c r="N1590" s="147" t="str">
        <f t="shared" si="16"/>
        <v/>
      </c>
      <c r="O1590" s="147" t="str">
        <f t="shared" si="6"/>
        <v/>
      </c>
      <c r="P1590" s="150" t="str">
        <f t="shared" si="7"/>
        <v/>
      </c>
      <c r="Q1590" s="151" t="str">
        <f>IFERROR(VLOOKUP(C1590,Ativos!$A$1:$G2000,5,),)</f>
        <v/>
      </c>
    </row>
    <row r="1591" ht="21.0" customHeight="1">
      <c r="A1591" s="152"/>
      <c r="B1591" s="160"/>
      <c r="C1591" s="153"/>
      <c r="D1591" s="169"/>
      <c r="E1591" s="139"/>
      <c r="F1591" s="141"/>
      <c r="G1591" s="170" t="str">
        <f>IFERROR(__xludf.DUMMYFUNCTION("if($C1591="""","""",iferror(if(row()&lt;&gt;2,INDEX(arrayformula(filter($H$2:$H1590,$C$2:$C1590&lt;&gt;"""",row($C$2:$C1590)=max(if($C$2:$C1590=C1591,row($C$2:$C1590),0)))) ,1),0),0))"),"")</f>
        <v/>
      </c>
      <c r="H1591" s="170" t="str">
        <f t="shared" si="8"/>
        <v/>
      </c>
      <c r="I1591" s="147" t="str">
        <f t="shared" si="1"/>
        <v/>
      </c>
      <c r="J1591" s="147" t="str">
        <f t="shared" si="13"/>
        <v/>
      </c>
      <c r="K1591" s="147" t="str">
        <f>IFERROR(__xludf.DUMMYFUNCTION("if(C1591="""","""",iferror(if(row()&lt;&gt;2,INDEX(arrayformula(filter($L$2:$L1590,$C$2:$C1590&lt;&gt;"""",row($C$2:$C1590)=max(if($C$2:$C1590=C1591,row($C$2:$C1590),0)))) ,1),0),0))"),"")</f>
        <v/>
      </c>
      <c r="L1591" s="147" t="str">
        <f t="shared" si="14"/>
        <v/>
      </c>
      <c r="M1591" s="147" t="str">
        <f t="shared" si="15"/>
        <v/>
      </c>
      <c r="N1591" s="147" t="str">
        <f t="shared" si="16"/>
        <v/>
      </c>
      <c r="O1591" s="147" t="str">
        <f t="shared" si="6"/>
        <v/>
      </c>
      <c r="P1591" s="150" t="str">
        <f t="shared" si="7"/>
        <v/>
      </c>
      <c r="Q1591" s="151" t="str">
        <f>IFERROR(VLOOKUP(C1591,Ativos!$A$1:$G2000,5,),)</f>
        <v/>
      </c>
    </row>
    <row r="1592" ht="21.0" customHeight="1">
      <c r="A1592" s="152"/>
      <c r="B1592" s="160"/>
      <c r="C1592" s="153"/>
      <c r="D1592" s="169"/>
      <c r="E1592" s="139"/>
      <c r="F1592" s="141"/>
      <c r="G1592" s="170" t="str">
        <f>IFERROR(__xludf.DUMMYFUNCTION("if($C1592="""","""",iferror(if(row()&lt;&gt;2,INDEX(arrayformula(filter($H$2:$H1591,$C$2:$C1591&lt;&gt;"""",row($C$2:$C1591)=max(if($C$2:$C1591=C1592,row($C$2:$C1591),0)))) ,1),0),0))"),"")</f>
        <v/>
      </c>
      <c r="H1592" s="170" t="str">
        <f t="shared" si="8"/>
        <v/>
      </c>
      <c r="I1592" s="147" t="str">
        <f t="shared" si="1"/>
        <v/>
      </c>
      <c r="J1592" s="147" t="str">
        <f t="shared" si="13"/>
        <v/>
      </c>
      <c r="K1592" s="147" t="str">
        <f>IFERROR(__xludf.DUMMYFUNCTION("if(C1592="""","""",iferror(if(row()&lt;&gt;2,INDEX(arrayformula(filter($L$2:$L1591,$C$2:$C1591&lt;&gt;"""",row($C$2:$C1591)=max(if($C$2:$C1591=C1592,row($C$2:$C1591),0)))) ,1),0),0))"),"")</f>
        <v/>
      </c>
      <c r="L1592" s="147" t="str">
        <f t="shared" si="14"/>
        <v/>
      </c>
      <c r="M1592" s="147" t="str">
        <f t="shared" si="15"/>
        <v/>
      </c>
      <c r="N1592" s="147" t="str">
        <f t="shared" si="16"/>
        <v/>
      </c>
      <c r="O1592" s="147" t="str">
        <f t="shared" si="6"/>
        <v/>
      </c>
      <c r="P1592" s="150" t="str">
        <f t="shared" si="7"/>
        <v/>
      </c>
      <c r="Q1592" s="151" t="str">
        <f>IFERROR(VLOOKUP(C1592,Ativos!$A$1:$G2000,5,),)</f>
        <v/>
      </c>
    </row>
    <row r="1593" ht="21.0" customHeight="1">
      <c r="A1593" s="152"/>
      <c r="B1593" s="160"/>
      <c r="C1593" s="153"/>
      <c r="D1593" s="169"/>
      <c r="E1593" s="139"/>
      <c r="F1593" s="141"/>
      <c r="G1593" s="170" t="str">
        <f>IFERROR(__xludf.DUMMYFUNCTION("if($C1593="""","""",iferror(if(row()&lt;&gt;2,INDEX(arrayformula(filter($H$2:$H1592,$C$2:$C1592&lt;&gt;"""",row($C$2:$C1592)=max(if($C$2:$C1592=C1593,row($C$2:$C1592),0)))) ,1),0),0))"),"")</f>
        <v/>
      </c>
      <c r="H1593" s="170" t="str">
        <f t="shared" si="8"/>
        <v/>
      </c>
      <c r="I1593" s="147" t="str">
        <f t="shared" si="1"/>
        <v/>
      </c>
      <c r="J1593" s="147" t="str">
        <f t="shared" si="13"/>
        <v/>
      </c>
      <c r="K1593" s="147" t="str">
        <f>IFERROR(__xludf.DUMMYFUNCTION("if(C1593="""","""",iferror(if(row()&lt;&gt;2,INDEX(arrayformula(filter($L$2:$L1592,$C$2:$C1592&lt;&gt;"""",row($C$2:$C1592)=max(if($C$2:$C1592=C1593,row($C$2:$C1592),0)))) ,1),0),0))"),"")</f>
        <v/>
      </c>
      <c r="L1593" s="147" t="str">
        <f t="shared" si="14"/>
        <v/>
      </c>
      <c r="M1593" s="147" t="str">
        <f t="shared" si="15"/>
        <v/>
      </c>
      <c r="N1593" s="147" t="str">
        <f t="shared" si="16"/>
        <v/>
      </c>
      <c r="O1593" s="147" t="str">
        <f t="shared" si="6"/>
        <v/>
      </c>
      <c r="P1593" s="150" t="str">
        <f t="shared" si="7"/>
        <v/>
      </c>
      <c r="Q1593" s="151" t="str">
        <f>IFERROR(VLOOKUP(C1593,Ativos!$A$1:$G2000,5,),)</f>
        <v/>
      </c>
    </row>
    <row r="1594" ht="21.0" customHeight="1">
      <c r="A1594" s="152"/>
      <c r="B1594" s="160"/>
      <c r="C1594" s="153"/>
      <c r="D1594" s="169"/>
      <c r="E1594" s="139"/>
      <c r="F1594" s="141"/>
      <c r="G1594" s="170" t="str">
        <f>IFERROR(__xludf.DUMMYFUNCTION("if($C1594="""","""",iferror(if(row()&lt;&gt;2,INDEX(arrayformula(filter($H$2:$H1593,$C$2:$C1593&lt;&gt;"""",row($C$2:$C1593)=max(if($C$2:$C1593=C1594,row($C$2:$C1593),0)))) ,1),0),0))"),"")</f>
        <v/>
      </c>
      <c r="H1594" s="170" t="str">
        <f t="shared" si="8"/>
        <v/>
      </c>
      <c r="I1594" s="147" t="str">
        <f t="shared" si="1"/>
        <v/>
      </c>
      <c r="J1594" s="147" t="str">
        <f t="shared" si="13"/>
        <v/>
      </c>
      <c r="K1594" s="147" t="str">
        <f>IFERROR(__xludf.DUMMYFUNCTION("if(C1594="""","""",iferror(if(row()&lt;&gt;2,INDEX(arrayformula(filter($L$2:$L1593,$C$2:$C1593&lt;&gt;"""",row($C$2:$C1593)=max(if($C$2:$C1593=C1594,row($C$2:$C1593),0)))) ,1),0),0))"),"")</f>
        <v/>
      </c>
      <c r="L1594" s="147" t="str">
        <f t="shared" si="14"/>
        <v/>
      </c>
      <c r="M1594" s="147" t="str">
        <f t="shared" si="15"/>
        <v/>
      </c>
      <c r="N1594" s="147" t="str">
        <f t="shared" si="16"/>
        <v/>
      </c>
      <c r="O1594" s="147" t="str">
        <f t="shared" si="6"/>
        <v/>
      </c>
      <c r="P1594" s="150" t="str">
        <f t="shared" si="7"/>
        <v/>
      </c>
      <c r="Q1594" s="151" t="str">
        <f>IFERROR(VLOOKUP(C1594,Ativos!$A$1:$G2000,5,),)</f>
        <v/>
      </c>
    </row>
    <row r="1595" ht="21.0" customHeight="1">
      <c r="A1595" s="152"/>
      <c r="B1595" s="160"/>
      <c r="C1595" s="153"/>
      <c r="D1595" s="169"/>
      <c r="E1595" s="139"/>
      <c r="F1595" s="141"/>
      <c r="G1595" s="170" t="str">
        <f>IFERROR(__xludf.DUMMYFUNCTION("if($C1595="""","""",iferror(if(row()&lt;&gt;2,INDEX(arrayformula(filter($H$2:$H1594,$C$2:$C1594&lt;&gt;"""",row($C$2:$C1594)=max(if($C$2:$C1594=C1595,row($C$2:$C1594),0)))) ,1),0),0))"),"")</f>
        <v/>
      </c>
      <c r="H1595" s="170" t="str">
        <f t="shared" si="8"/>
        <v/>
      </c>
      <c r="I1595" s="147" t="str">
        <f t="shared" si="1"/>
        <v/>
      </c>
      <c r="J1595" s="147" t="str">
        <f t="shared" si="13"/>
        <v/>
      </c>
      <c r="K1595" s="147" t="str">
        <f>IFERROR(__xludf.DUMMYFUNCTION("if(C1595="""","""",iferror(if(row()&lt;&gt;2,INDEX(arrayformula(filter($L$2:$L1594,$C$2:$C1594&lt;&gt;"""",row($C$2:$C1594)=max(if($C$2:$C1594=C1595,row($C$2:$C1594),0)))) ,1),0),0))"),"")</f>
        <v/>
      </c>
      <c r="L1595" s="147" t="str">
        <f t="shared" si="14"/>
        <v/>
      </c>
      <c r="M1595" s="147" t="str">
        <f t="shared" si="15"/>
        <v/>
      </c>
      <c r="N1595" s="147" t="str">
        <f t="shared" si="16"/>
        <v/>
      </c>
      <c r="O1595" s="147" t="str">
        <f t="shared" si="6"/>
        <v/>
      </c>
      <c r="P1595" s="150" t="str">
        <f t="shared" si="7"/>
        <v/>
      </c>
      <c r="Q1595" s="151" t="str">
        <f>IFERROR(VLOOKUP(C1595,Ativos!$A$1:$G2000,5,),)</f>
        <v/>
      </c>
    </row>
    <row r="1596" ht="21.0" customHeight="1">
      <c r="A1596" s="152"/>
      <c r="B1596" s="160"/>
      <c r="C1596" s="153"/>
      <c r="D1596" s="169"/>
      <c r="E1596" s="139"/>
      <c r="F1596" s="141"/>
      <c r="G1596" s="170" t="str">
        <f>IFERROR(__xludf.DUMMYFUNCTION("if($C1596="""","""",iferror(if(row()&lt;&gt;2,INDEX(arrayformula(filter($H$2:$H1595,$C$2:$C1595&lt;&gt;"""",row($C$2:$C1595)=max(if($C$2:$C1595=C1596,row($C$2:$C1595),0)))) ,1),0),0))"),"")</f>
        <v/>
      </c>
      <c r="H1596" s="170" t="str">
        <f t="shared" si="8"/>
        <v/>
      </c>
      <c r="I1596" s="147" t="str">
        <f t="shared" si="1"/>
        <v/>
      </c>
      <c r="J1596" s="147" t="str">
        <f t="shared" si="13"/>
        <v/>
      </c>
      <c r="K1596" s="147" t="str">
        <f>IFERROR(__xludf.DUMMYFUNCTION("if(C1596="""","""",iferror(if(row()&lt;&gt;2,INDEX(arrayformula(filter($L$2:$L1595,$C$2:$C1595&lt;&gt;"""",row($C$2:$C1595)=max(if($C$2:$C1595=C1596,row($C$2:$C1595),0)))) ,1),0),0))"),"")</f>
        <v/>
      </c>
      <c r="L1596" s="147" t="str">
        <f t="shared" si="14"/>
        <v/>
      </c>
      <c r="M1596" s="147" t="str">
        <f t="shared" si="15"/>
        <v/>
      </c>
      <c r="N1596" s="147" t="str">
        <f t="shared" si="16"/>
        <v/>
      </c>
      <c r="O1596" s="147" t="str">
        <f t="shared" si="6"/>
        <v/>
      </c>
      <c r="P1596" s="150" t="str">
        <f t="shared" si="7"/>
        <v/>
      </c>
      <c r="Q1596" s="151" t="str">
        <f>IFERROR(VLOOKUP(C1596,Ativos!$A$1:$G2000,5,),)</f>
        <v/>
      </c>
    </row>
    <row r="1597" ht="21.0" customHeight="1">
      <c r="A1597" s="152"/>
      <c r="B1597" s="160"/>
      <c r="C1597" s="153"/>
      <c r="D1597" s="169"/>
      <c r="E1597" s="139"/>
      <c r="F1597" s="141"/>
      <c r="G1597" s="170" t="str">
        <f>IFERROR(__xludf.DUMMYFUNCTION("if($C1597="""","""",iferror(if(row()&lt;&gt;2,INDEX(arrayformula(filter($H$2:$H1596,$C$2:$C1596&lt;&gt;"""",row($C$2:$C1596)=max(if($C$2:$C1596=C1597,row($C$2:$C1596),0)))) ,1),0),0))"),"")</f>
        <v/>
      </c>
      <c r="H1597" s="170" t="str">
        <f t="shared" si="8"/>
        <v/>
      </c>
      <c r="I1597" s="147" t="str">
        <f t="shared" si="1"/>
        <v/>
      </c>
      <c r="J1597" s="147" t="str">
        <f t="shared" si="13"/>
        <v/>
      </c>
      <c r="K1597" s="147" t="str">
        <f>IFERROR(__xludf.DUMMYFUNCTION("if(C1597="""","""",iferror(if(row()&lt;&gt;2,INDEX(arrayformula(filter($L$2:$L1596,$C$2:$C1596&lt;&gt;"""",row($C$2:$C1596)=max(if($C$2:$C1596=C1597,row($C$2:$C1596),0)))) ,1),0),0))"),"")</f>
        <v/>
      </c>
      <c r="L1597" s="147" t="str">
        <f t="shared" si="14"/>
        <v/>
      </c>
      <c r="M1597" s="147" t="str">
        <f t="shared" si="15"/>
        <v/>
      </c>
      <c r="N1597" s="147" t="str">
        <f t="shared" si="16"/>
        <v/>
      </c>
      <c r="O1597" s="147" t="str">
        <f t="shared" si="6"/>
        <v/>
      </c>
      <c r="P1597" s="150" t="str">
        <f t="shared" si="7"/>
        <v/>
      </c>
      <c r="Q1597" s="151" t="str">
        <f>IFERROR(VLOOKUP(C1597,Ativos!$A$1:$G2000,5,),)</f>
        <v/>
      </c>
    </row>
    <row r="1598" ht="21.0" customHeight="1">
      <c r="A1598" s="152"/>
      <c r="B1598" s="160"/>
      <c r="C1598" s="153"/>
      <c r="D1598" s="169"/>
      <c r="E1598" s="139"/>
      <c r="F1598" s="141"/>
      <c r="G1598" s="170" t="str">
        <f>IFERROR(__xludf.DUMMYFUNCTION("if($C1598="""","""",iferror(if(row()&lt;&gt;2,INDEX(arrayformula(filter($H$2:$H1597,$C$2:$C1597&lt;&gt;"""",row($C$2:$C1597)=max(if($C$2:$C1597=C1598,row($C$2:$C1597),0)))) ,1),0),0))"),"")</f>
        <v/>
      </c>
      <c r="H1598" s="170" t="str">
        <f t="shared" si="8"/>
        <v/>
      </c>
      <c r="I1598" s="147" t="str">
        <f t="shared" si="1"/>
        <v/>
      </c>
      <c r="J1598" s="147" t="str">
        <f t="shared" si="13"/>
        <v/>
      </c>
      <c r="K1598" s="147" t="str">
        <f>IFERROR(__xludf.DUMMYFUNCTION("if(C1598="""","""",iferror(if(row()&lt;&gt;2,INDEX(arrayformula(filter($L$2:$L1597,$C$2:$C1597&lt;&gt;"""",row($C$2:$C1597)=max(if($C$2:$C1597=C1598,row($C$2:$C1597),0)))) ,1),0),0))"),"")</f>
        <v/>
      </c>
      <c r="L1598" s="147" t="str">
        <f t="shared" si="14"/>
        <v/>
      </c>
      <c r="M1598" s="147" t="str">
        <f t="shared" si="15"/>
        <v/>
      </c>
      <c r="N1598" s="147" t="str">
        <f t="shared" si="16"/>
        <v/>
      </c>
      <c r="O1598" s="147" t="str">
        <f t="shared" si="6"/>
        <v/>
      </c>
      <c r="P1598" s="150" t="str">
        <f t="shared" si="7"/>
        <v/>
      </c>
      <c r="Q1598" s="151" t="str">
        <f>IFERROR(VLOOKUP(C1598,Ativos!$A$1:$G2000,5,),)</f>
        <v/>
      </c>
    </row>
    <row r="1599" ht="21.0" customHeight="1">
      <c r="A1599" s="152"/>
      <c r="B1599" s="160"/>
      <c r="C1599" s="153"/>
      <c r="D1599" s="169"/>
      <c r="E1599" s="139"/>
      <c r="F1599" s="141"/>
      <c r="G1599" s="170" t="str">
        <f>IFERROR(__xludf.DUMMYFUNCTION("if($C1599="""","""",iferror(if(row()&lt;&gt;2,INDEX(arrayformula(filter($H$2:$H1598,$C$2:$C1598&lt;&gt;"""",row($C$2:$C1598)=max(if($C$2:$C1598=C1599,row($C$2:$C1598),0)))) ,1),0),0))"),"")</f>
        <v/>
      </c>
      <c r="H1599" s="170" t="str">
        <f t="shared" si="8"/>
        <v/>
      </c>
      <c r="I1599" s="147" t="str">
        <f t="shared" si="1"/>
        <v/>
      </c>
      <c r="J1599" s="147" t="str">
        <f t="shared" si="13"/>
        <v/>
      </c>
      <c r="K1599" s="147" t="str">
        <f>IFERROR(__xludf.DUMMYFUNCTION("if(C1599="""","""",iferror(if(row()&lt;&gt;2,INDEX(arrayformula(filter($L$2:$L1598,$C$2:$C1598&lt;&gt;"""",row($C$2:$C1598)=max(if($C$2:$C1598=C1599,row($C$2:$C1598),0)))) ,1),0),0))"),"")</f>
        <v/>
      </c>
      <c r="L1599" s="147" t="str">
        <f t="shared" si="14"/>
        <v/>
      </c>
      <c r="M1599" s="147" t="str">
        <f t="shared" si="15"/>
        <v/>
      </c>
      <c r="N1599" s="147" t="str">
        <f t="shared" si="16"/>
        <v/>
      </c>
      <c r="O1599" s="147" t="str">
        <f t="shared" si="6"/>
        <v/>
      </c>
      <c r="P1599" s="150" t="str">
        <f t="shared" si="7"/>
        <v/>
      </c>
      <c r="Q1599" s="151" t="str">
        <f>IFERROR(VLOOKUP(C1599,Ativos!$A$1:$G2000,5,),)</f>
        <v/>
      </c>
    </row>
    <row r="1600" ht="21.0" customHeight="1">
      <c r="A1600" s="152"/>
      <c r="B1600" s="160"/>
      <c r="C1600" s="153"/>
      <c r="D1600" s="169"/>
      <c r="E1600" s="139"/>
      <c r="F1600" s="141"/>
      <c r="G1600" s="170" t="str">
        <f>IFERROR(__xludf.DUMMYFUNCTION("if($C1600="""","""",iferror(if(row()&lt;&gt;2,INDEX(arrayformula(filter($H$2:$H1599,$C$2:$C1599&lt;&gt;"""",row($C$2:$C1599)=max(if($C$2:$C1599=C1600,row($C$2:$C1599),0)))) ,1),0),0))"),"")</f>
        <v/>
      </c>
      <c r="H1600" s="170" t="str">
        <f t="shared" si="8"/>
        <v/>
      </c>
      <c r="I1600" s="147" t="str">
        <f t="shared" si="1"/>
        <v/>
      </c>
      <c r="J1600" s="147" t="str">
        <f t="shared" si="13"/>
        <v/>
      </c>
      <c r="K1600" s="147" t="str">
        <f>IFERROR(__xludf.DUMMYFUNCTION("if(C1600="""","""",iferror(if(row()&lt;&gt;2,INDEX(arrayformula(filter($L$2:$L1599,$C$2:$C1599&lt;&gt;"""",row($C$2:$C1599)=max(if($C$2:$C1599=C1600,row($C$2:$C1599),0)))) ,1),0),0))"),"")</f>
        <v/>
      </c>
      <c r="L1600" s="147" t="str">
        <f t="shared" si="14"/>
        <v/>
      </c>
      <c r="M1600" s="147" t="str">
        <f t="shared" si="15"/>
        <v/>
      </c>
      <c r="N1600" s="147" t="str">
        <f t="shared" si="16"/>
        <v/>
      </c>
      <c r="O1600" s="147" t="str">
        <f t="shared" si="6"/>
        <v/>
      </c>
      <c r="P1600" s="150" t="str">
        <f t="shared" si="7"/>
        <v/>
      </c>
      <c r="Q1600" s="151" t="str">
        <f>IFERROR(VLOOKUP(C1600,Ativos!$A$1:$G2000,5,),)</f>
        <v/>
      </c>
    </row>
    <row r="1601" ht="21.0" customHeight="1">
      <c r="A1601" s="152"/>
      <c r="B1601" s="160"/>
      <c r="C1601" s="153"/>
      <c r="D1601" s="169"/>
      <c r="E1601" s="139"/>
      <c r="F1601" s="141"/>
      <c r="G1601" s="170" t="str">
        <f>IFERROR(__xludf.DUMMYFUNCTION("if($C1601="""","""",iferror(if(row()&lt;&gt;2,INDEX(arrayformula(filter($H$2:$H1600,$C$2:$C1600&lt;&gt;"""",row($C$2:$C1600)=max(if($C$2:$C1600=C1601,row($C$2:$C1600),0)))) ,1),0),0))"),"")</f>
        <v/>
      </c>
      <c r="H1601" s="170" t="str">
        <f t="shared" si="8"/>
        <v/>
      </c>
      <c r="I1601" s="147" t="str">
        <f t="shared" si="1"/>
        <v/>
      </c>
      <c r="J1601" s="147" t="str">
        <f t="shared" si="13"/>
        <v/>
      </c>
      <c r="K1601" s="147" t="str">
        <f>IFERROR(__xludf.DUMMYFUNCTION("if(C1601="""","""",iferror(if(row()&lt;&gt;2,INDEX(arrayformula(filter($L$2:$L1600,$C$2:$C1600&lt;&gt;"""",row($C$2:$C1600)=max(if($C$2:$C1600=C1601,row($C$2:$C1600),0)))) ,1),0),0))"),"")</f>
        <v/>
      </c>
      <c r="L1601" s="147" t="str">
        <f t="shared" si="14"/>
        <v/>
      </c>
      <c r="M1601" s="147" t="str">
        <f t="shared" si="15"/>
        <v/>
      </c>
      <c r="N1601" s="147" t="str">
        <f t="shared" si="16"/>
        <v/>
      </c>
      <c r="O1601" s="147" t="str">
        <f t="shared" si="6"/>
        <v/>
      </c>
      <c r="P1601" s="150" t="str">
        <f t="shared" si="7"/>
        <v/>
      </c>
      <c r="Q1601" s="151" t="str">
        <f>IFERROR(VLOOKUP(C1601,Ativos!$A$1:$G2000,5,),)</f>
        <v/>
      </c>
    </row>
    <row r="1602" ht="21.0" customHeight="1">
      <c r="A1602" s="152"/>
      <c r="B1602" s="160"/>
      <c r="C1602" s="153"/>
      <c r="D1602" s="169"/>
      <c r="E1602" s="139"/>
      <c r="F1602" s="141"/>
      <c r="G1602" s="170" t="str">
        <f>IFERROR(__xludf.DUMMYFUNCTION("if($C1602="""","""",iferror(if(row()&lt;&gt;2,INDEX(arrayformula(filter($H$2:$H1601,$C$2:$C1601&lt;&gt;"""",row($C$2:$C1601)=max(if($C$2:$C1601=C1602,row($C$2:$C1601),0)))) ,1),0),0))"),"")</f>
        <v/>
      </c>
      <c r="H1602" s="170" t="str">
        <f t="shared" si="8"/>
        <v/>
      </c>
      <c r="I1602" s="147" t="str">
        <f t="shared" si="1"/>
        <v/>
      </c>
      <c r="J1602" s="147" t="str">
        <f t="shared" si="13"/>
        <v/>
      </c>
      <c r="K1602" s="147" t="str">
        <f>IFERROR(__xludf.DUMMYFUNCTION("if(C1602="""","""",iferror(if(row()&lt;&gt;2,INDEX(arrayformula(filter($L$2:$L1601,$C$2:$C1601&lt;&gt;"""",row($C$2:$C1601)=max(if($C$2:$C1601=C1602,row($C$2:$C1601),0)))) ,1),0),0))"),"")</f>
        <v/>
      </c>
      <c r="L1602" s="147" t="str">
        <f t="shared" si="14"/>
        <v/>
      </c>
      <c r="M1602" s="147" t="str">
        <f t="shared" si="15"/>
        <v/>
      </c>
      <c r="N1602" s="147" t="str">
        <f t="shared" si="16"/>
        <v/>
      </c>
      <c r="O1602" s="147" t="str">
        <f t="shared" si="6"/>
        <v/>
      </c>
      <c r="P1602" s="150" t="str">
        <f t="shared" si="7"/>
        <v/>
      </c>
      <c r="Q1602" s="151" t="str">
        <f>IFERROR(VLOOKUP(C1602,Ativos!$A$1:$G2000,5,),)</f>
        <v/>
      </c>
    </row>
    <row r="1603" ht="21.0" customHeight="1">
      <c r="A1603" s="152"/>
      <c r="B1603" s="160"/>
      <c r="C1603" s="153"/>
      <c r="D1603" s="169"/>
      <c r="E1603" s="139"/>
      <c r="F1603" s="141"/>
      <c r="G1603" s="170" t="str">
        <f>IFERROR(__xludf.DUMMYFUNCTION("if($C1603="""","""",iferror(if(row()&lt;&gt;2,INDEX(arrayformula(filter($H$2:$H1602,$C$2:$C1602&lt;&gt;"""",row($C$2:$C1602)=max(if($C$2:$C1602=C1603,row($C$2:$C1602),0)))) ,1),0),0))"),"")</f>
        <v/>
      </c>
      <c r="H1603" s="170" t="str">
        <f t="shared" si="8"/>
        <v/>
      </c>
      <c r="I1603" s="147" t="str">
        <f t="shared" si="1"/>
        <v/>
      </c>
      <c r="J1603" s="147" t="str">
        <f t="shared" si="13"/>
        <v/>
      </c>
      <c r="K1603" s="147" t="str">
        <f>IFERROR(__xludf.DUMMYFUNCTION("if(C1603="""","""",iferror(if(row()&lt;&gt;2,INDEX(arrayformula(filter($L$2:$L1602,$C$2:$C1602&lt;&gt;"""",row($C$2:$C1602)=max(if($C$2:$C1602=C1603,row($C$2:$C1602),0)))) ,1),0),0))"),"")</f>
        <v/>
      </c>
      <c r="L1603" s="147" t="str">
        <f t="shared" si="14"/>
        <v/>
      </c>
      <c r="M1603" s="147" t="str">
        <f t="shared" si="15"/>
        <v/>
      </c>
      <c r="N1603" s="147" t="str">
        <f t="shared" si="16"/>
        <v/>
      </c>
      <c r="O1603" s="147" t="str">
        <f t="shared" si="6"/>
        <v/>
      </c>
      <c r="P1603" s="150" t="str">
        <f t="shared" si="7"/>
        <v/>
      </c>
      <c r="Q1603" s="151" t="str">
        <f>IFERROR(VLOOKUP(C1603,Ativos!$A$1:$G2000,5,),)</f>
        <v/>
      </c>
    </row>
    <row r="1604" ht="21.0" customHeight="1">
      <c r="A1604" s="152"/>
      <c r="B1604" s="160"/>
      <c r="C1604" s="153"/>
      <c r="D1604" s="169"/>
      <c r="E1604" s="139"/>
      <c r="F1604" s="141"/>
      <c r="G1604" s="170" t="str">
        <f>IFERROR(__xludf.DUMMYFUNCTION("if($C1604="""","""",iferror(if(row()&lt;&gt;2,INDEX(arrayformula(filter($H$2:$H1603,$C$2:$C1603&lt;&gt;"""",row($C$2:$C1603)=max(if($C$2:$C1603=C1604,row($C$2:$C1603),0)))) ,1),0),0))"),"")</f>
        <v/>
      </c>
      <c r="H1604" s="170" t="str">
        <f t="shared" si="8"/>
        <v/>
      </c>
      <c r="I1604" s="147" t="str">
        <f t="shared" si="1"/>
        <v/>
      </c>
      <c r="J1604" s="147" t="str">
        <f t="shared" si="13"/>
        <v/>
      </c>
      <c r="K1604" s="147" t="str">
        <f>IFERROR(__xludf.DUMMYFUNCTION("if(C1604="""","""",iferror(if(row()&lt;&gt;2,INDEX(arrayformula(filter($L$2:$L1603,$C$2:$C1603&lt;&gt;"""",row($C$2:$C1603)=max(if($C$2:$C1603=C1604,row($C$2:$C1603),0)))) ,1),0),0))"),"")</f>
        <v/>
      </c>
      <c r="L1604" s="147" t="str">
        <f t="shared" si="14"/>
        <v/>
      </c>
      <c r="M1604" s="147" t="str">
        <f t="shared" si="15"/>
        <v/>
      </c>
      <c r="N1604" s="147" t="str">
        <f t="shared" si="16"/>
        <v/>
      </c>
      <c r="O1604" s="147" t="str">
        <f t="shared" si="6"/>
        <v/>
      </c>
      <c r="P1604" s="150" t="str">
        <f t="shared" si="7"/>
        <v/>
      </c>
      <c r="Q1604" s="151" t="str">
        <f>IFERROR(VLOOKUP(C1604,Ativos!$A$1:$G2000,5,),)</f>
        <v/>
      </c>
    </row>
    <row r="1605" ht="21.0" customHeight="1">
      <c r="A1605" s="152"/>
      <c r="B1605" s="160"/>
      <c r="C1605" s="153"/>
      <c r="D1605" s="169"/>
      <c r="E1605" s="139"/>
      <c r="F1605" s="141"/>
      <c r="G1605" s="170" t="str">
        <f>IFERROR(__xludf.DUMMYFUNCTION("if($C1605="""","""",iferror(if(row()&lt;&gt;2,INDEX(arrayformula(filter($H$2:$H1604,$C$2:$C1604&lt;&gt;"""",row($C$2:$C1604)=max(if($C$2:$C1604=C1605,row($C$2:$C1604),0)))) ,1),0),0))"),"")</f>
        <v/>
      </c>
      <c r="H1605" s="170" t="str">
        <f t="shared" si="8"/>
        <v/>
      </c>
      <c r="I1605" s="147" t="str">
        <f t="shared" si="1"/>
        <v/>
      </c>
      <c r="J1605" s="147" t="str">
        <f t="shared" si="13"/>
        <v/>
      </c>
      <c r="K1605" s="147" t="str">
        <f>IFERROR(__xludf.DUMMYFUNCTION("if(C1605="""","""",iferror(if(row()&lt;&gt;2,INDEX(arrayformula(filter($L$2:$L1604,$C$2:$C1604&lt;&gt;"""",row($C$2:$C1604)=max(if($C$2:$C1604=C1605,row($C$2:$C1604),0)))) ,1),0),0))"),"")</f>
        <v/>
      </c>
      <c r="L1605" s="147" t="str">
        <f t="shared" si="14"/>
        <v/>
      </c>
      <c r="M1605" s="147" t="str">
        <f t="shared" si="15"/>
        <v/>
      </c>
      <c r="N1605" s="147" t="str">
        <f t="shared" si="16"/>
        <v/>
      </c>
      <c r="O1605" s="147" t="str">
        <f t="shared" si="6"/>
        <v/>
      </c>
      <c r="P1605" s="150" t="str">
        <f t="shared" si="7"/>
        <v/>
      </c>
      <c r="Q1605" s="151" t="str">
        <f>IFERROR(VLOOKUP(C1605,Ativos!$A$1:$G2000,5,),)</f>
        <v/>
      </c>
    </row>
    <row r="1606" ht="21.0" customHeight="1">
      <c r="A1606" s="152"/>
      <c r="B1606" s="160"/>
      <c r="C1606" s="153"/>
      <c r="D1606" s="169"/>
      <c r="E1606" s="139"/>
      <c r="F1606" s="141"/>
      <c r="G1606" s="170" t="str">
        <f>IFERROR(__xludf.DUMMYFUNCTION("if($C1606="""","""",iferror(if(row()&lt;&gt;2,INDEX(arrayformula(filter($H$2:$H1605,$C$2:$C1605&lt;&gt;"""",row($C$2:$C1605)=max(if($C$2:$C1605=C1606,row($C$2:$C1605),0)))) ,1),0),0))"),"")</f>
        <v/>
      </c>
      <c r="H1606" s="170" t="str">
        <f t="shared" si="8"/>
        <v/>
      </c>
      <c r="I1606" s="147" t="str">
        <f t="shared" si="1"/>
        <v/>
      </c>
      <c r="J1606" s="147" t="str">
        <f t="shared" si="13"/>
        <v/>
      </c>
      <c r="K1606" s="147" t="str">
        <f>IFERROR(__xludf.DUMMYFUNCTION("if(C1606="""","""",iferror(if(row()&lt;&gt;2,INDEX(arrayformula(filter($L$2:$L1605,$C$2:$C1605&lt;&gt;"""",row($C$2:$C1605)=max(if($C$2:$C1605=C1606,row($C$2:$C1605),0)))) ,1),0),0))"),"")</f>
        <v/>
      </c>
      <c r="L1606" s="147" t="str">
        <f t="shared" si="14"/>
        <v/>
      </c>
      <c r="M1606" s="147" t="str">
        <f t="shared" si="15"/>
        <v/>
      </c>
      <c r="N1606" s="147" t="str">
        <f t="shared" si="16"/>
        <v/>
      </c>
      <c r="O1606" s="147" t="str">
        <f t="shared" si="6"/>
        <v/>
      </c>
      <c r="P1606" s="150" t="str">
        <f t="shared" si="7"/>
        <v/>
      </c>
      <c r="Q1606" s="151" t="str">
        <f>IFERROR(VLOOKUP(C1606,Ativos!$A$1:$G2000,5,),)</f>
        <v/>
      </c>
    </row>
    <row r="1607" ht="21.0" customHeight="1">
      <c r="A1607" s="152"/>
      <c r="B1607" s="160"/>
      <c r="C1607" s="153"/>
      <c r="D1607" s="169"/>
      <c r="E1607" s="139"/>
      <c r="F1607" s="141"/>
      <c r="G1607" s="170" t="str">
        <f>IFERROR(__xludf.DUMMYFUNCTION("if($C1607="""","""",iferror(if(row()&lt;&gt;2,INDEX(arrayformula(filter($H$2:$H1606,$C$2:$C1606&lt;&gt;"""",row($C$2:$C1606)=max(if($C$2:$C1606=C1607,row($C$2:$C1606),0)))) ,1),0),0))"),"")</f>
        <v/>
      </c>
      <c r="H1607" s="170" t="str">
        <f t="shared" si="8"/>
        <v/>
      </c>
      <c r="I1607" s="147" t="str">
        <f t="shared" si="1"/>
        <v/>
      </c>
      <c r="J1607" s="147" t="str">
        <f t="shared" si="13"/>
        <v/>
      </c>
      <c r="K1607" s="147" t="str">
        <f>IFERROR(__xludf.DUMMYFUNCTION("if(C1607="""","""",iferror(if(row()&lt;&gt;2,INDEX(arrayformula(filter($L$2:$L1606,$C$2:$C1606&lt;&gt;"""",row($C$2:$C1606)=max(if($C$2:$C1606=C1607,row($C$2:$C1606),0)))) ,1),0),0))"),"")</f>
        <v/>
      </c>
      <c r="L1607" s="147" t="str">
        <f t="shared" si="14"/>
        <v/>
      </c>
      <c r="M1607" s="147" t="str">
        <f t="shared" si="15"/>
        <v/>
      </c>
      <c r="N1607" s="147" t="str">
        <f t="shared" si="16"/>
        <v/>
      </c>
      <c r="O1607" s="147" t="str">
        <f t="shared" si="6"/>
        <v/>
      </c>
      <c r="P1607" s="150" t="str">
        <f t="shared" si="7"/>
        <v/>
      </c>
      <c r="Q1607" s="151" t="str">
        <f>IFERROR(VLOOKUP(C1607,Ativos!$A$1:$G2000,5,),)</f>
        <v/>
      </c>
    </row>
    <row r="1608" ht="21.0" customHeight="1">
      <c r="A1608" s="152"/>
      <c r="B1608" s="160"/>
      <c r="C1608" s="153"/>
      <c r="D1608" s="169"/>
      <c r="E1608" s="139"/>
      <c r="F1608" s="141"/>
      <c r="G1608" s="170" t="str">
        <f>IFERROR(__xludf.DUMMYFUNCTION("if($C1608="""","""",iferror(if(row()&lt;&gt;2,INDEX(arrayformula(filter($H$2:$H1607,$C$2:$C1607&lt;&gt;"""",row($C$2:$C1607)=max(if($C$2:$C1607=C1608,row($C$2:$C1607),0)))) ,1),0),0))"),"")</f>
        <v/>
      </c>
      <c r="H1608" s="170" t="str">
        <f t="shared" si="8"/>
        <v/>
      </c>
      <c r="I1608" s="147" t="str">
        <f t="shared" si="1"/>
        <v/>
      </c>
      <c r="J1608" s="147" t="str">
        <f t="shared" si="13"/>
        <v/>
      </c>
      <c r="K1608" s="147" t="str">
        <f>IFERROR(__xludf.DUMMYFUNCTION("if(C1608="""","""",iferror(if(row()&lt;&gt;2,INDEX(arrayformula(filter($L$2:$L1607,$C$2:$C1607&lt;&gt;"""",row($C$2:$C1607)=max(if($C$2:$C1607=C1608,row($C$2:$C1607),0)))) ,1),0),0))"),"")</f>
        <v/>
      </c>
      <c r="L1608" s="147" t="str">
        <f t="shared" si="14"/>
        <v/>
      </c>
      <c r="M1608" s="147" t="str">
        <f t="shared" si="15"/>
        <v/>
      </c>
      <c r="N1608" s="147" t="str">
        <f t="shared" si="16"/>
        <v/>
      </c>
      <c r="O1608" s="147" t="str">
        <f t="shared" si="6"/>
        <v/>
      </c>
      <c r="P1608" s="150" t="str">
        <f t="shared" si="7"/>
        <v/>
      </c>
      <c r="Q1608" s="151" t="str">
        <f>IFERROR(VLOOKUP(C1608,Ativos!$A$1:$G2000,5,),)</f>
        <v/>
      </c>
    </row>
    <row r="1609" ht="21.0" customHeight="1">
      <c r="A1609" s="152"/>
      <c r="B1609" s="160"/>
      <c r="C1609" s="153"/>
      <c r="D1609" s="169"/>
      <c r="E1609" s="139"/>
      <c r="F1609" s="141"/>
      <c r="G1609" s="170" t="str">
        <f>IFERROR(__xludf.DUMMYFUNCTION("if($C1609="""","""",iferror(if(row()&lt;&gt;2,INDEX(arrayformula(filter($H$2:$H1608,$C$2:$C1608&lt;&gt;"""",row($C$2:$C1608)=max(if($C$2:$C1608=C1609,row($C$2:$C1608),0)))) ,1),0),0))"),"")</f>
        <v/>
      </c>
      <c r="H1609" s="170" t="str">
        <f t="shared" si="8"/>
        <v/>
      </c>
      <c r="I1609" s="147" t="str">
        <f t="shared" si="1"/>
        <v/>
      </c>
      <c r="J1609" s="147" t="str">
        <f t="shared" si="13"/>
        <v/>
      </c>
      <c r="K1609" s="147" t="str">
        <f>IFERROR(__xludf.DUMMYFUNCTION("if(C1609="""","""",iferror(if(row()&lt;&gt;2,INDEX(arrayformula(filter($L$2:$L1608,$C$2:$C1608&lt;&gt;"""",row($C$2:$C1608)=max(if($C$2:$C1608=C1609,row($C$2:$C1608),0)))) ,1),0),0))"),"")</f>
        <v/>
      </c>
      <c r="L1609" s="147" t="str">
        <f t="shared" si="14"/>
        <v/>
      </c>
      <c r="M1609" s="147" t="str">
        <f t="shared" si="15"/>
        <v/>
      </c>
      <c r="N1609" s="147" t="str">
        <f t="shared" si="16"/>
        <v/>
      </c>
      <c r="O1609" s="147" t="str">
        <f t="shared" si="6"/>
        <v/>
      </c>
      <c r="P1609" s="150" t="str">
        <f t="shared" si="7"/>
        <v/>
      </c>
      <c r="Q1609" s="151" t="str">
        <f>IFERROR(VLOOKUP(C1609,Ativos!$A$1:$G2000,5,),)</f>
        <v/>
      </c>
    </row>
    <row r="1610" ht="21.0" customHeight="1">
      <c r="A1610" s="152"/>
      <c r="B1610" s="160"/>
      <c r="C1610" s="153"/>
      <c r="D1610" s="169"/>
      <c r="E1610" s="139"/>
      <c r="F1610" s="141"/>
      <c r="G1610" s="170" t="str">
        <f>IFERROR(__xludf.DUMMYFUNCTION("if($C1610="""","""",iferror(if(row()&lt;&gt;2,INDEX(arrayformula(filter($H$2:$H1609,$C$2:$C1609&lt;&gt;"""",row($C$2:$C1609)=max(if($C$2:$C1609=C1610,row($C$2:$C1609),0)))) ,1),0),0))"),"")</f>
        <v/>
      </c>
      <c r="H1610" s="170" t="str">
        <f t="shared" si="8"/>
        <v/>
      </c>
      <c r="I1610" s="147" t="str">
        <f t="shared" si="1"/>
        <v/>
      </c>
      <c r="J1610" s="147" t="str">
        <f t="shared" si="13"/>
        <v/>
      </c>
      <c r="K1610" s="147" t="str">
        <f>IFERROR(__xludf.DUMMYFUNCTION("if(C1610="""","""",iferror(if(row()&lt;&gt;2,INDEX(arrayformula(filter($L$2:$L1609,$C$2:$C1609&lt;&gt;"""",row($C$2:$C1609)=max(if($C$2:$C1609=C1610,row($C$2:$C1609),0)))) ,1),0),0))"),"")</f>
        <v/>
      </c>
      <c r="L1610" s="147" t="str">
        <f t="shared" si="14"/>
        <v/>
      </c>
      <c r="M1610" s="147" t="str">
        <f t="shared" si="15"/>
        <v/>
      </c>
      <c r="N1610" s="147" t="str">
        <f t="shared" si="16"/>
        <v/>
      </c>
      <c r="O1610" s="147" t="str">
        <f t="shared" si="6"/>
        <v/>
      </c>
      <c r="P1610" s="150" t="str">
        <f t="shared" si="7"/>
        <v/>
      </c>
      <c r="Q1610" s="151" t="str">
        <f>IFERROR(VLOOKUP(C1610,Ativos!$A$1:$G2000,5,),)</f>
        <v/>
      </c>
    </row>
    <row r="1611" ht="21.0" customHeight="1">
      <c r="A1611" s="152"/>
      <c r="B1611" s="160"/>
      <c r="C1611" s="153"/>
      <c r="D1611" s="169"/>
      <c r="E1611" s="139"/>
      <c r="F1611" s="141"/>
      <c r="G1611" s="170" t="str">
        <f>IFERROR(__xludf.DUMMYFUNCTION("if($C1611="""","""",iferror(if(row()&lt;&gt;2,INDEX(arrayformula(filter($H$2:$H1610,$C$2:$C1610&lt;&gt;"""",row($C$2:$C1610)=max(if($C$2:$C1610=C1611,row($C$2:$C1610),0)))) ,1),0),0))"),"")</f>
        <v/>
      </c>
      <c r="H1611" s="170" t="str">
        <f t="shared" si="8"/>
        <v/>
      </c>
      <c r="I1611" s="147" t="str">
        <f t="shared" si="1"/>
        <v/>
      </c>
      <c r="J1611" s="147" t="str">
        <f t="shared" si="13"/>
        <v/>
      </c>
      <c r="K1611" s="147" t="str">
        <f>IFERROR(__xludf.DUMMYFUNCTION("if(C1611="""","""",iferror(if(row()&lt;&gt;2,INDEX(arrayformula(filter($L$2:$L1610,$C$2:$C1610&lt;&gt;"""",row($C$2:$C1610)=max(if($C$2:$C1610=C1611,row($C$2:$C1610),0)))) ,1),0),0))"),"")</f>
        <v/>
      </c>
      <c r="L1611" s="147" t="str">
        <f t="shared" si="14"/>
        <v/>
      </c>
      <c r="M1611" s="147" t="str">
        <f t="shared" si="15"/>
        <v/>
      </c>
      <c r="N1611" s="147" t="str">
        <f t="shared" si="16"/>
        <v/>
      </c>
      <c r="O1611" s="147" t="str">
        <f t="shared" si="6"/>
        <v/>
      </c>
      <c r="P1611" s="150" t="str">
        <f t="shared" si="7"/>
        <v/>
      </c>
      <c r="Q1611" s="151" t="str">
        <f>IFERROR(VLOOKUP(C1611,Ativos!$A$1:$G2000,5,),)</f>
        <v/>
      </c>
    </row>
    <row r="1612" ht="21.0" customHeight="1">
      <c r="A1612" s="152"/>
      <c r="B1612" s="160"/>
      <c r="C1612" s="153"/>
      <c r="D1612" s="169"/>
      <c r="E1612" s="139"/>
      <c r="F1612" s="141"/>
      <c r="G1612" s="170" t="str">
        <f>IFERROR(__xludf.DUMMYFUNCTION("if($C1612="""","""",iferror(if(row()&lt;&gt;2,INDEX(arrayformula(filter($H$2:$H1611,$C$2:$C1611&lt;&gt;"""",row($C$2:$C1611)=max(if($C$2:$C1611=C1612,row($C$2:$C1611),0)))) ,1),0),0))"),"")</f>
        <v/>
      </c>
      <c r="H1612" s="170" t="str">
        <f t="shared" si="8"/>
        <v/>
      </c>
      <c r="I1612" s="147" t="str">
        <f t="shared" si="1"/>
        <v/>
      </c>
      <c r="J1612" s="147" t="str">
        <f t="shared" si="13"/>
        <v/>
      </c>
      <c r="K1612" s="147" t="str">
        <f>IFERROR(__xludf.DUMMYFUNCTION("if(C1612="""","""",iferror(if(row()&lt;&gt;2,INDEX(arrayformula(filter($L$2:$L1611,$C$2:$C1611&lt;&gt;"""",row($C$2:$C1611)=max(if($C$2:$C1611=C1612,row($C$2:$C1611),0)))) ,1),0),0))"),"")</f>
        <v/>
      </c>
      <c r="L1612" s="147" t="str">
        <f t="shared" si="14"/>
        <v/>
      </c>
      <c r="M1612" s="147" t="str">
        <f t="shared" si="15"/>
        <v/>
      </c>
      <c r="N1612" s="147" t="str">
        <f t="shared" si="16"/>
        <v/>
      </c>
      <c r="O1612" s="147" t="str">
        <f t="shared" si="6"/>
        <v/>
      </c>
      <c r="P1612" s="150" t="str">
        <f t="shared" si="7"/>
        <v/>
      </c>
      <c r="Q1612" s="151" t="str">
        <f>IFERROR(VLOOKUP(C1612,Ativos!$A$1:$G2000,5,),)</f>
        <v/>
      </c>
    </row>
    <row r="1613" ht="21.0" customHeight="1">
      <c r="A1613" s="152"/>
      <c r="B1613" s="160"/>
      <c r="C1613" s="153"/>
      <c r="D1613" s="169"/>
      <c r="E1613" s="139"/>
      <c r="F1613" s="141"/>
      <c r="G1613" s="170" t="str">
        <f>IFERROR(__xludf.DUMMYFUNCTION("if($C1613="""","""",iferror(if(row()&lt;&gt;2,INDEX(arrayformula(filter($H$2:$H1612,$C$2:$C1612&lt;&gt;"""",row($C$2:$C1612)=max(if($C$2:$C1612=C1613,row($C$2:$C1612),0)))) ,1),0),0))"),"")</f>
        <v/>
      </c>
      <c r="H1613" s="170" t="str">
        <f t="shared" si="8"/>
        <v/>
      </c>
      <c r="I1613" s="147" t="str">
        <f t="shared" si="1"/>
        <v/>
      </c>
      <c r="J1613" s="147" t="str">
        <f t="shared" si="13"/>
        <v/>
      </c>
      <c r="K1613" s="147" t="str">
        <f>IFERROR(__xludf.DUMMYFUNCTION("if(C1613="""","""",iferror(if(row()&lt;&gt;2,INDEX(arrayformula(filter($L$2:$L1612,$C$2:$C1612&lt;&gt;"""",row($C$2:$C1612)=max(if($C$2:$C1612=C1613,row($C$2:$C1612),0)))) ,1),0),0))"),"")</f>
        <v/>
      </c>
      <c r="L1613" s="147" t="str">
        <f t="shared" si="14"/>
        <v/>
      </c>
      <c r="M1613" s="147" t="str">
        <f t="shared" si="15"/>
        <v/>
      </c>
      <c r="N1613" s="147" t="str">
        <f t="shared" si="16"/>
        <v/>
      </c>
      <c r="O1613" s="147" t="str">
        <f t="shared" si="6"/>
        <v/>
      </c>
      <c r="P1613" s="150" t="str">
        <f t="shared" si="7"/>
        <v/>
      </c>
      <c r="Q1613" s="151" t="str">
        <f>IFERROR(VLOOKUP(C1613,Ativos!$A$1:$G2000,5,),)</f>
        <v/>
      </c>
    </row>
    <row r="1614" ht="21.0" customHeight="1">
      <c r="A1614" s="152"/>
      <c r="B1614" s="160"/>
      <c r="C1614" s="153"/>
      <c r="D1614" s="169"/>
      <c r="E1614" s="139"/>
      <c r="F1614" s="141"/>
      <c r="G1614" s="170" t="str">
        <f>IFERROR(__xludf.DUMMYFUNCTION("if($C1614="""","""",iferror(if(row()&lt;&gt;2,INDEX(arrayformula(filter($H$2:$H1613,$C$2:$C1613&lt;&gt;"""",row($C$2:$C1613)=max(if($C$2:$C1613=C1614,row($C$2:$C1613),0)))) ,1),0),0))"),"")</f>
        <v/>
      </c>
      <c r="H1614" s="170" t="str">
        <f t="shared" si="8"/>
        <v/>
      </c>
      <c r="I1614" s="147" t="str">
        <f t="shared" si="1"/>
        <v/>
      </c>
      <c r="J1614" s="147" t="str">
        <f t="shared" si="13"/>
        <v/>
      </c>
      <c r="K1614" s="147" t="str">
        <f>IFERROR(__xludf.DUMMYFUNCTION("if(C1614="""","""",iferror(if(row()&lt;&gt;2,INDEX(arrayformula(filter($L$2:$L1613,$C$2:$C1613&lt;&gt;"""",row($C$2:$C1613)=max(if($C$2:$C1613=C1614,row($C$2:$C1613),0)))) ,1),0),0))"),"")</f>
        <v/>
      </c>
      <c r="L1614" s="147" t="str">
        <f t="shared" si="14"/>
        <v/>
      </c>
      <c r="M1614" s="147" t="str">
        <f t="shared" si="15"/>
        <v/>
      </c>
      <c r="N1614" s="147" t="str">
        <f t="shared" si="16"/>
        <v/>
      </c>
      <c r="O1614" s="147" t="str">
        <f t="shared" si="6"/>
        <v/>
      </c>
      <c r="P1614" s="150" t="str">
        <f t="shared" si="7"/>
        <v/>
      </c>
      <c r="Q1614" s="151" t="str">
        <f>IFERROR(VLOOKUP(C1614,Ativos!$A$1:$G2000,5,),)</f>
        <v/>
      </c>
    </row>
    <row r="1615" ht="21.0" customHeight="1">
      <c r="A1615" s="152"/>
      <c r="B1615" s="160"/>
      <c r="C1615" s="153"/>
      <c r="D1615" s="169"/>
      <c r="E1615" s="139"/>
      <c r="F1615" s="141"/>
      <c r="G1615" s="170" t="str">
        <f>IFERROR(__xludf.DUMMYFUNCTION("if($C1615="""","""",iferror(if(row()&lt;&gt;2,INDEX(arrayformula(filter($H$2:$H1614,$C$2:$C1614&lt;&gt;"""",row($C$2:$C1614)=max(if($C$2:$C1614=C1615,row($C$2:$C1614),0)))) ,1),0),0))"),"")</f>
        <v/>
      </c>
      <c r="H1615" s="170" t="str">
        <f t="shared" si="8"/>
        <v/>
      </c>
      <c r="I1615" s="147" t="str">
        <f t="shared" si="1"/>
        <v/>
      </c>
      <c r="J1615" s="147" t="str">
        <f t="shared" si="13"/>
        <v/>
      </c>
      <c r="K1615" s="147" t="str">
        <f>IFERROR(__xludf.DUMMYFUNCTION("if(C1615="""","""",iferror(if(row()&lt;&gt;2,INDEX(arrayformula(filter($L$2:$L1614,$C$2:$C1614&lt;&gt;"""",row($C$2:$C1614)=max(if($C$2:$C1614=C1615,row($C$2:$C1614),0)))) ,1),0),0))"),"")</f>
        <v/>
      </c>
      <c r="L1615" s="147" t="str">
        <f t="shared" si="14"/>
        <v/>
      </c>
      <c r="M1615" s="147" t="str">
        <f t="shared" si="15"/>
        <v/>
      </c>
      <c r="N1615" s="147" t="str">
        <f t="shared" si="16"/>
        <v/>
      </c>
      <c r="O1615" s="147" t="str">
        <f t="shared" si="6"/>
        <v/>
      </c>
      <c r="P1615" s="150" t="str">
        <f t="shared" si="7"/>
        <v/>
      </c>
      <c r="Q1615" s="151" t="str">
        <f>IFERROR(VLOOKUP(C1615,Ativos!$A$1:$G2000,5,),)</f>
        <v/>
      </c>
    </row>
    <row r="1616" ht="21.0" customHeight="1">
      <c r="A1616" s="152"/>
      <c r="B1616" s="160"/>
      <c r="C1616" s="153"/>
      <c r="D1616" s="169"/>
      <c r="E1616" s="139"/>
      <c r="F1616" s="141"/>
      <c r="G1616" s="170" t="str">
        <f>IFERROR(__xludf.DUMMYFUNCTION("if($C1616="""","""",iferror(if(row()&lt;&gt;2,INDEX(arrayformula(filter($H$2:$H1615,$C$2:$C1615&lt;&gt;"""",row($C$2:$C1615)=max(if($C$2:$C1615=C1616,row($C$2:$C1615),0)))) ,1),0),0))"),"")</f>
        <v/>
      </c>
      <c r="H1616" s="170" t="str">
        <f t="shared" si="8"/>
        <v/>
      </c>
      <c r="I1616" s="147" t="str">
        <f t="shared" si="1"/>
        <v/>
      </c>
      <c r="J1616" s="147" t="str">
        <f t="shared" si="13"/>
        <v/>
      </c>
      <c r="K1616" s="147" t="str">
        <f>IFERROR(__xludf.DUMMYFUNCTION("if(C1616="""","""",iferror(if(row()&lt;&gt;2,INDEX(arrayformula(filter($L$2:$L1615,$C$2:$C1615&lt;&gt;"""",row($C$2:$C1615)=max(if($C$2:$C1615=C1616,row($C$2:$C1615),0)))) ,1),0),0))"),"")</f>
        <v/>
      </c>
      <c r="L1616" s="147" t="str">
        <f t="shared" si="14"/>
        <v/>
      </c>
      <c r="M1616" s="147" t="str">
        <f t="shared" si="15"/>
        <v/>
      </c>
      <c r="N1616" s="147" t="str">
        <f t="shared" si="16"/>
        <v/>
      </c>
      <c r="O1616" s="147" t="str">
        <f t="shared" si="6"/>
        <v/>
      </c>
      <c r="P1616" s="150" t="str">
        <f t="shared" si="7"/>
        <v/>
      </c>
      <c r="Q1616" s="151" t="str">
        <f>IFERROR(VLOOKUP(C1616,Ativos!$A$1:$G2000,5,),)</f>
        <v/>
      </c>
    </row>
    <row r="1617" ht="21.0" customHeight="1">
      <c r="A1617" s="152"/>
      <c r="B1617" s="160"/>
      <c r="C1617" s="153"/>
      <c r="D1617" s="169"/>
      <c r="E1617" s="139"/>
      <c r="F1617" s="141"/>
      <c r="G1617" s="170" t="str">
        <f>IFERROR(__xludf.DUMMYFUNCTION("if($C1617="""","""",iferror(if(row()&lt;&gt;2,INDEX(arrayformula(filter($H$2:$H1616,$C$2:$C1616&lt;&gt;"""",row($C$2:$C1616)=max(if($C$2:$C1616=C1617,row($C$2:$C1616),0)))) ,1),0),0))"),"")</f>
        <v/>
      </c>
      <c r="H1617" s="170" t="str">
        <f t="shared" si="8"/>
        <v/>
      </c>
      <c r="I1617" s="147" t="str">
        <f t="shared" si="1"/>
        <v/>
      </c>
      <c r="J1617" s="147" t="str">
        <f t="shared" si="13"/>
        <v/>
      </c>
      <c r="K1617" s="147" t="str">
        <f>IFERROR(__xludf.DUMMYFUNCTION("if(C1617="""","""",iferror(if(row()&lt;&gt;2,INDEX(arrayformula(filter($L$2:$L1616,$C$2:$C1616&lt;&gt;"""",row($C$2:$C1616)=max(if($C$2:$C1616=C1617,row($C$2:$C1616),0)))) ,1),0),0))"),"")</f>
        <v/>
      </c>
      <c r="L1617" s="147" t="str">
        <f t="shared" si="14"/>
        <v/>
      </c>
      <c r="M1617" s="147" t="str">
        <f t="shared" si="15"/>
        <v/>
      </c>
      <c r="N1617" s="147" t="str">
        <f t="shared" si="16"/>
        <v/>
      </c>
      <c r="O1617" s="147" t="str">
        <f t="shared" si="6"/>
        <v/>
      </c>
      <c r="P1617" s="150" t="str">
        <f t="shared" si="7"/>
        <v/>
      </c>
      <c r="Q1617" s="151" t="str">
        <f>IFERROR(VLOOKUP(C1617,Ativos!$A$1:$G2000,5,),)</f>
        <v/>
      </c>
    </row>
    <row r="1618" ht="21.0" customHeight="1">
      <c r="A1618" s="152"/>
      <c r="B1618" s="160"/>
      <c r="C1618" s="153"/>
      <c r="D1618" s="169"/>
      <c r="E1618" s="139"/>
      <c r="F1618" s="141"/>
      <c r="G1618" s="170" t="str">
        <f>IFERROR(__xludf.DUMMYFUNCTION("if($C1618="""","""",iferror(if(row()&lt;&gt;2,INDEX(arrayformula(filter($H$2:$H1617,$C$2:$C1617&lt;&gt;"""",row($C$2:$C1617)=max(if($C$2:$C1617=C1618,row($C$2:$C1617),0)))) ,1),0),0))"),"")</f>
        <v/>
      </c>
      <c r="H1618" s="170" t="str">
        <f t="shared" si="8"/>
        <v/>
      </c>
      <c r="I1618" s="147" t="str">
        <f t="shared" si="1"/>
        <v/>
      </c>
      <c r="J1618" s="147" t="str">
        <f t="shared" si="13"/>
        <v/>
      </c>
      <c r="K1618" s="147" t="str">
        <f>IFERROR(__xludf.DUMMYFUNCTION("if(C1618="""","""",iferror(if(row()&lt;&gt;2,INDEX(arrayformula(filter($L$2:$L1617,$C$2:$C1617&lt;&gt;"""",row($C$2:$C1617)=max(if($C$2:$C1617=C1618,row($C$2:$C1617),0)))) ,1),0),0))"),"")</f>
        <v/>
      </c>
      <c r="L1618" s="147" t="str">
        <f t="shared" si="14"/>
        <v/>
      </c>
      <c r="M1618" s="147" t="str">
        <f t="shared" si="15"/>
        <v/>
      </c>
      <c r="N1618" s="147" t="str">
        <f t="shared" si="16"/>
        <v/>
      </c>
      <c r="O1618" s="147" t="str">
        <f t="shared" si="6"/>
        <v/>
      </c>
      <c r="P1618" s="150" t="str">
        <f t="shared" si="7"/>
        <v/>
      </c>
      <c r="Q1618" s="151" t="str">
        <f>IFERROR(VLOOKUP(C1618,Ativos!$A$1:$G2000,5,),)</f>
        <v/>
      </c>
    </row>
    <row r="1619" ht="21.0" customHeight="1">
      <c r="A1619" s="152"/>
      <c r="B1619" s="160"/>
      <c r="C1619" s="153"/>
      <c r="D1619" s="169"/>
      <c r="E1619" s="139"/>
      <c r="F1619" s="141"/>
      <c r="G1619" s="170" t="str">
        <f>IFERROR(__xludf.DUMMYFUNCTION("if($C1619="""","""",iferror(if(row()&lt;&gt;2,INDEX(arrayformula(filter($H$2:$H1618,$C$2:$C1618&lt;&gt;"""",row($C$2:$C1618)=max(if($C$2:$C1618=C1619,row($C$2:$C1618),0)))) ,1),0),0))"),"")</f>
        <v/>
      </c>
      <c r="H1619" s="170" t="str">
        <f t="shared" si="8"/>
        <v/>
      </c>
      <c r="I1619" s="147" t="str">
        <f t="shared" si="1"/>
        <v/>
      </c>
      <c r="J1619" s="147" t="str">
        <f t="shared" si="13"/>
        <v/>
      </c>
      <c r="K1619" s="147" t="str">
        <f>IFERROR(__xludf.DUMMYFUNCTION("if(C1619="""","""",iferror(if(row()&lt;&gt;2,INDEX(arrayformula(filter($L$2:$L1618,$C$2:$C1618&lt;&gt;"""",row($C$2:$C1618)=max(if($C$2:$C1618=C1619,row($C$2:$C1618),0)))) ,1),0),0))"),"")</f>
        <v/>
      </c>
      <c r="L1619" s="147" t="str">
        <f t="shared" si="14"/>
        <v/>
      </c>
      <c r="M1619" s="147" t="str">
        <f t="shared" si="15"/>
        <v/>
      </c>
      <c r="N1619" s="147" t="str">
        <f t="shared" si="16"/>
        <v/>
      </c>
      <c r="O1619" s="147" t="str">
        <f t="shared" si="6"/>
        <v/>
      </c>
      <c r="P1619" s="150" t="str">
        <f t="shared" si="7"/>
        <v/>
      </c>
      <c r="Q1619" s="151" t="str">
        <f>IFERROR(VLOOKUP(C1619,Ativos!$A$1:$G2000,5,),)</f>
        <v/>
      </c>
    </row>
    <row r="1620" ht="21.0" customHeight="1">
      <c r="A1620" s="152"/>
      <c r="B1620" s="160"/>
      <c r="C1620" s="153"/>
      <c r="D1620" s="169"/>
      <c r="E1620" s="139"/>
      <c r="F1620" s="141"/>
      <c r="G1620" s="170" t="str">
        <f>IFERROR(__xludf.DUMMYFUNCTION("if($C1620="""","""",iferror(if(row()&lt;&gt;2,INDEX(arrayformula(filter($H$2:$H1619,$C$2:$C1619&lt;&gt;"""",row($C$2:$C1619)=max(if($C$2:$C1619=C1620,row($C$2:$C1619),0)))) ,1),0),0))"),"")</f>
        <v/>
      </c>
      <c r="H1620" s="170" t="str">
        <f t="shared" si="8"/>
        <v/>
      </c>
      <c r="I1620" s="147" t="str">
        <f t="shared" si="1"/>
        <v/>
      </c>
      <c r="J1620" s="147" t="str">
        <f t="shared" si="13"/>
        <v/>
      </c>
      <c r="K1620" s="147" t="str">
        <f>IFERROR(__xludf.DUMMYFUNCTION("if(C1620="""","""",iferror(if(row()&lt;&gt;2,INDEX(arrayformula(filter($L$2:$L1619,$C$2:$C1619&lt;&gt;"""",row($C$2:$C1619)=max(if($C$2:$C1619=C1620,row($C$2:$C1619),0)))) ,1),0),0))"),"")</f>
        <v/>
      </c>
      <c r="L1620" s="147" t="str">
        <f t="shared" si="14"/>
        <v/>
      </c>
      <c r="M1620" s="147" t="str">
        <f t="shared" si="15"/>
        <v/>
      </c>
      <c r="N1620" s="147" t="str">
        <f t="shared" si="16"/>
        <v/>
      </c>
      <c r="O1620" s="147" t="str">
        <f t="shared" si="6"/>
        <v/>
      </c>
      <c r="P1620" s="150" t="str">
        <f t="shared" si="7"/>
        <v/>
      </c>
      <c r="Q1620" s="151" t="str">
        <f>IFERROR(VLOOKUP(C1620,Ativos!$A$1:$G2000,5,),)</f>
        <v/>
      </c>
    </row>
    <row r="1621" ht="21.0" customHeight="1">
      <c r="A1621" s="152"/>
      <c r="B1621" s="160"/>
      <c r="C1621" s="153"/>
      <c r="D1621" s="169"/>
      <c r="E1621" s="139"/>
      <c r="F1621" s="141"/>
      <c r="G1621" s="170" t="str">
        <f>IFERROR(__xludf.DUMMYFUNCTION("if($C1621="""","""",iferror(if(row()&lt;&gt;2,INDEX(arrayformula(filter($H$2:$H1620,$C$2:$C1620&lt;&gt;"""",row($C$2:$C1620)=max(if($C$2:$C1620=C1621,row($C$2:$C1620),0)))) ,1),0),0))"),"")</f>
        <v/>
      </c>
      <c r="H1621" s="170" t="str">
        <f t="shared" si="8"/>
        <v/>
      </c>
      <c r="I1621" s="147" t="str">
        <f t="shared" si="1"/>
        <v/>
      </c>
      <c r="J1621" s="147" t="str">
        <f t="shared" si="13"/>
        <v/>
      </c>
      <c r="K1621" s="147" t="str">
        <f>IFERROR(__xludf.DUMMYFUNCTION("if(C1621="""","""",iferror(if(row()&lt;&gt;2,INDEX(arrayformula(filter($L$2:$L1620,$C$2:$C1620&lt;&gt;"""",row($C$2:$C1620)=max(if($C$2:$C1620=C1621,row($C$2:$C1620),0)))) ,1),0),0))"),"")</f>
        <v/>
      </c>
      <c r="L1621" s="147" t="str">
        <f t="shared" si="14"/>
        <v/>
      </c>
      <c r="M1621" s="147" t="str">
        <f t="shared" si="15"/>
        <v/>
      </c>
      <c r="N1621" s="147" t="str">
        <f t="shared" si="16"/>
        <v/>
      </c>
      <c r="O1621" s="147" t="str">
        <f t="shared" si="6"/>
        <v/>
      </c>
      <c r="P1621" s="150" t="str">
        <f t="shared" si="7"/>
        <v/>
      </c>
      <c r="Q1621" s="151" t="str">
        <f>IFERROR(VLOOKUP(C1621,Ativos!$A$1:$G2000,5,),)</f>
        <v/>
      </c>
    </row>
    <row r="1622" ht="21.0" customHeight="1">
      <c r="A1622" s="152"/>
      <c r="B1622" s="160"/>
      <c r="C1622" s="153"/>
      <c r="D1622" s="169"/>
      <c r="E1622" s="139"/>
      <c r="F1622" s="141"/>
      <c r="G1622" s="170" t="str">
        <f>IFERROR(__xludf.DUMMYFUNCTION("if($C1622="""","""",iferror(if(row()&lt;&gt;2,INDEX(arrayformula(filter($H$2:$H1621,$C$2:$C1621&lt;&gt;"""",row($C$2:$C1621)=max(if($C$2:$C1621=C1622,row($C$2:$C1621),0)))) ,1),0),0))"),"")</f>
        <v/>
      </c>
      <c r="H1622" s="170" t="str">
        <f t="shared" si="8"/>
        <v/>
      </c>
      <c r="I1622" s="147" t="str">
        <f t="shared" si="1"/>
        <v/>
      </c>
      <c r="J1622" s="147" t="str">
        <f t="shared" si="13"/>
        <v/>
      </c>
      <c r="K1622" s="147" t="str">
        <f>IFERROR(__xludf.DUMMYFUNCTION("if(C1622="""","""",iferror(if(row()&lt;&gt;2,INDEX(arrayformula(filter($L$2:$L1621,$C$2:$C1621&lt;&gt;"""",row($C$2:$C1621)=max(if($C$2:$C1621=C1622,row($C$2:$C1621),0)))) ,1),0),0))"),"")</f>
        <v/>
      </c>
      <c r="L1622" s="147" t="str">
        <f t="shared" si="14"/>
        <v/>
      </c>
      <c r="M1622" s="147" t="str">
        <f t="shared" si="15"/>
        <v/>
      </c>
      <c r="N1622" s="147" t="str">
        <f t="shared" si="16"/>
        <v/>
      </c>
      <c r="O1622" s="147" t="str">
        <f t="shared" si="6"/>
        <v/>
      </c>
      <c r="P1622" s="150" t="str">
        <f t="shared" si="7"/>
        <v/>
      </c>
      <c r="Q1622" s="151" t="str">
        <f>IFERROR(VLOOKUP(C1622,Ativos!$A$1:$G2000,5,),)</f>
        <v/>
      </c>
    </row>
    <row r="1623" ht="21.0" customHeight="1">
      <c r="A1623" s="152"/>
      <c r="B1623" s="160"/>
      <c r="C1623" s="153"/>
      <c r="D1623" s="169"/>
      <c r="E1623" s="139"/>
      <c r="F1623" s="141"/>
      <c r="G1623" s="170" t="str">
        <f>IFERROR(__xludf.DUMMYFUNCTION("if($C1623="""","""",iferror(if(row()&lt;&gt;2,INDEX(arrayformula(filter($H$2:$H1622,$C$2:$C1622&lt;&gt;"""",row($C$2:$C1622)=max(if($C$2:$C1622=C1623,row($C$2:$C1622),0)))) ,1),0),0))"),"")</f>
        <v/>
      </c>
      <c r="H1623" s="170" t="str">
        <f t="shared" si="8"/>
        <v/>
      </c>
      <c r="I1623" s="147" t="str">
        <f t="shared" si="1"/>
        <v/>
      </c>
      <c r="J1623" s="147" t="str">
        <f t="shared" si="13"/>
        <v/>
      </c>
      <c r="K1623" s="147" t="str">
        <f>IFERROR(__xludf.DUMMYFUNCTION("if(C1623="""","""",iferror(if(row()&lt;&gt;2,INDEX(arrayformula(filter($L$2:$L1622,$C$2:$C1622&lt;&gt;"""",row($C$2:$C1622)=max(if($C$2:$C1622=C1623,row($C$2:$C1622),0)))) ,1),0),0))"),"")</f>
        <v/>
      </c>
      <c r="L1623" s="147" t="str">
        <f t="shared" si="14"/>
        <v/>
      </c>
      <c r="M1623" s="147" t="str">
        <f t="shared" si="15"/>
        <v/>
      </c>
      <c r="N1623" s="147" t="str">
        <f t="shared" si="16"/>
        <v/>
      </c>
      <c r="O1623" s="147" t="str">
        <f t="shared" si="6"/>
        <v/>
      </c>
      <c r="P1623" s="150" t="str">
        <f t="shared" si="7"/>
        <v/>
      </c>
      <c r="Q1623" s="151" t="str">
        <f>IFERROR(VLOOKUP(C1623,Ativos!$A$1:$G2000,5,),)</f>
        <v/>
      </c>
    </row>
    <row r="1624" ht="21.0" customHeight="1">
      <c r="A1624" s="152"/>
      <c r="B1624" s="160"/>
      <c r="C1624" s="153"/>
      <c r="D1624" s="169"/>
      <c r="E1624" s="139"/>
      <c r="F1624" s="141"/>
      <c r="G1624" s="170" t="str">
        <f>IFERROR(__xludf.DUMMYFUNCTION("if($C1624="""","""",iferror(if(row()&lt;&gt;2,INDEX(arrayformula(filter($H$2:$H1623,$C$2:$C1623&lt;&gt;"""",row($C$2:$C1623)=max(if($C$2:$C1623=C1624,row($C$2:$C1623),0)))) ,1),0),0))"),"")</f>
        <v/>
      </c>
      <c r="H1624" s="170" t="str">
        <f t="shared" si="8"/>
        <v/>
      </c>
      <c r="I1624" s="147" t="str">
        <f t="shared" si="1"/>
        <v/>
      </c>
      <c r="J1624" s="147" t="str">
        <f t="shared" si="13"/>
        <v/>
      </c>
      <c r="K1624" s="147" t="str">
        <f>IFERROR(__xludf.DUMMYFUNCTION("if(C1624="""","""",iferror(if(row()&lt;&gt;2,INDEX(arrayformula(filter($L$2:$L1623,$C$2:$C1623&lt;&gt;"""",row($C$2:$C1623)=max(if($C$2:$C1623=C1624,row($C$2:$C1623),0)))) ,1),0),0))"),"")</f>
        <v/>
      </c>
      <c r="L1624" s="147" t="str">
        <f t="shared" si="14"/>
        <v/>
      </c>
      <c r="M1624" s="147" t="str">
        <f t="shared" si="15"/>
        <v/>
      </c>
      <c r="N1624" s="147" t="str">
        <f t="shared" si="16"/>
        <v/>
      </c>
      <c r="O1624" s="147" t="str">
        <f t="shared" si="6"/>
        <v/>
      </c>
      <c r="P1624" s="150" t="str">
        <f t="shared" si="7"/>
        <v/>
      </c>
      <c r="Q1624" s="151" t="str">
        <f>IFERROR(VLOOKUP(C1624,Ativos!$A$1:$G2000,5,),)</f>
        <v/>
      </c>
    </row>
    <row r="1625" ht="21.0" customHeight="1">
      <c r="A1625" s="152"/>
      <c r="B1625" s="160"/>
      <c r="C1625" s="153"/>
      <c r="D1625" s="169"/>
      <c r="E1625" s="139"/>
      <c r="F1625" s="141"/>
      <c r="G1625" s="170" t="str">
        <f>IFERROR(__xludf.DUMMYFUNCTION("if($C1625="""","""",iferror(if(row()&lt;&gt;2,INDEX(arrayformula(filter($H$2:$H1624,$C$2:$C1624&lt;&gt;"""",row($C$2:$C1624)=max(if($C$2:$C1624=C1625,row($C$2:$C1624),0)))) ,1),0),0))"),"")</f>
        <v/>
      </c>
      <c r="H1625" s="170" t="str">
        <f t="shared" si="8"/>
        <v/>
      </c>
      <c r="I1625" s="147" t="str">
        <f t="shared" si="1"/>
        <v/>
      </c>
      <c r="J1625" s="147" t="str">
        <f t="shared" si="13"/>
        <v/>
      </c>
      <c r="K1625" s="147" t="str">
        <f>IFERROR(__xludf.DUMMYFUNCTION("if(C1625="""","""",iferror(if(row()&lt;&gt;2,INDEX(arrayformula(filter($L$2:$L1624,$C$2:$C1624&lt;&gt;"""",row($C$2:$C1624)=max(if($C$2:$C1624=C1625,row($C$2:$C1624),0)))) ,1),0),0))"),"")</f>
        <v/>
      </c>
      <c r="L1625" s="147" t="str">
        <f t="shared" si="14"/>
        <v/>
      </c>
      <c r="M1625" s="147" t="str">
        <f t="shared" si="15"/>
        <v/>
      </c>
      <c r="N1625" s="147" t="str">
        <f t="shared" si="16"/>
        <v/>
      </c>
      <c r="O1625" s="147" t="str">
        <f t="shared" si="6"/>
        <v/>
      </c>
      <c r="P1625" s="150" t="str">
        <f t="shared" si="7"/>
        <v/>
      </c>
      <c r="Q1625" s="151" t="str">
        <f>IFERROR(VLOOKUP(C1625,Ativos!$A$1:$G2000,5,),)</f>
        <v/>
      </c>
    </row>
    <row r="1626" ht="21.0" customHeight="1">
      <c r="A1626" s="152"/>
      <c r="B1626" s="160"/>
      <c r="C1626" s="153"/>
      <c r="D1626" s="169"/>
      <c r="E1626" s="139"/>
      <c r="F1626" s="141"/>
      <c r="G1626" s="170" t="str">
        <f>IFERROR(__xludf.DUMMYFUNCTION("if($C1626="""","""",iferror(if(row()&lt;&gt;2,INDEX(arrayformula(filter($H$2:$H1625,$C$2:$C1625&lt;&gt;"""",row($C$2:$C1625)=max(if($C$2:$C1625=C1626,row($C$2:$C1625),0)))) ,1),0),0))"),"")</f>
        <v/>
      </c>
      <c r="H1626" s="170" t="str">
        <f t="shared" si="8"/>
        <v/>
      </c>
      <c r="I1626" s="147" t="str">
        <f t="shared" si="1"/>
        <v/>
      </c>
      <c r="J1626" s="147" t="str">
        <f t="shared" si="13"/>
        <v/>
      </c>
      <c r="K1626" s="147" t="str">
        <f>IFERROR(__xludf.DUMMYFUNCTION("if(C1626="""","""",iferror(if(row()&lt;&gt;2,INDEX(arrayformula(filter($L$2:$L1625,$C$2:$C1625&lt;&gt;"""",row($C$2:$C1625)=max(if($C$2:$C1625=C1626,row($C$2:$C1625),0)))) ,1),0),0))"),"")</f>
        <v/>
      </c>
      <c r="L1626" s="147" t="str">
        <f t="shared" si="14"/>
        <v/>
      </c>
      <c r="M1626" s="147" t="str">
        <f t="shared" si="15"/>
        <v/>
      </c>
      <c r="N1626" s="147" t="str">
        <f t="shared" si="16"/>
        <v/>
      </c>
      <c r="O1626" s="147" t="str">
        <f t="shared" si="6"/>
        <v/>
      </c>
      <c r="P1626" s="150" t="str">
        <f t="shared" si="7"/>
        <v/>
      </c>
      <c r="Q1626" s="151" t="str">
        <f>IFERROR(VLOOKUP(C1626,Ativos!$A$1:$G2000,5,),)</f>
        <v/>
      </c>
    </row>
    <row r="1627" ht="21.0" customHeight="1">
      <c r="A1627" s="152"/>
      <c r="B1627" s="160"/>
      <c r="C1627" s="153"/>
      <c r="D1627" s="169"/>
      <c r="E1627" s="139"/>
      <c r="F1627" s="141"/>
      <c r="G1627" s="170" t="str">
        <f>IFERROR(__xludf.DUMMYFUNCTION("if($C1627="""","""",iferror(if(row()&lt;&gt;2,INDEX(arrayformula(filter($H$2:$H1626,$C$2:$C1626&lt;&gt;"""",row($C$2:$C1626)=max(if($C$2:$C1626=C1627,row($C$2:$C1626),0)))) ,1),0),0))"),"")</f>
        <v/>
      </c>
      <c r="H1627" s="170" t="str">
        <f t="shared" si="8"/>
        <v/>
      </c>
      <c r="I1627" s="147" t="str">
        <f t="shared" si="1"/>
        <v/>
      </c>
      <c r="J1627" s="147" t="str">
        <f t="shared" si="13"/>
        <v/>
      </c>
      <c r="K1627" s="147" t="str">
        <f>IFERROR(__xludf.DUMMYFUNCTION("if(C1627="""","""",iferror(if(row()&lt;&gt;2,INDEX(arrayformula(filter($L$2:$L1626,$C$2:$C1626&lt;&gt;"""",row($C$2:$C1626)=max(if($C$2:$C1626=C1627,row($C$2:$C1626),0)))) ,1),0),0))"),"")</f>
        <v/>
      </c>
      <c r="L1627" s="147" t="str">
        <f t="shared" si="14"/>
        <v/>
      </c>
      <c r="M1627" s="147" t="str">
        <f t="shared" si="15"/>
        <v/>
      </c>
      <c r="N1627" s="147" t="str">
        <f t="shared" si="16"/>
        <v/>
      </c>
      <c r="O1627" s="147" t="str">
        <f t="shared" si="6"/>
        <v/>
      </c>
      <c r="P1627" s="150" t="str">
        <f t="shared" si="7"/>
        <v/>
      </c>
      <c r="Q1627" s="151" t="str">
        <f>IFERROR(VLOOKUP(C1627,Ativos!$A$1:$G2000,5,),)</f>
        <v/>
      </c>
    </row>
    <row r="1628" ht="21.0" customHeight="1">
      <c r="A1628" s="152"/>
      <c r="B1628" s="160"/>
      <c r="C1628" s="153"/>
      <c r="D1628" s="169"/>
      <c r="E1628" s="139"/>
      <c r="F1628" s="141"/>
      <c r="G1628" s="170" t="str">
        <f>IFERROR(__xludf.DUMMYFUNCTION("if($C1628="""","""",iferror(if(row()&lt;&gt;2,INDEX(arrayformula(filter($H$2:$H1627,$C$2:$C1627&lt;&gt;"""",row($C$2:$C1627)=max(if($C$2:$C1627=C1628,row($C$2:$C1627),0)))) ,1),0),0))"),"")</f>
        <v/>
      </c>
      <c r="H1628" s="170" t="str">
        <f t="shared" si="8"/>
        <v/>
      </c>
      <c r="I1628" s="147" t="str">
        <f t="shared" si="1"/>
        <v/>
      </c>
      <c r="J1628" s="147" t="str">
        <f t="shared" si="13"/>
        <v/>
      </c>
      <c r="K1628" s="147" t="str">
        <f>IFERROR(__xludf.DUMMYFUNCTION("if(C1628="""","""",iferror(if(row()&lt;&gt;2,INDEX(arrayformula(filter($L$2:$L1627,$C$2:$C1627&lt;&gt;"""",row($C$2:$C1627)=max(if($C$2:$C1627=C1628,row($C$2:$C1627),0)))) ,1),0),0))"),"")</f>
        <v/>
      </c>
      <c r="L1628" s="147" t="str">
        <f t="shared" si="14"/>
        <v/>
      </c>
      <c r="M1628" s="147" t="str">
        <f t="shared" si="15"/>
        <v/>
      </c>
      <c r="N1628" s="147" t="str">
        <f t="shared" si="16"/>
        <v/>
      </c>
      <c r="O1628" s="147" t="str">
        <f t="shared" si="6"/>
        <v/>
      </c>
      <c r="P1628" s="150" t="str">
        <f t="shared" si="7"/>
        <v/>
      </c>
      <c r="Q1628" s="151" t="str">
        <f>IFERROR(VLOOKUP(C1628,Ativos!$A$1:$G2000,5,),)</f>
        <v/>
      </c>
    </row>
    <row r="1629" ht="21.0" customHeight="1">
      <c r="A1629" s="152"/>
      <c r="B1629" s="160"/>
      <c r="C1629" s="153"/>
      <c r="D1629" s="169"/>
      <c r="E1629" s="139"/>
      <c r="F1629" s="141"/>
      <c r="G1629" s="170" t="str">
        <f>IFERROR(__xludf.DUMMYFUNCTION("if($C1629="""","""",iferror(if(row()&lt;&gt;2,INDEX(arrayformula(filter($H$2:$H1628,$C$2:$C1628&lt;&gt;"""",row($C$2:$C1628)=max(if($C$2:$C1628=C1629,row($C$2:$C1628),0)))) ,1),0),0))"),"")</f>
        <v/>
      </c>
      <c r="H1629" s="170" t="str">
        <f t="shared" si="8"/>
        <v/>
      </c>
      <c r="I1629" s="147" t="str">
        <f t="shared" si="1"/>
        <v/>
      </c>
      <c r="J1629" s="147" t="str">
        <f t="shared" si="13"/>
        <v/>
      </c>
      <c r="K1629" s="147" t="str">
        <f>IFERROR(__xludf.DUMMYFUNCTION("if(C1629="""","""",iferror(if(row()&lt;&gt;2,INDEX(arrayformula(filter($L$2:$L1628,$C$2:$C1628&lt;&gt;"""",row($C$2:$C1628)=max(if($C$2:$C1628=C1629,row($C$2:$C1628),0)))) ,1),0),0))"),"")</f>
        <v/>
      </c>
      <c r="L1629" s="147" t="str">
        <f t="shared" si="14"/>
        <v/>
      </c>
      <c r="M1629" s="147" t="str">
        <f t="shared" si="15"/>
        <v/>
      </c>
      <c r="N1629" s="147" t="str">
        <f t="shared" si="16"/>
        <v/>
      </c>
      <c r="O1629" s="147" t="str">
        <f t="shared" si="6"/>
        <v/>
      </c>
      <c r="P1629" s="150" t="str">
        <f t="shared" si="7"/>
        <v/>
      </c>
      <c r="Q1629" s="151" t="str">
        <f>IFERROR(VLOOKUP(C1629,Ativos!$A$1:$G2000,5,),)</f>
        <v/>
      </c>
    </row>
    <row r="1630" ht="21.0" customHeight="1">
      <c r="A1630" s="152"/>
      <c r="B1630" s="160"/>
      <c r="C1630" s="153"/>
      <c r="D1630" s="169"/>
      <c r="E1630" s="139"/>
      <c r="F1630" s="141"/>
      <c r="G1630" s="170" t="str">
        <f>IFERROR(__xludf.DUMMYFUNCTION("if($C1630="""","""",iferror(if(row()&lt;&gt;2,INDEX(arrayformula(filter($H$2:$H1629,$C$2:$C1629&lt;&gt;"""",row($C$2:$C1629)=max(if($C$2:$C1629=C1630,row($C$2:$C1629),0)))) ,1),0),0))"),"")</f>
        <v/>
      </c>
      <c r="H1630" s="170" t="str">
        <f t="shared" si="8"/>
        <v/>
      </c>
      <c r="I1630" s="147" t="str">
        <f t="shared" si="1"/>
        <v/>
      </c>
      <c r="J1630" s="147" t="str">
        <f t="shared" si="13"/>
        <v/>
      </c>
      <c r="K1630" s="147" t="str">
        <f>IFERROR(__xludf.DUMMYFUNCTION("if(C1630="""","""",iferror(if(row()&lt;&gt;2,INDEX(arrayformula(filter($L$2:$L1629,$C$2:$C1629&lt;&gt;"""",row($C$2:$C1629)=max(if($C$2:$C1629=C1630,row($C$2:$C1629),0)))) ,1),0),0))"),"")</f>
        <v/>
      </c>
      <c r="L1630" s="147" t="str">
        <f t="shared" si="14"/>
        <v/>
      </c>
      <c r="M1630" s="147" t="str">
        <f t="shared" si="15"/>
        <v/>
      </c>
      <c r="N1630" s="147" t="str">
        <f t="shared" si="16"/>
        <v/>
      </c>
      <c r="O1630" s="147" t="str">
        <f t="shared" si="6"/>
        <v/>
      </c>
      <c r="P1630" s="150" t="str">
        <f t="shared" si="7"/>
        <v/>
      </c>
      <c r="Q1630" s="151" t="str">
        <f>IFERROR(VLOOKUP(C1630,Ativos!$A$1:$G2000,5,),)</f>
        <v/>
      </c>
    </row>
    <row r="1631" ht="21.0" customHeight="1">
      <c r="A1631" s="152"/>
      <c r="B1631" s="160"/>
      <c r="C1631" s="153"/>
      <c r="D1631" s="169"/>
      <c r="E1631" s="139"/>
      <c r="F1631" s="141"/>
      <c r="G1631" s="170" t="str">
        <f>IFERROR(__xludf.DUMMYFUNCTION("if($C1631="""","""",iferror(if(row()&lt;&gt;2,INDEX(arrayformula(filter($H$2:$H1630,$C$2:$C1630&lt;&gt;"""",row($C$2:$C1630)=max(if($C$2:$C1630=C1631,row($C$2:$C1630),0)))) ,1),0),0))"),"")</f>
        <v/>
      </c>
      <c r="H1631" s="170" t="str">
        <f t="shared" si="8"/>
        <v/>
      </c>
      <c r="I1631" s="147" t="str">
        <f t="shared" si="1"/>
        <v/>
      </c>
      <c r="J1631" s="147" t="str">
        <f t="shared" si="13"/>
        <v/>
      </c>
      <c r="K1631" s="147" t="str">
        <f>IFERROR(__xludf.DUMMYFUNCTION("if(C1631="""","""",iferror(if(row()&lt;&gt;2,INDEX(arrayformula(filter($L$2:$L1630,$C$2:$C1630&lt;&gt;"""",row($C$2:$C1630)=max(if($C$2:$C1630=C1631,row($C$2:$C1630),0)))) ,1),0),0))"),"")</f>
        <v/>
      </c>
      <c r="L1631" s="147" t="str">
        <f t="shared" si="14"/>
        <v/>
      </c>
      <c r="M1631" s="147" t="str">
        <f t="shared" si="15"/>
        <v/>
      </c>
      <c r="N1631" s="147" t="str">
        <f t="shared" si="16"/>
        <v/>
      </c>
      <c r="O1631" s="147" t="str">
        <f t="shared" si="6"/>
        <v/>
      </c>
      <c r="P1631" s="150" t="str">
        <f t="shared" si="7"/>
        <v/>
      </c>
      <c r="Q1631" s="151" t="str">
        <f>IFERROR(VLOOKUP(C1631,Ativos!$A$1:$G2000,5,),)</f>
        <v/>
      </c>
    </row>
    <row r="1632" ht="21.0" customHeight="1">
      <c r="A1632" s="152"/>
      <c r="B1632" s="160"/>
      <c r="C1632" s="153"/>
      <c r="D1632" s="169"/>
      <c r="E1632" s="139"/>
      <c r="F1632" s="141"/>
      <c r="G1632" s="170" t="str">
        <f>IFERROR(__xludf.DUMMYFUNCTION("if($C1632="""","""",iferror(if(row()&lt;&gt;2,INDEX(arrayformula(filter($H$2:$H1631,$C$2:$C1631&lt;&gt;"""",row($C$2:$C1631)=max(if($C$2:$C1631=C1632,row($C$2:$C1631),0)))) ,1),0),0))"),"")</f>
        <v/>
      </c>
      <c r="H1632" s="170" t="str">
        <f t="shared" si="8"/>
        <v/>
      </c>
      <c r="I1632" s="147" t="str">
        <f t="shared" si="1"/>
        <v/>
      </c>
      <c r="J1632" s="147" t="str">
        <f t="shared" si="13"/>
        <v/>
      </c>
      <c r="K1632" s="147" t="str">
        <f>IFERROR(__xludf.DUMMYFUNCTION("if(C1632="""","""",iferror(if(row()&lt;&gt;2,INDEX(arrayformula(filter($L$2:$L1631,$C$2:$C1631&lt;&gt;"""",row($C$2:$C1631)=max(if($C$2:$C1631=C1632,row($C$2:$C1631),0)))) ,1),0),0))"),"")</f>
        <v/>
      </c>
      <c r="L1632" s="147" t="str">
        <f t="shared" si="14"/>
        <v/>
      </c>
      <c r="M1632" s="147" t="str">
        <f t="shared" si="15"/>
        <v/>
      </c>
      <c r="N1632" s="147" t="str">
        <f t="shared" si="16"/>
        <v/>
      </c>
      <c r="O1632" s="147" t="str">
        <f t="shared" si="6"/>
        <v/>
      </c>
      <c r="P1632" s="150" t="str">
        <f t="shared" si="7"/>
        <v/>
      </c>
      <c r="Q1632" s="151" t="str">
        <f>IFERROR(VLOOKUP(C1632,Ativos!$A$1:$G2000,5,),)</f>
        <v/>
      </c>
    </row>
    <row r="1633" ht="21.0" customHeight="1">
      <c r="A1633" s="152"/>
      <c r="B1633" s="160"/>
      <c r="C1633" s="153"/>
      <c r="D1633" s="169"/>
      <c r="E1633" s="139"/>
      <c r="F1633" s="141"/>
      <c r="G1633" s="170" t="str">
        <f>IFERROR(__xludf.DUMMYFUNCTION("if($C1633="""","""",iferror(if(row()&lt;&gt;2,INDEX(arrayformula(filter($H$2:$H1632,$C$2:$C1632&lt;&gt;"""",row($C$2:$C1632)=max(if($C$2:$C1632=C1633,row($C$2:$C1632),0)))) ,1),0),0))"),"")</f>
        <v/>
      </c>
      <c r="H1633" s="170" t="str">
        <f t="shared" si="8"/>
        <v/>
      </c>
      <c r="I1633" s="147" t="str">
        <f t="shared" si="1"/>
        <v/>
      </c>
      <c r="J1633" s="147" t="str">
        <f t="shared" si="13"/>
        <v/>
      </c>
      <c r="K1633" s="147" t="str">
        <f>IFERROR(__xludf.DUMMYFUNCTION("if(C1633="""","""",iferror(if(row()&lt;&gt;2,INDEX(arrayformula(filter($L$2:$L1632,$C$2:$C1632&lt;&gt;"""",row($C$2:$C1632)=max(if($C$2:$C1632=C1633,row($C$2:$C1632),0)))) ,1),0),0))"),"")</f>
        <v/>
      </c>
      <c r="L1633" s="147" t="str">
        <f t="shared" si="14"/>
        <v/>
      </c>
      <c r="M1633" s="147" t="str">
        <f t="shared" si="15"/>
        <v/>
      </c>
      <c r="N1633" s="147" t="str">
        <f t="shared" si="16"/>
        <v/>
      </c>
      <c r="O1633" s="147" t="str">
        <f t="shared" si="6"/>
        <v/>
      </c>
      <c r="P1633" s="150" t="str">
        <f t="shared" si="7"/>
        <v/>
      </c>
      <c r="Q1633" s="151" t="str">
        <f>IFERROR(VLOOKUP(C1633,Ativos!$A$1:$G2000,5,),)</f>
        <v/>
      </c>
    </row>
    <row r="1634" ht="21.0" customHeight="1">
      <c r="A1634" s="152"/>
      <c r="B1634" s="160"/>
      <c r="C1634" s="153"/>
      <c r="D1634" s="169"/>
      <c r="E1634" s="139"/>
      <c r="F1634" s="141"/>
      <c r="G1634" s="170" t="str">
        <f>IFERROR(__xludf.DUMMYFUNCTION("if($C1634="""","""",iferror(if(row()&lt;&gt;2,INDEX(arrayformula(filter($H$2:$H1633,$C$2:$C1633&lt;&gt;"""",row($C$2:$C1633)=max(if($C$2:$C1633=C1634,row($C$2:$C1633),0)))) ,1),0),0))"),"")</f>
        <v/>
      </c>
      <c r="H1634" s="170" t="str">
        <f t="shared" si="8"/>
        <v/>
      </c>
      <c r="I1634" s="147" t="str">
        <f t="shared" si="1"/>
        <v/>
      </c>
      <c r="J1634" s="147" t="str">
        <f t="shared" si="13"/>
        <v/>
      </c>
      <c r="K1634" s="147" t="str">
        <f>IFERROR(__xludf.DUMMYFUNCTION("if(C1634="""","""",iferror(if(row()&lt;&gt;2,INDEX(arrayformula(filter($L$2:$L1633,$C$2:$C1633&lt;&gt;"""",row($C$2:$C1633)=max(if($C$2:$C1633=C1634,row($C$2:$C1633),0)))) ,1),0),0))"),"")</f>
        <v/>
      </c>
      <c r="L1634" s="147" t="str">
        <f t="shared" si="14"/>
        <v/>
      </c>
      <c r="M1634" s="147" t="str">
        <f t="shared" si="15"/>
        <v/>
      </c>
      <c r="N1634" s="147" t="str">
        <f t="shared" si="16"/>
        <v/>
      </c>
      <c r="O1634" s="147" t="str">
        <f t="shared" si="6"/>
        <v/>
      </c>
      <c r="P1634" s="150" t="str">
        <f t="shared" si="7"/>
        <v/>
      </c>
      <c r="Q1634" s="151" t="str">
        <f>IFERROR(VLOOKUP(C1634,Ativos!$A$1:$G2000,5,),)</f>
        <v/>
      </c>
    </row>
    <row r="1635" ht="21.0" customHeight="1">
      <c r="A1635" s="152"/>
      <c r="B1635" s="160"/>
      <c r="C1635" s="153"/>
      <c r="D1635" s="169"/>
      <c r="E1635" s="139"/>
      <c r="F1635" s="141"/>
      <c r="G1635" s="170" t="str">
        <f>IFERROR(__xludf.DUMMYFUNCTION("if($C1635="""","""",iferror(if(row()&lt;&gt;2,INDEX(arrayformula(filter($H$2:$H1634,$C$2:$C1634&lt;&gt;"""",row($C$2:$C1634)=max(if($C$2:$C1634=C1635,row($C$2:$C1634),0)))) ,1),0),0))"),"")</f>
        <v/>
      </c>
      <c r="H1635" s="170" t="str">
        <f t="shared" si="8"/>
        <v/>
      </c>
      <c r="I1635" s="147" t="str">
        <f t="shared" si="1"/>
        <v/>
      </c>
      <c r="J1635" s="147" t="str">
        <f t="shared" si="13"/>
        <v/>
      </c>
      <c r="K1635" s="147" t="str">
        <f>IFERROR(__xludf.DUMMYFUNCTION("if(C1635="""","""",iferror(if(row()&lt;&gt;2,INDEX(arrayformula(filter($L$2:$L1634,$C$2:$C1634&lt;&gt;"""",row($C$2:$C1634)=max(if($C$2:$C1634=C1635,row($C$2:$C1634),0)))) ,1),0),0))"),"")</f>
        <v/>
      </c>
      <c r="L1635" s="147" t="str">
        <f t="shared" si="14"/>
        <v/>
      </c>
      <c r="M1635" s="147" t="str">
        <f t="shared" si="15"/>
        <v/>
      </c>
      <c r="N1635" s="147" t="str">
        <f t="shared" si="16"/>
        <v/>
      </c>
      <c r="O1635" s="147" t="str">
        <f t="shared" si="6"/>
        <v/>
      </c>
      <c r="P1635" s="150" t="str">
        <f t="shared" si="7"/>
        <v/>
      </c>
      <c r="Q1635" s="151" t="str">
        <f>IFERROR(VLOOKUP(C1635,Ativos!$A$1:$G2000,5,),)</f>
        <v/>
      </c>
    </row>
    <row r="1636" ht="21.0" customHeight="1">
      <c r="A1636" s="152"/>
      <c r="B1636" s="160"/>
      <c r="C1636" s="153"/>
      <c r="D1636" s="169"/>
      <c r="E1636" s="139"/>
      <c r="F1636" s="141"/>
      <c r="G1636" s="170" t="str">
        <f>IFERROR(__xludf.DUMMYFUNCTION("if($C1636="""","""",iferror(if(row()&lt;&gt;2,INDEX(arrayformula(filter($H$2:$H1635,$C$2:$C1635&lt;&gt;"""",row($C$2:$C1635)=max(if($C$2:$C1635=C1636,row($C$2:$C1635),0)))) ,1),0),0))"),"")</f>
        <v/>
      </c>
      <c r="H1636" s="170" t="str">
        <f t="shared" si="8"/>
        <v/>
      </c>
      <c r="I1636" s="147" t="str">
        <f t="shared" si="1"/>
        <v/>
      </c>
      <c r="J1636" s="147" t="str">
        <f t="shared" si="13"/>
        <v/>
      </c>
      <c r="K1636" s="147" t="str">
        <f>IFERROR(__xludf.DUMMYFUNCTION("if(C1636="""","""",iferror(if(row()&lt;&gt;2,INDEX(arrayformula(filter($L$2:$L1635,$C$2:$C1635&lt;&gt;"""",row($C$2:$C1635)=max(if($C$2:$C1635=C1636,row($C$2:$C1635),0)))) ,1),0),0))"),"")</f>
        <v/>
      </c>
      <c r="L1636" s="147" t="str">
        <f t="shared" si="14"/>
        <v/>
      </c>
      <c r="M1636" s="147" t="str">
        <f t="shared" si="15"/>
        <v/>
      </c>
      <c r="N1636" s="147" t="str">
        <f t="shared" si="16"/>
        <v/>
      </c>
      <c r="O1636" s="147" t="str">
        <f t="shared" si="6"/>
        <v/>
      </c>
      <c r="P1636" s="150" t="str">
        <f t="shared" si="7"/>
        <v/>
      </c>
      <c r="Q1636" s="151" t="str">
        <f>IFERROR(VLOOKUP(C1636,Ativos!$A$1:$G2000,5,),)</f>
        <v/>
      </c>
    </row>
    <row r="1637" ht="21.0" customHeight="1">
      <c r="A1637" s="152"/>
      <c r="B1637" s="160"/>
      <c r="C1637" s="153"/>
      <c r="D1637" s="169"/>
      <c r="E1637" s="139"/>
      <c r="F1637" s="141"/>
      <c r="G1637" s="170" t="str">
        <f>IFERROR(__xludf.DUMMYFUNCTION("if($C1637="""","""",iferror(if(row()&lt;&gt;2,INDEX(arrayformula(filter($H$2:$H1636,$C$2:$C1636&lt;&gt;"""",row($C$2:$C1636)=max(if($C$2:$C1636=C1637,row($C$2:$C1636),0)))) ,1),0),0))"),"")</f>
        <v/>
      </c>
      <c r="H1637" s="170" t="str">
        <f t="shared" si="8"/>
        <v/>
      </c>
      <c r="I1637" s="147" t="str">
        <f t="shared" si="1"/>
        <v/>
      </c>
      <c r="J1637" s="147" t="str">
        <f t="shared" si="13"/>
        <v/>
      </c>
      <c r="K1637" s="147" t="str">
        <f>IFERROR(__xludf.DUMMYFUNCTION("if(C1637="""","""",iferror(if(row()&lt;&gt;2,INDEX(arrayformula(filter($L$2:$L1636,$C$2:$C1636&lt;&gt;"""",row($C$2:$C1636)=max(if($C$2:$C1636=C1637,row($C$2:$C1636),0)))) ,1),0),0))"),"")</f>
        <v/>
      </c>
      <c r="L1637" s="147" t="str">
        <f t="shared" si="14"/>
        <v/>
      </c>
      <c r="M1637" s="147" t="str">
        <f t="shared" si="15"/>
        <v/>
      </c>
      <c r="N1637" s="147" t="str">
        <f t="shared" si="16"/>
        <v/>
      </c>
      <c r="O1637" s="147" t="str">
        <f t="shared" si="6"/>
        <v/>
      </c>
      <c r="P1637" s="150" t="str">
        <f t="shared" si="7"/>
        <v/>
      </c>
      <c r="Q1637" s="151" t="str">
        <f>IFERROR(VLOOKUP(C1637,Ativos!$A$1:$G2000,5,),)</f>
        <v/>
      </c>
    </row>
    <row r="1638" ht="21.0" customHeight="1">
      <c r="A1638" s="152"/>
      <c r="B1638" s="160"/>
      <c r="C1638" s="153"/>
      <c r="D1638" s="169"/>
      <c r="E1638" s="139"/>
      <c r="F1638" s="141"/>
      <c r="G1638" s="170" t="str">
        <f>IFERROR(__xludf.DUMMYFUNCTION("if($C1638="""","""",iferror(if(row()&lt;&gt;2,INDEX(arrayformula(filter($H$2:$H1637,$C$2:$C1637&lt;&gt;"""",row($C$2:$C1637)=max(if($C$2:$C1637=C1638,row($C$2:$C1637),0)))) ,1),0),0))"),"")</f>
        <v/>
      </c>
      <c r="H1638" s="170" t="str">
        <f t="shared" si="8"/>
        <v/>
      </c>
      <c r="I1638" s="147" t="str">
        <f t="shared" si="1"/>
        <v/>
      </c>
      <c r="J1638" s="147" t="str">
        <f t="shared" si="13"/>
        <v/>
      </c>
      <c r="K1638" s="147" t="str">
        <f>IFERROR(__xludf.DUMMYFUNCTION("if(C1638="""","""",iferror(if(row()&lt;&gt;2,INDEX(arrayformula(filter($L$2:$L1637,$C$2:$C1637&lt;&gt;"""",row($C$2:$C1637)=max(if($C$2:$C1637=C1638,row($C$2:$C1637),0)))) ,1),0),0))"),"")</f>
        <v/>
      </c>
      <c r="L1638" s="147" t="str">
        <f t="shared" si="14"/>
        <v/>
      </c>
      <c r="M1638" s="147" t="str">
        <f t="shared" si="15"/>
        <v/>
      </c>
      <c r="N1638" s="147" t="str">
        <f t="shared" si="16"/>
        <v/>
      </c>
      <c r="O1638" s="147" t="str">
        <f t="shared" si="6"/>
        <v/>
      </c>
      <c r="P1638" s="150" t="str">
        <f t="shared" si="7"/>
        <v/>
      </c>
      <c r="Q1638" s="151" t="str">
        <f>IFERROR(VLOOKUP(C1638,Ativos!$A$1:$G2000,5,),)</f>
        <v/>
      </c>
    </row>
    <row r="1639" ht="21.0" customHeight="1">
      <c r="A1639" s="152"/>
      <c r="B1639" s="160"/>
      <c r="C1639" s="153"/>
      <c r="D1639" s="169"/>
      <c r="E1639" s="139"/>
      <c r="F1639" s="141"/>
      <c r="G1639" s="170" t="str">
        <f>IFERROR(__xludf.DUMMYFUNCTION("if($C1639="""","""",iferror(if(row()&lt;&gt;2,INDEX(arrayformula(filter($H$2:$H1638,$C$2:$C1638&lt;&gt;"""",row($C$2:$C1638)=max(if($C$2:$C1638=C1639,row($C$2:$C1638),0)))) ,1),0),0))"),"")</f>
        <v/>
      </c>
      <c r="H1639" s="170" t="str">
        <f t="shared" si="8"/>
        <v/>
      </c>
      <c r="I1639" s="147" t="str">
        <f t="shared" si="1"/>
        <v/>
      </c>
      <c r="J1639" s="147" t="str">
        <f t="shared" si="13"/>
        <v/>
      </c>
      <c r="K1639" s="147" t="str">
        <f>IFERROR(__xludf.DUMMYFUNCTION("if(C1639="""","""",iferror(if(row()&lt;&gt;2,INDEX(arrayformula(filter($L$2:$L1638,$C$2:$C1638&lt;&gt;"""",row($C$2:$C1638)=max(if($C$2:$C1638=C1639,row($C$2:$C1638),0)))) ,1),0),0))"),"")</f>
        <v/>
      </c>
      <c r="L1639" s="147" t="str">
        <f t="shared" si="14"/>
        <v/>
      </c>
      <c r="M1639" s="147" t="str">
        <f t="shared" si="15"/>
        <v/>
      </c>
      <c r="N1639" s="147" t="str">
        <f t="shared" si="16"/>
        <v/>
      </c>
      <c r="O1639" s="147" t="str">
        <f t="shared" si="6"/>
        <v/>
      </c>
      <c r="P1639" s="150" t="str">
        <f t="shared" si="7"/>
        <v/>
      </c>
      <c r="Q1639" s="151" t="str">
        <f>IFERROR(VLOOKUP(C1639,Ativos!$A$1:$G2000,5,),)</f>
        <v/>
      </c>
    </row>
    <row r="1640" ht="21.0" customHeight="1">
      <c r="A1640" s="152"/>
      <c r="B1640" s="160"/>
      <c r="C1640" s="153"/>
      <c r="D1640" s="169"/>
      <c r="E1640" s="139"/>
      <c r="F1640" s="141"/>
      <c r="G1640" s="170" t="str">
        <f>IFERROR(__xludf.DUMMYFUNCTION("if($C1640="""","""",iferror(if(row()&lt;&gt;2,INDEX(arrayformula(filter($H$2:$H1639,$C$2:$C1639&lt;&gt;"""",row($C$2:$C1639)=max(if($C$2:$C1639=C1640,row($C$2:$C1639),0)))) ,1),0),0))"),"")</f>
        <v/>
      </c>
      <c r="H1640" s="170" t="str">
        <f t="shared" si="8"/>
        <v/>
      </c>
      <c r="I1640" s="147" t="str">
        <f t="shared" si="1"/>
        <v/>
      </c>
      <c r="J1640" s="147" t="str">
        <f t="shared" si="13"/>
        <v/>
      </c>
      <c r="K1640" s="147" t="str">
        <f>IFERROR(__xludf.DUMMYFUNCTION("if(C1640="""","""",iferror(if(row()&lt;&gt;2,INDEX(arrayformula(filter($L$2:$L1639,$C$2:$C1639&lt;&gt;"""",row($C$2:$C1639)=max(if($C$2:$C1639=C1640,row($C$2:$C1639),0)))) ,1),0),0))"),"")</f>
        <v/>
      </c>
      <c r="L1640" s="147" t="str">
        <f t="shared" si="14"/>
        <v/>
      </c>
      <c r="M1640" s="147" t="str">
        <f t="shared" si="15"/>
        <v/>
      </c>
      <c r="N1640" s="147" t="str">
        <f t="shared" si="16"/>
        <v/>
      </c>
      <c r="O1640" s="147" t="str">
        <f t="shared" si="6"/>
        <v/>
      </c>
      <c r="P1640" s="150" t="str">
        <f t="shared" si="7"/>
        <v/>
      </c>
      <c r="Q1640" s="151" t="str">
        <f>IFERROR(VLOOKUP(C1640,Ativos!$A$1:$G2000,5,),)</f>
        <v/>
      </c>
    </row>
    <row r="1641" ht="21.0" customHeight="1">
      <c r="A1641" s="152"/>
      <c r="B1641" s="160"/>
      <c r="C1641" s="153"/>
      <c r="D1641" s="169"/>
      <c r="E1641" s="139"/>
      <c r="F1641" s="141"/>
      <c r="G1641" s="170" t="str">
        <f>IFERROR(__xludf.DUMMYFUNCTION("if($C1641="""","""",iferror(if(row()&lt;&gt;2,INDEX(arrayformula(filter($H$2:$H1640,$C$2:$C1640&lt;&gt;"""",row($C$2:$C1640)=max(if($C$2:$C1640=C1641,row($C$2:$C1640),0)))) ,1),0),0))"),"")</f>
        <v/>
      </c>
      <c r="H1641" s="170" t="str">
        <f t="shared" si="8"/>
        <v/>
      </c>
      <c r="I1641" s="147" t="str">
        <f t="shared" si="1"/>
        <v/>
      </c>
      <c r="J1641" s="147" t="str">
        <f t="shared" si="13"/>
        <v/>
      </c>
      <c r="K1641" s="147" t="str">
        <f>IFERROR(__xludf.DUMMYFUNCTION("if(C1641="""","""",iferror(if(row()&lt;&gt;2,INDEX(arrayformula(filter($L$2:$L1640,$C$2:$C1640&lt;&gt;"""",row($C$2:$C1640)=max(if($C$2:$C1640=C1641,row($C$2:$C1640),0)))) ,1),0),0))"),"")</f>
        <v/>
      </c>
      <c r="L1641" s="147" t="str">
        <f t="shared" si="14"/>
        <v/>
      </c>
      <c r="M1641" s="147" t="str">
        <f t="shared" si="15"/>
        <v/>
      </c>
      <c r="N1641" s="147" t="str">
        <f t="shared" si="16"/>
        <v/>
      </c>
      <c r="O1641" s="147" t="str">
        <f t="shared" si="6"/>
        <v/>
      </c>
      <c r="P1641" s="150" t="str">
        <f t="shared" si="7"/>
        <v/>
      </c>
      <c r="Q1641" s="151" t="str">
        <f>IFERROR(VLOOKUP(C1641,Ativos!$A$1:$G2000,5,),)</f>
        <v/>
      </c>
    </row>
    <row r="1642" ht="21.0" customHeight="1">
      <c r="A1642" s="152"/>
      <c r="B1642" s="160"/>
      <c r="C1642" s="153"/>
      <c r="D1642" s="169"/>
      <c r="E1642" s="139"/>
      <c r="F1642" s="141"/>
      <c r="G1642" s="170" t="str">
        <f>IFERROR(__xludf.DUMMYFUNCTION("if($C1642="""","""",iferror(if(row()&lt;&gt;2,INDEX(arrayformula(filter($H$2:$H1641,$C$2:$C1641&lt;&gt;"""",row($C$2:$C1641)=max(if($C$2:$C1641=C1642,row($C$2:$C1641),0)))) ,1),0),0))"),"")</f>
        <v/>
      </c>
      <c r="H1642" s="170" t="str">
        <f t="shared" si="8"/>
        <v/>
      </c>
      <c r="I1642" s="147" t="str">
        <f t="shared" si="1"/>
        <v/>
      </c>
      <c r="J1642" s="147" t="str">
        <f t="shared" si="13"/>
        <v/>
      </c>
      <c r="K1642" s="147" t="str">
        <f>IFERROR(__xludf.DUMMYFUNCTION("if(C1642="""","""",iferror(if(row()&lt;&gt;2,INDEX(arrayformula(filter($L$2:$L1641,$C$2:$C1641&lt;&gt;"""",row($C$2:$C1641)=max(if($C$2:$C1641=C1642,row($C$2:$C1641),0)))) ,1),0),0))"),"")</f>
        <v/>
      </c>
      <c r="L1642" s="147" t="str">
        <f t="shared" si="14"/>
        <v/>
      </c>
      <c r="M1642" s="147" t="str">
        <f t="shared" si="15"/>
        <v/>
      </c>
      <c r="N1642" s="147" t="str">
        <f t="shared" si="16"/>
        <v/>
      </c>
      <c r="O1642" s="147" t="str">
        <f t="shared" si="6"/>
        <v/>
      </c>
      <c r="P1642" s="150" t="str">
        <f t="shared" si="7"/>
        <v/>
      </c>
      <c r="Q1642" s="151" t="str">
        <f>IFERROR(VLOOKUP(C1642,Ativos!$A$1:$G2000,5,),)</f>
        <v/>
      </c>
    </row>
    <row r="1643" ht="21.0" customHeight="1">
      <c r="A1643" s="152"/>
      <c r="B1643" s="160"/>
      <c r="C1643" s="153"/>
      <c r="D1643" s="169"/>
      <c r="E1643" s="139"/>
      <c r="F1643" s="141"/>
      <c r="G1643" s="170" t="str">
        <f>IFERROR(__xludf.DUMMYFUNCTION("if($C1643="""","""",iferror(if(row()&lt;&gt;2,INDEX(arrayformula(filter($H$2:$H1642,$C$2:$C1642&lt;&gt;"""",row($C$2:$C1642)=max(if($C$2:$C1642=C1643,row($C$2:$C1642),0)))) ,1),0),0))"),"")</f>
        <v/>
      </c>
      <c r="H1643" s="170" t="str">
        <f t="shared" si="8"/>
        <v/>
      </c>
      <c r="I1643" s="147" t="str">
        <f t="shared" si="1"/>
        <v/>
      </c>
      <c r="J1643" s="147" t="str">
        <f t="shared" si="13"/>
        <v/>
      </c>
      <c r="K1643" s="147" t="str">
        <f>IFERROR(__xludf.DUMMYFUNCTION("if(C1643="""","""",iferror(if(row()&lt;&gt;2,INDEX(arrayformula(filter($L$2:$L1642,$C$2:$C1642&lt;&gt;"""",row($C$2:$C1642)=max(if($C$2:$C1642=C1643,row($C$2:$C1642),0)))) ,1),0),0))"),"")</f>
        <v/>
      </c>
      <c r="L1643" s="147" t="str">
        <f t="shared" si="14"/>
        <v/>
      </c>
      <c r="M1643" s="147" t="str">
        <f t="shared" si="15"/>
        <v/>
      </c>
      <c r="N1643" s="147" t="str">
        <f t="shared" si="16"/>
        <v/>
      </c>
      <c r="O1643" s="147" t="str">
        <f t="shared" si="6"/>
        <v/>
      </c>
      <c r="P1643" s="150" t="str">
        <f t="shared" si="7"/>
        <v/>
      </c>
      <c r="Q1643" s="151" t="str">
        <f>IFERROR(VLOOKUP(C1643,Ativos!$A$1:$G2000,5,),)</f>
        <v/>
      </c>
    </row>
    <row r="1644" ht="21.0" customHeight="1">
      <c r="A1644" s="152"/>
      <c r="B1644" s="160"/>
      <c r="C1644" s="153"/>
      <c r="D1644" s="169"/>
      <c r="E1644" s="139"/>
      <c r="F1644" s="141"/>
      <c r="G1644" s="170" t="str">
        <f>IFERROR(__xludf.DUMMYFUNCTION("if($C1644="""","""",iferror(if(row()&lt;&gt;2,INDEX(arrayformula(filter($H$2:$H1643,$C$2:$C1643&lt;&gt;"""",row($C$2:$C1643)=max(if($C$2:$C1643=C1644,row($C$2:$C1643),0)))) ,1),0),0))"),"")</f>
        <v/>
      </c>
      <c r="H1644" s="170" t="str">
        <f t="shared" si="8"/>
        <v/>
      </c>
      <c r="I1644" s="147" t="str">
        <f t="shared" si="1"/>
        <v/>
      </c>
      <c r="J1644" s="147" t="str">
        <f t="shared" si="13"/>
        <v/>
      </c>
      <c r="K1644" s="147" t="str">
        <f>IFERROR(__xludf.DUMMYFUNCTION("if(C1644="""","""",iferror(if(row()&lt;&gt;2,INDEX(arrayformula(filter($L$2:$L1643,$C$2:$C1643&lt;&gt;"""",row($C$2:$C1643)=max(if($C$2:$C1643=C1644,row($C$2:$C1643),0)))) ,1),0),0))"),"")</f>
        <v/>
      </c>
      <c r="L1644" s="147" t="str">
        <f t="shared" si="14"/>
        <v/>
      </c>
      <c r="M1644" s="147" t="str">
        <f t="shared" si="15"/>
        <v/>
      </c>
      <c r="N1644" s="147" t="str">
        <f t="shared" si="16"/>
        <v/>
      </c>
      <c r="O1644" s="147" t="str">
        <f t="shared" si="6"/>
        <v/>
      </c>
      <c r="P1644" s="150" t="str">
        <f t="shared" si="7"/>
        <v/>
      </c>
      <c r="Q1644" s="151" t="str">
        <f>IFERROR(VLOOKUP(C1644,Ativos!$A$1:$G2000,5,),)</f>
        <v/>
      </c>
    </row>
    <row r="1645" ht="21.0" customHeight="1">
      <c r="A1645" s="152"/>
      <c r="B1645" s="160"/>
      <c r="C1645" s="153"/>
      <c r="D1645" s="169"/>
      <c r="E1645" s="139"/>
      <c r="F1645" s="141"/>
      <c r="G1645" s="170" t="str">
        <f>IFERROR(__xludf.DUMMYFUNCTION("if($C1645="""","""",iferror(if(row()&lt;&gt;2,INDEX(arrayformula(filter($H$2:$H1644,$C$2:$C1644&lt;&gt;"""",row($C$2:$C1644)=max(if($C$2:$C1644=C1645,row($C$2:$C1644),0)))) ,1),0),0))"),"")</f>
        <v/>
      </c>
      <c r="H1645" s="170" t="str">
        <f t="shared" si="8"/>
        <v/>
      </c>
      <c r="I1645" s="147" t="str">
        <f t="shared" si="1"/>
        <v/>
      </c>
      <c r="J1645" s="147" t="str">
        <f t="shared" si="13"/>
        <v/>
      </c>
      <c r="K1645" s="147" t="str">
        <f>IFERROR(__xludf.DUMMYFUNCTION("if(C1645="""","""",iferror(if(row()&lt;&gt;2,INDEX(arrayformula(filter($L$2:$L1644,$C$2:$C1644&lt;&gt;"""",row($C$2:$C1644)=max(if($C$2:$C1644=C1645,row($C$2:$C1644),0)))) ,1),0),0))"),"")</f>
        <v/>
      </c>
      <c r="L1645" s="147" t="str">
        <f t="shared" si="14"/>
        <v/>
      </c>
      <c r="M1645" s="147" t="str">
        <f t="shared" si="15"/>
        <v/>
      </c>
      <c r="N1645" s="147" t="str">
        <f t="shared" si="16"/>
        <v/>
      </c>
      <c r="O1645" s="147" t="str">
        <f t="shared" si="6"/>
        <v/>
      </c>
      <c r="P1645" s="150" t="str">
        <f t="shared" si="7"/>
        <v/>
      </c>
      <c r="Q1645" s="151" t="str">
        <f>IFERROR(VLOOKUP(C1645,Ativos!$A$1:$G2000,5,),)</f>
        <v/>
      </c>
    </row>
    <row r="1646" ht="21.0" customHeight="1">
      <c r="A1646" s="152"/>
      <c r="B1646" s="160"/>
      <c r="C1646" s="153"/>
      <c r="D1646" s="169"/>
      <c r="E1646" s="139"/>
      <c r="F1646" s="141"/>
      <c r="G1646" s="170" t="str">
        <f>IFERROR(__xludf.DUMMYFUNCTION("if($C1646="""","""",iferror(if(row()&lt;&gt;2,INDEX(arrayformula(filter($H$2:$H1645,$C$2:$C1645&lt;&gt;"""",row($C$2:$C1645)=max(if($C$2:$C1645=C1646,row($C$2:$C1645),0)))) ,1),0),0))"),"")</f>
        <v/>
      </c>
      <c r="H1646" s="170" t="str">
        <f t="shared" si="8"/>
        <v/>
      </c>
      <c r="I1646" s="147" t="str">
        <f t="shared" si="1"/>
        <v/>
      </c>
      <c r="J1646" s="147" t="str">
        <f t="shared" si="13"/>
        <v/>
      </c>
      <c r="K1646" s="147" t="str">
        <f>IFERROR(__xludf.DUMMYFUNCTION("if(C1646="""","""",iferror(if(row()&lt;&gt;2,INDEX(arrayformula(filter($L$2:$L1645,$C$2:$C1645&lt;&gt;"""",row($C$2:$C1645)=max(if($C$2:$C1645=C1646,row($C$2:$C1645),0)))) ,1),0),0))"),"")</f>
        <v/>
      </c>
      <c r="L1646" s="147" t="str">
        <f t="shared" si="14"/>
        <v/>
      </c>
      <c r="M1646" s="147" t="str">
        <f t="shared" si="15"/>
        <v/>
      </c>
      <c r="N1646" s="147" t="str">
        <f t="shared" si="16"/>
        <v/>
      </c>
      <c r="O1646" s="147" t="str">
        <f t="shared" si="6"/>
        <v/>
      </c>
      <c r="P1646" s="150" t="str">
        <f t="shared" si="7"/>
        <v/>
      </c>
      <c r="Q1646" s="151" t="str">
        <f>IFERROR(VLOOKUP(C1646,Ativos!$A$1:$G2000,5,),)</f>
        <v/>
      </c>
    </row>
    <row r="1647" ht="21.0" customHeight="1">
      <c r="A1647" s="152"/>
      <c r="B1647" s="160"/>
      <c r="C1647" s="153"/>
      <c r="D1647" s="169"/>
      <c r="E1647" s="139"/>
      <c r="F1647" s="141"/>
      <c r="G1647" s="170" t="str">
        <f>IFERROR(__xludf.DUMMYFUNCTION("if($C1647="""","""",iferror(if(row()&lt;&gt;2,INDEX(arrayformula(filter($H$2:$H1646,$C$2:$C1646&lt;&gt;"""",row($C$2:$C1646)=max(if($C$2:$C1646=C1647,row($C$2:$C1646),0)))) ,1),0),0))"),"")</f>
        <v/>
      </c>
      <c r="H1647" s="170" t="str">
        <f t="shared" si="8"/>
        <v/>
      </c>
      <c r="I1647" s="147" t="str">
        <f t="shared" si="1"/>
        <v/>
      </c>
      <c r="J1647" s="147" t="str">
        <f t="shared" si="13"/>
        <v/>
      </c>
      <c r="K1647" s="147" t="str">
        <f>IFERROR(__xludf.DUMMYFUNCTION("if(C1647="""","""",iferror(if(row()&lt;&gt;2,INDEX(arrayformula(filter($L$2:$L1646,$C$2:$C1646&lt;&gt;"""",row($C$2:$C1646)=max(if($C$2:$C1646=C1647,row($C$2:$C1646),0)))) ,1),0),0))"),"")</f>
        <v/>
      </c>
      <c r="L1647" s="147" t="str">
        <f t="shared" si="14"/>
        <v/>
      </c>
      <c r="M1647" s="147" t="str">
        <f t="shared" si="15"/>
        <v/>
      </c>
      <c r="N1647" s="147" t="str">
        <f t="shared" si="16"/>
        <v/>
      </c>
      <c r="O1647" s="147" t="str">
        <f t="shared" si="6"/>
        <v/>
      </c>
      <c r="P1647" s="150" t="str">
        <f t="shared" si="7"/>
        <v/>
      </c>
      <c r="Q1647" s="151" t="str">
        <f>IFERROR(VLOOKUP(C1647,Ativos!$A$1:$G2000,5,),)</f>
        <v/>
      </c>
    </row>
    <row r="1648" ht="21.0" customHeight="1">
      <c r="A1648" s="152"/>
      <c r="B1648" s="160"/>
      <c r="C1648" s="153"/>
      <c r="D1648" s="169"/>
      <c r="E1648" s="139"/>
      <c r="F1648" s="141"/>
      <c r="G1648" s="170" t="str">
        <f>IFERROR(__xludf.DUMMYFUNCTION("if($C1648="""","""",iferror(if(row()&lt;&gt;2,INDEX(arrayformula(filter($H$2:$H1647,$C$2:$C1647&lt;&gt;"""",row($C$2:$C1647)=max(if($C$2:$C1647=C1648,row($C$2:$C1647),0)))) ,1),0),0))"),"")</f>
        <v/>
      </c>
      <c r="H1648" s="170" t="str">
        <f t="shared" si="8"/>
        <v/>
      </c>
      <c r="I1648" s="147" t="str">
        <f t="shared" si="1"/>
        <v/>
      </c>
      <c r="J1648" s="147" t="str">
        <f t="shared" si="13"/>
        <v/>
      </c>
      <c r="K1648" s="147" t="str">
        <f>IFERROR(__xludf.DUMMYFUNCTION("if(C1648="""","""",iferror(if(row()&lt;&gt;2,INDEX(arrayformula(filter($L$2:$L1647,$C$2:$C1647&lt;&gt;"""",row($C$2:$C1647)=max(if($C$2:$C1647=C1648,row($C$2:$C1647),0)))) ,1),0),0))"),"")</f>
        <v/>
      </c>
      <c r="L1648" s="147" t="str">
        <f t="shared" si="14"/>
        <v/>
      </c>
      <c r="M1648" s="147" t="str">
        <f t="shared" si="15"/>
        <v/>
      </c>
      <c r="N1648" s="147" t="str">
        <f t="shared" si="16"/>
        <v/>
      </c>
      <c r="O1648" s="147" t="str">
        <f t="shared" si="6"/>
        <v/>
      </c>
      <c r="P1648" s="150" t="str">
        <f t="shared" si="7"/>
        <v/>
      </c>
      <c r="Q1648" s="151" t="str">
        <f>IFERROR(VLOOKUP(C1648,Ativos!$A$1:$G2000,5,),)</f>
        <v/>
      </c>
    </row>
    <row r="1649" ht="21.0" customHeight="1">
      <c r="A1649" s="152"/>
      <c r="B1649" s="160"/>
      <c r="C1649" s="153"/>
      <c r="D1649" s="169"/>
      <c r="E1649" s="139"/>
      <c r="F1649" s="141"/>
      <c r="G1649" s="170" t="str">
        <f>IFERROR(__xludf.DUMMYFUNCTION("if($C1649="""","""",iferror(if(row()&lt;&gt;2,INDEX(arrayformula(filter($H$2:$H1648,$C$2:$C1648&lt;&gt;"""",row($C$2:$C1648)=max(if($C$2:$C1648=C1649,row($C$2:$C1648),0)))) ,1),0),0))"),"")</f>
        <v/>
      </c>
      <c r="H1649" s="170" t="str">
        <f t="shared" si="8"/>
        <v/>
      </c>
      <c r="I1649" s="147" t="str">
        <f t="shared" si="1"/>
        <v/>
      </c>
      <c r="J1649" s="147" t="str">
        <f t="shared" si="13"/>
        <v/>
      </c>
      <c r="K1649" s="147" t="str">
        <f>IFERROR(__xludf.DUMMYFUNCTION("if(C1649="""","""",iferror(if(row()&lt;&gt;2,INDEX(arrayformula(filter($L$2:$L1648,$C$2:$C1648&lt;&gt;"""",row($C$2:$C1648)=max(if($C$2:$C1648=C1649,row($C$2:$C1648),0)))) ,1),0),0))"),"")</f>
        <v/>
      </c>
      <c r="L1649" s="147" t="str">
        <f t="shared" si="14"/>
        <v/>
      </c>
      <c r="M1649" s="147" t="str">
        <f t="shared" si="15"/>
        <v/>
      </c>
      <c r="N1649" s="147" t="str">
        <f t="shared" si="16"/>
        <v/>
      </c>
      <c r="O1649" s="147" t="str">
        <f t="shared" si="6"/>
        <v/>
      </c>
      <c r="P1649" s="150" t="str">
        <f t="shared" si="7"/>
        <v/>
      </c>
      <c r="Q1649" s="151" t="str">
        <f>IFERROR(VLOOKUP(C1649,Ativos!$A$1:$G2000,5,),)</f>
        <v/>
      </c>
    </row>
    <row r="1650" ht="21.0" customHeight="1">
      <c r="A1650" s="152"/>
      <c r="B1650" s="160"/>
      <c r="C1650" s="153"/>
      <c r="D1650" s="169"/>
      <c r="E1650" s="139"/>
      <c r="F1650" s="141"/>
      <c r="G1650" s="170" t="str">
        <f>IFERROR(__xludf.DUMMYFUNCTION("if($C1650="""","""",iferror(if(row()&lt;&gt;2,INDEX(arrayformula(filter($H$2:$H1649,$C$2:$C1649&lt;&gt;"""",row($C$2:$C1649)=max(if($C$2:$C1649=C1650,row($C$2:$C1649),0)))) ,1),0),0))"),"")</f>
        <v/>
      </c>
      <c r="H1650" s="170" t="str">
        <f t="shared" si="8"/>
        <v/>
      </c>
      <c r="I1650" s="147" t="str">
        <f t="shared" si="1"/>
        <v/>
      </c>
      <c r="J1650" s="147" t="str">
        <f t="shared" si="13"/>
        <v/>
      </c>
      <c r="K1650" s="147" t="str">
        <f>IFERROR(__xludf.DUMMYFUNCTION("if(C1650="""","""",iferror(if(row()&lt;&gt;2,INDEX(arrayformula(filter($L$2:$L1649,$C$2:$C1649&lt;&gt;"""",row($C$2:$C1649)=max(if($C$2:$C1649=C1650,row($C$2:$C1649),0)))) ,1),0),0))"),"")</f>
        <v/>
      </c>
      <c r="L1650" s="147" t="str">
        <f t="shared" si="14"/>
        <v/>
      </c>
      <c r="M1650" s="147" t="str">
        <f t="shared" si="15"/>
        <v/>
      </c>
      <c r="N1650" s="147" t="str">
        <f t="shared" si="16"/>
        <v/>
      </c>
      <c r="O1650" s="147" t="str">
        <f t="shared" si="6"/>
        <v/>
      </c>
      <c r="P1650" s="150" t="str">
        <f t="shared" si="7"/>
        <v/>
      </c>
      <c r="Q1650" s="151" t="str">
        <f>IFERROR(VLOOKUP(C1650,Ativos!$A$1:$G2000,5,),)</f>
        <v/>
      </c>
    </row>
    <row r="1651" ht="21.0" customHeight="1">
      <c r="A1651" s="152"/>
      <c r="B1651" s="160"/>
      <c r="C1651" s="153"/>
      <c r="D1651" s="169"/>
      <c r="E1651" s="139"/>
      <c r="F1651" s="141"/>
      <c r="G1651" s="170" t="str">
        <f>IFERROR(__xludf.DUMMYFUNCTION("if($C1651="""","""",iferror(if(row()&lt;&gt;2,INDEX(arrayformula(filter($H$2:$H1650,$C$2:$C1650&lt;&gt;"""",row($C$2:$C1650)=max(if($C$2:$C1650=C1651,row($C$2:$C1650),0)))) ,1),0),0))"),"")</f>
        <v/>
      </c>
      <c r="H1651" s="170" t="str">
        <f t="shared" si="8"/>
        <v/>
      </c>
      <c r="I1651" s="147" t="str">
        <f t="shared" si="1"/>
        <v/>
      </c>
      <c r="J1651" s="147" t="str">
        <f t="shared" si="13"/>
        <v/>
      </c>
      <c r="K1651" s="147" t="str">
        <f>IFERROR(__xludf.DUMMYFUNCTION("if(C1651="""","""",iferror(if(row()&lt;&gt;2,INDEX(arrayformula(filter($L$2:$L1650,$C$2:$C1650&lt;&gt;"""",row($C$2:$C1650)=max(if($C$2:$C1650=C1651,row($C$2:$C1650),0)))) ,1),0),0))"),"")</f>
        <v/>
      </c>
      <c r="L1651" s="147" t="str">
        <f t="shared" si="14"/>
        <v/>
      </c>
      <c r="M1651" s="147" t="str">
        <f t="shared" si="15"/>
        <v/>
      </c>
      <c r="N1651" s="147" t="str">
        <f t="shared" si="16"/>
        <v/>
      </c>
      <c r="O1651" s="147" t="str">
        <f t="shared" si="6"/>
        <v/>
      </c>
      <c r="P1651" s="150" t="str">
        <f t="shared" si="7"/>
        <v/>
      </c>
      <c r="Q1651" s="151" t="str">
        <f>IFERROR(VLOOKUP(C1651,Ativos!$A$1:$G2000,5,),)</f>
        <v/>
      </c>
    </row>
    <row r="1652" ht="21.0" customHeight="1">
      <c r="A1652" s="152"/>
      <c r="B1652" s="160"/>
      <c r="C1652" s="153"/>
      <c r="D1652" s="169"/>
      <c r="E1652" s="139"/>
      <c r="F1652" s="141"/>
      <c r="G1652" s="170" t="str">
        <f>IFERROR(__xludf.DUMMYFUNCTION("if($C1652="""","""",iferror(if(row()&lt;&gt;2,INDEX(arrayformula(filter($H$2:$H1651,$C$2:$C1651&lt;&gt;"""",row($C$2:$C1651)=max(if($C$2:$C1651=C1652,row($C$2:$C1651),0)))) ,1),0),0))"),"")</f>
        <v/>
      </c>
      <c r="H1652" s="170" t="str">
        <f t="shared" si="8"/>
        <v/>
      </c>
      <c r="I1652" s="147" t="str">
        <f t="shared" si="1"/>
        <v/>
      </c>
      <c r="J1652" s="147" t="str">
        <f t="shared" si="13"/>
        <v/>
      </c>
      <c r="K1652" s="147" t="str">
        <f>IFERROR(__xludf.DUMMYFUNCTION("if(C1652="""","""",iferror(if(row()&lt;&gt;2,INDEX(arrayformula(filter($L$2:$L1651,$C$2:$C1651&lt;&gt;"""",row($C$2:$C1651)=max(if($C$2:$C1651=C1652,row($C$2:$C1651),0)))) ,1),0),0))"),"")</f>
        <v/>
      </c>
      <c r="L1652" s="147" t="str">
        <f t="shared" si="14"/>
        <v/>
      </c>
      <c r="M1652" s="147" t="str">
        <f t="shared" si="15"/>
        <v/>
      </c>
      <c r="N1652" s="147" t="str">
        <f t="shared" si="16"/>
        <v/>
      </c>
      <c r="O1652" s="147" t="str">
        <f t="shared" si="6"/>
        <v/>
      </c>
      <c r="P1652" s="150" t="str">
        <f t="shared" si="7"/>
        <v/>
      </c>
      <c r="Q1652" s="151" t="str">
        <f>IFERROR(VLOOKUP(C1652,Ativos!$A$1:$G2000,5,),)</f>
        <v/>
      </c>
    </row>
    <row r="1653" ht="21.0" customHeight="1">
      <c r="A1653" s="152"/>
      <c r="B1653" s="160"/>
      <c r="C1653" s="153"/>
      <c r="D1653" s="169"/>
      <c r="E1653" s="139"/>
      <c r="F1653" s="141"/>
      <c r="G1653" s="170" t="str">
        <f>IFERROR(__xludf.DUMMYFUNCTION("if($C1653="""","""",iferror(if(row()&lt;&gt;2,INDEX(arrayformula(filter($H$2:$H1652,$C$2:$C1652&lt;&gt;"""",row($C$2:$C1652)=max(if($C$2:$C1652=C1653,row($C$2:$C1652),0)))) ,1),0),0))"),"")</f>
        <v/>
      </c>
      <c r="H1653" s="170" t="str">
        <f t="shared" si="8"/>
        <v/>
      </c>
      <c r="I1653" s="147" t="str">
        <f t="shared" si="1"/>
        <v/>
      </c>
      <c r="J1653" s="147" t="str">
        <f t="shared" si="13"/>
        <v/>
      </c>
      <c r="K1653" s="147" t="str">
        <f>IFERROR(__xludf.DUMMYFUNCTION("if(C1653="""","""",iferror(if(row()&lt;&gt;2,INDEX(arrayformula(filter($L$2:$L1652,$C$2:$C1652&lt;&gt;"""",row($C$2:$C1652)=max(if($C$2:$C1652=C1653,row($C$2:$C1652),0)))) ,1),0),0))"),"")</f>
        <v/>
      </c>
      <c r="L1653" s="147" t="str">
        <f t="shared" si="14"/>
        <v/>
      </c>
      <c r="M1653" s="147" t="str">
        <f t="shared" si="15"/>
        <v/>
      </c>
      <c r="N1653" s="147" t="str">
        <f t="shared" si="16"/>
        <v/>
      </c>
      <c r="O1653" s="147" t="str">
        <f t="shared" si="6"/>
        <v/>
      </c>
      <c r="P1653" s="150" t="str">
        <f t="shared" si="7"/>
        <v/>
      </c>
      <c r="Q1653" s="151" t="str">
        <f>IFERROR(VLOOKUP(C1653,Ativos!$A$1:$G2000,5,),)</f>
        <v/>
      </c>
    </row>
    <row r="1654" ht="21.0" customHeight="1">
      <c r="A1654" s="152"/>
      <c r="B1654" s="160"/>
      <c r="C1654" s="153"/>
      <c r="D1654" s="169"/>
      <c r="E1654" s="139"/>
      <c r="F1654" s="141"/>
      <c r="G1654" s="170" t="str">
        <f>IFERROR(__xludf.DUMMYFUNCTION("if($C1654="""","""",iferror(if(row()&lt;&gt;2,INDEX(arrayformula(filter($H$2:$H1653,$C$2:$C1653&lt;&gt;"""",row($C$2:$C1653)=max(if($C$2:$C1653=C1654,row($C$2:$C1653),0)))) ,1),0),0))"),"")</f>
        <v/>
      </c>
      <c r="H1654" s="170" t="str">
        <f t="shared" si="8"/>
        <v/>
      </c>
      <c r="I1654" s="147" t="str">
        <f t="shared" si="1"/>
        <v/>
      </c>
      <c r="J1654" s="147" t="str">
        <f t="shared" si="13"/>
        <v/>
      </c>
      <c r="K1654" s="147" t="str">
        <f>IFERROR(__xludf.DUMMYFUNCTION("if(C1654="""","""",iferror(if(row()&lt;&gt;2,INDEX(arrayformula(filter($L$2:$L1653,$C$2:$C1653&lt;&gt;"""",row($C$2:$C1653)=max(if($C$2:$C1653=C1654,row($C$2:$C1653),0)))) ,1),0),0))"),"")</f>
        <v/>
      </c>
      <c r="L1654" s="147" t="str">
        <f t="shared" si="14"/>
        <v/>
      </c>
      <c r="M1654" s="147" t="str">
        <f t="shared" si="15"/>
        <v/>
      </c>
      <c r="N1654" s="147" t="str">
        <f t="shared" si="16"/>
        <v/>
      </c>
      <c r="O1654" s="147" t="str">
        <f t="shared" si="6"/>
        <v/>
      </c>
      <c r="P1654" s="150" t="str">
        <f t="shared" si="7"/>
        <v/>
      </c>
      <c r="Q1654" s="151" t="str">
        <f>IFERROR(VLOOKUP(C1654,Ativos!$A$1:$G2000,5,),)</f>
        <v/>
      </c>
    </row>
    <row r="1655" ht="21.0" customHeight="1">
      <c r="A1655" s="152"/>
      <c r="B1655" s="160"/>
      <c r="C1655" s="153"/>
      <c r="D1655" s="169"/>
      <c r="E1655" s="139"/>
      <c r="F1655" s="141"/>
      <c r="G1655" s="170" t="str">
        <f>IFERROR(__xludf.DUMMYFUNCTION("if($C1655="""","""",iferror(if(row()&lt;&gt;2,INDEX(arrayformula(filter($H$2:$H1654,$C$2:$C1654&lt;&gt;"""",row($C$2:$C1654)=max(if($C$2:$C1654=C1655,row($C$2:$C1654),0)))) ,1),0),0))"),"")</f>
        <v/>
      </c>
      <c r="H1655" s="170" t="str">
        <f t="shared" si="8"/>
        <v/>
      </c>
      <c r="I1655" s="147" t="str">
        <f t="shared" si="1"/>
        <v/>
      </c>
      <c r="J1655" s="147" t="str">
        <f t="shared" si="13"/>
        <v/>
      </c>
      <c r="K1655" s="147" t="str">
        <f>IFERROR(__xludf.DUMMYFUNCTION("if(C1655="""","""",iferror(if(row()&lt;&gt;2,INDEX(arrayformula(filter($L$2:$L1654,$C$2:$C1654&lt;&gt;"""",row($C$2:$C1654)=max(if($C$2:$C1654=C1655,row($C$2:$C1654),0)))) ,1),0),0))"),"")</f>
        <v/>
      </c>
      <c r="L1655" s="147" t="str">
        <f t="shared" si="14"/>
        <v/>
      </c>
      <c r="M1655" s="147" t="str">
        <f t="shared" si="15"/>
        <v/>
      </c>
      <c r="N1655" s="147" t="str">
        <f t="shared" si="16"/>
        <v/>
      </c>
      <c r="O1655" s="147" t="str">
        <f t="shared" si="6"/>
        <v/>
      </c>
      <c r="P1655" s="150" t="str">
        <f t="shared" si="7"/>
        <v/>
      </c>
      <c r="Q1655" s="151" t="str">
        <f>IFERROR(VLOOKUP(C1655,Ativos!$A$1:$G2000,5,),)</f>
        <v/>
      </c>
    </row>
    <row r="1656" ht="21.0" customHeight="1">
      <c r="A1656" s="152"/>
      <c r="B1656" s="160"/>
      <c r="C1656" s="153"/>
      <c r="D1656" s="169"/>
      <c r="E1656" s="139"/>
      <c r="F1656" s="141"/>
      <c r="G1656" s="170" t="str">
        <f>IFERROR(__xludf.DUMMYFUNCTION("if($C1656="""","""",iferror(if(row()&lt;&gt;2,INDEX(arrayformula(filter($H$2:$H1655,$C$2:$C1655&lt;&gt;"""",row($C$2:$C1655)=max(if($C$2:$C1655=C1656,row($C$2:$C1655),0)))) ,1),0),0))"),"")</f>
        <v/>
      </c>
      <c r="H1656" s="170" t="str">
        <f t="shared" si="8"/>
        <v/>
      </c>
      <c r="I1656" s="147" t="str">
        <f t="shared" si="1"/>
        <v/>
      </c>
      <c r="J1656" s="147" t="str">
        <f t="shared" si="13"/>
        <v/>
      </c>
      <c r="K1656" s="147" t="str">
        <f>IFERROR(__xludf.DUMMYFUNCTION("if(C1656="""","""",iferror(if(row()&lt;&gt;2,INDEX(arrayformula(filter($L$2:$L1655,$C$2:$C1655&lt;&gt;"""",row($C$2:$C1655)=max(if($C$2:$C1655=C1656,row($C$2:$C1655),0)))) ,1),0),0))"),"")</f>
        <v/>
      </c>
      <c r="L1656" s="147" t="str">
        <f t="shared" si="14"/>
        <v/>
      </c>
      <c r="M1656" s="147" t="str">
        <f t="shared" si="15"/>
        <v/>
      </c>
      <c r="N1656" s="147" t="str">
        <f t="shared" si="16"/>
        <v/>
      </c>
      <c r="O1656" s="147" t="str">
        <f t="shared" si="6"/>
        <v/>
      </c>
      <c r="P1656" s="150" t="str">
        <f t="shared" si="7"/>
        <v/>
      </c>
      <c r="Q1656" s="151" t="str">
        <f>IFERROR(VLOOKUP(C1656,Ativos!$A$1:$G2000,5,),)</f>
        <v/>
      </c>
    </row>
    <row r="1657" ht="21.0" customHeight="1">
      <c r="A1657" s="152"/>
      <c r="B1657" s="160"/>
      <c r="C1657" s="153"/>
      <c r="D1657" s="169"/>
      <c r="E1657" s="139"/>
      <c r="F1657" s="141"/>
      <c r="G1657" s="170" t="str">
        <f>IFERROR(__xludf.DUMMYFUNCTION("if($C1657="""","""",iferror(if(row()&lt;&gt;2,INDEX(arrayformula(filter($H$2:$H1656,$C$2:$C1656&lt;&gt;"""",row($C$2:$C1656)=max(if($C$2:$C1656=C1657,row($C$2:$C1656),0)))) ,1),0),0))"),"")</f>
        <v/>
      </c>
      <c r="H1657" s="170" t="str">
        <f t="shared" si="8"/>
        <v/>
      </c>
      <c r="I1657" s="147" t="str">
        <f t="shared" si="1"/>
        <v/>
      </c>
      <c r="J1657" s="147" t="str">
        <f t="shared" si="13"/>
        <v/>
      </c>
      <c r="K1657" s="147" t="str">
        <f>IFERROR(__xludf.DUMMYFUNCTION("if(C1657="""","""",iferror(if(row()&lt;&gt;2,INDEX(arrayformula(filter($L$2:$L1656,$C$2:$C1656&lt;&gt;"""",row($C$2:$C1656)=max(if($C$2:$C1656=C1657,row($C$2:$C1656),0)))) ,1),0),0))"),"")</f>
        <v/>
      </c>
      <c r="L1657" s="147" t="str">
        <f t="shared" si="14"/>
        <v/>
      </c>
      <c r="M1657" s="147" t="str">
        <f t="shared" si="15"/>
        <v/>
      </c>
      <c r="N1657" s="147" t="str">
        <f t="shared" si="16"/>
        <v/>
      </c>
      <c r="O1657" s="147" t="str">
        <f t="shared" si="6"/>
        <v/>
      </c>
      <c r="P1657" s="150" t="str">
        <f t="shared" si="7"/>
        <v/>
      </c>
      <c r="Q1657" s="151" t="str">
        <f>IFERROR(VLOOKUP(C1657,Ativos!$A$1:$G2000,5,),)</f>
        <v/>
      </c>
    </row>
    <row r="1658" ht="21.0" customHeight="1">
      <c r="A1658" s="152"/>
      <c r="B1658" s="160"/>
      <c r="C1658" s="153"/>
      <c r="D1658" s="169"/>
      <c r="E1658" s="139"/>
      <c r="F1658" s="141"/>
      <c r="G1658" s="170" t="str">
        <f>IFERROR(__xludf.DUMMYFUNCTION("if($C1658="""","""",iferror(if(row()&lt;&gt;2,INDEX(arrayformula(filter($H$2:$H1657,$C$2:$C1657&lt;&gt;"""",row($C$2:$C1657)=max(if($C$2:$C1657=C1658,row($C$2:$C1657),0)))) ,1),0),0))"),"")</f>
        <v/>
      </c>
      <c r="H1658" s="170" t="str">
        <f t="shared" si="8"/>
        <v/>
      </c>
      <c r="I1658" s="147" t="str">
        <f t="shared" si="1"/>
        <v/>
      </c>
      <c r="J1658" s="147" t="str">
        <f t="shared" si="13"/>
        <v/>
      </c>
      <c r="K1658" s="147" t="str">
        <f>IFERROR(__xludf.DUMMYFUNCTION("if(C1658="""","""",iferror(if(row()&lt;&gt;2,INDEX(arrayformula(filter($L$2:$L1657,$C$2:$C1657&lt;&gt;"""",row($C$2:$C1657)=max(if($C$2:$C1657=C1658,row($C$2:$C1657),0)))) ,1),0),0))"),"")</f>
        <v/>
      </c>
      <c r="L1658" s="147" t="str">
        <f t="shared" si="14"/>
        <v/>
      </c>
      <c r="M1658" s="147" t="str">
        <f t="shared" si="15"/>
        <v/>
      </c>
      <c r="N1658" s="147" t="str">
        <f t="shared" si="16"/>
        <v/>
      </c>
      <c r="O1658" s="147" t="str">
        <f t="shared" si="6"/>
        <v/>
      </c>
      <c r="P1658" s="150" t="str">
        <f t="shared" si="7"/>
        <v/>
      </c>
      <c r="Q1658" s="151" t="str">
        <f>IFERROR(VLOOKUP(C1658,Ativos!$A$1:$G2000,5,),)</f>
        <v/>
      </c>
    </row>
    <row r="1659" ht="21.0" customHeight="1">
      <c r="A1659" s="152"/>
      <c r="B1659" s="160"/>
      <c r="C1659" s="153"/>
      <c r="D1659" s="169"/>
      <c r="E1659" s="139"/>
      <c r="F1659" s="141"/>
      <c r="G1659" s="170" t="str">
        <f>IFERROR(__xludf.DUMMYFUNCTION("if($C1659="""","""",iferror(if(row()&lt;&gt;2,INDEX(arrayformula(filter($H$2:$H1658,$C$2:$C1658&lt;&gt;"""",row($C$2:$C1658)=max(if($C$2:$C1658=C1659,row($C$2:$C1658),0)))) ,1),0),0))"),"")</f>
        <v/>
      </c>
      <c r="H1659" s="170" t="str">
        <f t="shared" si="8"/>
        <v/>
      </c>
      <c r="I1659" s="147" t="str">
        <f t="shared" si="1"/>
        <v/>
      </c>
      <c r="J1659" s="147" t="str">
        <f t="shared" si="13"/>
        <v/>
      </c>
      <c r="K1659" s="147" t="str">
        <f>IFERROR(__xludf.DUMMYFUNCTION("if(C1659="""","""",iferror(if(row()&lt;&gt;2,INDEX(arrayformula(filter($L$2:$L1658,$C$2:$C1658&lt;&gt;"""",row($C$2:$C1658)=max(if($C$2:$C1658=C1659,row($C$2:$C1658),0)))) ,1),0),0))"),"")</f>
        <v/>
      </c>
      <c r="L1659" s="147" t="str">
        <f t="shared" si="14"/>
        <v/>
      </c>
      <c r="M1659" s="147" t="str">
        <f t="shared" si="15"/>
        <v/>
      </c>
      <c r="N1659" s="147" t="str">
        <f t="shared" si="16"/>
        <v/>
      </c>
      <c r="O1659" s="147" t="str">
        <f t="shared" si="6"/>
        <v/>
      </c>
      <c r="P1659" s="150" t="str">
        <f t="shared" si="7"/>
        <v/>
      </c>
      <c r="Q1659" s="151" t="str">
        <f>IFERROR(VLOOKUP(C1659,Ativos!$A$1:$G2000,5,),)</f>
        <v/>
      </c>
    </row>
    <row r="1660" ht="21.0" customHeight="1">
      <c r="A1660" s="152"/>
      <c r="B1660" s="160"/>
      <c r="C1660" s="153"/>
      <c r="D1660" s="169"/>
      <c r="E1660" s="139"/>
      <c r="F1660" s="141"/>
      <c r="G1660" s="170" t="str">
        <f>IFERROR(__xludf.DUMMYFUNCTION("if($C1660="""","""",iferror(if(row()&lt;&gt;2,INDEX(arrayformula(filter($H$2:$H1659,$C$2:$C1659&lt;&gt;"""",row($C$2:$C1659)=max(if($C$2:$C1659=C1660,row($C$2:$C1659),0)))) ,1),0),0))"),"")</f>
        <v/>
      </c>
      <c r="H1660" s="170" t="str">
        <f t="shared" si="8"/>
        <v/>
      </c>
      <c r="I1660" s="147" t="str">
        <f t="shared" si="1"/>
        <v/>
      </c>
      <c r="J1660" s="147" t="str">
        <f t="shared" si="13"/>
        <v/>
      </c>
      <c r="K1660" s="147" t="str">
        <f>IFERROR(__xludf.DUMMYFUNCTION("if(C1660="""","""",iferror(if(row()&lt;&gt;2,INDEX(arrayformula(filter($L$2:$L1659,$C$2:$C1659&lt;&gt;"""",row($C$2:$C1659)=max(if($C$2:$C1659=C1660,row($C$2:$C1659),0)))) ,1),0),0))"),"")</f>
        <v/>
      </c>
      <c r="L1660" s="147" t="str">
        <f t="shared" si="14"/>
        <v/>
      </c>
      <c r="M1660" s="147" t="str">
        <f t="shared" si="15"/>
        <v/>
      </c>
      <c r="N1660" s="147" t="str">
        <f t="shared" si="16"/>
        <v/>
      </c>
      <c r="O1660" s="147" t="str">
        <f t="shared" si="6"/>
        <v/>
      </c>
      <c r="P1660" s="150" t="str">
        <f t="shared" si="7"/>
        <v/>
      </c>
      <c r="Q1660" s="151" t="str">
        <f>IFERROR(VLOOKUP(C1660,Ativos!$A$1:$G2000,5,),)</f>
        <v/>
      </c>
    </row>
    <row r="1661" ht="21.0" customHeight="1">
      <c r="A1661" s="152"/>
      <c r="B1661" s="160"/>
      <c r="C1661" s="153"/>
      <c r="D1661" s="169"/>
      <c r="E1661" s="139"/>
      <c r="F1661" s="141"/>
      <c r="G1661" s="170" t="str">
        <f>IFERROR(__xludf.DUMMYFUNCTION("if($C1661="""","""",iferror(if(row()&lt;&gt;2,INDEX(arrayformula(filter($H$2:$H1660,$C$2:$C1660&lt;&gt;"""",row($C$2:$C1660)=max(if($C$2:$C1660=C1661,row($C$2:$C1660),0)))) ,1),0),0))"),"")</f>
        <v/>
      </c>
      <c r="H1661" s="170" t="str">
        <f t="shared" si="8"/>
        <v/>
      </c>
      <c r="I1661" s="147" t="str">
        <f t="shared" si="1"/>
        <v/>
      </c>
      <c r="J1661" s="147" t="str">
        <f t="shared" si="13"/>
        <v/>
      </c>
      <c r="K1661" s="147" t="str">
        <f>IFERROR(__xludf.DUMMYFUNCTION("if(C1661="""","""",iferror(if(row()&lt;&gt;2,INDEX(arrayformula(filter($L$2:$L1660,$C$2:$C1660&lt;&gt;"""",row($C$2:$C1660)=max(if($C$2:$C1660=C1661,row($C$2:$C1660),0)))) ,1),0),0))"),"")</f>
        <v/>
      </c>
      <c r="L1661" s="147" t="str">
        <f t="shared" si="14"/>
        <v/>
      </c>
      <c r="M1661" s="147" t="str">
        <f t="shared" si="15"/>
        <v/>
      </c>
      <c r="N1661" s="147" t="str">
        <f t="shared" si="16"/>
        <v/>
      </c>
      <c r="O1661" s="147" t="str">
        <f t="shared" si="6"/>
        <v/>
      </c>
      <c r="P1661" s="150" t="str">
        <f t="shared" si="7"/>
        <v/>
      </c>
      <c r="Q1661" s="151" t="str">
        <f>IFERROR(VLOOKUP(C1661,Ativos!$A$1:$G2000,5,),)</f>
        <v/>
      </c>
    </row>
    <row r="1662" ht="21.0" customHeight="1">
      <c r="A1662" s="152"/>
      <c r="B1662" s="160"/>
      <c r="C1662" s="153"/>
      <c r="D1662" s="169"/>
      <c r="E1662" s="139"/>
      <c r="F1662" s="141"/>
      <c r="G1662" s="170" t="str">
        <f>IFERROR(__xludf.DUMMYFUNCTION("if($C1662="""","""",iferror(if(row()&lt;&gt;2,INDEX(arrayformula(filter($H$2:$H1661,$C$2:$C1661&lt;&gt;"""",row($C$2:$C1661)=max(if($C$2:$C1661=C1662,row($C$2:$C1661),0)))) ,1),0),0))"),"")</f>
        <v/>
      </c>
      <c r="H1662" s="170" t="str">
        <f t="shared" si="8"/>
        <v/>
      </c>
      <c r="I1662" s="147" t="str">
        <f t="shared" si="1"/>
        <v/>
      </c>
      <c r="J1662" s="147" t="str">
        <f t="shared" si="13"/>
        <v/>
      </c>
      <c r="K1662" s="147" t="str">
        <f>IFERROR(__xludf.DUMMYFUNCTION("if(C1662="""","""",iferror(if(row()&lt;&gt;2,INDEX(arrayformula(filter($L$2:$L1661,$C$2:$C1661&lt;&gt;"""",row($C$2:$C1661)=max(if($C$2:$C1661=C1662,row($C$2:$C1661),0)))) ,1),0),0))"),"")</f>
        <v/>
      </c>
      <c r="L1662" s="147" t="str">
        <f t="shared" si="14"/>
        <v/>
      </c>
      <c r="M1662" s="147" t="str">
        <f t="shared" si="15"/>
        <v/>
      </c>
      <c r="N1662" s="147" t="str">
        <f t="shared" si="16"/>
        <v/>
      </c>
      <c r="O1662" s="147" t="str">
        <f t="shared" si="6"/>
        <v/>
      </c>
      <c r="P1662" s="150" t="str">
        <f t="shared" si="7"/>
        <v/>
      </c>
      <c r="Q1662" s="151" t="str">
        <f>IFERROR(VLOOKUP(C1662,Ativos!$A$1:$G2000,5,),)</f>
        <v/>
      </c>
    </row>
    <row r="1663" ht="21.0" customHeight="1">
      <c r="A1663" s="152"/>
      <c r="B1663" s="160"/>
      <c r="C1663" s="153"/>
      <c r="D1663" s="169"/>
      <c r="E1663" s="139"/>
      <c r="F1663" s="141"/>
      <c r="G1663" s="170" t="str">
        <f>IFERROR(__xludf.DUMMYFUNCTION("if($C1663="""","""",iferror(if(row()&lt;&gt;2,INDEX(arrayformula(filter($H$2:$H1662,$C$2:$C1662&lt;&gt;"""",row($C$2:$C1662)=max(if($C$2:$C1662=C1663,row($C$2:$C1662),0)))) ,1),0),0))"),"")</f>
        <v/>
      </c>
      <c r="H1663" s="170" t="str">
        <f t="shared" si="8"/>
        <v/>
      </c>
      <c r="I1663" s="147" t="str">
        <f t="shared" si="1"/>
        <v/>
      </c>
      <c r="J1663" s="147" t="str">
        <f t="shared" si="13"/>
        <v/>
      </c>
      <c r="K1663" s="147" t="str">
        <f>IFERROR(__xludf.DUMMYFUNCTION("if(C1663="""","""",iferror(if(row()&lt;&gt;2,INDEX(arrayformula(filter($L$2:$L1662,$C$2:$C1662&lt;&gt;"""",row($C$2:$C1662)=max(if($C$2:$C1662=C1663,row($C$2:$C1662),0)))) ,1),0),0))"),"")</f>
        <v/>
      </c>
      <c r="L1663" s="147" t="str">
        <f t="shared" si="14"/>
        <v/>
      </c>
      <c r="M1663" s="147" t="str">
        <f t="shared" si="15"/>
        <v/>
      </c>
      <c r="N1663" s="147" t="str">
        <f t="shared" si="16"/>
        <v/>
      </c>
      <c r="O1663" s="147" t="str">
        <f t="shared" si="6"/>
        <v/>
      </c>
      <c r="P1663" s="150" t="str">
        <f t="shared" si="7"/>
        <v/>
      </c>
      <c r="Q1663" s="151" t="str">
        <f>IFERROR(VLOOKUP(C1663,Ativos!$A$1:$G2000,5,),)</f>
        <v/>
      </c>
    </row>
    <row r="1664" ht="21.0" customHeight="1">
      <c r="A1664" s="152"/>
      <c r="B1664" s="160"/>
      <c r="C1664" s="153"/>
      <c r="D1664" s="169"/>
      <c r="E1664" s="139"/>
      <c r="F1664" s="141"/>
      <c r="G1664" s="170" t="str">
        <f>IFERROR(__xludf.DUMMYFUNCTION("if($C1664="""","""",iferror(if(row()&lt;&gt;2,INDEX(arrayformula(filter($H$2:$H1663,$C$2:$C1663&lt;&gt;"""",row($C$2:$C1663)=max(if($C$2:$C1663=C1664,row($C$2:$C1663),0)))) ,1),0),0))"),"")</f>
        <v/>
      </c>
      <c r="H1664" s="170" t="str">
        <f t="shared" si="8"/>
        <v/>
      </c>
      <c r="I1664" s="147" t="str">
        <f t="shared" si="1"/>
        <v/>
      </c>
      <c r="J1664" s="147" t="str">
        <f t="shared" si="13"/>
        <v/>
      </c>
      <c r="K1664" s="147" t="str">
        <f>IFERROR(__xludf.DUMMYFUNCTION("if(C1664="""","""",iferror(if(row()&lt;&gt;2,INDEX(arrayformula(filter($L$2:$L1663,$C$2:$C1663&lt;&gt;"""",row($C$2:$C1663)=max(if($C$2:$C1663=C1664,row($C$2:$C1663),0)))) ,1),0),0))"),"")</f>
        <v/>
      </c>
      <c r="L1664" s="147" t="str">
        <f t="shared" si="14"/>
        <v/>
      </c>
      <c r="M1664" s="147" t="str">
        <f t="shared" si="15"/>
        <v/>
      </c>
      <c r="N1664" s="147" t="str">
        <f t="shared" si="16"/>
        <v/>
      </c>
      <c r="O1664" s="147" t="str">
        <f t="shared" si="6"/>
        <v/>
      </c>
      <c r="P1664" s="150" t="str">
        <f t="shared" si="7"/>
        <v/>
      </c>
      <c r="Q1664" s="151" t="str">
        <f>IFERROR(VLOOKUP(C1664,Ativos!$A$1:$G2000,5,),)</f>
        <v/>
      </c>
    </row>
    <row r="1665" ht="21.0" customHeight="1">
      <c r="A1665" s="152"/>
      <c r="B1665" s="160"/>
      <c r="C1665" s="153"/>
      <c r="D1665" s="169"/>
      <c r="E1665" s="139"/>
      <c r="F1665" s="141"/>
      <c r="G1665" s="170" t="str">
        <f>IFERROR(__xludf.DUMMYFUNCTION("if($C1665="""","""",iferror(if(row()&lt;&gt;2,INDEX(arrayformula(filter($H$2:$H1664,$C$2:$C1664&lt;&gt;"""",row($C$2:$C1664)=max(if($C$2:$C1664=C1665,row($C$2:$C1664),0)))) ,1),0),0))"),"")</f>
        <v/>
      </c>
      <c r="H1665" s="170" t="str">
        <f t="shared" si="8"/>
        <v/>
      </c>
      <c r="I1665" s="147" t="str">
        <f t="shared" si="1"/>
        <v/>
      </c>
      <c r="J1665" s="147" t="str">
        <f t="shared" si="13"/>
        <v/>
      </c>
      <c r="K1665" s="147" t="str">
        <f>IFERROR(__xludf.DUMMYFUNCTION("if(C1665="""","""",iferror(if(row()&lt;&gt;2,INDEX(arrayformula(filter($L$2:$L1664,$C$2:$C1664&lt;&gt;"""",row($C$2:$C1664)=max(if($C$2:$C1664=C1665,row($C$2:$C1664),0)))) ,1),0),0))"),"")</f>
        <v/>
      </c>
      <c r="L1665" s="147" t="str">
        <f t="shared" si="14"/>
        <v/>
      </c>
      <c r="M1665" s="147" t="str">
        <f t="shared" si="15"/>
        <v/>
      </c>
      <c r="N1665" s="147" t="str">
        <f t="shared" si="16"/>
        <v/>
      </c>
      <c r="O1665" s="147" t="str">
        <f t="shared" si="6"/>
        <v/>
      </c>
      <c r="P1665" s="150" t="str">
        <f t="shared" si="7"/>
        <v/>
      </c>
      <c r="Q1665" s="151" t="str">
        <f>IFERROR(VLOOKUP(C1665,Ativos!$A$1:$G2000,5,),)</f>
        <v/>
      </c>
    </row>
    <row r="1666" ht="21.0" customHeight="1">
      <c r="A1666" s="152"/>
      <c r="B1666" s="160"/>
      <c r="C1666" s="153"/>
      <c r="D1666" s="169"/>
      <c r="E1666" s="139"/>
      <c r="F1666" s="141"/>
      <c r="G1666" s="170" t="str">
        <f>IFERROR(__xludf.DUMMYFUNCTION("if($C1666="""","""",iferror(if(row()&lt;&gt;2,INDEX(arrayformula(filter($H$2:$H1665,$C$2:$C1665&lt;&gt;"""",row($C$2:$C1665)=max(if($C$2:$C1665=C1666,row($C$2:$C1665),0)))) ,1),0),0))"),"")</f>
        <v/>
      </c>
      <c r="H1666" s="170" t="str">
        <f t="shared" si="8"/>
        <v/>
      </c>
      <c r="I1666" s="147" t="str">
        <f t="shared" si="1"/>
        <v/>
      </c>
      <c r="J1666" s="147" t="str">
        <f t="shared" si="13"/>
        <v/>
      </c>
      <c r="K1666" s="147" t="str">
        <f>IFERROR(__xludf.DUMMYFUNCTION("if(C1666="""","""",iferror(if(row()&lt;&gt;2,INDEX(arrayformula(filter($L$2:$L1665,$C$2:$C1665&lt;&gt;"""",row($C$2:$C1665)=max(if($C$2:$C1665=C1666,row($C$2:$C1665),0)))) ,1),0),0))"),"")</f>
        <v/>
      </c>
      <c r="L1666" s="147" t="str">
        <f t="shared" si="14"/>
        <v/>
      </c>
      <c r="M1666" s="147" t="str">
        <f t="shared" si="15"/>
        <v/>
      </c>
      <c r="N1666" s="147" t="str">
        <f t="shared" si="16"/>
        <v/>
      </c>
      <c r="O1666" s="147" t="str">
        <f t="shared" si="6"/>
        <v/>
      </c>
      <c r="P1666" s="150" t="str">
        <f t="shared" si="7"/>
        <v/>
      </c>
      <c r="Q1666" s="151" t="str">
        <f>IFERROR(VLOOKUP(C1666,Ativos!$A$1:$G2000,5,),)</f>
        <v/>
      </c>
    </row>
    <row r="1667" ht="21.0" customHeight="1">
      <c r="A1667" s="152"/>
      <c r="B1667" s="160"/>
      <c r="C1667" s="153"/>
      <c r="D1667" s="169"/>
      <c r="E1667" s="139"/>
      <c r="F1667" s="141"/>
      <c r="G1667" s="170" t="str">
        <f>IFERROR(__xludf.DUMMYFUNCTION("if($C1667="""","""",iferror(if(row()&lt;&gt;2,INDEX(arrayformula(filter($H$2:$H1666,$C$2:$C1666&lt;&gt;"""",row($C$2:$C1666)=max(if($C$2:$C1666=C1667,row($C$2:$C1666),0)))) ,1),0),0))"),"")</f>
        <v/>
      </c>
      <c r="H1667" s="170" t="str">
        <f t="shared" si="8"/>
        <v/>
      </c>
      <c r="I1667" s="147" t="str">
        <f t="shared" si="1"/>
        <v/>
      </c>
      <c r="J1667" s="147" t="str">
        <f t="shared" si="13"/>
        <v/>
      </c>
      <c r="K1667" s="147" t="str">
        <f>IFERROR(__xludf.DUMMYFUNCTION("if(C1667="""","""",iferror(if(row()&lt;&gt;2,INDEX(arrayformula(filter($L$2:$L1666,$C$2:$C1666&lt;&gt;"""",row($C$2:$C1666)=max(if($C$2:$C1666=C1667,row($C$2:$C1666),0)))) ,1),0),0))"),"")</f>
        <v/>
      </c>
      <c r="L1667" s="147" t="str">
        <f t="shared" si="14"/>
        <v/>
      </c>
      <c r="M1667" s="147" t="str">
        <f t="shared" si="15"/>
        <v/>
      </c>
      <c r="N1667" s="147" t="str">
        <f t="shared" si="16"/>
        <v/>
      </c>
      <c r="O1667" s="147" t="str">
        <f t="shared" si="6"/>
        <v/>
      </c>
      <c r="P1667" s="150" t="str">
        <f t="shared" si="7"/>
        <v/>
      </c>
      <c r="Q1667" s="151" t="str">
        <f>IFERROR(VLOOKUP(C1667,Ativos!$A$1:$G2000,5,),)</f>
        <v/>
      </c>
    </row>
    <row r="1668" ht="21.0" customHeight="1">
      <c r="A1668" s="152"/>
      <c r="B1668" s="160"/>
      <c r="C1668" s="153"/>
      <c r="D1668" s="169"/>
      <c r="E1668" s="139"/>
      <c r="F1668" s="141"/>
      <c r="G1668" s="170" t="str">
        <f>IFERROR(__xludf.DUMMYFUNCTION("if($C1668="""","""",iferror(if(row()&lt;&gt;2,INDEX(arrayformula(filter($H$2:$H1667,$C$2:$C1667&lt;&gt;"""",row($C$2:$C1667)=max(if($C$2:$C1667=C1668,row($C$2:$C1667),0)))) ,1),0),0))"),"")</f>
        <v/>
      </c>
      <c r="H1668" s="170" t="str">
        <f t="shared" si="8"/>
        <v/>
      </c>
      <c r="I1668" s="147" t="str">
        <f t="shared" si="1"/>
        <v/>
      </c>
      <c r="J1668" s="147" t="str">
        <f t="shared" si="13"/>
        <v/>
      </c>
      <c r="K1668" s="147" t="str">
        <f>IFERROR(__xludf.DUMMYFUNCTION("if(C1668="""","""",iferror(if(row()&lt;&gt;2,INDEX(arrayformula(filter($L$2:$L1667,$C$2:$C1667&lt;&gt;"""",row($C$2:$C1667)=max(if($C$2:$C1667=C1668,row($C$2:$C1667),0)))) ,1),0),0))"),"")</f>
        <v/>
      </c>
      <c r="L1668" s="147" t="str">
        <f t="shared" si="14"/>
        <v/>
      </c>
      <c r="M1668" s="147" t="str">
        <f t="shared" si="15"/>
        <v/>
      </c>
      <c r="N1668" s="147" t="str">
        <f t="shared" si="16"/>
        <v/>
      </c>
      <c r="O1668" s="147" t="str">
        <f t="shared" si="6"/>
        <v/>
      </c>
      <c r="P1668" s="150" t="str">
        <f t="shared" si="7"/>
        <v/>
      </c>
      <c r="Q1668" s="151" t="str">
        <f>IFERROR(VLOOKUP(C1668,Ativos!$A$1:$G2000,5,),)</f>
        <v/>
      </c>
    </row>
    <row r="1669" ht="21.0" customHeight="1">
      <c r="A1669" s="152"/>
      <c r="B1669" s="160"/>
      <c r="C1669" s="153"/>
      <c r="D1669" s="169"/>
      <c r="E1669" s="139"/>
      <c r="F1669" s="141"/>
      <c r="G1669" s="170" t="str">
        <f>IFERROR(__xludf.DUMMYFUNCTION("if($C1669="""","""",iferror(if(row()&lt;&gt;2,INDEX(arrayformula(filter($H$2:$H1668,$C$2:$C1668&lt;&gt;"""",row($C$2:$C1668)=max(if($C$2:$C1668=C1669,row($C$2:$C1668),0)))) ,1),0),0))"),"")</f>
        <v/>
      </c>
      <c r="H1669" s="170" t="str">
        <f t="shared" si="8"/>
        <v/>
      </c>
      <c r="I1669" s="147" t="str">
        <f t="shared" si="1"/>
        <v/>
      </c>
      <c r="J1669" s="147" t="str">
        <f t="shared" si="13"/>
        <v/>
      </c>
      <c r="K1669" s="147" t="str">
        <f>IFERROR(__xludf.DUMMYFUNCTION("if(C1669="""","""",iferror(if(row()&lt;&gt;2,INDEX(arrayformula(filter($L$2:$L1668,$C$2:$C1668&lt;&gt;"""",row($C$2:$C1668)=max(if($C$2:$C1668=C1669,row($C$2:$C1668),0)))) ,1),0),0))"),"")</f>
        <v/>
      </c>
      <c r="L1669" s="147" t="str">
        <f t="shared" si="14"/>
        <v/>
      </c>
      <c r="M1669" s="147" t="str">
        <f t="shared" si="15"/>
        <v/>
      </c>
      <c r="N1669" s="147" t="str">
        <f t="shared" si="16"/>
        <v/>
      </c>
      <c r="O1669" s="147" t="str">
        <f t="shared" si="6"/>
        <v/>
      </c>
      <c r="P1669" s="150" t="str">
        <f t="shared" si="7"/>
        <v/>
      </c>
      <c r="Q1669" s="151" t="str">
        <f>IFERROR(VLOOKUP(C1669,Ativos!$A$1:$G2000,5,),)</f>
        <v/>
      </c>
    </row>
    <row r="1670" ht="21.0" customHeight="1">
      <c r="A1670" s="152"/>
      <c r="B1670" s="160"/>
      <c r="C1670" s="153"/>
      <c r="D1670" s="169"/>
      <c r="E1670" s="139"/>
      <c r="F1670" s="141"/>
      <c r="G1670" s="170" t="str">
        <f>IFERROR(__xludf.DUMMYFUNCTION("if($C1670="""","""",iferror(if(row()&lt;&gt;2,INDEX(arrayformula(filter($H$2:$H1669,$C$2:$C1669&lt;&gt;"""",row($C$2:$C1669)=max(if($C$2:$C1669=C1670,row($C$2:$C1669),0)))) ,1),0),0))"),"")</f>
        <v/>
      </c>
      <c r="H1670" s="170" t="str">
        <f t="shared" si="8"/>
        <v/>
      </c>
      <c r="I1670" s="147" t="str">
        <f t="shared" si="1"/>
        <v/>
      </c>
      <c r="J1670" s="147" t="str">
        <f t="shared" si="13"/>
        <v/>
      </c>
      <c r="K1670" s="147" t="str">
        <f>IFERROR(__xludf.DUMMYFUNCTION("if(C1670="""","""",iferror(if(row()&lt;&gt;2,INDEX(arrayformula(filter($L$2:$L1669,$C$2:$C1669&lt;&gt;"""",row($C$2:$C1669)=max(if($C$2:$C1669=C1670,row($C$2:$C1669),0)))) ,1),0),0))"),"")</f>
        <v/>
      </c>
      <c r="L1670" s="147" t="str">
        <f t="shared" si="14"/>
        <v/>
      </c>
      <c r="M1670" s="147" t="str">
        <f t="shared" si="15"/>
        <v/>
      </c>
      <c r="N1670" s="147" t="str">
        <f t="shared" si="16"/>
        <v/>
      </c>
      <c r="O1670" s="147" t="str">
        <f t="shared" si="6"/>
        <v/>
      </c>
      <c r="P1670" s="150" t="str">
        <f t="shared" si="7"/>
        <v/>
      </c>
      <c r="Q1670" s="151" t="str">
        <f>IFERROR(VLOOKUP(C1670,Ativos!$A$1:$G2000,5,),)</f>
        <v/>
      </c>
    </row>
    <row r="1671" ht="21.0" customHeight="1">
      <c r="A1671" s="152"/>
      <c r="B1671" s="160"/>
      <c r="C1671" s="153"/>
      <c r="D1671" s="169"/>
      <c r="E1671" s="139"/>
      <c r="F1671" s="141"/>
      <c r="G1671" s="170" t="str">
        <f>IFERROR(__xludf.DUMMYFUNCTION("if($C1671="""","""",iferror(if(row()&lt;&gt;2,INDEX(arrayformula(filter($H$2:$H1670,$C$2:$C1670&lt;&gt;"""",row($C$2:$C1670)=max(if($C$2:$C1670=C1671,row($C$2:$C1670),0)))) ,1),0),0))"),"")</f>
        <v/>
      </c>
      <c r="H1671" s="170" t="str">
        <f t="shared" si="8"/>
        <v/>
      </c>
      <c r="I1671" s="147" t="str">
        <f t="shared" si="1"/>
        <v/>
      </c>
      <c r="J1671" s="147" t="str">
        <f t="shared" si="13"/>
        <v/>
      </c>
      <c r="K1671" s="147" t="str">
        <f>IFERROR(__xludf.DUMMYFUNCTION("if(C1671="""","""",iferror(if(row()&lt;&gt;2,INDEX(arrayformula(filter($L$2:$L1670,$C$2:$C1670&lt;&gt;"""",row($C$2:$C1670)=max(if($C$2:$C1670=C1671,row($C$2:$C1670),0)))) ,1),0),0))"),"")</f>
        <v/>
      </c>
      <c r="L1671" s="147" t="str">
        <f t="shared" si="14"/>
        <v/>
      </c>
      <c r="M1671" s="147" t="str">
        <f t="shared" si="15"/>
        <v/>
      </c>
      <c r="N1671" s="147" t="str">
        <f t="shared" si="16"/>
        <v/>
      </c>
      <c r="O1671" s="147" t="str">
        <f t="shared" si="6"/>
        <v/>
      </c>
      <c r="P1671" s="150" t="str">
        <f t="shared" si="7"/>
        <v/>
      </c>
      <c r="Q1671" s="151" t="str">
        <f>IFERROR(VLOOKUP(C1671,Ativos!$A$1:$G2000,5,),)</f>
        <v/>
      </c>
    </row>
    <row r="1672" ht="21.0" customHeight="1">
      <c r="A1672" s="152"/>
      <c r="B1672" s="160"/>
      <c r="C1672" s="153"/>
      <c r="D1672" s="169"/>
      <c r="E1672" s="139"/>
      <c r="F1672" s="141"/>
      <c r="G1672" s="170" t="str">
        <f>IFERROR(__xludf.DUMMYFUNCTION("if($C1672="""","""",iferror(if(row()&lt;&gt;2,INDEX(arrayformula(filter($H$2:$H1671,$C$2:$C1671&lt;&gt;"""",row($C$2:$C1671)=max(if($C$2:$C1671=C1672,row($C$2:$C1671),0)))) ,1),0),0))"),"")</f>
        <v/>
      </c>
      <c r="H1672" s="170" t="str">
        <f t="shared" si="8"/>
        <v/>
      </c>
      <c r="I1672" s="147" t="str">
        <f t="shared" si="1"/>
        <v/>
      </c>
      <c r="J1672" s="147" t="str">
        <f t="shared" si="13"/>
        <v/>
      </c>
      <c r="K1672" s="147" t="str">
        <f>IFERROR(__xludf.DUMMYFUNCTION("if(C1672="""","""",iferror(if(row()&lt;&gt;2,INDEX(arrayformula(filter($L$2:$L1671,$C$2:$C1671&lt;&gt;"""",row($C$2:$C1671)=max(if($C$2:$C1671=C1672,row($C$2:$C1671),0)))) ,1),0),0))"),"")</f>
        <v/>
      </c>
      <c r="L1672" s="147" t="str">
        <f t="shared" si="14"/>
        <v/>
      </c>
      <c r="M1672" s="147" t="str">
        <f t="shared" si="15"/>
        <v/>
      </c>
      <c r="N1672" s="147" t="str">
        <f t="shared" si="16"/>
        <v/>
      </c>
      <c r="O1672" s="147" t="str">
        <f t="shared" si="6"/>
        <v/>
      </c>
      <c r="P1672" s="150" t="str">
        <f t="shared" si="7"/>
        <v/>
      </c>
      <c r="Q1672" s="151" t="str">
        <f>IFERROR(VLOOKUP(C1672,Ativos!$A$1:$G2000,5,),)</f>
        <v/>
      </c>
    </row>
    <row r="1673" ht="21.0" customHeight="1">
      <c r="A1673" s="152"/>
      <c r="B1673" s="160"/>
      <c r="C1673" s="153"/>
      <c r="D1673" s="169"/>
      <c r="E1673" s="139"/>
      <c r="F1673" s="141"/>
      <c r="G1673" s="170" t="str">
        <f>IFERROR(__xludf.DUMMYFUNCTION("if($C1673="""","""",iferror(if(row()&lt;&gt;2,INDEX(arrayformula(filter($H$2:$H1672,$C$2:$C1672&lt;&gt;"""",row($C$2:$C1672)=max(if($C$2:$C1672=C1673,row($C$2:$C1672),0)))) ,1),0),0))"),"")</f>
        <v/>
      </c>
      <c r="H1673" s="170" t="str">
        <f t="shared" si="8"/>
        <v/>
      </c>
      <c r="I1673" s="147" t="str">
        <f t="shared" si="1"/>
        <v/>
      </c>
      <c r="J1673" s="147" t="str">
        <f t="shared" si="13"/>
        <v/>
      </c>
      <c r="K1673" s="147" t="str">
        <f>IFERROR(__xludf.DUMMYFUNCTION("if(C1673="""","""",iferror(if(row()&lt;&gt;2,INDEX(arrayformula(filter($L$2:$L1672,$C$2:$C1672&lt;&gt;"""",row($C$2:$C1672)=max(if($C$2:$C1672=C1673,row($C$2:$C1672),0)))) ,1),0),0))"),"")</f>
        <v/>
      </c>
      <c r="L1673" s="147" t="str">
        <f t="shared" si="14"/>
        <v/>
      </c>
      <c r="M1673" s="147" t="str">
        <f t="shared" si="15"/>
        <v/>
      </c>
      <c r="N1673" s="147" t="str">
        <f t="shared" si="16"/>
        <v/>
      </c>
      <c r="O1673" s="147" t="str">
        <f t="shared" si="6"/>
        <v/>
      </c>
      <c r="P1673" s="150" t="str">
        <f t="shared" si="7"/>
        <v/>
      </c>
      <c r="Q1673" s="151" t="str">
        <f>IFERROR(VLOOKUP(C1673,Ativos!$A$1:$G2000,5,),)</f>
        <v/>
      </c>
    </row>
    <row r="1674" ht="21.0" customHeight="1">
      <c r="A1674" s="152"/>
      <c r="B1674" s="160"/>
      <c r="C1674" s="153"/>
      <c r="D1674" s="169"/>
      <c r="E1674" s="139"/>
      <c r="F1674" s="141"/>
      <c r="G1674" s="170" t="str">
        <f>IFERROR(__xludf.DUMMYFUNCTION("if($C1674="""","""",iferror(if(row()&lt;&gt;2,INDEX(arrayformula(filter($H$2:$H1673,$C$2:$C1673&lt;&gt;"""",row($C$2:$C1673)=max(if($C$2:$C1673=C1674,row($C$2:$C1673),0)))) ,1),0),0))"),"")</f>
        <v/>
      </c>
      <c r="H1674" s="170" t="str">
        <f t="shared" si="8"/>
        <v/>
      </c>
      <c r="I1674" s="147" t="str">
        <f t="shared" si="1"/>
        <v/>
      </c>
      <c r="J1674" s="147" t="str">
        <f t="shared" si="13"/>
        <v/>
      </c>
      <c r="K1674" s="147" t="str">
        <f>IFERROR(__xludf.DUMMYFUNCTION("if(C1674="""","""",iferror(if(row()&lt;&gt;2,INDEX(arrayformula(filter($L$2:$L1673,$C$2:$C1673&lt;&gt;"""",row($C$2:$C1673)=max(if($C$2:$C1673=C1674,row($C$2:$C1673),0)))) ,1),0),0))"),"")</f>
        <v/>
      </c>
      <c r="L1674" s="147" t="str">
        <f t="shared" si="14"/>
        <v/>
      </c>
      <c r="M1674" s="147" t="str">
        <f t="shared" si="15"/>
        <v/>
      </c>
      <c r="N1674" s="147" t="str">
        <f t="shared" si="16"/>
        <v/>
      </c>
      <c r="O1674" s="147" t="str">
        <f t="shared" si="6"/>
        <v/>
      </c>
      <c r="P1674" s="150" t="str">
        <f t="shared" si="7"/>
        <v/>
      </c>
      <c r="Q1674" s="151" t="str">
        <f>IFERROR(VLOOKUP(C1674,Ativos!$A$1:$G2000,5,),)</f>
        <v/>
      </c>
    </row>
    <row r="1675" ht="21.0" customHeight="1">
      <c r="A1675" s="152"/>
      <c r="B1675" s="160"/>
      <c r="C1675" s="153"/>
      <c r="D1675" s="169"/>
      <c r="E1675" s="139"/>
      <c r="F1675" s="141"/>
      <c r="G1675" s="170" t="str">
        <f>IFERROR(__xludf.DUMMYFUNCTION("if($C1675="""","""",iferror(if(row()&lt;&gt;2,INDEX(arrayformula(filter($H$2:$H1674,$C$2:$C1674&lt;&gt;"""",row($C$2:$C1674)=max(if($C$2:$C1674=C1675,row($C$2:$C1674),0)))) ,1),0),0))"),"")</f>
        <v/>
      </c>
      <c r="H1675" s="170" t="str">
        <f t="shared" si="8"/>
        <v/>
      </c>
      <c r="I1675" s="147" t="str">
        <f t="shared" si="1"/>
        <v/>
      </c>
      <c r="J1675" s="147" t="str">
        <f t="shared" si="13"/>
        <v/>
      </c>
      <c r="K1675" s="147" t="str">
        <f>IFERROR(__xludf.DUMMYFUNCTION("if(C1675="""","""",iferror(if(row()&lt;&gt;2,INDEX(arrayformula(filter($L$2:$L1674,$C$2:$C1674&lt;&gt;"""",row($C$2:$C1674)=max(if($C$2:$C1674=C1675,row($C$2:$C1674),0)))) ,1),0),0))"),"")</f>
        <v/>
      </c>
      <c r="L1675" s="147" t="str">
        <f t="shared" si="14"/>
        <v/>
      </c>
      <c r="M1675" s="147" t="str">
        <f t="shared" si="15"/>
        <v/>
      </c>
      <c r="N1675" s="147" t="str">
        <f t="shared" si="16"/>
        <v/>
      </c>
      <c r="O1675" s="147" t="str">
        <f t="shared" si="6"/>
        <v/>
      </c>
      <c r="P1675" s="150" t="str">
        <f t="shared" si="7"/>
        <v/>
      </c>
      <c r="Q1675" s="151" t="str">
        <f>IFERROR(VLOOKUP(C1675,Ativos!$A$1:$G2000,5,),)</f>
        <v/>
      </c>
    </row>
    <row r="1676" ht="21.0" customHeight="1">
      <c r="A1676" s="152"/>
      <c r="B1676" s="160"/>
      <c r="C1676" s="153"/>
      <c r="D1676" s="169"/>
      <c r="E1676" s="139"/>
      <c r="F1676" s="141"/>
      <c r="G1676" s="170" t="str">
        <f>IFERROR(__xludf.DUMMYFUNCTION("if($C1676="""","""",iferror(if(row()&lt;&gt;2,INDEX(arrayformula(filter($H$2:$H1675,$C$2:$C1675&lt;&gt;"""",row($C$2:$C1675)=max(if($C$2:$C1675=C1676,row($C$2:$C1675),0)))) ,1),0),0))"),"")</f>
        <v/>
      </c>
      <c r="H1676" s="170" t="str">
        <f t="shared" si="8"/>
        <v/>
      </c>
      <c r="I1676" s="147" t="str">
        <f t="shared" si="1"/>
        <v/>
      </c>
      <c r="J1676" s="147" t="str">
        <f t="shared" si="13"/>
        <v/>
      </c>
      <c r="K1676" s="147" t="str">
        <f>IFERROR(__xludf.DUMMYFUNCTION("if(C1676="""","""",iferror(if(row()&lt;&gt;2,INDEX(arrayformula(filter($L$2:$L1675,$C$2:$C1675&lt;&gt;"""",row($C$2:$C1675)=max(if($C$2:$C1675=C1676,row($C$2:$C1675),0)))) ,1),0),0))"),"")</f>
        <v/>
      </c>
      <c r="L1676" s="147" t="str">
        <f t="shared" si="14"/>
        <v/>
      </c>
      <c r="M1676" s="147" t="str">
        <f t="shared" si="15"/>
        <v/>
      </c>
      <c r="N1676" s="147" t="str">
        <f t="shared" si="16"/>
        <v/>
      </c>
      <c r="O1676" s="147" t="str">
        <f t="shared" si="6"/>
        <v/>
      </c>
      <c r="P1676" s="150" t="str">
        <f t="shared" si="7"/>
        <v/>
      </c>
      <c r="Q1676" s="151" t="str">
        <f>IFERROR(VLOOKUP(C1676,Ativos!$A$1:$G2000,5,),)</f>
        <v/>
      </c>
    </row>
    <row r="1677" ht="21.0" customHeight="1">
      <c r="A1677" s="152"/>
      <c r="B1677" s="160"/>
      <c r="C1677" s="153"/>
      <c r="D1677" s="169"/>
      <c r="E1677" s="139"/>
      <c r="F1677" s="141"/>
      <c r="G1677" s="170" t="str">
        <f>IFERROR(__xludf.DUMMYFUNCTION("if($C1677="""","""",iferror(if(row()&lt;&gt;2,INDEX(arrayformula(filter($H$2:$H1676,$C$2:$C1676&lt;&gt;"""",row($C$2:$C1676)=max(if($C$2:$C1676=C1677,row($C$2:$C1676),0)))) ,1),0),0))"),"")</f>
        <v/>
      </c>
      <c r="H1677" s="170" t="str">
        <f t="shared" si="8"/>
        <v/>
      </c>
      <c r="I1677" s="147" t="str">
        <f t="shared" si="1"/>
        <v/>
      </c>
      <c r="J1677" s="147" t="str">
        <f t="shared" si="13"/>
        <v/>
      </c>
      <c r="K1677" s="147" t="str">
        <f>IFERROR(__xludf.DUMMYFUNCTION("if(C1677="""","""",iferror(if(row()&lt;&gt;2,INDEX(arrayformula(filter($L$2:$L1676,$C$2:$C1676&lt;&gt;"""",row($C$2:$C1676)=max(if($C$2:$C1676=C1677,row($C$2:$C1676),0)))) ,1),0),0))"),"")</f>
        <v/>
      </c>
      <c r="L1677" s="147" t="str">
        <f t="shared" si="14"/>
        <v/>
      </c>
      <c r="M1677" s="147" t="str">
        <f t="shared" si="15"/>
        <v/>
      </c>
      <c r="N1677" s="147" t="str">
        <f t="shared" si="16"/>
        <v/>
      </c>
      <c r="O1677" s="147" t="str">
        <f t="shared" si="6"/>
        <v/>
      </c>
      <c r="P1677" s="150" t="str">
        <f t="shared" si="7"/>
        <v/>
      </c>
      <c r="Q1677" s="151" t="str">
        <f>IFERROR(VLOOKUP(C1677,Ativos!$A$1:$G2000,5,),)</f>
        <v/>
      </c>
    </row>
    <row r="1678" ht="21.0" customHeight="1">
      <c r="A1678" s="152"/>
      <c r="B1678" s="160"/>
      <c r="C1678" s="153"/>
      <c r="D1678" s="169"/>
      <c r="E1678" s="139"/>
      <c r="F1678" s="141"/>
      <c r="G1678" s="170" t="str">
        <f>IFERROR(__xludf.DUMMYFUNCTION("if($C1678="""","""",iferror(if(row()&lt;&gt;2,INDEX(arrayformula(filter($H$2:$H1677,$C$2:$C1677&lt;&gt;"""",row($C$2:$C1677)=max(if($C$2:$C1677=C1678,row($C$2:$C1677),0)))) ,1),0),0))"),"")</f>
        <v/>
      </c>
      <c r="H1678" s="170" t="str">
        <f t="shared" si="8"/>
        <v/>
      </c>
      <c r="I1678" s="147" t="str">
        <f t="shared" si="1"/>
        <v/>
      </c>
      <c r="J1678" s="147" t="str">
        <f t="shared" si="13"/>
        <v/>
      </c>
      <c r="K1678" s="147" t="str">
        <f>IFERROR(__xludf.DUMMYFUNCTION("if(C1678="""","""",iferror(if(row()&lt;&gt;2,INDEX(arrayformula(filter($L$2:$L1677,$C$2:$C1677&lt;&gt;"""",row($C$2:$C1677)=max(if($C$2:$C1677=C1678,row($C$2:$C1677),0)))) ,1),0),0))"),"")</f>
        <v/>
      </c>
      <c r="L1678" s="147" t="str">
        <f t="shared" si="14"/>
        <v/>
      </c>
      <c r="M1678" s="147" t="str">
        <f t="shared" si="15"/>
        <v/>
      </c>
      <c r="N1678" s="147" t="str">
        <f t="shared" si="16"/>
        <v/>
      </c>
      <c r="O1678" s="147" t="str">
        <f t="shared" si="6"/>
        <v/>
      </c>
      <c r="P1678" s="150" t="str">
        <f t="shared" si="7"/>
        <v/>
      </c>
      <c r="Q1678" s="151" t="str">
        <f>IFERROR(VLOOKUP(C1678,Ativos!$A$1:$G2000,5,),)</f>
        <v/>
      </c>
    </row>
    <row r="1679" ht="21.0" customHeight="1">
      <c r="A1679" s="152"/>
      <c r="B1679" s="160"/>
      <c r="C1679" s="153"/>
      <c r="D1679" s="169"/>
      <c r="E1679" s="139"/>
      <c r="F1679" s="141"/>
      <c r="G1679" s="170" t="str">
        <f>IFERROR(__xludf.DUMMYFUNCTION("if($C1679="""","""",iferror(if(row()&lt;&gt;2,INDEX(arrayformula(filter($H$2:$H1678,$C$2:$C1678&lt;&gt;"""",row($C$2:$C1678)=max(if($C$2:$C1678=C1679,row($C$2:$C1678),0)))) ,1),0),0))"),"")</f>
        <v/>
      </c>
      <c r="H1679" s="170" t="str">
        <f t="shared" si="8"/>
        <v/>
      </c>
      <c r="I1679" s="147" t="str">
        <f t="shared" si="1"/>
        <v/>
      </c>
      <c r="J1679" s="147" t="str">
        <f t="shared" si="13"/>
        <v/>
      </c>
      <c r="K1679" s="147" t="str">
        <f>IFERROR(__xludf.DUMMYFUNCTION("if(C1679="""","""",iferror(if(row()&lt;&gt;2,INDEX(arrayformula(filter($L$2:$L1678,$C$2:$C1678&lt;&gt;"""",row($C$2:$C1678)=max(if($C$2:$C1678=C1679,row($C$2:$C1678),0)))) ,1),0),0))"),"")</f>
        <v/>
      </c>
      <c r="L1679" s="147" t="str">
        <f t="shared" si="14"/>
        <v/>
      </c>
      <c r="M1679" s="147" t="str">
        <f t="shared" si="15"/>
        <v/>
      </c>
      <c r="N1679" s="147" t="str">
        <f t="shared" si="16"/>
        <v/>
      </c>
      <c r="O1679" s="147" t="str">
        <f t="shared" si="6"/>
        <v/>
      </c>
      <c r="P1679" s="150" t="str">
        <f t="shared" si="7"/>
        <v/>
      </c>
      <c r="Q1679" s="151" t="str">
        <f>IFERROR(VLOOKUP(C1679,Ativos!$A$1:$G2000,5,),)</f>
        <v/>
      </c>
    </row>
    <row r="1680" ht="21.0" customHeight="1">
      <c r="A1680" s="152"/>
      <c r="B1680" s="160"/>
      <c r="C1680" s="153"/>
      <c r="D1680" s="169"/>
      <c r="E1680" s="139"/>
      <c r="F1680" s="141"/>
      <c r="G1680" s="170" t="str">
        <f>IFERROR(__xludf.DUMMYFUNCTION("if($C1680="""","""",iferror(if(row()&lt;&gt;2,INDEX(arrayformula(filter($H$2:$H1679,$C$2:$C1679&lt;&gt;"""",row($C$2:$C1679)=max(if($C$2:$C1679=C1680,row($C$2:$C1679),0)))) ,1),0),0))"),"")</f>
        <v/>
      </c>
      <c r="H1680" s="170" t="str">
        <f t="shared" si="8"/>
        <v/>
      </c>
      <c r="I1680" s="147" t="str">
        <f t="shared" si="1"/>
        <v/>
      </c>
      <c r="J1680" s="147" t="str">
        <f t="shared" si="13"/>
        <v/>
      </c>
      <c r="K1680" s="147" t="str">
        <f>IFERROR(__xludf.DUMMYFUNCTION("if(C1680="""","""",iferror(if(row()&lt;&gt;2,INDEX(arrayformula(filter($L$2:$L1679,$C$2:$C1679&lt;&gt;"""",row($C$2:$C1679)=max(if($C$2:$C1679=C1680,row($C$2:$C1679),0)))) ,1),0),0))"),"")</f>
        <v/>
      </c>
      <c r="L1680" s="147" t="str">
        <f t="shared" si="14"/>
        <v/>
      </c>
      <c r="M1680" s="147" t="str">
        <f t="shared" si="15"/>
        <v/>
      </c>
      <c r="N1680" s="147" t="str">
        <f t="shared" si="16"/>
        <v/>
      </c>
      <c r="O1680" s="147" t="str">
        <f t="shared" si="6"/>
        <v/>
      </c>
      <c r="P1680" s="150" t="str">
        <f t="shared" si="7"/>
        <v/>
      </c>
      <c r="Q1680" s="151" t="str">
        <f>IFERROR(VLOOKUP(C1680,Ativos!$A$1:$G2000,5,),)</f>
        <v/>
      </c>
    </row>
    <row r="1681" ht="21.0" customHeight="1">
      <c r="A1681" s="152"/>
      <c r="B1681" s="160"/>
      <c r="C1681" s="153"/>
      <c r="D1681" s="169"/>
      <c r="E1681" s="139"/>
      <c r="F1681" s="141"/>
      <c r="G1681" s="170" t="str">
        <f>IFERROR(__xludf.DUMMYFUNCTION("if($C1681="""","""",iferror(if(row()&lt;&gt;2,INDEX(arrayformula(filter($H$2:$H1680,$C$2:$C1680&lt;&gt;"""",row($C$2:$C1680)=max(if($C$2:$C1680=C1681,row($C$2:$C1680),0)))) ,1),0),0))"),"")</f>
        <v/>
      </c>
      <c r="H1681" s="170" t="str">
        <f t="shared" si="8"/>
        <v/>
      </c>
      <c r="I1681" s="147" t="str">
        <f t="shared" si="1"/>
        <v/>
      </c>
      <c r="J1681" s="147" t="str">
        <f t="shared" si="13"/>
        <v/>
      </c>
      <c r="K1681" s="147" t="str">
        <f>IFERROR(__xludf.DUMMYFUNCTION("if(C1681="""","""",iferror(if(row()&lt;&gt;2,INDEX(arrayformula(filter($L$2:$L1680,$C$2:$C1680&lt;&gt;"""",row($C$2:$C1680)=max(if($C$2:$C1680=C1681,row($C$2:$C1680),0)))) ,1),0),0))"),"")</f>
        <v/>
      </c>
      <c r="L1681" s="147" t="str">
        <f t="shared" si="14"/>
        <v/>
      </c>
      <c r="M1681" s="147" t="str">
        <f t="shared" si="15"/>
        <v/>
      </c>
      <c r="N1681" s="147" t="str">
        <f t="shared" si="16"/>
        <v/>
      </c>
      <c r="O1681" s="147" t="str">
        <f t="shared" si="6"/>
        <v/>
      </c>
      <c r="P1681" s="150" t="str">
        <f t="shared" si="7"/>
        <v/>
      </c>
      <c r="Q1681" s="151" t="str">
        <f>IFERROR(VLOOKUP(C1681,Ativos!$A$1:$G2000,5,),)</f>
        <v/>
      </c>
    </row>
    <row r="1682" ht="21.0" customHeight="1">
      <c r="A1682" s="152"/>
      <c r="B1682" s="160"/>
      <c r="C1682" s="153"/>
      <c r="D1682" s="169"/>
      <c r="E1682" s="139"/>
      <c r="F1682" s="141"/>
      <c r="G1682" s="170" t="str">
        <f>IFERROR(__xludf.DUMMYFUNCTION("if($C1682="""","""",iferror(if(row()&lt;&gt;2,INDEX(arrayformula(filter($H$2:$H1681,$C$2:$C1681&lt;&gt;"""",row($C$2:$C1681)=max(if($C$2:$C1681=C1682,row($C$2:$C1681),0)))) ,1),0),0))"),"")</f>
        <v/>
      </c>
      <c r="H1682" s="170" t="str">
        <f t="shared" si="8"/>
        <v/>
      </c>
      <c r="I1682" s="147" t="str">
        <f t="shared" si="1"/>
        <v/>
      </c>
      <c r="J1682" s="147" t="str">
        <f t="shared" si="13"/>
        <v/>
      </c>
      <c r="K1682" s="147" t="str">
        <f>IFERROR(__xludf.DUMMYFUNCTION("if(C1682="""","""",iferror(if(row()&lt;&gt;2,INDEX(arrayformula(filter($L$2:$L1681,$C$2:$C1681&lt;&gt;"""",row($C$2:$C1681)=max(if($C$2:$C1681=C1682,row($C$2:$C1681),0)))) ,1),0),0))"),"")</f>
        <v/>
      </c>
      <c r="L1682" s="147" t="str">
        <f t="shared" si="14"/>
        <v/>
      </c>
      <c r="M1682" s="147" t="str">
        <f t="shared" si="15"/>
        <v/>
      </c>
      <c r="N1682" s="147" t="str">
        <f t="shared" si="16"/>
        <v/>
      </c>
      <c r="O1682" s="147" t="str">
        <f t="shared" si="6"/>
        <v/>
      </c>
      <c r="P1682" s="150" t="str">
        <f t="shared" si="7"/>
        <v/>
      </c>
      <c r="Q1682" s="151" t="str">
        <f>IFERROR(VLOOKUP(C1682,Ativos!$A$1:$G2000,5,),)</f>
        <v/>
      </c>
    </row>
    <row r="1683" ht="21.0" customHeight="1">
      <c r="A1683" s="152"/>
      <c r="B1683" s="160"/>
      <c r="C1683" s="153"/>
      <c r="D1683" s="169"/>
      <c r="E1683" s="139"/>
      <c r="F1683" s="141"/>
      <c r="G1683" s="170" t="str">
        <f>IFERROR(__xludf.DUMMYFUNCTION("if($C1683="""","""",iferror(if(row()&lt;&gt;2,INDEX(arrayformula(filter($H$2:$H1682,$C$2:$C1682&lt;&gt;"""",row($C$2:$C1682)=max(if($C$2:$C1682=C1683,row($C$2:$C1682),0)))) ,1),0),0))"),"")</f>
        <v/>
      </c>
      <c r="H1683" s="170" t="str">
        <f t="shared" si="8"/>
        <v/>
      </c>
      <c r="I1683" s="147" t="str">
        <f t="shared" si="1"/>
        <v/>
      </c>
      <c r="J1683" s="147" t="str">
        <f t="shared" si="13"/>
        <v/>
      </c>
      <c r="K1683" s="147" t="str">
        <f>IFERROR(__xludf.DUMMYFUNCTION("if(C1683="""","""",iferror(if(row()&lt;&gt;2,INDEX(arrayformula(filter($L$2:$L1682,$C$2:$C1682&lt;&gt;"""",row($C$2:$C1682)=max(if($C$2:$C1682=C1683,row($C$2:$C1682),0)))) ,1),0),0))"),"")</f>
        <v/>
      </c>
      <c r="L1683" s="147" t="str">
        <f t="shared" si="14"/>
        <v/>
      </c>
      <c r="M1683" s="147" t="str">
        <f t="shared" si="15"/>
        <v/>
      </c>
      <c r="N1683" s="147" t="str">
        <f t="shared" si="16"/>
        <v/>
      </c>
      <c r="O1683" s="147" t="str">
        <f t="shared" si="6"/>
        <v/>
      </c>
      <c r="P1683" s="150" t="str">
        <f t="shared" si="7"/>
        <v/>
      </c>
      <c r="Q1683" s="151" t="str">
        <f>IFERROR(VLOOKUP(C1683,Ativos!$A$1:$G2000,5,),)</f>
        <v/>
      </c>
    </row>
    <row r="1684" ht="21.0" customHeight="1">
      <c r="A1684" s="152"/>
      <c r="B1684" s="160"/>
      <c r="C1684" s="153"/>
      <c r="D1684" s="169"/>
      <c r="E1684" s="139"/>
      <c r="F1684" s="141"/>
      <c r="G1684" s="170" t="str">
        <f>IFERROR(__xludf.DUMMYFUNCTION("if($C1684="""","""",iferror(if(row()&lt;&gt;2,INDEX(arrayformula(filter($H$2:$H1683,$C$2:$C1683&lt;&gt;"""",row($C$2:$C1683)=max(if($C$2:$C1683=C1684,row($C$2:$C1683),0)))) ,1),0),0))"),"")</f>
        <v/>
      </c>
      <c r="H1684" s="170" t="str">
        <f t="shared" si="8"/>
        <v/>
      </c>
      <c r="I1684" s="147" t="str">
        <f t="shared" si="1"/>
        <v/>
      </c>
      <c r="J1684" s="147" t="str">
        <f t="shared" si="13"/>
        <v/>
      </c>
      <c r="K1684" s="147" t="str">
        <f>IFERROR(__xludf.DUMMYFUNCTION("if(C1684="""","""",iferror(if(row()&lt;&gt;2,INDEX(arrayformula(filter($L$2:$L1683,$C$2:$C1683&lt;&gt;"""",row($C$2:$C1683)=max(if($C$2:$C1683=C1684,row($C$2:$C1683),0)))) ,1),0),0))"),"")</f>
        <v/>
      </c>
      <c r="L1684" s="147" t="str">
        <f t="shared" si="14"/>
        <v/>
      </c>
      <c r="M1684" s="147" t="str">
        <f t="shared" si="15"/>
        <v/>
      </c>
      <c r="N1684" s="147" t="str">
        <f t="shared" si="16"/>
        <v/>
      </c>
      <c r="O1684" s="147" t="str">
        <f t="shared" si="6"/>
        <v/>
      </c>
      <c r="P1684" s="150" t="str">
        <f t="shared" si="7"/>
        <v/>
      </c>
      <c r="Q1684" s="151" t="str">
        <f>IFERROR(VLOOKUP(C1684,Ativos!$A$1:$G2000,5,),)</f>
        <v/>
      </c>
    </row>
    <row r="1685" ht="21.0" customHeight="1">
      <c r="A1685" s="152"/>
      <c r="B1685" s="160"/>
      <c r="C1685" s="153"/>
      <c r="D1685" s="169"/>
      <c r="E1685" s="139"/>
      <c r="F1685" s="141"/>
      <c r="G1685" s="170" t="str">
        <f>IFERROR(__xludf.DUMMYFUNCTION("if($C1685="""","""",iferror(if(row()&lt;&gt;2,INDEX(arrayformula(filter($H$2:$H1684,$C$2:$C1684&lt;&gt;"""",row($C$2:$C1684)=max(if($C$2:$C1684=C1685,row($C$2:$C1684),0)))) ,1),0),0))"),"")</f>
        <v/>
      </c>
      <c r="H1685" s="170" t="str">
        <f t="shared" si="8"/>
        <v/>
      </c>
      <c r="I1685" s="147" t="str">
        <f t="shared" si="1"/>
        <v/>
      </c>
      <c r="J1685" s="147" t="str">
        <f t="shared" si="13"/>
        <v/>
      </c>
      <c r="K1685" s="147" t="str">
        <f>IFERROR(__xludf.DUMMYFUNCTION("if(C1685="""","""",iferror(if(row()&lt;&gt;2,INDEX(arrayformula(filter($L$2:$L1684,$C$2:$C1684&lt;&gt;"""",row($C$2:$C1684)=max(if($C$2:$C1684=C1685,row($C$2:$C1684),0)))) ,1),0),0))"),"")</f>
        <v/>
      </c>
      <c r="L1685" s="147" t="str">
        <f t="shared" si="14"/>
        <v/>
      </c>
      <c r="M1685" s="147" t="str">
        <f t="shared" si="15"/>
        <v/>
      </c>
      <c r="N1685" s="147" t="str">
        <f t="shared" si="16"/>
        <v/>
      </c>
      <c r="O1685" s="147" t="str">
        <f t="shared" si="6"/>
        <v/>
      </c>
      <c r="P1685" s="150" t="str">
        <f t="shared" si="7"/>
        <v/>
      </c>
      <c r="Q1685" s="151" t="str">
        <f>IFERROR(VLOOKUP(C1685,Ativos!$A$1:$G2000,5,),)</f>
        <v/>
      </c>
    </row>
    <row r="1686" ht="21.0" customHeight="1">
      <c r="A1686" s="152"/>
      <c r="B1686" s="160"/>
      <c r="C1686" s="153"/>
      <c r="D1686" s="169"/>
      <c r="E1686" s="139"/>
      <c r="F1686" s="141"/>
      <c r="G1686" s="170" t="str">
        <f>IFERROR(__xludf.DUMMYFUNCTION("if($C1686="""","""",iferror(if(row()&lt;&gt;2,INDEX(arrayformula(filter($H$2:$H1685,$C$2:$C1685&lt;&gt;"""",row($C$2:$C1685)=max(if($C$2:$C1685=C1686,row($C$2:$C1685),0)))) ,1),0),0))"),"")</f>
        <v/>
      </c>
      <c r="H1686" s="170" t="str">
        <f t="shared" si="8"/>
        <v/>
      </c>
      <c r="I1686" s="147" t="str">
        <f t="shared" si="1"/>
        <v/>
      </c>
      <c r="J1686" s="147" t="str">
        <f t="shared" si="13"/>
        <v/>
      </c>
      <c r="K1686" s="147" t="str">
        <f>IFERROR(__xludf.DUMMYFUNCTION("if(C1686="""","""",iferror(if(row()&lt;&gt;2,INDEX(arrayformula(filter($L$2:$L1685,$C$2:$C1685&lt;&gt;"""",row($C$2:$C1685)=max(if($C$2:$C1685=C1686,row($C$2:$C1685),0)))) ,1),0),0))"),"")</f>
        <v/>
      </c>
      <c r="L1686" s="147" t="str">
        <f t="shared" si="14"/>
        <v/>
      </c>
      <c r="M1686" s="147" t="str">
        <f t="shared" si="15"/>
        <v/>
      </c>
      <c r="N1686" s="147" t="str">
        <f t="shared" si="16"/>
        <v/>
      </c>
      <c r="O1686" s="147" t="str">
        <f t="shared" si="6"/>
        <v/>
      </c>
      <c r="P1686" s="150" t="str">
        <f t="shared" si="7"/>
        <v/>
      </c>
      <c r="Q1686" s="151" t="str">
        <f>IFERROR(VLOOKUP(C1686,Ativos!$A$1:$G2000,5,),)</f>
        <v/>
      </c>
    </row>
    <row r="1687" ht="21.0" customHeight="1">
      <c r="A1687" s="152"/>
      <c r="B1687" s="160"/>
      <c r="C1687" s="153"/>
      <c r="D1687" s="169"/>
      <c r="E1687" s="139"/>
      <c r="F1687" s="141"/>
      <c r="G1687" s="170" t="str">
        <f>IFERROR(__xludf.DUMMYFUNCTION("if($C1687="""","""",iferror(if(row()&lt;&gt;2,INDEX(arrayformula(filter($H$2:$H1686,$C$2:$C1686&lt;&gt;"""",row($C$2:$C1686)=max(if($C$2:$C1686=C1687,row($C$2:$C1686),0)))) ,1),0),0))"),"")</f>
        <v/>
      </c>
      <c r="H1687" s="170" t="str">
        <f t="shared" si="8"/>
        <v/>
      </c>
      <c r="I1687" s="147" t="str">
        <f t="shared" si="1"/>
        <v/>
      </c>
      <c r="J1687" s="147" t="str">
        <f t="shared" si="13"/>
        <v/>
      </c>
      <c r="K1687" s="147" t="str">
        <f>IFERROR(__xludf.DUMMYFUNCTION("if(C1687="""","""",iferror(if(row()&lt;&gt;2,INDEX(arrayformula(filter($L$2:$L1686,$C$2:$C1686&lt;&gt;"""",row($C$2:$C1686)=max(if($C$2:$C1686=C1687,row($C$2:$C1686),0)))) ,1),0),0))"),"")</f>
        <v/>
      </c>
      <c r="L1687" s="147" t="str">
        <f t="shared" si="14"/>
        <v/>
      </c>
      <c r="M1687" s="147" t="str">
        <f t="shared" si="15"/>
        <v/>
      </c>
      <c r="N1687" s="147" t="str">
        <f t="shared" si="16"/>
        <v/>
      </c>
      <c r="O1687" s="147" t="str">
        <f t="shared" si="6"/>
        <v/>
      </c>
      <c r="P1687" s="150" t="str">
        <f t="shared" si="7"/>
        <v/>
      </c>
      <c r="Q1687" s="151" t="str">
        <f>IFERROR(VLOOKUP(C1687,Ativos!$A$1:$G2000,5,),)</f>
        <v/>
      </c>
    </row>
    <row r="1688" ht="21.0" customHeight="1">
      <c r="A1688" s="152"/>
      <c r="B1688" s="160"/>
      <c r="C1688" s="153"/>
      <c r="D1688" s="169"/>
      <c r="E1688" s="139"/>
      <c r="F1688" s="141"/>
      <c r="G1688" s="170" t="str">
        <f>IFERROR(__xludf.DUMMYFUNCTION("if($C1688="""","""",iferror(if(row()&lt;&gt;2,INDEX(arrayformula(filter($H$2:$H1687,$C$2:$C1687&lt;&gt;"""",row($C$2:$C1687)=max(if($C$2:$C1687=C1688,row($C$2:$C1687),0)))) ,1),0),0))"),"")</f>
        <v/>
      </c>
      <c r="H1688" s="170" t="str">
        <f t="shared" si="8"/>
        <v/>
      </c>
      <c r="I1688" s="147" t="str">
        <f t="shared" si="1"/>
        <v/>
      </c>
      <c r="J1688" s="147" t="str">
        <f t="shared" si="13"/>
        <v/>
      </c>
      <c r="K1688" s="147" t="str">
        <f>IFERROR(__xludf.DUMMYFUNCTION("if(C1688="""","""",iferror(if(row()&lt;&gt;2,INDEX(arrayformula(filter($L$2:$L1687,$C$2:$C1687&lt;&gt;"""",row($C$2:$C1687)=max(if($C$2:$C1687=C1688,row($C$2:$C1687),0)))) ,1),0),0))"),"")</f>
        <v/>
      </c>
      <c r="L1688" s="147" t="str">
        <f t="shared" si="14"/>
        <v/>
      </c>
      <c r="M1688" s="147" t="str">
        <f t="shared" si="15"/>
        <v/>
      </c>
      <c r="N1688" s="147" t="str">
        <f t="shared" si="16"/>
        <v/>
      </c>
      <c r="O1688" s="147" t="str">
        <f t="shared" si="6"/>
        <v/>
      </c>
      <c r="P1688" s="150" t="str">
        <f t="shared" si="7"/>
        <v/>
      </c>
      <c r="Q1688" s="151" t="str">
        <f>IFERROR(VLOOKUP(C1688,Ativos!$A$1:$G2000,5,),)</f>
        <v/>
      </c>
    </row>
    <row r="1689" ht="21.0" customHeight="1">
      <c r="A1689" s="152"/>
      <c r="B1689" s="160"/>
      <c r="C1689" s="153"/>
      <c r="D1689" s="169"/>
      <c r="E1689" s="139"/>
      <c r="F1689" s="141"/>
      <c r="G1689" s="170" t="str">
        <f>IFERROR(__xludf.DUMMYFUNCTION("if($C1689="""","""",iferror(if(row()&lt;&gt;2,INDEX(arrayformula(filter($H$2:$H1688,$C$2:$C1688&lt;&gt;"""",row($C$2:$C1688)=max(if($C$2:$C1688=C1689,row($C$2:$C1688),0)))) ,1),0),0))"),"")</f>
        <v/>
      </c>
      <c r="H1689" s="170" t="str">
        <f t="shared" si="8"/>
        <v/>
      </c>
      <c r="I1689" s="147" t="str">
        <f t="shared" si="1"/>
        <v/>
      </c>
      <c r="J1689" s="147" t="str">
        <f t="shared" si="13"/>
        <v/>
      </c>
      <c r="K1689" s="147" t="str">
        <f>IFERROR(__xludf.DUMMYFUNCTION("if(C1689="""","""",iferror(if(row()&lt;&gt;2,INDEX(arrayformula(filter($L$2:$L1688,$C$2:$C1688&lt;&gt;"""",row($C$2:$C1688)=max(if($C$2:$C1688=C1689,row($C$2:$C1688),0)))) ,1),0),0))"),"")</f>
        <v/>
      </c>
      <c r="L1689" s="147" t="str">
        <f t="shared" si="14"/>
        <v/>
      </c>
      <c r="M1689" s="147" t="str">
        <f t="shared" si="15"/>
        <v/>
      </c>
      <c r="N1689" s="147" t="str">
        <f t="shared" si="16"/>
        <v/>
      </c>
      <c r="O1689" s="147" t="str">
        <f t="shared" si="6"/>
        <v/>
      </c>
      <c r="P1689" s="150" t="str">
        <f t="shared" si="7"/>
        <v/>
      </c>
      <c r="Q1689" s="151" t="str">
        <f>IFERROR(VLOOKUP(C1689,Ativos!$A$1:$G2000,5,),)</f>
        <v/>
      </c>
    </row>
    <row r="1690" ht="21.0" customHeight="1">
      <c r="A1690" s="152"/>
      <c r="B1690" s="160"/>
      <c r="C1690" s="153"/>
      <c r="D1690" s="169"/>
      <c r="E1690" s="139"/>
      <c r="F1690" s="141"/>
      <c r="G1690" s="170" t="str">
        <f>IFERROR(__xludf.DUMMYFUNCTION("if($C1690="""","""",iferror(if(row()&lt;&gt;2,INDEX(arrayformula(filter($H$2:$H1689,$C$2:$C1689&lt;&gt;"""",row($C$2:$C1689)=max(if($C$2:$C1689=C1690,row($C$2:$C1689),0)))) ,1),0),0))"),"")</f>
        <v/>
      </c>
      <c r="H1690" s="170" t="str">
        <f t="shared" si="8"/>
        <v/>
      </c>
      <c r="I1690" s="147" t="str">
        <f t="shared" si="1"/>
        <v/>
      </c>
      <c r="J1690" s="147" t="str">
        <f t="shared" si="13"/>
        <v/>
      </c>
      <c r="K1690" s="147" t="str">
        <f>IFERROR(__xludf.DUMMYFUNCTION("if(C1690="""","""",iferror(if(row()&lt;&gt;2,INDEX(arrayformula(filter($L$2:$L1689,$C$2:$C1689&lt;&gt;"""",row($C$2:$C1689)=max(if($C$2:$C1689=C1690,row($C$2:$C1689),0)))) ,1),0),0))"),"")</f>
        <v/>
      </c>
      <c r="L1690" s="147" t="str">
        <f t="shared" si="14"/>
        <v/>
      </c>
      <c r="M1690" s="147" t="str">
        <f t="shared" si="15"/>
        <v/>
      </c>
      <c r="N1690" s="147" t="str">
        <f t="shared" si="16"/>
        <v/>
      </c>
      <c r="O1690" s="147" t="str">
        <f t="shared" si="6"/>
        <v/>
      </c>
      <c r="P1690" s="150" t="str">
        <f t="shared" si="7"/>
        <v/>
      </c>
      <c r="Q1690" s="151" t="str">
        <f>IFERROR(VLOOKUP(C1690,Ativos!$A$1:$G2000,5,),)</f>
        <v/>
      </c>
    </row>
    <row r="1691" ht="21.0" customHeight="1">
      <c r="A1691" s="152"/>
      <c r="B1691" s="160"/>
      <c r="C1691" s="153"/>
      <c r="D1691" s="169"/>
      <c r="E1691" s="139"/>
      <c r="F1691" s="141"/>
      <c r="G1691" s="170" t="str">
        <f>IFERROR(__xludf.DUMMYFUNCTION("if($C1691="""","""",iferror(if(row()&lt;&gt;2,INDEX(arrayformula(filter($H$2:$H1690,$C$2:$C1690&lt;&gt;"""",row($C$2:$C1690)=max(if($C$2:$C1690=C1691,row($C$2:$C1690),0)))) ,1),0),0))"),"")</f>
        <v/>
      </c>
      <c r="H1691" s="170" t="str">
        <f t="shared" si="8"/>
        <v/>
      </c>
      <c r="I1691" s="147" t="str">
        <f t="shared" si="1"/>
        <v/>
      </c>
      <c r="J1691" s="147" t="str">
        <f t="shared" si="13"/>
        <v/>
      </c>
      <c r="K1691" s="147" t="str">
        <f>IFERROR(__xludf.DUMMYFUNCTION("if(C1691="""","""",iferror(if(row()&lt;&gt;2,INDEX(arrayformula(filter($L$2:$L1690,$C$2:$C1690&lt;&gt;"""",row($C$2:$C1690)=max(if($C$2:$C1690=C1691,row($C$2:$C1690),0)))) ,1),0),0))"),"")</f>
        <v/>
      </c>
      <c r="L1691" s="147" t="str">
        <f t="shared" si="14"/>
        <v/>
      </c>
      <c r="M1691" s="147" t="str">
        <f t="shared" si="15"/>
        <v/>
      </c>
      <c r="N1691" s="147" t="str">
        <f t="shared" si="16"/>
        <v/>
      </c>
      <c r="O1691" s="147" t="str">
        <f t="shared" si="6"/>
        <v/>
      </c>
      <c r="P1691" s="150" t="str">
        <f t="shared" si="7"/>
        <v/>
      </c>
      <c r="Q1691" s="151" t="str">
        <f>IFERROR(VLOOKUP(C1691,Ativos!$A$1:$G2000,5,),)</f>
        <v/>
      </c>
    </row>
    <row r="1692" ht="21.0" customHeight="1">
      <c r="A1692" s="152"/>
      <c r="B1692" s="160"/>
      <c r="C1692" s="153"/>
      <c r="D1692" s="169"/>
      <c r="E1692" s="139"/>
      <c r="F1692" s="141"/>
      <c r="G1692" s="170" t="str">
        <f>IFERROR(__xludf.DUMMYFUNCTION("if($C1692="""","""",iferror(if(row()&lt;&gt;2,INDEX(arrayformula(filter($H$2:$H1691,$C$2:$C1691&lt;&gt;"""",row($C$2:$C1691)=max(if($C$2:$C1691=C1692,row($C$2:$C1691),0)))) ,1),0),0))"),"")</f>
        <v/>
      </c>
      <c r="H1692" s="170" t="str">
        <f t="shared" si="8"/>
        <v/>
      </c>
      <c r="I1692" s="147" t="str">
        <f t="shared" si="1"/>
        <v/>
      </c>
      <c r="J1692" s="147" t="str">
        <f t="shared" si="13"/>
        <v/>
      </c>
      <c r="K1692" s="147" t="str">
        <f>IFERROR(__xludf.DUMMYFUNCTION("if(C1692="""","""",iferror(if(row()&lt;&gt;2,INDEX(arrayformula(filter($L$2:$L1691,$C$2:$C1691&lt;&gt;"""",row($C$2:$C1691)=max(if($C$2:$C1691=C1692,row($C$2:$C1691),0)))) ,1),0),0))"),"")</f>
        <v/>
      </c>
      <c r="L1692" s="147" t="str">
        <f t="shared" si="14"/>
        <v/>
      </c>
      <c r="M1692" s="147" t="str">
        <f t="shared" si="15"/>
        <v/>
      </c>
      <c r="N1692" s="147" t="str">
        <f t="shared" si="16"/>
        <v/>
      </c>
      <c r="O1692" s="147" t="str">
        <f t="shared" si="6"/>
        <v/>
      </c>
      <c r="P1692" s="150" t="str">
        <f t="shared" si="7"/>
        <v/>
      </c>
      <c r="Q1692" s="151" t="str">
        <f>IFERROR(VLOOKUP(C1692,Ativos!$A$1:$G2000,5,),)</f>
        <v/>
      </c>
    </row>
    <row r="1693" ht="21.0" customHeight="1">
      <c r="A1693" s="152"/>
      <c r="B1693" s="160"/>
      <c r="C1693" s="153"/>
      <c r="D1693" s="169"/>
      <c r="E1693" s="139"/>
      <c r="F1693" s="141"/>
      <c r="G1693" s="170" t="str">
        <f>IFERROR(__xludf.DUMMYFUNCTION("if($C1693="""","""",iferror(if(row()&lt;&gt;2,INDEX(arrayformula(filter($H$2:$H1692,$C$2:$C1692&lt;&gt;"""",row($C$2:$C1692)=max(if($C$2:$C1692=C1693,row($C$2:$C1692),0)))) ,1),0),0))"),"")</f>
        <v/>
      </c>
      <c r="H1693" s="170" t="str">
        <f t="shared" si="8"/>
        <v/>
      </c>
      <c r="I1693" s="147" t="str">
        <f t="shared" si="1"/>
        <v/>
      </c>
      <c r="J1693" s="147" t="str">
        <f t="shared" si="13"/>
        <v/>
      </c>
      <c r="K1693" s="147" t="str">
        <f>IFERROR(__xludf.DUMMYFUNCTION("if(C1693="""","""",iferror(if(row()&lt;&gt;2,INDEX(arrayformula(filter($L$2:$L1692,$C$2:$C1692&lt;&gt;"""",row($C$2:$C1692)=max(if($C$2:$C1692=C1693,row($C$2:$C1692),0)))) ,1),0),0))"),"")</f>
        <v/>
      </c>
      <c r="L1693" s="147" t="str">
        <f t="shared" si="14"/>
        <v/>
      </c>
      <c r="M1693" s="147" t="str">
        <f t="shared" si="15"/>
        <v/>
      </c>
      <c r="N1693" s="147" t="str">
        <f t="shared" si="16"/>
        <v/>
      </c>
      <c r="O1693" s="147" t="str">
        <f t="shared" si="6"/>
        <v/>
      </c>
      <c r="P1693" s="150" t="str">
        <f t="shared" si="7"/>
        <v/>
      </c>
      <c r="Q1693" s="151" t="str">
        <f>IFERROR(VLOOKUP(C1693,Ativos!$A$1:$G2000,5,),)</f>
        <v/>
      </c>
    </row>
    <row r="1694" ht="21.0" customHeight="1">
      <c r="A1694" s="152"/>
      <c r="B1694" s="160"/>
      <c r="C1694" s="153"/>
      <c r="D1694" s="169"/>
      <c r="E1694" s="139"/>
      <c r="F1694" s="141"/>
      <c r="G1694" s="170" t="str">
        <f>IFERROR(__xludf.DUMMYFUNCTION("if($C1694="""","""",iferror(if(row()&lt;&gt;2,INDEX(arrayformula(filter($H$2:$H1693,$C$2:$C1693&lt;&gt;"""",row($C$2:$C1693)=max(if($C$2:$C1693=C1694,row($C$2:$C1693),0)))) ,1),0),0))"),"")</f>
        <v/>
      </c>
      <c r="H1694" s="170" t="str">
        <f t="shared" si="8"/>
        <v/>
      </c>
      <c r="I1694" s="147" t="str">
        <f t="shared" si="1"/>
        <v/>
      </c>
      <c r="J1694" s="147" t="str">
        <f t="shared" si="13"/>
        <v/>
      </c>
      <c r="K1694" s="147" t="str">
        <f>IFERROR(__xludf.DUMMYFUNCTION("if(C1694="""","""",iferror(if(row()&lt;&gt;2,INDEX(arrayformula(filter($L$2:$L1693,$C$2:$C1693&lt;&gt;"""",row($C$2:$C1693)=max(if($C$2:$C1693=C1694,row($C$2:$C1693),0)))) ,1),0),0))"),"")</f>
        <v/>
      </c>
      <c r="L1694" s="147" t="str">
        <f t="shared" si="14"/>
        <v/>
      </c>
      <c r="M1694" s="147" t="str">
        <f t="shared" si="15"/>
        <v/>
      </c>
      <c r="N1694" s="147" t="str">
        <f t="shared" si="16"/>
        <v/>
      </c>
      <c r="O1694" s="147" t="str">
        <f t="shared" si="6"/>
        <v/>
      </c>
      <c r="P1694" s="150" t="str">
        <f t="shared" si="7"/>
        <v/>
      </c>
      <c r="Q1694" s="151" t="str">
        <f>IFERROR(VLOOKUP(C1694,Ativos!$A$1:$G2000,5,),)</f>
        <v/>
      </c>
    </row>
    <row r="1695" ht="21.0" customHeight="1">
      <c r="A1695" s="152"/>
      <c r="B1695" s="160"/>
      <c r="C1695" s="153"/>
      <c r="D1695" s="169"/>
      <c r="E1695" s="139"/>
      <c r="F1695" s="141"/>
      <c r="G1695" s="170" t="str">
        <f>IFERROR(__xludf.DUMMYFUNCTION("if($C1695="""","""",iferror(if(row()&lt;&gt;2,INDEX(arrayformula(filter($H$2:$H1694,$C$2:$C1694&lt;&gt;"""",row($C$2:$C1694)=max(if($C$2:$C1694=C1695,row($C$2:$C1694),0)))) ,1),0),0))"),"")</f>
        <v/>
      </c>
      <c r="H1695" s="170" t="str">
        <f t="shared" si="8"/>
        <v/>
      </c>
      <c r="I1695" s="147" t="str">
        <f t="shared" si="1"/>
        <v/>
      </c>
      <c r="J1695" s="147" t="str">
        <f t="shared" si="13"/>
        <v/>
      </c>
      <c r="K1695" s="147" t="str">
        <f>IFERROR(__xludf.DUMMYFUNCTION("if(C1695="""","""",iferror(if(row()&lt;&gt;2,INDEX(arrayformula(filter($L$2:$L1694,$C$2:$C1694&lt;&gt;"""",row($C$2:$C1694)=max(if($C$2:$C1694=C1695,row($C$2:$C1694),0)))) ,1),0),0))"),"")</f>
        <v/>
      </c>
      <c r="L1695" s="147" t="str">
        <f t="shared" si="14"/>
        <v/>
      </c>
      <c r="M1695" s="147" t="str">
        <f t="shared" si="15"/>
        <v/>
      </c>
      <c r="N1695" s="147" t="str">
        <f t="shared" si="16"/>
        <v/>
      </c>
      <c r="O1695" s="147" t="str">
        <f t="shared" si="6"/>
        <v/>
      </c>
      <c r="P1695" s="150" t="str">
        <f t="shared" si="7"/>
        <v/>
      </c>
      <c r="Q1695" s="151" t="str">
        <f>IFERROR(VLOOKUP(C1695,Ativos!$A$1:$G2000,5,),)</f>
        <v/>
      </c>
    </row>
    <row r="1696" ht="21.0" customHeight="1">
      <c r="A1696" s="152"/>
      <c r="B1696" s="160"/>
      <c r="C1696" s="153"/>
      <c r="D1696" s="169"/>
      <c r="E1696" s="139"/>
      <c r="F1696" s="141"/>
      <c r="G1696" s="170" t="str">
        <f>IFERROR(__xludf.DUMMYFUNCTION("if($C1696="""","""",iferror(if(row()&lt;&gt;2,INDEX(arrayformula(filter($H$2:$H1695,$C$2:$C1695&lt;&gt;"""",row($C$2:$C1695)=max(if($C$2:$C1695=C1696,row($C$2:$C1695),0)))) ,1),0),0))"),"")</f>
        <v/>
      </c>
      <c r="H1696" s="170" t="str">
        <f t="shared" si="8"/>
        <v/>
      </c>
      <c r="I1696" s="147" t="str">
        <f t="shared" si="1"/>
        <v/>
      </c>
      <c r="J1696" s="147" t="str">
        <f t="shared" si="13"/>
        <v/>
      </c>
      <c r="K1696" s="147" t="str">
        <f>IFERROR(__xludf.DUMMYFUNCTION("if(C1696="""","""",iferror(if(row()&lt;&gt;2,INDEX(arrayformula(filter($L$2:$L1695,$C$2:$C1695&lt;&gt;"""",row($C$2:$C1695)=max(if($C$2:$C1695=C1696,row($C$2:$C1695),0)))) ,1),0),0))"),"")</f>
        <v/>
      </c>
      <c r="L1696" s="147" t="str">
        <f t="shared" si="14"/>
        <v/>
      </c>
      <c r="M1696" s="147" t="str">
        <f t="shared" si="15"/>
        <v/>
      </c>
      <c r="N1696" s="147" t="str">
        <f t="shared" si="16"/>
        <v/>
      </c>
      <c r="O1696" s="147" t="str">
        <f t="shared" si="6"/>
        <v/>
      </c>
      <c r="P1696" s="150" t="str">
        <f t="shared" si="7"/>
        <v/>
      </c>
      <c r="Q1696" s="151" t="str">
        <f>IFERROR(VLOOKUP(C1696,Ativos!$A$1:$G2000,5,),)</f>
        <v/>
      </c>
    </row>
    <row r="1697" ht="21.0" customHeight="1">
      <c r="A1697" s="152"/>
      <c r="B1697" s="160"/>
      <c r="C1697" s="153"/>
      <c r="D1697" s="169"/>
      <c r="E1697" s="139"/>
      <c r="F1697" s="141"/>
      <c r="G1697" s="170" t="str">
        <f>IFERROR(__xludf.DUMMYFUNCTION("if($C1697="""","""",iferror(if(row()&lt;&gt;2,INDEX(arrayformula(filter($H$2:$H1696,$C$2:$C1696&lt;&gt;"""",row($C$2:$C1696)=max(if($C$2:$C1696=C1697,row($C$2:$C1696),0)))) ,1),0),0))"),"")</f>
        <v/>
      </c>
      <c r="H1697" s="170" t="str">
        <f t="shared" si="8"/>
        <v/>
      </c>
      <c r="I1697" s="147" t="str">
        <f t="shared" si="1"/>
        <v/>
      </c>
      <c r="J1697" s="147" t="str">
        <f t="shared" si="13"/>
        <v/>
      </c>
      <c r="K1697" s="147" t="str">
        <f>IFERROR(__xludf.DUMMYFUNCTION("if(C1697="""","""",iferror(if(row()&lt;&gt;2,INDEX(arrayformula(filter($L$2:$L1696,$C$2:$C1696&lt;&gt;"""",row($C$2:$C1696)=max(if($C$2:$C1696=C1697,row($C$2:$C1696),0)))) ,1),0),0))"),"")</f>
        <v/>
      </c>
      <c r="L1697" s="147" t="str">
        <f t="shared" si="14"/>
        <v/>
      </c>
      <c r="M1697" s="147" t="str">
        <f t="shared" si="15"/>
        <v/>
      </c>
      <c r="N1697" s="147" t="str">
        <f t="shared" si="16"/>
        <v/>
      </c>
      <c r="O1697" s="147" t="str">
        <f t="shared" si="6"/>
        <v/>
      </c>
      <c r="P1697" s="150" t="str">
        <f t="shared" si="7"/>
        <v/>
      </c>
      <c r="Q1697" s="151" t="str">
        <f>IFERROR(VLOOKUP(C1697,Ativos!$A$1:$G2000,5,),)</f>
        <v/>
      </c>
    </row>
    <row r="1698" ht="21.0" customHeight="1">
      <c r="A1698" s="152"/>
      <c r="B1698" s="160"/>
      <c r="C1698" s="153"/>
      <c r="D1698" s="169"/>
      <c r="E1698" s="139"/>
      <c r="F1698" s="141"/>
      <c r="G1698" s="170" t="str">
        <f>IFERROR(__xludf.DUMMYFUNCTION("if($C1698="""","""",iferror(if(row()&lt;&gt;2,INDEX(arrayformula(filter($H$2:$H1697,$C$2:$C1697&lt;&gt;"""",row($C$2:$C1697)=max(if($C$2:$C1697=C1698,row($C$2:$C1697),0)))) ,1),0),0))"),"")</f>
        <v/>
      </c>
      <c r="H1698" s="170" t="str">
        <f t="shared" si="8"/>
        <v/>
      </c>
      <c r="I1698" s="147" t="str">
        <f t="shared" si="1"/>
        <v/>
      </c>
      <c r="J1698" s="147" t="str">
        <f t="shared" si="13"/>
        <v/>
      </c>
      <c r="K1698" s="147" t="str">
        <f>IFERROR(__xludf.DUMMYFUNCTION("if(C1698="""","""",iferror(if(row()&lt;&gt;2,INDEX(arrayformula(filter($L$2:$L1697,$C$2:$C1697&lt;&gt;"""",row($C$2:$C1697)=max(if($C$2:$C1697=C1698,row($C$2:$C1697),0)))) ,1),0),0))"),"")</f>
        <v/>
      </c>
      <c r="L1698" s="147" t="str">
        <f t="shared" si="14"/>
        <v/>
      </c>
      <c r="M1698" s="147" t="str">
        <f t="shared" si="15"/>
        <v/>
      </c>
      <c r="N1698" s="147" t="str">
        <f t="shared" si="16"/>
        <v/>
      </c>
      <c r="O1698" s="147" t="str">
        <f t="shared" si="6"/>
        <v/>
      </c>
      <c r="P1698" s="150" t="str">
        <f t="shared" si="7"/>
        <v/>
      </c>
      <c r="Q1698" s="151" t="str">
        <f>IFERROR(VLOOKUP(C1698,Ativos!$A$1:$G2000,5,),)</f>
        <v/>
      </c>
    </row>
    <row r="1699" ht="21.0" customHeight="1">
      <c r="A1699" s="152"/>
      <c r="B1699" s="160"/>
      <c r="C1699" s="153"/>
      <c r="D1699" s="169"/>
      <c r="E1699" s="139"/>
      <c r="F1699" s="141"/>
      <c r="G1699" s="170" t="str">
        <f>IFERROR(__xludf.DUMMYFUNCTION("if($C1699="""","""",iferror(if(row()&lt;&gt;2,INDEX(arrayformula(filter($H$2:$H1698,$C$2:$C1698&lt;&gt;"""",row($C$2:$C1698)=max(if($C$2:$C1698=C1699,row($C$2:$C1698),0)))) ,1),0),0))"),"")</f>
        <v/>
      </c>
      <c r="H1699" s="170" t="str">
        <f t="shared" si="8"/>
        <v/>
      </c>
      <c r="I1699" s="147" t="str">
        <f t="shared" si="1"/>
        <v/>
      </c>
      <c r="J1699" s="147" t="str">
        <f t="shared" si="13"/>
        <v/>
      </c>
      <c r="K1699" s="147" t="str">
        <f>IFERROR(__xludf.DUMMYFUNCTION("if(C1699="""","""",iferror(if(row()&lt;&gt;2,INDEX(arrayformula(filter($L$2:$L1698,$C$2:$C1698&lt;&gt;"""",row($C$2:$C1698)=max(if($C$2:$C1698=C1699,row($C$2:$C1698),0)))) ,1),0),0))"),"")</f>
        <v/>
      </c>
      <c r="L1699" s="147" t="str">
        <f t="shared" si="14"/>
        <v/>
      </c>
      <c r="M1699" s="147" t="str">
        <f t="shared" si="15"/>
        <v/>
      </c>
      <c r="N1699" s="147" t="str">
        <f t="shared" si="16"/>
        <v/>
      </c>
      <c r="O1699" s="147" t="str">
        <f t="shared" si="6"/>
        <v/>
      </c>
      <c r="P1699" s="150" t="str">
        <f t="shared" si="7"/>
        <v/>
      </c>
      <c r="Q1699" s="151" t="str">
        <f>IFERROR(VLOOKUP(C1699,Ativos!$A$1:$G2000,5,),)</f>
        <v/>
      </c>
    </row>
    <row r="1700" ht="21.0" customHeight="1">
      <c r="A1700" s="152"/>
      <c r="B1700" s="160"/>
      <c r="C1700" s="153"/>
      <c r="D1700" s="169"/>
      <c r="E1700" s="139"/>
      <c r="F1700" s="141"/>
      <c r="G1700" s="170" t="str">
        <f>IFERROR(__xludf.DUMMYFUNCTION("if($C1700="""","""",iferror(if(row()&lt;&gt;2,INDEX(arrayformula(filter($H$2:$H1699,$C$2:$C1699&lt;&gt;"""",row($C$2:$C1699)=max(if($C$2:$C1699=C1700,row($C$2:$C1699),0)))) ,1),0),0))"),"")</f>
        <v/>
      </c>
      <c r="H1700" s="170" t="str">
        <f t="shared" si="8"/>
        <v/>
      </c>
      <c r="I1700" s="147" t="str">
        <f t="shared" si="1"/>
        <v/>
      </c>
      <c r="J1700" s="147" t="str">
        <f t="shared" si="13"/>
        <v/>
      </c>
      <c r="K1700" s="147" t="str">
        <f>IFERROR(__xludf.DUMMYFUNCTION("if(C1700="""","""",iferror(if(row()&lt;&gt;2,INDEX(arrayformula(filter($L$2:$L1699,$C$2:$C1699&lt;&gt;"""",row($C$2:$C1699)=max(if($C$2:$C1699=C1700,row($C$2:$C1699),0)))) ,1),0),0))"),"")</f>
        <v/>
      </c>
      <c r="L1700" s="147" t="str">
        <f t="shared" si="14"/>
        <v/>
      </c>
      <c r="M1700" s="147" t="str">
        <f t="shared" si="15"/>
        <v/>
      </c>
      <c r="N1700" s="147" t="str">
        <f t="shared" si="16"/>
        <v/>
      </c>
      <c r="O1700" s="147" t="str">
        <f t="shared" si="6"/>
        <v/>
      </c>
      <c r="P1700" s="150" t="str">
        <f t="shared" si="7"/>
        <v/>
      </c>
      <c r="Q1700" s="151" t="str">
        <f>IFERROR(VLOOKUP(C1700,Ativos!$A$1:$G2000,5,),)</f>
        <v/>
      </c>
    </row>
    <row r="1701" ht="21.0" customHeight="1">
      <c r="A1701" s="152"/>
      <c r="B1701" s="160"/>
      <c r="C1701" s="153"/>
      <c r="D1701" s="169"/>
      <c r="E1701" s="139"/>
      <c r="F1701" s="141"/>
      <c r="G1701" s="170" t="str">
        <f>IFERROR(__xludf.DUMMYFUNCTION("if($C1701="""","""",iferror(if(row()&lt;&gt;2,INDEX(arrayformula(filter($H$2:$H1700,$C$2:$C1700&lt;&gt;"""",row($C$2:$C1700)=max(if($C$2:$C1700=C1701,row($C$2:$C1700),0)))) ,1),0),0))"),"")</f>
        <v/>
      </c>
      <c r="H1701" s="170" t="str">
        <f t="shared" si="8"/>
        <v/>
      </c>
      <c r="I1701" s="147" t="str">
        <f t="shared" si="1"/>
        <v/>
      </c>
      <c r="J1701" s="147" t="str">
        <f t="shared" si="13"/>
        <v/>
      </c>
      <c r="K1701" s="147" t="str">
        <f>IFERROR(__xludf.DUMMYFUNCTION("if(C1701="""","""",iferror(if(row()&lt;&gt;2,INDEX(arrayformula(filter($L$2:$L1700,$C$2:$C1700&lt;&gt;"""",row($C$2:$C1700)=max(if($C$2:$C1700=C1701,row($C$2:$C1700),0)))) ,1),0),0))"),"")</f>
        <v/>
      </c>
      <c r="L1701" s="147" t="str">
        <f t="shared" si="14"/>
        <v/>
      </c>
      <c r="M1701" s="147" t="str">
        <f t="shared" si="15"/>
        <v/>
      </c>
      <c r="N1701" s="147" t="str">
        <f t="shared" si="16"/>
        <v/>
      </c>
      <c r="O1701" s="147" t="str">
        <f t="shared" si="6"/>
        <v/>
      </c>
      <c r="P1701" s="150" t="str">
        <f t="shared" si="7"/>
        <v/>
      </c>
      <c r="Q1701" s="151" t="str">
        <f>IFERROR(VLOOKUP(C1701,Ativos!$A$1:$G2000,5,),)</f>
        <v/>
      </c>
    </row>
    <row r="1702" ht="21.0" customHeight="1">
      <c r="A1702" s="152"/>
      <c r="B1702" s="160"/>
      <c r="C1702" s="153"/>
      <c r="D1702" s="169"/>
      <c r="E1702" s="139"/>
      <c r="F1702" s="141"/>
      <c r="G1702" s="170" t="str">
        <f>IFERROR(__xludf.DUMMYFUNCTION("if($C1702="""","""",iferror(if(row()&lt;&gt;2,INDEX(arrayformula(filter($H$2:$H1701,$C$2:$C1701&lt;&gt;"""",row($C$2:$C1701)=max(if($C$2:$C1701=C1702,row($C$2:$C1701),0)))) ,1),0),0))"),"")</f>
        <v/>
      </c>
      <c r="H1702" s="170" t="str">
        <f t="shared" si="8"/>
        <v/>
      </c>
      <c r="I1702" s="147" t="str">
        <f t="shared" si="1"/>
        <v/>
      </c>
      <c r="J1702" s="147" t="str">
        <f t="shared" si="13"/>
        <v/>
      </c>
      <c r="K1702" s="147" t="str">
        <f>IFERROR(__xludf.DUMMYFUNCTION("if(C1702="""","""",iferror(if(row()&lt;&gt;2,INDEX(arrayformula(filter($L$2:$L1701,$C$2:$C1701&lt;&gt;"""",row($C$2:$C1701)=max(if($C$2:$C1701=C1702,row($C$2:$C1701),0)))) ,1),0),0))"),"")</f>
        <v/>
      </c>
      <c r="L1702" s="147" t="str">
        <f t="shared" si="14"/>
        <v/>
      </c>
      <c r="M1702" s="147" t="str">
        <f t="shared" si="15"/>
        <v/>
      </c>
      <c r="N1702" s="147" t="str">
        <f t="shared" si="16"/>
        <v/>
      </c>
      <c r="O1702" s="147" t="str">
        <f t="shared" si="6"/>
        <v/>
      </c>
      <c r="P1702" s="150" t="str">
        <f t="shared" si="7"/>
        <v/>
      </c>
      <c r="Q1702" s="151" t="str">
        <f>IFERROR(VLOOKUP(C1702,Ativos!$A$1:$G2000,5,),)</f>
        <v/>
      </c>
    </row>
    <row r="1703" ht="21.0" customHeight="1">
      <c r="A1703" s="152"/>
      <c r="B1703" s="160"/>
      <c r="C1703" s="153"/>
      <c r="D1703" s="169"/>
      <c r="E1703" s="139"/>
      <c r="F1703" s="141"/>
      <c r="G1703" s="170" t="str">
        <f>IFERROR(__xludf.DUMMYFUNCTION("if($C1703="""","""",iferror(if(row()&lt;&gt;2,INDEX(arrayformula(filter($H$2:$H1702,$C$2:$C1702&lt;&gt;"""",row($C$2:$C1702)=max(if($C$2:$C1702=C1703,row($C$2:$C1702),0)))) ,1),0),0))"),"")</f>
        <v/>
      </c>
      <c r="H1703" s="170" t="str">
        <f t="shared" si="8"/>
        <v/>
      </c>
      <c r="I1703" s="147" t="str">
        <f t="shared" si="1"/>
        <v/>
      </c>
      <c r="J1703" s="147" t="str">
        <f t="shared" si="13"/>
        <v/>
      </c>
      <c r="K1703" s="147" t="str">
        <f>IFERROR(__xludf.DUMMYFUNCTION("if(C1703="""","""",iferror(if(row()&lt;&gt;2,INDEX(arrayformula(filter($L$2:$L1702,$C$2:$C1702&lt;&gt;"""",row($C$2:$C1702)=max(if($C$2:$C1702=C1703,row($C$2:$C1702),0)))) ,1),0),0))"),"")</f>
        <v/>
      </c>
      <c r="L1703" s="147" t="str">
        <f t="shared" si="14"/>
        <v/>
      </c>
      <c r="M1703" s="147" t="str">
        <f t="shared" si="15"/>
        <v/>
      </c>
      <c r="N1703" s="147" t="str">
        <f t="shared" si="16"/>
        <v/>
      </c>
      <c r="O1703" s="147" t="str">
        <f t="shared" si="6"/>
        <v/>
      </c>
      <c r="P1703" s="150" t="str">
        <f t="shared" si="7"/>
        <v/>
      </c>
      <c r="Q1703" s="151" t="str">
        <f>IFERROR(VLOOKUP(C1703,Ativos!$A$1:$G2000,5,),)</f>
        <v/>
      </c>
    </row>
    <row r="1704" ht="21.0" customHeight="1">
      <c r="A1704" s="152"/>
      <c r="B1704" s="160"/>
      <c r="C1704" s="153"/>
      <c r="D1704" s="169"/>
      <c r="E1704" s="139"/>
      <c r="F1704" s="141"/>
      <c r="G1704" s="170" t="str">
        <f>IFERROR(__xludf.DUMMYFUNCTION("if($C1704="""","""",iferror(if(row()&lt;&gt;2,INDEX(arrayformula(filter($H$2:$H1703,$C$2:$C1703&lt;&gt;"""",row($C$2:$C1703)=max(if($C$2:$C1703=C1704,row($C$2:$C1703),0)))) ,1),0),0))"),"")</f>
        <v/>
      </c>
      <c r="H1704" s="170" t="str">
        <f t="shared" si="8"/>
        <v/>
      </c>
      <c r="I1704" s="147" t="str">
        <f t="shared" si="1"/>
        <v/>
      </c>
      <c r="J1704" s="147" t="str">
        <f t="shared" si="13"/>
        <v/>
      </c>
      <c r="K1704" s="147" t="str">
        <f>IFERROR(__xludf.DUMMYFUNCTION("if(C1704="""","""",iferror(if(row()&lt;&gt;2,INDEX(arrayformula(filter($L$2:$L1703,$C$2:$C1703&lt;&gt;"""",row($C$2:$C1703)=max(if($C$2:$C1703=C1704,row($C$2:$C1703),0)))) ,1),0),0))"),"")</f>
        <v/>
      </c>
      <c r="L1704" s="147" t="str">
        <f t="shared" si="14"/>
        <v/>
      </c>
      <c r="M1704" s="147" t="str">
        <f t="shared" si="15"/>
        <v/>
      </c>
      <c r="N1704" s="147" t="str">
        <f t="shared" si="16"/>
        <v/>
      </c>
      <c r="O1704" s="147" t="str">
        <f t="shared" si="6"/>
        <v/>
      </c>
      <c r="P1704" s="150" t="str">
        <f t="shared" si="7"/>
        <v/>
      </c>
      <c r="Q1704" s="151" t="str">
        <f>IFERROR(VLOOKUP(C1704,Ativos!$A$1:$G2000,5,),)</f>
        <v/>
      </c>
    </row>
    <row r="1705" ht="21.0" customHeight="1">
      <c r="A1705" s="152"/>
      <c r="B1705" s="160"/>
      <c r="C1705" s="153"/>
      <c r="D1705" s="169"/>
      <c r="E1705" s="139"/>
      <c r="F1705" s="141"/>
      <c r="G1705" s="170" t="str">
        <f>IFERROR(__xludf.DUMMYFUNCTION("if($C1705="""","""",iferror(if(row()&lt;&gt;2,INDEX(arrayformula(filter($H$2:$H1704,$C$2:$C1704&lt;&gt;"""",row($C$2:$C1704)=max(if($C$2:$C1704=C1705,row($C$2:$C1704),0)))) ,1),0),0))"),"")</f>
        <v/>
      </c>
      <c r="H1705" s="170" t="str">
        <f t="shared" si="8"/>
        <v/>
      </c>
      <c r="I1705" s="147" t="str">
        <f t="shared" si="1"/>
        <v/>
      </c>
      <c r="J1705" s="147" t="str">
        <f t="shared" si="13"/>
        <v/>
      </c>
      <c r="K1705" s="147" t="str">
        <f>IFERROR(__xludf.DUMMYFUNCTION("if(C1705="""","""",iferror(if(row()&lt;&gt;2,INDEX(arrayformula(filter($L$2:$L1704,$C$2:$C1704&lt;&gt;"""",row($C$2:$C1704)=max(if($C$2:$C1704=C1705,row($C$2:$C1704),0)))) ,1),0),0))"),"")</f>
        <v/>
      </c>
      <c r="L1705" s="147" t="str">
        <f t="shared" si="14"/>
        <v/>
      </c>
      <c r="M1705" s="147" t="str">
        <f t="shared" si="15"/>
        <v/>
      </c>
      <c r="N1705" s="147" t="str">
        <f t="shared" si="16"/>
        <v/>
      </c>
      <c r="O1705" s="147" t="str">
        <f t="shared" si="6"/>
        <v/>
      </c>
      <c r="P1705" s="150" t="str">
        <f t="shared" si="7"/>
        <v/>
      </c>
      <c r="Q1705" s="151" t="str">
        <f>IFERROR(VLOOKUP(C1705,Ativos!$A$1:$G2000,5,),)</f>
        <v/>
      </c>
    </row>
    <row r="1706" ht="21.0" customHeight="1">
      <c r="A1706" s="152"/>
      <c r="B1706" s="160"/>
      <c r="C1706" s="153"/>
      <c r="D1706" s="169"/>
      <c r="E1706" s="139"/>
      <c r="F1706" s="141"/>
      <c r="G1706" s="170" t="str">
        <f>IFERROR(__xludf.DUMMYFUNCTION("if($C1706="""","""",iferror(if(row()&lt;&gt;2,INDEX(arrayformula(filter($H$2:$H1705,$C$2:$C1705&lt;&gt;"""",row($C$2:$C1705)=max(if($C$2:$C1705=C1706,row($C$2:$C1705),0)))) ,1),0),0))"),"")</f>
        <v/>
      </c>
      <c r="H1706" s="170" t="str">
        <f t="shared" si="8"/>
        <v/>
      </c>
      <c r="I1706" s="147" t="str">
        <f t="shared" si="1"/>
        <v/>
      </c>
      <c r="J1706" s="147" t="str">
        <f t="shared" si="13"/>
        <v/>
      </c>
      <c r="K1706" s="147" t="str">
        <f>IFERROR(__xludf.DUMMYFUNCTION("if(C1706="""","""",iferror(if(row()&lt;&gt;2,INDEX(arrayformula(filter($L$2:$L1705,$C$2:$C1705&lt;&gt;"""",row($C$2:$C1705)=max(if($C$2:$C1705=C1706,row($C$2:$C1705),0)))) ,1),0),0))"),"")</f>
        <v/>
      </c>
      <c r="L1706" s="147" t="str">
        <f t="shared" si="14"/>
        <v/>
      </c>
      <c r="M1706" s="147" t="str">
        <f t="shared" si="15"/>
        <v/>
      </c>
      <c r="N1706" s="147" t="str">
        <f t="shared" si="16"/>
        <v/>
      </c>
      <c r="O1706" s="147" t="str">
        <f t="shared" si="6"/>
        <v/>
      </c>
      <c r="P1706" s="150" t="str">
        <f t="shared" si="7"/>
        <v/>
      </c>
      <c r="Q1706" s="151" t="str">
        <f>IFERROR(VLOOKUP(C1706,Ativos!$A$1:$G2000,5,),)</f>
        <v/>
      </c>
    </row>
    <row r="1707" ht="21.0" customHeight="1">
      <c r="A1707" s="152"/>
      <c r="B1707" s="160"/>
      <c r="C1707" s="153"/>
      <c r="D1707" s="169"/>
      <c r="E1707" s="139"/>
      <c r="F1707" s="141"/>
      <c r="G1707" s="170" t="str">
        <f>IFERROR(__xludf.DUMMYFUNCTION("if($C1707="""","""",iferror(if(row()&lt;&gt;2,INDEX(arrayformula(filter($H$2:$H1706,$C$2:$C1706&lt;&gt;"""",row($C$2:$C1706)=max(if($C$2:$C1706=C1707,row($C$2:$C1706),0)))) ,1),0),0))"),"")</f>
        <v/>
      </c>
      <c r="H1707" s="170" t="str">
        <f t="shared" si="8"/>
        <v/>
      </c>
      <c r="I1707" s="147" t="str">
        <f t="shared" si="1"/>
        <v/>
      </c>
      <c r="J1707" s="147" t="str">
        <f t="shared" si="13"/>
        <v/>
      </c>
      <c r="K1707" s="147" t="str">
        <f>IFERROR(__xludf.DUMMYFUNCTION("if(C1707="""","""",iferror(if(row()&lt;&gt;2,INDEX(arrayformula(filter($L$2:$L1706,$C$2:$C1706&lt;&gt;"""",row($C$2:$C1706)=max(if($C$2:$C1706=C1707,row($C$2:$C1706),0)))) ,1),0),0))"),"")</f>
        <v/>
      </c>
      <c r="L1707" s="147" t="str">
        <f t="shared" si="14"/>
        <v/>
      </c>
      <c r="M1707" s="147" t="str">
        <f t="shared" si="15"/>
        <v/>
      </c>
      <c r="N1707" s="147" t="str">
        <f t="shared" si="16"/>
        <v/>
      </c>
      <c r="O1707" s="147" t="str">
        <f t="shared" si="6"/>
        <v/>
      </c>
      <c r="P1707" s="150" t="str">
        <f t="shared" si="7"/>
        <v/>
      </c>
      <c r="Q1707" s="151" t="str">
        <f>IFERROR(VLOOKUP(C1707,Ativos!$A$1:$G2000,5,),)</f>
        <v/>
      </c>
    </row>
    <row r="1708" ht="21.0" customHeight="1">
      <c r="A1708" s="152"/>
      <c r="B1708" s="160"/>
      <c r="C1708" s="153"/>
      <c r="D1708" s="169"/>
      <c r="E1708" s="139"/>
      <c r="F1708" s="141"/>
      <c r="G1708" s="170" t="str">
        <f>IFERROR(__xludf.DUMMYFUNCTION("if($C1708="""","""",iferror(if(row()&lt;&gt;2,INDEX(arrayformula(filter($H$2:$H1707,$C$2:$C1707&lt;&gt;"""",row($C$2:$C1707)=max(if($C$2:$C1707=C1708,row($C$2:$C1707),0)))) ,1),0),0))"),"")</f>
        <v/>
      </c>
      <c r="H1708" s="170" t="str">
        <f t="shared" si="8"/>
        <v/>
      </c>
      <c r="I1708" s="147" t="str">
        <f t="shared" si="1"/>
        <v/>
      </c>
      <c r="J1708" s="147" t="str">
        <f t="shared" si="13"/>
        <v/>
      </c>
      <c r="K1708" s="147" t="str">
        <f>IFERROR(__xludf.DUMMYFUNCTION("if(C1708="""","""",iferror(if(row()&lt;&gt;2,INDEX(arrayformula(filter($L$2:$L1707,$C$2:$C1707&lt;&gt;"""",row($C$2:$C1707)=max(if($C$2:$C1707=C1708,row($C$2:$C1707),0)))) ,1),0),0))"),"")</f>
        <v/>
      </c>
      <c r="L1708" s="147" t="str">
        <f t="shared" si="14"/>
        <v/>
      </c>
      <c r="M1708" s="147" t="str">
        <f t="shared" si="15"/>
        <v/>
      </c>
      <c r="N1708" s="147" t="str">
        <f t="shared" si="16"/>
        <v/>
      </c>
      <c r="O1708" s="147" t="str">
        <f t="shared" si="6"/>
        <v/>
      </c>
      <c r="P1708" s="150" t="str">
        <f t="shared" si="7"/>
        <v/>
      </c>
      <c r="Q1708" s="151" t="str">
        <f>IFERROR(VLOOKUP(C1708,Ativos!$A$1:$G2000,5,),)</f>
        <v/>
      </c>
    </row>
    <row r="1709" ht="21.0" customHeight="1">
      <c r="A1709" s="152"/>
      <c r="B1709" s="160"/>
      <c r="C1709" s="153"/>
      <c r="D1709" s="169"/>
      <c r="E1709" s="139"/>
      <c r="F1709" s="141"/>
      <c r="G1709" s="170" t="str">
        <f>IFERROR(__xludf.DUMMYFUNCTION("if($C1709="""","""",iferror(if(row()&lt;&gt;2,INDEX(arrayformula(filter($H$2:$H1708,$C$2:$C1708&lt;&gt;"""",row($C$2:$C1708)=max(if($C$2:$C1708=C1709,row($C$2:$C1708),0)))) ,1),0),0))"),"")</f>
        <v/>
      </c>
      <c r="H1709" s="170" t="str">
        <f t="shared" si="8"/>
        <v/>
      </c>
      <c r="I1709" s="147" t="str">
        <f t="shared" si="1"/>
        <v/>
      </c>
      <c r="J1709" s="147" t="str">
        <f t="shared" si="13"/>
        <v/>
      </c>
      <c r="K1709" s="147" t="str">
        <f>IFERROR(__xludf.DUMMYFUNCTION("if(C1709="""","""",iferror(if(row()&lt;&gt;2,INDEX(arrayformula(filter($L$2:$L1708,$C$2:$C1708&lt;&gt;"""",row($C$2:$C1708)=max(if($C$2:$C1708=C1709,row($C$2:$C1708),0)))) ,1),0),0))"),"")</f>
        <v/>
      </c>
      <c r="L1709" s="147" t="str">
        <f t="shared" si="14"/>
        <v/>
      </c>
      <c r="M1709" s="147" t="str">
        <f t="shared" si="15"/>
        <v/>
      </c>
      <c r="N1709" s="147" t="str">
        <f t="shared" si="16"/>
        <v/>
      </c>
      <c r="O1709" s="147" t="str">
        <f t="shared" si="6"/>
        <v/>
      </c>
      <c r="P1709" s="150" t="str">
        <f t="shared" si="7"/>
        <v/>
      </c>
      <c r="Q1709" s="151" t="str">
        <f>IFERROR(VLOOKUP(C1709,Ativos!$A$1:$G2000,5,),)</f>
        <v/>
      </c>
    </row>
    <row r="1710" ht="21.0" customHeight="1">
      <c r="A1710" s="152"/>
      <c r="B1710" s="160"/>
      <c r="C1710" s="153"/>
      <c r="D1710" s="169"/>
      <c r="E1710" s="139"/>
      <c r="F1710" s="141"/>
      <c r="G1710" s="170" t="str">
        <f>IFERROR(__xludf.DUMMYFUNCTION("if($C1710="""","""",iferror(if(row()&lt;&gt;2,INDEX(arrayformula(filter($H$2:$H1709,$C$2:$C1709&lt;&gt;"""",row($C$2:$C1709)=max(if($C$2:$C1709=C1710,row($C$2:$C1709),0)))) ,1),0),0))"),"")</f>
        <v/>
      </c>
      <c r="H1710" s="170" t="str">
        <f t="shared" si="8"/>
        <v/>
      </c>
      <c r="I1710" s="147" t="str">
        <f t="shared" si="1"/>
        <v/>
      </c>
      <c r="J1710" s="147" t="str">
        <f t="shared" si="13"/>
        <v/>
      </c>
      <c r="K1710" s="147" t="str">
        <f>IFERROR(__xludf.DUMMYFUNCTION("if(C1710="""","""",iferror(if(row()&lt;&gt;2,INDEX(arrayformula(filter($L$2:$L1709,$C$2:$C1709&lt;&gt;"""",row($C$2:$C1709)=max(if($C$2:$C1709=C1710,row($C$2:$C1709),0)))) ,1),0),0))"),"")</f>
        <v/>
      </c>
      <c r="L1710" s="147" t="str">
        <f t="shared" si="14"/>
        <v/>
      </c>
      <c r="M1710" s="147" t="str">
        <f t="shared" si="15"/>
        <v/>
      </c>
      <c r="N1710" s="147" t="str">
        <f t="shared" si="16"/>
        <v/>
      </c>
      <c r="O1710" s="147" t="str">
        <f t="shared" si="6"/>
        <v/>
      </c>
      <c r="P1710" s="150" t="str">
        <f t="shared" si="7"/>
        <v/>
      </c>
      <c r="Q1710" s="151" t="str">
        <f>IFERROR(VLOOKUP(C1710,Ativos!$A$1:$G2000,5,),)</f>
        <v/>
      </c>
    </row>
    <row r="1711" ht="21.0" customHeight="1">
      <c r="A1711" s="152"/>
      <c r="B1711" s="160"/>
      <c r="C1711" s="153"/>
      <c r="D1711" s="169"/>
      <c r="E1711" s="139"/>
      <c r="F1711" s="141"/>
      <c r="G1711" s="170" t="str">
        <f>IFERROR(__xludf.DUMMYFUNCTION("if($C1711="""","""",iferror(if(row()&lt;&gt;2,INDEX(arrayformula(filter($H$2:$H1710,$C$2:$C1710&lt;&gt;"""",row($C$2:$C1710)=max(if($C$2:$C1710=C1711,row($C$2:$C1710),0)))) ,1),0),0))"),"")</f>
        <v/>
      </c>
      <c r="H1711" s="170" t="str">
        <f t="shared" si="8"/>
        <v/>
      </c>
      <c r="I1711" s="147" t="str">
        <f t="shared" si="1"/>
        <v/>
      </c>
      <c r="J1711" s="147" t="str">
        <f t="shared" si="13"/>
        <v/>
      </c>
      <c r="K1711" s="147" t="str">
        <f>IFERROR(__xludf.DUMMYFUNCTION("if(C1711="""","""",iferror(if(row()&lt;&gt;2,INDEX(arrayformula(filter($L$2:$L1710,$C$2:$C1710&lt;&gt;"""",row($C$2:$C1710)=max(if($C$2:$C1710=C1711,row($C$2:$C1710),0)))) ,1),0),0))"),"")</f>
        <v/>
      </c>
      <c r="L1711" s="147" t="str">
        <f t="shared" si="14"/>
        <v/>
      </c>
      <c r="M1711" s="147" t="str">
        <f t="shared" si="15"/>
        <v/>
      </c>
      <c r="N1711" s="147" t="str">
        <f t="shared" si="16"/>
        <v/>
      </c>
      <c r="O1711" s="147" t="str">
        <f t="shared" si="6"/>
        <v/>
      </c>
      <c r="P1711" s="150" t="str">
        <f t="shared" si="7"/>
        <v/>
      </c>
      <c r="Q1711" s="151" t="str">
        <f>IFERROR(VLOOKUP(C1711,Ativos!$A$1:$G2000,5,),)</f>
        <v/>
      </c>
    </row>
    <row r="1712" ht="21.0" customHeight="1">
      <c r="A1712" s="152"/>
      <c r="B1712" s="160"/>
      <c r="C1712" s="153"/>
      <c r="D1712" s="169"/>
      <c r="E1712" s="139"/>
      <c r="F1712" s="141"/>
      <c r="G1712" s="170" t="str">
        <f>IFERROR(__xludf.DUMMYFUNCTION("if($C1712="""","""",iferror(if(row()&lt;&gt;2,INDEX(arrayformula(filter($H$2:$H1711,$C$2:$C1711&lt;&gt;"""",row($C$2:$C1711)=max(if($C$2:$C1711=C1712,row($C$2:$C1711),0)))) ,1),0),0))"),"")</f>
        <v/>
      </c>
      <c r="H1712" s="170" t="str">
        <f t="shared" si="8"/>
        <v/>
      </c>
      <c r="I1712" s="147" t="str">
        <f t="shared" si="1"/>
        <v/>
      </c>
      <c r="J1712" s="147" t="str">
        <f t="shared" si="13"/>
        <v/>
      </c>
      <c r="K1712" s="147" t="str">
        <f>IFERROR(__xludf.DUMMYFUNCTION("if(C1712="""","""",iferror(if(row()&lt;&gt;2,INDEX(arrayformula(filter($L$2:$L1711,$C$2:$C1711&lt;&gt;"""",row($C$2:$C1711)=max(if($C$2:$C1711=C1712,row($C$2:$C1711),0)))) ,1),0),0))"),"")</f>
        <v/>
      </c>
      <c r="L1712" s="147" t="str">
        <f t="shared" si="14"/>
        <v/>
      </c>
      <c r="M1712" s="147" t="str">
        <f t="shared" si="15"/>
        <v/>
      </c>
      <c r="N1712" s="147" t="str">
        <f t="shared" si="16"/>
        <v/>
      </c>
      <c r="O1712" s="147" t="str">
        <f t="shared" si="6"/>
        <v/>
      </c>
      <c r="P1712" s="150" t="str">
        <f t="shared" si="7"/>
        <v/>
      </c>
      <c r="Q1712" s="151" t="str">
        <f>IFERROR(VLOOKUP(C1712,Ativos!$A$1:$G2000,5,),)</f>
        <v/>
      </c>
    </row>
    <row r="1713" ht="21.0" customHeight="1">
      <c r="A1713" s="152"/>
      <c r="B1713" s="160"/>
      <c r="C1713" s="153"/>
      <c r="D1713" s="169"/>
      <c r="E1713" s="139"/>
      <c r="F1713" s="141"/>
      <c r="G1713" s="170" t="str">
        <f>IFERROR(__xludf.DUMMYFUNCTION("if($C1713="""","""",iferror(if(row()&lt;&gt;2,INDEX(arrayformula(filter($H$2:$H1712,$C$2:$C1712&lt;&gt;"""",row($C$2:$C1712)=max(if($C$2:$C1712=C1713,row($C$2:$C1712),0)))) ,1),0),0))"),"")</f>
        <v/>
      </c>
      <c r="H1713" s="170" t="str">
        <f t="shared" si="8"/>
        <v/>
      </c>
      <c r="I1713" s="147" t="str">
        <f t="shared" si="1"/>
        <v/>
      </c>
      <c r="J1713" s="147" t="str">
        <f t="shared" si="13"/>
        <v/>
      </c>
      <c r="K1713" s="147" t="str">
        <f>IFERROR(__xludf.DUMMYFUNCTION("if(C1713="""","""",iferror(if(row()&lt;&gt;2,INDEX(arrayformula(filter($L$2:$L1712,$C$2:$C1712&lt;&gt;"""",row($C$2:$C1712)=max(if($C$2:$C1712=C1713,row($C$2:$C1712),0)))) ,1),0),0))"),"")</f>
        <v/>
      </c>
      <c r="L1713" s="147" t="str">
        <f t="shared" si="14"/>
        <v/>
      </c>
      <c r="M1713" s="147" t="str">
        <f t="shared" si="15"/>
        <v/>
      </c>
      <c r="N1713" s="147" t="str">
        <f t="shared" si="16"/>
        <v/>
      </c>
      <c r="O1713" s="147" t="str">
        <f t="shared" si="6"/>
        <v/>
      </c>
      <c r="P1713" s="150" t="str">
        <f t="shared" si="7"/>
        <v/>
      </c>
      <c r="Q1713" s="151" t="str">
        <f>IFERROR(VLOOKUP(C1713,Ativos!$A$1:$G2000,5,),)</f>
        <v/>
      </c>
    </row>
    <row r="1714" ht="21.0" customHeight="1">
      <c r="A1714" s="152"/>
      <c r="B1714" s="160"/>
      <c r="C1714" s="153"/>
      <c r="D1714" s="169"/>
      <c r="E1714" s="139"/>
      <c r="F1714" s="141"/>
      <c r="G1714" s="170" t="str">
        <f>IFERROR(__xludf.DUMMYFUNCTION("if($C1714="""","""",iferror(if(row()&lt;&gt;2,INDEX(arrayformula(filter($H$2:$H1713,$C$2:$C1713&lt;&gt;"""",row($C$2:$C1713)=max(if($C$2:$C1713=C1714,row($C$2:$C1713),0)))) ,1),0),0))"),"")</f>
        <v/>
      </c>
      <c r="H1714" s="170" t="str">
        <f t="shared" si="8"/>
        <v/>
      </c>
      <c r="I1714" s="147" t="str">
        <f t="shared" si="1"/>
        <v/>
      </c>
      <c r="J1714" s="147" t="str">
        <f t="shared" si="13"/>
        <v/>
      </c>
      <c r="K1714" s="147" t="str">
        <f>IFERROR(__xludf.DUMMYFUNCTION("if(C1714="""","""",iferror(if(row()&lt;&gt;2,INDEX(arrayformula(filter($L$2:$L1713,$C$2:$C1713&lt;&gt;"""",row($C$2:$C1713)=max(if($C$2:$C1713=C1714,row($C$2:$C1713),0)))) ,1),0),0))"),"")</f>
        <v/>
      </c>
      <c r="L1714" s="147" t="str">
        <f t="shared" si="14"/>
        <v/>
      </c>
      <c r="M1714" s="147" t="str">
        <f t="shared" si="15"/>
        <v/>
      </c>
      <c r="N1714" s="147" t="str">
        <f t="shared" si="16"/>
        <v/>
      </c>
      <c r="O1714" s="147" t="str">
        <f t="shared" si="6"/>
        <v/>
      </c>
      <c r="P1714" s="150" t="str">
        <f t="shared" si="7"/>
        <v/>
      </c>
      <c r="Q1714" s="151" t="str">
        <f>IFERROR(VLOOKUP(C1714,Ativos!$A$1:$G2000,5,),)</f>
        <v/>
      </c>
    </row>
    <row r="1715" ht="21.0" customHeight="1">
      <c r="A1715" s="152"/>
      <c r="B1715" s="160"/>
      <c r="C1715" s="153"/>
      <c r="D1715" s="169"/>
      <c r="E1715" s="139"/>
      <c r="F1715" s="141"/>
      <c r="G1715" s="170" t="str">
        <f>IFERROR(__xludf.DUMMYFUNCTION("if($C1715="""","""",iferror(if(row()&lt;&gt;2,INDEX(arrayformula(filter($H$2:$H1714,$C$2:$C1714&lt;&gt;"""",row($C$2:$C1714)=max(if($C$2:$C1714=C1715,row($C$2:$C1714),0)))) ,1),0),0))"),"")</f>
        <v/>
      </c>
      <c r="H1715" s="170" t="str">
        <f t="shared" si="8"/>
        <v/>
      </c>
      <c r="I1715" s="147" t="str">
        <f t="shared" si="1"/>
        <v/>
      </c>
      <c r="J1715" s="147" t="str">
        <f t="shared" si="13"/>
        <v/>
      </c>
      <c r="K1715" s="147" t="str">
        <f>IFERROR(__xludf.DUMMYFUNCTION("if(C1715="""","""",iferror(if(row()&lt;&gt;2,INDEX(arrayformula(filter($L$2:$L1714,$C$2:$C1714&lt;&gt;"""",row($C$2:$C1714)=max(if($C$2:$C1714=C1715,row($C$2:$C1714),0)))) ,1),0),0))"),"")</f>
        <v/>
      </c>
      <c r="L1715" s="147" t="str">
        <f t="shared" si="14"/>
        <v/>
      </c>
      <c r="M1715" s="147" t="str">
        <f t="shared" si="15"/>
        <v/>
      </c>
      <c r="N1715" s="147" t="str">
        <f t="shared" si="16"/>
        <v/>
      </c>
      <c r="O1715" s="147" t="str">
        <f t="shared" si="6"/>
        <v/>
      </c>
      <c r="P1715" s="150" t="str">
        <f t="shared" si="7"/>
        <v/>
      </c>
      <c r="Q1715" s="151" t="str">
        <f>IFERROR(VLOOKUP(C1715,Ativos!$A$1:$G2000,5,),)</f>
        <v/>
      </c>
    </row>
    <row r="1716" ht="21.0" customHeight="1">
      <c r="A1716" s="152"/>
      <c r="B1716" s="160"/>
      <c r="C1716" s="153"/>
      <c r="D1716" s="169"/>
      <c r="E1716" s="139"/>
      <c r="F1716" s="141"/>
      <c r="G1716" s="170" t="str">
        <f>IFERROR(__xludf.DUMMYFUNCTION("if($C1716="""","""",iferror(if(row()&lt;&gt;2,INDEX(arrayformula(filter($H$2:$H1715,$C$2:$C1715&lt;&gt;"""",row($C$2:$C1715)=max(if($C$2:$C1715=C1716,row($C$2:$C1715),0)))) ,1),0),0))"),"")</f>
        <v/>
      </c>
      <c r="H1716" s="170" t="str">
        <f t="shared" si="8"/>
        <v/>
      </c>
      <c r="I1716" s="147" t="str">
        <f t="shared" si="1"/>
        <v/>
      </c>
      <c r="J1716" s="147" t="str">
        <f t="shared" si="13"/>
        <v/>
      </c>
      <c r="K1716" s="147" t="str">
        <f>IFERROR(__xludf.DUMMYFUNCTION("if(C1716="""","""",iferror(if(row()&lt;&gt;2,INDEX(arrayformula(filter($L$2:$L1715,$C$2:$C1715&lt;&gt;"""",row($C$2:$C1715)=max(if($C$2:$C1715=C1716,row($C$2:$C1715),0)))) ,1),0),0))"),"")</f>
        <v/>
      </c>
      <c r="L1716" s="147" t="str">
        <f t="shared" si="14"/>
        <v/>
      </c>
      <c r="M1716" s="147" t="str">
        <f t="shared" si="15"/>
        <v/>
      </c>
      <c r="N1716" s="147" t="str">
        <f t="shared" si="16"/>
        <v/>
      </c>
      <c r="O1716" s="147" t="str">
        <f t="shared" si="6"/>
        <v/>
      </c>
      <c r="P1716" s="150" t="str">
        <f t="shared" si="7"/>
        <v/>
      </c>
      <c r="Q1716" s="151" t="str">
        <f>IFERROR(VLOOKUP(C1716,Ativos!$A$1:$G2000,5,),)</f>
        <v/>
      </c>
    </row>
    <row r="1717" ht="21.0" customHeight="1">
      <c r="A1717" s="152"/>
      <c r="B1717" s="160"/>
      <c r="C1717" s="153"/>
      <c r="D1717" s="169"/>
      <c r="E1717" s="139"/>
      <c r="F1717" s="141"/>
      <c r="G1717" s="170" t="str">
        <f>IFERROR(__xludf.DUMMYFUNCTION("if($C1717="""","""",iferror(if(row()&lt;&gt;2,INDEX(arrayformula(filter($H$2:$H1716,$C$2:$C1716&lt;&gt;"""",row($C$2:$C1716)=max(if($C$2:$C1716=C1717,row($C$2:$C1716),0)))) ,1),0),0))"),"")</f>
        <v/>
      </c>
      <c r="H1717" s="170" t="str">
        <f t="shared" si="8"/>
        <v/>
      </c>
      <c r="I1717" s="147" t="str">
        <f t="shared" si="1"/>
        <v/>
      </c>
      <c r="J1717" s="147" t="str">
        <f t="shared" si="13"/>
        <v/>
      </c>
      <c r="K1717" s="147" t="str">
        <f>IFERROR(__xludf.DUMMYFUNCTION("if(C1717="""","""",iferror(if(row()&lt;&gt;2,INDEX(arrayformula(filter($L$2:$L1716,$C$2:$C1716&lt;&gt;"""",row($C$2:$C1716)=max(if($C$2:$C1716=C1717,row($C$2:$C1716),0)))) ,1),0),0))"),"")</f>
        <v/>
      </c>
      <c r="L1717" s="147" t="str">
        <f t="shared" si="14"/>
        <v/>
      </c>
      <c r="M1717" s="147" t="str">
        <f t="shared" si="15"/>
        <v/>
      </c>
      <c r="N1717" s="147" t="str">
        <f t="shared" si="16"/>
        <v/>
      </c>
      <c r="O1717" s="147" t="str">
        <f t="shared" si="6"/>
        <v/>
      </c>
      <c r="P1717" s="150" t="str">
        <f t="shared" si="7"/>
        <v/>
      </c>
      <c r="Q1717" s="151" t="str">
        <f>IFERROR(VLOOKUP(C1717,Ativos!$A$1:$G2000,5,),)</f>
        <v/>
      </c>
    </row>
    <row r="1718" ht="21.0" customHeight="1">
      <c r="A1718" s="152"/>
      <c r="B1718" s="160"/>
      <c r="C1718" s="153"/>
      <c r="D1718" s="169"/>
      <c r="E1718" s="139"/>
      <c r="F1718" s="141"/>
      <c r="G1718" s="170" t="str">
        <f>IFERROR(__xludf.DUMMYFUNCTION("if($C1718="""","""",iferror(if(row()&lt;&gt;2,INDEX(arrayformula(filter($H$2:$H1717,$C$2:$C1717&lt;&gt;"""",row($C$2:$C1717)=max(if($C$2:$C1717=C1718,row($C$2:$C1717),0)))) ,1),0),0))"),"")</f>
        <v/>
      </c>
      <c r="H1718" s="170" t="str">
        <f t="shared" si="8"/>
        <v/>
      </c>
      <c r="I1718" s="147" t="str">
        <f t="shared" si="1"/>
        <v/>
      </c>
      <c r="J1718" s="147" t="str">
        <f t="shared" si="13"/>
        <v/>
      </c>
      <c r="K1718" s="147" t="str">
        <f>IFERROR(__xludf.DUMMYFUNCTION("if(C1718="""","""",iferror(if(row()&lt;&gt;2,INDEX(arrayformula(filter($L$2:$L1717,$C$2:$C1717&lt;&gt;"""",row($C$2:$C1717)=max(if($C$2:$C1717=C1718,row($C$2:$C1717),0)))) ,1),0),0))"),"")</f>
        <v/>
      </c>
      <c r="L1718" s="147" t="str">
        <f t="shared" si="14"/>
        <v/>
      </c>
      <c r="M1718" s="147" t="str">
        <f t="shared" si="15"/>
        <v/>
      </c>
      <c r="N1718" s="147" t="str">
        <f t="shared" si="16"/>
        <v/>
      </c>
      <c r="O1718" s="147" t="str">
        <f t="shared" si="6"/>
        <v/>
      </c>
      <c r="P1718" s="150" t="str">
        <f t="shared" si="7"/>
        <v/>
      </c>
      <c r="Q1718" s="151" t="str">
        <f>IFERROR(VLOOKUP(C1718,Ativos!$A$1:$G2000,5,),)</f>
        <v/>
      </c>
    </row>
    <row r="1719" ht="21.0" customHeight="1">
      <c r="A1719" s="152"/>
      <c r="B1719" s="160"/>
      <c r="C1719" s="153"/>
      <c r="D1719" s="169"/>
      <c r="E1719" s="139"/>
      <c r="F1719" s="141"/>
      <c r="G1719" s="170" t="str">
        <f>IFERROR(__xludf.DUMMYFUNCTION("if($C1719="""","""",iferror(if(row()&lt;&gt;2,INDEX(arrayformula(filter($H$2:$H1718,$C$2:$C1718&lt;&gt;"""",row($C$2:$C1718)=max(if($C$2:$C1718=C1719,row($C$2:$C1718),0)))) ,1),0),0))"),"")</f>
        <v/>
      </c>
      <c r="H1719" s="170" t="str">
        <f t="shared" si="8"/>
        <v/>
      </c>
      <c r="I1719" s="147" t="str">
        <f t="shared" si="1"/>
        <v/>
      </c>
      <c r="J1719" s="147" t="str">
        <f t="shared" si="13"/>
        <v/>
      </c>
      <c r="K1719" s="147" t="str">
        <f>IFERROR(__xludf.DUMMYFUNCTION("if(C1719="""","""",iferror(if(row()&lt;&gt;2,INDEX(arrayformula(filter($L$2:$L1718,$C$2:$C1718&lt;&gt;"""",row($C$2:$C1718)=max(if($C$2:$C1718=C1719,row($C$2:$C1718),0)))) ,1),0),0))"),"")</f>
        <v/>
      </c>
      <c r="L1719" s="147" t="str">
        <f t="shared" si="14"/>
        <v/>
      </c>
      <c r="M1719" s="147" t="str">
        <f t="shared" si="15"/>
        <v/>
      </c>
      <c r="N1719" s="147" t="str">
        <f t="shared" si="16"/>
        <v/>
      </c>
      <c r="O1719" s="147" t="str">
        <f t="shared" si="6"/>
        <v/>
      </c>
      <c r="P1719" s="150" t="str">
        <f t="shared" si="7"/>
        <v/>
      </c>
      <c r="Q1719" s="151" t="str">
        <f>IFERROR(VLOOKUP(C1719,Ativos!$A$1:$G2000,5,),)</f>
        <v/>
      </c>
    </row>
    <row r="1720" ht="21.0" customHeight="1">
      <c r="A1720" s="152"/>
      <c r="B1720" s="160"/>
      <c r="C1720" s="153"/>
      <c r="D1720" s="169"/>
      <c r="E1720" s="139"/>
      <c r="F1720" s="141"/>
      <c r="G1720" s="170" t="str">
        <f>IFERROR(__xludf.DUMMYFUNCTION("if($C1720="""","""",iferror(if(row()&lt;&gt;2,INDEX(arrayformula(filter($H$2:$H1719,$C$2:$C1719&lt;&gt;"""",row($C$2:$C1719)=max(if($C$2:$C1719=C1720,row($C$2:$C1719),0)))) ,1),0),0))"),"")</f>
        <v/>
      </c>
      <c r="H1720" s="170" t="str">
        <f t="shared" si="8"/>
        <v/>
      </c>
      <c r="I1720" s="147" t="str">
        <f t="shared" si="1"/>
        <v/>
      </c>
      <c r="J1720" s="147" t="str">
        <f t="shared" si="13"/>
        <v/>
      </c>
      <c r="K1720" s="147" t="str">
        <f>IFERROR(__xludf.DUMMYFUNCTION("if(C1720="""","""",iferror(if(row()&lt;&gt;2,INDEX(arrayformula(filter($L$2:$L1719,$C$2:$C1719&lt;&gt;"""",row($C$2:$C1719)=max(if($C$2:$C1719=C1720,row($C$2:$C1719),0)))) ,1),0),0))"),"")</f>
        <v/>
      </c>
      <c r="L1720" s="147" t="str">
        <f t="shared" si="14"/>
        <v/>
      </c>
      <c r="M1720" s="147" t="str">
        <f t="shared" si="15"/>
        <v/>
      </c>
      <c r="N1720" s="147" t="str">
        <f t="shared" si="16"/>
        <v/>
      </c>
      <c r="O1720" s="147" t="str">
        <f t="shared" si="6"/>
        <v/>
      </c>
      <c r="P1720" s="150" t="str">
        <f t="shared" si="7"/>
        <v/>
      </c>
      <c r="Q1720" s="151" t="str">
        <f>IFERROR(VLOOKUP(C1720,Ativos!$A$1:$G2000,5,),)</f>
        <v/>
      </c>
    </row>
    <row r="1721" ht="21.0" customHeight="1">
      <c r="A1721" s="152"/>
      <c r="B1721" s="160"/>
      <c r="C1721" s="153"/>
      <c r="D1721" s="169"/>
      <c r="E1721" s="139"/>
      <c r="F1721" s="141"/>
      <c r="G1721" s="170" t="str">
        <f>IFERROR(__xludf.DUMMYFUNCTION("if($C1721="""","""",iferror(if(row()&lt;&gt;2,INDEX(arrayformula(filter($H$2:$H1720,$C$2:$C1720&lt;&gt;"""",row($C$2:$C1720)=max(if($C$2:$C1720=C1721,row($C$2:$C1720),0)))) ,1),0),0))"),"")</f>
        <v/>
      </c>
      <c r="H1721" s="170" t="str">
        <f t="shared" si="8"/>
        <v/>
      </c>
      <c r="I1721" s="147" t="str">
        <f t="shared" si="1"/>
        <v/>
      </c>
      <c r="J1721" s="147" t="str">
        <f t="shared" si="13"/>
        <v/>
      </c>
      <c r="K1721" s="147" t="str">
        <f>IFERROR(__xludf.DUMMYFUNCTION("if(C1721="""","""",iferror(if(row()&lt;&gt;2,INDEX(arrayformula(filter($L$2:$L1720,$C$2:$C1720&lt;&gt;"""",row($C$2:$C1720)=max(if($C$2:$C1720=C1721,row($C$2:$C1720),0)))) ,1),0),0))"),"")</f>
        <v/>
      </c>
      <c r="L1721" s="147" t="str">
        <f t="shared" si="14"/>
        <v/>
      </c>
      <c r="M1721" s="147" t="str">
        <f t="shared" si="15"/>
        <v/>
      </c>
      <c r="N1721" s="147" t="str">
        <f t="shared" si="16"/>
        <v/>
      </c>
      <c r="O1721" s="147" t="str">
        <f t="shared" si="6"/>
        <v/>
      </c>
      <c r="P1721" s="150" t="str">
        <f t="shared" si="7"/>
        <v/>
      </c>
      <c r="Q1721" s="151" t="str">
        <f>IFERROR(VLOOKUP(C1721,Ativos!$A$1:$G2000,5,),)</f>
        <v/>
      </c>
    </row>
    <row r="1722" ht="21.0" customHeight="1">
      <c r="A1722" s="152"/>
      <c r="B1722" s="160"/>
      <c r="C1722" s="153"/>
      <c r="D1722" s="169"/>
      <c r="E1722" s="139"/>
      <c r="F1722" s="141"/>
      <c r="G1722" s="170" t="str">
        <f>IFERROR(__xludf.DUMMYFUNCTION("if($C1722="""","""",iferror(if(row()&lt;&gt;2,INDEX(arrayformula(filter($H$2:$H1721,$C$2:$C1721&lt;&gt;"""",row($C$2:$C1721)=max(if($C$2:$C1721=C1722,row($C$2:$C1721),0)))) ,1),0),0))"),"")</f>
        <v/>
      </c>
      <c r="H1722" s="170" t="str">
        <f t="shared" si="8"/>
        <v/>
      </c>
      <c r="I1722" s="147" t="str">
        <f t="shared" si="1"/>
        <v/>
      </c>
      <c r="J1722" s="147" t="str">
        <f t="shared" si="13"/>
        <v/>
      </c>
      <c r="K1722" s="147" t="str">
        <f>IFERROR(__xludf.DUMMYFUNCTION("if(C1722="""","""",iferror(if(row()&lt;&gt;2,INDEX(arrayformula(filter($L$2:$L1721,$C$2:$C1721&lt;&gt;"""",row($C$2:$C1721)=max(if($C$2:$C1721=C1722,row($C$2:$C1721),0)))) ,1),0),0))"),"")</f>
        <v/>
      </c>
      <c r="L1722" s="147" t="str">
        <f t="shared" si="14"/>
        <v/>
      </c>
      <c r="M1722" s="147" t="str">
        <f t="shared" si="15"/>
        <v/>
      </c>
      <c r="N1722" s="147" t="str">
        <f t="shared" si="16"/>
        <v/>
      </c>
      <c r="O1722" s="147" t="str">
        <f t="shared" si="6"/>
        <v/>
      </c>
      <c r="P1722" s="150" t="str">
        <f t="shared" si="7"/>
        <v/>
      </c>
      <c r="Q1722" s="151" t="str">
        <f>IFERROR(VLOOKUP(C1722,Ativos!$A$1:$G2000,5,),)</f>
        <v/>
      </c>
    </row>
    <row r="1723" ht="21.0" customHeight="1">
      <c r="A1723" s="152"/>
      <c r="B1723" s="160"/>
      <c r="C1723" s="153"/>
      <c r="D1723" s="169"/>
      <c r="E1723" s="139"/>
      <c r="F1723" s="141"/>
      <c r="G1723" s="170" t="str">
        <f>IFERROR(__xludf.DUMMYFUNCTION("if($C1723="""","""",iferror(if(row()&lt;&gt;2,INDEX(arrayformula(filter($H$2:$H1722,$C$2:$C1722&lt;&gt;"""",row($C$2:$C1722)=max(if($C$2:$C1722=C1723,row($C$2:$C1722),0)))) ,1),0),0))"),"")</f>
        <v/>
      </c>
      <c r="H1723" s="170" t="str">
        <f t="shared" si="8"/>
        <v/>
      </c>
      <c r="I1723" s="147" t="str">
        <f t="shared" si="1"/>
        <v/>
      </c>
      <c r="J1723" s="147" t="str">
        <f t="shared" si="13"/>
        <v/>
      </c>
      <c r="K1723" s="147" t="str">
        <f>IFERROR(__xludf.DUMMYFUNCTION("if(C1723="""","""",iferror(if(row()&lt;&gt;2,INDEX(arrayformula(filter($L$2:$L1722,$C$2:$C1722&lt;&gt;"""",row($C$2:$C1722)=max(if($C$2:$C1722=C1723,row($C$2:$C1722),0)))) ,1),0),0))"),"")</f>
        <v/>
      </c>
      <c r="L1723" s="147" t="str">
        <f t="shared" si="14"/>
        <v/>
      </c>
      <c r="M1723" s="147" t="str">
        <f t="shared" si="15"/>
        <v/>
      </c>
      <c r="N1723" s="147" t="str">
        <f t="shared" si="16"/>
        <v/>
      </c>
      <c r="O1723" s="147" t="str">
        <f t="shared" si="6"/>
        <v/>
      </c>
      <c r="P1723" s="150" t="str">
        <f t="shared" si="7"/>
        <v/>
      </c>
      <c r="Q1723" s="151" t="str">
        <f>IFERROR(VLOOKUP(C1723,Ativos!$A$1:$G2000,5,),)</f>
        <v/>
      </c>
    </row>
    <row r="1724" ht="21.0" customHeight="1">
      <c r="A1724" s="152"/>
      <c r="B1724" s="160"/>
      <c r="C1724" s="153"/>
      <c r="D1724" s="169"/>
      <c r="E1724" s="139"/>
      <c r="F1724" s="141"/>
      <c r="G1724" s="170" t="str">
        <f>IFERROR(__xludf.DUMMYFUNCTION("if($C1724="""","""",iferror(if(row()&lt;&gt;2,INDEX(arrayformula(filter($H$2:$H1723,$C$2:$C1723&lt;&gt;"""",row($C$2:$C1723)=max(if($C$2:$C1723=C1724,row($C$2:$C1723),0)))) ,1),0),0))"),"")</f>
        <v/>
      </c>
      <c r="H1724" s="170" t="str">
        <f t="shared" si="8"/>
        <v/>
      </c>
      <c r="I1724" s="147" t="str">
        <f t="shared" si="1"/>
        <v/>
      </c>
      <c r="J1724" s="147" t="str">
        <f t="shared" si="13"/>
        <v/>
      </c>
      <c r="K1724" s="147" t="str">
        <f>IFERROR(__xludf.DUMMYFUNCTION("if(C1724="""","""",iferror(if(row()&lt;&gt;2,INDEX(arrayformula(filter($L$2:$L1723,$C$2:$C1723&lt;&gt;"""",row($C$2:$C1723)=max(if($C$2:$C1723=C1724,row($C$2:$C1723),0)))) ,1),0),0))"),"")</f>
        <v/>
      </c>
      <c r="L1724" s="147" t="str">
        <f t="shared" si="14"/>
        <v/>
      </c>
      <c r="M1724" s="147" t="str">
        <f t="shared" si="15"/>
        <v/>
      </c>
      <c r="N1724" s="147" t="str">
        <f t="shared" si="16"/>
        <v/>
      </c>
      <c r="O1724" s="147" t="str">
        <f t="shared" si="6"/>
        <v/>
      </c>
      <c r="P1724" s="150" t="str">
        <f t="shared" si="7"/>
        <v/>
      </c>
      <c r="Q1724" s="151" t="str">
        <f>IFERROR(VLOOKUP(C1724,Ativos!$A$1:$G2000,5,),)</f>
        <v/>
      </c>
    </row>
    <row r="1725" ht="21.0" customHeight="1">
      <c r="A1725" s="152"/>
      <c r="B1725" s="160"/>
      <c r="C1725" s="153"/>
      <c r="D1725" s="169"/>
      <c r="E1725" s="139"/>
      <c r="F1725" s="141"/>
      <c r="G1725" s="170" t="str">
        <f>IFERROR(__xludf.DUMMYFUNCTION("if($C1725="""","""",iferror(if(row()&lt;&gt;2,INDEX(arrayformula(filter($H$2:$H1724,$C$2:$C1724&lt;&gt;"""",row($C$2:$C1724)=max(if($C$2:$C1724=C1725,row($C$2:$C1724),0)))) ,1),0),0))"),"")</f>
        <v/>
      </c>
      <c r="H1725" s="170" t="str">
        <f t="shared" si="8"/>
        <v/>
      </c>
      <c r="I1725" s="147" t="str">
        <f t="shared" si="1"/>
        <v/>
      </c>
      <c r="J1725" s="147" t="str">
        <f t="shared" si="13"/>
        <v/>
      </c>
      <c r="K1725" s="147" t="str">
        <f>IFERROR(__xludf.DUMMYFUNCTION("if(C1725="""","""",iferror(if(row()&lt;&gt;2,INDEX(arrayformula(filter($L$2:$L1724,$C$2:$C1724&lt;&gt;"""",row($C$2:$C1724)=max(if($C$2:$C1724=C1725,row($C$2:$C1724),0)))) ,1),0),0))"),"")</f>
        <v/>
      </c>
      <c r="L1725" s="147" t="str">
        <f t="shared" si="14"/>
        <v/>
      </c>
      <c r="M1725" s="147" t="str">
        <f t="shared" si="15"/>
        <v/>
      </c>
      <c r="N1725" s="147" t="str">
        <f t="shared" si="16"/>
        <v/>
      </c>
      <c r="O1725" s="147" t="str">
        <f t="shared" si="6"/>
        <v/>
      </c>
      <c r="P1725" s="150" t="str">
        <f t="shared" si="7"/>
        <v/>
      </c>
      <c r="Q1725" s="151" t="str">
        <f>IFERROR(VLOOKUP(C1725,Ativos!$A$1:$G2000,5,),)</f>
        <v/>
      </c>
    </row>
    <row r="1726" ht="21.0" customHeight="1">
      <c r="A1726" s="152"/>
      <c r="B1726" s="160"/>
      <c r="C1726" s="153"/>
      <c r="D1726" s="169"/>
      <c r="E1726" s="139"/>
      <c r="F1726" s="141"/>
      <c r="G1726" s="170" t="str">
        <f>IFERROR(__xludf.DUMMYFUNCTION("if($C1726="""","""",iferror(if(row()&lt;&gt;2,INDEX(arrayformula(filter($H$2:$H1725,$C$2:$C1725&lt;&gt;"""",row($C$2:$C1725)=max(if($C$2:$C1725=C1726,row($C$2:$C1725),0)))) ,1),0),0))"),"")</f>
        <v/>
      </c>
      <c r="H1726" s="170" t="str">
        <f t="shared" si="8"/>
        <v/>
      </c>
      <c r="I1726" s="147" t="str">
        <f t="shared" si="1"/>
        <v/>
      </c>
      <c r="J1726" s="147" t="str">
        <f t="shared" si="13"/>
        <v/>
      </c>
      <c r="K1726" s="147" t="str">
        <f>IFERROR(__xludf.DUMMYFUNCTION("if(C1726="""","""",iferror(if(row()&lt;&gt;2,INDEX(arrayformula(filter($L$2:$L1725,$C$2:$C1725&lt;&gt;"""",row($C$2:$C1725)=max(if($C$2:$C1725=C1726,row($C$2:$C1725),0)))) ,1),0),0))"),"")</f>
        <v/>
      </c>
      <c r="L1726" s="147" t="str">
        <f t="shared" si="14"/>
        <v/>
      </c>
      <c r="M1726" s="147" t="str">
        <f t="shared" si="15"/>
        <v/>
      </c>
      <c r="N1726" s="147" t="str">
        <f t="shared" si="16"/>
        <v/>
      </c>
      <c r="O1726" s="147" t="str">
        <f t="shared" si="6"/>
        <v/>
      </c>
      <c r="P1726" s="150" t="str">
        <f t="shared" si="7"/>
        <v/>
      </c>
      <c r="Q1726" s="151" t="str">
        <f>IFERROR(VLOOKUP(C1726,Ativos!$A$1:$G2000,5,),)</f>
        <v/>
      </c>
    </row>
    <row r="1727" ht="21.0" customHeight="1">
      <c r="A1727" s="152"/>
      <c r="B1727" s="160"/>
      <c r="C1727" s="153"/>
      <c r="D1727" s="169"/>
      <c r="E1727" s="139"/>
      <c r="F1727" s="141"/>
      <c r="G1727" s="170" t="str">
        <f>IFERROR(__xludf.DUMMYFUNCTION("if($C1727="""","""",iferror(if(row()&lt;&gt;2,INDEX(arrayformula(filter($H$2:$H1726,$C$2:$C1726&lt;&gt;"""",row($C$2:$C1726)=max(if($C$2:$C1726=C1727,row($C$2:$C1726),0)))) ,1),0),0))"),"")</f>
        <v/>
      </c>
      <c r="H1727" s="170" t="str">
        <f t="shared" si="8"/>
        <v/>
      </c>
      <c r="I1727" s="147" t="str">
        <f t="shared" si="1"/>
        <v/>
      </c>
      <c r="J1727" s="147" t="str">
        <f t="shared" si="13"/>
        <v/>
      </c>
      <c r="K1727" s="147" t="str">
        <f>IFERROR(__xludf.DUMMYFUNCTION("if(C1727="""","""",iferror(if(row()&lt;&gt;2,INDEX(arrayformula(filter($L$2:$L1726,$C$2:$C1726&lt;&gt;"""",row($C$2:$C1726)=max(if($C$2:$C1726=C1727,row($C$2:$C1726),0)))) ,1),0),0))"),"")</f>
        <v/>
      </c>
      <c r="L1727" s="147" t="str">
        <f t="shared" si="14"/>
        <v/>
      </c>
      <c r="M1727" s="147" t="str">
        <f t="shared" si="15"/>
        <v/>
      </c>
      <c r="N1727" s="147" t="str">
        <f t="shared" si="16"/>
        <v/>
      </c>
      <c r="O1727" s="147" t="str">
        <f t="shared" si="6"/>
        <v/>
      </c>
      <c r="P1727" s="150" t="str">
        <f t="shared" si="7"/>
        <v/>
      </c>
      <c r="Q1727" s="151" t="str">
        <f>IFERROR(VLOOKUP(C1727,Ativos!$A$1:$G2000,5,),)</f>
        <v/>
      </c>
    </row>
    <row r="1728" ht="21.0" customHeight="1">
      <c r="A1728" s="152"/>
      <c r="B1728" s="160"/>
      <c r="C1728" s="153"/>
      <c r="D1728" s="169"/>
      <c r="E1728" s="139"/>
      <c r="F1728" s="141"/>
      <c r="G1728" s="170" t="str">
        <f>IFERROR(__xludf.DUMMYFUNCTION("if($C1728="""","""",iferror(if(row()&lt;&gt;2,INDEX(arrayformula(filter($H$2:$H1727,$C$2:$C1727&lt;&gt;"""",row($C$2:$C1727)=max(if($C$2:$C1727=C1728,row($C$2:$C1727),0)))) ,1),0),0))"),"")</f>
        <v/>
      </c>
      <c r="H1728" s="170" t="str">
        <f t="shared" si="8"/>
        <v/>
      </c>
      <c r="I1728" s="147" t="str">
        <f t="shared" si="1"/>
        <v/>
      </c>
      <c r="J1728" s="147" t="str">
        <f t="shared" si="13"/>
        <v/>
      </c>
      <c r="K1728" s="147" t="str">
        <f>IFERROR(__xludf.DUMMYFUNCTION("if(C1728="""","""",iferror(if(row()&lt;&gt;2,INDEX(arrayformula(filter($L$2:$L1727,$C$2:$C1727&lt;&gt;"""",row($C$2:$C1727)=max(if($C$2:$C1727=C1728,row($C$2:$C1727),0)))) ,1),0),0))"),"")</f>
        <v/>
      </c>
      <c r="L1728" s="147" t="str">
        <f t="shared" si="14"/>
        <v/>
      </c>
      <c r="M1728" s="147" t="str">
        <f t="shared" si="15"/>
        <v/>
      </c>
      <c r="N1728" s="147" t="str">
        <f t="shared" si="16"/>
        <v/>
      </c>
      <c r="O1728" s="147" t="str">
        <f t="shared" si="6"/>
        <v/>
      </c>
      <c r="P1728" s="150" t="str">
        <f t="shared" si="7"/>
        <v/>
      </c>
      <c r="Q1728" s="151" t="str">
        <f>IFERROR(VLOOKUP(C1728,Ativos!$A$1:$G2000,5,),)</f>
        <v/>
      </c>
    </row>
    <row r="1729" ht="21.0" customHeight="1">
      <c r="A1729" s="152"/>
      <c r="B1729" s="160"/>
      <c r="C1729" s="153"/>
      <c r="D1729" s="169"/>
      <c r="E1729" s="139"/>
      <c r="F1729" s="141"/>
      <c r="G1729" s="170" t="str">
        <f>IFERROR(__xludf.DUMMYFUNCTION("if($C1729="""","""",iferror(if(row()&lt;&gt;2,INDEX(arrayformula(filter($H$2:$H1728,$C$2:$C1728&lt;&gt;"""",row($C$2:$C1728)=max(if($C$2:$C1728=C1729,row($C$2:$C1728),0)))) ,1),0),0))"),"")</f>
        <v/>
      </c>
      <c r="H1729" s="170" t="str">
        <f t="shared" si="8"/>
        <v/>
      </c>
      <c r="I1729" s="147" t="str">
        <f t="shared" si="1"/>
        <v/>
      </c>
      <c r="J1729" s="147" t="str">
        <f t="shared" si="13"/>
        <v/>
      </c>
      <c r="K1729" s="147" t="str">
        <f>IFERROR(__xludf.DUMMYFUNCTION("if(C1729="""","""",iferror(if(row()&lt;&gt;2,INDEX(arrayformula(filter($L$2:$L1728,$C$2:$C1728&lt;&gt;"""",row($C$2:$C1728)=max(if($C$2:$C1728=C1729,row($C$2:$C1728),0)))) ,1),0),0))"),"")</f>
        <v/>
      </c>
      <c r="L1729" s="147" t="str">
        <f t="shared" si="14"/>
        <v/>
      </c>
      <c r="M1729" s="147" t="str">
        <f t="shared" si="15"/>
        <v/>
      </c>
      <c r="N1729" s="147" t="str">
        <f t="shared" si="16"/>
        <v/>
      </c>
      <c r="O1729" s="147" t="str">
        <f t="shared" si="6"/>
        <v/>
      </c>
      <c r="P1729" s="150" t="str">
        <f t="shared" si="7"/>
        <v/>
      </c>
      <c r="Q1729" s="151" t="str">
        <f>IFERROR(VLOOKUP(C1729,Ativos!$A$1:$G2000,5,),)</f>
        <v/>
      </c>
    </row>
    <row r="1730" ht="21.0" customHeight="1">
      <c r="A1730" s="152"/>
      <c r="B1730" s="160"/>
      <c r="C1730" s="153"/>
      <c r="D1730" s="169"/>
      <c r="E1730" s="139"/>
      <c r="F1730" s="141"/>
      <c r="G1730" s="170" t="str">
        <f>IFERROR(__xludf.DUMMYFUNCTION("if($C1730="""","""",iferror(if(row()&lt;&gt;2,INDEX(arrayformula(filter($H$2:$H1729,$C$2:$C1729&lt;&gt;"""",row($C$2:$C1729)=max(if($C$2:$C1729=C1730,row($C$2:$C1729),0)))) ,1),0),0))"),"")</f>
        <v/>
      </c>
      <c r="H1730" s="170" t="str">
        <f t="shared" si="8"/>
        <v/>
      </c>
      <c r="I1730" s="147" t="str">
        <f t="shared" si="1"/>
        <v/>
      </c>
      <c r="J1730" s="147" t="str">
        <f t="shared" si="13"/>
        <v/>
      </c>
      <c r="K1730" s="147" t="str">
        <f>IFERROR(__xludf.DUMMYFUNCTION("if(C1730="""","""",iferror(if(row()&lt;&gt;2,INDEX(arrayformula(filter($L$2:$L1729,$C$2:$C1729&lt;&gt;"""",row($C$2:$C1729)=max(if($C$2:$C1729=C1730,row($C$2:$C1729),0)))) ,1),0),0))"),"")</f>
        <v/>
      </c>
      <c r="L1730" s="147" t="str">
        <f t="shared" si="14"/>
        <v/>
      </c>
      <c r="M1730" s="147" t="str">
        <f t="shared" si="15"/>
        <v/>
      </c>
      <c r="N1730" s="147" t="str">
        <f t="shared" si="16"/>
        <v/>
      </c>
      <c r="O1730" s="147" t="str">
        <f t="shared" si="6"/>
        <v/>
      </c>
      <c r="P1730" s="150" t="str">
        <f t="shared" si="7"/>
        <v/>
      </c>
      <c r="Q1730" s="151" t="str">
        <f>IFERROR(VLOOKUP(C1730,Ativos!$A$1:$G2000,5,),)</f>
        <v/>
      </c>
    </row>
    <row r="1731" ht="21.0" customHeight="1">
      <c r="A1731" s="152"/>
      <c r="B1731" s="160"/>
      <c r="C1731" s="153"/>
      <c r="D1731" s="169"/>
      <c r="E1731" s="139"/>
      <c r="F1731" s="141"/>
      <c r="G1731" s="170" t="str">
        <f>IFERROR(__xludf.DUMMYFUNCTION("if($C1731="""","""",iferror(if(row()&lt;&gt;2,INDEX(arrayformula(filter($H$2:$H1730,$C$2:$C1730&lt;&gt;"""",row($C$2:$C1730)=max(if($C$2:$C1730=C1731,row($C$2:$C1730),0)))) ,1),0),0))"),"")</f>
        <v/>
      </c>
      <c r="H1731" s="170" t="str">
        <f t="shared" si="8"/>
        <v/>
      </c>
      <c r="I1731" s="147" t="str">
        <f t="shared" si="1"/>
        <v/>
      </c>
      <c r="J1731" s="147" t="str">
        <f t="shared" si="13"/>
        <v/>
      </c>
      <c r="K1731" s="147" t="str">
        <f>IFERROR(__xludf.DUMMYFUNCTION("if(C1731="""","""",iferror(if(row()&lt;&gt;2,INDEX(arrayformula(filter($L$2:$L1730,$C$2:$C1730&lt;&gt;"""",row($C$2:$C1730)=max(if($C$2:$C1730=C1731,row($C$2:$C1730),0)))) ,1),0),0))"),"")</f>
        <v/>
      </c>
      <c r="L1731" s="147" t="str">
        <f t="shared" si="14"/>
        <v/>
      </c>
      <c r="M1731" s="147" t="str">
        <f t="shared" si="15"/>
        <v/>
      </c>
      <c r="N1731" s="147" t="str">
        <f t="shared" si="16"/>
        <v/>
      </c>
      <c r="O1731" s="147" t="str">
        <f t="shared" si="6"/>
        <v/>
      </c>
      <c r="P1731" s="150" t="str">
        <f t="shared" si="7"/>
        <v/>
      </c>
      <c r="Q1731" s="151" t="str">
        <f>IFERROR(VLOOKUP(C1731,Ativos!$A$1:$G2000,5,),)</f>
        <v/>
      </c>
    </row>
    <row r="1732" ht="21.0" customHeight="1">
      <c r="A1732" s="152"/>
      <c r="B1732" s="160"/>
      <c r="C1732" s="153"/>
      <c r="D1732" s="169"/>
      <c r="E1732" s="139"/>
      <c r="F1732" s="141"/>
      <c r="G1732" s="170" t="str">
        <f>IFERROR(__xludf.DUMMYFUNCTION("if($C1732="""","""",iferror(if(row()&lt;&gt;2,INDEX(arrayformula(filter($H$2:$H1731,$C$2:$C1731&lt;&gt;"""",row($C$2:$C1731)=max(if($C$2:$C1731=C1732,row($C$2:$C1731),0)))) ,1),0),0))"),"")</f>
        <v/>
      </c>
      <c r="H1732" s="170" t="str">
        <f t="shared" si="8"/>
        <v/>
      </c>
      <c r="I1732" s="147" t="str">
        <f t="shared" si="1"/>
        <v/>
      </c>
      <c r="J1732" s="147" t="str">
        <f t="shared" si="13"/>
        <v/>
      </c>
      <c r="K1732" s="147" t="str">
        <f>IFERROR(__xludf.DUMMYFUNCTION("if(C1732="""","""",iferror(if(row()&lt;&gt;2,INDEX(arrayformula(filter($L$2:$L1731,$C$2:$C1731&lt;&gt;"""",row($C$2:$C1731)=max(if($C$2:$C1731=C1732,row($C$2:$C1731),0)))) ,1),0),0))"),"")</f>
        <v/>
      </c>
      <c r="L1732" s="147" t="str">
        <f t="shared" si="14"/>
        <v/>
      </c>
      <c r="M1732" s="147" t="str">
        <f t="shared" si="15"/>
        <v/>
      </c>
      <c r="N1732" s="147" t="str">
        <f t="shared" si="16"/>
        <v/>
      </c>
      <c r="O1732" s="147" t="str">
        <f t="shared" si="6"/>
        <v/>
      </c>
      <c r="P1732" s="150" t="str">
        <f t="shared" si="7"/>
        <v/>
      </c>
      <c r="Q1732" s="151" t="str">
        <f>IFERROR(VLOOKUP(C1732,Ativos!$A$1:$G2000,5,),)</f>
        <v/>
      </c>
    </row>
    <row r="1733" ht="21.0" customHeight="1">
      <c r="A1733" s="152"/>
      <c r="B1733" s="160"/>
      <c r="C1733" s="153"/>
      <c r="D1733" s="169"/>
      <c r="E1733" s="139"/>
      <c r="F1733" s="141"/>
      <c r="G1733" s="170" t="str">
        <f>IFERROR(__xludf.DUMMYFUNCTION("if($C1733="""","""",iferror(if(row()&lt;&gt;2,INDEX(arrayformula(filter($H$2:$H1732,$C$2:$C1732&lt;&gt;"""",row($C$2:$C1732)=max(if($C$2:$C1732=C1733,row($C$2:$C1732),0)))) ,1),0),0))"),"")</f>
        <v/>
      </c>
      <c r="H1733" s="170" t="str">
        <f t="shared" si="8"/>
        <v/>
      </c>
      <c r="I1733" s="147" t="str">
        <f t="shared" si="1"/>
        <v/>
      </c>
      <c r="J1733" s="147" t="str">
        <f t="shared" si="13"/>
        <v/>
      </c>
      <c r="K1733" s="147" t="str">
        <f>IFERROR(__xludf.DUMMYFUNCTION("if(C1733="""","""",iferror(if(row()&lt;&gt;2,INDEX(arrayformula(filter($L$2:$L1732,$C$2:$C1732&lt;&gt;"""",row($C$2:$C1732)=max(if($C$2:$C1732=C1733,row($C$2:$C1732),0)))) ,1),0),0))"),"")</f>
        <v/>
      </c>
      <c r="L1733" s="147" t="str">
        <f t="shared" si="14"/>
        <v/>
      </c>
      <c r="M1733" s="147" t="str">
        <f t="shared" si="15"/>
        <v/>
      </c>
      <c r="N1733" s="147" t="str">
        <f t="shared" si="16"/>
        <v/>
      </c>
      <c r="O1733" s="147" t="str">
        <f t="shared" si="6"/>
        <v/>
      </c>
      <c r="P1733" s="150" t="str">
        <f t="shared" si="7"/>
        <v/>
      </c>
      <c r="Q1733" s="151" t="str">
        <f>IFERROR(VLOOKUP(C1733,Ativos!$A$1:$G2000,5,),)</f>
        <v/>
      </c>
    </row>
    <row r="1734" ht="21.0" customHeight="1">
      <c r="A1734" s="152"/>
      <c r="B1734" s="160"/>
      <c r="C1734" s="153"/>
      <c r="D1734" s="169"/>
      <c r="E1734" s="139"/>
      <c r="F1734" s="141"/>
      <c r="G1734" s="170" t="str">
        <f>IFERROR(__xludf.DUMMYFUNCTION("if($C1734="""","""",iferror(if(row()&lt;&gt;2,INDEX(arrayformula(filter($H$2:$H1733,$C$2:$C1733&lt;&gt;"""",row($C$2:$C1733)=max(if($C$2:$C1733=C1734,row($C$2:$C1733),0)))) ,1),0),0))"),"")</f>
        <v/>
      </c>
      <c r="H1734" s="170" t="str">
        <f t="shared" si="8"/>
        <v/>
      </c>
      <c r="I1734" s="147" t="str">
        <f t="shared" si="1"/>
        <v/>
      </c>
      <c r="J1734" s="147" t="str">
        <f t="shared" si="13"/>
        <v/>
      </c>
      <c r="K1734" s="147" t="str">
        <f>IFERROR(__xludf.DUMMYFUNCTION("if(C1734="""","""",iferror(if(row()&lt;&gt;2,INDEX(arrayformula(filter($L$2:$L1733,$C$2:$C1733&lt;&gt;"""",row($C$2:$C1733)=max(if($C$2:$C1733=C1734,row($C$2:$C1733),0)))) ,1),0),0))"),"")</f>
        <v/>
      </c>
      <c r="L1734" s="147" t="str">
        <f t="shared" si="14"/>
        <v/>
      </c>
      <c r="M1734" s="147" t="str">
        <f t="shared" si="15"/>
        <v/>
      </c>
      <c r="N1734" s="147" t="str">
        <f t="shared" si="16"/>
        <v/>
      </c>
      <c r="O1734" s="147" t="str">
        <f t="shared" si="6"/>
        <v/>
      </c>
      <c r="P1734" s="150" t="str">
        <f t="shared" si="7"/>
        <v/>
      </c>
      <c r="Q1734" s="151" t="str">
        <f>IFERROR(VLOOKUP(C1734,Ativos!$A$1:$G2000,5,),)</f>
        <v/>
      </c>
    </row>
    <row r="1735" ht="21.0" customHeight="1">
      <c r="A1735" s="152"/>
      <c r="B1735" s="160"/>
      <c r="C1735" s="153"/>
      <c r="D1735" s="169"/>
      <c r="E1735" s="139"/>
      <c r="F1735" s="141"/>
      <c r="G1735" s="170" t="str">
        <f>IFERROR(__xludf.DUMMYFUNCTION("if($C1735="""","""",iferror(if(row()&lt;&gt;2,INDEX(arrayformula(filter($H$2:$H1734,$C$2:$C1734&lt;&gt;"""",row($C$2:$C1734)=max(if($C$2:$C1734=C1735,row($C$2:$C1734),0)))) ,1),0),0))"),"")</f>
        <v/>
      </c>
      <c r="H1735" s="170" t="str">
        <f t="shared" si="8"/>
        <v/>
      </c>
      <c r="I1735" s="147" t="str">
        <f t="shared" si="1"/>
        <v/>
      </c>
      <c r="J1735" s="147" t="str">
        <f t="shared" si="13"/>
        <v/>
      </c>
      <c r="K1735" s="147" t="str">
        <f>IFERROR(__xludf.DUMMYFUNCTION("if(C1735="""","""",iferror(if(row()&lt;&gt;2,INDEX(arrayformula(filter($L$2:$L1734,$C$2:$C1734&lt;&gt;"""",row($C$2:$C1734)=max(if($C$2:$C1734=C1735,row($C$2:$C1734),0)))) ,1),0),0))"),"")</f>
        <v/>
      </c>
      <c r="L1735" s="147" t="str">
        <f t="shared" si="14"/>
        <v/>
      </c>
      <c r="M1735" s="147" t="str">
        <f t="shared" si="15"/>
        <v/>
      </c>
      <c r="N1735" s="147" t="str">
        <f t="shared" si="16"/>
        <v/>
      </c>
      <c r="O1735" s="147" t="str">
        <f t="shared" si="6"/>
        <v/>
      </c>
      <c r="P1735" s="150" t="str">
        <f t="shared" si="7"/>
        <v/>
      </c>
      <c r="Q1735" s="151" t="str">
        <f>IFERROR(VLOOKUP(C1735,Ativos!$A$1:$G2000,5,),)</f>
        <v/>
      </c>
    </row>
    <row r="1736" ht="21.0" customHeight="1">
      <c r="A1736" s="152"/>
      <c r="B1736" s="160"/>
      <c r="C1736" s="153"/>
      <c r="D1736" s="169"/>
      <c r="E1736" s="139"/>
      <c r="F1736" s="141"/>
      <c r="G1736" s="170" t="str">
        <f>IFERROR(__xludf.DUMMYFUNCTION("if($C1736="""","""",iferror(if(row()&lt;&gt;2,INDEX(arrayformula(filter($H$2:$H1735,$C$2:$C1735&lt;&gt;"""",row($C$2:$C1735)=max(if($C$2:$C1735=C1736,row($C$2:$C1735),0)))) ,1),0),0))"),"")</f>
        <v/>
      </c>
      <c r="H1736" s="170" t="str">
        <f t="shared" si="8"/>
        <v/>
      </c>
      <c r="I1736" s="147" t="str">
        <f t="shared" si="1"/>
        <v/>
      </c>
      <c r="J1736" s="147" t="str">
        <f t="shared" si="13"/>
        <v/>
      </c>
      <c r="K1736" s="147" t="str">
        <f>IFERROR(__xludf.DUMMYFUNCTION("if(C1736="""","""",iferror(if(row()&lt;&gt;2,INDEX(arrayformula(filter($L$2:$L1735,$C$2:$C1735&lt;&gt;"""",row($C$2:$C1735)=max(if($C$2:$C1735=C1736,row($C$2:$C1735),0)))) ,1),0),0))"),"")</f>
        <v/>
      </c>
      <c r="L1736" s="147" t="str">
        <f t="shared" si="14"/>
        <v/>
      </c>
      <c r="M1736" s="147" t="str">
        <f t="shared" si="15"/>
        <v/>
      </c>
      <c r="N1736" s="147" t="str">
        <f t="shared" si="16"/>
        <v/>
      </c>
      <c r="O1736" s="147" t="str">
        <f t="shared" si="6"/>
        <v/>
      </c>
      <c r="P1736" s="150" t="str">
        <f t="shared" si="7"/>
        <v/>
      </c>
      <c r="Q1736" s="151" t="str">
        <f>IFERROR(VLOOKUP(C1736,Ativos!$A$1:$G2000,5,),)</f>
        <v/>
      </c>
    </row>
    <row r="1737" ht="21.0" customHeight="1">
      <c r="A1737" s="152"/>
      <c r="B1737" s="160"/>
      <c r="C1737" s="153"/>
      <c r="D1737" s="169"/>
      <c r="E1737" s="139"/>
      <c r="F1737" s="141"/>
      <c r="G1737" s="170" t="str">
        <f>IFERROR(__xludf.DUMMYFUNCTION("if($C1737="""","""",iferror(if(row()&lt;&gt;2,INDEX(arrayformula(filter($H$2:$H1736,$C$2:$C1736&lt;&gt;"""",row($C$2:$C1736)=max(if($C$2:$C1736=C1737,row($C$2:$C1736),0)))) ,1),0),0))"),"")</f>
        <v/>
      </c>
      <c r="H1737" s="170" t="str">
        <f t="shared" si="8"/>
        <v/>
      </c>
      <c r="I1737" s="147" t="str">
        <f t="shared" si="1"/>
        <v/>
      </c>
      <c r="J1737" s="147" t="str">
        <f t="shared" si="13"/>
        <v/>
      </c>
      <c r="K1737" s="147" t="str">
        <f>IFERROR(__xludf.DUMMYFUNCTION("if(C1737="""","""",iferror(if(row()&lt;&gt;2,INDEX(arrayformula(filter($L$2:$L1736,$C$2:$C1736&lt;&gt;"""",row($C$2:$C1736)=max(if($C$2:$C1736=C1737,row($C$2:$C1736),0)))) ,1),0),0))"),"")</f>
        <v/>
      </c>
      <c r="L1737" s="147" t="str">
        <f t="shared" si="14"/>
        <v/>
      </c>
      <c r="M1737" s="147" t="str">
        <f t="shared" si="15"/>
        <v/>
      </c>
      <c r="N1737" s="147" t="str">
        <f t="shared" si="16"/>
        <v/>
      </c>
      <c r="O1737" s="147" t="str">
        <f t="shared" si="6"/>
        <v/>
      </c>
      <c r="P1737" s="150" t="str">
        <f t="shared" si="7"/>
        <v/>
      </c>
      <c r="Q1737" s="151" t="str">
        <f>IFERROR(VLOOKUP(C1737,Ativos!$A$1:$G2000,5,),)</f>
        <v/>
      </c>
    </row>
    <row r="1738" ht="21.0" customHeight="1">
      <c r="A1738" s="152"/>
      <c r="B1738" s="160"/>
      <c r="C1738" s="153"/>
      <c r="D1738" s="169"/>
      <c r="E1738" s="139"/>
      <c r="F1738" s="141"/>
      <c r="G1738" s="170" t="str">
        <f>IFERROR(__xludf.DUMMYFUNCTION("if($C1738="""","""",iferror(if(row()&lt;&gt;2,INDEX(arrayformula(filter($H$2:$H1737,$C$2:$C1737&lt;&gt;"""",row($C$2:$C1737)=max(if($C$2:$C1737=C1738,row($C$2:$C1737),0)))) ,1),0),0))"),"")</f>
        <v/>
      </c>
      <c r="H1738" s="170" t="str">
        <f t="shared" si="8"/>
        <v/>
      </c>
      <c r="I1738" s="147" t="str">
        <f t="shared" si="1"/>
        <v/>
      </c>
      <c r="J1738" s="147" t="str">
        <f t="shared" si="13"/>
        <v/>
      </c>
      <c r="K1738" s="147" t="str">
        <f>IFERROR(__xludf.DUMMYFUNCTION("if(C1738="""","""",iferror(if(row()&lt;&gt;2,INDEX(arrayformula(filter($L$2:$L1737,$C$2:$C1737&lt;&gt;"""",row($C$2:$C1737)=max(if($C$2:$C1737=C1738,row($C$2:$C1737),0)))) ,1),0),0))"),"")</f>
        <v/>
      </c>
      <c r="L1738" s="147" t="str">
        <f t="shared" si="14"/>
        <v/>
      </c>
      <c r="M1738" s="147" t="str">
        <f t="shared" si="15"/>
        <v/>
      </c>
      <c r="N1738" s="147" t="str">
        <f t="shared" si="16"/>
        <v/>
      </c>
      <c r="O1738" s="147" t="str">
        <f t="shared" si="6"/>
        <v/>
      </c>
      <c r="P1738" s="150" t="str">
        <f t="shared" si="7"/>
        <v/>
      </c>
      <c r="Q1738" s="151" t="str">
        <f>IFERROR(VLOOKUP(C1738,Ativos!$A$1:$G2000,5,),)</f>
        <v/>
      </c>
    </row>
    <row r="1739" ht="21.0" customHeight="1">
      <c r="A1739" s="152"/>
      <c r="B1739" s="160"/>
      <c r="C1739" s="153"/>
      <c r="D1739" s="169"/>
      <c r="E1739" s="139"/>
      <c r="F1739" s="141"/>
      <c r="G1739" s="170" t="str">
        <f>IFERROR(__xludf.DUMMYFUNCTION("if($C1739="""","""",iferror(if(row()&lt;&gt;2,INDEX(arrayformula(filter($H$2:$H1738,$C$2:$C1738&lt;&gt;"""",row($C$2:$C1738)=max(if($C$2:$C1738=C1739,row($C$2:$C1738),0)))) ,1),0),0))"),"")</f>
        <v/>
      </c>
      <c r="H1739" s="170" t="str">
        <f t="shared" si="8"/>
        <v/>
      </c>
      <c r="I1739" s="147" t="str">
        <f t="shared" si="1"/>
        <v/>
      </c>
      <c r="J1739" s="147" t="str">
        <f t="shared" si="13"/>
        <v/>
      </c>
      <c r="K1739" s="147" t="str">
        <f>IFERROR(__xludf.DUMMYFUNCTION("if(C1739="""","""",iferror(if(row()&lt;&gt;2,INDEX(arrayformula(filter($L$2:$L1738,$C$2:$C1738&lt;&gt;"""",row($C$2:$C1738)=max(if($C$2:$C1738=C1739,row($C$2:$C1738),0)))) ,1),0),0))"),"")</f>
        <v/>
      </c>
      <c r="L1739" s="147" t="str">
        <f t="shared" si="14"/>
        <v/>
      </c>
      <c r="M1739" s="147" t="str">
        <f t="shared" si="15"/>
        <v/>
      </c>
      <c r="N1739" s="147" t="str">
        <f t="shared" si="16"/>
        <v/>
      </c>
      <c r="O1739" s="147" t="str">
        <f t="shared" si="6"/>
        <v/>
      </c>
      <c r="P1739" s="150" t="str">
        <f t="shared" si="7"/>
        <v/>
      </c>
      <c r="Q1739" s="151" t="str">
        <f>IFERROR(VLOOKUP(C1739,Ativos!$A$1:$G2000,5,),)</f>
        <v/>
      </c>
    </row>
    <row r="1740" ht="21.0" customHeight="1">
      <c r="A1740" s="152"/>
      <c r="B1740" s="160"/>
      <c r="C1740" s="153"/>
      <c r="D1740" s="169"/>
      <c r="E1740" s="139"/>
      <c r="F1740" s="141"/>
      <c r="G1740" s="170" t="str">
        <f>IFERROR(__xludf.DUMMYFUNCTION("if($C1740="""","""",iferror(if(row()&lt;&gt;2,INDEX(arrayformula(filter($H$2:$H1739,$C$2:$C1739&lt;&gt;"""",row($C$2:$C1739)=max(if($C$2:$C1739=C1740,row($C$2:$C1739),0)))) ,1),0),0))"),"")</f>
        <v/>
      </c>
      <c r="H1740" s="170" t="str">
        <f t="shared" si="8"/>
        <v/>
      </c>
      <c r="I1740" s="147" t="str">
        <f t="shared" si="1"/>
        <v/>
      </c>
      <c r="J1740" s="147" t="str">
        <f t="shared" si="13"/>
        <v/>
      </c>
      <c r="K1740" s="147" t="str">
        <f>IFERROR(__xludf.DUMMYFUNCTION("if(C1740="""","""",iferror(if(row()&lt;&gt;2,INDEX(arrayformula(filter($L$2:$L1739,$C$2:$C1739&lt;&gt;"""",row($C$2:$C1739)=max(if($C$2:$C1739=C1740,row($C$2:$C1739),0)))) ,1),0),0))"),"")</f>
        <v/>
      </c>
      <c r="L1740" s="147" t="str">
        <f t="shared" si="14"/>
        <v/>
      </c>
      <c r="M1740" s="147" t="str">
        <f t="shared" si="15"/>
        <v/>
      </c>
      <c r="N1740" s="147" t="str">
        <f t="shared" si="16"/>
        <v/>
      </c>
      <c r="O1740" s="147" t="str">
        <f t="shared" si="6"/>
        <v/>
      </c>
      <c r="P1740" s="150" t="str">
        <f t="shared" si="7"/>
        <v/>
      </c>
      <c r="Q1740" s="151" t="str">
        <f>IFERROR(VLOOKUP(C1740,Ativos!$A$1:$G2000,5,),)</f>
        <v/>
      </c>
    </row>
    <row r="1741" ht="21.0" customHeight="1">
      <c r="A1741" s="152"/>
      <c r="B1741" s="160"/>
      <c r="C1741" s="153"/>
      <c r="D1741" s="169"/>
      <c r="E1741" s="139"/>
      <c r="F1741" s="141"/>
      <c r="G1741" s="170" t="str">
        <f>IFERROR(__xludf.DUMMYFUNCTION("if($C1741="""","""",iferror(if(row()&lt;&gt;2,INDEX(arrayformula(filter($H$2:$H1740,$C$2:$C1740&lt;&gt;"""",row($C$2:$C1740)=max(if($C$2:$C1740=C1741,row($C$2:$C1740),0)))) ,1),0),0))"),"")</f>
        <v/>
      </c>
      <c r="H1741" s="170" t="str">
        <f t="shared" si="8"/>
        <v/>
      </c>
      <c r="I1741" s="147" t="str">
        <f t="shared" si="1"/>
        <v/>
      </c>
      <c r="J1741" s="147" t="str">
        <f t="shared" si="13"/>
        <v/>
      </c>
      <c r="K1741" s="147" t="str">
        <f>IFERROR(__xludf.DUMMYFUNCTION("if(C1741="""","""",iferror(if(row()&lt;&gt;2,INDEX(arrayformula(filter($L$2:$L1740,$C$2:$C1740&lt;&gt;"""",row($C$2:$C1740)=max(if($C$2:$C1740=C1741,row($C$2:$C1740),0)))) ,1),0),0))"),"")</f>
        <v/>
      </c>
      <c r="L1741" s="147" t="str">
        <f t="shared" si="14"/>
        <v/>
      </c>
      <c r="M1741" s="147" t="str">
        <f t="shared" si="15"/>
        <v/>
      </c>
      <c r="N1741" s="147" t="str">
        <f t="shared" si="16"/>
        <v/>
      </c>
      <c r="O1741" s="147" t="str">
        <f t="shared" si="6"/>
        <v/>
      </c>
      <c r="P1741" s="150" t="str">
        <f t="shared" si="7"/>
        <v/>
      </c>
      <c r="Q1741" s="151" t="str">
        <f>IFERROR(VLOOKUP(C1741,Ativos!$A$1:$G2000,5,),)</f>
        <v/>
      </c>
    </row>
    <row r="1742" ht="21.0" customHeight="1">
      <c r="A1742" s="152"/>
      <c r="B1742" s="160"/>
      <c r="C1742" s="153"/>
      <c r="D1742" s="169"/>
      <c r="E1742" s="139"/>
      <c r="F1742" s="141"/>
      <c r="G1742" s="170" t="str">
        <f>IFERROR(__xludf.DUMMYFUNCTION("if($C1742="""","""",iferror(if(row()&lt;&gt;2,INDEX(arrayformula(filter($H$2:$H1741,$C$2:$C1741&lt;&gt;"""",row($C$2:$C1741)=max(if($C$2:$C1741=C1742,row($C$2:$C1741),0)))) ,1),0),0))"),"")</f>
        <v/>
      </c>
      <c r="H1742" s="170" t="str">
        <f t="shared" si="8"/>
        <v/>
      </c>
      <c r="I1742" s="147" t="str">
        <f t="shared" si="1"/>
        <v/>
      </c>
      <c r="J1742" s="147" t="str">
        <f t="shared" si="13"/>
        <v/>
      </c>
      <c r="K1742" s="147" t="str">
        <f>IFERROR(__xludf.DUMMYFUNCTION("if(C1742="""","""",iferror(if(row()&lt;&gt;2,INDEX(arrayformula(filter($L$2:$L1741,$C$2:$C1741&lt;&gt;"""",row($C$2:$C1741)=max(if($C$2:$C1741=C1742,row($C$2:$C1741),0)))) ,1),0),0))"),"")</f>
        <v/>
      </c>
      <c r="L1742" s="147" t="str">
        <f t="shared" si="14"/>
        <v/>
      </c>
      <c r="M1742" s="147" t="str">
        <f t="shared" si="15"/>
        <v/>
      </c>
      <c r="N1742" s="147" t="str">
        <f t="shared" si="16"/>
        <v/>
      </c>
      <c r="O1742" s="147" t="str">
        <f t="shared" si="6"/>
        <v/>
      </c>
      <c r="P1742" s="150" t="str">
        <f t="shared" si="7"/>
        <v/>
      </c>
      <c r="Q1742" s="151" t="str">
        <f>IFERROR(VLOOKUP(C1742,Ativos!$A$1:$G2000,5,),)</f>
        <v/>
      </c>
    </row>
    <row r="1743" ht="21.0" customHeight="1">
      <c r="A1743" s="152"/>
      <c r="B1743" s="160"/>
      <c r="C1743" s="153"/>
      <c r="D1743" s="169"/>
      <c r="E1743" s="139"/>
      <c r="F1743" s="141"/>
      <c r="G1743" s="170" t="str">
        <f>IFERROR(__xludf.DUMMYFUNCTION("if($C1743="""","""",iferror(if(row()&lt;&gt;2,INDEX(arrayformula(filter($H$2:$H1742,$C$2:$C1742&lt;&gt;"""",row($C$2:$C1742)=max(if($C$2:$C1742=C1743,row($C$2:$C1742),0)))) ,1),0),0))"),"")</f>
        <v/>
      </c>
      <c r="H1743" s="170" t="str">
        <f t="shared" si="8"/>
        <v/>
      </c>
      <c r="I1743" s="147" t="str">
        <f t="shared" si="1"/>
        <v/>
      </c>
      <c r="J1743" s="147" t="str">
        <f t="shared" si="13"/>
        <v/>
      </c>
      <c r="K1743" s="147" t="str">
        <f>IFERROR(__xludf.DUMMYFUNCTION("if(C1743="""","""",iferror(if(row()&lt;&gt;2,INDEX(arrayformula(filter($L$2:$L1742,$C$2:$C1742&lt;&gt;"""",row($C$2:$C1742)=max(if($C$2:$C1742=C1743,row($C$2:$C1742),0)))) ,1),0),0))"),"")</f>
        <v/>
      </c>
      <c r="L1743" s="147" t="str">
        <f t="shared" si="14"/>
        <v/>
      </c>
      <c r="M1743" s="147" t="str">
        <f t="shared" si="15"/>
        <v/>
      </c>
      <c r="N1743" s="147" t="str">
        <f t="shared" si="16"/>
        <v/>
      </c>
      <c r="O1743" s="147" t="str">
        <f t="shared" si="6"/>
        <v/>
      </c>
      <c r="P1743" s="150" t="str">
        <f t="shared" si="7"/>
        <v/>
      </c>
      <c r="Q1743" s="151" t="str">
        <f>IFERROR(VLOOKUP(C1743,Ativos!$A$1:$G2000,5,),)</f>
        <v/>
      </c>
    </row>
    <row r="1744" ht="21.0" customHeight="1">
      <c r="A1744" s="152"/>
      <c r="B1744" s="160"/>
      <c r="C1744" s="153"/>
      <c r="D1744" s="169"/>
      <c r="E1744" s="139"/>
      <c r="F1744" s="141"/>
      <c r="G1744" s="170" t="str">
        <f>IFERROR(__xludf.DUMMYFUNCTION("if($C1744="""","""",iferror(if(row()&lt;&gt;2,INDEX(arrayformula(filter($H$2:$H1743,$C$2:$C1743&lt;&gt;"""",row($C$2:$C1743)=max(if($C$2:$C1743=C1744,row($C$2:$C1743),0)))) ,1),0),0))"),"")</f>
        <v/>
      </c>
      <c r="H1744" s="170" t="str">
        <f t="shared" si="8"/>
        <v/>
      </c>
      <c r="I1744" s="147" t="str">
        <f t="shared" si="1"/>
        <v/>
      </c>
      <c r="J1744" s="147" t="str">
        <f t="shared" si="13"/>
        <v/>
      </c>
      <c r="K1744" s="147" t="str">
        <f>IFERROR(__xludf.DUMMYFUNCTION("if(C1744="""","""",iferror(if(row()&lt;&gt;2,INDEX(arrayformula(filter($L$2:$L1743,$C$2:$C1743&lt;&gt;"""",row($C$2:$C1743)=max(if($C$2:$C1743=C1744,row($C$2:$C1743),0)))) ,1),0),0))"),"")</f>
        <v/>
      </c>
      <c r="L1744" s="147" t="str">
        <f t="shared" si="14"/>
        <v/>
      </c>
      <c r="M1744" s="147" t="str">
        <f t="shared" si="15"/>
        <v/>
      </c>
      <c r="N1744" s="147" t="str">
        <f t="shared" si="16"/>
        <v/>
      </c>
      <c r="O1744" s="147" t="str">
        <f t="shared" si="6"/>
        <v/>
      </c>
      <c r="P1744" s="150" t="str">
        <f t="shared" si="7"/>
        <v/>
      </c>
      <c r="Q1744" s="151" t="str">
        <f>IFERROR(VLOOKUP(C1744,Ativos!$A$1:$G2000,5,),)</f>
        <v/>
      </c>
    </row>
    <row r="1745" ht="21.0" customHeight="1">
      <c r="A1745" s="152"/>
      <c r="B1745" s="160"/>
      <c r="C1745" s="153"/>
      <c r="D1745" s="169"/>
      <c r="E1745" s="139"/>
      <c r="F1745" s="141"/>
      <c r="G1745" s="170" t="str">
        <f>IFERROR(__xludf.DUMMYFUNCTION("if($C1745="""","""",iferror(if(row()&lt;&gt;2,INDEX(arrayformula(filter($H$2:$H1744,$C$2:$C1744&lt;&gt;"""",row($C$2:$C1744)=max(if($C$2:$C1744=C1745,row($C$2:$C1744),0)))) ,1),0),0))"),"")</f>
        <v/>
      </c>
      <c r="H1745" s="170" t="str">
        <f t="shared" si="8"/>
        <v/>
      </c>
      <c r="I1745" s="147" t="str">
        <f t="shared" si="1"/>
        <v/>
      </c>
      <c r="J1745" s="147" t="str">
        <f t="shared" si="13"/>
        <v/>
      </c>
      <c r="K1745" s="147" t="str">
        <f>IFERROR(__xludf.DUMMYFUNCTION("if(C1745="""","""",iferror(if(row()&lt;&gt;2,INDEX(arrayformula(filter($L$2:$L1744,$C$2:$C1744&lt;&gt;"""",row($C$2:$C1744)=max(if($C$2:$C1744=C1745,row($C$2:$C1744),0)))) ,1),0),0))"),"")</f>
        <v/>
      </c>
      <c r="L1745" s="147" t="str">
        <f t="shared" si="14"/>
        <v/>
      </c>
      <c r="M1745" s="147" t="str">
        <f t="shared" si="15"/>
        <v/>
      </c>
      <c r="N1745" s="147" t="str">
        <f t="shared" si="16"/>
        <v/>
      </c>
      <c r="O1745" s="147" t="str">
        <f t="shared" si="6"/>
        <v/>
      </c>
      <c r="P1745" s="150" t="str">
        <f t="shared" si="7"/>
        <v/>
      </c>
      <c r="Q1745" s="151" t="str">
        <f>IFERROR(VLOOKUP(C1745,Ativos!$A$1:$G2000,5,),)</f>
        <v/>
      </c>
    </row>
    <row r="1746" ht="21.0" customHeight="1">
      <c r="A1746" s="152"/>
      <c r="B1746" s="160"/>
      <c r="C1746" s="153"/>
      <c r="D1746" s="169"/>
      <c r="E1746" s="139"/>
      <c r="F1746" s="141"/>
      <c r="G1746" s="170" t="str">
        <f>IFERROR(__xludf.DUMMYFUNCTION("if($C1746="""","""",iferror(if(row()&lt;&gt;2,INDEX(arrayformula(filter($H$2:$H1745,$C$2:$C1745&lt;&gt;"""",row($C$2:$C1745)=max(if($C$2:$C1745=C1746,row($C$2:$C1745),0)))) ,1),0),0))"),"")</f>
        <v/>
      </c>
      <c r="H1746" s="170" t="str">
        <f t="shared" si="8"/>
        <v/>
      </c>
      <c r="I1746" s="147" t="str">
        <f t="shared" si="1"/>
        <v/>
      </c>
      <c r="J1746" s="147" t="str">
        <f t="shared" si="13"/>
        <v/>
      </c>
      <c r="K1746" s="147" t="str">
        <f>IFERROR(__xludf.DUMMYFUNCTION("if(C1746="""","""",iferror(if(row()&lt;&gt;2,INDEX(arrayformula(filter($L$2:$L1745,$C$2:$C1745&lt;&gt;"""",row($C$2:$C1745)=max(if($C$2:$C1745=C1746,row($C$2:$C1745),0)))) ,1),0),0))"),"")</f>
        <v/>
      </c>
      <c r="L1746" s="147" t="str">
        <f t="shared" si="14"/>
        <v/>
      </c>
      <c r="M1746" s="147" t="str">
        <f t="shared" si="15"/>
        <v/>
      </c>
      <c r="N1746" s="147" t="str">
        <f t="shared" si="16"/>
        <v/>
      </c>
      <c r="O1746" s="147" t="str">
        <f t="shared" si="6"/>
        <v/>
      </c>
      <c r="P1746" s="150" t="str">
        <f t="shared" si="7"/>
        <v/>
      </c>
      <c r="Q1746" s="151" t="str">
        <f>IFERROR(VLOOKUP(C1746,Ativos!$A$1:$G2000,5,),)</f>
        <v/>
      </c>
    </row>
    <row r="1747" ht="21.0" customHeight="1">
      <c r="A1747" s="152"/>
      <c r="B1747" s="160"/>
      <c r="C1747" s="153"/>
      <c r="D1747" s="169"/>
      <c r="E1747" s="139"/>
      <c r="F1747" s="141"/>
      <c r="G1747" s="170" t="str">
        <f>IFERROR(__xludf.DUMMYFUNCTION("if($C1747="""","""",iferror(if(row()&lt;&gt;2,INDEX(arrayformula(filter($H$2:$H1746,$C$2:$C1746&lt;&gt;"""",row($C$2:$C1746)=max(if($C$2:$C1746=C1747,row($C$2:$C1746),0)))) ,1),0),0))"),"")</f>
        <v/>
      </c>
      <c r="H1747" s="170" t="str">
        <f t="shared" si="8"/>
        <v/>
      </c>
      <c r="I1747" s="147" t="str">
        <f t="shared" si="1"/>
        <v/>
      </c>
      <c r="J1747" s="147" t="str">
        <f t="shared" si="13"/>
        <v/>
      </c>
      <c r="K1747" s="147" t="str">
        <f>IFERROR(__xludf.DUMMYFUNCTION("if(C1747="""","""",iferror(if(row()&lt;&gt;2,INDEX(arrayformula(filter($L$2:$L1746,$C$2:$C1746&lt;&gt;"""",row($C$2:$C1746)=max(if($C$2:$C1746=C1747,row($C$2:$C1746),0)))) ,1),0),0))"),"")</f>
        <v/>
      </c>
      <c r="L1747" s="147" t="str">
        <f t="shared" si="14"/>
        <v/>
      </c>
      <c r="M1747" s="147" t="str">
        <f t="shared" si="15"/>
        <v/>
      </c>
      <c r="N1747" s="147" t="str">
        <f t="shared" si="16"/>
        <v/>
      </c>
      <c r="O1747" s="147" t="str">
        <f t="shared" si="6"/>
        <v/>
      </c>
      <c r="P1747" s="150" t="str">
        <f t="shared" si="7"/>
        <v/>
      </c>
      <c r="Q1747" s="151" t="str">
        <f>IFERROR(VLOOKUP(C1747,Ativos!$A$1:$G2000,5,),)</f>
        <v/>
      </c>
    </row>
    <row r="1748" ht="21.0" customHeight="1">
      <c r="A1748" s="152"/>
      <c r="B1748" s="160"/>
      <c r="C1748" s="153"/>
      <c r="D1748" s="169"/>
      <c r="E1748" s="139"/>
      <c r="F1748" s="141"/>
      <c r="G1748" s="170" t="str">
        <f>IFERROR(__xludf.DUMMYFUNCTION("if($C1748="""","""",iferror(if(row()&lt;&gt;2,INDEX(arrayformula(filter($H$2:$H1747,$C$2:$C1747&lt;&gt;"""",row($C$2:$C1747)=max(if($C$2:$C1747=C1748,row($C$2:$C1747),0)))) ,1),0),0))"),"")</f>
        <v/>
      </c>
      <c r="H1748" s="170" t="str">
        <f t="shared" si="8"/>
        <v/>
      </c>
      <c r="I1748" s="147" t="str">
        <f t="shared" si="1"/>
        <v/>
      </c>
      <c r="J1748" s="147" t="str">
        <f t="shared" si="13"/>
        <v/>
      </c>
      <c r="K1748" s="147" t="str">
        <f>IFERROR(__xludf.DUMMYFUNCTION("if(C1748="""","""",iferror(if(row()&lt;&gt;2,INDEX(arrayformula(filter($L$2:$L1747,$C$2:$C1747&lt;&gt;"""",row($C$2:$C1747)=max(if($C$2:$C1747=C1748,row($C$2:$C1747),0)))) ,1),0),0))"),"")</f>
        <v/>
      </c>
      <c r="L1748" s="147" t="str">
        <f t="shared" si="14"/>
        <v/>
      </c>
      <c r="M1748" s="147" t="str">
        <f t="shared" si="15"/>
        <v/>
      </c>
      <c r="N1748" s="147" t="str">
        <f t="shared" si="16"/>
        <v/>
      </c>
      <c r="O1748" s="147" t="str">
        <f t="shared" si="6"/>
        <v/>
      </c>
      <c r="P1748" s="150" t="str">
        <f t="shared" si="7"/>
        <v/>
      </c>
      <c r="Q1748" s="151" t="str">
        <f>IFERROR(VLOOKUP(C1748,Ativos!$A$1:$G2000,5,),)</f>
        <v/>
      </c>
    </row>
    <row r="1749" ht="21.0" customHeight="1">
      <c r="A1749" s="152"/>
      <c r="B1749" s="160"/>
      <c r="C1749" s="153"/>
      <c r="D1749" s="169"/>
      <c r="E1749" s="139"/>
      <c r="F1749" s="141"/>
      <c r="G1749" s="170" t="str">
        <f>IFERROR(__xludf.DUMMYFUNCTION("if($C1749="""","""",iferror(if(row()&lt;&gt;2,INDEX(arrayformula(filter($H$2:$H1748,$C$2:$C1748&lt;&gt;"""",row($C$2:$C1748)=max(if($C$2:$C1748=C1749,row($C$2:$C1748),0)))) ,1),0),0))"),"")</f>
        <v/>
      </c>
      <c r="H1749" s="170" t="str">
        <f t="shared" si="8"/>
        <v/>
      </c>
      <c r="I1749" s="147" t="str">
        <f t="shared" si="1"/>
        <v/>
      </c>
      <c r="J1749" s="147" t="str">
        <f t="shared" si="13"/>
        <v/>
      </c>
      <c r="K1749" s="147" t="str">
        <f>IFERROR(__xludf.DUMMYFUNCTION("if(C1749="""","""",iferror(if(row()&lt;&gt;2,INDEX(arrayformula(filter($L$2:$L1748,$C$2:$C1748&lt;&gt;"""",row($C$2:$C1748)=max(if($C$2:$C1748=C1749,row($C$2:$C1748),0)))) ,1),0),0))"),"")</f>
        <v/>
      </c>
      <c r="L1749" s="147" t="str">
        <f t="shared" si="14"/>
        <v/>
      </c>
      <c r="M1749" s="147" t="str">
        <f t="shared" si="15"/>
        <v/>
      </c>
      <c r="N1749" s="147" t="str">
        <f t="shared" si="16"/>
        <v/>
      </c>
      <c r="O1749" s="147" t="str">
        <f t="shared" si="6"/>
        <v/>
      </c>
      <c r="P1749" s="150" t="str">
        <f t="shared" si="7"/>
        <v/>
      </c>
      <c r="Q1749" s="151" t="str">
        <f>IFERROR(VLOOKUP(C1749,Ativos!$A$1:$G2000,5,),)</f>
        <v/>
      </c>
    </row>
    <row r="1750" ht="21.0" customHeight="1">
      <c r="A1750" s="152"/>
      <c r="B1750" s="160"/>
      <c r="C1750" s="153"/>
      <c r="D1750" s="169"/>
      <c r="E1750" s="139"/>
      <c r="F1750" s="141"/>
      <c r="G1750" s="170" t="str">
        <f>IFERROR(__xludf.DUMMYFUNCTION("if($C1750="""","""",iferror(if(row()&lt;&gt;2,INDEX(arrayformula(filter($H$2:$H1749,$C$2:$C1749&lt;&gt;"""",row($C$2:$C1749)=max(if($C$2:$C1749=C1750,row($C$2:$C1749),0)))) ,1),0),0))"),"")</f>
        <v/>
      </c>
      <c r="H1750" s="170" t="str">
        <f t="shared" si="8"/>
        <v/>
      </c>
      <c r="I1750" s="147" t="str">
        <f t="shared" si="1"/>
        <v/>
      </c>
      <c r="J1750" s="147" t="str">
        <f t="shared" si="13"/>
        <v/>
      </c>
      <c r="K1750" s="147" t="str">
        <f>IFERROR(__xludf.DUMMYFUNCTION("if(C1750="""","""",iferror(if(row()&lt;&gt;2,INDEX(arrayformula(filter($L$2:$L1749,$C$2:$C1749&lt;&gt;"""",row($C$2:$C1749)=max(if($C$2:$C1749=C1750,row($C$2:$C1749),0)))) ,1),0),0))"),"")</f>
        <v/>
      </c>
      <c r="L1750" s="147" t="str">
        <f t="shared" si="14"/>
        <v/>
      </c>
      <c r="M1750" s="147" t="str">
        <f t="shared" si="15"/>
        <v/>
      </c>
      <c r="N1750" s="147" t="str">
        <f t="shared" si="16"/>
        <v/>
      </c>
      <c r="O1750" s="147" t="str">
        <f t="shared" si="6"/>
        <v/>
      </c>
      <c r="P1750" s="150" t="str">
        <f t="shared" si="7"/>
        <v/>
      </c>
      <c r="Q1750" s="151" t="str">
        <f>IFERROR(VLOOKUP(C1750,Ativos!$A$1:$G2000,5,),)</f>
        <v/>
      </c>
    </row>
    <row r="1751" ht="21.0" customHeight="1">
      <c r="A1751" s="152"/>
      <c r="B1751" s="160"/>
      <c r="C1751" s="153"/>
      <c r="D1751" s="169"/>
      <c r="E1751" s="139"/>
      <c r="F1751" s="141"/>
      <c r="G1751" s="170" t="str">
        <f>IFERROR(__xludf.DUMMYFUNCTION("if($C1751="""","""",iferror(if(row()&lt;&gt;2,INDEX(arrayformula(filter($H$2:$H1750,$C$2:$C1750&lt;&gt;"""",row($C$2:$C1750)=max(if($C$2:$C1750=C1751,row($C$2:$C1750),0)))) ,1),0),0))"),"")</f>
        <v/>
      </c>
      <c r="H1751" s="170" t="str">
        <f t="shared" si="8"/>
        <v/>
      </c>
      <c r="I1751" s="147" t="str">
        <f t="shared" si="1"/>
        <v/>
      </c>
      <c r="J1751" s="147" t="str">
        <f t="shared" si="13"/>
        <v/>
      </c>
      <c r="K1751" s="147" t="str">
        <f>IFERROR(__xludf.DUMMYFUNCTION("if(C1751="""","""",iferror(if(row()&lt;&gt;2,INDEX(arrayformula(filter($L$2:$L1750,$C$2:$C1750&lt;&gt;"""",row($C$2:$C1750)=max(if($C$2:$C1750=C1751,row($C$2:$C1750),0)))) ,1),0),0))"),"")</f>
        <v/>
      </c>
      <c r="L1751" s="147" t="str">
        <f t="shared" si="14"/>
        <v/>
      </c>
      <c r="M1751" s="147" t="str">
        <f t="shared" si="15"/>
        <v/>
      </c>
      <c r="N1751" s="147" t="str">
        <f t="shared" si="16"/>
        <v/>
      </c>
      <c r="O1751" s="147" t="str">
        <f t="shared" si="6"/>
        <v/>
      </c>
      <c r="P1751" s="150" t="str">
        <f t="shared" si="7"/>
        <v/>
      </c>
      <c r="Q1751" s="151" t="str">
        <f>IFERROR(VLOOKUP(C1751,Ativos!$A$1:$G2000,5,),)</f>
        <v/>
      </c>
    </row>
    <row r="1752" ht="21.0" customHeight="1">
      <c r="A1752" s="152"/>
      <c r="B1752" s="160"/>
      <c r="C1752" s="153"/>
      <c r="D1752" s="169"/>
      <c r="E1752" s="139"/>
      <c r="F1752" s="141"/>
      <c r="G1752" s="170" t="str">
        <f>IFERROR(__xludf.DUMMYFUNCTION("if($C1752="""","""",iferror(if(row()&lt;&gt;2,INDEX(arrayformula(filter($H$2:$H1751,$C$2:$C1751&lt;&gt;"""",row($C$2:$C1751)=max(if($C$2:$C1751=C1752,row($C$2:$C1751),0)))) ,1),0),0))"),"")</f>
        <v/>
      </c>
      <c r="H1752" s="170" t="str">
        <f t="shared" si="8"/>
        <v/>
      </c>
      <c r="I1752" s="147" t="str">
        <f t="shared" si="1"/>
        <v/>
      </c>
      <c r="J1752" s="147" t="str">
        <f t="shared" si="13"/>
        <v/>
      </c>
      <c r="K1752" s="147" t="str">
        <f>IFERROR(__xludf.DUMMYFUNCTION("if(C1752="""","""",iferror(if(row()&lt;&gt;2,INDEX(arrayformula(filter($L$2:$L1751,$C$2:$C1751&lt;&gt;"""",row($C$2:$C1751)=max(if($C$2:$C1751=C1752,row($C$2:$C1751),0)))) ,1),0),0))"),"")</f>
        <v/>
      </c>
      <c r="L1752" s="147" t="str">
        <f t="shared" si="14"/>
        <v/>
      </c>
      <c r="M1752" s="147" t="str">
        <f t="shared" si="15"/>
        <v/>
      </c>
      <c r="N1752" s="147" t="str">
        <f t="shared" si="16"/>
        <v/>
      </c>
      <c r="O1752" s="147" t="str">
        <f t="shared" si="6"/>
        <v/>
      </c>
      <c r="P1752" s="150" t="str">
        <f t="shared" si="7"/>
        <v/>
      </c>
      <c r="Q1752" s="151" t="str">
        <f>IFERROR(VLOOKUP(C1752,Ativos!$A$1:$G2000,5,),)</f>
        <v/>
      </c>
    </row>
    <row r="1753" ht="21.0" customHeight="1">
      <c r="A1753" s="152"/>
      <c r="B1753" s="160"/>
      <c r="C1753" s="153"/>
      <c r="D1753" s="169"/>
      <c r="E1753" s="139"/>
      <c r="F1753" s="141"/>
      <c r="G1753" s="170" t="str">
        <f>IFERROR(__xludf.DUMMYFUNCTION("if($C1753="""","""",iferror(if(row()&lt;&gt;2,INDEX(arrayformula(filter($H$2:$H1752,$C$2:$C1752&lt;&gt;"""",row($C$2:$C1752)=max(if($C$2:$C1752=C1753,row($C$2:$C1752),0)))) ,1),0),0))"),"")</f>
        <v/>
      </c>
      <c r="H1753" s="170" t="str">
        <f t="shared" si="8"/>
        <v/>
      </c>
      <c r="I1753" s="147" t="str">
        <f t="shared" si="1"/>
        <v/>
      </c>
      <c r="J1753" s="147" t="str">
        <f t="shared" si="13"/>
        <v/>
      </c>
      <c r="K1753" s="147" t="str">
        <f>IFERROR(__xludf.DUMMYFUNCTION("if(C1753="""","""",iferror(if(row()&lt;&gt;2,INDEX(arrayformula(filter($L$2:$L1752,$C$2:$C1752&lt;&gt;"""",row($C$2:$C1752)=max(if($C$2:$C1752=C1753,row($C$2:$C1752),0)))) ,1),0),0))"),"")</f>
        <v/>
      </c>
      <c r="L1753" s="147" t="str">
        <f t="shared" si="14"/>
        <v/>
      </c>
      <c r="M1753" s="147" t="str">
        <f t="shared" si="15"/>
        <v/>
      </c>
      <c r="N1753" s="147" t="str">
        <f t="shared" si="16"/>
        <v/>
      </c>
      <c r="O1753" s="147" t="str">
        <f t="shared" si="6"/>
        <v/>
      </c>
      <c r="P1753" s="150" t="str">
        <f t="shared" si="7"/>
        <v/>
      </c>
      <c r="Q1753" s="151" t="str">
        <f>IFERROR(VLOOKUP(C1753,Ativos!$A$1:$G2000,5,),)</f>
        <v/>
      </c>
    </row>
    <row r="1754" ht="21.0" customHeight="1">
      <c r="A1754" s="152"/>
      <c r="B1754" s="160"/>
      <c r="C1754" s="153"/>
      <c r="D1754" s="169"/>
      <c r="E1754" s="139"/>
      <c r="F1754" s="141"/>
      <c r="G1754" s="170" t="str">
        <f>IFERROR(__xludf.DUMMYFUNCTION("if($C1754="""","""",iferror(if(row()&lt;&gt;2,INDEX(arrayformula(filter($H$2:$H1753,$C$2:$C1753&lt;&gt;"""",row($C$2:$C1753)=max(if($C$2:$C1753=C1754,row($C$2:$C1753),0)))) ,1),0),0))"),"")</f>
        <v/>
      </c>
      <c r="H1754" s="170" t="str">
        <f t="shared" si="8"/>
        <v/>
      </c>
      <c r="I1754" s="147" t="str">
        <f t="shared" si="1"/>
        <v/>
      </c>
      <c r="J1754" s="147" t="str">
        <f t="shared" si="13"/>
        <v/>
      </c>
      <c r="K1754" s="147" t="str">
        <f>IFERROR(__xludf.DUMMYFUNCTION("if(C1754="""","""",iferror(if(row()&lt;&gt;2,INDEX(arrayformula(filter($L$2:$L1753,$C$2:$C1753&lt;&gt;"""",row($C$2:$C1753)=max(if($C$2:$C1753=C1754,row($C$2:$C1753),0)))) ,1),0),0))"),"")</f>
        <v/>
      </c>
      <c r="L1754" s="147" t="str">
        <f t="shared" si="14"/>
        <v/>
      </c>
      <c r="M1754" s="147" t="str">
        <f t="shared" si="15"/>
        <v/>
      </c>
      <c r="N1754" s="147" t="str">
        <f t="shared" si="16"/>
        <v/>
      </c>
      <c r="O1754" s="147" t="str">
        <f t="shared" si="6"/>
        <v/>
      </c>
      <c r="P1754" s="150" t="str">
        <f t="shared" si="7"/>
        <v/>
      </c>
      <c r="Q1754" s="151" t="str">
        <f>IFERROR(VLOOKUP(C1754,Ativos!$A$1:$G2000,5,),)</f>
        <v/>
      </c>
    </row>
    <row r="1755" ht="21.0" customHeight="1">
      <c r="A1755" s="152"/>
      <c r="B1755" s="160"/>
      <c r="C1755" s="153"/>
      <c r="D1755" s="169"/>
      <c r="E1755" s="139"/>
      <c r="F1755" s="141"/>
      <c r="G1755" s="170" t="str">
        <f>IFERROR(__xludf.DUMMYFUNCTION("if($C1755="""","""",iferror(if(row()&lt;&gt;2,INDEX(arrayformula(filter($H$2:$H1754,$C$2:$C1754&lt;&gt;"""",row($C$2:$C1754)=max(if($C$2:$C1754=C1755,row($C$2:$C1754),0)))) ,1),0),0))"),"")</f>
        <v/>
      </c>
      <c r="H1755" s="170" t="str">
        <f t="shared" si="8"/>
        <v/>
      </c>
      <c r="I1755" s="147" t="str">
        <f t="shared" si="1"/>
        <v/>
      </c>
      <c r="J1755" s="147" t="str">
        <f t="shared" si="13"/>
        <v/>
      </c>
      <c r="K1755" s="147" t="str">
        <f>IFERROR(__xludf.DUMMYFUNCTION("if(C1755="""","""",iferror(if(row()&lt;&gt;2,INDEX(arrayformula(filter($L$2:$L1754,$C$2:$C1754&lt;&gt;"""",row($C$2:$C1754)=max(if($C$2:$C1754=C1755,row($C$2:$C1754),0)))) ,1),0),0))"),"")</f>
        <v/>
      </c>
      <c r="L1755" s="147" t="str">
        <f t="shared" si="14"/>
        <v/>
      </c>
      <c r="M1755" s="147" t="str">
        <f t="shared" si="15"/>
        <v/>
      </c>
      <c r="N1755" s="147" t="str">
        <f t="shared" si="16"/>
        <v/>
      </c>
      <c r="O1755" s="147" t="str">
        <f t="shared" si="6"/>
        <v/>
      </c>
      <c r="P1755" s="150" t="str">
        <f t="shared" si="7"/>
        <v/>
      </c>
      <c r="Q1755" s="151" t="str">
        <f>IFERROR(VLOOKUP(C1755,Ativos!$A$1:$G2000,5,),)</f>
        <v/>
      </c>
    </row>
    <row r="1756" ht="21.0" customHeight="1">
      <c r="A1756" s="152"/>
      <c r="B1756" s="160"/>
      <c r="C1756" s="153"/>
      <c r="D1756" s="169"/>
      <c r="E1756" s="139"/>
      <c r="F1756" s="141"/>
      <c r="G1756" s="170" t="str">
        <f>IFERROR(__xludf.DUMMYFUNCTION("if($C1756="""","""",iferror(if(row()&lt;&gt;2,INDEX(arrayformula(filter($H$2:$H1755,$C$2:$C1755&lt;&gt;"""",row($C$2:$C1755)=max(if($C$2:$C1755=C1756,row($C$2:$C1755),0)))) ,1),0),0))"),"")</f>
        <v/>
      </c>
      <c r="H1756" s="170" t="str">
        <f t="shared" si="8"/>
        <v/>
      </c>
      <c r="I1756" s="147" t="str">
        <f t="shared" si="1"/>
        <v/>
      </c>
      <c r="J1756" s="147" t="str">
        <f t="shared" si="13"/>
        <v/>
      </c>
      <c r="K1756" s="147" t="str">
        <f>IFERROR(__xludf.DUMMYFUNCTION("if(C1756="""","""",iferror(if(row()&lt;&gt;2,INDEX(arrayformula(filter($L$2:$L1755,$C$2:$C1755&lt;&gt;"""",row($C$2:$C1755)=max(if($C$2:$C1755=C1756,row($C$2:$C1755),0)))) ,1),0),0))"),"")</f>
        <v/>
      </c>
      <c r="L1756" s="147" t="str">
        <f t="shared" si="14"/>
        <v/>
      </c>
      <c r="M1756" s="147" t="str">
        <f t="shared" si="15"/>
        <v/>
      </c>
      <c r="N1756" s="147" t="str">
        <f t="shared" si="16"/>
        <v/>
      </c>
      <c r="O1756" s="147" t="str">
        <f t="shared" si="6"/>
        <v/>
      </c>
      <c r="P1756" s="150" t="str">
        <f t="shared" si="7"/>
        <v/>
      </c>
      <c r="Q1756" s="151" t="str">
        <f>IFERROR(VLOOKUP(C1756,Ativos!$A$1:$G2000,5,),)</f>
        <v/>
      </c>
    </row>
    <row r="1757" ht="21.0" customHeight="1">
      <c r="A1757" s="152"/>
      <c r="B1757" s="160"/>
      <c r="C1757" s="153"/>
      <c r="D1757" s="169"/>
      <c r="E1757" s="139"/>
      <c r="F1757" s="141"/>
      <c r="G1757" s="170" t="str">
        <f>IFERROR(__xludf.DUMMYFUNCTION("if($C1757="""","""",iferror(if(row()&lt;&gt;2,INDEX(arrayformula(filter($H$2:$H1756,$C$2:$C1756&lt;&gt;"""",row($C$2:$C1756)=max(if($C$2:$C1756=C1757,row($C$2:$C1756),0)))) ,1),0),0))"),"")</f>
        <v/>
      </c>
      <c r="H1757" s="170" t="str">
        <f t="shared" si="8"/>
        <v/>
      </c>
      <c r="I1757" s="147" t="str">
        <f t="shared" si="1"/>
        <v/>
      </c>
      <c r="J1757" s="147" t="str">
        <f t="shared" si="13"/>
        <v/>
      </c>
      <c r="K1757" s="147" t="str">
        <f>IFERROR(__xludf.DUMMYFUNCTION("if(C1757="""","""",iferror(if(row()&lt;&gt;2,INDEX(arrayformula(filter($L$2:$L1756,$C$2:$C1756&lt;&gt;"""",row($C$2:$C1756)=max(if($C$2:$C1756=C1757,row($C$2:$C1756),0)))) ,1),0),0))"),"")</f>
        <v/>
      </c>
      <c r="L1757" s="147" t="str">
        <f t="shared" si="14"/>
        <v/>
      </c>
      <c r="M1757" s="147" t="str">
        <f t="shared" si="15"/>
        <v/>
      </c>
      <c r="N1757" s="147" t="str">
        <f t="shared" si="16"/>
        <v/>
      </c>
      <c r="O1757" s="147" t="str">
        <f t="shared" si="6"/>
        <v/>
      </c>
      <c r="P1757" s="150" t="str">
        <f t="shared" si="7"/>
        <v/>
      </c>
      <c r="Q1757" s="151" t="str">
        <f>IFERROR(VLOOKUP(C1757,Ativos!$A$1:$G2000,5,),)</f>
        <v/>
      </c>
    </row>
    <row r="1758" ht="21.0" customHeight="1">
      <c r="A1758" s="152"/>
      <c r="B1758" s="160"/>
      <c r="C1758" s="153"/>
      <c r="D1758" s="169"/>
      <c r="E1758" s="139"/>
      <c r="F1758" s="141"/>
      <c r="G1758" s="170" t="str">
        <f>IFERROR(__xludf.DUMMYFUNCTION("if($C1758="""","""",iferror(if(row()&lt;&gt;2,INDEX(arrayformula(filter($H$2:$H1757,$C$2:$C1757&lt;&gt;"""",row($C$2:$C1757)=max(if($C$2:$C1757=C1758,row($C$2:$C1757),0)))) ,1),0),0))"),"")</f>
        <v/>
      </c>
      <c r="H1758" s="170" t="str">
        <f t="shared" si="8"/>
        <v/>
      </c>
      <c r="I1758" s="147" t="str">
        <f t="shared" si="1"/>
        <v/>
      </c>
      <c r="J1758" s="147" t="str">
        <f t="shared" si="13"/>
        <v/>
      </c>
      <c r="K1758" s="147" t="str">
        <f>IFERROR(__xludf.DUMMYFUNCTION("if(C1758="""","""",iferror(if(row()&lt;&gt;2,INDEX(arrayformula(filter($L$2:$L1757,$C$2:$C1757&lt;&gt;"""",row($C$2:$C1757)=max(if($C$2:$C1757=C1758,row($C$2:$C1757),0)))) ,1),0),0))"),"")</f>
        <v/>
      </c>
      <c r="L1758" s="147" t="str">
        <f t="shared" si="14"/>
        <v/>
      </c>
      <c r="M1758" s="147" t="str">
        <f t="shared" si="15"/>
        <v/>
      </c>
      <c r="N1758" s="147" t="str">
        <f t="shared" si="16"/>
        <v/>
      </c>
      <c r="O1758" s="147" t="str">
        <f t="shared" si="6"/>
        <v/>
      </c>
      <c r="P1758" s="150" t="str">
        <f t="shared" si="7"/>
        <v/>
      </c>
      <c r="Q1758" s="151" t="str">
        <f>IFERROR(VLOOKUP(C1758,Ativos!$A$1:$G2000,5,),)</f>
        <v/>
      </c>
    </row>
    <row r="1759" ht="21.0" customHeight="1">
      <c r="A1759" s="152"/>
      <c r="B1759" s="160"/>
      <c r="C1759" s="153"/>
      <c r="D1759" s="169"/>
      <c r="E1759" s="139"/>
      <c r="F1759" s="141"/>
      <c r="G1759" s="170" t="str">
        <f>IFERROR(__xludf.DUMMYFUNCTION("if($C1759="""","""",iferror(if(row()&lt;&gt;2,INDEX(arrayformula(filter($H$2:$H1758,$C$2:$C1758&lt;&gt;"""",row($C$2:$C1758)=max(if($C$2:$C1758=C1759,row($C$2:$C1758),0)))) ,1),0),0))"),"")</f>
        <v/>
      </c>
      <c r="H1759" s="170" t="str">
        <f t="shared" si="8"/>
        <v/>
      </c>
      <c r="I1759" s="147" t="str">
        <f t="shared" si="1"/>
        <v/>
      </c>
      <c r="J1759" s="147" t="str">
        <f t="shared" si="13"/>
        <v/>
      </c>
      <c r="K1759" s="147" t="str">
        <f>IFERROR(__xludf.DUMMYFUNCTION("if(C1759="""","""",iferror(if(row()&lt;&gt;2,INDEX(arrayformula(filter($L$2:$L1758,$C$2:$C1758&lt;&gt;"""",row($C$2:$C1758)=max(if($C$2:$C1758=C1759,row($C$2:$C1758),0)))) ,1),0),0))"),"")</f>
        <v/>
      </c>
      <c r="L1759" s="147" t="str">
        <f t="shared" si="14"/>
        <v/>
      </c>
      <c r="M1759" s="147" t="str">
        <f t="shared" si="15"/>
        <v/>
      </c>
      <c r="N1759" s="147" t="str">
        <f t="shared" si="16"/>
        <v/>
      </c>
      <c r="O1759" s="147" t="str">
        <f t="shared" si="6"/>
        <v/>
      </c>
      <c r="P1759" s="150" t="str">
        <f t="shared" si="7"/>
        <v/>
      </c>
      <c r="Q1759" s="151" t="str">
        <f>IFERROR(VLOOKUP(C1759,Ativos!$A$1:$G2000,5,),)</f>
        <v/>
      </c>
    </row>
    <row r="1760" ht="21.0" customHeight="1">
      <c r="A1760" s="152"/>
      <c r="B1760" s="160"/>
      <c r="C1760" s="153"/>
      <c r="D1760" s="169"/>
      <c r="E1760" s="139"/>
      <c r="F1760" s="141"/>
      <c r="G1760" s="170" t="str">
        <f>IFERROR(__xludf.DUMMYFUNCTION("if($C1760="""","""",iferror(if(row()&lt;&gt;2,INDEX(arrayformula(filter($H$2:$H1759,$C$2:$C1759&lt;&gt;"""",row($C$2:$C1759)=max(if($C$2:$C1759=C1760,row($C$2:$C1759),0)))) ,1),0),0))"),"")</f>
        <v/>
      </c>
      <c r="H1760" s="170" t="str">
        <f t="shared" si="8"/>
        <v/>
      </c>
      <c r="I1760" s="147" t="str">
        <f t="shared" si="1"/>
        <v/>
      </c>
      <c r="J1760" s="147" t="str">
        <f t="shared" si="13"/>
        <v/>
      </c>
      <c r="K1760" s="147" t="str">
        <f>IFERROR(__xludf.DUMMYFUNCTION("if(C1760="""","""",iferror(if(row()&lt;&gt;2,INDEX(arrayformula(filter($L$2:$L1759,$C$2:$C1759&lt;&gt;"""",row($C$2:$C1759)=max(if($C$2:$C1759=C1760,row($C$2:$C1759),0)))) ,1),0),0))"),"")</f>
        <v/>
      </c>
      <c r="L1760" s="147" t="str">
        <f t="shared" si="14"/>
        <v/>
      </c>
      <c r="M1760" s="147" t="str">
        <f t="shared" si="15"/>
        <v/>
      </c>
      <c r="N1760" s="147" t="str">
        <f t="shared" si="16"/>
        <v/>
      </c>
      <c r="O1760" s="147" t="str">
        <f t="shared" si="6"/>
        <v/>
      </c>
      <c r="P1760" s="150" t="str">
        <f t="shared" si="7"/>
        <v/>
      </c>
      <c r="Q1760" s="151" t="str">
        <f>IFERROR(VLOOKUP(C1760,Ativos!$A$1:$G2000,5,),)</f>
        <v/>
      </c>
    </row>
    <row r="1761" ht="21.0" customHeight="1">
      <c r="A1761" s="152"/>
      <c r="B1761" s="160"/>
      <c r="C1761" s="153"/>
      <c r="D1761" s="169"/>
      <c r="E1761" s="139"/>
      <c r="F1761" s="141"/>
      <c r="G1761" s="170" t="str">
        <f>IFERROR(__xludf.DUMMYFUNCTION("if($C1761="""","""",iferror(if(row()&lt;&gt;2,INDEX(arrayformula(filter($H$2:$H1760,$C$2:$C1760&lt;&gt;"""",row($C$2:$C1760)=max(if($C$2:$C1760=C1761,row($C$2:$C1760),0)))) ,1),0),0))"),"")</f>
        <v/>
      </c>
      <c r="H1761" s="170" t="str">
        <f t="shared" si="8"/>
        <v/>
      </c>
      <c r="I1761" s="147" t="str">
        <f t="shared" si="1"/>
        <v/>
      </c>
      <c r="J1761" s="147" t="str">
        <f t="shared" si="13"/>
        <v/>
      </c>
      <c r="K1761" s="147" t="str">
        <f>IFERROR(__xludf.DUMMYFUNCTION("if(C1761="""","""",iferror(if(row()&lt;&gt;2,INDEX(arrayformula(filter($L$2:$L1760,$C$2:$C1760&lt;&gt;"""",row($C$2:$C1760)=max(if($C$2:$C1760=C1761,row($C$2:$C1760),0)))) ,1),0),0))"),"")</f>
        <v/>
      </c>
      <c r="L1761" s="147" t="str">
        <f t="shared" si="14"/>
        <v/>
      </c>
      <c r="M1761" s="147" t="str">
        <f t="shared" si="15"/>
        <v/>
      </c>
      <c r="N1761" s="147" t="str">
        <f t="shared" si="16"/>
        <v/>
      </c>
      <c r="O1761" s="147" t="str">
        <f t="shared" si="6"/>
        <v/>
      </c>
      <c r="P1761" s="150" t="str">
        <f t="shared" si="7"/>
        <v/>
      </c>
      <c r="Q1761" s="151" t="str">
        <f>IFERROR(VLOOKUP(C1761,Ativos!$A$1:$G2000,5,),)</f>
        <v/>
      </c>
    </row>
    <row r="1762" ht="21.0" customHeight="1">
      <c r="A1762" s="152"/>
      <c r="B1762" s="160"/>
      <c r="C1762" s="153"/>
      <c r="D1762" s="169"/>
      <c r="E1762" s="139"/>
      <c r="F1762" s="141"/>
      <c r="G1762" s="170" t="str">
        <f>IFERROR(__xludf.DUMMYFUNCTION("if($C1762="""","""",iferror(if(row()&lt;&gt;2,INDEX(arrayformula(filter($H$2:$H1761,$C$2:$C1761&lt;&gt;"""",row($C$2:$C1761)=max(if($C$2:$C1761=C1762,row($C$2:$C1761),0)))) ,1),0),0))"),"")</f>
        <v/>
      </c>
      <c r="H1762" s="170" t="str">
        <f t="shared" si="8"/>
        <v/>
      </c>
      <c r="I1762" s="147" t="str">
        <f t="shared" si="1"/>
        <v/>
      </c>
      <c r="J1762" s="147" t="str">
        <f t="shared" si="13"/>
        <v/>
      </c>
      <c r="K1762" s="147" t="str">
        <f>IFERROR(__xludf.DUMMYFUNCTION("if(C1762="""","""",iferror(if(row()&lt;&gt;2,INDEX(arrayformula(filter($L$2:$L1761,$C$2:$C1761&lt;&gt;"""",row($C$2:$C1761)=max(if($C$2:$C1761=C1762,row($C$2:$C1761),0)))) ,1),0),0))"),"")</f>
        <v/>
      </c>
      <c r="L1762" s="147" t="str">
        <f t="shared" si="14"/>
        <v/>
      </c>
      <c r="M1762" s="147" t="str">
        <f t="shared" si="15"/>
        <v/>
      </c>
      <c r="N1762" s="147" t="str">
        <f t="shared" si="16"/>
        <v/>
      </c>
      <c r="O1762" s="147" t="str">
        <f t="shared" si="6"/>
        <v/>
      </c>
      <c r="P1762" s="150" t="str">
        <f t="shared" si="7"/>
        <v/>
      </c>
      <c r="Q1762" s="151" t="str">
        <f>IFERROR(VLOOKUP(C1762,Ativos!$A$1:$G2000,5,),)</f>
        <v/>
      </c>
    </row>
    <row r="1763" ht="21.0" customHeight="1">
      <c r="A1763" s="152"/>
      <c r="B1763" s="160"/>
      <c r="C1763" s="153"/>
      <c r="D1763" s="169"/>
      <c r="E1763" s="139"/>
      <c r="F1763" s="141"/>
      <c r="G1763" s="170" t="str">
        <f>IFERROR(__xludf.DUMMYFUNCTION("if($C1763="""","""",iferror(if(row()&lt;&gt;2,INDEX(arrayformula(filter($H$2:$H1762,$C$2:$C1762&lt;&gt;"""",row($C$2:$C1762)=max(if($C$2:$C1762=C1763,row($C$2:$C1762),0)))) ,1),0),0))"),"")</f>
        <v/>
      </c>
      <c r="H1763" s="170" t="str">
        <f t="shared" si="8"/>
        <v/>
      </c>
      <c r="I1763" s="147" t="str">
        <f t="shared" si="1"/>
        <v/>
      </c>
      <c r="J1763" s="147" t="str">
        <f t="shared" si="13"/>
        <v/>
      </c>
      <c r="K1763" s="147" t="str">
        <f>IFERROR(__xludf.DUMMYFUNCTION("if(C1763="""","""",iferror(if(row()&lt;&gt;2,INDEX(arrayformula(filter($L$2:$L1762,$C$2:$C1762&lt;&gt;"""",row($C$2:$C1762)=max(if($C$2:$C1762=C1763,row($C$2:$C1762),0)))) ,1),0),0))"),"")</f>
        <v/>
      </c>
      <c r="L1763" s="147" t="str">
        <f t="shared" si="14"/>
        <v/>
      </c>
      <c r="M1763" s="147" t="str">
        <f t="shared" si="15"/>
        <v/>
      </c>
      <c r="N1763" s="147" t="str">
        <f t="shared" si="16"/>
        <v/>
      </c>
      <c r="O1763" s="147" t="str">
        <f t="shared" si="6"/>
        <v/>
      </c>
      <c r="P1763" s="150" t="str">
        <f t="shared" si="7"/>
        <v/>
      </c>
      <c r="Q1763" s="151" t="str">
        <f>IFERROR(VLOOKUP(C1763,Ativos!$A$1:$G2000,5,),)</f>
        <v/>
      </c>
    </row>
    <row r="1764" ht="21.0" customHeight="1">
      <c r="A1764" s="152"/>
      <c r="B1764" s="160"/>
      <c r="C1764" s="153"/>
      <c r="D1764" s="169"/>
      <c r="E1764" s="139"/>
      <c r="F1764" s="141"/>
      <c r="G1764" s="170" t="str">
        <f>IFERROR(__xludf.DUMMYFUNCTION("if($C1764="""","""",iferror(if(row()&lt;&gt;2,INDEX(arrayformula(filter($H$2:$H1763,$C$2:$C1763&lt;&gt;"""",row($C$2:$C1763)=max(if($C$2:$C1763=C1764,row($C$2:$C1763),0)))) ,1),0),0))"),"")</f>
        <v/>
      </c>
      <c r="H1764" s="170" t="str">
        <f t="shared" si="8"/>
        <v/>
      </c>
      <c r="I1764" s="147" t="str">
        <f t="shared" si="1"/>
        <v/>
      </c>
      <c r="J1764" s="147" t="str">
        <f t="shared" si="13"/>
        <v/>
      </c>
      <c r="K1764" s="147" t="str">
        <f>IFERROR(__xludf.DUMMYFUNCTION("if(C1764="""","""",iferror(if(row()&lt;&gt;2,INDEX(arrayformula(filter($L$2:$L1763,$C$2:$C1763&lt;&gt;"""",row($C$2:$C1763)=max(if($C$2:$C1763=C1764,row($C$2:$C1763),0)))) ,1),0),0))"),"")</f>
        <v/>
      </c>
      <c r="L1764" s="147" t="str">
        <f t="shared" si="14"/>
        <v/>
      </c>
      <c r="M1764" s="147" t="str">
        <f t="shared" si="15"/>
        <v/>
      </c>
      <c r="N1764" s="147" t="str">
        <f t="shared" si="16"/>
        <v/>
      </c>
      <c r="O1764" s="147" t="str">
        <f t="shared" si="6"/>
        <v/>
      </c>
      <c r="P1764" s="150" t="str">
        <f t="shared" si="7"/>
        <v/>
      </c>
      <c r="Q1764" s="151" t="str">
        <f>IFERROR(VLOOKUP(C1764,Ativos!$A$1:$G2000,5,),)</f>
        <v/>
      </c>
    </row>
    <row r="1765" ht="21.0" customHeight="1">
      <c r="A1765" s="152"/>
      <c r="B1765" s="160"/>
      <c r="C1765" s="153"/>
      <c r="D1765" s="169"/>
      <c r="E1765" s="139"/>
      <c r="F1765" s="141"/>
      <c r="G1765" s="170" t="str">
        <f>IFERROR(__xludf.DUMMYFUNCTION("if($C1765="""","""",iferror(if(row()&lt;&gt;2,INDEX(arrayformula(filter($H$2:$H1764,$C$2:$C1764&lt;&gt;"""",row($C$2:$C1764)=max(if($C$2:$C1764=C1765,row($C$2:$C1764),0)))) ,1),0),0))"),"")</f>
        <v/>
      </c>
      <c r="H1765" s="170" t="str">
        <f t="shared" si="8"/>
        <v/>
      </c>
      <c r="I1765" s="147" t="str">
        <f t="shared" si="1"/>
        <v/>
      </c>
      <c r="J1765" s="147" t="str">
        <f t="shared" si="13"/>
        <v/>
      </c>
      <c r="K1765" s="147" t="str">
        <f>IFERROR(__xludf.DUMMYFUNCTION("if(C1765="""","""",iferror(if(row()&lt;&gt;2,INDEX(arrayformula(filter($L$2:$L1764,$C$2:$C1764&lt;&gt;"""",row($C$2:$C1764)=max(if($C$2:$C1764=C1765,row($C$2:$C1764),0)))) ,1),0),0))"),"")</f>
        <v/>
      </c>
      <c r="L1765" s="147" t="str">
        <f t="shared" si="14"/>
        <v/>
      </c>
      <c r="M1765" s="147" t="str">
        <f t="shared" si="15"/>
        <v/>
      </c>
      <c r="N1765" s="147" t="str">
        <f t="shared" si="16"/>
        <v/>
      </c>
      <c r="O1765" s="147" t="str">
        <f t="shared" si="6"/>
        <v/>
      </c>
      <c r="P1765" s="150" t="str">
        <f t="shared" si="7"/>
        <v/>
      </c>
      <c r="Q1765" s="151" t="str">
        <f>IFERROR(VLOOKUP(C1765,Ativos!$A$1:$G2000,5,),)</f>
        <v/>
      </c>
    </row>
    <row r="1766" ht="21.0" customHeight="1">
      <c r="A1766" s="152"/>
      <c r="B1766" s="160"/>
      <c r="C1766" s="153"/>
      <c r="D1766" s="169"/>
      <c r="E1766" s="139"/>
      <c r="F1766" s="141"/>
      <c r="G1766" s="170" t="str">
        <f>IFERROR(__xludf.DUMMYFUNCTION("if($C1766="""","""",iferror(if(row()&lt;&gt;2,INDEX(arrayformula(filter($H$2:$H1765,$C$2:$C1765&lt;&gt;"""",row($C$2:$C1765)=max(if($C$2:$C1765=C1766,row($C$2:$C1765),0)))) ,1),0),0))"),"")</f>
        <v/>
      </c>
      <c r="H1766" s="170" t="str">
        <f t="shared" si="8"/>
        <v/>
      </c>
      <c r="I1766" s="147" t="str">
        <f t="shared" si="1"/>
        <v/>
      </c>
      <c r="J1766" s="147" t="str">
        <f t="shared" si="13"/>
        <v/>
      </c>
      <c r="K1766" s="147" t="str">
        <f>IFERROR(__xludf.DUMMYFUNCTION("if(C1766="""","""",iferror(if(row()&lt;&gt;2,INDEX(arrayformula(filter($L$2:$L1765,$C$2:$C1765&lt;&gt;"""",row($C$2:$C1765)=max(if($C$2:$C1765=C1766,row($C$2:$C1765),0)))) ,1),0),0))"),"")</f>
        <v/>
      </c>
      <c r="L1766" s="147" t="str">
        <f t="shared" si="14"/>
        <v/>
      </c>
      <c r="M1766" s="147" t="str">
        <f t="shared" si="15"/>
        <v/>
      </c>
      <c r="N1766" s="147" t="str">
        <f t="shared" si="16"/>
        <v/>
      </c>
      <c r="O1766" s="147" t="str">
        <f t="shared" si="6"/>
        <v/>
      </c>
      <c r="P1766" s="150" t="str">
        <f t="shared" si="7"/>
        <v/>
      </c>
      <c r="Q1766" s="151" t="str">
        <f>IFERROR(VLOOKUP(C1766,Ativos!$A$1:$G2000,5,),)</f>
        <v/>
      </c>
    </row>
    <row r="1767" ht="21.0" customHeight="1">
      <c r="A1767" s="152"/>
      <c r="B1767" s="160"/>
      <c r="C1767" s="153"/>
      <c r="D1767" s="169"/>
      <c r="E1767" s="139"/>
      <c r="F1767" s="141"/>
      <c r="G1767" s="170" t="str">
        <f>IFERROR(__xludf.DUMMYFUNCTION("if($C1767="""","""",iferror(if(row()&lt;&gt;2,INDEX(arrayformula(filter($H$2:$H1766,$C$2:$C1766&lt;&gt;"""",row($C$2:$C1766)=max(if($C$2:$C1766=C1767,row($C$2:$C1766),0)))) ,1),0),0))"),"")</f>
        <v/>
      </c>
      <c r="H1767" s="170" t="str">
        <f t="shared" si="8"/>
        <v/>
      </c>
      <c r="I1767" s="147" t="str">
        <f t="shared" si="1"/>
        <v/>
      </c>
      <c r="J1767" s="147" t="str">
        <f t="shared" si="13"/>
        <v/>
      </c>
      <c r="K1767" s="147" t="str">
        <f>IFERROR(__xludf.DUMMYFUNCTION("if(C1767="""","""",iferror(if(row()&lt;&gt;2,INDEX(arrayformula(filter($L$2:$L1766,$C$2:$C1766&lt;&gt;"""",row($C$2:$C1766)=max(if($C$2:$C1766=C1767,row($C$2:$C1766),0)))) ,1),0),0))"),"")</f>
        <v/>
      </c>
      <c r="L1767" s="147" t="str">
        <f t="shared" si="14"/>
        <v/>
      </c>
      <c r="M1767" s="147" t="str">
        <f t="shared" si="15"/>
        <v/>
      </c>
      <c r="N1767" s="147" t="str">
        <f t="shared" si="16"/>
        <v/>
      </c>
      <c r="O1767" s="147" t="str">
        <f t="shared" si="6"/>
        <v/>
      </c>
      <c r="P1767" s="150" t="str">
        <f t="shared" si="7"/>
        <v/>
      </c>
      <c r="Q1767" s="151" t="str">
        <f>IFERROR(VLOOKUP(C1767,Ativos!$A$1:$G2000,5,),)</f>
        <v/>
      </c>
    </row>
    <row r="1768" ht="21.0" customHeight="1">
      <c r="A1768" s="152"/>
      <c r="B1768" s="160"/>
      <c r="C1768" s="153"/>
      <c r="D1768" s="169"/>
      <c r="E1768" s="139"/>
      <c r="F1768" s="141"/>
      <c r="G1768" s="170" t="str">
        <f>IFERROR(__xludf.DUMMYFUNCTION("if($C1768="""","""",iferror(if(row()&lt;&gt;2,INDEX(arrayformula(filter($H$2:$H1767,$C$2:$C1767&lt;&gt;"""",row($C$2:$C1767)=max(if($C$2:$C1767=C1768,row($C$2:$C1767),0)))) ,1),0),0))"),"")</f>
        <v/>
      </c>
      <c r="H1768" s="170" t="str">
        <f t="shared" si="8"/>
        <v/>
      </c>
      <c r="I1768" s="147" t="str">
        <f t="shared" si="1"/>
        <v/>
      </c>
      <c r="J1768" s="147" t="str">
        <f t="shared" si="13"/>
        <v/>
      </c>
      <c r="K1768" s="147" t="str">
        <f>IFERROR(__xludf.DUMMYFUNCTION("if(C1768="""","""",iferror(if(row()&lt;&gt;2,INDEX(arrayformula(filter($L$2:$L1767,$C$2:$C1767&lt;&gt;"""",row($C$2:$C1767)=max(if($C$2:$C1767=C1768,row($C$2:$C1767),0)))) ,1),0),0))"),"")</f>
        <v/>
      </c>
      <c r="L1768" s="147" t="str">
        <f t="shared" si="14"/>
        <v/>
      </c>
      <c r="M1768" s="147" t="str">
        <f t="shared" si="15"/>
        <v/>
      </c>
      <c r="N1768" s="147" t="str">
        <f t="shared" si="16"/>
        <v/>
      </c>
      <c r="O1768" s="147" t="str">
        <f t="shared" si="6"/>
        <v/>
      </c>
      <c r="P1768" s="150" t="str">
        <f t="shared" si="7"/>
        <v/>
      </c>
      <c r="Q1768" s="151" t="str">
        <f>IFERROR(VLOOKUP(C1768,Ativos!$A$1:$G2000,5,),)</f>
        <v/>
      </c>
    </row>
    <row r="1769" ht="21.0" customHeight="1">
      <c r="A1769" s="152"/>
      <c r="B1769" s="160"/>
      <c r="C1769" s="153"/>
      <c r="D1769" s="169"/>
      <c r="E1769" s="139"/>
      <c r="F1769" s="141"/>
      <c r="G1769" s="170" t="str">
        <f>IFERROR(__xludf.DUMMYFUNCTION("if($C1769="""","""",iferror(if(row()&lt;&gt;2,INDEX(arrayformula(filter($H$2:$H1768,$C$2:$C1768&lt;&gt;"""",row($C$2:$C1768)=max(if($C$2:$C1768=C1769,row($C$2:$C1768),0)))) ,1),0),0))"),"")</f>
        <v/>
      </c>
      <c r="H1769" s="170" t="str">
        <f t="shared" si="8"/>
        <v/>
      </c>
      <c r="I1769" s="147" t="str">
        <f t="shared" si="1"/>
        <v/>
      </c>
      <c r="J1769" s="147" t="str">
        <f t="shared" si="13"/>
        <v/>
      </c>
      <c r="K1769" s="147" t="str">
        <f>IFERROR(__xludf.DUMMYFUNCTION("if(C1769="""","""",iferror(if(row()&lt;&gt;2,INDEX(arrayformula(filter($L$2:$L1768,$C$2:$C1768&lt;&gt;"""",row($C$2:$C1768)=max(if($C$2:$C1768=C1769,row($C$2:$C1768),0)))) ,1),0),0))"),"")</f>
        <v/>
      </c>
      <c r="L1769" s="147" t="str">
        <f t="shared" si="14"/>
        <v/>
      </c>
      <c r="M1769" s="147" t="str">
        <f t="shared" si="15"/>
        <v/>
      </c>
      <c r="N1769" s="147" t="str">
        <f t="shared" si="16"/>
        <v/>
      </c>
      <c r="O1769" s="147" t="str">
        <f t="shared" si="6"/>
        <v/>
      </c>
      <c r="P1769" s="150" t="str">
        <f t="shared" si="7"/>
        <v/>
      </c>
      <c r="Q1769" s="151" t="str">
        <f>IFERROR(VLOOKUP(C1769,Ativos!$A$1:$G2000,5,),)</f>
        <v/>
      </c>
    </row>
    <row r="1770" ht="21.0" customHeight="1">
      <c r="A1770" s="152"/>
      <c r="B1770" s="160"/>
      <c r="C1770" s="153"/>
      <c r="D1770" s="169"/>
      <c r="E1770" s="139"/>
      <c r="F1770" s="141"/>
      <c r="G1770" s="170" t="str">
        <f>IFERROR(__xludf.DUMMYFUNCTION("if($C1770="""","""",iferror(if(row()&lt;&gt;2,INDEX(arrayformula(filter($H$2:$H1769,$C$2:$C1769&lt;&gt;"""",row($C$2:$C1769)=max(if($C$2:$C1769=C1770,row($C$2:$C1769),0)))) ,1),0),0))"),"")</f>
        <v/>
      </c>
      <c r="H1770" s="170" t="str">
        <f t="shared" si="8"/>
        <v/>
      </c>
      <c r="I1770" s="147" t="str">
        <f t="shared" si="1"/>
        <v/>
      </c>
      <c r="J1770" s="147" t="str">
        <f t="shared" si="13"/>
        <v/>
      </c>
      <c r="K1770" s="147" t="str">
        <f>IFERROR(__xludf.DUMMYFUNCTION("if(C1770="""","""",iferror(if(row()&lt;&gt;2,INDEX(arrayformula(filter($L$2:$L1769,$C$2:$C1769&lt;&gt;"""",row($C$2:$C1769)=max(if($C$2:$C1769=C1770,row($C$2:$C1769),0)))) ,1),0),0))"),"")</f>
        <v/>
      </c>
      <c r="L1770" s="147" t="str">
        <f t="shared" si="14"/>
        <v/>
      </c>
      <c r="M1770" s="147" t="str">
        <f t="shared" si="15"/>
        <v/>
      </c>
      <c r="N1770" s="147" t="str">
        <f t="shared" si="16"/>
        <v/>
      </c>
      <c r="O1770" s="147" t="str">
        <f t="shared" si="6"/>
        <v/>
      </c>
      <c r="P1770" s="150" t="str">
        <f t="shared" si="7"/>
        <v/>
      </c>
      <c r="Q1770" s="151" t="str">
        <f>IFERROR(VLOOKUP(C1770,Ativos!$A$1:$G2000,5,),)</f>
        <v/>
      </c>
    </row>
    <row r="1771" ht="21.0" customHeight="1">
      <c r="A1771" s="152"/>
      <c r="B1771" s="160"/>
      <c r="C1771" s="153"/>
      <c r="D1771" s="169"/>
      <c r="E1771" s="139"/>
      <c r="F1771" s="141"/>
      <c r="G1771" s="170" t="str">
        <f>IFERROR(__xludf.DUMMYFUNCTION("if($C1771="""","""",iferror(if(row()&lt;&gt;2,INDEX(arrayformula(filter($H$2:$H1770,$C$2:$C1770&lt;&gt;"""",row($C$2:$C1770)=max(if($C$2:$C1770=C1771,row($C$2:$C1770),0)))) ,1),0),0))"),"")</f>
        <v/>
      </c>
      <c r="H1771" s="170" t="str">
        <f t="shared" si="8"/>
        <v/>
      </c>
      <c r="I1771" s="147" t="str">
        <f t="shared" si="1"/>
        <v/>
      </c>
      <c r="J1771" s="147" t="str">
        <f t="shared" si="13"/>
        <v/>
      </c>
      <c r="K1771" s="147" t="str">
        <f>IFERROR(__xludf.DUMMYFUNCTION("if(C1771="""","""",iferror(if(row()&lt;&gt;2,INDEX(arrayformula(filter($L$2:$L1770,$C$2:$C1770&lt;&gt;"""",row($C$2:$C1770)=max(if($C$2:$C1770=C1771,row($C$2:$C1770),0)))) ,1),0),0))"),"")</f>
        <v/>
      </c>
      <c r="L1771" s="147" t="str">
        <f t="shared" si="14"/>
        <v/>
      </c>
      <c r="M1771" s="147" t="str">
        <f t="shared" si="15"/>
        <v/>
      </c>
      <c r="N1771" s="147" t="str">
        <f t="shared" si="16"/>
        <v/>
      </c>
      <c r="O1771" s="147" t="str">
        <f t="shared" si="6"/>
        <v/>
      </c>
      <c r="P1771" s="150" t="str">
        <f t="shared" si="7"/>
        <v/>
      </c>
      <c r="Q1771" s="151" t="str">
        <f>IFERROR(VLOOKUP(C1771,Ativos!$A$1:$G2000,5,),)</f>
        <v/>
      </c>
    </row>
    <row r="1772" ht="21.0" customHeight="1">
      <c r="A1772" s="152"/>
      <c r="B1772" s="160"/>
      <c r="C1772" s="153"/>
      <c r="D1772" s="169"/>
      <c r="E1772" s="139"/>
      <c r="F1772" s="141"/>
      <c r="G1772" s="170" t="str">
        <f>IFERROR(__xludf.DUMMYFUNCTION("if($C1772="""","""",iferror(if(row()&lt;&gt;2,INDEX(arrayformula(filter($H$2:$H1771,$C$2:$C1771&lt;&gt;"""",row($C$2:$C1771)=max(if($C$2:$C1771=C1772,row($C$2:$C1771),0)))) ,1),0),0))"),"")</f>
        <v/>
      </c>
      <c r="H1772" s="170" t="str">
        <f t="shared" si="8"/>
        <v/>
      </c>
      <c r="I1772" s="147" t="str">
        <f t="shared" si="1"/>
        <v/>
      </c>
      <c r="J1772" s="147" t="str">
        <f t="shared" si="13"/>
        <v/>
      </c>
      <c r="K1772" s="147" t="str">
        <f>IFERROR(__xludf.DUMMYFUNCTION("if(C1772="""","""",iferror(if(row()&lt;&gt;2,INDEX(arrayformula(filter($L$2:$L1771,$C$2:$C1771&lt;&gt;"""",row($C$2:$C1771)=max(if($C$2:$C1771=C1772,row($C$2:$C1771),0)))) ,1),0),0))"),"")</f>
        <v/>
      </c>
      <c r="L1772" s="147" t="str">
        <f t="shared" si="14"/>
        <v/>
      </c>
      <c r="M1772" s="147" t="str">
        <f t="shared" si="15"/>
        <v/>
      </c>
      <c r="N1772" s="147" t="str">
        <f t="shared" si="16"/>
        <v/>
      </c>
      <c r="O1772" s="147" t="str">
        <f t="shared" si="6"/>
        <v/>
      </c>
      <c r="P1772" s="150" t="str">
        <f t="shared" si="7"/>
        <v/>
      </c>
      <c r="Q1772" s="151" t="str">
        <f>IFERROR(VLOOKUP(C1772,Ativos!$A$1:$G2000,5,),)</f>
        <v/>
      </c>
    </row>
    <row r="1773" ht="21.0" customHeight="1">
      <c r="A1773" s="152"/>
      <c r="B1773" s="160"/>
      <c r="C1773" s="153"/>
      <c r="D1773" s="169"/>
      <c r="E1773" s="139"/>
      <c r="F1773" s="141"/>
      <c r="G1773" s="170" t="str">
        <f>IFERROR(__xludf.DUMMYFUNCTION("if($C1773="""","""",iferror(if(row()&lt;&gt;2,INDEX(arrayformula(filter($H$2:$H1772,$C$2:$C1772&lt;&gt;"""",row($C$2:$C1772)=max(if($C$2:$C1772=C1773,row($C$2:$C1772),0)))) ,1),0),0))"),"")</f>
        <v/>
      </c>
      <c r="H1773" s="170" t="str">
        <f t="shared" si="8"/>
        <v/>
      </c>
      <c r="I1773" s="147" t="str">
        <f t="shared" si="1"/>
        <v/>
      </c>
      <c r="J1773" s="147" t="str">
        <f t="shared" si="13"/>
        <v/>
      </c>
      <c r="K1773" s="147" t="str">
        <f>IFERROR(__xludf.DUMMYFUNCTION("if(C1773="""","""",iferror(if(row()&lt;&gt;2,INDEX(arrayformula(filter($L$2:$L1772,$C$2:$C1772&lt;&gt;"""",row($C$2:$C1772)=max(if($C$2:$C1772=C1773,row($C$2:$C1772),0)))) ,1),0),0))"),"")</f>
        <v/>
      </c>
      <c r="L1773" s="147" t="str">
        <f t="shared" si="14"/>
        <v/>
      </c>
      <c r="M1773" s="147" t="str">
        <f t="shared" si="15"/>
        <v/>
      </c>
      <c r="N1773" s="147" t="str">
        <f t="shared" si="16"/>
        <v/>
      </c>
      <c r="O1773" s="147" t="str">
        <f t="shared" si="6"/>
        <v/>
      </c>
      <c r="P1773" s="150" t="str">
        <f t="shared" si="7"/>
        <v/>
      </c>
      <c r="Q1773" s="151" t="str">
        <f>IFERROR(VLOOKUP(C1773,Ativos!$A$1:$G2000,5,),)</f>
        <v/>
      </c>
    </row>
    <row r="1774" ht="21.0" customHeight="1">
      <c r="A1774" s="152"/>
      <c r="B1774" s="160"/>
      <c r="C1774" s="153"/>
      <c r="D1774" s="169"/>
      <c r="E1774" s="139"/>
      <c r="F1774" s="141"/>
      <c r="G1774" s="170" t="str">
        <f>IFERROR(__xludf.DUMMYFUNCTION("if($C1774="""","""",iferror(if(row()&lt;&gt;2,INDEX(arrayformula(filter($H$2:$H1773,$C$2:$C1773&lt;&gt;"""",row($C$2:$C1773)=max(if($C$2:$C1773=C1774,row($C$2:$C1773),0)))) ,1),0),0))"),"")</f>
        <v/>
      </c>
      <c r="H1774" s="170" t="str">
        <f t="shared" si="8"/>
        <v/>
      </c>
      <c r="I1774" s="147" t="str">
        <f t="shared" si="1"/>
        <v/>
      </c>
      <c r="J1774" s="147" t="str">
        <f t="shared" si="13"/>
        <v/>
      </c>
      <c r="K1774" s="147" t="str">
        <f>IFERROR(__xludf.DUMMYFUNCTION("if(C1774="""","""",iferror(if(row()&lt;&gt;2,INDEX(arrayformula(filter($L$2:$L1773,$C$2:$C1773&lt;&gt;"""",row($C$2:$C1773)=max(if($C$2:$C1773=C1774,row($C$2:$C1773),0)))) ,1),0),0))"),"")</f>
        <v/>
      </c>
      <c r="L1774" s="147" t="str">
        <f t="shared" si="14"/>
        <v/>
      </c>
      <c r="M1774" s="147" t="str">
        <f t="shared" si="15"/>
        <v/>
      </c>
      <c r="N1774" s="147" t="str">
        <f t="shared" si="16"/>
        <v/>
      </c>
      <c r="O1774" s="147" t="str">
        <f t="shared" si="6"/>
        <v/>
      </c>
      <c r="P1774" s="150" t="str">
        <f t="shared" si="7"/>
        <v/>
      </c>
      <c r="Q1774" s="151" t="str">
        <f>IFERROR(VLOOKUP(C1774,Ativos!$A$1:$G2000,5,),)</f>
        <v/>
      </c>
    </row>
    <row r="1775" ht="21.0" customHeight="1">
      <c r="A1775" s="152"/>
      <c r="B1775" s="160"/>
      <c r="C1775" s="153"/>
      <c r="D1775" s="169"/>
      <c r="E1775" s="139"/>
      <c r="F1775" s="141"/>
      <c r="G1775" s="170" t="str">
        <f>IFERROR(__xludf.DUMMYFUNCTION("if($C1775="""","""",iferror(if(row()&lt;&gt;2,INDEX(arrayformula(filter($H$2:$H1774,$C$2:$C1774&lt;&gt;"""",row($C$2:$C1774)=max(if($C$2:$C1774=C1775,row($C$2:$C1774),0)))) ,1),0),0))"),"")</f>
        <v/>
      </c>
      <c r="H1775" s="170" t="str">
        <f t="shared" si="8"/>
        <v/>
      </c>
      <c r="I1775" s="147" t="str">
        <f t="shared" si="1"/>
        <v/>
      </c>
      <c r="J1775" s="147" t="str">
        <f t="shared" si="13"/>
        <v/>
      </c>
      <c r="K1775" s="147" t="str">
        <f>IFERROR(__xludf.DUMMYFUNCTION("if(C1775="""","""",iferror(if(row()&lt;&gt;2,INDEX(arrayformula(filter($L$2:$L1774,$C$2:$C1774&lt;&gt;"""",row($C$2:$C1774)=max(if($C$2:$C1774=C1775,row($C$2:$C1774),0)))) ,1),0),0))"),"")</f>
        <v/>
      </c>
      <c r="L1775" s="147" t="str">
        <f t="shared" si="14"/>
        <v/>
      </c>
      <c r="M1775" s="147" t="str">
        <f t="shared" si="15"/>
        <v/>
      </c>
      <c r="N1775" s="147" t="str">
        <f t="shared" si="16"/>
        <v/>
      </c>
      <c r="O1775" s="147" t="str">
        <f t="shared" si="6"/>
        <v/>
      </c>
      <c r="P1775" s="150" t="str">
        <f t="shared" si="7"/>
        <v/>
      </c>
      <c r="Q1775" s="151" t="str">
        <f>IFERROR(VLOOKUP(C1775,Ativos!$A$1:$G2000,5,),)</f>
        <v/>
      </c>
    </row>
    <row r="1776" ht="21.0" customHeight="1">
      <c r="A1776" s="152"/>
      <c r="B1776" s="160"/>
      <c r="C1776" s="153"/>
      <c r="D1776" s="169"/>
      <c r="E1776" s="139"/>
      <c r="F1776" s="141"/>
      <c r="G1776" s="170" t="str">
        <f>IFERROR(__xludf.DUMMYFUNCTION("if($C1776="""","""",iferror(if(row()&lt;&gt;2,INDEX(arrayformula(filter($H$2:$H1775,$C$2:$C1775&lt;&gt;"""",row($C$2:$C1775)=max(if($C$2:$C1775=C1776,row($C$2:$C1775),0)))) ,1),0),0))"),"")</f>
        <v/>
      </c>
      <c r="H1776" s="170" t="str">
        <f t="shared" si="8"/>
        <v/>
      </c>
      <c r="I1776" s="147" t="str">
        <f t="shared" si="1"/>
        <v/>
      </c>
      <c r="J1776" s="147" t="str">
        <f t="shared" si="13"/>
        <v/>
      </c>
      <c r="K1776" s="147" t="str">
        <f>IFERROR(__xludf.DUMMYFUNCTION("if(C1776="""","""",iferror(if(row()&lt;&gt;2,INDEX(arrayformula(filter($L$2:$L1775,$C$2:$C1775&lt;&gt;"""",row($C$2:$C1775)=max(if($C$2:$C1775=C1776,row($C$2:$C1775),0)))) ,1),0),0))"),"")</f>
        <v/>
      </c>
      <c r="L1776" s="147" t="str">
        <f t="shared" si="14"/>
        <v/>
      </c>
      <c r="M1776" s="147" t="str">
        <f t="shared" si="15"/>
        <v/>
      </c>
      <c r="N1776" s="147" t="str">
        <f t="shared" si="16"/>
        <v/>
      </c>
      <c r="O1776" s="147" t="str">
        <f t="shared" si="6"/>
        <v/>
      </c>
      <c r="P1776" s="150" t="str">
        <f t="shared" si="7"/>
        <v/>
      </c>
      <c r="Q1776" s="151" t="str">
        <f>IFERROR(VLOOKUP(C1776,Ativos!$A$1:$G2000,5,),)</f>
        <v/>
      </c>
    </row>
    <row r="1777" ht="21.0" customHeight="1">
      <c r="A1777" s="152"/>
      <c r="B1777" s="160"/>
      <c r="C1777" s="153"/>
      <c r="D1777" s="169"/>
      <c r="E1777" s="139"/>
      <c r="F1777" s="141"/>
      <c r="G1777" s="170" t="str">
        <f>IFERROR(__xludf.DUMMYFUNCTION("if($C1777="""","""",iferror(if(row()&lt;&gt;2,INDEX(arrayformula(filter($H$2:$H1776,$C$2:$C1776&lt;&gt;"""",row($C$2:$C1776)=max(if($C$2:$C1776=C1777,row($C$2:$C1776),0)))) ,1),0),0))"),"")</f>
        <v/>
      </c>
      <c r="H1777" s="170" t="str">
        <f t="shared" si="8"/>
        <v/>
      </c>
      <c r="I1777" s="147" t="str">
        <f t="shared" si="1"/>
        <v/>
      </c>
      <c r="J1777" s="147" t="str">
        <f t="shared" si="13"/>
        <v/>
      </c>
      <c r="K1777" s="147" t="str">
        <f>IFERROR(__xludf.DUMMYFUNCTION("if(C1777="""","""",iferror(if(row()&lt;&gt;2,INDEX(arrayformula(filter($L$2:$L1776,$C$2:$C1776&lt;&gt;"""",row($C$2:$C1776)=max(if($C$2:$C1776=C1777,row($C$2:$C1776),0)))) ,1),0),0))"),"")</f>
        <v/>
      </c>
      <c r="L1777" s="147" t="str">
        <f t="shared" si="14"/>
        <v/>
      </c>
      <c r="M1777" s="147" t="str">
        <f t="shared" si="15"/>
        <v/>
      </c>
      <c r="N1777" s="147" t="str">
        <f t="shared" si="16"/>
        <v/>
      </c>
      <c r="O1777" s="147" t="str">
        <f t="shared" si="6"/>
        <v/>
      </c>
      <c r="P1777" s="150" t="str">
        <f t="shared" si="7"/>
        <v/>
      </c>
      <c r="Q1777" s="151" t="str">
        <f>IFERROR(VLOOKUP(C1777,Ativos!$A$1:$G2000,5,),)</f>
        <v/>
      </c>
    </row>
    <row r="1778" ht="21.0" customHeight="1">
      <c r="A1778" s="152"/>
      <c r="B1778" s="160"/>
      <c r="C1778" s="153"/>
      <c r="D1778" s="169"/>
      <c r="E1778" s="139"/>
      <c r="F1778" s="141"/>
      <c r="G1778" s="170" t="str">
        <f>IFERROR(__xludf.DUMMYFUNCTION("if($C1778="""","""",iferror(if(row()&lt;&gt;2,INDEX(arrayformula(filter($H$2:$H1777,$C$2:$C1777&lt;&gt;"""",row($C$2:$C1777)=max(if($C$2:$C1777=C1778,row($C$2:$C1777),0)))) ,1),0),0))"),"")</f>
        <v/>
      </c>
      <c r="H1778" s="170" t="str">
        <f t="shared" si="8"/>
        <v/>
      </c>
      <c r="I1778" s="147" t="str">
        <f t="shared" si="1"/>
        <v/>
      </c>
      <c r="J1778" s="147" t="str">
        <f t="shared" si="13"/>
        <v/>
      </c>
      <c r="K1778" s="147" t="str">
        <f>IFERROR(__xludf.DUMMYFUNCTION("if(C1778="""","""",iferror(if(row()&lt;&gt;2,INDEX(arrayformula(filter($L$2:$L1777,$C$2:$C1777&lt;&gt;"""",row($C$2:$C1777)=max(if($C$2:$C1777=C1778,row($C$2:$C1777),0)))) ,1),0),0))"),"")</f>
        <v/>
      </c>
      <c r="L1778" s="147" t="str">
        <f t="shared" si="14"/>
        <v/>
      </c>
      <c r="M1778" s="147" t="str">
        <f t="shared" si="15"/>
        <v/>
      </c>
      <c r="N1778" s="147" t="str">
        <f t="shared" si="16"/>
        <v/>
      </c>
      <c r="O1778" s="147" t="str">
        <f t="shared" si="6"/>
        <v/>
      </c>
      <c r="P1778" s="150" t="str">
        <f t="shared" si="7"/>
        <v/>
      </c>
      <c r="Q1778" s="151" t="str">
        <f>IFERROR(VLOOKUP(C1778,Ativos!$A$1:$G2000,5,),)</f>
        <v/>
      </c>
    </row>
    <row r="1779" ht="21.0" customHeight="1">
      <c r="A1779" s="152"/>
      <c r="B1779" s="160"/>
      <c r="C1779" s="153"/>
      <c r="D1779" s="169"/>
      <c r="E1779" s="139"/>
      <c r="F1779" s="141"/>
      <c r="G1779" s="170" t="str">
        <f>IFERROR(__xludf.DUMMYFUNCTION("if($C1779="""","""",iferror(if(row()&lt;&gt;2,INDEX(arrayformula(filter($H$2:$H1778,$C$2:$C1778&lt;&gt;"""",row($C$2:$C1778)=max(if($C$2:$C1778=C1779,row($C$2:$C1778),0)))) ,1),0),0))"),"")</f>
        <v/>
      </c>
      <c r="H1779" s="170" t="str">
        <f t="shared" si="8"/>
        <v/>
      </c>
      <c r="I1779" s="147" t="str">
        <f t="shared" si="1"/>
        <v/>
      </c>
      <c r="J1779" s="147" t="str">
        <f t="shared" si="13"/>
        <v/>
      </c>
      <c r="K1779" s="147" t="str">
        <f>IFERROR(__xludf.DUMMYFUNCTION("if(C1779="""","""",iferror(if(row()&lt;&gt;2,INDEX(arrayformula(filter($L$2:$L1778,$C$2:$C1778&lt;&gt;"""",row($C$2:$C1778)=max(if($C$2:$C1778=C1779,row($C$2:$C1778),0)))) ,1),0),0))"),"")</f>
        <v/>
      </c>
      <c r="L1779" s="147" t="str">
        <f t="shared" si="14"/>
        <v/>
      </c>
      <c r="M1779" s="147" t="str">
        <f t="shared" si="15"/>
        <v/>
      </c>
      <c r="N1779" s="147" t="str">
        <f t="shared" si="16"/>
        <v/>
      </c>
      <c r="O1779" s="147" t="str">
        <f t="shared" si="6"/>
        <v/>
      </c>
      <c r="P1779" s="150" t="str">
        <f t="shared" si="7"/>
        <v/>
      </c>
      <c r="Q1779" s="151" t="str">
        <f>IFERROR(VLOOKUP(C1779,Ativos!$A$1:$G2000,5,),)</f>
        <v/>
      </c>
    </row>
    <row r="1780" ht="21.0" customHeight="1">
      <c r="A1780" s="152"/>
      <c r="B1780" s="160"/>
      <c r="C1780" s="153"/>
      <c r="D1780" s="169"/>
      <c r="E1780" s="139"/>
      <c r="F1780" s="141"/>
      <c r="G1780" s="170" t="str">
        <f>IFERROR(__xludf.DUMMYFUNCTION("if($C1780="""","""",iferror(if(row()&lt;&gt;2,INDEX(arrayformula(filter($H$2:$H1779,$C$2:$C1779&lt;&gt;"""",row($C$2:$C1779)=max(if($C$2:$C1779=C1780,row($C$2:$C1779),0)))) ,1),0),0))"),"")</f>
        <v/>
      </c>
      <c r="H1780" s="170" t="str">
        <f t="shared" si="8"/>
        <v/>
      </c>
      <c r="I1780" s="147" t="str">
        <f t="shared" si="1"/>
        <v/>
      </c>
      <c r="J1780" s="147" t="str">
        <f t="shared" si="13"/>
        <v/>
      </c>
      <c r="K1780" s="147" t="str">
        <f>IFERROR(__xludf.DUMMYFUNCTION("if(C1780="""","""",iferror(if(row()&lt;&gt;2,INDEX(arrayformula(filter($L$2:$L1779,$C$2:$C1779&lt;&gt;"""",row($C$2:$C1779)=max(if($C$2:$C1779=C1780,row($C$2:$C1779),0)))) ,1),0),0))"),"")</f>
        <v/>
      </c>
      <c r="L1780" s="147" t="str">
        <f t="shared" si="14"/>
        <v/>
      </c>
      <c r="M1780" s="147" t="str">
        <f t="shared" si="15"/>
        <v/>
      </c>
      <c r="N1780" s="147" t="str">
        <f t="shared" si="16"/>
        <v/>
      </c>
      <c r="O1780" s="147" t="str">
        <f t="shared" si="6"/>
        <v/>
      </c>
      <c r="P1780" s="150" t="str">
        <f t="shared" si="7"/>
        <v/>
      </c>
      <c r="Q1780" s="151" t="str">
        <f>IFERROR(VLOOKUP(C1780,Ativos!$A$1:$G2000,5,),)</f>
        <v/>
      </c>
    </row>
    <row r="1781" ht="21.0" customHeight="1">
      <c r="A1781" s="152"/>
      <c r="B1781" s="160"/>
      <c r="C1781" s="153"/>
      <c r="D1781" s="169"/>
      <c r="E1781" s="139"/>
      <c r="F1781" s="141"/>
      <c r="G1781" s="170" t="str">
        <f>IFERROR(__xludf.DUMMYFUNCTION("if($C1781="""","""",iferror(if(row()&lt;&gt;2,INDEX(arrayformula(filter($H$2:$H1780,$C$2:$C1780&lt;&gt;"""",row($C$2:$C1780)=max(if($C$2:$C1780=C1781,row($C$2:$C1780),0)))) ,1),0),0))"),"")</f>
        <v/>
      </c>
      <c r="H1781" s="170" t="str">
        <f t="shared" si="8"/>
        <v/>
      </c>
      <c r="I1781" s="147" t="str">
        <f t="shared" si="1"/>
        <v/>
      </c>
      <c r="J1781" s="147" t="str">
        <f t="shared" si="13"/>
        <v/>
      </c>
      <c r="K1781" s="147" t="str">
        <f>IFERROR(__xludf.DUMMYFUNCTION("if(C1781="""","""",iferror(if(row()&lt;&gt;2,INDEX(arrayformula(filter($L$2:$L1780,$C$2:$C1780&lt;&gt;"""",row($C$2:$C1780)=max(if($C$2:$C1780=C1781,row($C$2:$C1780),0)))) ,1),0),0))"),"")</f>
        <v/>
      </c>
      <c r="L1781" s="147" t="str">
        <f t="shared" si="14"/>
        <v/>
      </c>
      <c r="M1781" s="147" t="str">
        <f t="shared" si="15"/>
        <v/>
      </c>
      <c r="N1781" s="147" t="str">
        <f t="shared" si="16"/>
        <v/>
      </c>
      <c r="O1781" s="147" t="str">
        <f t="shared" si="6"/>
        <v/>
      </c>
      <c r="P1781" s="150" t="str">
        <f t="shared" si="7"/>
        <v/>
      </c>
      <c r="Q1781" s="151" t="str">
        <f>IFERROR(VLOOKUP(C1781,Ativos!$A$1:$G2000,5,),)</f>
        <v/>
      </c>
    </row>
    <row r="1782" ht="21.0" customHeight="1">
      <c r="A1782" s="152"/>
      <c r="B1782" s="160"/>
      <c r="C1782" s="153"/>
      <c r="D1782" s="169"/>
      <c r="E1782" s="139"/>
      <c r="F1782" s="141"/>
      <c r="G1782" s="170" t="str">
        <f>IFERROR(__xludf.DUMMYFUNCTION("if($C1782="""","""",iferror(if(row()&lt;&gt;2,INDEX(arrayformula(filter($H$2:$H1781,$C$2:$C1781&lt;&gt;"""",row($C$2:$C1781)=max(if($C$2:$C1781=C1782,row($C$2:$C1781),0)))) ,1),0),0))"),"")</f>
        <v/>
      </c>
      <c r="H1782" s="170" t="str">
        <f t="shared" si="8"/>
        <v/>
      </c>
      <c r="I1782" s="147" t="str">
        <f t="shared" si="1"/>
        <v/>
      </c>
      <c r="J1782" s="147" t="str">
        <f t="shared" si="13"/>
        <v/>
      </c>
      <c r="K1782" s="147" t="str">
        <f>IFERROR(__xludf.DUMMYFUNCTION("if(C1782="""","""",iferror(if(row()&lt;&gt;2,INDEX(arrayformula(filter($L$2:$L1781,$C$2:$C1781&lt;&gt;"""",row($C$2:$C1781)=max(if($C$2:$C1781=C1782,row($C$2:$C1781),0)))) ,1),0),0))"),"")</f>
        <v/>
      </c>
      <c r="L1782" s="147" t="str">
        <f t="shared" si="14"/>
        <v/>
      </c>
      <c r="M1782" s="147" t="str">
        <f t="shared" si="15"/>
        <v/>
      </c>
      <c r="N1782" s="147" t="str">
        <f t="shared" si="16"/>
        <v/>
      </c>
      <c r="O1782" s="147" t="str">
        <f t="shared" si="6"/>
        <v/>
      </c>
      <c r="P1782" s="150" t="str">
        <f t="shared" si="7"/>
        <v/>
      </c>
      <c r="Q1782" s="151" t="str">
        <f>IFERROR(VLOOKUP(C1782,Ativos!$A$1:$G2000,5,),)</f>
        <v/>
      </c>
    </row>
    <row r="1783" ht="21.0" customHeight="1">
      <c r="A1783" s="152"/>
      <c r="B1783" s="160"/>
      <c r="C1783" s="153"/>
      <c r="D1783" s="169"/>
      <c r="E1783" s="139"/>
      <c r="F1783" s="141"/>
      <c r="G1783" s="170" t="str">
        <f>IFERROR(__xludf.DUMMYFUNCTION("if($C1783="""","""",iferror(if(row()&lt;&gt;2,INDEX(arrayformula(filter($H$2:$H1782,$C$2:$C1782&lt;&gt;"""",row($C$2:$C1782)=max(if($C$2:$C1782=C1783,row($C$2:$C1782),0)))) ,1),0),0))"),"")</f>
        <v/>
      </c>
      <c r="H1783" s="170" t="str">
        <f t="shared" si="8"/>
        <v/>
      </c>
      <c r="I1783" s="147" t="str">
        <f t="shared" si="1"/>
        <v/>
      </c>
      <c r="J1783" s="147" t="str">
        <f t="shared" si="13"/>
        <v/>
      </c>
      <c r="K1783" s="147" t="str">
        <f>IFERROR(__xludf.DUMMYFUNCTION("if(C1783="""","""",iferror(if(row()&lt;&gt;2,INDEX(arrayformula(filter($L$2:$L1782,$C$2:$C1782&lt;&gt;"""",row($C$2:$C1782)=max(if($C$2:$C1782=C1783,row($C$2:$C1782),0)))) ,1),0),0))"),"")</f>
        <v/>
      </c>
      <c r="L1783" s="147" t="str">
        <f t="shared" si="14"/>
        <v/>
      </c>
      <c r="M1783" s="147" t="str">
        <f t="shared" si="15"/>
        <v/>
      </c>
      <c r="N1783" s="147" t="str">
        <f t="shared" si="16"/>
        <v/>
      </c>
      <c r="O1783" s="147" t="str">
        <f t="shared" si="6"/>
        <v/>
      </c>
      <c r="P1783" s="150" t="str">
        <f t="shared" si="7"/>
        <v/>
      </c>
      <c r="Q1783" s="151" t="str">
        <f>IFERROR(VLOOKUP(C1783,Ativos!$A$1:$G2000,5,),)</f>
        <v/>
      </c>
    </row>
    <row r="1784" ht="21.0" customHeight="1">
      <c r="A1784" s="152"/>
      <c r="B1784" s="160"/>
      <c r="C1784" s="153"/>
      <c r="D1784" s="169"/>
      <c r="E1784" s="139"/>
      <c r="F1784" s="141"/>
      <c r="G1784" s="170" t="str">
        <f>IFERROR(__xludf.DUMMYFUNCTION("if($C1784="""","""",iferror(if(row()&lt;&gt;2,INDEX(arrayformula(filter($H$2:$H1783,$C$2:$C1783&lt;&gt;"""",row($C$2:$C1783)=max(if($C$2:$C1783=C1784,row($C$2:$C1783),0)))) ,1),0),0))"),"")</f>
        <v/>
      </c>
      <c r="H1784" s="170" t="str">
        <f t="shared" si="8"/>
        <v/>
      </c>
      <c r="I1784" s="147" t="str">
        <f t="shared" si="1"/>
        <v/>
      </c>
      <c r="J1784" s="147" t="str">
        <f t="shared" si="13"/>
        <v/>
      </c>
      <c r="K1784" s="147" t="str">
        <f>IFERROR(__xludf.DUMMYFUNCTION("if(C1784="""","""",iferror(if(row()&lt;&gt;2,INDEX(arrayformula(filter($L$2:$L1783,$C$2:$C1783&lt;&gt;"""",row($C$2:$C1783)=max(if($C$2:$C1783=C1784,row($C$2:$C1783),0)))) ,1),0),0))"),"")</f>
        <v/>
      </c>
      <c r="L1784" s="147" t="str">
        <f t="shared" si="14"/>
        <v/>
      </c>
      <c r="M1784" s="147" t="str">
        <f t="shared" si="15"/>
        <v/>
      </c>
      <c r="N1784" s="147" t="str">
        <f t="shared" si="16"/>
        <v/>
      </c>
      <c r="O1784" s="147" t="str">
        <f t="shared" si="6"/>
        <v/>
      </c>
      <c r="P1784" s="150" t="str">
        <f t="shared" si="7"/>
        <v/>
      </c>
      <c r="Q1784" s="151" t="str">
        <f>IFERROR(VLOOKUP(C1784,Ativos!$A$1:$G2000,5,),)</f>
        <v/>
      </c>
    </row>
    <row r="1785" ht="21.0" customHeight="1">
      <c r="A1785" s="152"/>
      <c r="B1785" s="160"/>
      <c r="C1785" s="153"/>
      <c r="D1785" s="169"/>
      <c r="E1785" s="139"/>
      <c r="F1785" s="141"/>
      <c r="G1785" s="170" t="str">
        <f>IFERROR(__xludf.DUMMYFUNCTION("if($C1785="""","""",iferror(if(row()&lt;&gt;2,INDEX(arrayformula(filter($H$2:$H1784,$C$2:$C1784&lt;&gt;"""",row($C$2:$C1784)=max(if($C$2:$C1784=C1785,row($C$2:$C1784),0)))) ,1),0),0))"),"")</f>
        <v/>
      </c>
      <c r="H1785" s="170" t="str">
        <f t="shared" si="8"/>
        <v/>
      </c>
      <c r="I1785" s="147" t="str">
        <f t="shared" si="1"/>
        <v/>
      </c>
      <c r="J1785" s="147" t="str">
        <f t="shared" si="13"/>
        <v/>
      </c>
      <c r="K1785" s="147" t="str">
        <f>IFERROR(__xludf.DUMMYFUNCTION("if(C1785="""","""",iferror(if(row()&lt;&gt;2,INDEX(arrayformula(filter($L$2:$L1784,$C$2:$C1784&lt;&gt;"""",row($C$2:$C1784)=max(if($C$2:$C1784=C1785,row($C$2:$C1784),0)))) ,1),0),0))"),"")</f>
        <v/>
      </c>
      <c r="L1785" s="147" t="str">
        <f t="shared" si="14"/>
        <v/>
      </c>
      <c r="M1785" s="147" t="str">
        <f t="shared" si="15"/>
        <v/>
      </c>
      <c r="N1785" s="147" t="str">
        <f t="shared" si="16"/>
        <v/>
      </c>
      <c r="O1785" s="147" t="str">
        <f t="shared" si="6"/>
        <v/>
      </c>
      <c r="P1785" s="150" t="str">
        <f t="shared" si="7"/>
        <v/>
      </c>
      <c r="Q1785" s="151" t="str">
        <f>IFERROR(VLOOKUP(C1785,Ativos!$A$1:$G2000,5,),)</f>
        <v/>
      </c>
    </row>
    <row r="1786" ht="21.0" customHeight="1">
      <c r="A1786" s="152"/>
      <c r="B1786" s="160"/>
      <c r="C1786" s="153"/>
      <c r="D1786" s="169"/>
      <c r="E1786" s="139"/>
      <c r="F1786" s="141"/>
      <c r="G1786" s="170" t="str">
        <f>IFERROR(__xludf.DUMMYFUNCTION("if($C1786="""","""",iferror(if(row()&lt;&gt;2,INDEX(arrayformula(filter($H$2:$H1785,$C$2:$C1785&lt;&gt;"""",row($C$2:$C1785)=max(if($C$2:$C1785=C1786,row($C$2:$C1785),0)))) ,1),0),0))"),"")</f>
        <v/>
      </c>
      <c r="H1786" s="170" t="str">
        <f t="shared" si="8"/>
        <v/>
      </c>
      <c r="I1786" s="147" t="str">
        <f t="shared" si="1"/>
        <v/>
      </c>
      <c r="J1786" s="147" t="str">
        <f t="shared" si="13"/>
        <v/>
      </c>
      <c r="K1786" s="147" t="str">
        <f>IFERROR(__xludf.DUMMYFUNCTION("if(C1786="""","""",iferror(if(row()&lt;&gt;2,INDEX(arrayformula(filter($L$2:$L1785,$C$2:$C1785&lt;&gt;"""",row($C$2:$C1785)=max(if($C$2:$C1785=C1786,row($C$2:$C1785),0)))) ,1),0),0))"),"")</f>
        <v/>
      </c>
      <c r="L1786" s="147" t="str">
        <f t="shared" si="14"/>
        <v/>
      </c>
      <c r="M1786" s="147" t="str">
        <f t="shared" si="15"/>
        <v/>
      </c>
      <c r="N1786" s="147" t="str">
        <f t="shared" si="16"/>
        <v/>
      </c>
      <c r="O1786" s="147" t="str">
        <f t="shared" si="6"/>
        <v/>
      </c>
      <c r="P1786" s="150" t="str">
        <f t="shared" si="7"/>
        <v/>
      </c>
      <c r="Q1786" s="151" t="str">
        <f>IFERROR(VLOOKUP(C1786,Ativos!$A$1:$G2000,5,),)</f>
        <v/>
      </c>
    </row>
    <row r="1787" ht="21.0" customHeight="1">
      <c r="A1787" s="152"/>
      <c r="B1787" s="160"/>
      <c r="C1787" s="153"/>
      <c r="D1787" s="169"/>
      <c r="E1787" s="139"/>
      <c r="F1787" s="141"/>
      <c r="G1787" s="170" t="str">
        <f>IFERROR(__xludf.DUMMYFUNCTION("if($C1787="""","""",iferror(if(row()&lt;&gt;2,INDEX(arrayformula(filter($H$2:$H1786,$C$2:$C1786&lt;&gt;"""",row($C$2:$C1786)=max(if($C$2:$C1786=C1787,row($C$2:$C1786),0)))) ,1),0),0))"),"")</f>
        <v/>
      </c>
      <c r="H1787" s="170" t="str">
        <f t="shared" si="8"/>
        <v/>
      </c>
      <c r="I1787" s="147" t="str">
        <f t="shared" si="1"/>
        <v/>
      </c>
      <c r="J1787" s="147" t="str">
        <f t="shared" si="13"/>
        <v/>
      </c>
      <c r="K1787" s="147" t="str">
        <f>IFERROR(__xludf.DUMMYFUNCTION("if(C1787="""","""",iferror(if(row()&lt;&gt;2,INDEX(arrayformula(filter($L$2:$L1786,$C$2:$C1786&lt;&gt;"""",row($C$2:$C1786)=max(if($C$2:$C1786=C1787,row($C$2:$C1786),0)))) ,1),0),0))"),"")</f>
        <v/>
      </c>
      <c r="L1787" s="147" t="str">
        <f t="shared" si="14"/>
        <v/>
      </c>
      <c r="M1787" s="147" t="str">
        <f t="shared" si="15"/>
        <v/>
      </c>
      <c r="N1787" s="147" t="str">
        <f t="shared" si="16"/>
        <v/>
      </c>
      <c r="O1787" s="147" t="str">
        <f t="shared" si="6"/>
        <v/>
      </c>
      <c r="P1787" s="150" t="str">
        <f t="shared" si="7"/>
        <v/>
      </c>
      <c r="Q1787" s="151" t="str">
        <f>IFERROR(VLOOKUP(C1787,Ativos!$A$1:$G2000,5,),)</f>
        <v/>
      </c>
    </row>
    <row r="1788" ht="21.0" customHeight="1">
      <c r="A1788" s="152"/>
      <c r="B1788" s="160"/>
      <c r="C1788" s="153"/>
      <c r="D1788" s="169"/>
      <c r="E1788" s="139"/>
      <c r="F1788" s="141"/>
      <c r="G1788" s="170" t="str">
        <f>IFERROR(__xludf.DUMMYFUNCTION("if($C1788="""","""",iferror(if(row()&lt;&gt;2,INDEX(arrayformula(filter($H$2:$H1787,$C$2:$C1787&lt;&gt;"""",row($C$2:$C1787)=max(if($C$2:$C1787=C1788,row($C$2:$C1787),0)))) ,1),0),0))"),"")</f>
        <v/>
      </c>
      <c r="H1788" s="170" t="str">
        <f t="shared" si="8"/>
        <v/>
      </c>
      <c r="I1788" s="147" t="str">
        <f t="shared" si="1"/>
        <v/>
      </c>
      <c r="J1788" s="147" t="str">
        <f t="shared" si="13"/>
        <v/>
      </c>
      <c r="K1788" s="147" t="str">
        <f>IFERROR(__xludf.DUMMYFUNCTION("if(C1788="""","""",iferror(if(row()&lt;&gt;2,INDEX(arrayformula(filter($L$2:$L1787,$C$2:$C1787&lt;&gt;"""",row($C$2:$C1787)=max(if($C$2:$C1787=C1788,row($C$2:$C1787),0)))) ,1),0),0))"),"")</f>
        <v/>
      </c>
      <c r="L1788" s="147" t="str">
        <f t="shared" si="14"/>
        <v/>
      </c>
      <c r="M1788" s="147" t="str">
        <f t="shared" si="15"/>
        <v/>
      </c>
      <c r="N1788" s="147" t="str">
        <f t="shared" si="16"/>
        <v/>
      </c>
      <c r="O1788" s="147" t="str">
        <f t="shared" si="6"/>
        <v/>
      </c>
      <c r="P1788" s="150" t="str">
        <f t="shared" si="7"/>
        <v/>
      </c>
      <c r="Q1788" s="151" t="str">
        <f>IFERROR(VLOOKUP(C1788,Ativos!$A$1:$G2000,5,),)</f>
        <v/>
      </c>
    </row>
    <row r="1789" ht="21.0" customHeight="1">
      <c r="A1789" s="152"/>
      <c r="B1789" s="160"/>
      <c r="C1789" s="153"/>
      <c r="D1789" s="169"/>
      <c r="E1789" s="139"/>
      <c r="F1789" s="141"/>
      <c r="G1789" s="170" t="str">
        <f>IFERROR(__xludf.DUMMYFUNCTION("if($C1789="""","""",iferror(if(row()&lt;&gt;2,INDEX(arrayformula(filter($H$2:$H1788,$C$2:$C1788&lt;&gt;"""",row($C$2:$C1788)=max(if($C$2:$C1788=C1789,row($C$2:$C1788),0)))) ,1),0),0))"),"")</f>
        <v/>
      </c>
      <c r="H1789" s="170" t="str">
        <f t="shared" si="8"/>
        <v/>
      </c>
      <c r="I1789" s="147" t="str">
        <f t="shared" si="1"/>
        <v/>
      </c>
      <c r="J1789" s="147" t="str">
        <f t="shared" si="13"/>
        <v/>
      </c>
      <c r="K1789" s="147" t="str">
        <f>IFERROR(__xludf.DUMMYFUNCTION("if(C1789="""","""",iferror(if(row()&lt;&gt;2,INDEX(arrayformula(filter($L$2:$L1788,$C$2:$C1788&lt;&gt;"""",row($C$2:$C1788)=max(if($C$2:$C1788=C1789,row($C$2:$C1788),0)))) ,1),0),0))"),"")</f>
        <v/>
      </c>
      <c r="L1789" s="147" t="str">
        <f t="shared" si="14"/>
        <v/>
      </c>
      <c r="M1789" s="147" t="str">
        <f t="shared" si="15"/>
        <v/>
      </c>
      <c r="N1789" s="147" t="str">
        <f t="shared" si="16"/>
        <v/>
      </c>
      <c r="O1789" s="147" t="str">
        <f t="shared" si="6"/>
        <v/>
      </c>
      <c r="P1789" s="150" t="str">
        <f t="shared" si="7"/>
        <v/>
      </c>
      <c r="Q1789" s="151" t="str">
        <f>IFERROR(VLOOKUP(C1789,Ativos!$A$1:$G2000,5,),)</f>
        <v/>
      </c>
    </row>
    <row r="1790" ht="21.0" customHeight="1">
      <c r="A1790" s="152"/>
      <c r="B1790" s="160"/>
      <c r="C1790" s="153"/>
      <c r="D1790" s="169"/>
      <c r="E1790" s="139"/>
      <c r="F1790" s="141"/>
      <c r="G1790" s="170" t="str">
        <f>IFERROR(__xludf.DUMMYFUNCTION("if($C1790="""","""",iferror(if(row()&lt;&gt;2,INDEX(arrayformula(filter($H$2:$H1789,$C$2:$C1789&lt;&gt;"""",row($C$2:$C1789)=max(if($C$2:$C1789=C1790,row($C$2:$C1789),0)))) ,1),0),0))"),"")</f>
        <v/>
      </c>
      <c r="H1790" s="170" t="str">
        <f t="shared" si="8"/>
        <v/>
      </c>
      <c r="I1790" s="147" t="str">
        <f t="shared" si="1"/>
        <v/>
      </c>
      <c r="J1790" s="147" t="str">
        <f t="shared" si="13"/>
        <v/>
      </c>
      <c r="K1790" s="147" t="str">
        <f>IFERROR(__xludf.DUMMYFUNCTION("if(C1790="""","""",iferror(if(row()&lt;&gt;2,INDEX(arrayformula(filter($L$2:$L1789,$C$2:$C1789&lt;&gt;"""",row($C$2:$C1789)=max(if($C$2:$C1789=C1790,row($C$2:$C1789),0)))) ,1),0),0))"),"")</f>
        <v/>
      </c>
      <c r="L1790" s="147" t="str">
        <f t="shared" si="14"/>
        <v/>
      </c>
      <c r="M1790" s="147" t="str">
        <f t="shared" si="15"/>
        <v/>
      </c>
      <c r="N1790" s="147" t="str">
        <f t="shared" si="16"/>
        <v/>
      </c>
      <c r="O1790" s="147" t="str">
        <f t="shared" si="6"/>
        <v/>
      </c>
      <c r="P1790" s="150" t="str">
        <f t="shared" si="7"/>
        <v/>
      </c>
      <c r="Q1790" s="151" t="str">
        <f>IFERROR(VLOOKUP(C1790,Ativos!$A$1:$G2000,5,),)</f>
        <v/>
      </c>
    </row>
    <row r="1791" ht="21.0" customHeight="1">
      <c r="A1791" s="152"/>
      <c r="B1791" s="160"/>
      <c r="C1791" s="153"/>
      <c r="D1791" s="169"/>
      <c r="E1791" s="139"/>
      <c r="F1791" s="141"/>
      <c r="G1791" s="170" t="str">
        <f>IFERROR(__xludf.DUMMYFUNCTION("if($C1791="""","""",iferror(if(row()&lt;&gt;2,INDEX(arrayformula(filter($H$2:$H1790,$C$2:$C1790&lt;&gt;"""",row($C$2:$C1790)=max(if($C$2:$C1790=C1791,row($C$2:$C1790),0)))) ,1),0),0))"),"")</f>
        <v/>
      </c>
      <c r="H1791" s="170" t="str">
        <f t="shared" si="8"/>
        <v/>
      </c>
      <c r="I1791" s="147" t="str">
        <f t="shared" si="1"/>
        <v/>
      </c>
      <c r="J1791" s="147" t="str">
        <f t="shared" si="13"/>
        <v/>
      </c>
      <c r="K1791" s="147" t="str">
        <f>IFERROR(__xludf.DUMMYFUNCTION("if(C1791="""","""",iferror(if(row()&lt;&gt;2,INDEX(arrayformula(filter($L$2:$L1790,$C$2:$C1790&lt;&gt;"""",row($C$2:$C1790)=max(if($C$2:$C1790=C1791,row($C$2:$C1790),0)))) ,1),0),0))"),"")</f>
        <v/>
      </c>
      <c r="L1791" s="147" t="str">
        <f t="shared" si="14"/>
        <v/>
      </c>
      <c r="M1791" s="147" t="str">
        <f t="shared" si="15"/>
        <v/>
      </c>
      <c r="N1791" s="147" t="str">
        <f t="shared" si="16"/>
        <v/>
      </c>
      <c r="O1791" s="147" t="str">
        <f t="shared" si="6"/>
        <v/>
      </c>
      <c r="P1791" s="150" t="str">
        <f t="shared" si="7"/>
        <v/>
      </c>
      <c r="Q1791" s="151" t="str">
        <f>IFERROR(VLOOKUP(C1791,Ativos!$A$1:$G2000,5,),)</f>
        <v/>
      </c>
    </row>
    <row r="1792" ht="21.0" customHeight="1">
      <c r="A1792" s="152"/>
      <c r="B1792" s="160"/>
      <c r="C1792" s="153"/>
      <c r="D1792" s="169"/>
      <c r="E1792" s="139"/>
      <c r="F1792" s="141"/>
      <c r="G1792" s="170" t="str">
        <f>IFERROR(__xludf.DUMMYFUNCTION("if($C1792="""","""",iferror(if(row()&lt;&gt;2,INDEX(arrayformula(filter($H$2:$H1791,$C$2:$C1791&lt;&gt;"""",row($C$2:$C1791)=max(if($C$2:$C1791=C1792,row($C$2:$C1791),0)))) ,1),0),0))"),"")</f>
        <v/>
      </c>
      <c r="H1792" s="170" t="str">
        <f t="shared" si="8"/>
        <v/>
      </c>
      <c r="I1792" s="147" t="str">
        <f t="shared" si="1"/>
        <v/>
      </c>
      <c r="J1792" s="147" t="str">
        <f t="shared" si="13"/>
        <v/>
      </c>
      <c r="K1792" s="147" t="str">
        <f>IFERROR(__xludf.DUMMYFUNCTION("if(C1792="""","""",iferror(if(row()&lt;&gt;2,INDEX(arrayformula(filter($L$2:$L1791,$C$2:$C1791&lt;&gt;"""",row($C$2:$C1791)=max(if($C$2:$C1791=C1792,row($C$2:$C1791),0)))) ,1),0),0))"),"")</f>
        <v/>
      </c>
      <c r="L1792" s="147" t="str">
        <f t="shared" si="14"/>
        <v/>
      </c>
      <c r="M1792" s="147" t="str">
        <f t="shared" si="15"/>
        <v/>
      </c>
      <c r="N1792" s="147" t="str">
        <f t="shared" si="16"/>
        <v/>
      </c>
      <c r="O1792" s="147" t="str">
        <f t="shared" si="6"/>
        <v/>
      </c>
      <c r="P1792" s="150" t="str">
        <f t="shared" si="7"/>
        <v/>
      </c>
      <c r="Q1792" s="151" t="str">
        <f>IFERROR(VLOOKUP(C1792,Ativos!$A$1:$G2000,5,),)</f>
        <v/>
      </c>
    </row>
    <row r="1793" ht="21.0" customHeight="1">
      <c r="A1793" s="152"/>
      <c r="B1793" s="160"/>
      <c r="C1793" s="153"/>
      <c r="D1793" s="169"/>
      <c r="E1793" s="139"/>
      <c r="F1793" s="141"/>
      <c r="G1793" s="170" t="str">
        <f>IFERROR(__xludf.DUMMYFUNCTION("if($C1793="""","""",iferror(if(row()&lt;&gt;2,INDEX(arrayformula(filter($H$2:$H1792,$C$2:$C1792&lt;&gt;"""",row($C$2:$C1792)=max(if($C$2:$C1792=C1793,row($C$2:$C1792),0)))) ,1),0),0))"),"")</f>
        <v/>
      </c>
      <c r="H1793" s="170" t="str">
        <f t="shared" si="8"/>
        <v/>
      </c>
      <c r="I1793" s="147" t="str">
        <f t="shared" si="1"/>
        <v/>
      </c>
      <c r="J1793" s="147" t="str">
        <f t="shared" si="13"/>
        <v/>
      </c>
      <c r="K1793" s="147" t="str">
        <f>IFERROR(__xludf.DUMMYFUNCTION("if(C1793="""","""",iferror(if(row()&lt;&gt;2,INDEX(arrayformula(filter($L$2:$L1792,$C$2:$C1792&lt;&gt;"""",row($C$2:$C1792)=max(if($C$2:$C1792=C1793,row($C$2:$C1792),0)))) ,1),0),0))"),"")</f>
        <v/>
      </c>
      <c r="L1793" s="147" t="str">
        <f t="shared" si="14"/>
        <v/>
      </c>
      <c r="M1793" s="147" t="str">
        <f t="shared" si="15"/>
        <v/>
      </c>
      <c r="N1793" s="147" t="str">
        <f t="shared" si="16"/>
        <v/>
      </c>
      <c r="O1793" s="147" t="str">
        <f t="shared" si="6"/>
        <v/>
      </c>
      <c r="P1793" s="150" t="str">
        <f t="shared" si="7"/>
        <v/>
      </c>
      <c r="Q1793" s="151" t="str">
        <f>IFERROR(VLOOKUP(C1793,Ativos!$A$1:$G2000,5,),)</f>
        <v/>
      </c>
    </row>
    <row r="1794" ht="21.0" customHeight="1">
      <c r="A1794" s="152"/>
      <c r="B1794" s="160"/>
      <c r="C1794" s="153"/>
      <c r="D1794" s="169"/>
      <c r="E1794" s="139"/>
      <c r="F1794" s="141"/>
      <c r="G1794" s="170" t="str">
        <f>IFERROR(__xludf.DUMMYFUNCTION("if($C1794="""","""",iferror(if(row()&lt;&gt;2,INDEX(arrayformula(filter($H$2:$H1793,$C$2:$C1793&lt;&gt;"""",row($C$2:$C1793)=max(if($C$2:$C1793=C1794,row($C$2:$C1793),0)))) ,1),0),0))"),"")</f>
        <v/>
      </c>
      <c r="H1794" s="170" t="str">
        <f t="shared" si="8"/>
        <v/>
      </c>
      <c r="I1794" s="147" t="str">
        <f t="shared" si="1"/>
        <v/>
      </c>
      <c r="J1794" s="147" t="str">
        <f t="shared" si="13"/>
        <v/>
      </c>
      <c r="K1794" s="147" t="str">
        <f>IFERROR(__xludf.DUMMYFUNCTION("if(C1794="""","""",iferror(if(row()&lt;&gt;2,INDEX(arrayformula(filter($L$2:$L1793,$C$2:$C1793&lt;&gt;"""",row($C$2:$C1793)=max(if($C$2:$C1793=C1794,row($C$2:$C1793),0)))) ,1),0),0))"),"")</f>
        <v/>
      </c>
      <c r="L1794" s="147" t="str">
        <f t="shared" si="14"/>
        <v/>
      </c>
      <c r="M1794" s="147" t="str">
        <f t="shared" si="15"/>
        <v/>
      </c>
      <c r="N1794" s="147" t="str">
        <f t="shared" si="16"/>
        <v/>
      </c>
      <c r="O1794" s="147" t="str">
        <f t="shared" si="6"/>
        <v/>
      </c>
      <c r="P1794" s="150" t="str">
        <f t="shared" si="7"/>
        <v/>
      </c>
      <c r="Q1794" s="151" t="str">
        <f>IFERROR(VLOOKUP(C1794,Ativos!$A$1:$G2000,5,),)</f>
        <v/>
      </c>
    </row>
    <row r="1795" ht="21.0" customHeight="1">
      <c r="A1795" s="152"/>
      <c r="B1795" s="160"/>
      <c r="C1795" s="153"/>
      <c r="D1795" s="169"/>
      <c r="E1795" s="139"/>
      <c r="F1795" s="141"/>
      <c r="G1795" s="170" t="str">
        <f>IFERROR(__xludf.DUMMYFUNCTION("if($C1795="""","""",iferror(if(row()&lt;&gt;2,INDEX(arrayformula(filter($H$2:$H1794,$C$2:$C1794&lt;&gt;"""",row($C$2:$C1794)=max(if($C$2:$C1794=C1795,row($C$2:$C1794),0)))) ,1),0),0))"),"")</f>
        <v/>
      </c>
      <c r="H1795" s="170" t="str">
        <f t="shared" si="8"/>
        <v/>
      </c>
      <c r="I1795" s="147" t="str">
        <f t="shared" si="1"/>
        <v/>
      </c>
      <c r="J1795" s="147" t="str">
        <f t="shared" si="13"/>
        <v/>
      </c>
      <c r="K1795" s="147" t="str">
        <f>IFERROR(__xludf.DUMMYFUNCTION("if(C1795="""","""",iferror(if(row()&lt;&gt;2,INDEX(arrayformula(filter($L$2:$L1794,$C$2:$C1794&lt;&gt;"""",row($C$2:$C1794)=max(if($C$2:$C1794=C1795,row($C$2:$C1794),0)))) ,1),0),0))"),"")</f>
        <v/>
      </c>
      <c r="L1795" s="147" t="str">
        <f t="shared" si="14"/>
        <v/>
      </c>
      <c r="M1795" s="147" t="str">
        <f t="shared" si="15"/>
        <v/>
      </c>
      <c r="N1795" s="147" t="str">
        <f t="shared" si="16"/>
        <v/>
      </c>
      <c r="O1795" s="147" t="str">
        <f t="shared" si="6"/>
        <v/>
      </c>
      <c r="P1795" s="150" t="str">
        <f t="shared" si="7"/>
        <v/>
      </c>
      <c r="Q1795" s="151" t="str">
        <f>IFERROR(VLOOKUP(C1795,Ativos!$A$1:$G2000,5,),)</f>
        <v/>
      </c>
    </row>
    <row r="1796" ht="21.0" customHeight="1">
      <c r="A1796" s="152"/>
      <c r="B1796" s="160"/>
      <c r="C1796" s="153"/>
      <c r="D1796" s="169"/>
      <c r="E1796" s="139"/>
      <c r="F1796" s="141"/>
      <c r="G1796" s="170" t="str">
        <f>IFERROR(__xludf.DUMMYFUNCTION("if($C1796="""","""",iferror(if(row()&lt;&gt;2,INDEX(arrayformula(filter($H$2:$H1795,$C$2:$C1795&lt;&gt;"""",row($C$2:$C1795)=max(if($C$2:$C1795=C1796,row($C$2:$C1795),0)))) ,1),0),0))"),"")</f>
        <v/>
      </c>
      <c r="H1796" s="170" t="str">
        <f t="shared" si="8"/>
        <v/>
      </c>
      <c r="I1796" s="147" t="str">
        <f t="shared" si="1"/>
        <v/>
      </c>
      <c r="J1796" s="147" t="str">
        <f t="shared" si="13"/>
        <v/>
      </c>
      <c r="K1796" s="147" t="str">
        <f>IFERROR(__xludf.DUMMYFUNCTION("if(C1796="""","""",iferror(if(row()&lt;&gt;2,INDEX(arrayformula(filter($L$2:$L1795,$C$2:$C1795&lt;&gt;"""",row($C$2:$C1795)=max(if($C$2:$C1795=C1796,row($C$2:$C1795),0)))) ,1),0),0))"),"")</f>
        <v/>
      </c>
      <c r="L1796" s="147" t="str">
        <f t="shared" si="14"/>
        <v/>
      </c>
      <c r="M1796" s="147" t="str">
        <f t="shared" si="15"/>
        <v/>
      </c>
      <c r="N1796" s="147" t="str">
        <f t="shared" si="16"/>
        <v/>
      </c>
      <c r="O1796" s="147" t="str">
        <f t="shared" si="6"/>
        <v/>
      </c>
      <c r="P1796" s="150" t="str">
        <f t="shared" si="7"/>
        <v/>
      </c>
      <c r="Q1796" s="151" t="str">
        <f>IFERROR(VLOOKUP(C1796,Ativos!$A$1:$G2000,5,),)</f>
        <v/>
      </c>
    </row>
    <row r="1797" ht="21.0" customHeight="1">
      <c r="A1797" s="152"/>
      <c r="B1797" s="160"/>
      <c r="C1797" s="153"/>
      <c r="D1797" s="169"/>
      <c r="E1797" s="139"/>
      <c r="F1797" s="141"/>
      <c r="G1797" s="170" t="str">
        <f>IFERROR(__xludf.DUMMYFUNCTION("if($C1797="""","""",iferror(if(row()&lt;&gt;2,INDEX(arrayformula(filter($H$2:$H1796,$C$2:$C1796&lt;&gt;"""",row($C$2:$C1796)=max(if($C$2:$C1796=C1797,row($C$2:$C1796),0)))) ,1),0),0))"),"")</f>
        <v/>
      </c>
      <c r="H1797" s="170" t="str">
        <f t="shared" si="8"/>
        <v/>
      </c>
      <c r="I1797" s="147" t="str">
        <f t="shared" si="1"/>
        <v/>
      </c>
      <c r="J1797" s="147" t="str">
        <f t="shared" si="13"/>
        <v/>
      </c>
      <c r="K1797" s="147" t="str">
        <f>IFERROR(__xludf.DUMMYFUNCTION("if(C1797="""","""",iferror(if(row()&lt;&gt;2,INDEX(arrayformula(filter($L$2:$L1796,$C$2:$C1796&lt;&gt;"""",row($C$2:$C1796)=max(if($C$2:$C1796=C1797,row($C$2:$C1796),0)))) ,1),0),0))"),"")</f>
        <v/>
      </c>
      <c r="L1797" s="147" t="str">
        <f t="shared" si="14"/>
        <v/>
      </c>
      <c r="M1797" s="147" t="str">
        <f t="shared" si="15"/>
        <v/>
      </c>
      <c r="N1797" s="147" t="str">
        <f t="shared" si="16"/>
        <v/>
      </c>
      <c r="O1797" s="147" t="str">
        <f t="shared" si="6"/>
        <v/>
      </c>
      <c r="P1797" s="150" t="str">
        <f t="shared" si="7"/>
        <v/>
      </c>
      <c r="Q1797" s="151" t="str">
        <f>IFERROR(VLOOKUP(C1797,Ativos!$A$1:$G2000,5,),)</f>
        <v/>
      </c>
    </row>
    <row r="1798" ht="21.0" customHeight="1">
      <c r="A1798" s="152"/>
      <c r="B1798" s="160"/>
      <c r="C1798" s="153"/>
      <c r="D1798" s="169"/>
      <c r="E1798" s="139"/>
      <c r="F1798" s="141"/>
      <c r="G1798" s="170" t="str">
        <f>IFERROR(__xludf.DUMMYFUNCTION("if($C1798="""","""",iferror(if(row()&lt;&gt;2,INDEX(arrayformula(filter($H$2:$H1797,$C$2:$C1797&lt;&gt;"""",row($C$2:$C1797)=max(if($C$2:$C1797=C1798,row($C$2:$C1797),0)))) ,1),0),0))"),"")</f>
        <v/>
      </c>
      <c r="H1798" s="170" t="str">
        <f t="shared" si="8"/>
        <v/>
      </c>
      <c r="I1798" s="147" t="str">
        <f t="shared" si="1"/>
        <v/>
      </c>
      <c r="J1798" s="147" t="str">
        <f t="shared" si="13"/>
        <v/>
      </c>
      <c r="K1798" s="147" t="str">
        <f>IFERROR(__xludf.DUMMYFUNCTION("if(C1798="""","""",iferror(if(row()&lt;&gt;2,INDEX(arrayformula(filter($L$2:$L1797,$C$2:$C1797&lt;&gt;"""",row($C$2:$C1797)=max(if($C$2:$C1797=C1798,row($C$2:$C1797),0)))) ,1),0),0))"),"")</f>
        <v/>
      </c>
      <c r="L1798" s="147" t="str">
        <f t="shared" si="14"/>
        <v/>
      </c>
      <c r="M1798" s="147" t="str">
        <f t="shared" si="15"/>
        <v/>
      </c>
      <c r="N1798" s="147" t="str">
        <f t="shared" si="16"/>
        <v/>
      </c>
      <c r="O1798" s="147" t="str">
        <f t="shared" si="6"/>
        <v/>
      </c>
      <c r="P1798" s="150" t="str">
        <f t="shared" si="7"/>
        <v/>
      </c>
      <c r="Q1798" s="151" t="str">
        <f>IFERROR(VLOOKUP(C1798,Ativos!$A$1:$G2000,5,),)</f>
        <v/>
      </c>
    </row>
    <row r="1799" ht="21.0" customHeight="1">
      <c r="A1799" s="152"/>
      <c r="B1799" s="160"/>
      <c r="C1799" s="153"/>
      <c r="D1799" s="169"/>
      <c r="E1799" s="139"/>
      <c r="F1799" s="141"/>
      <c r="G1799" s="170" t="str">
        <f>IFERROR(__xludf.DUMMYFUNCTION("if($C1799="""","""",iferror(if(row()&lt;&gt;2,INDEX(arrayformula(filter($H$2:$H1798,$C$2:$C1798&lt;&gt;"""",row($C$2:$C1798)=max(if($C$2:$C1798=C1799,row($C$2:$C1798),0)))) ,1),0),0))"),"")</f>
        <v/>
      </c>
      <c r="H1799" s="170" t="str">
        <f t="shared" si="8"/>
        <v/>
      </c>
      <c r="I1799" s="147" t="str">
        <f t="shared" si="1"/>
        <v/>
      </c>
      <c r="J1799" s="147" t="str">
        <f t="shared" si="13"/>
        <v/>
      </c>
      <c r="K1799" s="147" t="str">
        <f>IFERROR(__xludf.DUMMYFUNCTION("if(C1799="""","""",iferror(if(row()&lt;&gt;2,INDEX(arrayformula(filter($L$2:$L1798,$C$2:$C1798&lt;&gt;"""",row($C$2:$C1798)=max(if($C$2:$C1798=C1799,row($C$2:$C1798),0)))) ,1),0),0))"),"")</f>
        <v/>
      </c>
      <c r="L1799" s="147" t="str">
        <f t="shared" si="14"/>
        <v/>
      </c>
      <c r="M1799" s="147" t="str">
        <f t="shared" si="15"/>
        <v/>
      </c>
      <c r="N1799" s="147" t="str">
        <f t="shared" si="16"/>
        <v/>
      </c>
      <c r="O1799" s="147" t="str">
        <f t="shared" si="6"/>
        <v/>
      </c>
      <c r="P1799" s="150" t="str">
        <f t="shared" si="7"/>
        <v/>
      </c>
      <c r="Q1799" s="151" t="str">
        <f>IFERROR(VLOOKUP(C1799,Ativos!$A$1:$G2000,5,),)</f>
        <v/>
      </c>
    </row>
    <row r="1800" ht="21.0" customHeight="1">
      <c r="A1800" s="152"/>
      <c r="B1800" s="160"/>
      <c r="C1800" s="153"/>
      <c r="D1800" s="169"/>
      <c r="E1800" s="139"/>
      <c r="F1800" s="141"/>
      <c r="G1800" s="170" t="str">
        <f>IFERROR(__xludf.DUMMYFUNCTION("if($C1800="""","""",iferror(if(row()&lt;&gt;2,INDEX(arrayformula(filter($H$2:$H1799,$C$2:$C1799&lt;&gt;"""",row($C$2:$C1799)=max(if($C$2:$C1799=C1800,row($C$2:$C1799),0)))) ,1),0),0))"),"")</f>
        <v/>
      </c>
      <c r="H1800" s="170" t="str">
        <f t="shared" si="8"/>
        <v/>
      </c>
      <c r="I1800" s="147" t="str">
        <f t="shared" si="1"/>
        <v/>
      </c>
      <c r="J1800" s="147" t="str">
        <f t="shared" si="13"/>
        <v/>
      </c>
      <c r="K1800" s="147" t="str">
        <f>IFERROR(__xludf.DUMMYFUNCTION("if(C1800="""","""",iferror(if(row()&lt;&gt;2,INDEX(arrayformula(filter($L$2:$L1799,$C$2:$C1799&lt;&gt;"""",row($C$2:$C1799)=max(if($C$2:$C1799=C1800,row($C$2:$C1799),0)))) ,1),0),0))"),"")</f>
        <v/>
      </c>
      <c r="L1800" s="147" t="str">
        <f t="shared" si="14"/>
        <v/>
      </c>
      <c r="M1800" s="147" t="str">
        <f t="shared" si="15"/>
        <v/>
      </c>
      <c r="N1800" s="147" t="str">
        <f t="shared" si="16"/>
        <v/>
      </c>
      <c r="O1800" s="147" t="str">
        <f t="shared" si="6"/>
        <v/>
      </c>
      <c r="P1800" s="150" t="str">
        <f t="shared" si="7"/>
        <v/>
      </c>
      <c r="Q1800" s="151" t="str">
        <f>IFERROR(VLOOKUP(C1800,Ativos!$A$1:$G2000,5,),)</f>
        <v/>
      </c>
    </row>
    <row r="1801" ht="21.0" customHeight="1">
      <c r="A1801" s="152"/>
      <c r="B1801" s="160"/>
      <c r="C1801" s="153"/>
      <c r="D1801" s="169"/>
      <c r="E1801" s="139"/>
      <c r="F1801" s="141"/>
      <c r="G1801" s="170" t="str">
        <f>IFERROR(__xludf.DUMMYFUNCTION("if($C1801="""","""",iferror(if(row()&lt;&gt;2,INDEX(arrayformula(filter($H$2:$H1800,$C$2:$C1800&lt;&gt;"""",row($C$2:$C1800)=max(if($C$2:$C1800=C1801,row($C$2:$C1800),0)))) ,1),0),0))"),"")</f>
        <v/>
      </c>
      <c r="H1801" s="170" t="str">
        <f t="shared" si="8"/>
        <v/>
      </c>
      <c r="I1801" s="147" t="str">
        <f t="shared" si="1"/>
        <v/>
      </c>
      <c r="J1801" s="147" t="str">
        <f t="shared" si="13"/>
        <v/>
      </c>
      <c r="K1801" s="147" t="str">
        <f>IFERROR(__xludf.DUMMYFUNCTION("if(C1801="""","""",iferror(if(row()&lt;&gt;2,INDEX(arrayformula(filter($L$2:$L1800,$C$2:$C1800&lt;&gt;"""",row($C$2:$C1800)=max(if($C$2:$C1800=C1801,row($C$2:$C1800),0)))) ,1),0),0))"),"")</f>
        <v/>
      </c>
      <c r="L1801" s="147" t="str">
        <f t="shared" si="14"/>
        <v/>
      </c>
      <c r="M1801" s="147" t="str">
        <f t="shared" si="15"/>
        <v/>
      </c>
      <c r="N1801" s="147" t="str">
        <f t="shared" si="16"/>
        <v/>
      </c>
      <c r="O1801" s="147" t="str">
        <f t="shared" si="6"/>
        <v/>
      </c>
      <c r="P1801" s="150" t="str">
        <f t="shared" si="7"/>
        <v/>
      </c>
      <c r="Q1801" s="151" t="str">
        <f>IFERROR(VLOOKUP(C1801,Ativos!$A$1:$G2000,5,),)</f>
        <v/>
      </c>
    </row>
    <row r="1802" ht="21.0" customHeight="1">
      <c r="A1802" s="152"/>
      <c r="B1802" s="160"/>
      <c r="C1802" s="153"/>
      <c r="D1802" s="169"/>
      <c r="E1802" s="139"/>
      <c r="F1802" s="141"/>
      <c r="G1802" s="170" t="str">
        <f>IFERROR(__xludf.DUMMYFUNCTION("if($C1802="""","""",iferror(if(row()&lt;&gt;2,INDEX(arrayformula(filter($H$2:$H1801,$C$2:$C1801&lt;&gt;"""",row($C$2:$C1801)=max(if($C$2:$C1801=C1802,row($C$2:$C1801),0)))) ,1),0),0))"),"")</f>
        <v/>
      </c>
      <c r="H1802" s="170" t="str">
        <f t="shared" si="8"/>
        <v/>
      </c>
      <c r="I1802" s="147" t="str">
        <f t="shared" si="1"/>
        <v/>
      </c>
      <c r="J1802" s="147" t="str">
        <f t="shared" si="13"/>
        <v/>
      </c>
      <c r="K1802" s="147" t="str">
        <f>IFERROR(__xludf.DUMMYFUNCTION("if(C1802="""","""",iferror(if(row()&lt;&gt;2,INDEX(arrayformula(filter($L$2:$L1801,$C$2:$C1801&lt;&gt;"""",row($C$2:$C1801)=max(if($C$2:$C1801=C1802,row($C$2:$C1801),0)))) ,1),0),0))"),"")</f>
        <v/>
      </c>
      <c r="L1802" s="147" t="str">
        <f t="shared" si="14"/>
        <v/>
      </c>
      <c r="M1802" s="147" t="str">
        <f t="shared" si="15"/>
        <v/>
      </c>
      <c r="N1802" s="147" t="str">
        <f t="shared" si="16"/>
        <v/>
      </c>
      <c r="O1802" s="147" t="str">
        <f t="shared" si="6"/>
        <v/>
      </c>
      <c r="P1802" s="150" t="str">
        <f t="shared" si="7"/>
        <v/>
      </c>
      <c r="Q1802" s="151" t="str">
        <f>IFERROR(VLOOKUP(C1802,Ativos!$A$1:$G2000,5,),)</f>
        <v/>
      </c>
    </row>
    <row r="1803" ht="21.0" customHeight="1">
      <c r="A1803" s="152"/>
      <c r="B1803" s="160"/>
      <c r="C1803" s="153"/>
      <c r="D1803" s="169"/>
      <c r="E1803" s="139"/>
      <c r="F1803" s="141"/>
      <c r="G1803" s="170" t="str">
        <f>IFERROR(__xludf.DUMMYFUNCTION("if($C1803="""","""",iferror(if(row()&lt;&gt;2,INDEX(arrayformula(filter($H$2:$H1802,$C$2:$C1802&lt;&gt;"""",row($C$2:$C1802)=max(if($C$2:$C1802=C1803,row($C$2:$C1802),0)))) ,1),0),0))"),"")</f>
        <v/>
      </c>
      <c r="H1803" s="170" t="str">
        <f t="shared" si="8"/>
        <v/>
      </c>
      <c r="I1803" s="147" t="str">
        <f t="shared" si="1"/>
        <v/>
      </c>
      <c r="J1803" s="147" t="str">
        <f t="shared" si="13"/>
        <v/>
      </c>
      <c r="K1803" s="147" t="str">
        <f>IFERROR(__xludf.DUMMYFUNCTION("if(C1803="""","""",iferror(if(row()&lt;&gt;2,INDEX(arrayformula(filter($L$2:$L1802,$C$2:$C1802&lt;&gt;"""",row($C$2:$C1802)=max(if($C$2:$C1802=C1803,row($C$2:$C1802),0)))) ,1),0),0))"),"")</f>
        <v/>
      </c>
      <c r="L1803" s="147" t="str">
        <f t="shared" si="14"/>
        <v/>
      </c>
      <c r="M1803" s="147" t="str">
        <f t="shared" si="15"/>
        <v/>
      </c>
      <c r="N1803" s="147" t="str">
        <f t="shared" si="16"/>
        <v/>
      </c>
      <c r="O1803" s="147" t="str">
        <f t="shared" si="6"/>
        <v/>
      </c>
      <c r="P1803" s="150" t="str">
        <f t="shared" si="7"/>
        <v/>
      </c>
      <c r="Q1803" s="151" t="str">
        <f>IFERROR(VLOOKUP(C1803,Ativos!$A$1:$G2000,5,),)</f>
        <v/>
      </c>
    </row>
    <row r="1804" ht="21.0" customHeight="1">
      <c r="A1804" s="152"/>
      <c r="B1804" s="160"/>
      <c r="C1804" s="153"/>
      <c r="D1804" s="169"/>
      <c r="E1804" s="139"/>
      <c r="F1804" s="141"/>
      <c r="G1804" s="170" t="str">
        <f>IFERROR(__xludf.DUMMYFUNCTION("if($C1804="""","""",iferror(if(row()&lt;&gt;2,INDEX(arrayformula(filter($H$2:$H1803,$C$2:$C1803&lt;&gt;"""",row($C$2:$C1803)=max(if($C$2:$C1803=C1804,row($C$2:$C1803),0)))) ,1),0),0))"),"")</f>
        <v/>
      </c>
      <c r="H1804" s="170" t="str">
        <f t="shared" si="8"/>
        <v/>
      </c>
      <c r="I1804" s="147" t="str">
        <f t="shared" si="1"/>
        <v/>
      </c>
      <c r="J1804" s="147" t="str">
        <f t="shared" si="13"/>
        <v/>
      </c>
      <c r="K1804" s="147" t="str">
        <f>IFERROR(__xludf.DUMMYFUNCTION("if(C1804="""","""",iferror(if(row()&lt;&gt;2,INDEX(arrayformula(filter($L$2:$L1803,$C$2:$C1803&lt;&gt;"""",row($C$2:$C1803)=max(if($C$2:$C1803=C1804,row($C$2:$C1803),0)))) ,1),0),0))"),"")</f>
        <v/>
      </c>
      <c r="L1804" s="147" t="str">
        <f t="shared" si="14"/>
        <v/>
      </c>
      <c r="M1804" s="147" t="str">
        <f t="shared" si="15"/>
        <v/>
      </c>
      <c r="N1804" s="147" t="str">
        <f t="shared" si="16"/>
        <v/>
      </c>
      <c r="O1804" s="147" t="str">
        <f t="shared" si="6"/>
        <v/>
      </c>
      <c r="P1804" s="150" t="str">
        <f t="shared" si="7"/>
        <v/>
      </c>
      <c r="Q1804" s="151" t="str">
        <f>IFERROR(VLOOKUP(C1804,Ativos!$A$1:$G2000,5,),)</f>
        <v/>
      </c>
    </row>
    <row r="1805" ht="21.0" customHeight="1">
      <c r="A1805" s="152"/>
      <c r="B1805" s="160"/>
      <c r="C1805" s="153"/>
      <c r="D1805" s="169"/>
      <c r="E1805" s="139"/>
      <c r="F1805" s="141"/>
      <c r="G1805" s="170" t="str">
        <f>IFERROR(__xludf.DUMMYFUNCTION("if($C1805="""","""",iferror(if(row()&lt;&gt;2,INDEX(arrayformula(filter($H$2:$H1804,$C$2:$C1804&lt;&gt;"""",row($C$2:$C1804)=max(if($C$2:$C1804=C1805,row($C$2:$C1804),0)))) ,1),0),0))"),"")</f>
        <v/>
      </c>
      <c r="H1805" s="170" t="str">
        <f t="shared" si="8"/>
        <v/>
      </c>
      <c r="I1805" s="147" t="str">
        <f t="shared" si="1"/>
        <v/>
      </c>
      <c r="J1805" s="147" t="str">
        <f t="shared" si="13"/>
        <v/>
      </c>
      <c r="K1805" s="147" t="str">
        <f>IFERROR(__xludf.DUMMYFUNCTION("if(C1805="""","""",iferror(if(row()&lt;&gt;2,INDEX(arrayformula(filter($L$2:$L1804,$C$2:$C1804&lt;&gt;"""",row($C$2:$C1804)=max(if($C$2:$C1804=C1805,row($C$2:$C1804),0)))) ,1),0),0))"),"")</f>
        <v/>
      </c>
      <c r="L1805" s="147" t="str">
        <f t="shared" si="14"/>
        <v/>
      </c>
      <c r="M1805" s="147" t="str">
        <f t="shared" si="15"/>
        <v/>
      </c>
      <c r="N1805" s="147" t="str">
        <f t="shared" si="16"/>
        <v/>
      </c>
      <c r="O1805" s="147" t="str">
        <f t="shared" si="6"/>
        <v/>
      </c>
      <c r="P1805" s="150" t="str">
        <f t="shared" si="7"/>
        <v/>
      </c>
      <c r="Q1805" s="151" t="str">
        <f>IFERROR(VLOOKUP(C1805,Ativos!$A$1:$G2000,5,),)</f>
        <v/>
      </c>
    </row>
    <row r="1806" ht="21.0" customHeight="1">
      <c r="A1806" s="152"/>
      <c r="B1806" s="160"/>
      <c r="C1806" s="153"/>
      <c r="D1806" s="169"/>
      <c r="E1806" s="139"/>
      <c r="F1806" s="141"/>
      <c r="G1806" s="170" t="str">
        <f>IFERROR(__xludf.DUMMYFUNCTION("if($C1806="""","""",iferror(if(row()&lt;&gt;2,INDEX(arrayformula(filter($H$2:$H1805,$C$2:$C1805&lt;&gt;"""",row($C$2:$C1805)=max(if($C$2:$C1805=C1806,row($C$2:$C1805),0)))) ,1),0),0))"),"")</f>
        <v/>
      </c>
      <c r="H1806" s="170" t="str">
        <f t="shared" si="8"/>
        <v/>
      </c>
      <c r="I1806" s="147" t="str">
        <f t="shared" si="1"/>
        <v/>
      </c>
      <c r="J1806" s="147" t="str">
        <f t="shared" si="13"/>
        <v/>
      </c>
      <c r="K1806" s="147" t="str">
        <f>IFERROR(__xludf.DUMMYFUNCTION("if(C1806="""","""",iferror(if(row()&lt;&gt;2,INDEX(arrayformula(filter($L$2:$L1805,$C$2:$C1805&lt;&gt;"""",row($C$2:$C1805)=max(if($C$2:$C1805=C1806,row($C$2:$C1805),0)))) ,1),0),0))"),"")</f>
        <v/>
      </c>
      <c r="L1806" s="147" t="str">
        <f t="shared" si="14"/>
        <v/>
      </c>
      <c r="M1806" s="147" t="str">
        <f t="shared" si="15"/>
        <v/>
      </c>
      <c r="N1806" s="147" t="str">
        <f t="shared" si="16"/>
        <v/>
      </c>
      <c r="O1806" s="147" t="str">
        <f t="shared" si="6"/>
        <v/>
      </c>
      <c r="P1806" s="150" t="str">
        <f t="shared" si="7"/>
        <v/>
      </c>
      <c r="Q1806" s="151" t="str">
        <f>IFERROR(VLOOKUP(C1806,Ativos!$A$1:$G2000,5,),)</f>
        <v/>
      </c>
    </row>
    <row r="1807" ht="21.0" customHeight="1">
      <c r="A1807" s="152"/>
      <c r="B1807" s="160"/>
      <c r="C1807" s="153"/>
      <c r="D1807" s="169"/>
      <c r="E1807" s="139"/>
      <c r="F1807" s="141"/>
      <c r="G1807" s="170" t="str">
        <f>IFERROR(__xludf.DUMMYFUNCTION("if($C1807="""","""",iferror(if(row()&lt;&gt;2,INDEX(arrayformula(filter($H$2:$H1806,$C$2:$C1806&lt;&gt;"""",row($C$2:$C1806)=max(if($C$2:$C1806=C1807,row($C$2:$C1806),0)))) ,1),0),0))"),"")</f>
        <v/>
      </c>
      <c r="H1807" s="170" t="str">
        <f t="shared" si="8"/>
        <v/>
      </c>
      <c r="I1807" s="147" t="str">
        <f t="shared" si="1"/>
        <v/>
      </c>
      <c r="J1807" s="147" t="str">
        <f t="shared" si="13"/>
        <v/>
      </c>
      <c r="K1807" s="147" t="str">
        <f>IFERROR(__xludf.DUMMYFUNCTION("if(C1807="""","""",iferror(if(row()&lt;&gt;2,INDEX(arrayformula(filter($L$2:$L1806,$C$2:$C1806&lt;&gt;"""",row($C$2:$C1806)=max(if($C$2:$C1806=C1807,row($C$2:$C1806),0)))) ,1),0),0))"),"")</f>
        <v/>
      </c>
      <c r="L1807" s="147" t="str">
        <f t="shared" si="14"/>
        <v/>
      </c>
      <c r="M1807" s="147" t="str">
        <f t="shared" si="15"/>
        <v/>
      </c>
      <c r="N1807" s="147" t="str">
        <f t="shared" si="16"/>
        <v/>
      </c>
      <c r="O1807" s="147" t="str">
        <f t="shared" si="6"/>
        <v/>
      </c>
      <c r="P1807" s="150" t="str">
        <f t="shared" si="7"/>
        <v/>
      </c>
      <c r="Q1807" s="151" t="str">
        <f>IFERROR(VLOOKUP(C1807,Ativos!$A$1:$G2000,5,),)</f>
        <v/>
      </c>
    </row>
    <row r="1808" ht="21.0" customHeight="1">
      <c r="A1808" s="152"/>
      <c r="B1808" s="160"/>
      <c r="C1808" s="153"/>
      <c r="D1808" s="169"/>
      <c r="E1808" s="139"/>
      <c r="F1808" s="141"/>
      <c r="G1808" s="170" t="str">
        <f>IFERROR(__xludf.DUMMYFUNCTION("if($C1808="""","""",iferror(if(row()&lt;&gt;2,INDEX(arrayformula(filter($H$2:$H1807,$C$2:$C1807&lt;&gt;"""",row($C$2:$C1807)=max(if($C$2:$C1807=C1808,row($C$2:$C1807),0)))) ,1),0),0))"),"")</f>
        <v/>
      </c>
      <c r="H1808" s="170" t="str">
        <f t="shared" si="8"/>
        <v/>
      </c>
      <c r="I1808" s="147" t="str">
        <f t="shared" si="1"/>
        <v/>
      </c>
      <c r="J1808" s="147" t="str">
        <f t="shared" si="13"/>
        <v/>
      </c>
      <c r="K1808" s="147" t="str">
        <f>IFERROR(__xludf.DUMMYFUNCTION("if(C1808="""","""",iferror(if(row()&lt;&gt;2,INDEX(arrayformula(filter($L$2:$L1807,$C$2:$C1807&lt;&gt;"""",row($C$2:$C1807)=max(if($C$2:$C1807=C1808,row($C$2:$C1807),0)))) ,1),0),0))"),"")</f>
        <v/>
      </c>
      <c r="L1808" s="147" t="str">
        <f t="shared" si="14"/>
        <v/>
      </c>
      <c r="M1808" s="147" t="str">
        <f t="shared" si="15"/>
        <v/>
      </c>
      <c r="N1808" s="147" t="str">
        <f t="shared" si="16"/>
        <v/>
      </c>
      <c r="O1808" s="147" t="str">
        <f t="shared" si="6"/>
        <v/>
      </c>
      <c r="P1808" s="150" t="str">
        <f t="shared" si="7"/>
        <v/>
      </c>
      <c r="Q1808" s="151" t="str">
        <f>IFERROR(VLOOKUP(C1808,Ativos!$A$1:$G2000,5,),)</f>
        <v/>
      </c>
    </row>
    <row r="1809" ht="21.0" customHeight="1">
      <c r="A1809" s="152"/>
      <c r="B1809" s="160"/>
      <c r="C1809" s="153"/>
      <c r="D1809" s="169"/>
      <c r="E1809" s="139"/>
      <c r="F1809" s="141"/>
      <c r="G1809" s="170" t="str">
        <f>IFERROR(__xludf.DUMMYFUNCTION("if($C1809="""","""",iferror(if(row()&lt;&gt;2,INDEX(arrayformula(filter($H$2:$H1808,$C$2:$C1808&lt;&gt;"""",row($C$2:$C1808)=max(if($C$2:$C1808=C1809,row($C$2:$C1808),0)))) ,1),0),0))"),"")</f>
        <v/>
      </c>
      <c r="H1809" s="170" t="str">
        <f t="shared" si="8"/>
        <v/>
      </c>
      <c r="I1809" s="147" t="str">
        <f t="shared" si="1"/>
        <v/>
      </c>
      <c r="J1809" s="147" t="str">
        <f t="shared" si="13"/>
        <v/>
      </c>
      <c r="K1809" s="147" t="str">
        <f>IFERROR(__xludf.DUMMYFUNCTION("if(C1809="""","""",iferror(if(row()&lt;&gt;2,INDEX(arrayformula(filter($L$2:$L1808,$C$2:$C1808&lt;&gt;"""",row($C$2:$C1808)=max(if($C$2:$C1808=C1809,row($C$2:$C1808),0)))) ,1),0),0))"),"")</f>
        <v/>
      </c>
      <c r="L1809" s="147" t="str">
        <f t="shared" si="14"/>
        <v/>
      </c>
      <c r="M1809" s="147" t="str">
        <f t="shared" si="15"/>
        <v/>
      </c>
      <c r="N1809" s="147" t="str">
        <f t="shared" si="16"/>
        <v/>
      </c>
      <c r="O1809" s="147" t="str">
        <f t="shared" si="6"/>
        <v/>
      </c>
      <c r="P1809" s="150" t="str">
        <f t="shared" si="7"/>
        <v/>
      </c>
      <c r="Q1809" s="151" t="str">
        <f>IFERROR(VLOOKUP(C1809,Ativos!$A$1:$G2000,5,),)</f>
        <v/>
      </c>
    </row>
    <row r="1810" ht="21.0" customHeight="1">
      <c r="A1810" s="152"/>
      <c r="B1810" s="160"/>
      <c r="C1810" s="153"/>
      <c r="D1810" s="169"/>
      <c r="E1810" s="139"/>
      <c r="F1810" s="141"/>
      <c r="G1810" s="170" t="str">
        <f>IFERROR(__xludf.DUMMYFUNCTION("if($C1810="""","""",iferror(if(row()&lt;&gt;2,INDEX(arrayformula(filter($H$2:$H1809,$C$2:$C1809&lt;&gt;"""",row($C$2:$C1809)=max(if($C$2:$C1809=C1810,row($C$2:$C1809),0)))) ,1),0),0))"),"")</f>
        <v/>
      </c>
      <c r="H1810" s="170" t="str">
        <f t="shared" si="8"/>
        <v/>
      </c>
      <c r="I1810" s="147" t="str">
        <f t="shared" si="1"/>
        <v/>
      </c>
      <c r="J1810" s="147" t="str">
        <f t="shared" si="13"/>
        <v/>
      </c>
      <c r="K1810" s="147" t="str">
        <f>IFERROR(__xludf.DUMMYFUNCTION("if(C1810="""","""",iferror(if(row()&lt;&gt;2,INDEX(arrayformula(filter($L$2:$L1809,$C$2:$C1809&lt;&gt;"""",row($C$2:$C1809)=max(if($C$2:$C1809=C1810,row($C$2:$C1809),0)))) ,1),0),0))"),"")</f>
        <v/>
      </c>
      <c r="L1810" s="147" t="str">
        <f t="shared" si="14"/>
        <v/>
      </c>
      <c r="M1810" s="147" t="str">
        <f t="shared" si="15"/>
        <v/>
      </c>
      <c r="N1810" s="147" t="str">
        <f t="shared" si="16"/>
        <v/>
      </c>
      <c r="O1810" s="147" t="str">
        <f t="shared" si="6"/>
        <v/>
      </c>
      <c r="P1810" s="150" t="str">
        <f t="shared" si="7"/>
        <v/>
      </c>
      <c r="Q1810" s="151" t="str">
        <f>IFERROR(VLOOKUP(C1810,Ativos!$A$1:$G2000,5,),)</f>
        <v/>
      </c>
    </row>
    <row r="1811" ht="21.0" customHeight="1">
      <c r="A1811" s="152"/>
      <c r="B1811" s="160"/>
      <c r="C1811" s="153"/>
      <c r="D1811" s="169"/>
      <c r="E1811" s="139"/>
      <c r="F1811" s="141"/>
      <c r="G1811" s="170" t="str">
        <f>IFERROR(__xludf.DUMMYFUNCTION("if($C1811="""","""",iferror(if(row()&lt;&gt;2,INDEX(arrayformula(filter($H$2:$H1810,$C$2:$C1810&lt;&gt;"""",row($C$2:$C1810)=max(if($C$2:$C1810=C1811,row($C$2:$C1810),0)))) ,1),0),0))"),"")</f>
        <v/>
      </c>
      <c r="H1811" s="170" t="str">
        <f t="shared" si="8"/>
        <v/>
      </c>
      <c r="I1811" s="147" t="str">
        <f t="shared" si="1"/>
        <v/>
      </c>
      <c r="J1811" s="147" t="str">
        <f t="shared" si="13"/>
        <v/>
      </c>
      <c r="K1811" s="147" t="str">
        <f>IFERROR(__xludf.DUMMYFUNCTION("if(C1811="""","""",iferror(if(row()&lt;&gt;2,INDEX(arrayformula(filter($L$2:$L1810,$C$2:$C1810&lt;&gt;"""",row($C$2:$C1810)=max(if($C$2:$C1810=C1811,row($C$2:$C1810),0)))) ,1),0),0))"),"")</f>
        <v/>
      </c>
      <c r="L1811" s="147" t="str">
        <f t="shared" si="14"/>
        <v/>
      </c>
      <c r="M1811" s="147" t="str">
        <f t="shared" si="15"/>
        <v/>
      </c>
      <c r="N1811" s="147" t="str">
        <f t="shared" si="16"/>
        <v/>
      </c>
      <c r="O1811" s="147" t="str">
        <f t="shared" si="6"/>
        <v/>
      </c>
      <c r="P1811" s="150" t="str">
        <f t="shared" si="7"/>
        <v/>
      </c>
      <c r="Q1811" s="151" t="str">
        <f>IFERROR(VLOOKUP(C1811,Ativos!$A$1:$G2000,5,),)</f>
        <v/>
      </c>
    </row>
    <row r="1812" ht="21.0" customHeight="1">
      <c r="A1812" s="152"/>
      <c r="B1812" s="160"/>
      <c r="C1812" s="153"/>
      <c r="D1812" s="169"/>
      <c r="E1812" s="139"/>
      <c r="F1812" s="141"/>
      <c r="G1812" s="170" t="str">
        <f>IFERROR(__xludf.DUMMYFUNCTION("if($C1812="""","""",iferror(if(row()&lt;&gt;2,INDEX(arrayformula(filter($H$2:$H1811,$C$2:$C1811&lt;&gt;"""",row($C$2:$C1811)=max(if($C$2:$C1811=C1812,row($C$2:$C1811),0)))) ,1),0),0))"),"")</f>
        <v/>
      </c>
      <c r="H1812" s="170" t="str">
        <f t="shared" si="8"/>
        <v/>
      </c>
      <c r="I1812" s="147" t="str">
        <f t="shared" si="1"/>
        <v/>
      </c>
      <c r="J1812" s="147" t="str">
        <f t="shared" si="13"/>
        <v/>
      </c>
      <c r="K1812" s="147" t="str">
        <f>IFERROR(__xludf.DUMMYFUNCTION("if(C1812="""","""",iferror(if(row()&lt;&gt;2,INDEX(arrayformula(filter($L$2:$L1811,$C$2:$C1811&lt;&gt;"""",row($C$2:$C1811)=max(if($C$2:$C1811=C1812,row($C$2:$C1811),0)))) ,1),0),0))"),"")</f>
        <v/>
      </c>
      <c r="L1812" s="147" t="str">
        <f t="shared" si="14"/>
        <v/>
      </c>
      <c r="M1812" s="147" t="str">
        <f t="shared" si="15"/>
        <v/>
      </c>
      <c r="N1812" s="147" t="str">
        <f t="shared" si="16"/>
        <v/>
      </c>
      <c r="O1812" s="147" t="str">
        <f t="shared" si="6"/>
        <v/>
      </c>
      <c r="P1812" s="150" t="str">
        <f t="shared" si="7"/>
        <v/>
      </c>
      <c r="Q1812" s="151" t="str">
        <f>IFERROR(VLOOKUP(C1812,Ativos!$A$1:$G2000,5,),)</f>
        <v/>
      </c>
    </row>
    <row r="1813" ht="21.0" customHeight="1">
      <c r="A1813" s="152"/>
      <c r="B1813" s="160"/>
      <c r="C1813" s="153"/>
      <c r="D1813" s="169"/>
      <c r="E1813" s="139"/>
      <c r="F1813" s="141"/>
      <c r="G1813" s="170" t="str">
        <f>IFERROR(__xludf.DUMMYFUNCTION("if($C1813="""","""",iferror(if(row()&lt;&gt;2,INDEX(arrayformula(filter($H$2:$H1812,$C$2:$C1812&lt;&gt;"""",row($C$2:$C1812)=max(if($C$2:$C1812=C1813,row($C$2:$C1812),0)))) ,1),0),0))"),"")</f>
        <v/>
      </c>
      <c r="H1813" s="170" t="str">
        <f t="shared" si="8"/>
        <v/>
      </c>
      <c r="I1813" s="147" t="str">
        <f t="shared" si="1"/>
        <v/>
      </c>
      <c r="J1813" s="147" t="str">
        <f t="shared" si="13"/>
        <v/>
      </c>
      <c r="K1813" s="147" t="str">
        <f>IFERROR(__xludf.DUMMYFUNCTION("if(C1813="""","""",iferror(if(row()&lt;&gt;2,INDEX(arrayformula(filter($L$2:$L1812,$C$2:$C1812&lt;&gt;"""",row($C$2:$C1812)=max(if($C$2:$C1812=C1813,row($C$2:$C1812),0)))) ,1),0),0))"),"")</f>
        <v/>
      </c>
      <c r="L1813" s="147" t="str">
        <f t="shared" si="14"/>
        <v/>
      </c>
      <c r="M1813" s="147" t="str">
        <f t="shared" si="15"/>
        <v/>
      </c>
      <c r="N1813" s="147" t="str">
        <f t="shared" si="16"/>
        <v/>
      </c>
      <c r="O1813" s="147" t="str">
        <f t="shared" si="6"/>
        <v/>
      </c>
      <c r="P1813" s="150" t="str">
        <f t="shared" si="7"/>
        <v/>
      </c>
      <c r="Q1813" s="151" t="str">
        <f>IFERROR(VLOOKUP(C1813,Ativos!$A$1:$G2000,5,),)</f>
        <v/>
      </c>
    </row>
    <row r="1814" ht="21.0" customHeight="1">
      <c r="A1814" s="152"/>
      <c r="B1814" s="160"/>
      <c r="C1814" s="153"/>
      <c r="D1814" s="169"/>
      <c r="E1814" s="139"/>
      <c r="F1814" s="141"/>
      <c r="G1814" s="170" t="str">
        <f>IFERROR(__xludf.DUMMYFUNCTION("if($C1814="""","""",iferror(if(row()&lt;&gt;2,INDEX(arrayformula(filter($H$2:$H1813,$C$2:$C1813&lt;&gt;"""",row($C$2:$C1813)=max(if($C$2:$C1813=C1814,row($C$2:$C1813),0)))) ,1),0),0))"),"")</f>
        <v/>
      </c>
      <c r="H1814" s="170" t="str">
        <f t="shared" si="8"/>
        <v/>
      </c>
      <c r="I1814" s="147" t="str">
        <f t="shared" si="1"/>
        <v/>
      </c>
      <c r="J1814" s="147" t="str">
        <f t="shared" si="13"/>
        <v/>
      </c>
      <c r="K1814" s="147" t="str">
        <f>IFERROR(__xludf.DUMMYFUNCTION("if(C1814="""","""",iferror(if(row()&lt;&gt;2,INDEX(arrayformula(filter($L$2:$L1813,$C$2:$C1813&lt;&gt;"""",row($C$2:$C1813)=max(if($C$2:$C1813=C1814,row($C$2:$C1813),0)))) ,1),0),0))"),"")</f>
        <v/>
      </c>
      <c r="L1814" s="147" t="str">
        <f t="shared" si="14"/>
        <v/>
      </c>
      <c r="M1814" s="147" t="str">
        <f t="shared" si="15"/>
        <v/>
      </c>
      <c r="N1814" s="147" t="str">
        <f t="shared" si="16"/>
        <v/>
      </c>
      <c r="O1814" s="147" t="str">
        <f t="shared" si="6"/>
        <v/>
      </c>
      <c r="P1814" s="150" t="str">
        <f t="shared" si="7"/>
        <v/>
      </c>
      <c r="Q1814" s="151" t="str">
        <f>IFERROR(VLOOKUP(C1814,Ativos!$A$1:$G2000,5,),)</f>
        <v/>
      </c>
    </row>
    <row r="1815" ht="21.0" customHeight="1">
      <c r="A1815" s="152"/>
      <c r="B1815" s="160"/>
      <c r="C1815" s="153"/>
      <c r="D1815" s="169"/>
      <c r="E1815" s="139"/>
      <c r="F1815" s="141"/>
      <c r="G1815" s="170" t="str">
        <f>IFERROR(__xludf.DUMMYFUNCTION("if($C1815="""","""",iferror(if(row()&lt;&gt;2,INDEX(arrayformula(filter($H$2:$H1814,$C$2:$C1814&lt;&gt;"""",row($C$2:$C1814)=max(if($C$2:$C1814=C1815,row($C$2:$C1814),0)))) ,1),0),0))"),"")</f>
        <v/>
      </c>
      <c r="H1815" s="170" t="str">
        <f t="shared" si="8"/>
        <v/>
      </c>
      <c r="I1815" s="147" t="str">
        <f t="shared" si="1"/>
        <v/>
      </c>
      <c r="J1815" s="147" t="str">
        <f t="shared" si="13"/>
        <v/>
      </c>
      <c r="K1815" s="147" t="str">
        <f>IFERROR(__xludf.DUMMYFUNCTION("if(C1815="""","""",iferror(if(row()&lt;&gt;2,INDEX(arrayformula(filter($L$2:$L1814,$C$2:$C1814&lt;&gt;"""",row($C$2:$C1814)=max(if($C$2:$C1814=C1815,row($C$2:$C1814),0)))) ,1),0),0))"),"")</f>
        <v/>
      </c>
      <c r="L1815" s="147" t="str">
        <f t="shared" si="14"/>
        <v/>
      </c>
      <c r="M1815" s="147" t="str">
        <f t="shared" si="15"/>
        <v/>
      </c>
      <c r="N1815" s="147" t="str">
        <f t="shared" si="16"/>
        <v/>
      </c>
      <c r="O1815" s="147" t="str">
        <f t="shared" si="6"/>
        <v/>
      </c>
      <c r="P1815" s="150" t="str">
        <f t="shared" si="7"/>
        <v/>
      </c>
      <c r="Q1815" s="151" t="str">
        <f>IFERROR(VLOOKUP(C1815,Ativos!$A$1:$G2000,5,),)</f>
        <v/>
      </c>
    </row>
    <row r="1816" ht="21.0" customHeight="1">
      <c r="A1816" s="152"/>
      <c r="B1816" s="160"/>
      <c r="C1816" s="153"/>
      <c r="D1816" s="169"/>
      <c r="E1816" s="139"/>
      <c r="F1816" s="141"/>
      <c r="G1816" s="170" t="str">
        <f>IFERROR(__xludf.DUMMYFUNCTION("if($C1816="""","""",iferror(if(row()&lt;&gt;2,INDEX(arrayformula(filter($H$2:$H1815,$C$2:$C1815&lt;&gt;"""",row($C$2:$C1815)=max(if($C$2:$C1815=C1816,row($C$2:$C1815),0)))) ,1),0),0))"),"")</f>
        <v/>
      </c>
      <c r="H1816" s="170" t="str">
        <f t="shared" si="8"/>
        <v/>
      </c>
      <c r="I1816" s="147" t="str">
        <f t="shared" si="1"/>
        <v/>
      </c>
      <c r="J1816" s="147" t="str">
        <f t="shared" si="13"/>
        <v/>
      </c>
      <c r="K1816" s="147" t="str">
        <f>IFERROR(__xludf.DUMMYFUNCTION("if(C1816="""","""",iferror(if(row()&lt;&gt;2,INDEX(arrayformula(filter($L$2:$L1815,$C$2:$C1815&lt;&gt;"""",row($C$2:$C1815)=max(if($C$2:$C1815=C1816,row($C$2:$C1815),0)))) ,1),0),0))"),"")</f>
        <v/>
      </c>
      <c r="L1816" s="147" t="str">
        <f t="shared" si="14"/>
        <v/>
      </c>
      <c r="M1816" s="147" t="str">
        <f t="shared" si="15"/>
        <v/>
      </c>
      <c r="N1816" s="147" t="str">
        <f t="shared" si="16"/>
        <v/>
      </c>
      <c r="O1816" s="147" t="str">
        <f t="shared" si="6"/>
        <v/>
      </c>
      <c r="P1816" s="150" t="str">
        <f t="shared" si="7"/>
        <v/>
      </c>
      <c r="Q1816" s="151" t="str">
        <f>IFERROR(VLOOKUP(C1816,Ativos!$A$1:$G2000,5,),)</f>
        <v/>
      </c>
    </row>
    <row r="1817" ht="21.0" customHeight="1">
      <c r="A1817" s="152"/>
      <c r="B1817" s="160"/>
      <c r="C1817" s="153"/>
      <c r="D1817" s="169"/>
      <c r="E1817" s="139"/>
      <c r="F1817" s="141"/>
      <c r="G1817" s="170" t="str">
        <f>IFERROR(__xludf.DUMMYFUNCTION("if($C1817="""","""",iferror(if(row()&lt;&gt;2,INDEX(arrayformula(filter($H$2:$H1816,$C$2:$C1816&lt;&gt;"""",row($C$2:$C1816)=max(if($C$2:$C1816=C1817,row($C$2:$C1816),0)))) ,1),0),0))"),"")</f>
        <v/>
      </c>
      <c r="H1817" s="170" t="str">
        <f t="shared" si="8"/>
        <v/>
      </c>
      <c r="I1817" s="147" t="str">
        <f t="shared" si="1"/>
        <v/>
      </c>
      <c r="J1817" s="147" t="str">
        <f t="shared" si="13"/>
        <v/>
      </c>
      <c r="K1817" s="147" t="str">
        <f>IFERROR(__xludf.DUMMYFUNCTION("if(C1817="""","""",iferror(if(row()&lt;&gt;2,INDEX(arrayformula(filter($L$2:$L1816,$C$2:$C1816&lt;&gt;"""",row($C$2:$C1816)=max(if($C$2:$C1816=C1817,row($C$2:$C1816),0)))) ,1),0),0))"),"")</f>
        <v/>
      </c>
      <c r="L1817" s="147" t="str">
        <f t="shared" si="14"/>
        <v/>
      </c>
      <c r="M1817" s="147" t="str">
        <f t="shared" si="15"/>
        <v/>
      </c>
      <c r="N1817" s="147" t="str">
        <f t="shared" si="16"/>
        <v/>
      </c>
      <c r="O1817" s="147" t="str">
        <f t="shared" si="6"/>
        <v/>
      </c>
      <c r="P1817" s="150" t="str">
        <f t="shared" si="7"/>
        <v/>
      </c>
      <c r="Q1817" s="151" t="str">
        <f>IFERROR(VLOOKUP(C1817,Ativos!$A$1:$G2000,5,),)</f>
        <v/>
      </c>
    </row>
    <row r="1818" ht="21.0" customHeight="1">
      <c r="A1818" s="152"/>
      <c r="B1818" s="160"/>
      <c r="C1818" s="153"/>
      <c r="D1818" s="169"/>
      <c r="E1818" s="139"/>
      <c r="F1818" s="141"/>
      <c r="G1818" s="170" t="str">
        <f>IFERROR(__xludf.DUMMYFUNCTION("if($C1818="""","""",iferror(if(row()&lt;&gt;2,INDEX(arrayformula(filter($H$2:$H1817,$C$2:$C1817&lt;&gt;"""",row($C$2:$C1817)=max(if($C$2:$C1817=C1818,row($C$2:$C1817),0)))) ,1),0),0))"),"")</f>
        <v/>
      </c>
      <c r="H1818" s="170" t="str">
        <f t="shared" si="8"/>
        <v/>
      </c>
      <c r="I1818" s="147" t="str">
        <f t="shared" si="1"/>
        <v/>
      </c>
      <c r="J1818" s="147" t="str">
        <f t="shared" si="13"/>
        <v/>
      </c>
      <c r="K1818" s="147" t="str">
        <f>IFERROR(__xludf.DUMMYFUNCTION("if(C1818="""","""",iferror(if(row()&lt;&gt;2,INDEX(arrayformula(filter($L$2:$L1817,$C$2:$C1817&lt;&gt;"""",row($C$2:$C1817)=max(if($C$2:$C1817=C1818,row($C$2:$C1817),0)))) ,1),0),0))"),"")</f>
        <v/>
      </c>
      <c r="L1818" s="147" t="str">
        <f t="shared" si="14"/>
        <v/>
      </c>
      <c r="M1818" s="147" t="str">
        <f t="shared" si="15"/>
        <v/>
      </c>
      <c r="N1818" s="147" t="str">
        <f t="shared" si="16"/>
        <v/>
      </c>
      <c r="O1818" s="147" t="str">
        <f t="shared" si="6"/>
        <v/>
      </c>
      <c r="P1818" s="150" t="str">
        <f t="shared" si="7"/>
        <v/>
      </c>
      <c r="Q1818" s="151" t="str">
        <f>IFERROR(VLOOKUP(C1818,Ativos!$A$1:$G2000,5,),)</f>
        <v/>
      </c>
    </row>
    <row r="1819" ht="21.0" customHeight="1">
      <c r="A1819" s="152"/>
      <c r="B1819" s="160"/>
      <c r="C1819" s="153"/>
      <c r="D1819" s="169"/>
      <c r="E1819" s="139"/>
      <c r="F1819" s="141"/>
      <c r="G1819" s="170" t="str">
        <f>IFERROR(__xludf.DUMMYFUNCTION("if($C1819="""","""",iferror(if(row()&lt;&gt;2,INDEX(arrayformula(filter($H$2:$H1818,$C$2:$C1818&lt;&gt;"""",row($C$2:$C1818)=max(if($C$2:$C1818=C1819,row($C$2:$C1818),0)))) ,1),0),0))"),"")</f>
        <v/>
      </c>
      <c r="H1819" s="170" t="str">
        <f t="shared" si="8"/>
        <v/>
      </c>
      <c r="I1819" s="147" t="str">
        <f t="shared" si="1"/>
        <v/>
      </c>
      <c r="J1819" s="147" t="str">
        <f t="shared" si="13"/>
        <v/>
      </c>
      <c r="K1819" s="147" t="str">
        <f>IFERROR(__xludf.DUMMYFUNCTION("if(C1819="""","""",iferror(if(row()&lt;&gt;2,INDEX(arrayformula(filter($L$2:$L1818,$C$2:$C1818&lt;&gt;"""",row($C$2:$C1818)=max(if($C$2:$C1818=C1819,row($C$2:$C1818),0)))) ,1),0),0))"),"")</f>
        <v/>
      </c>
      <c r="L1819" s="147" t="str">
        <f t="shared" si="14"/>
        <v/>
      </c>
      <c r="M1819" s="147" t="str">
        <f t="shared" si="15"/>
        <v/>
      </c>
      <c r="N1819" s="147" t="str">
        <f t="shared" si="16"/>
        <v/>
      </c>
      <c r="O1819" s="147" t="str">
        <f t="shared" si="6"/>
        <v/>
      </c>
      <c r="P1819" s="150" t="str">
        <f t="shared" si="7"/>
        <v/>
      </c>
      <c r="Q1819" s="151" t="str">
        <f>IFERROR(VLOOKUP(C1819,Ativos!$A$1:$G2000,5,),)</f>
        <v/>
      </c>
    </row>
    <row r="1820" ht="21.0" customHeight="1">
      <c r="A1820" s="152"/>
      <c r="B1820" s="160"/>
      <c r="C1820" s="153"/>
      <c r="D1820" s="169"/>
      <c r="E1820" s="139"/>
      <c r="F1820" s="141"/>
      <c r="G1820" s="170" t="str">
        <f>IFERROR(__xludf.DUMMYFUNCTION("if($C1820="""","""",iferror(if(row()&lt;&gt;2,INDEX(arrayformula(filter($H$2:$H1819,$C$2:$C1819&lt;&gt;"""",row($C$2:$C1819)=max(if($C$2:$C1819=C1820,row($C$2:$C1819),0)))) ,1),0),0))"),"")</f>
        <v/>
      </c>
      <c r="H1820" s="170" t="str">
        <f t="shared" si="8"/>
        <v/>
      </c>
      <c r="I1820" s="147" t="str">
        <f t="shared" si="1"/>
        <v/>
      </c>
      <c r="J1820" s="147" t="str">
        <f t="shared" si="13"/>
        <v/>
      </c>
      <c r="K1820" s="147" t="str">
        <f>IFERROR(__xludf.DUMMYFUNCTION("if(C1820="""","""",iferror(if(row()&lt;&gt;2,INDEX(arrayformula(filter($L$2:$L1819,$C$2:$C1819&lt;&gt;"""",row($C$2:$C1819)=max(if($C$2:$C1819=C1820,row($C$2:$C1819),0)))) ,1),0),0))"),"")</f>
        <v/>
      </c>
      <c r="L1820" s="147" t="str">
        <f t="shared" si="14"/>
        <v/>
      </c>
      <c r="M1820" s="147" t="str">
        <f t="shared" si="15"/>
        <v/>
      </c>
      <c r="N1820" s="147" t="str">
        <f t="shared" si="16"/>
        <v/>
      </c>
      <c r="O1820" s="147" t="str">
        <f t="shared" si="6"/>
        <v/>
      </c>
      <c r="P1820" s="150" t="str">
        <f t="shared" si="7"/>
        <v/>
      </c>
      <c r="Q1820" s="151" t="str">
        <f>IFERROR(VLOOKUP(C1820,Ativos!$A$1:$G2000,5,),)</f>
        <v/>
      </c>
    </row>
    <row r="1821" ht="21.0" customHeight="1">
      <c r="A1821" s="152"/>
      <c r="B1821" s="160"/>
      <c r="C1821" s="153"/>
      <c r="D1821" s="169"/>
      <c r="E1821" s="139"/>
      <c r="F1821" s="141"/>
      <c r="G1821" s="170" t="str">
        <f>IFERROR(__xludf.DUMMYFUNCTION("if($C1821="""","""",iferror(if(row()&lt;&gt;2,INDEX(arrayformula(filter($H$2:$H1820,$C$2:$C1820&lt;&gt;"""",row($C$2:$C1820)=max(if($C$2:$C1820=C1821,row($C$2:$C1820),0)))) ,1),0),0))"),"")</f>
        <v/>
      </c>
      <c r="H1821" s="170" t="str">
        <f t="shared" si="8"/>
        <v/>
      </c>
      <c r="I1821" s="147" t="str">
        <f t="shared" si="1"/>
        <v/>
      </c>
      <c r="J1821" s="147" t="str">
        <f t="shared" si="13"/>
        <v/>
      </c>
      <c r="K1821" s="147" t="str">
        <f>IFERROR(__xludf.DUMMYFUNCTION("if(C1821="""","""",iferror(if(row()&lt;&gt;2,INDEX(arrayformula(filter($L$2:$L1820,$C$2:$C1820&lt;&gt;"""",row($C$2:$C1820)=max(if($C$2:$C1820=C1821,row($C$2:$C1820),0)))) ,1),0),0))"),"")</f>
        <v/>
      </c>
      <c r="L1821" s="147" t="str">
        <f t="shared" si="14"/>
        <v/>
      </c>
      <c r="M1821" s="147" t="str">
        <f t="shared" si="15"/>
        <v/>
      </c>
      <c r="N1821" s="147" t="str">
        <f t="shared" si="16"/>
        <v/>
      </c>
      <c r="O1821" s="147" t="str">
        <f t="shared" si="6"/>
        <v/>
      </c>
      <c r="P1821" s="150" t="str">
        <f t="shared" si="7"/>
        <v/>
      </c>
      <c r="Q1821" s="151" t="str">
        <f>IFERROR(VLOOKUP(C1821,Ativos!$A$1:$G2000,5,),)</f>
        <v/>
      </c>
    </row>
    <row r="1822" ht="21.0" customHeight="1">
      <c r="A1822" s="152"/>
      <c r="B1822" s="160"/>
      <c r="C1822" s="153"/>
      <c r="D1822" s="169"/>
      <c r="E1822" s="139"/>
      <c r="F1822" s="141"/>
      <c r="G1822" s="170" t="str">
        <f>IFERROR(__xludf.DUMMYFUNCTION("if($C1822="""","""",iferror(if(row()&lt;&gt;2,INDEX(arrayformula(filter($H$2:$H1821,$C$2:$C1821&lt;&gt;"""",row($C$2:$C1821)=max(if($C$2:$C1821=C1822,row($C$2:$C1821),0)))) ,1),0),0))"),"")</f>
        <v/>
      </c>
      <c r="H1822" s="170" t="str">
        <f t="shared" si="8"/>
        <v/>
      </c>
      <c r="I1822" s="147" t="str">
        <f t="shared" si="1"/>
        <v/>
      </c>
      <c r="J1822" s="147" t="str">
        <f t="shared" si="13"/>
        <v/>
      </c>
      <c r="K1822" s="147" t="str">
        <f>IFERROR(__xludf.DUMMYFUNCTION("if(C1822="""","""",iferror(if(row()&lt;&gt;2,INDEX(arrayformula(filter($L$2:$L1821,$C$2:$C1821&lt;&gt;"""",row($C$2:$C1821)=max(if($C$2:$C1821=C1822,row($C$2:$C1821),0)))) ,1),0),0))"),"")</f>
        <v/>
      </c>
      <c r="L1822" s="147" t="str">
        <f t="shared" si="14"/>
        <v/>
      </c>
      <c r="M1822" s="147" t="str">
        <f t="shared" si="15"/>
        <v/>
      </c>
      <c r="N1822" s="147" t="str">
        <f t="shared" si="16"/>
        <v/>
      </c>
      <c r="O1822" s="147" t="str">
        <f t="shared" si="6"/>
        <v/>
      </c>
      <c r="P1822" s="150" t="str">
        <f t="shared" si="7"/>
        <v/>
      </c>
      <c r="Q1822" s="151" t="str">
        <f>IFERROR(VLOOKUP(C1822,Ativos!$A$1:$G2000,5,),)</f>
        <v/>
      </c>
    </row>
    <row r="1823" ht="21.0" customHeight="1">
      <c r="A1823" s="152"/>
      <c r="B1823" s="160"/>
      <c r="C1823" s="153"/>
      <c r="D1823" s="169"/>
      <c r="E1823" s="139"/>
      <c r="F1823" s="141"/>
      <c r="G1823" s="170" t="str">
        <f>IFERROR(__xludf.DUMMYFUNCTION("if($C1823="""","""",iferror(if(row()&lt;&gt;2,INDEX(arrayformula(filter($H$2:$H1822,$C$2:$C1822&lt;&gt;"""",row($C$2:$C1822)=max(if($C$2:$C1822=C1823,row($C$2:$C1822),0)))) ,1),0),0))"),"")</f>
        <v/>
      </c>
      <c r="H1823" s="170" t="str">
        <f t="shared" si="8"/>
        <v/>
      </c>
      <c r="I1823" s="147" t="str">
        <f t="shared" si="1"/>
        <v/>
      </c>
      <c r="J1823" s="147" t="str">
        <f t="shared" si="13"/>
        <v/>
      </c>
      <c r="K1823" s="147" t="str">
        <f>IFERROR(__xludf.DUMMYFUNCTION("if(C1823="""","""",iferror(if(row()&lt;&gt;2,INDEX(arrayformula(filter($L$2:$L1822,$C$2:$C1822&lt;&gt;"""",row($C$2:$C1822)=max(if($C$2:$C1822=C1823,row($C$2:$C1822),0)))) ,1),0),0))"),"")</f>
        <v/>
      </c>
      <c r="L1823" s="147" t="str">
        <f t="shared" si="14"/>
        <v/>
      </c>
      <c r="M1823" s="147" t="str">
        <f t="shared" si="15"/>
        <v/>
      </c>
      <c r="N1823" s="147" t="str">
        <f t="shared" si="16"/>
        <v/>
      </c>
      <c r="O1823" s="147" t="str">
        <f t="shared" si="6"/>
        <v/>
      </c>
      <c r="P1823" s="150" t="str">
        <f t="shared" si="7"/>
        <v/>
      </c>
      <c r="Q1823" s="151" t="str">
        <f>IFERROR(VLOOKUP(C1823,Ativos!$A$1:$G2000,5,),)</f>
        <v/>
      </c>
    </row>
    <row r="1824" ht="21.0" customHeight="1">
      <c r="A1824" s="152"/>
      <c r="B1824" s="160"/>
      <c r="C1824" s="153"/>
      <c r="D1824" s="169"/>
      <c r="E1824" s="139"/>
      <c r="F1824" s="141"/>
      <c r="G1824" s="170" t="str">
        <f>IFERROR(__xludf.DUMMYFUNCTION("if($C1824="""","""",iferror(if(row()&lt;&gt;2,INDEX(arrayformula(filter($H$2:$H1823,$C$2:$C1823&lt;&gt;"""",row($C$2:$C1823)=max(if($C$2:$C1823=C1824,row($C$2:$C1823),0)))) ,1),0),0))"),"")</f>
        <v/>
      </c>
      <c r="H1824" s="170" t="str">
        <f t="shared" si="8"/>
        <v/>
      </c>
      <c r="I1824" s="147" t="str">
        <f t="shared" si="1"/>
        <v/>
      </c>
      <c r="J1824" s="147" t="str">
        <f t="shared" si="13"/>
        <v/>
      </c>
      <c r="K1824" s="147" t="str">
        <f>IFERROR(__xludf.DUMMYFUNCTION("if(C1824="""","""",iferror(if(row()&lt;&gt;2,INDEX(arrayformula(filter($L$2:$L1823,$C$2:$C1823&lt;&gt;"""",row($C$2:$C1823)=max(if($C$2:$C1823=C1824,row($C$2:$C1823),0)))) ,1),0),0))"),"")</f>
        <v/>
      </c>
      <c r="L1824" s="147" t="str">
        <f t="shared" si="14"/>
        <v/>
      </c>
      <c r="M1824" s="147" t="str">
        <f t="shared" si="15"/>
        <v/>
      </c>
      <c r="N1824" s="147" t="str">
        <f t="shared" si="16"/>
        <v/>
      </c>
      <c r="O1824" s="147" t="str">
        <f t="shared" si="6"/>
        <v/>
      </c>
      <c r="P1824" s="150" t="str">
        <f t="shared" si="7"/>
        <v/>
      </c>
      <c r="Q1824" s="151" t="str">
        <f>IFERROR(VLOOKUP(C1824,Ativos!$A$1:$G2000,5,),)</f>
        <v/>
      </c>
    </row>
    <row r="1825" ht="21.0" customHeight="1">
      <c r="A1825" s="152"/>
      <c r="B1825" s="160"/>
      <c r="C1825" s="153"/>
      <c r="D1825" s="169"/>
      <c r="E1825" s="139"/>
      <c r="F1825" s="141"/>
      <c r="G1825" s="170" t="str">
        <f>IFERROR(__xludf.DUMMYFUNCTION("if($C1825="""","""",iferror(if(row()&lt;&gt;2,INDEX(arrayformula(filter($H$2:$H1824,$C$2:$C1824&lt;&gt;"""",row($C$2:$C1824)=max(if($C$2:$C1824=C1825,row($C$2:$C1824),0)))) ,1),0),0))"),"")</f>
        <v/>
      </c>
      <c r="H1825" s="170" t="str">
        <f t="shared" si="8"/>
        <v/>
      </c>
      <c r="I1825" s="147" t="str">
        <f t="shared" si="1"/>
        <v/>
      </c>
      <c r="J1825" s="147" t="str">
        <f t="shared" si="13"/>
        <v/>
      </c>
      <c r="K1825" s="147" t="str">
        <f>IFERROR(__xludf.DUMMYFUNCTION("if(C1825="""","""",iferror(if(row()&lt;&gt;2,INDEX(arrayformula(filter($L$2:$L1824,$C$2:$C1824&lt;&gt;"""",row($C$2:$C1824)=max(if($C$2:$C1824=C1825,row($C$2:$C1824),0)))) ,1),0),0))"),"")</f>
        <v/>
      </c>
      <c r="L1825" s="147" t="str">
        <f t="shared" si="14"/>
        <v/>
      </c>
      <c r="M1825" s="147" t="str">
        <f t="shared" si="15"/>
        <v/>
      </c>
      <c r="N1825" s="147" t="str">
        <f t="shared" si="16"/>
        <v/>
      </c>
      <c r="O1825" s="147" t="str">
        <f t="shared" si="6"/>
        <v/>
      </c>
      <c r="P1825" s="150" t="str">
        <f t="shared" si="7"/>
        <v/>
      </c>
      <c r="Q1825" s="151" t="str">
        <f>IFERROR(VLOOKUP(C1825,Ativos!$A$1:$G2000,5,),)</f>
        <v/>
      </c>
    </row>
    <row r="1826" ht="21.0" customHeight="1">
      <c r="A1826" s="152"/>
      <c r="B1826" s="160"/>
      <c r="C1826" s="153"/>
      <c r="D1826" s="169"/>
      <c r="E1826" s="139"/>
      <c r="F1826" s="141"/>
      <c r="G1826" s="170" t="str">
        <f>IFERROR(__xludf.DUMMYFUNCTION("if($C1826="""","""",iferror(if(row()&lt;&gt;2,INDEX(arrayformula(filter($H$2:$H1825,$C$2:$C1825&lt;&gt;"""",row($C$2:$C1825)=max(if($C$2:$C1825=C1826,row($C$2:$C1825),0)))) ,1),0),0))"),"")</f>
        <v/>
      </c>
      <c r="H1826" s="170" t="str">
        <f t="shared" si="8"/>
        <v/>
      </c>
      <c r="I1826" s="147" t="str">
        <f t="shared" si="1"/>
        <v/>
      </c>
      <c r="J1826" s="147" t="str">
        <f t="shared" si="13"/>
        <v/>
      </c>
      <c r="K1826" s="147" t="str">
        <f>IFERROR(__xludf.DUMMYFUNCTION("if(C1826="""","""",iferror(if(row()&lt;&gt;2,INDEX(arrayformula(filter($L$2:$L1825,$C$2:$C1825&lt;&gt;"""",row($C$2:$C1825)=max(if($C$2:$C1825=C1826,row($C$2:$C1825),0)))) ,1),0),0))"),"")</f>
        <v/>
      </c>
      <c r="L1826" s="147" t="str">
        <f t="shared" si="14"/>
        <v/>
      </c>
      <c r="M1826" s="147" t="str">
        <f t="shared" si="15"/>
        <v/>
      </c>
      <c r="N1826" s="147" t="str">
        <f t="shared" si="16"/>
        <v/>
      </c>
      <c r="O1826" s="147" t="str">
        <f t="shared" si="6"/>
        <v/>
      </c>
      <c r="P1826" s="150" t="str">
        <f t="shared" si="7"/>
        <v/>
      </c>
      <c r="Q1826" s="151" t="str">
        <f>IFERROR(VLOOKUP(C1826,Ativos!$A$1:$G2000,5,),)</f>
        <v/>
      </c>
    </row>
    <row r="1827" ht="21.0" customHeight="1">
      <c r="A1827" s="152"/>
      <c r="B1827" s="160"/>
      <c r="C1827" s="153"/>
      <c r="D1827" s="169"/>
      <c r="E1827" s="139"/>
      <c r="F1827" s="141"/>
      <c r="G1827" s="170" t="str">
        <f>IFERROR(__xludf.DUMMYFUNCTION("if($C1827="""","""",iferror(if(row()&lt;&gt;2,INDEX(arrayformula(filter($H$2:$H1826,$C$2:$C1826&lt;&gt;"""",row($C$2:$C1826)=max(if($C$2:$C1826=C1827,row($C$2:$C1826),0)))) ,1),0),0))"),"")</f>
        <v/>
      </c>
      <c r="H1827" s="170" t="str">
        <f t="shared" si="8"/>
        <v/>
      </c>
      <c r="I1827" s="147" t="str">
        <f t="shared" si="1"/>
        <v/>
      </c>
      <c r="J1827" s="147" t="str">
        <f t="shared" si="13"/>
        <v/>
      </c>
      <c r="K1827" s="147" t="str">
        <f>IFERROR(__xludf.DUMMYFUNCTION("if(C1827="""","""",iferror(if(row()&lt;&gt;2,INDEX(arrayformula(filter($L$2:$L1826,$C$2:$C1826&lt;&gt;"""",row($C$2:$C1826)=max(if($C$2:$C1826=C1827,row($C$2:$C1826),0)))) ,1),0),0))"),"")</f>
        <v/>
      </c>
      <c r="L1827" s="147" t="str">
        <f t="shared" si="14"/>
        <v/>
      </c>
      <c r="M1827" s="147" t="str">
        <f t="shared" si="15"/>
        <v/>
      </c>
      <c r="N1827" s="147" t="str">
        <f t="shared" si="16"/>
        <v/>
      </c>
      <c r="O1827" s="147" t="str">
        <f t="shared" si="6"/>
        <v/>
      </c>
      <c r="P1827" s="150" t="str">
        <f t="shared" si="7"/>
        <v/>
      </c>
      <c r="Q1827" s="151" t="str">
        <f>IFERROR(VLOOKUP(C1827,Ativos!$A$1:$G2000,5,),)</f>
        <v/>
      </c>
    </row>
    <row r="1828" ht="21.0" customHeight="1">
      <c r="A1828" s="152"/>
      <c r="B1828" s="160"/>
      <c r="C1828" s="153"/>
      <c r="D1828" s="169"/>
      <c r="E1828" s="139"/>
      <c r="F1828" s="141"/>
      <c r="G1828" s="170" t="str">
        <f>IFERROR(__xludf.DUMMYFUNCTION("if($C1828="""","""",iferror(if(row()&lt;&gt;2,INDEX(arrayformula(filter($H$2:$H1827,$C$2:$C1827&lt;&gt;"""",row($C$2:$C1827)=max(if($C$2:$C1827=C1828,row($C$2:$C1827),0)))) ,1),0),0))"),"")</f>
        <v/>
      </c>
      <c r="H1828" s="170" t="str">
        <f t="shared" si="8"/>
        <v/>
      </c>
      <c r="I1828" s="147" t="str">
        <f t="shared" si="1"/>
        <v/>
      </c>
      <c r="J1828" s="147" t="str">
        <f t="shared" si="13"/>
        <v/>
      </c>
      <c r="K1828" s="147" t="str">
        <f>IFERROR(__xludf.DUMMYFUNCTION("if(C1828="""","""",iferror(if(row()&lt;&gt;2,INDEX(arrayformula(filter($L$2:$L1827,$C$2:$C1827&lt;&gt;"""",row($C$2:$C1827)=max(if($C$2:$C1827=C1828,row($C$2:$C1827),0)))) ,1),0),0))"),"")</f>
        <v/>
      </c>
      <c r="L1828" s="147" t="str">
        <f t="shared" si="14"/>
        <v/>
      </c>
      <c r="M1828" s="147" t="str">
        <f t="shared" si="15"/>
        <v/>
      </c>
      <c r="N1828" s="147" t="str">
        <f t="shared" si="16"/>
        <v/>
      </c>
      <c r="O1828" s="147" t="str">
        <f t="shared" si="6"/>
        <v/>
      </c>
      <c r="P1828" s="150" t="str">
        <f t="shared" si="7"/>
        <v/>
      </c>
      <c r="Q1828" s="151" t="str">
        <f>IFERROR(VLOOKUP(C1828,Ativos!$A$1:$G2000,5,),)</f>
        <v/>
      </c>
    </row>
    <row r="1829" ht="21.0" customHeight="1">
      <c r="A1829" s="152"/>
      <c r="B1829" s="160"/>
      <c r="C1829" s="153"/>
      <c r="D1829" s="169"/>
      <c r="E1829" s="139"/>
      <c r="F1829" s="141"/>
      <c r="G1829" s="170" t="str">
        <f>IFERROR(__xludf.DUMMYFUNCTION("if($C1829="""","""",iferror(if(row()&lt;&gt;2,INDEX(arrayformula(filter($H$2:$H1828,$C$2:$C1828&lt;&gt;"""",row($C$2:$C1828)=max(if($C$2:$C1828=C1829,row($C$2:$C1828),0)))) ,1),0),0))"),"")</f>
        <v/>
      </c>
      <c r="H1829" s="170" t="str">
        <f t="shared" si="8"/>
        <v/>
      </c>
      <c r="I1829" s="147" t="str">
        <f t="shared" si="1"/>
        <v/>
      </c>
      <c r="J1829" s="147" t="str">
        <f t="shared" si="13"/>
        <v/>
      </c>
      <c r="K1829" s="147" t="str">
        <f>IFERROR(__xludf.DUMMYFUNCTION("if(C1829="""","""",iferror(if(row()&lt;&gt;2,INDEX(arrayformula(filter($L$2:$L1828,$C$2:$C1828&lt;&gt;"""",row($C$2:$C1828)=max(if($C$2:$C1828=C1829,row($C$2:$C1828),0)))) ,1),0),0))"),"")</f>
        <v/>
      </c>
      <c r="L1829" s="147" t="str">
        <f t="shared" si="14"/>
        <v/>
      </c>
      <c r="M1829" s="147" t="str">
        <f t="shared" si="15"/>
        <v/>
      </c>
      <c r="N1829" s="147" t="str">
        <f t="shared" si="16"/>
        <v/>
      </c>
      <c r="O1829" s="147" t="str">
        <f t="shared" si="6"/>
        <v/>
      </c>
      <c r="P1829" s="150" t="str">
        <f t="shared" si="7"/>
        <v/>
      </c>
      <c r="Q1829" s="151" t="str">
        <f>IFERROR(VLOOKUP(C1829,Ativos!$A$1:$G2000,5,),)</f>
        <v/>
      </c>
    </row>
    <row r="1830" ht="21.0" customHeight="1">
      <c r="A1830" s="152"/>
      <c r="B1830" s="160"/>
      <c r="C1830" s="153"/>
      <c r="D1830" s="169"/>
      <c r="E1830" s="139"/>
      <c r="F1830" s="141"/>
      <c r="G1830" s="170" t="str">
        <f>IFERROR(__xludf.DUMMYFUNCTION("if($C1830="""","""",iferror(if(row()&lt;&gt;2,INDEX(arrayformula(filter($H$2:$H1829,$C$2:$C1829&lt;&gt;"""",row($C$2:$C1829)=max(if($C$2:$C1829=C1830,row($C$2:$C1829),0)))) ,1),0),0))"),"")</f>
        <v/>
      </c>
      <c r="H1830" s="170" t="str">
        <f t="shared" si="8"/>
        <v/>
      </c>
      <c r="I1830" s="147" t="str">
        <f t="shared" si="1"/>
        <v/>
      </c>
      <c r="J1830" s="147" t="str">
        <f t="shared" si="13"/>
        <v/>
      </c>
      <c r="K1830" s="147" t="str">
        <f>IFERROR(__xludf.DUMMYFUNCTION("if(C1830="""","""",iferror(if(row()&lt;&gt;2,INDEX(arrayformula(filter($L$2:$L1829,$C$2:$C1829&lt;&gt;"""",row($C$2:$C1829)=max(if($C$2:$C1829=C1830,row($C$2:$C1829),0)))) ,1),0),0))"),"")</f>
        <v/>
      </c>
      <c r="L1830" s="147" t="str">
        <f t="shared" si="14"/>
        <v/>
      </c>
      <c r="M1830" s="147" t="str">
        <f t="shared" si="15"/>
        <v/>
      </c>
      <c r="N1830" s="147" t="str">
        <f t="shared" si="16"/>
        <v/>
      </c>
      <c r="O1830" s="147" t="str">
        <f t="shared" si="6"/>
        <v/>
      </c>
      <c r="P1830" s="150" t="str">
        <f t="shared" si="7"/>
        <v/>
      </c>
      <c r="Q1830" s="151" t="str">
        <f>IFERROR(VLOOKUP(C1830,Ativos!$A$1:$G2000,5,),)</f>
        <v/>
      </c>
    </row>
    <row r="1831" ht="21.0" customHeight="1">
      <c r="A1831" s="152"/>
      <c r="B1831" s="160"/>
      <c r="C1831" s="153"/>
      <c r="D1831" s="169"/>
      <c r="E1831" s="139"/>
      <c r="F1831" s="141"/>
      <c r="G1831" s="170" t="str">
        <f>IFERROR(__xludf.DUMMYFUNCTION("if($C1831="""","""",iferror(if(row()&lt;&gt;2,INDEX(arrayformula(filter($H$2:$H1830,$C$2:$C1830&lt;&gt;"""",row($C$2:$C1830)=max(if($C$2:$C1830=C1831,row($C$2:$C1830),0)))) ,1),0),0))"),"")</f>
        <v/>
      </c>
      <c r="H1831" s="170" t="str">
        <f t="shared" si="8"/>
        <v/>
      </c>
      <c r="I1831" s="147" t="str">
        <f t="shared" si="1"/>
        <v/>
      </c>
      <c r="J1831" s="147" t="str">
        <f t="shared" si="13"/>
        <v/>
      </c>
      <c r="K1831" s="147" t="str">
        <f>IFERROR(__xludf.DUMMYFUNCTION("if(C1831="""","""",iferror(if(row()&lt;&gt;2,INDEX(arrayformula(filter($L$2:$L1830,$C$2:$C1830&lt;&gt;"""",row($C$2:$C1830)=max(if($C$2:$C1830=C1831,row($C$2:$C1830),0)))) ,1),0),0))"),"")</f>
        <v/>
      </c>
      <c r="L1831" s="147" t="str">
        <f t="shared" si="14"/>
        <v/>
      </c>
      <c r="M1831" s="147" t="str">
        <f t="shared" si="15"/>
        <v/>
      </c>
      <c r="N1831" s="147" t="str">
        <f t="shared" si="16"/>
        <v/>
      </c>
      <c r="O1831" s="147" t="str">
        <f t="shared" si="6"/>
        <v/>
      </c>
      <c r="P1831" s="150" t="str">
        <f t="shared" si="7"/>
        <v/>
      </c>
      <c r="Q1831" s="151" t="str">
        <f>IFERROR(VLOOKUP(C1831,Ativos!$A$1:$G2000,5,),)</f>
        <v/>
      </c>
    </row>
    <row r="1832" ht="21.0" customHeight="1">
      <c r="A1832" s="152"/>
      <c r="B1832" s="160"/>
      <c r="C1832" s="153"/>
      <c r="D1832" s="169"/>
      <c r="E1832" s="139"/>
      <c r="F1832" s="141"/>
      <c r="G1832" s="170" t="str">
        <f>IFERROR(__xludf.DUMMYFUNCTION("if($C1832="""","""",iferror(if(row()&lt;&gt;2,INDEX(arrayformula(filter($H$2:$H1831,$C$2:$C1831&lt;&gt;"""",row($C$2:$C1831)=max(if($C$2:$C1831=C1832,row($C$2:$C1831),0)))) ,1),0),0))"),"")</f>
        <v/>
      </c>
      <c r="H1832" s="170" t="str">
        <f t="shared" si="8"/>
        <v/>
      </c>
      <c r="I1832" s="147" t="str">
        <f t="shared" si="1"/>
        <v/>
      </c>
      <c r="J1832" s="147" t="str">
        <f t="shared" si="13"/>
        <v/>
      </c>
      <c r="K1832" s="147" t="str">
        <f>IFERROR(__xludf.DUMMYFUNCTION("if(C1832="""","""",iferror(if(row()&lt;&gt;2,INDEX(arrayformula(filter($L$2:$L1831,$C$2:$C1831&lt;&gt;"""",row($C$2:$C1831)=max(if($C$2:$C1831=C1832,row($C$2:$C1831),0)))) ,1),0),0))"),"")</f>
        <v/>
      </c>
      <c r="L1832" s="147" t="str">
        <f t="shared" si="14"/>
        <v/>
      </c>
      <c r="M1832" s="147" t="str">
        <f t="shared" si="15"/>
        <v/>
      </c>
      <c r="N1832" s="147" t="str">
        <f t="shared" si="16"/>
        <v/>
      </c>
      <c r="O1832" s="147" t="str">
        <f t="shared" si="6"/>
        <v/>
      </c>
      <c r="P1832" s="150" t="str">
        <f t="shared" si="7"/>
        <v/>
      </c>
      <c r="Q1832" s="151" t="str">
        <f>IFERROR(VLOOKUP(C1832,Ativos!$A$1:$G2000,5,),)</f>
        <v/>
      </c>
    </row>
    <row r="1833" ht="21.0" customHeight="1">
      <c r="A1833" s="152"/>
      <c r="B1833" s="160"/>
      <c r="C1833" s="153"/>
      <c r="D1833" s="169"/>
      <c r="E1833" s="139"/>
      <c r="F1833" s="141"/>
      <c r="G1833" s="170" t="str">
        <f>IFERROR(__xludf.DUMMYFUNCTION("if($C1833="""","""",iferror(if(row()&lt;&gt;2,INDEX(arrayformula(filter($H$2:$H1832,$C$2:$C1832&lt;&gt;"""",row($C$2:$C1832)=max(if($C$2:$C1832=C1833,row($C$2:$C1832),0)))) ,1),0),0))"),"")</f>
        <v/>
      </c>
      <c r="H1833" s="170" t="str">
        <f t="shared" si="8"/>
        <v/>
      </c>
      <c r="I1833" s="147" t="str">
        <f t="shared" si="1"/>
        <v/>
      </c>
      <c r="J1833" s="147" t="str">
        <f t="shared" si="13"/>
        <v/>
      </c>
      <c r="K1833" s="147" t="str">
        <f>IFERROR(__xludf.DUMMYFUNCTION("if(C1833="""","""",iferror(if(row()&lt;&gt;2,INDEX(arrayformula(filter($L$2:$L1832,$C$2:$C1832&lt;&gt;"""",row($C$2:$C1832)=max(if($C$2:$C1832=C1833,row($C$2:$C1832),0)))) ,1),0),0))"),"")</f>
        <v/>
      </c>
      <c r="L1833" s="147" t="str">
        <f t="shared" si="14"/>
        <v/>
      </c>
      <c r="M1833" s="147" t="str">
        <f t="shared" si="15"/>
        <v/>
      </c>
      <c r="N1833" s="147" t="str">
        <f t="shared" si="16"/>
        <v/>
      </c>
      <c r="O1833" s="147" t="str">
        <f t="shared" si="6"/>
        <v/>
      </c>
      <c r="P1833" s="150" t="str">
        <f t="shared" si="7"/>
        <v/>
      </c>
      <c r="Q1833" s="151" t="str">
        <f>IFERROR(VLOOKUP(C1833,Ativos!$A$1:$G2000,5,),)</f>
        <v/>
      </c>
    </row>
    <row r="1834" ht="21.0" customHeight="1">
      <c r="A1834" s="152"/>
      <c r="B1834" s="160"/>
      <c r="C1834" s="153"/>
      <c r="D1834" s="169"/>
      <c r="E1834" s="139"/>
      <c r="F1834" s="141"/>
      <c r="G1834" s="170" t="str">
        <f>IFERROR(__xludf.DUMMYFUNCTION("if($C1834="""","""",iferror(if(row()&lt;&gt;2,INDEX(arrayformula(filter($H$2:$H1833,$C$2:$C1833&lt;&gt;"""",row($C$2:$C1833)=max(if($C$2:$C1833=C1834,row($C$2:$C1833),0)))) ,1),0),0))"),"")</f>
        <v/>
      </c>
      <c r="H1834" s="170" t="str">
        <f t="shared" si="8"/>
        <v/>
      </c>
      <c r="I1834" s="147" t="str">
        <f t="shared" si="1"/>
        <v/>
      </c>
      <c r="J1834" s="147" t="str">
        <f t="shared" si="13"/>
        <v/>
      </c>
      <c r="K1834" s="147" t="str">
        <f>IFERROR(__xludf.DUMMYFUNCTION("if(C1834="""","""",iferror(if(row()&lt;&gt;2,INDEX(arrayformula(filter($L$2:$L1833,$C$2:$C1833&lt;&gt;"""",row($C$2:$C1833)=max(if($C$2:$C1833=C1834,row($C$2:$C1833),0)))) ,1),0),0))"),"")</f>
        <v/>
      </c>
      <c r="L1834" s="147" t="str">
        <f t="shared" si="14"/>
        <v/>
      </c>
      <c r="M1834" s="147" t="str">
        <f t="shared" si="15"/>
        <v/>
      </c>
      <c r="N1834" s="147" t="str">
        <f t="shared" si="16"/>
        <v/>
      </c>
      <c r="O1834" s="147" t="str">
        <f t="shared" si="6"/>
        <v/>
      </c>
      <c r="P1834" s="150" t="str">
        <f t="shared" si="7"/>
        <v/>
      </c>
      <c r="Q1834" s="151" t="str">
        <f>IFERROR(VLOOKUP(C1834,Ativos!$A$1:$G2000,5,),)</f>
        <v/>
      </c>
    </row>
    <row r="1835" ht="21.0" customHeight="1">
      <c r="A1835" s="152"/>
      <c r="B1835" s="160"/>
      <c r="C1835" s="153"/>
      <c r="D1835" s="169"/>
      <c r="E1835" s="139"/>
      <c r="F1835" s="141"/>
      <c r="G1835" s="170" t="str">
        <f>IFERROR(__xludf.DUMMYFUNCTION("if($C1835="""","""",iferror(if(row()&lt;&gt;2,INDEX(arrayformula(filter($H$2:$H1834,$C$2:$C1834&lt;&gt;"""",row($C$2:$C1834)=max(if($C$2:$C1834=C1835,row($C$2:$C1834),0)))) ,1),0),0))"),"")</f>
        <v/>
      </c>
      <c r="H1835" s="170" t="str">
        <f t="shared" si="8"/>
        <v/>
      </c>
      <c r="I1835" s="147" t="str">
        <f t="shared" si="1"/>
        <v/>
      </c>
      <c r="J1835" s="147" t="str">
        <f t="shared" si="13"/>
        <v/>
      </c>
      <c r="K1835" s="147" t="str">
        <f>IFERROR(__xludf.DUMMYFUNCTION("if(C1835="""","""",iferror(if(row()&lt;&gt;2,INDEX(arrayformula(filter($L$2:$L1834,$C$2:$C1834&lt;&gt;"""",row($C$2:$C1834)=max(if($C$2:$C1834=C1835,row($C$2:$C1834),0)))) ,1),0),0))"),"")</f>
        <v/>
      </c>
      <c r="L1835" s="147" t="str">
        <f t="shared" si="14"/>
        <v/>
      </c>
      <c r="M1835" s="147" t="str">
        <f t="shared" si="15"/>
        <v/>
      </c>
      <c r="N1835" s="147" t="str">
        <f t="shared" si="16"/>
        <v/>
      </c>
      <c r="O1835" s="147" t="str">
        <f t="shared" si="6"/>
        <v/>
      </c>
      <c r="P1835" s="150" t="str">
        <f t="shared" si="7"/>
        <v/>
      </c>
      <c r="Q1835" s="151" t="str">
        <f>IFERROR(VLOOKUP(C1835,Ativos!$A$1:$G2000,5,),)</f>
        <v/>
      </c>
    </row>
    <row r="1836" ht="21.0" customHeight="1">
      <c r="A1836" s="152"/>
      <c r="B1836" s="160"/>
      <c r="C1836" s="153"/>
      <c r="D1836" s="169"/>
      <c r="E1836" s="139"/>
      <c r="F1836" s="141"/>
      <c r="G1836" s="170" t="str">
        <f>IFERROR(__xludf.DUMMYFUNCTION("if($C1836="""","""",iferror(if(row()&lt;&gt;2,INDEX(arrayformula(filter($H$2:$H1835,$C$2:$C1835&lt;&gt;"""",row($C$2:$C1835)=max(if($C$2:$C1835=C1836,row($C$2:$C1835),0)))) ,1),0),0))"),"")</f>
        <v/>
      </c>
      <c r="H1836" s="170" t="str">
        <f t="shared" si="8"/>
        <v/>
      </c>
      <c r="I1836" s="147" t="str">
        <f t="shared" si="1"/>
        <v/>
      </c>
      <c r="J1836" s="147" t="str">
        <f t="shared" si="13"/>
        <v/>
      </c>
      <c r="K1836" s="147" t="str">
        <f>IFERROR(__xludf.DUMMYFUNCTION("if(C1836="""","""",iferror(if(row()&lt;&gt;2,INDEX(arrayformula(filter($L$2:$L1835,$C$2:$C1835&lt;&gt;"""",row($C$2:$C1835)=max(if($C$2:$C1835=C1836,row($C$2:$C1835),0)))) ,1),0),0))"),"")</f>
        <v/>
      </c>
      <c r="L1836" s="147" t="str">
        <f t="shared" si="14"/>
        <v/>
      </c>
      <c r="M1836" s="147" t="str">
        <f t="shared" si="15"/>
        <v/>
      </c>
      <c r="N1836" s="147" t="str">
        <f t="shared" si="16"/>
        <v/>
      </c>
      <c r="O1836" s="147" t="str">
        <f t="shared" si="6"/>
        <v/>
      </c>
      <c r="P1836" s="150" t="str">
        <f t="shared" si="7"/>
        <v/>
      </c>
      <c r="Q1836" s="151" t="str">
        <f>IFERROR(VLOOKUP(C1836,Ativos!$A$1:$G2000,5,),)</f>
        <v/>
      </c>
    </row>
    <row r="1837" ht="21.0" customHeight="1">
      <c r="A1837" s="152"/>
      <c r="B1837" s="160"/>
      <c r="C1837" s="153"/>
      <c r="D1837" s="169"/>
      <c r="E1837" s="139"/>
      <c r="F1837" s="141"/>
      <c r="G1837" s="170" t="str">
        <f>IFERROR(__xludf.DUMMYFUNCTION("if($C1837="""","""",iferror(if(row()&lt;&gt;2,INDEX(arrayformula(filter($H$2:$H1836,$C$2:$C1836&lt;&gt;"""",row($C$2:$C1836)=max(if($C$2:$C1836=C1837,row($C$2:$C1836),0)))) ,1),0),0))"),"")</f>
        <v/>
      </c>
      <c r="H1837" s="170" t="str">
        <f t="shared" si="8"/>
        <v/>
      </c>
      <c r="I1837" s="147" t="str">
        <f t="shared" si="1"/>
        <v/>
      </c>
      <c r="J1837" s="147" t="str">
        <f t="shared" si="13"/>
        <v/>
      </c>
      <c r="K1837" s="147" t="str">
        <f>IFERROR(__xludf.DUMMYFUNCTION("if(C1837="""","""",iferror(if(row()&lt;&gt;2,INDEX(arrayformula(filter($L$2:$L1836,$C$2:$C1836&lt;&gt;"""",row($C$2:$C1836)=max(if($C$2:$C1836=C1837,row($C$2:$C1836),0)))) ,1),0),0))"),"")</f>
        <v/>
      </c>
      <c r="L1837" s="147" t="str">
        <f t="shared" si="14"/>
        <v/>
      </c>
      <c r="M1837" s="147" t="str">
        <f t="shared" si="15"/>
        <v/>
      </c>
      <c r="N1837" s="147" t="str">
        <f t="shared" si="16"/>
        <v/>
      </c>
      <c r="O1837" s="147" t="str">
        <f t="shared" si="6"/>
        <v/>
      </c>
      <c r="P1837" s="150" t="str">
        <f t="shared" si="7"/>
        <v/>
      </c>
      <c r="Q1837" s="151" t="str">
        <f>IFERROR(VLOOKUP(C1837,Ativos!$A$1:$G2000,5,),)</f>
        <v/>
      </c>
    </row>
    <row r="1838" ht="21.0" customHeight="1">
      <c r="A1838" s="152"/>
      <c r="B1838" s="160"/>
      <c r="C1838" s="153"/>
      <c r="D1838" s="169"/>
      <c r="E1838" s="139"/>
      <c r="F1838" s="141"/>
      <c r="G1838" s="170" t="str">
        <f>IFERROR(__xludf.DUMMYFUNCTION("if($C1838="""","""",iferror(if(row()&lt;&gt;2,INDEX(arrayformula(filter($H$2:$H1837,$C$2:$C1837&lt;&gt;"""",row($C$2:$C1837)=max(if($C$2:$C1837=C1838,row($C$2:$C1837),0)))) ,1),0),0))"),"")</f>
        <v/>
      </c>
      <c r="H1838" s="170" t="str">
        <f t="shared" si="8"/>
        <v/>
      </c>
      <c r="I1838" s="147" t="str">
        <f t="shared" si="1"/>
        <v/>
      </c>
      <c r="J1838" s="147" t="str">
        <f t="shared" si="13"/>
        <v/>
      </c>
      <c r="K1838" s="147" t="str">
        <f>IFERROR(__xludf.DUMMYFUNCTION("if(C1838="""","""",iferror(if(row()&lt;&gt;2,INDEX(arrayformula(filter($L$2:$L1837,$C$2:$C1837&lt;&gt;"""",row($C$2:$C1837)=max(if($C$2:$C1837=C1838,row($C$2:$C1837),0)))) ,1),0),0))"),"")</f>
        <v/>
      </c>
      <c r="L1838" s="147" t="str">
        <f t="shared" si="14"/>
        <v/>
      </c>
      <c r="M1838" s="147" t="str">
        <f t="shared" si="15"/>
        <v/>
      </c>
      <c r="N1838" s="147" t="str">
        <f t="shared" si="16"/>
        <v/>
      </c>
      <c r="O1838" s="147" t="str">
        <f t="shared" si="6"/>
        <v/>
      </c>
      <c r="P1838" s="150" t="str">
        <f t="shared" si="7"/>
        <v/>
      </c>
      <c r="Q1838" s="151" t="str">
        <f>IFERROR(VLOOKUP(C1838,Ativos!$A$1:$G2000,5,),)</f>
        <v/>
      </c>
    </row>
    <row r="1839" ht="21.0" customHeight="1">
      <c r="A1839" s="152"/>
      <c r="B1839" s="160"/>
      <c r="C1839" s="153"/>
      <c r="D1839" s="169"/>
      <c r="E1839" s="139"/>
      <c r="F1839" s="141"/>
      <c r="G1839" s="170" t="str">
        <f>IFERROR(__xludf.DUMMYFUNCTION("if($C1839="""","""",iferror(if(row()&lt;&gt;2,INDEX(arrayformula(filter($H$2:$H1838,$C$2:$C1838&lt;&gt;"""",row($C$2:$C1838)=max(if($C$2:$C1838=C1839,row($C$2:$C1838),0)))) ,1),0),0))"),"")</f>
        <v/>
      </c>
      <c r="H1839" s="170" t="str">
        <f t="shared" si="8"/>
        <v/>
      </c>
      <c r="I1839" s="147" t="str">
        <f t="shared" si="1"/>
        <v/>
      </c>
      <c r="J1839" s="147" t="str">
        <f t="shared" si="13"/>
        <v/>
      </c>
      <c r="K1839" s="147" t="str">
        <f>IFERROR(__xludf.DUMMYFUNCTION("if(C1839="""","""",iferror(if(row()&lt;&gt;2,INDEX(arrayformula(filter($L$2:$L1838,$C$2:$C1838&lt;&gt;"""",row($C$2:$C1838)=max(if($C$2:$C1838=C1839,row($C$2:$C1838),0)))) ,1),0),0))"),"")</f>
        <v/>
      </c>
      <c r="L1839" s="147" t="str">
        <f t="shared" si="14"/>
        <v/>
      </c>
      <c r="M1839" s="147" t="str">
        <f t="shared" si="15"/>
        <v/>
      </c>
      <c r="N1839" s="147" t="str">
        <f t="shared" si="16"/>
        <v/>
      </c>
      <c r="O1839" s="147" t="str">
        <f t="shared" si="6"/>
        <v/>
      </c>
      <c r="P1839" s="150" t="str">
        <f t="shared" si="7"/>
        <v/>
      </c>
      <c r="Q1839" s="151" t="str">
        <f>IFERROR(VLOOKUP(C1839,Ativos!$A$1:$G2000,5,),)</f>
        <v/>
      </c>
    </row>
    <row r="1840" ht="21.0" customHeight="1">
      <c r="A1840" s="152"/>
      <c r="B1840" s="160"/>
      <c r="C1840" s="153"/>
      <c r="D1840" s="169"/>
      <c r="E1840" s="139"/>
      <c r="F1840" s="141"/>
      <c r="G1840" s="170" t="str">
        <f>IFERROR(__xludf.DUMMYFUNCTION("if($C1840="""","""",iferror(if(row()&lt;&gt;2,INDEX(arrayformula(filter($H$2:$H1839,$C$2:$C1839&lt;&gt;"""",row($C$2:$C1839)=max(if($C$2:$C1839=C1840,row($C$2:$C1839),0)))) ,1),0),0))"),"")</f>
        <v/>
      </c>
      <c r="H1840" s="170" t="str">
        <f t="shared" si="8"/>
        <v/>
      </c>
      <c r="I1840" s="147" t="str">
        <f t="shared" si="1"/>
        <v/>
      </c>
      <c r="J1840" s="147" t="str">
        <f t="shared" si="13"/>
        <v/>
      </c>
      <c r="K1840" s="147" t="str">
        <f>IFERROR(__xludf.DUMMYFUNCTION("if(C1840="""","""",iferror(if(row()&lt;&gt;2,INDEX(arrayformula(filter($L$2:$L1839,$C$2:$C1839&lt;&gt;"""",row($C$2:$C1839)=max(if($C$2:$C1839=C1840,row($C$2:$C1839),0)))) ,1),0),0))"),"")</f>
        <v/>
      </c>
      <c r="L1840" s="147" t="str">
        <f t="shared" si="14"/>
        <v/>
      </c>
      <c r="M1840" s="147" t="str">
        <f t="shared" si="15"/>
        <v/>
      </c>
      <c r="N1840" s="147" t="str">
        <f t="shared" si="16"/>
        <v/>
      </c>
      <c r="O1840" s="147" t="str">
        <f t="shared" si="6"/>
        <v/>
      </c>
      <c r="P1840" s="150" t="str">
        <f t="shared" si="7"/>
        <v/>
      </c>
      <c r="Q1840" s="151" t="str">
        <f>IFERROR(VLOOKUP(C1840,Ativos!$A$1:$G2000,5,),)</f>
        <v/>
      </c>
    </row>
    <row r="1841" ht="21.0" customHeight="1">
      <c r="A1841" s="152"/>
      <c r="B1841" s="160"/>
      <c r="C1841" s="153"/>
      <c r="D1841" s="169"/>
      <c r="E1841" s="139"/>
      <c r="F1841" s="141"/>
      <c r="G1841" s="170" t="str">
        <f>IFERROR(__xludf.DUMMYFUNCTION("if($C1841="""","""",iferror(if(row()&lt;&gt;2,INDEX(arrayformula(filter($H$2:$H1840,$C$2:$C1840&lt;&gt;"""",row($C$2:$C1840)=max(if($C$2:$C1840=C1841,row($C$2:$C1840),0)))) ,1),0),0))"),"")</f>
        <v/>
      </c>
      <c r="H1841" s="170" t="str">
        <f t="shared" si="8"/>
        <v/>
      </c>
      <c r="I1841" s="147" t="str">
        <f t="shared" si="1"/>
        <v/>
      </c>
      <c r="J1841" s="147" t="str">
        <f t="shared" si="13"/>
        <v/>
      </c>
      <c r="K1841" s="147" t="str">
        <f>IFERROR(__xludf.DUMMYFUNCTION("if(C1841="""","""",iferror(if(row()&lt;&gt;2,INDEX(arrayformula(filter($L$2:$L1840,$C$2:$C1840&lt;&gt;"""",row($C$2:$C1840)=max(if($C$2:$C1840=C1841,row($C$2:$C1840),0)))) ,1),0),0))"),"")</f>
        <v/>
      </c>
      <c r="L1841" s="147" t="str">
        <f t="shared" si="14"/>
        <v/>
      </c>
      <c r="M1841" s="147" t="str">
        <f t="shared" si="15"/>
        <v/>
      </c>
      <c r="N1841" s="147" t="str">
        <f t="shared" si="16"/>
        <v/>
      </c>
      <c r="O1841" s="147" t="str">
        <f t="shared" si="6"/>
        <v/>
      </c>
      <c r="P1841" s="150" t="str">
        <f t="shared" si="7"/>
        <v/>
      </c>
      <c r="Q1841" s="151" t="str">
        <f>IFERROR(VLOOKUP(C1841,Ativos!$A$1:$G2000,5,),)</f>
        <v/>
      </c>
    </row>
    <row r="1842" ht="21.0" customHeight="1">
      <c r="A1842" s="152"/>
      <c r="B1842" s="160"/>
      <c r="C1842" s="153"/>
      <c r="D1842" s="169"/>
      <c r="E1842" s="139"/>
      <c r="F1842" s="141"/>
      <c r="G1842" s="170" t="str">
        <f>IFERROR(__xludf.DUMMYFUNCTION("if($C1842="""","""",iferror(if(row()&lt;&gt;2,INDEX(arrayformula(filter($H$2:$H1841,$C$2:$C1841&lt;&gt;"""",row($C$2:$C1841)=max(if($C$2:$C1841=C1842,row($C$2:$C1841),0)))) ,1),0),0))"),"")</f>
        <v/>
      </c>
      <c r="H1842" s="170" t="str">
        <f t="shared" si="8"/>
        <v/>
      </c>
      <c r="I1842" s="147" t="str">
        <f t="shared" si="1"/>
        <v/>
      </c>
      <c r="J1842" s="147" t="str">
        <f t="shared" si="13"/>
        <v/>
      </c>
      <c r="K1842" s="147" t="str">
        <f>IFERROR(__xludf.DUMMYFUNCTION("if(C1842="""","""",iferror(if(row()&lt;&gt;2,INDEX(arrayformula(filter($L$2:$L1841,$C$2:$C1841&lt;&gt;"""",row($C$2:$C1841)=max(if($C$2:$C1841=C1842,row($C$2:$C1841),0)))) ,1),0),0))"),"")</f>
        <v/>
      </c>
      <c r="L1842" s="147" t="str">
        <f t="shared" si="14"/>
        <v/>
      </c>
      <c r="M1842" s="147" t="str">
        <f t="shared" si="15"/>
        <v/>
      </c>
      <c r="N1842" s="147" t="str">
        <f t="shared" si="16"/>
        <v/>
      </c>
      <c r="O1842" s="147" t="str">
        <f t="shared" si="6"/>
        <v/>
      </c>
      <c r="P1842" s="150" t="str">
        <f t="shared" si="7"/>
        <v/>
      </c>
      <c r="Q1842" s="151" t="str">
        <f>IFERROR(VLOOKUP(C1842,Ativos!$A$1:$G2000,5,),)</f>
        <v/>
      </c>
    </row>
    <row r="1843" ht="21.0" customHeight="1">
      <c r="A1843" s="152"/>
      <c r="B1843" s="160"/>
      <c r="C1843" s="153"/>
      <c r="D1843" s="169"/>
      <c r="E1843" s="139"/>
      <c r="F1843" s="141"/>
      <c r="G1843" s="170" t="str">
        <f>IFERROR(__xludf.DUMMYFUNCTION("if($C1843="""","""",iferror(if(row()&lt;&gt;2,INDEX(arrayformula(filter($H$2:$H1842,$C$2:$C1842&lt;&gt;"""",row($C$2:$C1842)=max(if($C$2:$C1842=C1843,row($C$2:$C1842),0)))) ,1),0),0))"),"")</f>
        <v/>
      </c>
      <c r="H1843" s="170" t="str">
        <f t="shared" si="8"/>
        <v/>
      </c>
      <c r="I1843" s="147" t="str">
        <f t="shared" si="1"/>
        <v/>
      </c>
      <c r="J1843" s="147" t="str">
        <f t="shared" si="13"/>
        <v/>
      </c>
      <c r="K1843" s="147" t="str">
        <f>IFERROR(__xludf.DUMMYFUNCTION("if(C1843="""","""",iferror(if(row()&lt;&gt;2,INDEX(arrayformula(filter($L$2:$L1842,$C$2:$C1842&lt;&gt;"""",row($C$2:$C1842)=max(if($C$2:$C1842=C1843,row($C$2:$C1842),0)))) ,1),0),0))"),"")</f>
        <v/>
      </c>
      <c r="L1843" s="147" t="str">
        <f t="shared" si="14"/>
        <v/>
      </c>
      <c r="M1843" s="147" t="str">
        <f t="shared" si="15"/>
        <v/>
      </c>
      <c r="N1843" s="147" t="str">
        <f t="shared" si="16"/>
        <v/>
      </c>
      <c r="O1843" s="147" t="str">
        <f t="shared" si="6"/>
        <v/>
      </c>
      <c r="P1843" s="150" t="str">
        <f t="shared" si="7"/>
        <v/>
      </c>
      <c r="Q1843" s="151" t="str">
        <f>IFERROR(VLOOKUP(C1843,Ativos!$A$1:$G2000,5,),)</f>
        <v/>
      </c>
    </row>
    <row r="1844" ht="21.0" customHeight="1">
      <c r="A1844" s="152"/>
      <c r="B1844" s="160"/>
      <c r="C1844" s="153"/>
      <c r="D1844" s="169"/>
      <c r="E1844" s="139"/>
      <c r="F1844" s="141"/>
      <c r="G1844" s="170" t="str">
        <f>IFERROR(__xludf.DUMMYFUNCTION("if($C1844="""","""",iferror(if(row()&lt;&gt;2,INDEX(arrayformula(filter($H$2:$H1843,$C$2:$C1843&lt;&gt;"""",row($C$2:$C1843)=max(if($C$2:$C1843=C1844,row($C$2:$C1843),0)))) ,1),0),0))"),"")</f>
        <v/>
      </c>
      <c r="H1844" s="170" t="str">
        <f t="shared" si="8"/>
        <v/>
      </c>
      <c r="I1844" s="147" t="str">
        <f t="shared" si="1"/>
        <v/>
      </c>
      <c r="J1844" s="147" t="str">
        <f t="shared" si="13"/>
        <v/>
      </c>
      <c r="K1844" s="147" t="str">
        <f>IFERROR(__xludf.DUMMYFUNCTION("if(C1844="""","""",iferror(if(row()&lt;&gt;2,INDEX(arrayformula(filter($L$2:$L1843,$C$2:$C1843&lt;&gt;"""",row($C$2:$C1843)=max(if($C$2:$C1843=C1844,row($C$2:$C1843),0)))) ,1),0),0))"),"")</f>
        <v/>
      </c>
      <c r="L1844" s="147" t="str">
        <f t="shared" si="14"/>
        <v/>
      </c>
      <c r="M1844" s="147" t="str">
        <f t="shared" si="15"/>
        <v/>
      </c>
      <c r="N1844" s="147" t="str">
        <f t="shared" si="16"/>
        <v/>
      </c>
      <c r="O1844" s="147" t="str">
        <f t="shared" si="6"/>
        <v/>
      </c>
      <c r="P1844" s="150" t="str">
        <f t="shared" si="7"/>
        <v/>
      </c>
      <c r="Q1844" s="151" t="str">
        <f>IFERROR(VLOOKUP(C1844,Ativos!$A$1:$G2000,5,),)</f>
        <v/>
      </c>
    </row>
    <row r="1845" ht="21.0" customHeight="1">
      <c r="A1845" s="152"/>
      <c r="B1845" s="160"/>
      <c r="C1845" s="153"/>
      <c r="D1845" s="169"/>
      <c r="E1845" s="139"/>
      <c r="F1845" s="141"/>
      <c r="G1845" s="170" t="str">
        <f>IFERROR(__xludf.DUMMYFUNCTION("if($C1845="""","""",iferror(if(row()&lt;&gt;2,INDEX(arrayformula(filter($H$2:$H1844,$C$2:$C1844&lt;&gt;"""",row($C$2:$C1844)=max(if($C$2:$C1844=C1845,row($C$2:$C1844),0)))) ,1),0),0))"),"")</f>
        <v/>
      </c>
      <c r="H1845" s="170" t="str">
        <f t="shared" si="8"/>
        <v/>
      </c>
      <c r="I1845" s="147" t="str">
        <f t="shared" si="1"/>
        <v/>
      </c>
      <c r="J1845" s="147" t="str">
        <f t="shared" si="13"/>
        <v/>
      </c>
      <c r="K1845" s="147" t="str">
        <f>IFERROR(__xludf.DUMMYFUNCTION("if(C1845="""","""",iferror(if(row()&lt;&gt;2,INDEX(arrayformula(filter($L$2:$L1844,$C$2:$C1844&lt;&gt;"""",row($C$2:$C1844)=max(if($C$2:$C1844=C1845,row($C$2:$C1844),0)))) ,1),0),0))"),"")</f>
        <v/>
      </c>
      <c r="L1845" s="147" t="str">
        <f t="shared" si="14"/>
        <v/>
      </c>
      <c r="M1845" s="147" t="str">
        <f t="shared" si="15"/>
        <v/>
      </c>
      <c r="N1845" s="147" t="str">
        <f t="shared" si="16"/>
        <v/>
      </c>
      <c r="O1845" s="147" t="str">
        <f t="shared" si="6"/>
        <v/>
      </c>
      <c r="P1845" s="150" t="str">
        <f t="shared" si="7"/>
        <v/>
      </c>
      <c r="Q1845" s="151" t="str">
        <f>IFERROR(VLOOKUP(C1845,Ativos!$A$1:$G2000,5,),)</f>
        <v/>
      </c>
    </row>
    <row r="1846" ht="21.0" customHeight="1">
      <c r="A1846" s="152"/>
      <c r="B1846" s="160"/>
      <c r="C1846" s="153"/>
      <c r="D1846" s="169"/>
      <c r="E1846" s="139"/>
      <c r="F1846" s="141"/>
      <c r="G1846" s="170" t="str">
        <f>IFERROR(__xludf.DUMMYFUNCTION("if($C1846="""","""",iferror(if(row()&lt;&gt;2,INDEX(arrayformula(filter($H$2:$H1845,$C$2:$C1845&lt;&gt;"""",row($C$2:$C1845)=max(if($C$2:$C1845=C1846,row($C$2:$C1845),0)))) ,1),0),0))"),"")</f>
        <v/>
      </c>
      <c r="H1846" s="170" t="str">
        <f t="shared" si="8"/>
        <v/>
      </c>
      <c r="I1846" s="147" t="str">
        <f t="shared" si="1"/>
        <v/>
      </c>
      <c r="J1846" s="147" t="str">
        <f t="shared" si="13"/>
        <v/>
      </c>
      <c r="K1846" s="147" t="str">
        <f>IFERROR(__xludf.DUMMYFUNCTION("if(C1846="""","""",iferror(if(row()&lt;&gt;2,INDEX(arrayformula(filter($L$2:$L1845,$C$2:$C1845&lt;&gt;"""",row($C$2:$C1845)=max(if($C$2:$C1845=C1846,row($C$2:$C1845),0)))) ,1),0),0))"),"")</f>
        <v/>
      </c>
      <c r="L1846" s="147" t="str">
        <f t="shared" si="14"/>
        <v/>
      </c>
      <c r="M1846" s="147" t="str">
        <f t="shared" si="15"/>
        <v/>
      </c>
      <c r="N1846" s="147" t="str">
        <f t="shared" si="16"/>
        <v/>
      </c>
      <c r="O1846" s="147" t="str">
        <f t="shared" si="6"/>
        <v/>
      </c>
      <c r="P1846" s="150" t="str">
        <f t="shared" si="7"/>
        <v/>
      </c>
      <c r="Q1846" s="151" t="str">
        <f>IFERROR(VLOOKUP(C1846,Ativos!$A$1:$G2000,5,),)</f>
        <v/>
      </c>
    </row>
    <row r="1847" ht="21.0" customHeight="1">
      <c r="A1847" s="152"/>
      <c r="B1847" s="160"/>
      <c r="C1847" s="153"/>
      <c r="D1847" s="169"/>
      <c r="E1847" s="139"/>
      <c r="F1847" s="141"/>
      <c r="G1847" s="170" t="str">
        <f>IFERROR(__xludf.DUMMYFUNCTION("if($C1847="""","""",iferror(if(row()&lt;&gt;2,INDEX(arrayformula(filter($H$2:$H1846,$C$2:$C1846&lt;&gt;"""",row($C$2:$C1846)=max(if($C$2:$C1846=C1847,row($C$2:$C1846),0)))) ,1),0),0))"),"")</f>
        <v/>
      </c>
      <c r="H1847" s="170" t="str">
        <f t="shared" si="8"/>
        <v/>
      </c>
      <c r="I1847" s="147" t="str">
        <f t="shared" si="1"/>
        <v/>
      </c>
      <c r="J1847" s="147" t="str">
        <f t="shared" si="13"/>
        <v/>
      </c>
      <c r="K1847" s="147" t="str">
        <f>IFERROR(__xludf.DUMMYFUNCTION("if(C1847="""","""",iferror(if(row()&lt;&gt;2,INDEX(arrayformula(filter($L$2:$L1846,$C$2:$C1846&lt;&gt;"""",row($C$2:$C1846)=max(if($C$2:$C1846=C1847,row($C$2:$C1846),0)))) ,1),0),0))"),"")</f>
        <v/>
      </c>
      <c r="L1847" s="147" t="str">
        <f t="shared" si="14"/>
        <v/>
      </c>
      <c r="M1847" s="147" t="str">
        <f t="shared" si="15"/>
        <v/>
      </c>
      <c r="N1847" s="147" t="str">
        <f t="shared" si="16"/>
        <v/>
      </c>
      <c r="O1847" s="147" t="str">
        <f t="shared" si="6"/>
        <v/>
      </c>
      <c r="P1847" s="150" t="str">
        <f t="shared" si="7"/>
        <v/>
      </c>
      <c r="Q1847" s="151" t="str">
        <f>IFERROR(VLOOKUP(C1847,Ativos!$A$1:$G2000,5,),)</f>
        <v/>
      </c>
    </row>
    <row r="1848" ht="21.0" customHeight="1">
      <c r="A1848" s="152"/>
      <c r="B1848" s="160"/>
      <c r="C1848" s="153"/>
      <c r="D1848" s="169"/>
      <c r="E1848" s="139"/>
      <c r="F1848" s="141"/>
      <c r="G1848" s="170" t="str">
        <f>IFERROR(__xludf.DUMMYFUNCTION("if($C1848="""","""",iferror(if(row()&lt;&gt;2,INDEX(arrayformula(filter($H$2:$H1847,$C$2:$C1847&lt;&gt;"""",row($C$2:$C1847)=max(if($C$2:$C1847=C1848,row($C$2:$C1847),0)))) ,1),0),0))"),"")</f>
        <v/>
      </c>
      <c r="H1848" s="170" t="str">
        <f t="shared" si="8"/>
        <v/>
      </c>
      <c r="I1848" s="147" t="str">
        <f t="shared" si="1"/>
        <v/>
      </c>
      <c r="J1848" s="147" t="str">
        <f t="shared" si="13"/>
        <v/>
      </c>
      <c r="K1848" s="147" t="str">
        <f>IFERROR(__xludf.DUMMYFUNCTION("if(C1848="""","""",iferror(if(row()&lt;&gt;2,INDEX(arrayformula(filter($L$2:$L1847,$C$2:$C1847&lt;&gt;"""",row($C$2:$C1847)=max(if($C$2:$C1847=C1848,row($C$2:$C1847),0)))) ,1),0),0))"),"")</f>
        <v/>
      </c>
      <c r="L1848" s="147" t="str">
        <f t="shared" si="14"/>
        <v/>
      </c>
      <c r="M1848" s="147" t="str">
        <f t="shared" si="15"/>
        <v/>
      </c>
      <c r="N1848" s="147" t="str">
        <f t="shared" si="16"/>
        <v/>
      </c>
      <c r="O1848" s="147" t="str">
        <f t="shared" si="6"/>
        <v/>
      </c>
      <c r="P1848" s="150" t="str">
        <f t="shared" si="7"/>
        <v/>
      </c>
      <c r="Q1848" s="151" t="str">
        <f>IFERROR(VLOOKUP(C1848,Ativos!$A$1:$G2000,5,),)</f>
        <v/>
      </c>
    </row>
    <row r="1849" ht="21.0" customHeight="1">
      <c r="A1849" s="152"/>
      <c r="B1849" s="160"/>
      <c r="C1849" s="153"/>
      <c r="D1849" s="169"/>
      <c r="E1849" s="139"/>
      <c r="F1849" s="141"/>
      <c r="G1849" s="170" t="str">
        <f>IFERROR(__xludf.DUMMYFUNCTION("if($C1849="""","""",iferror(if(row()&lt;&gt;2,INDEX(arrayformula(filter($H$2:$H1848,$C$2:$C1848&lt;&gt;"""",row($C$2:$C1848)=max(if($C$2:$C1848=C1849,row($C$2:$C1848),0)))) ,1),0),0))"),"")</f>
        <v/>
      </c>
      <c r="H1849" s="170" t="str">
        <f t="shared" si="8"/>
        <v/>
      </c>
      <c r="I1849" s="147" t="str">
        <f t="shared" si="1"/>
        <v/>
      </c>
      <c r="J1849" s="147" t="str">
        <f t="shared" si="13"/>
        <v/>
      </c>
      <c r="K1849" s="147" t="str">
        <f>IFERROR(__xludf.DUMMYFUNCTION("if(C1849="""","""",iferror(if(row()&lt;&gt;2,INDEX(arrayformula(filter($L$2:$L1848,$C$2:$C1848&lt;&gt;"""",row($C$2:$C1848)=max(if($C$2:$C1848=C1849,row($C$2:$C1848),0)))) ,1),0),0))"),"")</f>
        <v/>
      </c>
      <c r="L1849" s="147" t="str">
        <f t="shared" si="14"/>
        <v/>
      </c>
      <c r="M1849" s="147" t="str">
        <f t="shared" si="15"/>
        <v/>
      </c>
      <c r="N1849" s="147" t="str">
        <f t="shared" si="16"/>
        <v/>
      </c>
      <c r="O1849" s="147" t="str">
        <f t="shared" si="6"/>
        <v/>
      </c>
      <c r="P1849" s="150" t="str">
        <f t="shared" si="7"/>
        <v/>
      </c>
      <c r="Q1849" s="151" t="str">
        <f>IFERROR(VLOOKUP(C1849,Ativos!$A$1:$G2000,5,),)</f>
        <v/>
      </c>
    </row>
    <row r="1850" ht="21.0" customHeight="1">
      <c r="A1850" s="152"/>
      <c r="B1850" s="160"/>
      <c r="C1850" s="153"/>
      <c r="D1850" s="169"/>
      <c r="E1850" s="139"/>
      <c r="F1850" s="141"/>
      <c r="G1850" s="170" t="str">
        <f>IFERROR(__xludf.DUMMYFUNCTION("if($C1850="""","""",iferror(if(row()&lt;&gt;2,INDEX(arrayformula(filter($H$2:$H1849,$C$2:$C1849&lt;&gt;"""",row($C$2:$C1849)=max(if($C$2:$C1849=C1850,row($C$2:$C1849),0)))) ,1),0),0))"),"")</f>
        <v/>
      </c>
      <c r="H1850" s="170" t="str">
        <f t="shared" si="8"/>
        <v/>
      </c>
      <c r="I1850" s="147" t="str">
        <f t="shared" si="1"/>
        <v/>
      </c>
      <c r="J1850" s="147" t="str">
        <f t="shared" si="13"/>
        <v/>
      </c>
      <c r="K1850" s="147" t="str">
        <f>IFERROR(__xludf.DUMMYFUNCTION("if(C1850="""","""",iferror(if(row()&lt;&gt;2,INDEX(arrayformula(filter($L$2:$L1849,$C$2:$C1849&lt;&gt;"""",row($C$2:$C1849)=max(if($C$2:$C1849=C1850,row($C$2:$C1849),0)))) ,1),0),0))"),"")</f>
        <v/>
      </c>
      <c r="L1850" s="147" t="str">
        <f t="shared" si="14"/>
        <v/>
      </c>
      <c r="M1850" s="147" t="str">
        <f t="shared" si="15"/>
        <v/>
      </c>
      <c r="N1850" s="147" t="str">
        <f t="shared" si="16"/>
        <v/>
      </c>
      <c r="O1850" s="147" t="str">
        <f t="shared" si="6"/>
        <v/>
      </c>
      <c r="P1850" s="150" t="str">
        <f t="shared" si="7"/>
        <v/>
      </c>
      <c r="Q1850" s="151" t="str">
        <f>IFERROR(VLOOKUP(C1850,Ativos!$A$1:$G2000,5,),)</f>
        <v/>
      </c>
    </row>
    <row r="1851" ht="21.0" customHeight="1">
      <c r="A1851" s="152"/>
      <c r="B1851" s="160"/>
      <c r="C1851" s="153"/>
      <c r="D1851" s="169"/>
      <c r="E1851" s="139"/>
      <c r="F1851" s="141"/>
      <c r="G1851" s="170" t="str">
        <f>IFERROR(__xludf.DUMMYFUNCTION("if($C1851="""","""",iferror(if(row()&lt;&gt;2,INDEX(arrayformula(filter($H$2:$H1850,$C$2:$C1850&lt;&gt;"""",row($C$2:$C1850)=max(if($C$2:$C1850=C1851,row($C$2:$C1850),0)))) ,1),0),0))"),"")</f>
        <v/>
      </c>
      <c r="H1851" s="170" t="str">
        <f t="shared" si="8"/>
        <v/>
      </c>
      <c r="I1851" s="147" t="str">
        <f t="shared" si="1"/>
        <v/>
      </c>
      <c r="J1851" s="147" t="str">
        <f t="shared" si="13"/>
        <v/>
      </c>
      <c r="K1851" s="147" t="str">
        <f>IFERROR(__xludf.DUMMYFUNCTION("if(C1851="""","""",iferror(if(row()&lt;&gt;2,INDEX(arrayformula(filter($L$2:$L1850,$C$2:$C1850&lt;&gt;"""",row($C$2:$C1850)=max(if($C$2:$C1850=C1851,row($C$2:$C1850),0)))) ,1),0),0))"),"")</f>
        <v/>
      </c>
      <c r="L1851" s="147" t="str">
        <f t="shared" si="14"/>
        <v/>
      </c>
      <c r="M1851" s="147" t="str">
        <f t="shared" si="15"/>
        <v/>
      </c>
      <c r="N1851" s="147" t="str">
        <f t="shared" si="16"/>
        <v/>
      </c>
      <c r="O1851" s="147" t="str">
        <f t="shared" si="6"/>
        <v/>
      </c>
      <c r="P1851" s="150" t="str">
        <f t="shared" si="7"/>
        <v/>
      </c>
      <c r="Q1851" s="151" t="str">
        <f>IFERROR(VLOOKUP(C1851,Ativos!$A$1:$G2000,5,),)</f>
        <v/>
      </c>
    </row>
    <row r="1852" ht="21.0" customHeight="1">
      <c r="A1852" s="152"/>
      <c r="B1852" s="160"/>
      <c r="C1852" s="153"/>
      <c r="D1852" s="169"/>
      <c r="E1852" s="139"/>
      <c r="F1852" s="141"/>
      <c r="G1852" s="170" t="str">
        <f>IFERROR(__xludf.DUMMYFUNCTION("if($C1852="""","""",iferror(if(row()&lt;&gt;2,INDEX(arrayformula(filter($H$2:$H1851,$C$2:$C1851&lt;&gt;"""",row($C$2:$C1851)=max(if($C$2:$C1851=C1852,row($C$2:$C1851),0)))) ,1),0),0))"),"")</f>
        <v/>
      </c>
      <c r="H1852" s="170" t="str">
        <f t="shared" si="8"/>
        <v/>
      </c>
      <c r="I1852" s="147" t="str">
        <f t="shared" si="1"/>
        <v/>
      </c>
      <c r="J1852" s="147" t="str">
        <f t="shared" si="13"/>
        <v/>
      </c>
      <c r="K1852" s="147" t="str">
        <f>IFERROR(__xludf.DUMMYFUNCTION("if(C1852="""","""",iferror(if(row()&lt;&gt;2,INDEX(arrayformula(filter($L$2:$L1851,$C$2:$C1851&lt;&gt;"""",row($C$2:$C1851)=max(if($C$2:$C1851=C1852,row($C$2:$C1851),0)))) ,1),0),0))"),"")</f>
        <v/>
      </c>
      <c r="L1852" s="147" t="str">
        <f t="shared" si="14"/>
        <v/>
      </c>
      <c r="M1852" s="147" t="str">
        <f t="shared" si="15"/>
        <v/>
      </c>
      <c r="N1852" s="147" t="str">
        <f t="shared" si="16"/>
        <v/>
      </c>
      <c r="O1852" s="147" t="str">
        <f t="shared" si="6"/>
        <v/>
      </c>
      <c r="P1852" s="150" t="str">
        <f t="shared" si="7"/>
        <v/>
      </c>
      <c r="Q1852" s="151" t="str">
        <f>IFERROR(VLOOKUP(C1852,Ativos!$A$1:$G2000,5,),)</f>
        <v/>
      </c>
    </row>
    <row r="1853" ht="21.0" customHeight="1">
      <c r="A1853" s="152"/>
      <c r="B1853" s="160"/>
      <c r="C1853" s="153"/>
      <c r="D1853" s="169"/>
      <c r="E1853" s="139"/>
      <c r="F1853" s="141"/>
      <c r="G1853" s="170" t="str">
        <f>IFERROR(__xludf.DUMMYFUNCTION("if($C1853="""","""",iferror(if(row()&lt;&gt;2,INDEX(arrayformula(filter($H$2:$H1852,$C$2:$C1852&lt;&gt;"""",row($C$2:$C1852)=max(if($C$2:$C1852=C1853,row($C$2:$C1852),0)))) ,1),0),0))"),"")</f>
        <v/>
      </c>
      <c r="H1853" s="170" t="str">
        <f t="shared" si="8"/>
        <v/>
      </c>
      <c r="I1853" s="147" t="str">
        <f t="shared" si="1"/>
        <v/>
      </c>
      <c r="J1853" s="147" t="str">
        <f t="shared" si="13"/>
        <v/>
      </c>
      <c r="K1853" s="147" t="str">
        <f>IFERROR(__xludf.DUMMYFUNCTION("if(C1853="""","""",iferror(if(row()&lt;&gt;2,INDEX(arrayformula(filter($L$2:$L1852,$C$2:$C1852&lt;&gt;"""",row($C$2:$C1852)=max(if($C$2:$C1852=C1853,row($C$2:$C1852),0)))) ,1),0),0))"),"")</f>
        <v/>
      </c>
      <c r="L1853" s="147" t="str">
        <f t="shared" si="14"/>
        <v/>
      </c>
      <c r="M1853" s="147" t="str">
        <f t="shared" si="15"/>
        <v/>
      </c>
      <c r="N1853" s="147" t="str">
        <f t="shared" si="16"/>
        <v/>
      </c>
      <c r="O1853" s="147" t="str">
        <f t="shared" si="6"/>
        <v/>
      </c>
      <c r="P1853" s="150" t="str">
        <f t="shared" si="7"/>
        <v/>
      </c>
      <c r="Q1853" s="151" t="str">
        <f>IFERROR(VLOOKUP(C1853,Ativos!$A$1:$G2000,5,),)</f>
        <v/>
      </c>
    </row>
    <row r="1854" ht="21.0" customHeight="1">
      <c r="A1854" s="152"/>
      <c r="B1854" s="160"/>
      <c r="C1854" s="153"/>
      <c r="D1854" s="169"/>
      <c r="E1854" s="139"/>
      <c r="F1854" s="141"/>
      <c r="G1854" s="170" t="str">
        <f>IFERROR(__xludf.DUMMYFUNCTION("if($C1854="""","""",iferror(if(row()&lt;&gt;2,INDEX(arrayformula(filter($H$2:$H1853,$C$2:$C1853&lt;&gt;"""",row($C$2:$C1853)=max(if($C$2:$C1853=C1854,row($C$2:$C1853),0)))) ,1),0),0))"),"")</f>
        <v/>
      </c>
      <c r="H1854" s="170" t="str">
        <f t="shared" si="8"/>
        <v/>
      </c>
      <c r="I1854" s="147" t="str">
        <f t="shared" si="1"/>
        <v/>
      </c>
      <c r="J1854" s="147" t="str">
        <f t="shared" si="13"/>
        <v/>
      </c>
      <c r="K1854" s="147" t="str">
        <f>IFERROR(__xludf.DUMMYFUNCTION("if(C1854="""","""",iferror(if(row()&lt;&gt;2,INDEX(arrayformula(filter($L$2:$L1853,$C$2:$C1853&lt;&gt;"""",row($C$2:$C1853)=max(if($C$2:$C1853=C1854,row($C$2:$C1853),0)))) ,1),0),0))"),"")</f>
        <v/>
      </c>
      <c r="L1854" s="147" t="str">
        <f t="shared" si="14"/>
        <v/>
      </c>
      <c r="M1854" s="147" t="str">
        <f t="shared" si="15"/>
        <v/>
      </c>
      <c r="N1854" s="147" t="str">
        <f t="shared" si="16"/>
        <v/>
      </c>
      <c r="O1854" s="147" t="str">
        <f t="shared" si="6"/>
        <v/>
      </c>
      <c r="P1854" s="150" t="str">
        <f t="shared" si="7"/>
        <v/>
      </c>
      <c r="Q1854" s="151" t="str">
        <f>IFERROR(VLOOKUP(C1854,Ativos!$A$1:$G2000,5,),)</f>
        <v/>
      </c>
    </row>
    <row r="1855" ht="21.0" customHeight="1">
      <c r="A1855" s="152"/>
      <c r="B1855" s="160"/>
      <c r="C1855" s="153"/>
      <c r="D1855" s="169"/>
      <c r="E1855" s="139"/>
      <c r="F1855" s="141"/>
      <c r="G1855" s="170" t="str">
        <f>IFERROR(__xludf.DUMMYFUNCTION("if($C1855="""","""",iferror(if(row()&lt;&gt;2,INDEX(arrayformula(filter($H$2:$H1854,$C$2:$C1854&lt;&gt;"""",row($C$2:$C1854)=max(if($C$2:$C1854=C1855,row($C$2:$C1854),0)))) ,1),0),0))"),"")</f>
        <v/>
      </c>
      <c r="H1855" s="170" t="str">
        <f t="shared" si="8"/>
        <v/>
      </c>
      <c r="I1855" s="147" t="str">
        <f t="shared" si="1"/>
        <v/>
      </c>
      <c r="J1855" s="147" t="str">
        <f t="shared" si="13"/>
        <v/>
      </c>
      <c r="K1855" s="147" t="str">
        <f>IFERROR(__xludf.DUMMYFUNCTION("if(C1855="""","""",iferror(if(row()&lt;&gt;2,INDEX(arrayformula(filter($L$2:$L1854,$C$2:$C1854&lt;&gt;"""",row($C$2:$C1854)=max(if($C$2:$C1854=C1855,row($C$2:$C1854),0)))) ,1),0),0))"),"")</f>
        <v/>
      </c>
      <c r="L1855" s="147" t="str">
        <f t="shared" si="14"/>
        <v/>
      </c>
      <c r="M1855" s="147" t="str">
        <f t="shared" si="15"/>
        <v/>
      </c>
      <c r="N1855" s="147" t="str">
        <f t="shared" si="16"/>
        <v/>
      </c>
      <c r="O1855" s="147" t="str">
        <f t="shared" si="6"/>
        <v/>
      </c>
      <c r="P1855" s="150" t="str">
        <f t="shared" si="7"/>
        <v/>
      </c>
      <c r="Q1855" s="151" t="str">
        <f>IFERROR(VLOOKUP(C1855,Ativos!$A$1:$G2000,5,),)</f>
        <v/>
      </c>
    </row>
    <row r="1856" ht="21.0" customHeight="1">
      <c r="A1856" s="152"/>
      <c r="B1856" s="160"/>
      <c r="C1856" s="153"/>
      <c r="D1856" s="169"/>
      <c r="E1856" s="139"/>
      <c r="F1856" s="141"/>
      <c r="G1856" s="170" t="str">
        <f>IFERROR(__xludf.DUMMYFUNCTION("if($C1856="""","""",iferror(if(row()&lt;&gt;2,INDEX(arrayformula(filter($H$2:$H1855,$C$2:$C1855&lt;&gt;"""",row($C$2:$C1855)=max(if($C$2:$C1855=C1856,row($C$2:$C1855),0)))) ,1),0),0))"),"")</f>
        <v/>
      </c>
      <c r="H1856" s="170" t="str">
        <f t="shared" si="8"/>
        <v/>
      </c>
      <c r="I1856" s="147" t="str">
        <f t="shared" si="1"/>
        <v/>
      </c>
      <c r="J1856" s="147" t="str">
        <f t="shared" si="13"/>
        <v/>
      </c>
      <c r="K1856" s="147" t="str">
        <f>IFERROR(__xludf.DUMMYFUNCTION("if(C1856="""","""",iferror(if(row()&lt;&gt;2,INDEX(arrayformula(filter($L$2:$L1855,$C$2:$C1855&lt;&gt;"""",row($C$2:$C1855)=max(if($C$2:$C1855=C1856,row($C$2:$C1855),0)))) ,1),0),0))"),"")</f>
        <v/>
      </c>
      <c r="L1856" s="147" t="str">
        <f t="shared" si="14"/>
        <v/>
      </c>
      <c r="M1856" s="147" t="str">
        <f t="shared" si="15"/>
        <v/>
      </c>
      <c r="N1856" s="147" t="str">
        <f t="shared" si="16"/>
        <v/>
      </c>
      <c r="O1856" s="147" t="str">
        <f t="shared" si="6"/>
        <v/>
      </c>
      <c r="P1856" s="150" t="str">
        <f t="shared" si="7"/>
        <v/>
      </c>
      <c r="Q1856" s="151" t="str">
        <f>IFERROR(VLOOKUP(C1856,Ativos!$A$1:$G2000,5,),)</f>
        <v/>
      </c>
    </row>
    <row r="1857" ht="21.0" customHeight="1">
      <c r="A1857" s="152"/>
      <c r="B1857" s="160"/>
      <c r="C1857" s="153"/>
      <c r="D1857" s="169"/>
      <c r="E1857" s="139"/>
      <c r="F1857" s="141"/>
      <c r="G1857" s="170" t="str">
        <f>IFERROR(__xludf.DUMMYFUNCTION("if($C1857="""","""",iferror(if(row()&lt;&gt;2,INDEX(arrayformula(filter($H$2:$H1856,$C$2:$C1856&lt;&gt;"""",row($C$2:$C1856)=max(if($C$2:$C1856=C1857,row($C$2:$C1856),0)))) ,1),0),0))"),"")</f>
        <v/>
      </c>
      <c r="H1857" s="170" t="str">
        <f t="shared" si="8"/>
        <v/>
      </c>
      <c r="I1857" s="147" t="str">
        <f t="shared" si="1"/>
        <v/>
      </c>
      <c r="J1857" s="147" t="str">
        <f t="shared" si="13"/>
        <v/>
      </c>
      <c r="K1857" s="147" t="str">
        <f>IFERROR(__xludf.DUMMYFUNCTION("if(C1857="""","""",iferror(if(row()&lt;&gt;2,INDEX(arrayformula(filter($L$2:$L1856,$C$2:$C1856&lt;&gt;"""",row($C$2:$C1856)=max(if($C$2:$C1856=C1857,row($C$2:$C1856),0)))) ,1),0),0))"),"")</f>
        <v/>
      </c>
      <c r="L1857" s="147" t="str">
        <f t="shared" si="14"/>
        <v/>
      </c>
      <c r="M1857" s="147" t="str">
        <f t="shared" si="15"/>
        <v/>
      </c>
      <c r="N1857" s="147" t="str">
        <f t="shared" si="16"/>
        <v/>
      </c>
      <c r="O1857" s="147" t="str">
        <f t="shared" si="6"/>
        <v/>
      </c>
      <c r="P1857" s="150" t="str">
        <f t="shared" si="7"/>
        <v/>
      </c>
      <c r="Q1857" s="151" t="str">
        <f>IFERROR(VLOOKUP(C1857,Ativos!$A$1:$G2000,5,),)</f>
        <v/>
      </c>
    </row>
    <row r="1858" ht="21.0" customHeight="1">
      <c r="A1858" s="152"/>
      <c r="B1858" s="160"/>
      <c r="C1858" s="153"/>
      <c r="D1858" s="169"/>
      <c r="E1858" s="139"/>
      <c r="F1858" s="141"/>
      <c r="G1858" s="170" t="str">
        <f>IFERROR(__xludf.DUMMYFUNCTION("if($C1858="""","""",iferror(if(row()&lt;&gt;2,INDEX(arrayformula(filter($H$2:$H1857,$C$2:$C1857&lt;&gt;"""",row($C$2:$C1857)=max(if($C$2:$C1857=C1858,row($C$2:$C1857),0)))) ,1),0),0))"),"")</f>
        <v/>
      </c>
      <c r="H1858" s="170" t="str">
        <f t="shared" si="8"/>
        <v/>
      </c>
      <c r="I1858" s="147" t="str">
        <f t="shared" si="1"/>
        <v/>
      </c>
      <c r="J1858" s="147" t="str">
        <f t="shared" si="13"/>
        <v/>
      </c>
      <c r="K1858" s="147" t="str">
        <f>IFERROR(__xludf.DUMMYFUNCTION("if(C1858="""","""",iferror(if(row()&lt;&gt;2,INDEX(arrayformula(filter($L$2:$L1857,$C$2:$C1857&lt;&gt;"""",row($C$2:$C1857)=max(if($C$2:$C1857=C1858,row($C$2:$C1857),0)))) ,1),0),0))"),"")</f>
        <v/>
      </c>
      <c r="L1858" s="147" t="str">
        <f t="shared" si="14"/>
        <v/>
      </c>
      <c r="M1858" s="147" t="str">
        <f t="shared" si="15"/>
        <v/>
      </c>
      <c r="N1858" s="147" t="str">
        <f t="shared" si="16"/>
        <v/>
      </c>
      <c r="O1858" s="147" t="str">
        <f t="shared" si="6"/>
        <v/>
      </c>
      <c r="P1858" s="150" t="str">
        <f t="shared" si="7"/>
        <v/>
      </c>
      <c r="Q1858" s="151" t="str">
        <f>IFERROR(VLOOKUP(C1858,Ativos!$A$1:$G2000,5,),)</f>
        <v/>
      </c>
    </row>
    <row r="1859" ht="21.0" customHeight="1">
      <c r="A1859" s="152"/>
      <c r="B1859" s="160"/>
      <c r="C1859" s="153"/>
      <c r="D1859" s="169"/>
      <c r="E1859" s="139"/>
      <c r="F1859" s="141"/>
      <c r="G1859" s="170" t="str">
        <f>IFERROR(__xludf.DUMMYFUNCTION("if($C1859="""","""",iferror(if(row()&lt;&gt;2,INDEX(arrayformula(filter($H$2:$H1858,$C$2:$C1858&lt;&gt;"""",row($C$2:$C1858)=max(if($C$2:$C1858=C1859,row($C$2:$C1858),0)))) ,1),0),0))"),"")</f>
        <v/>
      </c>
      <c r="H1859" s="170" t="str">
        <f t="shared" si="8"/>
        <v/>
      </c>
      <c r="I1859" s="147" t="str">
        <f t="shared" si="1"/>
        <v/>
      </c>
      <c r="J1859" s="147" t="str">
        <f t="shared" si="13"/>
        <v/>
      </c>
      <c r="K1859" s="147" t="str">
        <f>IFERROR(__xludf.DUMMYFUNCTION("if(C1859="""","""",iferror(if(row()&lt;&gt;2,INDEX(arrayformula(filter($L$2:$L1858,$C$2:$C1858&lt;&gt;"""",row($C$2:$C1858)=max(if($C$2:$C1858=C1859,row($C$2:$C1858),0)))) ,1),0),0))"),"")</f>
        <v/>
      </c>
      <c r="L1859" s="147" t="str">
        <f t="shared" si="14"/>
        <v/>
      </c>
      <c r="M1859" s="147" t="str">
        <f t="shared" si="15"/>
        <v/>
      </c>
      <c r="N1859" s="147" t="str">
        <f t="shared" si="16"/>
        <v/>
      </c>
      <c r="O1859" s="147" t="str">
        <f t="shared" si="6"/>
        <v/>
      </c>
      <c r="P1859" s="150" t="str">
        <f t="shared" si="7"/>
        <v/>
      </c>
      <c r="Q1859" s="151" t="str">
        <f>IFERROR(VLOOKUP(C1859,Ativos!$A$1:$G2000,5,),)</f>
        <v/>
      </c>
    </row>
    <row r="1860" ht="21.0" customHeight="1">
      <c r="A1860" s="152"/>
      <c r="B1860" s="160"/>
      <c r="C1860" s="153"/>
      <c r="D1860" s="169"/>
      <c r="E1860" s="139"/>
      <c r="F1860" s="141"/>
      <c r="G1860" s="170" t="str">
        <f>IFERROR(__xludf.DUMMYFUNCTION("if($C1860="""","""",iferror(if(row()&lt;&gt;2,INDEX(arrayformula(filter($H$2:$H1859,$C$2:$C1859&lt;&gt;"""",row($C$2:$C1859)=max(if($C$2:$C1859=C1860,row($C$2:$C1859),0)))) ,1),0),0))"),"")</f>
        <v/>
      </c>
      <c r="H1860" s="170" t="str">
        <f t="shared" si="8"/>
        <v/>
      </c>
      <c r="I1860" s="147" t="str">
        <f t="shared" si="1"/>
        <v/>
      </c>
      <c r="J1860" s="147" t="str">
        <f t="shared" si="13"/>
        <v/>
      </c>
      <c r="K1860" s="147" t="str">
        <f>IFERROR(__xludf.DUMMYFUNCTION("if(C1860="""","""",iferror(if(row()&lt;&gt;2,INDEX(arrayformula(filter($L$2:$L1859,$C$2:$C1859&lt;&gt;"""",row($C$2:$C1859)=max(if($C$2:$C1859=C1860,row($C$2:$C1859),0)))) ,1),0),0))"),"")</f>
        <v/>
      </c>
      <c r="L1860" s="147" t="str">
        <f t="shared" si="14"/>
        <v/>
      </c>
      <c r="M1860" s="147" t="str">
        <f t="shared" si="15"/>
        <v/>
      </c>
      <c r="N1860" s="147" t="str">
        <f t="shared" si="16"/>
        <v/>
      </c>
      <c r="O1860" s="147" t="str">
        <f t="shared" si="6"/>
        <v/>
      </c>
      <c r="P1860" s="150" t="str">
        <f t="shared" si="7"/>
        <v/>
      </c>
      <c r="Q1860" s="151" t="str">
        <f>IFERROR(VLOOKUP(C1860,Ativos!$A$1:$G2000,5,),)</f>
        <v/>
      </c>
    </row>
    <row r="1861" ht="21.0" customHeight="1">
      <c r="A1861" s="152"/>
      <c r="B1861" s="160"/>
      <c r="C1861" s="153"/>
      <c r="D1861" s="169"/>
      <c r="E1861" s="139"/>
      <c r="F1861" s="141"/>
      <c r="G1861" s="170" t="str">
        <f>IFERROR(__xludf.DUMMYFUNCTION("if($C1861="""","""",iferror(if(row()&lt;&gt;2,INDEX(arrayformula(filter($H$2:$H1860,$C$2:$C1860&lt;&gt;"""",row($C$2:$C1860)=max(if($C$2:$C1860=C1861,row($C$2:$C1860),0)))) ,1),0),0))"),"")</f>
        <v/>
      </c>
      <c r="H1861" s="170" t="str">
        <f t="shared" si="8"/>
        <v/>
      </c>
      <c r="I1861" s="147" t="str">
        <f t="shared" si="1"/>
        <v/>
      </c>
      <c r="J1861" s="147" t="str">
        <f t="shared" si="13"/>
        <v/>
      </c>
      <c r="K1861" s="147" t="str">
        <f>IFERROR(__xludf.DUMMYFUNCTION("if(C1861="""","""",iferror(if(row()&lt;&gt;2,INDEX(arrayformula(filter($L$2:$L1860,$C$2:$C1860&lt;&gt;"""",row($C$2:$C1860)=max(if($C$2:$C1860=C1861,row($C$2:$C1860),0)))) ,1),0),0))"),"")</f>
        <v/>
      </c>
      <c r="L1861" s="147" t="str">
        <f t="shared" si="14"/>
        <v/>
      </c>
      <c r="M1861" s="147" t="str">
        <f t="shared" si="15"/>
        <v/>
      </c>
      <c r="N1861" s="147" t="str">
        <f t="shared" si="16"/>
        <v/>
      </c>
      <c r="O1861" s="147" t="str">
        <f t="shared" si="6"/>
        <v/>
      </c>
      <c r="P1861" s="150" t="str">
        <f t="shared" si="7"/>
        <v/>
      </c>
      <c r="Q1861" s="151" t="str">
        <f>IFERROR(VLOOKUP(C1861,Ativos!$A$1:$G2000,5,),)</f>
        <v/>
      </c>
    </row>
    <row r="1862" ht="21.0" customHeight="1">
      <c r="A1862" s="152"/>
      <c r="B1862" s="160"/>
      <c r="C1862" s="153"/>
      <c r="D1862" s="169"/>
      <c r="E1862" s="139"/>
      <c r="F1862" s="141"/>
      <c r="G1862" s="170" t="str">
        <f>IFERROR(__xludf.DUMMYFUNCTION("if($C1862="""","""",iferror(if(row()&lt;&gt;2,INDEX(arrayformula(filter($H$2:$H1861,$C$2:$C1861&lt;&gt;"""",row($C$2:$C1861)=max(if($C$2:$C1861=C1862,row($C$2:$C1861),0)))) ,1),0),0))"),"")</f>
        <v/>
      </c>
      <c r="H1862" s="170" t="str">
        <f t="shared" si="8"/>
        <v/>
      </c>
      <c r="I1862" s="147" t="str">
        <f t="shared" si="1"/>
        <v/>
      </c>
      <c r="J1862" s="147" t="str">
        <f t="shared" si="13"/>
        <v/>
      </c>
      <c r="K1862" s="147" t="str">
        <f>IFERROR(__xludf.DUMMYFUNCTION("if(C1862="""","""",iferror(if(row()&lt;&gt;2,INDEX(arrayformula(filter($L$2:$L1861,$C$2:$C1861&lt;&gt;"""",row($C$2:$C1861)=max(if($C$2:$C1861=C1862,row($C$2:$C1861),0)))) ,1),0),0))"),"")</f>
        <v/>
      </c>
      <c r="L1862" s="147" t="str">
        <f t="shared" si="14"/>
        <v/>
      </c>
      <c r="M1862" s="147" t="str">
        <f t="shared" si="15"/>
        <v/>
      </c>
      <c r="N1862" s="147" t="str">
        <f t="shared" si="16"/>
        <v/>
      </c>
      <c r="O1862" s="147" t="str">
        <f t="shared" si="6"/>
        <v/>
      </c>
      <c r="P1862" s="150" t="str">
        <f t="shared" si="7"/>
        <v/>
      </c>
      <c r="Q1862" s="151" t="str">
        <f>IFERROR(VLOOKUP(C1862,Ativos!$A$1:$G2000,5,),)</f>
        <v/>
      </c>
    </row>
    <row r="1863" ht="21.0" customHeight="1">
      <c r="A1863" s="152"/>
      <c r="B1863" s="160"/>
      <c r="C1863" s="153"/>
      <c r="D1863" s="169"/>
      <c r="E1863" s="139"/>
      <c r="F1863" s="141"/>
      <c r="G1863" s="170" t="str">
        <f>IFERROR(__xludf.DUMMYFUNCTION("if($C1863="""","""",iferror(if(row()&lt;&gt;2,INDEX(arrayformula(filter($H$2:$H1862,$C$2:$C1862&lt;&gt;"""",row($C$2:$C1862)=max(if($C$2:$C1862=C1863,row($C$2:$C1862),0)))) ,1),0),0))"),"")</f>
        <v/>
      </c>
      <c r="H1863" s="170" t="str">
        <f t="shared" si="8"/>
        <v/>
      </c>
      <c r="I1863" s="147" t="str">
        <f t="shared" si="1"/>
        <v/>
      </c>
      <c r="J1863" s="147" t="str">
        <f t="shared" si="13"/>
        <v/>
      </c>
      <c r="K1863" s="147" t="str">
        <f>IFERROR(__xludf.DUMMYFUNCTION("if(C1863="""","""",iferror(if(row()&lt;&gt;2,INDEX(arrayformula(filter($L$2:$L1862,$C$2:$C1862&lt;&gt;"""",row($C$2:$C1862)=max(if($C$2:$C1862=C1863,row($C$2:$C1862),0)))) ,1),0),0))"),"")</f>
        <v/>
      </c>
      <c r="L1863" s="147" t="str">
        <f t="shared" si="14"/>
        <v/>
      </c>
      <c r="M1863" s="147" t="str">
        <f t="shared" si="15"/>
        <v/>
      </c>
      <c r="N1863" s="147" t="str">
        <f t="shared" si="16"/>
        <v/>
      </c>
      <c r="O1863" s="147" t="str">
        <f t="shared" si="6"/>
        <v/>
      </c>
      <c r="P1863" s="150" t="str">
        <f t="shared" si="7"/>
        <v/>
      </c>
      <c r="Q1863" s="151" t="str">
        <f>IFERROR(VLOOKUP(C1863,Ativos!$A$1:$G2000,5,),)</f>
        <v/>
      </c>
    </row>
    <row r="1864" ht="21.0" customHeight="1">
      <c r="A1864" s="152"/>
      <c r="B1864" s="160"/>
      <c r="C1864" s="153"/>
      <c r="D1864" s="169"/>
      <c r="E1864" s="139"/>
      <c r="F1864" s="141"/>
      <c r="G1864" s="170" t="str">
        <f>IFERROR(__xludf.DUMMYFUNCTION("if($C1864="""","""",iferror(if(row()&lt;&gt;2,INDEX(arrayformula(filter($H$2:$H1863,$C$2:$C1863&lt;&gt;"""",row($C$2:$C1863)=max(if($C$2:$C1863=C1864,row($C$2:$C1863),0)))) ,1),0),0))"),"")</f>
        <v/>
      </c>
      <c r="H1864" s="170" t="str">
        <f t="shared" si="8"/>
        <v/>
      </c>
      <c r="I1864" s="147" t="str">
        <f t="shared" si="1"/>
        <v/>
      </c>
      <c r="J1864" s="147" t="str">
        <f t="shared" si="13"/>
        <v/>
      </c>
      <c r="K1864" s="147" t="str">
        <f>IFERROR(__xludf.DUMMYFUNCTION("if(C1864="""","""",iferror(if(row()&lt;&gt;2,INDEX(arrayformula(filter($L$2:$L1863,$C$2:$C1863&lt;&gt;"""",row($C$2:$C1863)=max(if($C$2:$C1863=C1864,row($C$2:$C1863),0)))) ,1),0),0))"),"")</f>
        <v/>
      </c>
      <c r="L1864" s="147" t="str">
        <f t="shared" si="14"/>
        <v/>
      </c>
      <c r="M1864" s="147" t="str">
        <f t="shared" si="15"/>
        <v/>
      </c>
      <c r="N1864" s="147" t="str">
        <f t="shared" si="16"/>
        <v/>
      </c>
      <c r="O1864" s="147" t="str">
        <f t="shared" si="6"/>
        <v/>
      </c>
      <c r="P1864" s="150" t="str">
        <f t="shared" si="7"/>
        <v/>
      </c>
      <c r="Q1864" s="151" t="str">
        <f>IFERROR(VLOOKUP(C1864,Ativos!$A$1:$G2000,5,),)</f>
        <v/>
      </c>
    </row>
    <row r="1865" ht="21.0" customHeight="1">
      <c r="A1865" s="152"/>
      <c r="B1865" s="160"/>
      <c r="C1865" s="153"/>
      <c r="D1865" s="169"/>
      <c r="E1865" s="139"/>
      <c r="F1865" s="141"/>
      <c r="G1865" s="170" t="str">
        <f>IFERROR(__xludf.DUMMYFUNCTION("if($C1865="""","""",iferror(if(row()&lt;&gt;2,INDEX(arrayformula(filter($H$2:$H1864,$C$2:$C1864&lt;&gt;"""",row($C$2:$C1864)=max(if($C$2:$C1864=C1865,row($C$2:$C1864),0)))) ,1),0),0))"),"")</f>
        <v/>
      </c>
      <c r="H1865" s="170" t="str">
        <f t="shared" si="8"/>
        <v/>
      </c>
      <c r="I1865" s="147" t="str">
        <f t="shared" si="1"/>
        <v/>
      </c>
      <c r="J1865" s="147" t="str">
        <f t="shared" si="13"/>
        <v/>
      </c>
      <c r="K1865" s="147" t="str">
        <f>IFERROR(__xludf.DUMMYFUNCTION("if(C1865="""","""",iferror(if(row()&lt;&gt;2,INDEX(arrayformula(filter($L$2:$L1864,$C$2:$C1864&lt;&gt;"""",row($C$2:$C1864)=max(if($C$2:$C1864=C1865,row($C$2:$C1864),0)))) ,1),0),0))"),"")</f>
        <v/>
      </c>
      <c r="L1865" s="147" t="str">
        <f t="shared" si="14"/>
        <v/>
      </c>
      <c r="M1865" s="147" t="str">
        <f t="shared" si="15"/>
        <v/>
      </c>
      <c r="N1865" s="147" t="str">
        <f t="shared" si="16"/>
        <v/>
      </c>
      <c r="O1865" s="147" t="str">
        <f t="shared" si="6"/>
        <v/>
      </c>
      <c r="P1865" s="150" t="str">
        <f t="shared" si="7"/>
        <v/>
      </c>
      <c r="Q1865" s="151" t="str">
        <f>IFERROR(VLOOKUP(C1865,Ativos!$A$1:$G2000,5,),)</f>
        <v/>
      </c>
    </row>
    <row r="1866" ht="21.0" customHeight="1">
      <c r="A1866" s="152"/>
      <c r="B1866" s="160"/>
      <c r="C1866" s="153"/>
      <c r="D1866" s="169"/>
      <c r="E1866" s="139"/>
      <c r="F1866" s="141"/>
      <c r="G1866" s="170" t="str">
        <f>IFERROR(__xludf.DUMMYFUNCTION("if($C1866="""","""",iferror(if(row()&lt;&gt;2,INDEX(arrayformula(filter($H$2:$H1865,$C$2:$C1865&lt;&gt;"""",row($C$2:$C1865)=max(if($C$2:$C1865=C1866,row($C$2:$C1865),0)))) ,1),0),0))"),"")</f>
        <v/>
      </c>
      <c r="H1866" s="170" t="str">
        <f t="shared" si="8"/>
        <v/>
      </c>
      <c r="I1866" s="147" t="str">
        <f t="shared" si="1"/>
        <v/>
      </c>
      <c r="J1866" s="147" t="str">
        <f t="shared" si="13"/>
        <v/>
      </c>
      <c r="K1866" s="147" t="str">
        <f>IFERROR(__xludf.DUMMYFUNCTION("if(C1866="""","""",iferror(if(row()&lt;&gt;2,INDEX(arrayformula(filter($L$2:$L1865,$C$2:$C1865&lt;&gt;"""",row($C$2:$C1865)=max(if($C$2:$C1865=C1866,row($C$2:$C1865),0)))) ,1),0),0))"),"")</f>
        <v/>
      </c>
      <c r="L1866" s="147" t="str">
        <f t="shared" si="14"/>
        <v/>
      </c>
      <c r="M1866" s="147" t="str">
        <f t="shared" si="15"/>
        <v/>
      </c>
      <c r="N1866" s="147" t="str">
        <f t="shared" si="16"/>
        <v/>
      </c>
      <c r="O1866" s="147" t="str">
        <f t="shared" si="6"/>
        <v/>
      </c>
      <c r="P1866" s="150" t="str">
        <f t="shared" si="7"/>
        <v/>
      </c>
      <c r="Q1866" s="151" t="str">
        <f>IFERROR(VLOOKUP(C1866,Ativos!$A$1:$G2000,5,),)</f>
        <v/>
      </c>
    </row>
    <row r="1867" ht="21.0" customHeight="1">
      <c r="A1867" s="152"/>
      <c r="B1867" s="160"/>
      <c r="C1867" s="153"/>
      <c r="D1867" s="169"/>
      <c r="E1867" s="139"/>
      <c r="F1867" s="141"/>
      <c r="G1867" s="170" t="str">
        <f>IFERROR(__xludf.DUMMYFUNCTION("if($C1867="""","""",iferror(if(row()&lt;&gt;2,INDEX(arrayformula(filter($H$2:$H1866,$C$2:$C1866&lt;&gt;"""",row($C$2:$C1866)=max(if($C$2:$C1866=C1867,row($C$2:$C1866),0)))) ,1),0),0))"),"")</f>
        <v/>
      </c>
      <c r="H1867" s="170" t="str">
        <f t="shared" si="8"/>
        <v/>
      </c>
      <c r="I1867" s="147" t="str">
        <f t="shared" si="1"/>
        <v/>
      </c>
      <c r="J1867" s="147" t="str">
        <f t="shared" si="13"/>
        <v/>
      </c>
      <c r="K1867" s="147" t="str">
        <f>IFERROR(__xludf.DUMMYFUNCTION("if(C1867="""","""",iferror(if(row()&lt;&gt;2,INDEX(arrayformula(filter($L$2:$L1866,$C$2:$C1866&lt;&gt;"""",row($C$2:$C1866)=max(if($C$2:$C1866=C1867,row($C$2:$C1866),0)))) ,1),0),0))"),"")</f>
        <v/>
      </c>
      <c r="L1867" s="147" t="str">
        <f t="shared" si="14"/>
        <v/>
      </c>
      <c r="M1867" s="147" t="str">
        <f t="shared" si="15"/>
        <v/>
      </c>
      <c r="N1867" s="147" t="str">
        <f t="shared" si="16"/>
        <v/>
      </c>
      <c r="O1867" s="147" t="str">
        <f t="shared" si="6"/>
        <v/>
      </c>
      <c r="P1867" s="150" t="str">
        <f t="shared" si="7"/>
        <v/>
      </c>
      <c r="Q1867" s="151" t="str">
        <f>IFERROR(VLOOKUP(C1867,Ativos!$A$1:$G2000,5,),)</f>
        <v/>
      </c>
    </row>
    <row r="1868" ht="21.0" customHeight="1">
      <c r="A1868" s="152"/>
      <c r="B1868" s="160"/>
      <c r="C1868" s="153"/>
      <c r="D1868" s="169"/>
      <c r="E1868" s="139"/>
      <c r="F1868" s="141"/>
      <c r="G1868" s="170" t="str">
        <f>IFERROR(__xludf.DUMMYFUNCTION("if($C1868="""","""",iferror(if(row()&lt;&gt;2,INDEX(arrayformula(filter($H$2:$H1867,$C$2:$C1867&lt;&gt;"""",row($C$2:$C1867)=max(if($C$2:$C1867=C1868,row($C$2:$C1867),0)))) ,1),0),0))"),"")</f>
        <v/>
      </c>
      <c r="H1868" s="170" t="str">
        <f t="shared" si="8"/>
        <v/>
      </c>
      <c r="I1868" s="147" t="str">
        <f t="shared" si="1"/>
        <v/>
      </c>
      <c r="J1868" s="147" t="str">
        <f t="shared" si="13"/>
        <v/>
      </c>
      <c r="K1868" s="147" t="str">
        <f>IFERROR(__xludf.DUMMYFUNCTION("if(C1868="""","""",iferror(if(row()&lt;&gt;2,INDEX(arrayformula(filter($L$2:$L1867,$C$2:$C1867&lt;&gt;"""",row($C$2:$C1867)=max(if($C$2:$C1867=C1868,row($C$2:$C1867),0)))) ,1),0),0))"),"")</f>
        <v/>
      </c>
      <c r="L1868" s="147" t="str">
        <f t="shared" si="14"/>
        <v/>
      </c>
      <c r="M1868" s="147" t="str">
        <f t="shared" si="15"/>
        <v/>
      </c>
      <c r="N1868" s="147" t="str">
        <f t="shared" si="16"/>
        <v/>
      </c>
      <c r="O1868" s="147" t="str">
        <f t="shared" si="6"/>
        <v/>
      </c>
      <c r="P1868" s="150" t="str">
        <f t="shared" si="7"/>
        <v/>
      </c>
      <c r="Q1868" s="151" t="str">
        <f>IFERROR(VLOOKUP(C1868,Ativos!$A$1:$G2000,5,),)</f>
        <v/>
      </c>
    </row>
    <row r="1869" ht="21.0" customHeight="1">
      <c r="A1869" s="152"/>
      <c r="B1869" s="160"/>
      <c r="C1869" s="153"/>
      <c r="D1869" s="169"/>
      <c r="E1869" s="139"/>
      <c r="F1869" s="141"/>
      <c r="G1869" s="170" t="str">
        <f>IFERROR(__xludf.DUMMYFUNCTION("if($C1869="""","""",iferror(if(row()&lt;&gt;2,INDEX(arrayformula(filter($H$2:$H1868,$C$2:$C1868&lt;&gt;"""",row($C$2:$C1868)=max(if($C$2:$C1868=C1869,row($C$2:$C1868),0)))) ,1),0),0))"),"")</f>
        <v/>
      </c>
      <c r="H1869" s="170" t="str">
        <f t="shared" si="8"/>
        <v/>
      </c>
      <c r="I1869" s="147" t="str">
        <f t="shared" si="1"/>
        <v/>
      </c>
      <c r="J1869" s="147" t="str">
        <f t="shared" si="13"/>
        <v/>
      </c>
      <c r="K1869" s="147" t="str">
        <f>IFERROR(__xludf.DUMMYFUNCTION("if(C1869="""","""",iferror(if(row()&lt;&gt;2,INDEX(arrayformula(filter($L$2:$L1868,$C$2:$C1868&lt;&gt;"""",row($C$2:$C1868)=max(if($C$2:$C1868=C1869,row($C$2:$C1868),0)))) ,1),0),0))"),"")</f>
        <v/>
      </c>
      <c r="L1869" s="147" t="str">
        <f t="shared" si="14"/>
        <v/>
      </c>
      <c r="M1869" s="147" t="str">
        <f t="shared" si="15"/>
        <v/>
      </c>
      <c r="N1869" s="147" t="str">
        <f t="shared" si="16"/>
        <v/>
      </c>
      <c r="O1869" s="147" t="str">
        <f t="shared" si="6"/>
        <v/>
      </c>
      <c r="P1869" s="150" t="str">
        <f t="shared" si="7"/>
        <v/>
      </c>
      <c r="Q1869" s="151" t="str">
        <f>IFERROR(VLOOKUP(C1869,Ativos!$A$1:$G2000,5,),)</f>
        <v/>
      </c>
    </row>
    <row r="1870" ht="21.0" customHeight="1">
      <c r="A1870" s="152"/>
      <c r="B1870" s="160"/>
      <c r="C1870" s="153"/>
      <c r="D1870" s="169"/>
      <c r="E1870" s="139"/>
      <c r="F1870" s="141"/>
      <c r="G1870" s="170" t="str">
        <f>IFERROR(__xludf.DUMMYFUNCTION("if($C1870="""","""",iferror(if(row()&lt;&gt;2,INDEX(arrayformula(filter($H$2:$H1869,$C$2:$C1869&lt;&gt;"""",row($C$2:$C1869)=max(if($C$2:$C1869=C1870,row($C$2:$C1869),0)))) ,1),0),0))"),"")</f>
        <v/>
      </c>
      <c r="H1870" s="170" t="str">
        <f t="shared" si="8"/>
        <v/>
      </c>
      <c r="I1870" s="147" t="str">
        <f t="shared" si="1"/>
        <v/>
      </c>
      <c r="J1870" s="147" t="str">
        <f t="shared" si="13"/>
        <v/>
      </c>
      <c r="K1870" s="147" t="str">
        <f>IFERROR(__xludf.DUMMYFUNCTION("if(C1870="""","""",iferror(if(row()&lt;&gt;2,INDEX(arrayformula(filter($L$2:$L1869,$C$2:$C1869&lt;&gt;"""",row($C$2:$C1869)=max(if($C$2:$C1869=C1870,row($C$2:$C1869),0)))) ,1),0),0))"),"")</f>
        <v/>
      </c>
      <c r="L1870" s="147" t="str">
        <f t="shared" si="14"/>
        <v/>
      </c>
      <c r="M1870" s="147" t="str">
        <f t="shared" si="15"/>
        <v/>
      </c>
      <c r="N1870" s="147" t="str">
        <f t="shared" si="16"/>
        <v/>
      </c>
      <c r="O1870" s="147" t="str">
        <f t="shared" si="6"/>
        <v/>
      </c>
      <c r="P1870" s="150" t="str">
        <f t="shared" si="7"/>
        <v/>
      </c>
      <c r="Q1870" s="151" t="str">
        <f>IFERROR(VLOOKUP(C1870,Ativos!$A$1:$G2000,5,),)</f>
        <v/>
      </c>
    </row>
    <row r="1871" ht="21.0" customHeight="1">
      <c r="A1871" s="152"/>
      <c r="B1871" s="160"/>
      <c r="C1871" s="153"/>
      <c r="D1871" s="169"/>
      <c r="E1871" s="139"/>
      <c r="F1871" s="141"/>
      <c r="G1871" s="170" t="str">
        <f>IFERROR(__xludf.DUMMYFUNCTION("if($C1871="""","""",iferror(if(row()&lt;&gt;2,INDEX(arrayformula(filter($H$2:$H1870,$C$2:$C1870&lt;&gt;"""",row($C$2:$C1870)=max(if($C$2:$C1870=C1871,row($C$2:$C1870),0)))) ,1),0),0))"),"")</f>
        <v/>
      </c>
      <c r="H1871" s="170" t="str">
        <f t="shared" si="8"/>
        <v/>
      </c>
      <c r="I1871" s="147" t="str">
        <f t="shared" si="1"/>
        <v/>
      </c>
      <c r="J1871" s="147" t="str">
        <f t="shared" si="13"/>
        <v/>
      </c>
      <c r="K1871" s="147" t="str">
        <f>IFERROR(__xludf.DUMMYFUNCTION("if(C1871="""","""",iferror(if(row()&lt;&gt;2,INDEX(arrayformula(filter($L$2:$L1870,$C$2:$C1870&lt;&gt;"""",row($C$2:$C1870)=max(if($C$2:$C1870=C1871,row($C$2:$C1870),0)))) ,1),0),0))"),"")</f>
        <v/>
      </c>
      <c r="L1871" s="147" t="str">
        <f t="shared" si="14"/>
        <v/>
      </c>
      <c r="M1871" s="147" t="str">
        <f t="shared" si="15"/>
        <v/>
      </c>
      <c r="N1871" s="147" t="str">
        <f t="shared" si="16"/>
        <v/>
      </c>
      <c r="O1871" s="147" t="str">
        <f t="shared" si="6"/>
        <v/>
      </c>
      <c r="P1871" s="150" t="str">
        <f t="shared" si="7"/>
        <v/>
      </c>
      <c r="Q1871" s="151" t="str">
        <f>IFERROR(VLOOKUP(C1871,Ativos!$A$1:$G2000,5,),)</f>
        <v/>
      </c>
    </row>
    <row r="1872" ht="21.0" customHeight="1">
      <c r="A1872" s="152"/>
      <c r="B1872" s="160"/>
      <c r="C1872" s="153"/>
      <c r="D1872" s="169"/>
      <c r="E1872" s="139"/>
      <c r="F1872" s="141"/>
      <c r="G1872" s="170" t="str">
        <f>IFERROR(__xludf.DUMMYFUNCTION("if($C1872="""","""",iferror(if(row()&lt;&gt;2,INDEX(arrayformula(filter($H$2:$H1871,$C$2:$C1871&lt;&gt;"""",row($C$2:$C1871)=max(if($C$2:$C1871=C1872,row($C$2:$C1871),0)))) ,1),0),0))"),"")</f>
        <v/>
      </c>
      <c r="H1872" s="170" t="str">
        <f t="shared" si="8"/>
        <v/>
      </c>
      <c r="I1872" s="147" t="str">
        <f t="shared" si="1"/>
        <v/>
      </c>
      <c r="J1872" s="147" t="str">
        <f t="shared" si="13"/>
        <v/>
      </c>
      <c r="K1872" s="147" t="str">
        <f>IFERROR(__xludf.DUMMYFUNCTION("if(C1872="""","""",iferror(if(row()&lt;&gt;2,INDEX(arrayformula(filter($L$2:$L1871,$C$2:$C1871&lt;&gt;"""",row($C$2:$C1871)=max(if($C$2:$C1871=C1872,row($C$2:$C1871),0)))) ,1),0),0))"),"")</f>
        <v/>
      </c>
      <c r="L1872" s="147" t="str">
        <f t="shared" si="14"/>
        <v/>
      </c>
      <c r="M1872" s="147" t="str">
        <f t="shared" si="15"/>
        <v/>
      </c>
      <c r="N1872" s="147" t="str">
        <f t="shared" si="16"/>
        <v/>
      </c>
      <c r="O1872" s="147" t="str">
        <f t="shared" si="6"/>
        <v/>
      </c>
      <c r="P1872" s="150" t="str">
        <f t="shared" si="7"/>
        <v/>
      </c>
      <c r="Q1872" s="151" t="str">
        <f>IFERROR(VLOOKUP(C1872,Ativos!$A$1:$G2000,5,),)</f>
        <v/>
      </c>
    </row>
    <row r="1873" ht="21.0" customHeight="1">
      <c r="A1873" s="152"/>
      <c r="B1873" s="160"/>
      <c r="C1873" s="153"/>
      <c r="D1873" s="169"/>
      <c r="E1873" s="139"/>
      <c r="F1873" s="141"/>
      <c r="G1873" s="170" t="str">
        <f>IFERROR(__xludf.DUMMYFUNCTION("if($C1873="""","""",iferror(if(row()&lt;&gt;2,INDEX(arrayformula(filter($H$2:$H1872,$C$2:$C1872&lt;&gt;"""",row($C$2:$C1872)=max(if($C$2:$C1872=C1873,row($C$2:$C1872),0)))) ,1),0),0))"),"")</f>
        <v/>
      </c>
      <c r="H1873" s="170" t="str">
        <f t="shared" si="8"/>
        <v/>
      </c>
      <c r="I1873" s="147" t="str">
        <f t="shared" si="1"/>
        <v/>
      </c>
      <c r="J1873" s="147" t="str">
        <f t="shared" si="13"/>
        <v/>
      </c>
      <c r="K1873" s="147" t="str">
        <f>IFERROR(__xludf.DUMMYFUNCTION("if(C1873="""","""",iferror(if(row()&lt;&gt;2,INDEX(arrayformula(filter($L$2:$L1872,$C$2:$C1872&lt;&gt;"""",row($C$2:$C1872)=max(if($C$2:$C1872=C1873,row($C$2:$C1872),0)))) ,1),0),0))"),"")</f>
        <v/>
      </c>
      <c r="L1873" s="147" t="str">
        <f t="shared" si="14"/>
        <v/>
      </c>
      <c r="M1873" s="147" t="str">
        <f t="shared" si="15"/>
        <v/>
      </c>
      <c r="N1873" s="147" t="str">
        <f t="shared" si="16"/>
        <v/>
      </c>
      <c r="O1873" s="147" t="str">
        <f t="shared" si="6"/>
        <v/>
      </c>
      <c r="P1873" s="150" t="str">
        <f t="shared" si="7"/>
        <v/>
      </c>
      <c r="Q1873" s="151" t="str">
        <f>IFERROR(VLOOKUP(C1873,Ativos!$A$1:$G2000,5,),)</f>
        <v/>
      </c>
    </row>
    <row r="1874" ht="21.0" customHeight="1">
      <c r="A1874" s="152"/>
      <c r="B1874" s="160"/>
      <c r="C1874" s="153"/>
      <c r="D1874" s="169"/>
      <c r="E1874" s="139"/>
      <c r="F1874" s="141"/>
      <c r="G1874" s="170" t="str">
        <f>IFERROR(__xludf.DUMMYFUNCTION("if($C1874="""","""",iferror(if(row()&lt;&gt;2,INDEX(arrayformula(filter($H$2:$H1873,$C$2:$C1873&lt;&gt;"""",row($C$2:$C1873)=max(if($C$2:$C1873=C1874,row($C$2:$C1873),0)))) ,1),0),0))"),"")</f>
        <v/>
      </c>
      <c r="H1874" s="170" t="str">
        <f t="shared" si="8"/>
        <v/>
      </c>
      <c r="I1874" s="147" t="str">
        <f t="shared" si="1"/>
        <v/>
      </c>
      <c r="J1874" s="147" t="str">
        <f t="shared" si="13"/>
        <v/>
      </c>
      <c r="K1874" s="147" t="str">
        <f>IFERROR(__xludf.DUMMYFUNCTION("if(C1874="""","""",iferror(if(row()&lt;&gt;2,INDEX(arrayformula(filter($L$2:$L1873,$C$2:$C1873&lt;&gt;"""",row($C$2:$C1873)=max(if($C$2:$C1873=C1874,row($C$2:$C1873),0)))) ,1),0),0))"),"")</f>
        <v/>
      </c>
      <c r="L1874" s="147" t="str">
        <f t="shared" si="14"/>
        <v/>
      </c>
      <c r="M1874" s="147" t="str">
        <f t="shared" si="15"/>
        <v/>
      </c>
      <c r="N1874" s="147" t="str">
        <f t="shared" si="16"/>
        <v/>
      </c>
      <c r="O1874" s="147" t="str">
        <f t="shared" si="6"/>
        <v/>
      </c>
      <c r="P1874" s="150" t="str">
        <f t="shared" si="7"/>
        <v/>
      </c>
      <c r="Q1874" s="151" t="str">
        <f>IFERROR(VLOOKUP(C1874,Ativos!$A$1:$G2000,5,),)</f>
        <v/>
      </c>
    </row>
    <row r="1875" ht="21.0" customHeight="1">
      <c r="A1875" s="152"/>
      <c r="B1875" s="160"/>
      <c r="C1875" s="153"/>
      <c r="D1875" s="169"/>
      <c r="E1875" s="139"/>
      <c r="F1875" s="141"/>
      <c r="G1875" s="170" t="str">
        <f>IFERROR(__xludf.DUMMYFUNCTION("if($C1875="""","""",iferror(if(row()&lt;&gt;2,INDEX(arrayformula(filter($H$2:$H1874,$C$2:$C1874&lt;&gt;"""",row($C$2:$C1874)=max(if($C$2:$C1874=C1875,row($C$2:$C1874),0)))) ,1),0),0))"),"")</f>
        <v/>
      </c>
      <c r="H1875" s="170" t="str">
        <f t="shared" si="8"/>
        <v/>
      </c>
      <c r="I1875" s="147" t="str">
        <f t="shared" si="1"/>
        <v/>
      </c>
      <c r="J1875" s="147" t="str">
        <f t="shared" si="13"/>
        <v/>
      </c>
      <c r="K1875" s="147" t="str">
        <f>IFERROR(__xludf.DUMMYFUNCTION("if(C1875="""","""",iferror(if(row()&lt;&gt;2,INDEX(arrayformula(filter($L$2:$L1874,$C$2:$C1874&lt;&gt;"""",row($C$2:$C1874)=max(if($C$2:$C1874=C1875,row($C$2:$C1874),0)))) ,1),0),0))"),"")</f>
        <v/>
      </c>
      <c r="L1875" s="147" t="str">
        <f t="shared" si="14"/>
        <v/>
      </c>
      <c r="M1875" s="147" t="str">
        <f t="shared" si="15"/>
        <v/>
      </c>
      <c r="N1875" s="147" t="str">
        <f t="shared" si="16"/>
        <v/>
      </c>
      <c r="O1875" s="147" t="str">
        <f t="shared" si="6"/>
        <v/>
      </c>
      <c r="P1875" s="150" t="str">
        <f t="shared" si="7"/>
        <v/>
      </c>
      <c r="Q1875" s="151" t="str">
        <f>IFERROR(VLOOKUP(C1875,Ativos!$A$1:$G2000,5,),)</f>
        <v/>
      </c>
    </row>
    <row r="1876" ht="21.0" customHeight="1">
      <c r="A1876" s="152"/>
      <c r="B1876" s="160"/>
      <c r="C1876" s="153"/>
      <c r="D1876" s="169"/>
      <c r="E1876" s="139"/>
      <c r="F1876" s="141"/>
      <c r="G1876" s="170" t="str">
        <f>IFERROR(__xludf.DUMMYFUNCTION("if($C1876="""","""",iferror(if(row()&lt;&gt;2,INDEX(arrayformula(filter($H$2:$H1875,$C$2:$C1875&lt;&gt;"""",row($C$2:$C1875)=max(if($C$2:$C1875=C1876,row($C$2:$C1875),0)))) ,1),0),0))"),"")</f>
        <v/>
      </c>
      <c r="H1876" s="170" t="str">
        <f t="shared" si="8"/>
        <v/>
      </c>
      <c r="I1876" s="147" t="str">
        <f t="shared" si="1"/>
        <v/>
      </c>
      <c r="J1876" s="147" t="str">
        <f t="shared" si="13"/>
        <v/>
      </c>
      <c r="K1876" s="147" t="str">
        <f>IFERROR(__xludf.DUMMYFUNCTION("if(C1876="""","""",iferror(if(row()&lt;&gt;2,INDEX(arrayformula(filter($L$2:$L1875,$C$2:$C1875&lt;&gt;"""",row($C$2:$C1875)=max(if($C$2:$C1875=C1876,row($C$2:$C1875),0)))) ,1),0),0))"),"")</f>
        <v/>
      </c>
      <c r="L1876" s="147" t="str">
        <f t="shared" si="14"/>
        <v/>
      </c>
      <c r="M1876" s="147" t="str">
        <f t="shared" si="15"/>
        <v/>
      </c>
      <c r="N1876" s="147" t="str">
        <f t="shared" si="16"/>
        <v/>
      </c>
      <c r="O1876" s="147" t="str">
        <f t="shared" si="6"/>
        <v/>
      </c>
      <c r="P1876" s="150" t="str">
        <f t="shared" si="7"/>
        <v/>
      </c>
      <c r="Q1876" s="151" t="str">
        <f>IFERROR(VLOOKUP(C1876,Ativos!$A$1:$G2000,5,),)</f>
        <v/>
      </c>
    </row>
    <row r="1877" ht="21.0" customHeight="1">
      <c r="A1877" s="152"/>
      <c r="B1877" s="160"/>
      <c r="C1877" s="153"/>
      <c r="D1877" s="169"/>
      <c r="E1877" s="139"/>
      <c r="F1877" s="141"/>
      <c r="G1877" s="170" t="str">
        <f>IFERROR(__xludf.DUMMYFUNCTION("if($C1877="""","""",iferror(if(row()&lt;&gt;2,INDEX(arrayformula(filter($H$2:$H1876,$C$2:$C1876&lt;&gt;"""",row($C$2:$C1876)=max(if($C$2:$C1876=C1877,row($C$2:$C1876),0)))) ,1),0),0))"),"")</f>
        <v/>
      </c>
      <c r="H1877" s="170" t="str">
        <f t="shared" si="8"/>
        <v/>
      </c>
      <c r="I1877" s="147" t="str">
        <f t="shared" si="1"/>
        <v/>
      </c>
      <c r="J1877" s="147" t="str">
        <f t="shared" si="13"/>
        <v/>
      </c>
      <c r="K1877" s="147" t="str">
        <f>IFERROR(__xludf.DUMMYFUNCTION("if(C1877="""","""",iferror(if(row()&lt;&gt;2,INDEX(arrayformula(filter($L$2:$L1876,$C$2:$C1876&lt;&gt;"""",row($C$2:$C1876)=max(if($C$2:$C1876=C1877,row($C$2:$C1876),0)))) ,1),0),0))"),"")</f>
        <v/>
      </c>
      <c r="L1877" s="147" t="str">
        <f t="shared" si="14"/>
        <v/>
      </c>
      <c r="M1877" s="147" t="str">
        <f t="shared" si="15"/>
        <v/>
      </c>
      <c r="N1877" s="147" t="str">
        <f t="shared" si="16"/>
        <v/>
      </c>
      <c r="O1877" s="147" t="str">
        <f t="shared" si="6"/>
        <v/>
      </c>
      <c r="P1877" s="150" t="str">
        <f t="shared" si="7"/>
        <v/>
      </c>
      <c r="Q1877" s="151" t="str">
        <f>IFERROR(VLOOKUP(C1877,Ativos!$A$1:$G2000,5,),)</f>
        <v/>
      </c>
    </row>
    <row r="1878" ht="21.0" customHeight="1">
      <c r="A1878" s="152"/>
      <c r="B1878" s="160"/>
      <c r="C1878" s="153"/>
      <c r="D1878" s="169"/>
      <c r="E1878" s="139"/>
      <c r="F1878" s="141"/>
      <c r="G1878" s="170" t="str">
        <f>IFERROR(__xludf.DUMMYFUNCTION("if($C1878="""","""",iferror(if(row()&lt;&gt;2,INDEX(arrayformula(filter($H$2:$H1877,$C$2:$C1877&lt;&gt;"""",row($C$2:$C1877)=max(if($C$2:$C1877=C1878,row($C$2:$C1877),0)))) ,1),0),0))"),"")</f>
        <v/>
      </c>
      <c r="H1878" s="170" t="str">
        <f t="shared" si="8"/>
        <v/>
      </c>
      <c r="I1878" s="147" t="str">
        <f t="shared" si="1"/>
        <v/>
      </c>
      <c r="J1878" s="147" t="str">
        <f t="shared" si="13"/>
        <v/>
      </c>
      <c r="K1878" s="147" t="str">
        <f>IFERROR(__xludf.DUMMYFUNCTION("if(C1878="""","""",iferror(if(row()&lt;&gt;2,INDEX(arrayformula(filter($L$2:$L1877,$C$2:$C1877&lt;&gt;"""",row($C$2:$C1877)=max(if($C$2:$C1877=C1878,row($C$2:$C1877),0)))) ,1),0),0))"),"")</f>
        <v/>
      </c>
      <c r="L1878" s="147" t="str">
        <f t="shared" si="14"/>
        <v/>
      </c>
      <c r="M1878" s="147" t="str">
        <f t="shared" si="15"/>
        <v/>
      </c>
      <c r="N1878" s="147" t="str">
        <f t="shared" si="16"/>
        <v/>
      </c>
      <c r="O1878" s="147" t="str">
        <f t="shared" si="6"/>
        <v/>
      </c>
      <c r="P1878" s="150" t="str">
        <f t="shared" si="7"/>
        <v/>
      </c>
      <c r="Q1878" s="151" t="str">
        <f>IFERROR(VLOOKUP(C1878,Ativos!$A$1:$G2000,5,),)</f>
        <v/>
      </c>
    </row>
    <row r="1879" ht="21.0" customHeight="1">
      <c r="A1879" s="152"/>
      <c r="B1879" s="160"/>
      <c r="C1879" s="153"/>
      <c r="D1879" s="169"/>
      <c r="E1879" s="139"/>
      <c r="F1879" s="141"/>
      <c r="G1879" s="170" t="str">
        <f>IFERROR(__xludf.DUMMYFUNCTION("if($C1879="""","""",iferror(if(row()&lt;&gt;2,INDEX(arrayformula(filter($H$2:$H1878,$C$2:$C1878&lt;&gt;"""",row($C$2:$C1878)=max(if($C$2:$C1878=C1879,row($C$2:$C1878),0)))) ,1),0),0))"),"")</f>
        <v/>
      </c>
      <c r="H1879" s="170" t="str">
        <f t="shared" si="8"/>
        <v/>
      </c>
      <c r="I1879" s="147" t="str">
        <f t="shared" si="1"/>
        <v/>
      </c>
      <c r="J1879" s="147" t="str">
        <f t="shared" si="13"/>
        <v/>
      </c>
      <c r="K1879" s="147" t="str">
        <f>IFERROR(__xludf.DUMMYFUNCTION("if(C1879="""","""",iferror(if(row()&lt;&gt;2,INDEX(arrayformula(filter($L$2:$L1878,$C$2:$C1878&lt;&gt;"""",row($C$2:$C1878)=max(if($C$2:$C1878=C1879,row($C$2:$C1878),0)))) ,1),0),0))"),"")</f>
        <v/>
      </c>
      <c r="L1879" s="147" t="str">
        <f t="shared" si="14"/>
        <v/>
      </c>
      <c r="M1879" s="147" t="str">
        <f t="shared" si="15"/>
        <v/>
      </c>
      <c r="N1879" s="147" t="str">
        <f t="shared" si="16"/>
        <v/>
      </c>
      <c r="O1879" s="147" t="str">
        <f t="shared" si="6"/>
        <v/>
      </c>
      <c r="P1879" s="150" t="str">
        <f t="shared" si="7"/>
        <v/>
      </c>
      <c r="Q1879" s="151" t="str">
        <f>IFERROR(VLOOKUP(C1879,Ativos!$A$1:$G2000,5,),)</f>
        <v/>
      </c>
    </row>
    <row r="1880" ht="21.0" customHeight="1">
      <c r="A1880" s="152"/>
      <c r="B1880" s="160"/>
      <c r="C1880" s="153"/>
      <c r="D1880" s="169"/>
      <c r="E1880" s="139"/>
      <c r="F1880" s="141"/>
      <c r="G1880" s="170" t="str">
        <f>IFERROR(__xludf.DUMMYFUNCTION("if($C1880="""","""",iferror(if(row()&lt;&gt;2,INDEX(arrayformula(filter($H$2:$H1879,$C$2:$C1879&lt;&gt;"""",row($C$2:$C1879)=max(if($C$2:$C1879=C1880,row($C$2:$C1879),0)))) ,1),0),0))"),"")</f>
        <v/>
      </c>
      <c r="H1880" s="170" t="str">
        <f t="shared" si="8"/>
        <v/>
      </c>
      <c r="I1880" s="147" t="str">
        <f t="shared" si="1"/>
        <v/>
      </c>
      <c r="J1880" s="147" t="str">
        <f t="shared" si="13"/>
        <v/>
      </c>
      <c r="K1880" s="147" t="str">
        <f>IFERROR(__xludf.DUMMYFUNCTION("if(C1880="""","""",iferror(if(row()&lt;&gt;2,INDEX(arrayformula(filter($L$2:$L1879,$C$2:$C1879&lt;&gt;"""",row($C$2:$C1879)=max(if($C$2:$C1879=C1880,row($C$2:$C1879),0)))) ,1),0),0))"),"")</f>
        <v/>
      </c>
      <c r="L1880" s="147" t="str">
        <f t="shared" si="14"/>
        <v/>
      </c>
      <c r="M1880" s="147" t="str">
        <f t="shared" si="15"/>
        <v/>
      </c>
      <c r="N1880" s="147" t="str">
        <f t="shared" si="16"/>
        <v/>
      </c>
      <c r="O1880" s="147" t="str">
        <f t="shared" si="6"/>
        <v/>
      </c>
      <c r="P1880" s="150" t="str">
        <f t="shared" si="7"/>
        <v/>
      </c>
      <c r="Q1880" s="151" t="str">
        <f>IFERROR(VLOOKUP(C1880,Ativos!$A$1:$G2000,5,),)</f>
        <v/>
      </c>
    </row>
    <row r="1881" ht="21.0" customHeight="1">
      <c r="A1881" s="152"/>
      <c r="B1881" s="160"/>
      <c r="C1881" s="153"/>
      <c r="D1881" s="169"/>
      <c r="E1881" s="139"/>
      <c r="F1881" s="141"/>
      <c r="G1881" s="170" t="str">
        <f>IFERROR(__xludf.DUMMYFUNCTION("if($C1881="""","""",iferror(if(row()&lt;&gt;2,INDEX(arrayformula(filter($H$2:$H1880,$C$2:$C1880&lt;&gt;"""",row($C$2:$C1880)=max(if($C$2:$C1880=C1881,row($C$2:$C1880),0)))) ,1),0),0))"),"")</f>
        <v/>
      </c>
      <c r="H1881" s="170" t="str">
        <f t="shared" si="8"/>
        <v/>
      </c>
      <c r="I1881" s="147" t="str">
        <f t="shared" si="1"/>
        <v/>
      </c>
      <c r="J1881" s="147" t="str">
        <f t="shared" si="13"/>
        <v/>
      </c>
      <c r="K1881" s="147" t="str">
        <f>IFERROR(__xludf.DUMMYFUNCTION("if(C1881="""","""",iferror(if(row()&lt;&gt;2,INDEX(arrayformula(filter($L$2:$L1880,$C$2:$C1880&lt;&gt;"""",row($C$2:$C1880)=max(if($C$2:$C1880=C1881,row($C$2:$C1880),0)))) ,1),0),0))"),"")</f>
        <v/>
      </c>
      <c r="L1881" s="147" t="str">
        <f t="shared" si="14"/>
        <v/>
      </c>
      <c r="M1881" s="147" t="str">
        <f t="shared" si="15"/>
        <v/>
      </c>
      <c r="N1881" s="147" t="str">
        <f t="shared" si="16"/>
        <v/>
      </c>
      <c r="O1881" s="147" t="str">
        <f t="shared" si="6"/>
        <v/>
      </c>
      <c r="P1881" s="150" t="str">
        <f t="shared" si="7"/>
        <v/>
      </c>
      <c r="Q1881" s="151" t="str">
        <f>IFERROR(VLOOKUP(C1881,Ativos!$A$1:$G2000,5,),)</f>
        <v/>
      </c>
    </row>
    <row r="1882" ht="21.0" customHeight="1">
      <c r="A1882" s="152"/>
      <c r="B1882" s="160"/>
      <c r="C1882" s="153"/>
      <c r="D1882" s="169"/>
      <c r="E1882" s="139"/>
      <c r="F1882" s="141"/>
      <c r="G1882" s="170" t="str">
        <f>IFERROR(__xludf.DUMMYFUNCTION("if($C1882="""","""",iferror(if(row()&lt;&gt;2,INDEX(arrayformula(filter($H$2:$H1881,$C$2:$C1881&lt;&gt;"""",row($C$2:$C1881)=max(if($C$2:$C1881=C1882,row($C$2:$C1881),0)))) ,1),0),0))"),"")</f>
        <v/>
      </c>
      <c r="H1882" s="170" t="str">
        <f t="shared" si="8"/>
        <v/>
      </c>
      <c r="I1882" s="147" t="str">
        <f t="shared" si="1"/>
        <v/>
      </c>
      <c r="J1882" s="147" t="str">
        <f t="shared" si="13"/>
        <v/>
      </c>
      <c r="K1882" s="147" t="str">
        <f>IFERROR(__xludf.DUMMYFUNCTION("if(C1882="""","""",iferror(if(row()&lt;&gt;2,INDEX(arrayformula(filter($L$2:$L1881,$C$2:$C1881&lt;&gt;"""",row($C$2:$C1881)=max(if($C$2:$C1881=C1882,row($C$2:$C1881),0)))) ,1),0),0))"),"")</f>
        <v/>
      </c>
      <c r="L1882" s="147" t="str">
        <f t="shared" si="14"/>
        <v/>
      </c>
      <c r="M1882" s="147" t="str">
        <f t="shared" si="15"/>
        <v/>
      </c>
      <c r="N1882" s="147" t="str">
        <f t="shared" si="16"/>
        <v/>
      </c>
      <c r="O1882" s="147" t="str">
        <f t="shared" si="6"/>
        <v/>
      </c>
      <c r="P1882" s="150" t="str">
        <f t="shared" si="7"/>
        <v/>
      </c>
      <c r="Q1882" s="151" t="str">
        <f>IFERROR(VLOOKUP(C1882,Ativos!$A$1:$G2000,5,),)</f>
        <v/>
      </c>
    </row>
    <row r="1883" ht="21.0" customHeight="1">
      <c r="A1883" s="152"/>
      <c r="B1883" s="160"/>
      <c r="C1883" s="153"/>
      <c r="D1883" s="169"/>
      <c r="E1883" s="139"/>
      <c r="F1883" s="141"/>
      <c r="G1883" s="170" t="str">
        <f>IFERROR(__xludf.DUMMYFUNCTION("if($C1883="""","""",iferror(if(row()&lt;&gt;2,INDEX(arrayformula(filter($H$2:$H1882,$C$2:$C1882&lt;&gt;"""",row($C$2:$C1882)=max(if($C$2:$C1882=C1883,row($C$2:$C1882),0)))) ,1),0),0))"),"")</f>
        <v/>
      </c>
      <c r="H1883" s="170" t="str">
        <f t="shared" si="8"/>
        <v/>
      </c>
      <c r="I1883" s="147" t="str">
        <f t="shared" si="1"/>
        <v/>
      </c>
      <c r="J1883" s="147" t="str">
        <f t="shared" si="13"/>
        <v/>
      </c>
      <c r="K1883" s="147" t="str">
        <f>IFERROR(__xludf.DUMMYFUNCTION("if(C1883="""","""",iferror(if(row()&lt;&gt;2,INDEX(arrayformula(filter($L$2:$L1882,$C$2:$C1882&lt;&gt;"""",row($C$2:$C1882)=max(if($C$2:$C1882=C1883,row($C$2:$C1882),0)))) ,1),0),0))"),"")</f>
        <v/>
      </c>
      <c r="L1883" s="147" t="str">
        <f t="shared" si="14"/>
        <v/>
      </c>
      <c r="M1883" s="147" t="str">
        <f t="shared" si="15"/>
        <v/>
      </c>
      <c r="N1883" s="147" t="str">
        <f t="shared" si="16"/>
        <v/>
      </c>
      <c r="O1883" s="147" t="str">
        <f t="shared" si="6"/>
        <v/>
      </c>
      <c r="P1883" s="150" t="str">
        <f t="shared" si="7"/>
        <v/>
      </c>
      <c r="Q1883" s="151" t="str">
        <f>IFERROR(VLOOKUP(C1883,Ativos!$A$1:$G2000,5,),)</f>
        <v/>
      </c>
    </row>
    <row r="1884" ht="21.0" customHeight="1">
      <c r="A1884" s="152"/>
      <c r="B1884" s="160"/>
      <c r="C1884" s="153"/>
      <c r="D1884" s="169"/>
      <c r="E1884" s="139"/>
      <c r="F1884" s="141"/>
      <c r="G1884" s="170" t="str">
        <f>IFERROR(__xludf.DUMMYFUNCTION("if($C1884="""","""",iferror(if(row()&lt;&gt;2,INDEX(arrayformula(filter($H$2:$H1883,$C$2:$C1883&lt;&gt;"""",row($C$2:$C1883)=max(if($C$2:$C1883=C1884,row($C$2:$C1883),0)))) ,1),0),0))"),"")</f>
        <v/>
      </c>
      <c r="H1884" s="170" t="str">
        <f t="shared" si="8"/>
        <v/>
      </c>
      <c r="I1884" s="147" t="str">
        <f t="shared" si="1"/>
        <v/>
      </c>
      <c r="J1884" s="147" t="str">
        <f t="shared" si="13"/>
        <v/>
      </c>
      <c r="K1884" s="147" t="str">
        <f>IFERROR(__xludf.DUMMYFUNCTION("if(C1884="""","""",iferror(if(row()&lt;&gt;2,INDEX(arrayformula(filter($L$2:$L1883,$C$2:$C1883&lt;&gt;"""",row($C$2:$C1883)=max(if($C$2:$C1883=C1884,row($C$2:$C1883),0)))) ,1),0),0))"),"")</f>
        <v/>
      </c>
      <c r="L1884" s="147" t="str">
        <f t="shared" si="14"/>
        <v/>
      </c>
      <c r="M1884" s="147" t="str">
        <f t="shared" si="15"/>
        <v/>
      </c>
      <c r="N1884" s="147" t="str">
        <f t="shared" si="16"/>
        <v/>
      </c>
      <c r="O1884" s="147" t="str">
        <f t="shared" si="6"/>
        <v/>
      </c>
      <c r="P1884" s="150" t="str">
        <f t="shared" si="7"/>
        <v/>
      </c>
      <c r="Q1884" s="151" t="str">
        <f>IFERROR(VLOOKUP(C1884,Ativos!$A$1:$G2000,5,),)</f>
        <v/>
      </c>
    </row>
    <row r="1885" ht="21.0" customHeight="1">
      <c r="A1885" s="152"/>
      <c r="B1885" s="160"/>
      <c r="C1885" s="153"/>
      <c r="D1885" s="169"/>
      <c r="E1885" s="139"/>
      <c r="F1885" s="141"/>
      <c r="G1885" s="170" t="str">
        <f>IFERROR(__xludf.DUMMYFUNCTION("if($C1885="""","""",iferror(if(row()&lt;&gt;2,INDEX(arrayformula(filter($H$2:$H1884,$C$2:$C1884&lt;&gt;"""",row($C$2:$C1884)=max(if($C$2:$C1884=C1885,row($C$2:$C1884),0)))) ,1),0),0))"),"")</f>
        <v/>
      </c>
      <c r="H1885" s="170" t="str">
        <f t="shared" si="8"/>
        <v/>
      </c>
      <c r="I1885" s="147" t="str">
        <f t="shared" si="1"/>
        <v/>
      </c>
      <c r="J1885" s="147" t="str">
        <f t="shared" si="13"/>
        <v/>
      </c>
      <c r="K1885" s="147" t="str">
        <f>IFERROR(__xludf.DUMMYFUNCTION("if(C1885="""","""",iferror(if(row()&lt;&gt;2,INDEX(arrayformula(filter($L$2:$L1884,$C$2:$C1884&lt;&gt;"""",row($C$2:$C1884)=max(if($C$2:$C1884=C1885,row($C$2:$C1884),0)))) ,1),0),0))"),"")</f>
        <v/>
      </c>
      <c r="L1885" s="147" t="str">
        <f t="shared" si="14"/>
        <v/>
      </c>
      <c r="M1885" s="147" t="str">
        <f t="shared" si="15"/>
        <v/>
      </c>
      <c r="N1885" s="147" t="str">
        <f t="shared" si="16"/>
        <v/>
      </c>
      <c r="O1885" s="147" t="str">
        <f t="shared" si="6"/>
        <v/>
      </c>
      <c r="P1885" s="150" t="str">
        <f t="shared" si="7"/>
        <v/>
      </c>
      <c r="Q1885" s="151" t="str">
        <f>IFERROR(VLOOKUP(C1885,Ativos!$A$1:$G2000,5,),)</f>
        <v/>
      </c>
    </row>
    <row r="1886" ht="21.0" customHeight="1">
      <c r="A1886" s="152"/>
      <c r="B1886" s="160"/>
      <c r="C1886" s="153"/>
      <c r="D1886" s="169"/>
      <c r="E1886" s="139"/>
      <c r="F1886" s="141"/>
      <c r="G1886" s="170" t="str">
        <f>IFERROR(__xludf.DUMMYFUNCTION("if($C1886="""","""",iferror(if(row()&lt;&gt;2,INDEX(arrayformula(filter($H$2:$H1885,$C$2:$C1885&lt;&gt;"""",row($C$2:$C1885)=max(if($C$2:$C1885=C1886,row($C$2:$C1885),0)))) ,1),0),0))"),"")</f>
        <v/>
      </c>
      <c r="H1886" s="170" t="str">
        <f t="shared" si="8"/>
        <v/>
      </c>
      <c r="I1886" s="147" t="str">
        <f t="shared" si="1"/>
        <v/>
      </c>
      <c r="J1886" s="147" t="str">
        <f t="shared" si="13"/>
        <v/>
      </c>
      <c r="K1886" s="147" t="str">
        <f>IFERROR(__xludf.DUMMYFUNCTION("if(C1886="""","""",iferror(if(row()&lt;&gt;2,INDEX(arrayformula(filter($L$2:$L1885,$C$2:$C1885&lt;&gt;"""",row($C$2:$C1885)=max(if($C$2:$C1885=C1886,row($C$2:$C1885),0)))) ,1),0),0))"),"")</f>
        <v/>
      </c>
      <c r="L1886" s="147" t="str">
        <f t="shared" si="14"/>
        <v/>
      </c>
      <c r="M1886" s="147" t="str">
        <f t="shared" si="15"/>
        <v/>
      </c>
      <c r="N1886" s="147" t="str">
        <f t="shared" si="16"/>
        <v/>
      </c>
      <c r="O1886" s="147" t="str">
        <f t="shared" si="6"/>
        <v/>
      </c>
      <c r="P1886" s="150" t="str">
        <f t="shared" si="7"/>
        <v/>
      </c>
      <c r="Q1886" s="151" t="str">
        <f>IFERROR(VLOOKUP(C1886,Ativos!$A$1:$G2000,5,),)</f>
        <v/>
      </c>
    </row>
    <row r="1887" ht="21.0" customHeight="1">
      <c r="A1887" s="152"/>
      <c r="B1887" s="160"/>
      <c r="C1887" s="153"/>
      <c r="D1887" s="169"/>
      <c r="E1887" s="139"/>
      <c r="F1887" s="141"/>
      <c r="G1887" s="170" t="str">
        <f>IFERROR(__xludf.DUMMYFUNCTION("if($C1887="""","""",iferror(if(row()&lt;&gt;2,INDEX(arrayformula(filter($H$2:$H1886,$C$2:$C1886&lt;&gt;"""",row($C$2:$C1886)=max(if($C$2:$C1886=C1887,row($C$2:$C1886),0)))) ,1),0),0))"),"")</f>
        <v/>
      </c>
      <c r="H1887" s="170" t="str">
        <f t="shared" si="8"/>
        <v/>
      </c>
      <c r="I1887" s="147" t="str">
        <f t="shared" si="1"/>
        <v/>
      </c>
      <c r="J1887" s="147" t="str">
        <f t="shared" si="13"/>
        <v/>
      </c>
      <c r="K1887" s="147" t="str">
        <f>IFERROR(__xludf.DUMMYFUNCTION("if(C1887="""","""",iferror(if(row()&lt;&gt;2,INDEX(arrayformula(filter($L$2:$L1886,$C$2:$C1886&lt;&gt;"""",row($C$2:$C1886)=max(if($C$2:$C1886=C1887,row($C$2:$C1886),0)))) ,1),0),0))"),"")</f>
        <v/>
      </c>
      <c r="L1887" s="147" t="str">
        <f t="shared" si="14"/>
        <v/>
      </c>
      <c r="M1887" s="147" t="str">
        <f t="shared" si="15"/>
        <v/>
      </c>
      <c r="N1887" s="147" t="str">
        <f t="shared" si="16"/>
        <v/>
      </c>
      <c r="O1887" s="147" t="str">
        <f t="shared" si="6"/>
        <v/>
      </c>
      <c r="P1887" s="150" t="str">
        <f t="shared" si="7"/>
        <v/>
      </c>
      <c r="Q1887" s="151" t="str">
        <f>IFERROR(VLOOKUP(C1887,Ativos!$A$1:$G2000,5,),)</f>
        <v/>
      </c>
    </row>
    <row r="1888" ht="21.0" customHeight="1">
      <c r="A1888" s="152"/>
      <c r="B1888" s="160"/>
      <c r="C1888" s="153"/>
      <c r="D1888" s="169"/>
      <c r="E1888" s="139"/>
      <c r="F1888" s="141"/>
      <c r="G1888" s="170" t="str">
        <f>IFERROR(__xludf.DUMMYFUNCTION("if($C1888="""","""",iferror(if(row()&lt;&gt;2,INDEX(arrayformula(filter($H$2:$H1887,$C$2:$C1887&lt;&gt;"""",row($C$2:$C1887)=max(if($C$2:$C1887=C1888,row($C$2:$C1887),0)))) ,1),0),0))"),"")</f>
        <v/>
      </c>
      <c r="H1888" s="170" t="str">
        <f t="shared" si="8"/>
        <v/>
      </c>
      <c r="I1888" s="147" t="str">
        <f t="shared" si="1"/>
        <v/>
      </c>
      <c r="J1888" s="147" t="str">
        <f t="shared" si="13"/>
        <v/>
      </c>
      <c r="K1888" s="147" t="str">
        <f>IFERROR(__xludf.DUMMYFUNCTION("if(C1888="""","""",iferror(if(row()&lt;&gt;2,INDEX(arrayformula(filter($L$2:$L1887,$C$2:$C1887&lt;&gt;"""",row($C$2:$C1887)=max(if($C$2:$C1887=C1888,row($C$2:$C1887),0)))) ,1),0),0))"),"")</f>
        <v/>
      </c>
      <c r="L1888" s="147" t="str">
        <f t="shared" si="14"/>
        <v/>
      </c>
      <c r="M1888" s="147" t="str">
        <f t="shared" si="15"/>
        <v/>
      </c>
      <c r="N1888" s="147" t="str">
        <f t="shared" si="16"/>
        <v/>
      </c>
      <c r="O1888" s="147" t="str">
        <f t="shared" si="6"/>
        <v/>
      </c>
      <c r="P1888" s="150" t="str">
        <f t="shared" si="7"/>
        <v/>
      </c>
      <c r="Q1888" s="151" t="str">
        <f>IFERROR(VLOOKUP(C1888,Ativos!$A$1:$G2000,5,),)</f>
        <v/>
      </c>
    </row>
    <row r="1889" ht="21.0" customHeight="1">
      <c r="A1889" s="152"/>
      <c r="B1889" s="160"/>
      <c r="C1889" s="153"/>
      <c r="D1889" s="169"/>
      <c r="E1889" s="139"/>
      <c r="F1889" s="141"/>
      <c r="G1889" s="170" t="str">
        <f>IFERROR(__xludf.DUMMYFUNCTION("if($C1889="""","""",iferror(if(row()&lt;&gt;2,INDEX(arrayformula(filter($H$2:$H1888,$C$2:$C1888&lt;&gt;"""",row($C$2:$C1888)=max(if($C$2:$C1888=C1889,row($C$2:$C1888),0)))) ,1),0),0))"),"")</f>
        <v/>
      </c>
      <c r="H1889" s="170" t="str">
        <f t="shared" si="8"/>
        <v/>
      </c>
      <c r="I1889" s="147" t="str">
        <f t="shared" si="1"/>
        <v/>
      </c>
      <c r="J1889" s="147" t="str">
        <f t="shared" si="13"/>
        <v/>
      </c>
      <c r="K1889" s="147" t="str">
        <f>IFERROR(__xludf.DUMMYFUNCTION("if(C1889="""","""",iferror(if(row()&lt;&gt;2,INDEX(arrayformula(filter($L$2:$L1888,$C$2:$C1888&lt;&gt;"""",row($C$2:$C1888)=max(if($C$2:$C1888=C1889,row($C$2:$C1888),0)))) ,1),0),0))"),"")</f>
        <v/>
      </c>
      <c r="L1889" s="147" t="str">
        <f t="shared" si="14"/>
        <v/>
      </c>
      <c r="M1889" s="147" t="str">
        <f t="shared" si="15"/>
        <v/>
      </c>
      <c r="N1889" s="147" t="str">
        <f t="shared" si="16"/>
        <v/>
      </c>
      <c r="O1889" s="147" t="str">
        <f t="shared" si="6"/>
        <v/>
      </c>
      <c r="P1889" s="150" t="str">
        <f t="shared" si="7"/>
        <v/>
      </c>
      <c r="Q1889" s="151" t="str">
        <f>IFERROR(VLOOKUP(C1889,Ativos!$A$1:$G2000,5,),)</f>
        <v/>
      </c>
    </row>
    <row r="1890" ht="21.0" customHeight="1">
      <c r="A1890" s="152"/>
      <c r="B1890" s="160"/>
      <c r="C1890" s="153"/>
      <c r="D1890" s="169"/>
      <c r="E1890" s="139"/>
      <c r="F1890" s="141"/>
      <c r="G1890" s="170" t="str">
        <f>IFERROR(__xludf.DUMMYFUNCTION("if($C1890="""","""",iferror(if(row()&lt;&gt;2,INDEX(arrayformula(filter($H$2:$H1889,$C$2:$C1889&lt;&gt;"""",row($C$2:$C1889)=max(if($C$2:$C1889=C1890,row($C$2:$C1889),0)))) ,1),0),0))"),"")</f>
        <v/>
      </c>
      <c r="H1890" s="170" t="str">
        <f t="shared" si="8"/>
        <v/>
      </c>
      <c r="I1890" s="147" t="str">
        <f t="shared" si="1"/>
        <v/>
      </c>
      <c r="J1890" s="147" t="str">
        <f t="shared" si="13"/>
        <v/>
      </c>
      <c r="K1890" s="147" t="str">
        <f>IFERROR(__xludf.DUMMYFUNCTION("if(C1890="""","""",iferror(if(row()&lt;&gt;2,INDEX(arrayformula(filter($L$2:$L1889,$C$2:$C1889&lt;&gt;"""",row($C$2:$C1889)=max(if($C$2:$C1889=C1890,row($C$2:$C1889),0)))) ,1),0),0))"),"")</f>
        <v/>
      </c>
      <c r="L1890" s="147" t="str">
        <f t="shared" si="14"/>
        <v/>
      </c>
      <c r="M1890" s="147" t="str">
        <f t="shared" si="15"/>
        <v/>
      </c>
      <c r="N1890" s="147" t="str">
        <f t="shared" si="16"/>
        <v/>
      </c>
      <c r="O1890" s="147" t="str">
        <f t="shared" si="6"/>
        <v/>
      </c>
      <c r="P1890" s="150" t="str">
        <f t="shared" si="7"/>
        <v/>
      </c>
      <c r="Q1890" s="151" t="str">
        <f>IFERROR(VLOOKUP(C1890,Ativos!$A$1:$G2000,5,),)</f>
        <v/>
      </c>
    </row>
    <row r="1891" ht="21.0" customHeight="1">
      <c r="A1891" s="152"/>
      <c r="B1891" s="160"/>
      <c r="C1891" s="153"/>
      <c r="D1891" s="169"/>
      <c r="E1891" s="139"/>
      <c r="F1891" s="141"/>
      <c r="G1891" s="170" t="str">
        <f>IFERROR(__xludf.DUMMYFUNCTION("if($C1891="""","""",iferror(if(row()&lt;&gt;2,INDEX(arrayformula(filter($H$2:$H1890,$C$2:$C1890&lt;&gt;"""",row($C$2:$C1890)=max(if($C$2:$C1890=C1891,row($C$2:$C1890),0)))) ,1),0),0))"),"")</f>
        <v/>
      </c>
      <c r="H1891" s="170" t="str">
        <f t="shared" si="8"/>
        <v/>
      </c>
      <c r="I1891" s="147" t="str">
        <f t="shared" si="1"/>
        <v/>
      </c>
      <c r="J1891" s="147" t="str">
        <f t="shared" si="13"/>
        <v/>
      </c>
      <c r="K1891" s="147" t="str">
        <f>IFERROR(__xludf.DUMMYFUNCTION("if(C1891="""","""",iferror(if(row()&lt;&gt;2,INDEX(arrayformula(filter($L$2:$L1890,$C$2:$C1890&lt;&gt;"""",row($C$2:$C1890)=max(if($C$2:$C1890=C1891,row($C$2:$C1890),0)))) ,1),0),0))"),"")</f>
        <v/>
      </c>
      <c r="L1891" s="147" t="str">
        <f t="shared" si="14"/>
        <v/>
      </c>
      <c r="M1891" s="147" t="str">
        <f t="shared" si="15"/>
        <v/>
      </c>
      <c r="N1891" s="147" t="str">
        <f t="shared" si="16"/>
        <v/>
      </c>
      <c r="O1891" s="147" t="str">
        <f t="shared" si="6"/>
        <v/>
      </c>
      <c r="P1891" s="150" t="str">
        <f t="shared" si="7"/>
        <v/>
      </c>
      <c r="Q1891" s="151" t="str">
        <f>IFERROR(VLOOKUP(C1891,Ativos!$A$1:$G2000,5,),)</f>
        <v/>
      </c>
    </row>
    <row r="1892" ht="21.0" customHeight="1">
      <c r="A1892" s="152"/>
      <c r="B1892" s="160"/>
      <c r="C1892" s="153"/>
      <c r="D1892" s="169"/>
      <c r="E1892" s="139"/>
      <c r="F1892" s="141"/>
      <c r="G1892" s="170" t="str">
        <f>IFERROR(__xludf.DUMMYFUNCTION("if($C1892="""","""",iferror(if(row()&lt;&gt;2,INDEX(arrayformula(filter($H$2:$H1891,$C$2:$C1891&lt;&gt;"""",row($C$2:$C1891)=max(if($C$2:$C1891=C1892,row($C$2:$C1891),0)))) ,1),0),0))"),"")</f>
        <v/>
      </c>
      <c r="H1892" s="170" t="str">
        <f t="shared" si="8"/>
        <v/>
      </c>
      <c r="I1892" s="147" t="str">
        <f t="shared" si="1"/>
        <v/>
      </c>
      <c r="J1892" s="147" t="str">
        <f t="shared" si="13"/>
        <v/>
      </c>
      <c r="K1892" s="147" t="str">
        <f>IFERROR(__xludf.DUMMYFUNCTION("if(C1892="""","""",iferror(if(row()&lt;&gt;2,INDEX(arrayformula(filter($L$2:$L1891,$C$2:$C1891&lt;&gt;"""",row($C$2:$C1891)=max(if($C$2:$C1891=C1892,row($C$2:$C1891),0)))) ,1),0),0))"),"")</f>
        <v/>
      </c>
      <c r="L1892" s="147" t="str">
        <f t="shared" si="14"/>
        <v/>
      </c>
      <c r="M1892" s="147" t="str">
        <f t="shared" si="15"/>
        <v/>
      </c>
      <c r="N1892" s="147" t="str">
        <f t="shared" si="16"/>
        <v/>
      </c>
      <c r="O1892" s="147" t="str">
        <f t="shared" si="6"/>
        <v/>
      </c>
      <c r="P1892" s="150" t="str">
        <f t="shared" si="7"/>
        <v/>
      </c>
      <c r="Q1892" s="151" t="str">
        <f>IFERROR(VLOOKUP(C1892,Ativos!$A$1:$G2000,5,),)</f>
        <v/>
      </c>
    </row>
    <row r="1893" ht="21.0" customHeight="1">
      <c r="A1893" s="152"/>
      <c r="B1893" s="160"/>
      <c r="C1893" s="153"/>
      <c r="D1893" s="169"/>
      <c r="E1893" s="139"/>
      <c r="F1893" s="141"/>
      <c r="G1893" s="170" t="str">
        <f>IFERROR(__xludf.DUMMYFUNCTION("if($C1893="""","""",iferror(if(row()&lt;&gt;2,INDEX(arrayformula(filter($H$2:$H1892,$C$2:$C1892&lt;&gt;"""",row($C$2:$C1892)=max(if($C$2:$C1892=C1893,row($C$2:$C1892),0)))) ,1),0),0))"),"")</f>
        <v/>
      </c>
      <c r="H1893" s="170" t="str">
        <f t="shared" si="8"/>
        <v/>
      </c>
      <c r="I1893" s="147" t="str">
        <f t="shared" si="1"/>
        <v/>
      </c>
      <c r="J1893" s="147" t="str">
        <f t="shared" si="13"/>
        <v/>
      </c>
      <c r="K1893" s="147" t="str">
        <f>IFERROR(__xludf.DUMMYFUNCTION("if(C1893="""","""",iferror(if(row()&lt;&gt;2,INDEX(arrayformula(filter($L$2:$L1892,$C$2:$C1892&lt;&gt;"""",row($C$2:$C1892)=max(if($C$2:$C1892=C1893,row($C$2:$C1892),0)))) ,1),0),0))"),"")</f>
        <v/>
      </c>
      <c r="L1893" s="147" t="str">
        <f t="shared" si="14"/>
        <v/>
      </c>
      <c r="M1893" s="147" t="str">
        <f t="shared" si="15"/>
        <v/>
      </c>
      <c r="N1893" s="147" t="str">
        <f t="shared" si="16"/>
        <v/>
      </c>
      <c r="O1893" s="147" t="str">
        <f t="shared" si="6"/>
        <v/>
      </c>
      <c r="P1893" s="150" t="str">
        <f t="shared" si="7"/>
        <v/>
      </c>
      <c r="Q1893" s="151" t="str">
        <f>IFERROR(VLOOKUP(C1893,Ativos!$A$1:$G2000,5,),)</f>
        <v/>
      </c>
    </row>
    <row r="1894" ht="21.0" customHeight="1">
      <c r="A1894" s="152"/>
      <c r="B1894" s="160"/>
      <c r="C1894" s="153"/>
      <c r="D1894" s="169"/>
      <c r="E1894" s="139"/>
      <c r="F1894" s="141"/>
      <c r="G1894" s="170" t="str">
        <f>IFERROR(__xludf.DUMMYFUNCTION("if($C1894="""","""",iferror(if(row()&lt;&gt;2,INDEX(arrayformula(filter($H$2:$H1893,$C$2:$C1893&lt;&gt;"""",row($C$2:$C1893)=max(if($C$2:$C1893=C1894,row($C$2:$C1893),0)))) ,1),0),0))"),"")</f>
        <v/>
      </c>
      <c r="H1894" s="170" t="str">
        <f t="shared" si="8"/>
        <v/>
      </c>
      <c r="I1894" s="147" t="str">
        <f t="shared" si="1"/>
        <v/>
      </c>
      <c r="J1894" s="147" t="str">
        <f t="shared" si="13"/>
        <v/>
      </c>
      <c r="K1894" s="147" t="str">
        <f>IFERROR(__xludf.DUMMYFUNCTION("if(C1894="""","""",iferror(if(row()&lt;&gt;2,INDEX(arrayformula(filter($L$2:$L1893,$C$2:$C1893&lt;&gt;"""",row($C$2:$C1893)=max(if($C$2:$C1893=C1894,row($C$2:$C1893),0)))) ,1),0),0))"),"")</f>
        <v/>
      </c>
      <c r="L1894" s="147" t="str">
        <f t="shared" si="14"/>
        <v/>
      </c>
      <c r="M1894" s="147" t="str">
        <f t="shared" si="15"/>
        <v/>
      </c>
      <c r="N1894" s="147" t="str">
        <f t="shared" si="16"/>
        <v/>
      </c>
      <c r="O1894" s="147" t="str">
        <f t="shared" si="6"/>
        <v/>
      </c>
      <c r="P1894" s="150" t="str">
        <f t="shared" si="7"/>
        <v/>
      </c>
      <c r="Q1894" s="151" t="str">
        <f>IFERROR(VLOOKUP(C1894,Ativos!$A$1:$G2000,5,),)</f>
        <v/>
      </c>
    </row>
    <row r="1895" ht="21.0" customHeight="1">
      <c r="A1895" s="152"/>
      <c r="B1895" s="160"/>
      <c r="C1895" s="153"/>
      <c r="D1895" s="169"/>
      <c r="E1895" s="139"/>
      <c r="F1895" s="141"/>
      <c r="G1895" s="170" t="str">
        <f>IFERROR(__xludf.DUMMYFUNCTION("if($C1895="""","""",iferror(if(row()&lt;&gt;2,INDEX(arrayformula(filter($H$2:$H1894,$C$2:$C1894&lt;&gt;"""",row($C$2:$C1894)=max(if($C$2:$C1894=C1895,row($C$2:$C1894),0)))) ,1),0),0))"),"")</f>
        <v/>
      </c>
      <c r="H1895" s="170" t="str">
        <f t="shared" si="8"/>
        <v/>
      </c>
      <c r="I1895" s="147" t="str">
        <f t="shared" si="1"/>
        <v/>
      </c>
      <c r="J1895" s="147" t="str">
        <f t="shared" si="13"/>
        <v/>
      </c>
      <c r="K1895" s="147" t="str">
        <f>IFERROR(__xludf.DUMMYFUNCTION("if(C1895="""","""",iferror(if(row()&lt;&gt;2,INDEX(arrayformula(filter($L$2:$L1894,$C$2:$C1894&lt;&gt;"""",row($C$2:$C1894)=max(if($C$2:$C1894=C1895,row($C$2:$C1894),0)))) ,1),0),0))"),"")</f>
        <v/>
      </c>
      <c r="L1895" s="147" t="str">
        <f t="shared" si="14"/>
        <v/>
      </c>
      <c r="M1895" s="147" t="str">
        <f t="shared" si="15"/>
        <v/>
      </c>
      <c r="N1895" s="147" t="str">
        <f t="shared" si="16"/>
        <v/>
      </c>
      <c r="O1895" s="147" t="str">
        <f t="shared" si="6"/>
        <v/>
      </c>
      <c r="P1895" s="150" t="str">
        <f t="shared" si="7"/>
        <v/>
      </c>
      <c r="Q1895" s="151" t="str">
        <f>IFERROR(VLOOKUP(C1895,Ativos!$A$1:$G2000,5,),)</f>
        <v/>
      </c>
    </row>
    <row r="1896" ht="21.0" customHeight="1">
      <c r="A1896" s="152"/>
      <c r="B1896" s="160"/>
      <c r="C1896" s="153"/>
      <c r="D1896" s="169"/>
      <c r="E1896" s="139"/>
      <c r="F1896" s="141"/>
      <c r="G1896" s="170" t="str">
        <f>IFERROR(__xludf.DUMMYFUNCTION("if($C1896="""","""",iferror(if(row()&lt;&gt;2,INDEX(arrayformula(filter($H$2:$H1895,$C$2:$C1895&lt;&gt;"""",row($C$2:$C1895)=max(if($C$2:$C1895=C1896,row($C$2:$C1895),0)))) ,1),0),0))"),"")</f>
        <v/>
      </c>
      <c r="H1896" s="170" t="str">
        <f t="shared" si="8"/>
        <v/>
      </c>
      <c r="I1896" s="147" t="str">
        <f t="shared" si="1"/>
        <v/>
      </c>
      <c r="J1896" s="147" t="str">
        <f t="shared" si="13"/>
        <v/>
      </c>
      <c r="K1896" s="147" t="str">
        <f>IFERROR(__xludf.DUMMYFUNCTION("if(C1896="""","""",iferror(if(row()&lt;&gt;2,INDEX(arrayformula(filter($L$2:$L1895,$C$2:$C1895&lt;&gt;"""",row($C$2:$C1895)=max(if($C$2:$C1895=C1896,row($C$2:$C1895),0)))) ,1),0),0))"),"")</f>
        <v/>
      </c>
      <c r="L1896" s="147" t="str">
        <f t="shared" si="14"/>
        <v/>
      </c>
      <c r="M1896" s="147" t="str">
        <f t="shared" si="15"/>
        <v/>
      </c>
      <c r="N1896" s="147" t="str">
        <f t="shared" si="16"/>
        <v/>
      </c>
      <c r="O1896" s="147" t="str">
        <f t="shared" si="6"/>
        <v/>
      </c>
      <c r="P1896" s="150" t="str">
        <f t="shared" si="7"/>
        <v/>
      </c>
      <c r="Q1896" s="151" t="str">
        <f>IFERROR(VLOOKUP(C1896,Ativos!$A$1:$G2000,5,),)</f>
        <v/>
      </c>
    </row>
    <row r="1897" ht="21.0" customHeight="1">
      <c r="A1897" s="152"/>
      <c r="B1897" s="160"/>
      <c r="C1897" s="153"/>
      <c r="D1897" s="169"/>
      <c r="E1897" s="139"/>
      <c r="F1897" s="141"/>
      <c r="G1897" s="170" t="str">
        <f>IFERROR(__xludf.DUMMYFUNCTION("if($C1897="""","""",iferror(if(row()&lt;&gt;2,INDEX(arrayformula(filter($H$2:$H1896,$C$2:$C1896&lt;&gt;"""",row($C$2:$C1896)=max(if($C$2:$C1896=C1897,row($C$2:$C1896),0)))) ,1),0),0))"),"")</f>
        <v/>
      </c>
      <c r="H1897" s="170" t="str">
        <f t="shared" si="8"/>
        <v/>
      </c>
      <c r="I1897" s="147" t="str">
        <f t="shared" si="1"/>
        <v/>
      </c>
      <c r="J1897" s="147" t="str">
        <f t="shared" si="13"/>
        <v/>
      </c>
      <c r="K1897" s="147" t="str">
        <f>IFERROR(__xludf.DUMMYFUNCTION("if(C1897="""","""",iferror(if(row()&lt;&gt;2,INDEX(arrayformula(filter($L$2:$L1896,$C$2:$C1896&lt;&gt;"""",row($C$2:$C1896)=max(if($C$2:$C1896=C1897,row($C$2:$C1896),0)))) ,1),0),0))"),"")</f>
        <v/>
      </c>
      <c r="L1897" s="147" t="str">
        <f t="shared" si="14"/>
        <v/>
      </c>
      <c r="M1897" s="147" t="str">
        <f t="shared" si="15"/>
        <v/>
      </c>
      <c r="N1897" s="147" t="str">
        <f t="shared" si="16"/>
        <v/>
      </c>
      <c r="O1897" s="147" t="str">
        <f t="shared" si="6"/>
        <v/>
      </c>
      <c r="P1897" s="150" t="str">
        <f t="shared" si="7"/>
        <v/>
      </c>
      <c r="Q1897" s="151" t="str">
        <f>IFERROR(VLOOKUP(C1897,Ativos!$A$1:$G2000,5,),)</f>
        <v/>
      </c>
    </row>
    <row r="1898" ht="21.0" customHeight="1">
      <c r="A1898" s="152"/>
      <c r="B1898" s="160"/>
      <c r="C1898" s="153"/>
      <c r="D1898" s="169"/>
      <c r="E1898" s="139"/>
      <c r="F1898" s="141"/>
      <c r="G1898" s="170" t="str">
        <f>IFERROR(__xludf.DUMMYFUNCTION("if($C1898="""","""",iferror(if(row()&lt;&gt;2,INDEX(arrayformula(filter($H$2:$H1897,$C$2:$C1897&lt;&gt;"""",row($C$2:$C1897)=max(if($C$2:$C1897=C1898,row($C$2:$C1897),0)))) ,1),0),0))"),"")</f>
        <v/>
      </c>
      <c r="H1898" s="170" t="str">
        <f t="shared" si="8"/>
        <v/>
      </c>
      <c r="I1898" s="147" t="str">
        <f t="shared" si="1"/>
        <v/>
      </c>
      <c r="J1898" s="147" t="str">
        <f t="shared" si="13"/>
        <v/>
      </c>
      <c r="K1898" s="147" t="str">
        <f>IFERROR(__xludf.DUMMYFUNCTION("if(C1898="""","""",iferror(if(row()&lt;&gt;2,INDEX(arrayformula(filter($L$2:$L1897,$C$2:$C1897&lt;&gt;"""",row($C$2:$C1897)=max(if($C$2:$C1897=C1898,row($C$2:$C1897),0)))) ,1),0),0))"),"")</f>
        <v/>
      </c>
      <c r="L1898" s="147" t="str">
        <f t="shared" si="14"/>
        <v/>
      </c>
      <c r="M1898" s="147" t="str">
        <f t="shared" si="15"/>
        <v/>
      </c>
      <c r="N1898" s="147" t="str">
        <f t="shared" si="16"/>
        <v/>
      </c>
      <c r="O1898" s="147" t="str">
        <f t="shared" si="6"/>
        <v/>
      </c>
      <c r="P1898" s="150" t="str">
        <f t="shared" si="7"/>
        <v/>
      </c>
      <c r="Q1898" s="151" t="str">
        <f>IFERROR(VLOOKUP(C1898,Ativos!$A$1:$G2000,5,),)</f>
        <v/>
      </c>
    </row>
    <row r="1899" ht="21.0" customHeight="1">
      <c r="A1899" s="152"/>
      <c r="B1899" s="160"/>
      <c r="C1899" s="153"/>
      <c r="D1899" s="169"/>
      <c r="E1899" s="139"/>
      <c r="F1899" s="141"/>
      <c r="G1899" s="170" t="str">
        <f>IFERROR(__xludf.DUMMYFUNCTION("if($C1899="""","""",iferror(if(row()&lt;&gt;2,INDEX(arrayformula(filter($H$2:$H1898,$C$2:$C1898&lt;&gt;"""",row($C$2:$C1898)=max(if($C$2:$C1898=C1899,row($C$2:$C1898),0)))) ,1),0),0))"),"")</f>
        <v/>
      </c>
      <c r="H1899" s="170" t="str">
        <f t="shared" si="8"/>
        <v/>
      </c>
      <c r="I1899" s="147" t="str">
        <f t="shared" si="1"/>
        <v/>
      </c>
      <c r="J1899" s="147" t="str">
        <f t="shared" si="13"/>
        <v/>
      </c>
      <c r="K1899" s="147" t="str">
        <f>IFERROR(__xludf.DUMMYFUNCTION("if(C1899="""","""",iferror(if(row()&lt;&gt;2,INDEX(arrayformula(filter($L$2:$L1898,$C$2:$C1898&lt;&gt;"""",row($C$2:$C1898)=max(if($C$2:$C1898=C1899,row($C$2:$C1898),0)))) ,1),0),0))"),"")</f>
        <v/>
      </c>
      <c r="L1899" s="147" t="str">
        <f t="shared" si="14"/>
        <v/>
      </c>
      <c r="M1899" s="147" t="str">
        <f t="shared" si="15"/>
        <v/>
      </c>
      <c r="N1899" s="147" t="str">
        <f t="shared" si="16"/>
        <v/>
      </c>
      <c r="O1899" s="147" t="str">
        <f t="shared" si="6"/>
        <v/>
      </c>
      <c r="P1899" s="150" t="str">
        <f t="shared" si="7"/>
        <v/>
      </c>
      <c r="Q1899" s="151" t="str">
        <f>IFERROR(VLOOKUP(C1899,Ativos!$A$1:$G2000,5,),)</f>
        <v/>
      </c>
    </row>
    <row r="1900" ht="21.0" customHeight="1">
      <c r="A1900" s="152"/>
      <c r="B1900" s="160"/>
      <c r="C1900" s="153"/>
      <c r="D1900" s="169"/>
      <c r="E1900" s="139"/>
      <c r="F1900" s="141"/>
      <c r="G1900" s="170" t="str">
        <f>IFERROR(__xludf.DUMMYFUNCTION("if($C1900="""","""",iferror(if(row()&lt;&gt;2,INDEX(arrayformula(filter($H$2:$H1899,$C$2:$C1899&lt;&gt;"""",row($C$2:$C1899)=max(if($C$2:$C1899=C1900,row($C$2:$C1899),0)))) ,1),0),0))"),"")</f>
        <v/>
      </c>
      <c r="H1900" s="170" t="str">
        <f t="shared" si="8"/>
        <v/>
      </c>
      <c r="I1900" s="147" t="str">
        <f t="shared" si="1"/>
        <v/>
      </c>
      <c r="J1900" s="147" t="str">
        <f t="shared" si="13"/>
        <v/>
      </c>
      <c r="K1900" s="147" t="str">
        <f>IFERROR(__xludf.DUMMYFUNCTION("if(C1900="""","""",iferror(if(row()&lt;&gt;2,INDEX(arrayformula(filter($L$2:$L1899,$C$2:$C1899&lt;&gt;"""",row($C$2:$C1899)=max(if($C$2:$C1899=C1900,row($C$2:$C1899),0)))) ,1),0),0))"),"")</f>
        <v/>
      </c>
      <c r="L1900" s="147" t="str">
        <f t="shared" si="14"/>
        <v/>
      </c>
      <c r="M1900" s="147" t="str">
        <f t="shared" si="15"/>
        <v/>
      </c>
      <c r="N1900" s="147" t="str">
        <f t="shared" si="16"/>
        <v/>
      </c>
      <c r="O1900" s="147" t="str">
        <f t="shared" si="6"/>
        <v/>
      </c>
      <c r="P1900" s="150" t="str">
        <f t="shared" si="7"/>
        <v/>
      </c>
      <c r="Q1900" s="151" t="str">
        <f>IFERROR(VLOOKUP(C1900,Ativos!$A$1:$G2000,5,),)</f>
        <v/>
      </c>
    </row>
    <row r="1901" ht="21.0" customHeight="1">
      <c r="A1901" s="152"/>
      <c r="B1901" s="160"/>
      <c r="C1901" s="153"/>
      <c r="D1901" s="169"/>
      <c r="E1901" s="139"/>
      <c r="F1901" s="141"/>
      <c r="G1901" s="170" t="str">
        <f>IFERROR(__xludf.DUMMYFUNCTION("if($C1901="""","""",iferror(if(row()&lt;&gt;2,INDEX(arrayformula(filter($H$2:$H1900,$C$2:$C1900&lt;&gt;"""",row($C$2:$C1900)=max(if($C$2:$C1900=C1901,row($C$2:$C1900),0)))) ,1),0),0))"),"")</f>
        <v/>
      </c>
      <c r="H1901" s="170" t="str">
        <f t="shared" si="8"/>
        <v/>
      </c>
      <c r="I1901" s="147" t="str">
        <f t="shared" si="1"/>
        <v/>
      </c>
      <c r="J1901" s="147" t="str">
        <f t="shared" si="13"/>
        <v/>
      </c>
      <c r="K1901" s="147" t="str">
        <f>IFERROR(__xludf.DUMMYFUNCTION("if(C1901="""","""",iferror(if(row()&lt;&gt;2,INDEX(arrayformula(filter($L$2:$L1900,$C$2:$C1900&lt;&gt;"""",row($C$2:$C1900)=max(if($C$2:$C1900=C1901,row($C$2:$C1900),0)))) ,1),0),0))"),"")</f>
        <v/>
      </c>
      <c r="L1901" s="147" t="str">
        <f t="shared" si="14"/>
        <v/>
      </c>
      <c r="M1901" s="147" t="str">
        <f t="shared" si="15"/>
        <v/>
      </c>
      <c r="N1901" s="147" t="str">
        <f t="shared" si="16"/>
        <v/>
      </c>
      <c r="O1901" s="147" t="str">
        <f t="shared" si="6"/>
        <v/>
      </c>
      <c r="P1901" s="150" t="str">
        <f t="shared" si="7"/>
        <v/>
      </c>
      <c r="Q1901" s="151" t="str">
        <f>IFERROR(VLOOKUP(C1901,Ativos!$A$1:$G2000,5,),)</f>
        <v/>
      </c>
    </row>
    <row r="1902" ht="21.0" customHeight="1">
      <c r="A1902" s="152"/>
      <c r="B1902" s="160"/>
      <c r="C1902" s="153"/>
      <c r="D1902" s="169"/>
      <c r="E1902" s="139"/>
      <c r="F1902" s="141"/>
      <c r="G1902" s="170" t="str">
        <f>IFERROR(__xludf.DUMMYFUNCTION("if($C1902="""","""",iferror(if(row()&lt;&gt;2,INDEX(arrayformula(filter($H$2:$H1901,$C$2:$C1901&lt;&gt;"""",row($C$2:$C1901)=max(if($C$2:$C1901=C1902,row($C$2:$C1901),0)))) ,1),0),0))"),"")</f>
        <v/>
      </c>
      <c r="H1902" s="170" t="str">
        <f t="shared" si="8"/>
        <v/>
      </c>
      <c r="I1902" s="147" t="str">
        <f t="shared" si="1"/>
        <v/>
      </c>
      <c r="J1902" s="147" t="str">
        <f t="shared" si="13"/>
        <v/>
      </c>
      <c r="K1902" s="147" t="str">
        <f>IFERROR(__xludf.DUMMYFUNCTION("if(C1902="""","""",iferror(if(row()&lt;&gt;2,INDEX(arrayformula(filter($L$2:$L1901,$C$2:$C1901&lt;&gt;"""",row($C$2:$C1901)=max(if($C$2:$C1901=C1902,row($C$2:$C1901),0)))) ,1),0),0))"),"")</f>
        <v/>
      </c>
      <c r="L1902" s="147" t="str">
        <f t="shared" si="14"/>
        <v/>
      </c>
      <c r="M1902" s="147" t="str">
        <f t="shared" si="15"/>
        <v/>
      </c>
      <c r="N1902" s="147" t="str">
        <f t="shared" si="16"/>
        <v/>
      </c>
      <c r="O1902" s="147" t="str">
        <f t="shared" si="6"/>
        <v/>
      </c>
      <c r="P1902" s="150" t="str">
        <f t="shared" si="7"/>
        <v/>
      </c>
      <c r="Q1902" s="151" t="str">
        <f>IFERROR(VLOOKUP(C1902,Ativos!$A$1:$G2000,5,),)</f>
        <v/>
      </c>
    </row>
    <row r="1903" ht="21.0" customHeight="1">
      <c r="A1903" s="152"/>
      <c r="B1903" s="160"/>
      <c r="C1903" s="153"/>
      <c r="D1903" s="169"/>
      <c r="E1903" s="139"/>
      <c r="F1903" s="141"/>
      <c r="G1903" s="170" t="str">
        <f>IFERROR(__xludf.DUMMYFUNCTION("if($C1903="""","""",iferror(if(row()&lt;&gt;2,INDEX(arrayformula(filter($H$2:$H1902,$C$2:$C1902&lt;&gt;"""",row($C$2:$C1902)=max(if($C$2:$C1902=C1903,row($C$2:$C1902),0)))) ,1),0),0))"),"")</f>
        <v/>
      </c>
      <c r="H1903" s="170" t="str">
        <f t="shared" si="8"/>
        <v/>
      </c>
      <c r="I1903" s="147" t="str">
        <f t="shared" si="1"/>
        <v/>
      </c>
      <c r="J1903" s="147" t="str">
        <f t="shared" si="13"/>
        <v/>
      </c>
      <c r="K1903" s="147" t="str">
        <f>IFERROR(__xludf.DUMMYFUNCTION("if(C1903="""","""",iferror(if(row()&lt;&gt;2,INDEX(arrayformula(filter($L$2:$L1902,$C$2:$C1902&lt;&gt;"""",row($C$2:$C1902)=max(if($C$2:$C1902=C1903,row($C$2:$C1902),0)))) ,1),0),0))"),"")</f>
        <v/>
      </c>
      <c r="L1903" s="147" t="str">
        <f t="shared" si="14"/>
        <v/>
      </c>
      <c r="M1903" s="147" t="str">
        <f t="shared" si="15"/>
        <v/>
      </c>
      <c r="N1903" s="147" t="str">
        <f t="shared" si="16"/>
        <v/>
      </c>
      <c r="O1903" s="147" t="str">
        <f t="shared" si="6"/>
        <v/>
      </c>
      <c r="P1903" s="150" t="str">
        <f t="shared" si="7"/>
        <v/>
      </c>
      <c r="Q1903" s="151" t="str">
        <f>IFERROR(VLOOKUP(C1903,Ativos!$A$1:$G2000,5,),)</f>
        <v/>
      </c>
    </row>
    <row r="1904" ht="21.0" customHeight="1">
      <c r="A1904" s="152"/>
      <c r="B1904" s="160"/>
      <c r="C1904" s="153"/>
      <c r="D1904" s="169"/>
      <c r="E1904" s="139"/>
      <c r="F1904" s="141"/>
      <c r="G1904" s="170" t="str">
        <f>IFERROR(__xludf.DUMMYFUNCTION("if($C1904="""","""",iferror(if(row()&lt;&gt;2,INDEX(arrayformula(filter($H$2:$H1903,$C$2:$C1903&lt;&gt;"""",row($C$2:$C1903)=max(if($C$2:$C1903=C1904,row($C$2:$C1903),0)))) ,1),0),0))"),"")</f>
        <v/>
      </c>
      <c r="H1904" s="170" t="str">
        <f t="shared" si="8"/>
        <v/>
      </c>
      <c r="I1904" s="147" t="str">
        <f t="shared" si="1"/>
        <v/>
      </c>
      <c r="J1904" s="147" t="str">
        <f t="shared" si="13"/>
        <v/>
      </c>
      <c r="K1904" s="147" t="str">
        <f>IFERROR(__xludf.DUMMYFUNCTION("if(C1904="""","""",iferror(if(row()&lt;&gt;2,INDEX(arrayformula(filter($L$2:$L1903,$C$2:$C1903&lt;&gt;"""",row($C$2:$C1903)=max(if($C$2:$C1903=C1904,row($C$2:$C1903),0)))) ,1),0),0))"),"")</f>
        <v/>
      </c>
      <c r="L1904" s="147" t="str">
        <f t="shared" si="14"/>
        <v/>
      </c>
      <c r="M1904" s="147" t="str">
        <f t="shared" si="15"/>
        <v/>
      </c>
      <c r="N1904" s="147" t="str">
        <f t="shared" si="16"/>
        <v/>
      </c>
      <c r="O1904" s="147" t="str">
        <f t="shared" si="6"/>
        <v/>
      </c>
      <c r="P1904" s="150" t="str">
        <f t="shared" si="7"/>
        <v/>
      </c>
      <c r="Q1904" s="151" t="str">
        <f>IFERROR(VLOOKUP(C1904,Ativos!$A$1:$G2000,5,),)</f>
        <v/>
      </c>
    </row>
    <row r="1905" ht="21.0" customHeight="1">
      <c r="A1905" s="152"/>
      <c r="B1905" s="160"/>
      <c r="C1905" s="153"/>
      <c r="D1905" s="169"/>
      <c r="E1905" s="139"/>
      <c r="F1905" s="141"/>
      <c r="G1905" s="170" t="str">
        <f>IFERROR(__xludf.DUMMYFUNCTION("if($C1905="""","""",iferror(if(row()&lt;&gt;2,INDEX(arrayformula(filter($H$2:$H1904,$C$2:$C1904&lt;&gt;"""",row($C$2:$C1904)=max(if($C$2:$C1904=C1905,row($C$2:$C1904),0)))) ,1),0),0))"),"")</f>
        <v/>
      </c>
      <c r="H1905" s="170" t="str">
        <f t="shared" si="8"/>
        <v/>
      </c>
      <c r="I1905" s="147" t="str">
        <f t="shared" si="1"/>
        <v/>
      </c>
      <c r="J1905" s="147" t="str">
        <f t="shared" si="13"/>
        <v/>
      </c>
      <c r="K1905" s="147" t="str">
        <f>IFERROR(__xludf.DUMMYFUNCTION("if(C1905="""","""",iferror(if(row()&lt;&gt;2,INDEX(arrayformula(filter($L$2:$L1904,$C$2:$C1904&lt;&gt;"""",row($C$2:$C1904)=max(if($C$2:$C1904=C1905,row($C$2:$C1904),0)))) ,1),0),0))"),"")</f>
        <v/>
      </c>
      <c r="L1905" s="147" t="str">
        <f t="shared" si="14"/>
        <v/>
      </c>
      <c r="M1905" s="147" t="str">
        <f t="shared" si="15"/>
        <v/>
      </c>
      <c r="N1905" s="147" t="str">
        <f t="shared" si="16"/>
        <v/>
      </c>
      <c r="O1905" s="147" t="str">
        <f t="shared" si="6"/>
        <v/>
      </c>
      <c r="P1905" s="150" t="str">
        <f t="shared" si="7"/>
        <v/>
      </c>
      <c r="Q1905" s="151" t="str">
        <f>IFERROR(VLOOKUP(C1905,Ativos!$A$1:$G2000,5,),)</f>
        <v/>
      </c>
    </row>
    <row r="1906" ht="21.0" customHeight="1">
      <c r="A1906" s="152"/>
      <c r="B1906" s="160"/>
      <c r="C1906" s="153"/>
      <c r="D1906" s="169"/>
      <c r="E1906" s="139"/>
      <c r="F1906" s="141"/>
      <c r="G1906" s="170" t="str">
        <f>IFERROR(__xludf.DUMMYFUNCTION("if($C1906="""","""",iferror(if(row()&lt;&gt;2,INDEX(arrayformula(filter($H$2:$H1905,$C$2:$C1905&lt;&gt;"""",row($C$2:$C1905)=max(if($C$2:$C1905=C1906,row($C$2:$C1905),0)))) ,1),0),0))"),"")</f>
        <v/>
      </c>
      <c r="H1906" s="170" t="str">
        <f t="shared" si="8"/>
        <v/>
      </c>
      <c r="I1906" s="147" t="str">
        <f t="shared" si="1"/>
        <v/>
      </c>
      <c r="J1906" s="147" t="str">
        <f t="shared" si="13"/>
        <v/>
      </c>
      <c r="K1906" s="147" t="str">
        <f>IFERROR(__xludf.DUMMYFUNCTION("if(C1906="""","""",iferror(if(row()&lt;&gt;2,INDEX(arrayformula(filter($L$2:$L1905,$C$2:$C1905&lt;&gt;"""",row($C$2:$C1905)=max(if($C$2:$C1905=C1906,row($C$2:$C1905),0)))) ,1),0),0))"),"")</f>
        <v/>
      </c>
      <c r="L1906" s="147" t="str">
        <f t="shared" si="14"/>
        <v/>
      </c>
      <c r="M1906" s="147" t="str">
        <f t="shared" si="15"/>
        <v/>
      </c>
      <c r="N1906" s="147" t="str">
        <f t="shared" si="16"/>
        <v/>
      </c>
      <c r="O1906" s="147" t="str">
        <f t="shared" si="6"/>
        <v/>
      </c>
      <c r="P1906" s="150" t="str">
        <f t="shared" si="7"/>
        <v/>
      </c>
      <c r="Q1906" s="151" t="str">
        <f>IFERROR(VLOOKUP(C1906,Ativos!$A$1:$G2000,5,),)</f>
        <v/>
      </c>
    </row>
    <row r="1907" ht="21.0" customHeight="1">
      <c r="A1907" s="152"/>
      <c r="B1907" s="160"/>
      <c r="C1907" s="153"/>
      <c r="D1907" s="169"/>
      <c r="E1907" s="139"/>
      <c r="F1907" s="141"/>
      <c r="G1907" s="170" t="str">
        <f>IFERROR(__xludf.DUMMYFUNCTION("if($C1907="""","""",iferror(if(row()&lt;&gt;2,INDEX(arrayformula(filter($H$2:$H1906,$C$2:$C1906&lt;&gt;"""",row($C$2:$C1906)=max(if($C$2:$C1906=C1907,row($C$2:$C1906),0)))) ,1),0),0))"),"")</f>
        <v/>
      </c>
      <c r="H1907" s="170" t="str">
        <f t="shared" si="8"/>
        <v/>
      </c>
      <c r="I1907" s="147" t="str">
        <f t="shared" si="1"/>
        <v/>
      </c>
      <c r="J1907" s="147" t="str">
        <f t="shared" si="13"/>
        <v/>
      </c>
      <c r="K1907" s="147" t="str">
        <f>IFERROR(__xludf.DUMMYFUNCTION("if(C1907="""","""",iferror(if(row()&lt;&gt;2,INDEX(arrayformula(filter($L$2:$L1906,$C$2:$C1906&lt;&gt;"""",row($C$2:$C1906)=max(if($C$2:$C1906=C1907,row($C$2:$C1906),0)))) ,1),0),0))"),"")</f>
        <v/>
      </c>
      <c r="L1907" s="147" t="str">
        <f t="shared" si="14"/>
        <v/>
      </c>
      <c r="M1907" s="147" t="str">
        <f t="shared" si="15"/>
        <v/>
      </c>
      <c r="N1907" s="147" t="str">
        <f t="shared" si="16"/>
        <v/>
      </c>
      <c r="O1907" s="147" t="str">
        <f t="shared" si="6"/>
        <v/>
      </c>
      <c r="P1907" s="150" t="str">
        <f t="shared" si="7"/>
        <v/>
      </c>
      <c r="Q1907" s="151" t="str">
        <f>IFERROR(VLOOKUP(C1907,Ativos!$A$1:$G2000,5,),)</f>
        <v/>
      </c>
    </row>
    <row r="1908" ht="21.0" customHeight="1">
      <c r="A1908" s="152"/>
      <c r="B1908" s="160"/>
      <c r="C1908" s="153"/>
      <c r="D1908" s="169"/>
      <c r="E1908" s="139"/>
      <c r="F1908" s="141"/>
      <c r="G1908" s="170" t="str">
        <f>IFERROR(__xludf.DUMMYFUNCTION("if($C1908="""","""",iferror(if(row()&lt;&gt;2,INDEX(arrayformula(filter($H$2:$H1907,$C$2:$C1907&lt;&gt;"""",row($C$2:$C1907)=max(if($C$2:$C1907=C1908,row($C$2:$C1907),0)))) ,1),0),0))"),"")</f>
        <v/>
      </c>
      <c r="H1908" s="170" t="str">
        <f t="shared" si="8"/>
        <v/>
      </c>
      <c r="I1908" s="147" t="str">
        <f t="shared" si="1"/>
        <v/>
      </c>
      <c r="J1908" s="147" t="str">
        <f t="shared" si="13"/>
        <v/>
      </c>
      <c r="K1908" s="147" t="str">
        <f>IFERROR(__xludf.DUMMYFUNCTION("if(C1908="""","""",iferror(if(row()&lt;&gt;2,INDEX(arrayformula(filter($L$2:$L1907,$C$2:$C1907&lt;&gt;"""",row($C$2:$C1907)=max(if($C$2:$C1907=C1908,row($C$2:$C1907),0)))) ,1),0),0))"),"")</f>
        <v/>
      </c>
      <c r="L1908" s="147" t="str">
        <f t="shared" si="14"/>
        <v/>
      </c>
      <c r="M1908" s="147" t="str">
        <f t="shared" si="15"/>
        <v/>
      </c>
      <c r="N1908" s="147" t="str">
        <f t="shared" si="16"/>
        <v/>
      </c>
      <c r="O1908" s="147" t="str">
        <f t="shared" si="6"/>
        <v/>
      </c>
      <c r="P1908" s="150" t="str">
        <f t="shared" si="7"/>
        <v/>
      </c>
      <c r="Q1908" s="151" t="str">
        <f>IFERROR(VLOOKUP(C1908,Ativos!$A$1:$G2000,5,),)</f>
        <v/>
      </c>
    </row>
    <row r="1909" ht="21.0" customHeight="1">
      <c r="A1909" s="152"/>
      <c r="B1909" s="160"/>
      <c r="C1909" s="153"/>
      <c r="D1909" s="169"/>
      <c r="E1909" s="139"/>
      <c r="F1909" s="141"/>
      <c r="G1909" s="170" t="str">
        <f>IFERROR(__xludf.DUMMYFUNCTION("if($C1909="""","""",iferror(if(row()&lt;&gt;2,INDEX(arrayformula(filter($H$2:$H1908,$C$2:$C1908&lt;&gt;"""",row($C$2:$C1908)=max(if($C$2:$C1908=C1909,row($C$2:$C1908),0)))) ,1),0),0))"),"")</f>
        <v/>
      </c>
      <c r="H1909" s="170" t="str">
        <f t="shared" si="8"/>
        <v/>
      </c>
      <c r="I1909" s="147" t="str">
        <f t="shared" si="1"/>
        <v/>
      </c>
      <c r="J1909" s="147" t="str">
        <f t="shared" si="13"/>
        <v/>
      </c>
      <c r="K1909" s="147" t="str">
        <f>IFERROR(__xludf.DUMMYFUNCTION("if(C1909="""","""",iferror(if(row()&lt;&gt;2,INDEX(arrayformula(filter($L$2:$L1908,$C$2:$C1908&lt;&gt;"""",row($C$2:$C1908)=max(if($C$2:$C1908=C1909,row($C$2:$C1908),0)))) ,1),0),0))"),"")</f>
        <v/>
      </c>
      <c r="L1909" s="147" t="str">
        <f t="shared" si="14"/>
        <v/>
      </c>
      <c r="M1909" s="147" t="str">
        <f t="shared" si="15"/>
        <v/>
      </c>
      <c r="N1909" s="147" t="str">
        <f t="shared" si="16"/>
        <v/>
      </c>
      <c r="O1909" s="147" t="str">
        <f t="shared" si="6"/>
        <v/>
      </c>
      <c r="P1909" s="150" t="str">
        <f t="shared" si="7"/>
        <v/>
      </c>
      <c r="Q1909" s="151" t="str">
        <f>IFERROR(VLOOKUP(C1909,Ativos!$A$1:$G2000,5,),)</f>
        <v/>
      </c>
    </row>
    <row r="1910" ht="21.0" customHeight="1">
      <c r="A1910" s="152"/>
      <c r="B1910" s="160"/>
      <c r="C1910" s="153"/>
      <c r="D1910" s="169"/>
      <c r="E1910" s="139"/>
      <c r="F1910" s="141"/>
      <c r="G1910" s="170" t="str">
        <f>IFERROR(__xludf.DUMMYFUNCTION("if($C1910="""","""",iferror(if(row()&lt;&gt;2,INDEX(arrayformula(filter($H$2:$H1909,$C$2:$C1909&lt;&gt;"""",row($C$2:$C1909)=max(if($C$2:$C1909=C1910,row($C$2:$C1909),0)))) ,1),0),0))"),"")</f>
        <v/>
      </c>
      <c r="H1910" s="170" t="str">
        <f t="shared" si="8"/>
        <v/>
      </c>
      <c r="I1910" s="147" t="str">
        <f t="shared" si="1"/>
        <v/>
      </c>
      <c r="J1910" s="147" t="str">
        <f t="shared" si="13"/>
        <v/>
      </c>
      <c r="K1910" s="147" t="str">
        <f>IFERROR(__xludf.DUMMYFUNCTION("if(C1910="""","""",iferror(if(row()&lt;&gt;2,INDEX(arrayformula(filter($L$2:$L1909,$C$2:$C1909&lt;&gt;"""",row($C$2:$C1909)=max(if($C$2:$C1909=C1910,row($C$2:$C1909),0)))) ,1),0),0))"),"")</f>
        <v/>
      </c>
      <c r="L1910" s="147" t="str">
        <f t="shared" si="14"/>
        <v/>
      </c>
      <c r="M1910" s="147" t="str">
        <f t="shared" si="15"/>
        <v/>
      </c>
      <c r="N1910" s="147" t="str">
        <f t="shared" si="16"/>
        <v/>
      </c>
      <c r="O1910" s="147" t="str">
        <f t="shared" si="6"/>
        <v/>
      </c>
      <c r="P1910" s="150" t="str">
        <f t="shared" si="7"/>
        <v/>
      </c>
      <c r="Q1910" s="151" t="str">
        <f>IFERROR(VLOOKUP(C1910,Ativos!$A$1:$G2000,5,),)</f>
        <v/>
      </c>
    </row>
    <row r="1911" ht="21.0" customHeight="1">
      <c r="A1911" s="152"/>
      <c r="B1911" s="160"/>
      <c r="C1911" s="153"/>
      <c r="D1911" s="169"/>
      <c r="E1911" s="139"/>
      <c r="F1911" s="141"/>
      <c r="G1911" s="170" t="str">
        <f>IFERROR(__xludf.DUMMYFUNCTION("if($C1911="""","""",iferror(if(row()&lt;&gt;2,INDEX(arrayformula(filter($H$2:$H1910,$C$2:$C1910&lt;&gt;"""",row($C$2:$C1910)=max(if($C$2:$C1910=C1911,row($C$2:$C1910),0)))) ,1),0),0))"),"")</f>
        <v/>
      </c>
      <c r="H1911" s="170" t="str">
        <f t="shared" si="8"/>
        <v/>
      </c>
      <c r="I1911" s="147" t="str">
        <f t="shared" si="1"/>
        <v/>
      </c>
      <c r="J1911" s="147" t="str">
        <f t="shared" si="13"/>
        <v/>
      </c>
      <c r="K1911" s="147" t="str">
        <f>IFERROR(__xludf.DUMMYFUNCTION("if(C1911="""","""",iferror(if(row()&lt;&gt;2,INDEX(arrayformula(filter($L$2:$L1910,$C$2:$C1910&lt;&gt;"""",row($C$2:$C1910)=max(if($C$2:$C1910=C1911,row($C$2:$C1910),0)))) ,1),0),0))"),"")</f>
        <v/>
      </c>
      <c r="L1911" s="147" t="str">
        <f t="shared" si="14"/>
        <v/>
      </c>
      <c r="M1911" s="147" t="str">
        <f t="shared" si="15"/>
        <v/>
      </c>
      <c r="N1911" s="147" t="str">
        <f t="shared" si="16"/>
        <v/>
      </c>
      <c r="O1911" s="147" t="str">
        <f t="shared" si="6"/>
        <v/>
      </c>
      <c r="P1911" s="150" t="str">
        <f t="shared" si="7"/>
        <v/>
      </c>
      <c r="Q1911" s="151" t="str">
        <f>IFERROR(VLOOKUP(C1911,Ativos!$A$1:$G2000,5,),)</f>
        <v/>
      </c>
    </row>
    <row r="1912" ht="21.0" customHeight="1">
      <c r="A1912" s="152"/>
      <c r="B1912" s="160"/>
      <c r="C1912" s="153"/>
      <c r="D1912" s="169"/>
      <c r="E1912" s="139"/>
      <c r="F1912" s="141"/>
      <c r="G1912" s="170" t="str">
        <f>IFERROR(__xludf.DUMMYFUNCTION("if($C1912="""","""",iferror(if(row()&lt;&gt;2,INDEX(arrayformula(filter($H$2:$H1911,$C$2:$C1911&lt;&gt;"""",row($C$2:$C1911)=max(if($C$2:$C1911=C1912,row($C$2:$C1911),0)))) ,1),0),0))"),"")</f>
        <v/>
      </c>
      <c r="H1912" s="170" t="str">
        <f t="shared" si="8"/>
        <v/>
      </c>
      <c r="I1912" s="147" t="str">
        <f t="shared" si="1"/>
        <v/>
      </c>
      <c r="J1912" s="147" t="str">
        <f t="shared" si="13"/>
        <v/>
      </c>
      <c r="K1912" s="147" t="str">
        <f>IFERROR(__xludf.DUMMYFUNCTION("if(C1912="""","""",iferror(if(row()&lt;&gt;2,INDEX(arrayformula(filter($L$2:$L1911,$C$2:$C1911&lt;&gt;"""",row($C$2:$C1911)=max(if($C$2:$C1911=C1912,row($C$2:$C1911),0)))) ,1),0),0))"),"")</f>
        <v/>
      </c>
      <c r="L1912" s="147" t="str">
        <f t="shared" si="14"/>
        <v/>
      </c>
      <c r="M1912" s="147" t="str">
        <f t="shared" si="15"/>
        <v/>
      </c>
      <c r="N1912" s="147" t="str">
        <f t="shared" si="16"/>
        <v/>
      </c>
      <c r="O1912" s="147" t="str">
        <f t="shared" si="6"/>
        <v/>
      </c>
      <c r="P1912" s="150" t="str">
        <f t="shared" si="7"/>
        <v/>
      </c>
      <c r="Q1912" s="151" t="str">
        <f>IFERROR(VLOOKUP(C1912,Ativos!$A$1:$G2000,5,),)</f>
        <v/>
      </c>
    </row>
    <row r="1913" ht="21.0" customHeight="1">
      <c r="A1913" s="152"/>
      <c r="B1913" s="160"/>
      <c r="C1913" s="153"/>
      <c r="D1913" s="169"/>
      <c r="E1913" s="139"/>
      <c r="F1913" s="141"/>
      <c r="G1913" s="170" t="str">
        <f>IFERROR(__xludf.DUMMYFUNCTION("if($C1913="""","""",iferror(if(row()&lt;&gt;2,INDEX(arrayformula(filter($H$2:$H1912,$C$2:$C1912&lt;&gt;"""",row($C$2:$C1912)=max(if($C$2:$C1912=C1913,row($C$2:$C1912),0)))) ,1),0),0))"),"")</f>
        <v/>
      </c>
      <c r="H1913" s="170" t="str">
        <f t="shared" si="8"/>
        <v/>
      </c>
      <c r="I1913" s="147" t="str">
        <f t="shared" si="1"/>
        <v/>
      </c>
      <c r="J1913" s="147" t="str">
        <f t="shared" si="13"/>
        <v/>
      </c>
      <c r="K1913" s="147" t="str">
        <f>IFERROR(__xludf.DUMMYFUNCTION("if(C1913="""","""",iferror(if(row()&lt;&gt;2,INDEX(arrayformula(filter($L$2:$L1912,$C$2:$C1912&lt;&gt;"""",row($C$2:$C1912)=max(if($C$2:$C1912=C1913,row($C$2:$C1912),0)))) ,1),0),0))"),"")</f>
        <v/>
      </c>
      <c r="L1913" s="147" t="str">
        <f t="shared" si="14"/>
        <v/>
      </c>
      <c r="M1913" s="147" t="str">
        <f t="shared" si="15"/>
        <v/>
      </c>
      <c r="N1913" s="147" t="str">
        <f t="shared" si="16"/>
        <v/>
      </c>
      <c r="O1913" s="147" t="str">
        <f t="shared" si="6"/>
        <v/>
      </c>
      <c r="P1913" s="150" t="str">
        <f t="shared" si="7"/>
        <v/>
      </c>
      <c r="Q1913" s="151" t="str">
        <f>IFERROR(VLOOKUP(C1913,Ativos!$A$1:$G2000,5,),)</f>
        <v/>
      </c>
    </row>
    <row r="1914" ht="21.0" customHeight="1">
      <c r="A1914" s="152"/>
      <c r="B1914" s="160"/>
      <c r="C1914" s="153"/>
      <c r="D1914" s="169"/>
      <c r="E1914" s="139"/>
      <c r="F1914" s="141"/>
      <c r="G1914" s="170" t="str">
        <f>IFERROR(__xludf.DUMMYFUNCTION("if($C1914="""","""",iferror(if(row()&lt;&gt;2,INDEX(arrayformula(filter($H$2:$H1913,$C$2:$C1913&lt;&gt;"""",row($C$2:$C1913)=max(if($C$2:$C1913=C1914,row($C$2:$C1913),0)))) ,1),0),0))"),"")</f>
        <v/>
      </c>
      <c r="H1914" s="170" t="str">
        <f t="shared" si="8"/>
        <v/>
      </c>
      <c r="I1914" s="147" t="str">
        <f t="shared" si="1"/>
        <v/>
      </c>
      <c r="J1914" s="147" t="str">
        <f t="shared" si="13"/>
        <v/>
      </c>
      <c r="K1914" s="147" t="str">
        <f>IFERROR(__xludf.DUMMYFUNCTION("if(C1914="""","""",iferror(if(row()&lt;&gt;2,INDEX(arrayformula(filter($L$2:$L1913,$C$2:$C1913&lt;&gt;"""",row($C$2:$C1913)=max(if($C$2:$C1913=C1914,row($C$2:$C1913),0)))) ,1),0),0))"),"")</f>
        <v/>
      </c>
      <c r="L1914" s="147" t="str">
        <f t="shared" si="14"/>
        <v/>
      </c>
      <c r="M1914" s="147" t="str">
        <f t="shared" si="15"/>
        <v/>
      </c>
      <c r="N1914" s="147" t="str">
        <f t="shared" si="16"/>
        <v/>
      </c>
      <c r="O1914" s="147" t="str">
        <f t="shared" si="6"/>
        <v/>
      </c>
      <c r="P1914" s="150" t="str">
        <f t="shared" si="7"/>
        <v/>
      </c>
      <c r="Q1914" s="151" t="str">
        <f>IFERROR(VLOOKUP(C1914,Ativos!$A$1:$G2000,5,),)</f>
        <v/>
      </c>
    </row>
    <row r="1915" ht="21.0" customHeight="1">
      <c r="A1915" s="152"/>
      <c r="B1915" s="160"/>
      <c r="C1915" s="153"/>
      <c r="D1915" s="169"/>
      <c r="E1915" s="139"/>
      <c r="F1915" s="141"/>
      <c r="G1915" s="170" t="str">
        <f>IFERROR(__xludf.DUMMYFUNCTION("if($C1915="""","""",iferror(if(row()&lt;&gt;2,INDEX(arrayformula(filter($H$2:$H1914,$C$2:$C1914&lt;&gt;"""",row($C$2:$C1914)=max(if($C$2:$C1914=C1915,row($C$2:$C1914),0)))) ,1),0),0))"),"")</f>
        <v/>
      </c>
      <c r="H1915" s="170" t="str">
        <f t="shared" si="8"/>
        <v/>
      </c>
      <c r="I1915" s="147" t="str">
        <f t="shared" si="1"/>
        <v/>
      </c>
      <c r="J1915" s="147" t="str">
        <f t="shared" si="13"/>
        <v/>
      </c>
      <c r="K1915" s="147" t="str">
        <f>IFERROR(__xludf.DUMMYFUNCTION("if(C1915="""","""",iferror(if(row()&lt;&gt;2,INDEX(arrayformula(filter($L$2:$L1914,$C$2:$C1914&lt;&gt;"""",row($C$2:$C1914)=max(if($C$2:$C1914=C1915,row($C$2:$C1914),0)))) ,1),0),0))"),"")</f>
        <v/>
      </c>
      <c r="L1915" s="147" t="str">
        <f t="shared" si="14"/>
        <v/>
      </c>
      <c r="M1915" s="147" t="str">
        <f t="shared" si="15"/>
        <v/>
      </c>
      <c r="N1915" s="147" t="str">
        <f t="shared" si="16"/>
        <v/>
      </c>
      <c r="O1915" s="147" t="str">
        <f t="shared" si="6"/>
        <v/>
      </c>
      <c r="P1915" s="150" t="str">
        <f t="shared" si="7"/>
        <v/>
      </c>
      <c r="Q1915" s="151" t="str">
        <f>IFERROR(VLOOKUP(C1915,Ativos!$A$1:$G2000,5,),)</f>
        <v/>
      </c>
    </row>
    <row r="1916" ht="21.0" customHeight="1">
      <c r="A1916" s="152"/>
      <c r="B1916" s="160"/>
      <c r="C1916" s="153"/>
      <c r="D1916" s="169"/>
      <c r="E1916" s="139"/>
      <c r="F1916" s="141"/>
      <c r="G1916" s="170" t="str">
        <f>IFERROR(__xludf.DUMMYFUNCTION("if($C1916="""","""",iferror(if(row()&lt;&gt;2,INDEX(arrayformula(filter($H$2:$H1915,$C$2:$C1915&lt;&gt;"""",row($C$2:$C1915)=max(if($C$2:$C1915=C1916,row($C$2:$C1915),0)))) ,1),0),0))"),"")</f>
        <v/>
      </c>
      <c r="H1916" s="170" t="str">
        <f t="shared" si="8"/>
        <v/>
      </c>
      <c r="I1916" s="147" t="str">
        <f t="shared" si="1"/>
        <v/>
      </c>
      <c r="J1916" s="147" t="str">
        <f t="shared" si="13"/>
        <v/>
      </c>
      <c r="K1916" s="147" t="str">
        <f>IFERROR(__xludf.DUMMYFUNCTION("if(C1916="""","""",iferror(if(row()&lt;&gt;2,INDEX(arrayformula(filter($L$2:$L1915,$C$2:$C1915&lt;&gt;"""",row($C$2:$C1915)=max(if($C$2:$C1915=C1916,row($C$2:$C1915),0)))) ,1),0),0))"),"")</f>
        <v/>
      </c>
      <c r="L1916" s="147" t="str">
        <f t="shared" si="14"/>
        <v/>
      </c>
      <c r="M1916" s="147" t="str">
        <f t="shared" si="15"/>
        <v/>
      </c>
      <c r="N1916" s="147" t="str">
        <f t="shared" si="16"/>
        <v/>
      </c>
      <c r="O1916" s="147" t="str">
        <f t="shared" si="6"/>
        <v/>
      </c>
      <c r="P1916" s="150" t="str">
        <f t="shared" si="7"/>
        <v/>
      </c>
      <c r="Q1916" s="151" t="str">
        <f>IFERROR(VLOOKUP(C1916,Ativos!$A$1:$G2000,5,),)</f>
        <v/>
      </c>
    </row>
    <row r="1917" ht="21.0" customHeight="1">
      <c r="A1917" s="152"/>
      <c r="B1917" s="160"/>
      <c r="C1917" s="153"/>
      <c r="D1917" s="169"/>
      <c r="E1917" s="139"/>
      <c r="F1917" s="141"/>
      <c r="G1917" s="170" t="str">
        <f>IFERROR(__xludf.DUMMYFUNCTION("if($C1917="""","""",iferror(if(row()&lt;&gt;2,INDEX(arrayformula(filter($H$2:$H1916,$C$2:$C1916&lt;&gt;"""",row($C$2:$C1916)=max(if($C$2:$C1916=C1917,row($C$2:$C1916),0)))) ,1),0),0))"),"")</f>
        <v/>
      </c>
      <c r="H1917" s="170" t="str">
        <f t="shared" si="8"/>
        <v/>
      </c>
      <c r="I1917" s="147" t="str">
        <f t="shared" si="1"/>
        <v/>
      </c>
      <c r="J1917" s="147" t="str">
        <f t="shared" si="13"/>
        <v/>
      </c>
      <c r="K1917" s="147" t="str">
        <f>IFERROR(__xludf.DUMMYFUNCTION("if(C1917="""","""",iferror(if(row()&lt;&gt;2,INDEX(arrayformula(filter($L$2:$L1916,$C$2:$C1916&lt;&gt;"""",row($C$2:$C1916)=max(if($C$2:$C1916=C1917,row($C$2:$C1916),0)))) ,1),0),0))"),"")</f>
        <v/>
      </c>
      <c r="L1917" s="147" t="str">
        <f t="shared" si="14"/>
        <v/>
      </c>
      <c r="M1917" s="147" t="str">
        <f t="shared" si="15"/>
        <v/>
      </c>
      <c r="N1917" s="147" t="str">
        <f t="shared" si="16"/>
        <v/>
      </c>
      <c r="O1917" s="147" t="str">
        <f t="shared" si="6"/>
        <v/>
      </c>
      <c r="P1917" s="150" t="str">
        <f t="shared" si="7"/>
        <v/>
      </c>
      <c r="Q1917" s="151" t="str">
        <f>IFERROR(VLOOKUP(C1917,Ativos!$A$1:$G2000,5,),)</f>
        <v/>
      </c>
    </row>
    <row r="1918" ht="21.0" customHeight="1">
      <c r="A1918" s="152"/>
      <c r="B1918" s="160"/>
      <c r="C1918" s="153"/>
      <c r="D1918" s="169"/>
      <c r="E1918" s="139"/>
      <c r="F1918" s="141"/>
      <c r="G1918" s="170" t="str">
        <f>IFERROR(__xludf.DUMMYFUNCTION("if($C1918="""","""",iferror(if(row()&lt;&gt;2,INDEX(arrayformula(filter($H$2:$H1917,$C$2:$C1917&lt;&gt;"""",row($C$2:$C1917)=max(if($C$2:$C1917=C1918,row($C$2:$C1917),0)))) ,1),0),0))"),"")</f>
        <v/>
      </c>
      <c r="H1918" s="170" t="str">
        <f t="shared" si="8"/>
        <v/>
      </c>
      <c r="I1918" s="147" t="str">
        <f t="shared" si="1"/>
        <v/>
      </c>
      <c r="J1918" s="147" t="str">
        <f t="shared" si="13"/>
        <v/>
      </c>
      <c r="K1918" s="147" t="str">
        <f>IFERROR(__xludf.DUMMYFUNCTION("if(C1918="""","""",iferror(if(row()&lt;&gt;2,INDEX(arrayformula(filter($L$2:$L1917,$C$2:$C1917&lt;&gt;"""",row($C$2:$C1917)=max(if($C$2:$C1917=C1918,row($C$2:$C1917),0)))) ,1),0),0))"),"")</f>
        <v/>
      </c>
      <c r="L1918" s="147" t="str">
        <f t="shared" si="14"/>
        <v/>
      </c>
      <c r="M1918" s="147" t="str">
        <f t="shared" si="15"/>
        <v/>
      </c>
      <c r="N1918" s="147" t="str">
        <f t="shared" si="16"/>
        <v/>
      </c>
      <c r="O1918" s="147" t="str">
        <f t="shared" si="6"/>
        <v/>
      </c>
      <c r="P1918" s="150" t="str">
        <f t="shared" si="7"/>
        <v/>
      </c>
      <c r="Q1918" s="151" t="str">
        <f>IFERROR(VLOOKUP(C1918,Ativos!$A$1:$G2000,5,),)</f>
        <v/>
      </c>
    </row>
    <row r="1919" ht="21.0" customHeight="1">
      <c r="A1919" s="152"/>
      <c r="B1919" s="160"/>
      <c r="C1919" s="153"/>
      <c r="D1919" s="169"/>
      <c r="E1919" s="139"/>
      <c r="F1919" s="141"/>
      <c r="G1919" s="170" t="str">
        <f>IFERROR(__xludf.DUMMYFUNCTION("if($C1919="""","""",iferror(if(row()&lt;&gt;2,INDEX(arrayformula(filter($H$2:$H1918,$C$2:$C1918&lt;&gt;"""",row($C$2:$C1918)=max(if($C$2:$C1918=C1919,row($C$2:$C1918),0)))) ,1),0),0))"),"")</f>
        <v/>
      </c>
      <c r="H1919" s="170" t="str">
        <f t="shared" si="8"/>
        <v/>
      </c>
      <c r="I1919" s="147" t="str">
        <f t="shared" si="1"/>
        <v/>
      </c>
      <c r="J1919" s="147" t="str">
        <f t="shared" si="13"/>
        <v/>
      </c>
      <c r="K1919" s="147" t="str">
        <f>IFERROR(__xludf.DUMMYFUNCTION("if(C1919="""","""",iferror(if(row()&lt;&gt;2,INDEX(arrayformula(filter($L$2:$L1918,$C$2:$C1918&lt;&gt;"""",row($C$2:$C1918)=max(if($C$2:$C1918=C1919,row($C$2:$C1918),0)))) ,1),0),0))"),"")</f>
        <v/>
      </c>
      <c r="L1919" s="147" t="str">
        <f t="shared" si="14"/>
        <v/>
      </c>
      <c r="M1919" s="147" t="str">
        <f t="shared" si="15"/>
        <v/>
      </c>
      <c r="N1919" s="147" t="str">
        <f t="shared" si="16"/>
        <v/>
      </c>
      <c r="O1919" s="147" t="str">
        <f t="shared" si="6"/>
        <v/>
      </c>
      <c r="P1919" s="150" t="str">
        <f t="shared" si="7"/>
        <v/>
      </c>
      <c r="Q1919" s="151" t="str">
        <f>IFERROR(VLOOKUP(C1919,Ativos!$A$1:$G2000,5,),)</f>
        <v/>
      </c>
    </row>
    <row r="1920" ht="21.0" customHeight="1">
      <c r="A1920" s="152"/>
      <c r="B1920" s="160"/>
      <c r="C1920" s="153"/>
      <c r="D1920" s="169"/>
      <c r="E1920" s="139"/>
      <c r="F1920" s="141"/>
      <c r="G1920" s="170" t="str">
        <f>IFERROR(__xludf.DUMMYFUNCTION("if($C1920="""","""",iferror(if(row()&lt;&gt;2,INDEX(arrayformula(filter($H$2:$H1919,$C$2:$C1919&lt;&gt;"""",row($C$2:$C1919)=max(if($C$2:$C1919=C1920,row($C$2:$C1919),0)))) ,1),0),0))"),"")</f>
        <v/>
      </c>
      <c r="H1920" s="170" t="str">
        <f t="shared" si="8"/>
        <v/>
      </c>
      <c r="I1920" s="147" t="str">
        <f t="shared" si="1"/>
        <v/>
      </c>
      <c r="J1920" s="147" t="str">
        <f t="shared" si="13"/>
        <v/>
      </c>
      <c r="K1920" s="147" t="str">
        <f>IFERROR(__xludf.DUMMYFUNCTION("if(C1920="""","""",iferror(if(row()&lt;&gt;2,INDEX(arrayformula(filter($L$2:$L1919,$C$2:$C1919&lt;&gt;"""",row($C$2:$C1919)=max(if($C$2:$C1919=C1920,row($C$2:$C1919),0)))) ,1),0),0))"),"")</f>
        <v/>
      </c>
      <c r="L1920" s="147" t="str">
        <f t="shared" si="14"/>
        <v/>
      </c>
      <c r="M1920" s="147" t="str">
        <f t="shared" si="15"/>
        <v/>
      </c>
      <c r="N1920" s="147" t="str">
        <f t="shared" si="16"/>
        <v/>
      </c>
      <c r="O1920" s="147" t="str">
        <f t="shared" si="6"/>
        <v/>
      </c>
      <c r="P1920" s="150" t="str">
        <f t="shared" si="7"/>
        <v/>
      </c>
      <c r="Q1920" s="151" t="str">
        <f>IFERROR(VLOOKUP(C1920,Ativos!$A$1:$G2000,5,),)</f>
        <v/>
      </c>
    </row>
    <row r="1921" ht="21.0" customHeight="1">
      <c r="A1921" s="152"/>
      <c r="B1921" s="160"/>
      <c r="C1921" s="153"/>
      <c r="D1921" s="169"/>
      <c r="E1921" s="139"/>
      <c r="F1921" s="141"/>
      <c r="G1921" s="170" t="str">
        <f>IFERROR(__xludf.DUMMYFUNCTION("if($C1921="""","""",iferror(if(row()&lt;&gt;2,INDEX(arrayformula(filter($H$2:$H1920,$C$2:$C1920&lt;&gt;"""",row($C$2:$C1920)=max(if($C$2:$C1920=C1921,row($C$2:$C1920),0)))) ,1),0),0))"),"")</f>
        <v/>
      </c>
      <c r="H1921" s="170" t="str">
        <f t="shared" si="8"/>
        <v/>
      </c>
      <c r="I1921" s="147" t="str">
        <f t="shared" si="1"/>
        <v/>
      </c>
      <c r="J1921" s="147" t="str">
        <f t="shared" si="13"/>
        <v/>
      </c>
      <c r="K1921" s="147" t="str">
        <f>IFERROR(__xludf.DUMMYFUNCTION("if(C1921="""","""",iferror(if(row()&lt;&gt;2,INDEX(arrayformula(filter($L$2:$L1920,$C$2:$C1920&lt;&gt;"""",row($C$2:$C1920)=max(if($C$2:$C1920=C1921,row($C$2:$C1920),0)))) ,1),0),0))"),"")</f>
        <v/>
      </c>
      <c r="L1921" s="147" t="str">
        <f t="shared" si="14"/>
        <v/>
      </c>
      <c r="M1921" s="147" t="str">
        <f t="shared" si="15"/>
        <v/>
      </c>
      <c r="N1921" s="147" t="str">
        <f t="shared" si="16"/>
        <v/>
      </c>
      <c r="O1921" s="147" t="str">
        <f t="shared" si="6"/>
        <v/>
      </c>
      <c r="P1921" s="150" t="str">
        <f t="shared" si="7"/>
        <v/>
      </c>
      <c r="Q1921" s="151" t="str">
        <f>IFERROR(VLOOKUP(C1921,Ativos!$A$1:$G2000,5,),)</f>
        <v/>
      </c>
    </row>
    <row r="1922" ht="21.0" customHeight="1">
      <c r="A1922" s="152"/>
      <c r="B1922" s="160"/>
      <c r="C1922" s="153"/>
      <c r="D1922" s="169"/>
      <c r="E1922" s="139"/>
      <c r="F1922" s="141"/>
      <c r="G1922" s="170" t="str">
        <f>IFERROR(__xludf.DUMMYFUNCTION("if($C1922="""","""",iferror(if(row()&lt;&gt;2,INDEX(arrayformula(filter($H$2:$H1921,$C$2:$C1921&lt;&gt;"""",row($C$2:$C1921)=max(if($C$2:$C1921=C1922,row($C$2:$C1921),0)))) ,1),0),0))"),"")</f>
        <v/>
      </c>
      <c r="H1922" s="170" t="str">
        <f t="shared" si="8"/>
        <v/>
      </c>
      <c r="I1922" s="147" t="str">
        <f t="shared" si="1"/>
        <v/>
      </c>
      <c r="J1922" s="147" t="str">
        <f t="shared" si="13"/>
        <v/>
      </c>
      <c r="K1922" s="147" t="str">
        <f>IFERROR(__xludf.DUMMYFUNCTION("if(C1922="""","""",iferror(if(row()&lt;&gt;2,INDEX(arrayformula(filter($L$2:$L1921,$C$2:$C1921&lt;&gt;"""",row($C$2:$C1921)=max(if($C$2:$C1921=C1922,row($C$2:$C1921),0)))) ,1),0),0))"),"")</f>
        <v/>
      </c>
      <c r="L1922" s="147" t="str">
        <f t="shared" si="14"/>
        <v/>
      </c>
      <c r="M1922" s="147" t="str">
        <f t="shared" si="15"/>
        <v/>
      </c>
      <c r="N1922" s="147" t="str">
        <f t="shared" si="16"/>
        <v/>
      </c>
      <c r="O1922" s="147" t="str">
        <f t="shared" si="6"/>
        <v/>
      </c>
      <c r="P1922" s="150" t="str">
        <f t="shared" si="7"/>
        <v/>
      </c>
      <c r="Q1922" s="151" t="str">
        <f>IFERROR(VLOOKUP(C1922,Ativos!$A$1:$G2000,5,),)</f>
        <v/>
      </c>
    </row>
    <row r="1923" ht="21.0" customHeight="1">
      <c r="A1923" s="152"/>
      <c r="B1923" s="160"/>
      <c r="C1923" s="153"/>
      <c r="D1923" s="169"/>
      <c r="E1923" s="139"/>
      <c r="F1923" s="141"/>
      <c r="G1923" s="170" t="str">
        <f>IFERROR(__xludf.DUMMYFUNCTION("if($C1923="""","""",iferror(if(row()&lt;&gt;2,INDEX(arrayformula(filter($H$2:$H1922,$C$2:$C1922&lt;&gt;"""",row($C$2:$C1922)=max(if($C$2:$C1922=C1923,row($C$2:$C1922),0)))) ,1),0),0))"),"")</f>
        <v/>
      </c>
      <c r="H1923" s="170" t="str">
        <f t="shared" si="8"/>
        <v/>
      </c>
      <c r="I1923" s="147" t="str">
        <f t="shared" si="1"/>
        <v/>
      </c>
      <c r="J1923" s="147" t="str">
        <f t="shared" si="13"/>
        <v/>
      </c>
      <c r="K1923" s="147" t="str">
        <f>IFERROR(__xludf.DUMMYFUNCTION("if(C1923="""","""",iferror(if(row()&lt;&gt;2,INDEX(arrayformula(filter($L$2:$L1922,$C$2:$C1922&lt;&gt;"""",row($C$2:$C1922)=max(if($C$2:$C1922=C1923,row($C$2:$C1922),0)))) ,1),0),0))"),"")</f>
        <v/>
      </c>
      <c r="L1923" s="147" t="str">
        <f t="shared" si="14"/>
        <v/>
      </c>
      <c r="M1923" s="147" t="str">
        <f t="shared" si="15"/>
        <v/>
      </c>
      <c r="N1923" s="147" t="str">
        <f t="shared" si="16"/>
        <v/>
      </c>
      <c r="O1923" s="147" t="str">
        <f t="shared" si="6"/>
        <v/>
      </c>
      <c r="P1923" s="150" t="str">
        <f t="shared" si="7"/>
        <v/>
      </c>
      <c r="Q1923" s="151" t="str">
        <f>IFERROR(VLOOKUP(C1923,Ativos!$A$1:$G2000,5,),)</f>
        <v/>
      </c>
    </row>
    <row r="1924" ht="21.0" customHeight="1">
      <c r="A1924" s="152"/>
      <c r="B1924" s="160"/>
      <c r="C1924" s="153"/>
      <c r="D1924" s="169"/>
      <c r="E1924" s="139"/>
      <c r="F1924" s="141"/>
      <c r="G1924" s="170" t="str">
        <f>IFERROR(__xludf.DUMMYFUNCTION("if($C1924="""","""",iferror(if(row()&lt;&gt;2,INDEX(arrayformula(filter($H$2:$H1923,$C$2:$C1923&lt;&gt;"""",row($C$2:$C1923)=max(if($C$2:$C1923=C1924,row($C$2:$C1923),0)))) ,1),0),0))"),"")</f>
        <v/>
      </c>
      <c r="H1924" s="170" t="str">
        <f t="shared" si="8"/>
        <v/>
      </c>
      <c r="I1924" s="147" t="str">
        <f t="shared" si="1"/>
        <v/>
      </c>
      <c r="J1924" s="147" t="str">
        <f t="shared" si="13"/>
        <v/>
      </c>
      <c r="K1924" s="147" t="str">
        <f>IFERROR(__xludf.DUMMYFUNCTION("if(C1924="""","""",iferror(if(row()&lt;&gt;2,INDEX(arrayformula(filter($L$2:$L1923,$C$2:$C1923&lt;&gt;"""",row($C$2:$C1923)=max(if($C$2:$C1923=C1924,row($C$2:$C1923),0)))) ,1),0),0))"),"")</f>
        <v/>
      </c>
      <c r="L1924" s="147" t="str">
        <f t="shared" si="14"/>
        <v/>
      </c>
      <c r="M1924" s="147" t="str">
        <f t="shared" si="15"/>
        <v/>
      </c>
      <c r="N1924" s="147" t="str">
        <f t="shared" si="16"/>
        <v/>
      </c>
      <c r="O1924" s="147" t="str">
        <f t="shared" si="6"/>
        <v/>
      </c>
      <c r="P1924" s="150" t="str">
        <f t="shared" si="7"/>
        <v/>
      </c>
      <c r="Q1924" s="151" t="str">
        <f>IFERROR(VLOOKUP(C1924,Ativos!$A$1:$G2000,5,),)</f>
        <v/>
      </c>
    </row>
    <row r="1925" ht="21.0" customHeight="1">
      <c r="A1925" s="152"/>
      <c r="B1925" s="160"/>
      <c r="C1925" s="153"/>
      <c r="D1925" s="169"/>
      <c r="E1925" s="139"/>
      <c r="F1925" s="141"/>
      <c r="G1925" s="170" t="str">
        <f>IFERROR(__xludf.DUMMYFUNCTION("if($C1925="""","""",iferror(if(row()&lt;&gt;2,INDEX(arrayformula(filter($H$2:$H1924,$C$2:$C1924&lt;&gt;"""",row($C$2:$C1924)=max(if($C$2:$C1924=C1925,row($C$2:$C1924),0)))) ,1),0),0))"),"")</f>
        <v/>
      </c>
      <c r="H1925" s="170" t="str">
        <f t="shared" si="8"/>
        <v/>
      </c>
      <c r="I1925" s="147" t="str">
        <f t="shared" si="1"/>
        <v/>
      </c>
      <c r="J1925" s="147" t="str">
        <f t="shared" si="13"/>
        <v/>
      </c>
      <c r="K1925" s="147" t="str">
        <f>IFERROR(__xludf.DUMMYFUNCTION("if(C1925="""","""",iferror(if(row()&lt;&gt;2,INDEX(arrayformula(filter($L$2:$L1924,$C$2:$C1924&lt;&gt;"""",row($C$2:$C1924)=max(if($C$2:$C1924=C1925,row($C$2:$C1924),0)))) ,1),0),0))"),"")</f>
        <v/>
      </c>
      <c r="L1925" s="147" t="str">
        <f t="shared" si="14"/>
        <v/>
      </c>
      <c r="M1925" s="147" t="str">
        <f t="shared" si="15"/>
        <v/>
      </c>
      <c r="N1925" s="147" t="str">
        <f t="shared" si="16"/>
        <v/>
      </c>
      <c r="O1925" s="147" t="str">
        <f t="shared" si="6"/>
        <v/>
      </c>
      <c r="P1925" s="150" t="str">
        <f t="shared" si="7"/>
        <v/>
      </c>
      <c r="Q1925" s="151" t="str">
        <f>IFERROR(VLOOKUP(C1925,Ativos!$A$1:$G2000,5,),)</f>
        <v/>
      </c>
    </row>
    <row r="1926" ht="21.0" customHeight="1">
      <c r="A1926" s="152"/>
      <c r="B1926" s="160"/>
      <c r="C1926" s="153"/>
      <c r="D1926" s="169"/>
      <c r="E1926" s="139"/>
      <c r="F1926" s="141"/>
      <c r="G1926" s="170" t="str">
        <f>IFERROR(__xludf.DUMMYFUNCTION("if($C1926="""","""",iferror(if(row()&lt;&gt;2,INDEX(arrayformula(filter($H$2:$H1925,$C$2:$C1925&lt;&gt;"""",row($C$2:$C1925)=max(if($C$2:$C1925=C1926,row($C$2:$C1925),0)))) ,1),0),0))"),"")</f>
        <v/>
      </c>
      <c r="H1926" s="170" t="str">
        <f t="shared" si="8"/>
        <v/>
      </c>
      <c r="I1926" s="147" t="str">
        <f t="shared" si="1"/>
        <v/>
      </c>
      <c r="J1926" s="147" t="str">
        <f t="shared" si="13"/>
        <v/>
      </c>
      <c r="K1926" s="147" t="str">
        <f>IFERROR(__xludf.DUMMYFUNCTION("if(C1926="""","""",iferror(if(row()&lt;&gt;2,INDEX(arrayformula(filter($L$2:$L1925,$C$2:$C1925&lt;&gt;"""",row($C$2:$C1925)=max(if($C$2:$C1925=C1926,row($C$2:$C1925),0)))) ,1),0),0))"),"")</f>
        <v/>
      </c>
      <c r="L1926" s="147" t="str">
        <f t="shared" si="14"/>
        <v/>
      </c>
      <c r="M1926" s="147" t="str">
        <f t="shared" si="15"/>
        <v/>
      </c>
      <c r="N1926" s="147" t="str">
        <f t="shared" si="16"/>
        <v/>
      </c>
      <c r="O1926" s="147" t="str">
        <f t="shared" si="6"/>
        <v/>
      </c>
      <c r="P1926" s="150" t="str">
        <f t="shared" si="7"/>
        <v/>
      </c>
      <c r="Q1926" s="151" t="str">
        <f>IFERROR(VLOOKUP(C1926,Ativos!$A$1:$G2000,5,),)</f>
        <v/>
      </c>
    </row>
    <row r="1927" ht="21.0" customHeight="1">
      <c r="A1927" s="152"/>
      <c r="B1927" s="160"/>
      <c r="C1927" s="153"/>
      <c r="D1927" s="169"/>
      <c r="E1927" s="139"/>
      <c r="F1927" s="141"/>
      <c r="G1927" s="170" t="str">
        <f>IFERROR(__xludf.DUMMYFUNCTION("if($C1927="""","""",iferror(if(row()&lt;&gt;2,INDEX(arrayformula(filter($H$2:$H1926,$C$2:$C1926&lt;&gt;"""",row($C$2:$C1926)=max(if($C$2:$C1926=C1927,row($C$2:$C1926),0)))) ,1),0),0))"),"")</f>
        <v/>
      </c>
      <c r="H1927" s="170" t="str">
        <f t="shared" si="8"/>
        <v/>
      </c>
      <c r="I1927" s="147" t="str">
        <f t="shared" si="1"/>
        <v/>
      </c>
      <c r="J1927" s="147" t="str">
        <f t="shared" si="13"/>
        <v/>
      </c>
      <c r="K1927" s="147" t="str">
        <f>IFERROR(__xludf.DUMMYFUNCTION("if(C1927="""","""",iferror(if(row()&lt;&gt;2,INDEX(arrayformula(filter($L$2:$L1926,$C$2:$C1926&lt;&gt;"""",row($C$2:$C1926)=max(if($C$2:$C1926=C1927,row($C$2:$C1926),0)))) ,1),0),0))"),"")</f>
        <v/>
      </c>
      <c r="L1927" s="147" t="str">
        <f t="shared" si="14"/>
        <v/>
      </c>
      <c r="M1927" s="147" t="str">
        <f t="shared" si="15"/>
        <v/>
      </c>
      <c r="N1927" s="147" t="str">
        <f t="shared" si="16"/>
        <v/>
      </c>
      <c r="O1927" s="147" t="str">
        <f t="shared" si="6"/>
        <v/>
      </c>
      <c r="P1927" s="150" t="str">
        <f t="shared" si="7"/>
        <v/>
      </c>
      <c r="Q1927" s="151" t="str">
        <f>IFERROR(VLOOKUP(C1927,Ativos!$A$1:$G2000,5,),)</f>
        <v/>
      </c>
    </row>
    <row r="1928" ht="21.0" customHeight="1">
      <c r="A1928" s="152"/>
      <c r="B1928" s="160"/>
      <c r="C1928" s="153"/>
      <c r="D1928" s="169"/>
      <c r="E1928" s="139"/>
      <c r="F1928" s="141"/>
      <c r="G1928" s="170" t="str">
        <f>IFERROR(__xludf.DUMMYFUNCTION("if($C1928="""","""",iferror(if(row()&lt;&gt;2,INDEX(arrayformula(filter($H$2:$H1927,$C$2:$C1927&lt;&gt;"""",row($C$2:$C1927)=max(if($C$2:$C1927=C1928,row($C$2:$C1927),0)))) ,1),0),0))"),"")</f>
        <v/>
      </c>
      <c r="H1928" s="170" t="str">
        <f t="shared" si="8"/>
        <v/>
      </c>
      <c r="I1928" s="147" t="str">
        <f t="shared" si="1"/>
        <v/>
      </c>
      <c r="J1928" s="147" t="str">
        <f t="shared" si="13"/>
        <v/>
      </c>
      <c r="K1928" s="147" t="str">
        <f>IFERROR(__xludf.DUMMYFUNCTION("if(C1928="""","""",iferror(if(row()&lt;&gt;2,INDEX(arrayformula(filter($L$2:$L1927,$C$2:$C1927&lt;&gt;"""",row($C$2:$C1927)=max(if($C$2:$C1927=C1928,row($C$2:$C1927),0)))) ,1),0),0))"),"")</f>
        <v/>
      </c>
      <c r="L1928" s="147" t="str">
        <f t="shared" si="14"/>
        <v/>
      </c>
      <c r="M1928" s="147" t="str">
        <f t="shared" si="15"/>
        <v/>
      </c>
      <c r="N1928" s="147" t="str">
        <f t="shared" si="16"/>
        <v/>
      </c>
      <c r="O1928" s="147" t="str">
        <f t="shared" si="6"/>
        <v/>
      </c>
      <c r="P1928" s="150" t="str">
        <f t="shared" si="7"/>
        <v/>
      </c>
      <c r="Q1928" s="151" t="str">
        <f>IFERROR(VLOOKUP(C1928,Ativos!$A$1:$G2000,5,),)</f>
        <v/>
      </c>
    </row>
    <row r="1929" ht="21.0" customHeight="1">
      <c r="A1929" s="152"/>
      <c r="B1929" s="160"/>
      <c r="C1929" s="153"/>
      <c r="D1929" s="169"/>
      <c r="E1929" s="139"/>
      <c r="F1929" s="141"/>
      <c r="G1929" s="170" t="str">
        <f>IFERROR(__xludf.DUMMYFUNCTION("if($C1929="""","""",iferror(if(row()&lt;&gt;2,INDEX(arrayformula(filter($H$2:$H1928,$C$2:$C1928&lt;&gt;"""",row($C$2:$C1928)=max(if($C$2:$C1928=C1929,row($C$2:$C1928),0)))) ,1),0),0))"),"")</f>
        <v/>
      </c>
      <c r="H1929" s="170" t="str">
        <f t="shared" si="8"/>
        <v/>
      </c>
      <c r="I1929" s="147" t="str">
        <f t="shared" si="1"/>
        <v/>
      </c>
      <c r="J1929" s="147" t="str">
        <f t="shared" si="13"/>
        <v/>
      </c>
      <c r="K1929" s="147" t="str">
        <f>IFERROR(__xludf.DUMMYFUNCTION("if(C1929="""","""",iferror(if(row()&lt;&gt;2,INDEX(arrayformula(filter($L$2:$L1928,$C$2:$C1928&lt;&gt;"""",row($C$2:$C1928)=max(if($C$2:$C1928=C1929,row($C$2:$C1928),0)))) ,1),0),0))"),"")</f>
        <v/>
      </c>
      <c r="L1929" s="147" t="str">
        <f t="shared" si="14"/>
        <v/>
      </c>
      <c r="M1929" s="147" t="str">
        <f t="shared" si="15"/>
        <v/>
      </c>
      <c r="N1929" s="147" t="str">
        <f t="shared" si="16"/>
        <v/>
      </c>
      <c r="O1929" s="147" t="str">
        <f t="shared" si="6"/>
        <v/>
      </c>
      <c r="P1929" s="150" t="str">
        <f t="shared" si="7"/>
        <v/>
      </c>
      <c r="Q1929" s="151" t="str">
        <f>IFERROR(VLOOKUP(C1929,Ativos!$A$1:$G2000,5,),)</f>
        <v/>
      </c>
    </row>
    <row r="1930" ht="21.0" customHeight="1">
      <c r="A1930" s="152"/>
      <c r="B1930" s="160"/>
      <c r="C1930" s="153"/>
      <c r="D1930" s="169"/>
      <c r="E1930" s="139"/>
      <c r="F1930" s="141"/>
      <c r="G1930" s="170" t="str">
        <f>IFERROR(__xludf.DUMMYFUNCTION("if($C1930="""","""",iferror(if(row()&lt;&gt;2,INDEX(arrayformula(filter($H$2:$H1929,$C$2:$C1929&lt;&gt;"""",row($C$2:$C1929)=max(if($C$2:$C1929=C1930,row($C$2:$C1929),0)))) ,1),0),0))"),"")</f>
        <v/>
      </c>
      <c r="H1930" s="170" t="str">
        <f t="shared" si="8"/>
        <v/>
      </c>
      <c r="I1930" s="147" t="str">
        <f t="shared" si="1"/>
        <v/>
      </c>
      <c r="J1930" s="147" t="str">
        <f t="shared" si="13"/>
        <v/>
      </c>
      <c r="K1930" s="147" t="str">
        <f>IFERROR(__xludf.DUMMYFUNCTION("if(C1930="""","""",iferror(if(row()&lt;&gt;2,INDEX(arrayformula(filter($L$2:$L1929,$C$2:$C1929&lt;&gt;"""",row($C$2:$C1929)=max(if($C$2:$C1929=C1930,row($C$2:$C1929),0)))) ,1),0),0))"),"")</f>
        <v/>
      </c>
      <c r="L1930" s="147" t="str">
        <f t="shared" si="14"/>
        <v/>
      </c>
      <c r="M1930" s="147" t="str">
        <f t="shared" si="15"/>
        <v/>
      </c>
      <c r="N1930" s="147" t="str">
        <f t="shared" si="16"/>
        <v/>
      </c>
      <c r="O1930" s="147" t="str">
        <f t="shared" si="6"/>
        <v/>
      </c>
      <c r="P1930" s="150" t="str">
        <f t="shared" si="7"/>
        <v/>
      </c>
      <c r="Q1930" s="151" t="str">
        <f>IFERROR(VLOOKUP(C1930,Ativos!$A$1:$G2000,5,),)</f>
        <v/>
      </c>
    </row>
    <row r="1931" ht="21.0" customHeight="1">
      <c r="A1931" s="152"/>
      <c r="B1931" s="160"/>
      <c r="C1931" s="153"/>
      <c r="D1931" s="169"/>
      <c r="E1931" s="139"/>
      <c r="F1931" s="141"/>
      <c r="G1931" s="170" t="str">
        <f>IFERROR(__xludf.DUMMYFUNCTION("if($C1931="""","""",iferror(if(row()&lt;&gt;2,INDEX(arrayformula(filter($H$2:$H1930,$C$2:$C1930&lt;&gt;"""",row($C$2:$C1930)=max(if($C$2:$C1930=C1931,row($C$2:$C1930),0)))) ,1),0),0))"),"")</f>
        <v/>
      </c>
      <c r="H1931" s="170" t="str">
        <f t="shared" si="8"/>
        <v/>
      </c>
      <c r="I1931" s="147" t="str">
        <f t="shared" si="1"/>
        <v/>
      </c>
      <c r="J1931" s="147" t="str">
        <f t="shared" si="13"/>
        <v/>
      </c>
      <c r="K1931" s="147" t="str">
        <f>IFERROR(__xludf.DUMMYFUNCTION("if(C1931="""","""",iferror(if(row()&lt;&gt;2,INDEX(arrayformula(filter($L$2:$L1930,$C$2:$C1930&lt;&gt;"""",row($C$2:$C1930)=max(if($C$2:$C1930=C1931,row($C$2:$C1930),0)))) ,1),0),0))"),"")</f>
        <v/>
      </c>
      <c r="L1931" s="147" t="str">
        <f t="shared" si="14"/>
        <v/>
      </c>
      <c r="M1931" s="147" t="str">
        <f t="shared" si="15"/>
        <v/>
      </c>
      <c r="N1931" s="147" t="str">
        <f t="shared" si="16"/>
        <v/>
      </c>
      <c r="O1931" s="147" t="str">
        <f t="shared" si="6"/>
        <v/>
      </c>
      <c r="P1931" s="150" t="str">
        <f t="shared" si="7"/>
        <v/>
      </c>
      <c r="Q1931" s="151" t="str">
        <f>IFERROR(VLOOKUP(C1931,Ativos!$A$1:$G2000,5,),)</f>
        <v/>
      </c>
    </row>
    <row r="1932" ht="21.0" customHeight="1">
      <c r="A1932" s="152"/>
      <c r="B1932" s="160"/>
      <c r="C1932" s="153"/>
      <c r="D1932" s="169"/>
      <c r="E1932" s="139"/>
      <c r="F1932" s="141"/>
      <c r="G1932" s="170" t="str">
        <f>IFERROR(__xludf.DUMMYFUNCTION("if($C1932="""","""",iferror(if(row()&lt;&gt;2,INDEX(arrayformula(filter($H$2:$H1931,$C$2:$C1931&lt;&gt;"""",row($C$2:$C1931)=max(if($C$2:$C1931=C1932,row($C$2:$C1931),0)))) ,1),0),0))"),"")</f>
        <v/>
      </c>
      <c r="H1932" s="170" t="str">
        <f t="shared" si="8"/>
        <v/>
      </c>
      <c r="I1932" s="147" t="str">
        <f t="shared" si="1"/>
        <v/>
      </c>
      <c r="J1932" s="147" t="str">
        <f t="shared" si="13"/>
        <v/>
      </c>
      <c r="K1932" s="147" t="str">
        <f>IFERROR(__xludf.DUMMYFUNCTION("if(C1932="""","""",iferror(if(row()&lt;&gt;2,INDEX(arrayformula(filter($L$2:$L1931,$C$2:$C1931&lt;&gt;"""",row($C$2:$C1931)=max(if($C$2:$C1931=C1932,row($C$2:$C1931),0)))) ,1),0),0))"),"")</f>
        <v/>
      </c>
      <c r="L1932" s="147" t="str">
        <f t="shared" si="14"/>
        <v/>
      </c>
      <c r="M1932" s="147" t="str">
        <f t="shared" si="15"/>
        <v/>
      </c>
      <c r="N1932" s="147" t="str">
        <f t="shared" si="16"/>
        <v/>
      </c>
      <c r="O1932" s="147" t="str">
        <f t="shared" si="6"/>
        <v/>
      </c>
      <c r="P1932" s="150" t="str">
        <f t="shared" si="7"/>
        <v/>
      </c>
      <c r="Q1932" s="151" t="str">
        <f>IFERROR(VLOOKUP(C1932,Ativos!$A$1:$G2000,5,),)</f>
        <v/>
      </c>
    </row>
    <row r="1933" ht="21.0" customHeight="1">
      <c r="A1933" s="152"/>
      <c r="B1933" s="160"/>
      <c r="C1933" s="153"/>
      <c r="D1933" s="169"/>
      <c r="E1933" s="139"/>
      <c r="F1933" s="141"/>
      <c r="G1933" s="170" t="str">
        <f>IFERROR(__xludf.DUMMYFUNCTION("if($C1933="""","""",iferror(if(row()&lt;&gt;2,INDEX(arrayformula(filter($H$2:$H1932,$C$2:$C1932&lt;&gt;"""",row($C$2:$C1932)=max(if($C$2:$C1932=C1933,row($C$2:$C1932),0)))) ,1),0),0))"),"")</f>
        <v/>
      </c>
      <c r="H1933" s="170" t="str">
        <f t="shared" si="8"/>
        <v/>
      </c>
      <c r="I1933" s="147" t="str">
        <f t="shared" si="1"/>
        <v/>
      </c>
      <c r="J1933" s="147" t="str">
        <f t="shared" si="13"/>
        <v/>
      </c>
      <c r="K1933" s="147" t="str">
        <f>IFERROR(__xludf.DUMMYFUNCTION("if(C1933="""","""",iferror(if(row()&lt;&gt;2,INDEX(arrayformula(filter($L$2:$L1932,$C$2:$C1932&lt;&gt;"""",row($C$2:$C1932)=max(if($C$2:$C1932=C1933,row($C$2:$C1932),0)))) ,1),0),0))"),"")</f>
        <v/>
      </c>
      <c r="L1933" s="147" t="str">
        <f t="shared" si="14"/>
        <v/>
      </c>
      <c r="M1933" s="147" t="str">
        <f t="shared" si="15"/>
        <v/>
      </c>
      <c r="N1933" s="147" t="str">
        <f t="shared" si="16"/>
        <v/>
      </c>
      <c r="O1933" s="147" t="str">
        <f t="shared" si="6"/>
        <v/>
      </c>
      <c r="P1933" s="150" t="str">
        <f t="shared" si="7"/>
        <v/>
      </c>
      <c r="Q1933" s="151" t="str">
        <f>IFERROR(VLOOKUP(C1933,Ativos!$A$1:$G2000,5,),)</f>
        <v/>
      </c>
    </row>
    <row r="1934" ht="21.0" customHeight="1">
      <c r="A1934" s="152"/>
      <c r="B1934" s="160"/>
      <c r="C1934" s="153"/>
      <c r="D1934" s="169"/>
      <c r="E1934" s="139"/>
      <c r="F1934" s="141"/>
      <c r="G1934" s="170" t="str">
        <f>IFERROR(__xludf.DUMMYFUNCTION("if($C1934="""","""",iferror(if(row()&lt;&gt;2,INDEX(arrayformula(filter($H$2:$H1933,$C$2:$C1933&lt;&gt;"""",row($C$2:$C1933)=max(if($C$2:$C1933=C1934,row($C$2:$C1933),0)))) ,1),0),0))"),"")</f>
        <v/>
      </c>
      <c r="H1934" s="170" t="str">
        <f t="shared" si="8"/>
        <v/>
      </c>
      <c r="I1934" s="147" t="str">
        <f t="shared" si="1"/>
        <v/>
      </c>
      <c r="J1934" s="147" t="str">
        <f t="shared" si="13"/>
        <v/>
      </c>
      <c r="K1934" s="147" t="str">
        <f>IFERROR(__xludf.DUMMYFUNCTION("if(C1934="""","""",iferror(if(row()&lt;&gt;2,INDEX(arrayformula(filter($L$2:$L1933,$C$2:$C1933&lt;&gt;"""",row($C$2:$C1933)=max(if($C$2:$C1933=C1934,row($C$2:$C1933),0)))) ,1),0),0))"),"")</f>
        <v/>
      </c>
      <c r="L1934" s="147" t="str">
        <f t="shared" si="14"/>
        <v/>
      </c>
      <c r="M1934" s="147" t="str">
        <f t="shared" si="15"/>
        <v/>
      </c>
      <c r="N1934" s="147" t="str">
        <f t="shared" si="16"/>
        <v/>
      </c>
      <c r="O1934" s="147" t="str">
        <f t="shared" si="6"/>
        <v/>
      </c>
      <c r="P1934" s="150" t="str">
        <f t="shared" si="7"/>
        <v/>
      </c>
      <c r="Q1934" s="151" t="str">
        <f>IFERROR(VLOOKUP(C1934,Ativos!$A$1:$G2000,5,),)</f>
        <v/>
      </c>
    </row>
    <row r="1935" ht="21.0" customHeight="1">
      <c r="A1935" s="152"/>
      <c r="B1935" s="160"/>
      <c r="C1935" s="153"/>
      <c r="D1935" s="169"/>
      <c r="E1935" s="139"/>
      <c r="F1935" s="141"/>
      <c r="G1935" s="170" t="str">
        <f>IFERROR(__xludf.DUMMYFUNCTION("if($C1935="""","""",iferror(if(row()&lt;&gt;2,INDEX(arrayformula(filter($H$2:$H1934,$C$2:$C1934&lt;&gt;"""",row($C$2:$C1934)=max(if($C$2:$C1934=C1935,row($C$2:$C1934),0)))) ,1),0),0))"),"")</f>
        <v/>
      </c>
      <c r="H1935" s="170" t="str">
        <f t="shared" si="8"/>
        <v/>
      </c>
      <c r="I1935" s="147" t="str">
        <f t="shared" si="1"/>
        <v/>
      </c>
      <c r="J1935" s="147" t="str">
        <f t="shared" si="13"/>
        <v/>
      </c>
      <c r="K1935" s="147" t="str">
        <f>IFERROR(__xludf.DUMMYFUNCTION("if(C1935="""","""",iferror(if(row()&lt;&gt;2,INDEX(arrayformula(filter($L$2:$L1934,$C$2:$C1934&lt;&gt;"""",row($C$2:$C1934)=max(if($C$2:$C1934=C1935,row($C$2:$C1934),0)))) ,1),0),0))"),"")</f>
        <v/>
      </c>
      <c r="L1935" s="147" t="str">
        <f t="shared" si="14"/>
        <v/>
      </c>
      <c r="M1935" s="147" t="str">
        <f t="shared" si="15"/>
        <v/>
      </c>
      <c r="N1935" s="147" t="str">
        <f t="shared" si="16"/>
        <v/>
      </c>
      <c r="O1935" s="147" t="str">
        <f t="shared" si="6"/>
        <v/>
      </c>
      <c r="P1935" s="150" t="str">
        <f t="shared" si="7"/>
        <v/>
      </c>
      <c r="Q1935" s="151" t="str">
        <f>IFERROR(VLOOKUP(C1935,Ativos!$A$1:$G2000,5,),)</f>
        <v/>
      </c>
    </row>
    <row r="1936" ht="21.0" customHeight="1">
      <c r="A1936" s="152"/>
      <c r="B1936" s="160"/>
      <c r="C1936" s="153"/>
      <c r="D1936" s="169"/>
      <c r="E1936" s="139"/>
      <c r="F1936" s="141"/>
      <c r="G1936" s="170" t="str">
        <f>IFERROR(__xludf.DUMMYFUNCTION("if($C1936="""","""",iferror(if(row()&lt;&gt;2,INDEX(arrayformula(filter($H$2:$H1935,$C$2:$C1935&lt;&gt;"""",row($C$2:$C1935)=max(if($C$2:$C1935=C1936,row($C$2:$C1935),0)))) ,1),0),0))"),"")</f>
        <v/>
      </c>
      <c r="H1936" s="170" t="str">
        <f t="shared" si="8"/>
        <v/>
      </c>
      <c r="I1936" s="147" t="str">
        <f t="shared" si="1"/>
        <v/>
      </c>
      <c r="J1936" s="147" t="str">
        <f t="shared" si="13"/>
        <v/>
      </c>
      <c r="K1936" s="147" t="str">
        <f>IFERROR(__xludf.DUMMYFUNCTION("if(C1936="""","""",iferror(if(row()&lt;&gt;2,INDEX(arrayformula(filter($L$2:$L1935,$C$2:$C1935&lt;&gt;"""",row($C$2:$C1935)=max(if($C$2:$C1935=C1936,row($C$2:$C1935),0)))) ,1),0),0))"),"")</f>
        <v/>
      </c>
      <c r="L1936" s="147" t="str">
        <f t="shared" si="14"/>
        <v/>
      </c>
      <c r="M1936" s="147" t="str">
        <f t="shared" si="15"/>
        <v/>
      </c>
      <c r="N1936" s="147" t="str">
        <f t="shared" si="16"/>
        <v/>
      </c>
      <c r="O1936" s="147" t="str">
        <f t="shared" si="6"/>
        <v/>
      </c>
      <c r="P1936" s="150" t="str">
        <f t="shared" si="7"/>
        <v/>
      </c>
      <c r="Q1936" s="151" t="str">
        <f>IFERROR(VLOOKUP(C1936,Ativos!$A$1:$G2000,5,),)</f>
        <v/>
      </c>
    </row>
    <row r="1937" ht="21.0" customHeight="1">
      <c r="A1937" s="152"/>
      <c r="B1937" s="160"/>
      <c r="C1937" s="153"/>
      <c r="D1937" s="169"/>
      <c r="E1937" s="139"/>
      <c r="F1937" s="141"/>
      <c r="G1937" s="170" t="str">
        <f>IFERROR(__xludf.DUMMYFUNCTION("if($C1937="""","""",iferror(if(row()&lt;&gt;2,INDEX(arrayformula(filter($H$2:$H1936,$C$2:$C1936&lt;&gt;"""",row($C$2:$C1936)=max(if($C$2:$C1936=C1937,row($C$2:$C1936),0)))) ,1),0),0))"),"")</f>
        <v/>
      </c>
      <c r="H1937" s="170" t="str">
        <f t="shared" si="8"/>
        <v/>
      </c>
      <c r="I1937" s="147" t="str">
        <f t="shared" si="1"/>
        <v/>
      </c>
      <c r="J1937" s="147" t="str">
        <f t="shared" si="13"/>
        <v/>
      </c>
      <c r="K1937" s="147" t="str">
        <f>IFERROR(__xludf.DUMMYFUNCTION("if(C1937="""","""",iferror(if(row()&lt;&gt;2,INDEX(arrayformula(filter($L$2:$L1936,$C$2:$C1936&lt;&gt;"""",row($C$2:$C1936)=max(if($C$2:$C1936=C1937,row($C$2:$C1936),0)))) ,1),0),0))"),"")</f>
        <v/>
      </c>
      <c r="L1937" s="147" t="str">
        <f t="shared" si="14"/>
        <v/>
      </c>
      <c r="M1937" s="147" t="str">
        <f t="shared" si="15"/>
        <v/>
      </c>
      <c r="N1937" s="147" t="str">
        <f t="shared" si="16"/>
        <v/>
      </c>
      <c r="O1937" s="147" t="str">
        <f t="shared" si="6"/>
        <v/>
      </c>
      <c r="P1937" s="150" t="str">
        <f t="shared" si="7"/>
        <v/>
      </c>
      <c r="Q1937" s="151" t="str">
        <f>IFERROR(VLOOKUP(C1937,Ativos!$A$1:$G2000,5,),)</f>
        <v/>
      </c>
    </row>
    <row r="1938" ht="21.0" customHeight="1">
      <c r="A1938" s="152"/>
      <c r="B1938" s="160"/>
      <c r="C1938" s="153"/>
      <c r="D1938" s="169"/>
      <c r="E1938" s="139"/>
      <c r="F1938" s="141"/>
      <c r="G1938" s="170" t="str">
        <f>IFERROR(__xludf.DUMMYFUNCTION("if($C1938="""","""",iferror(if(row()&lt;&gt;2,INDEX(arrayformula(filter($H$2:$H1937,$C$2:$C1937&lt;&gt;"""",row($C$2:$C1937)=max(if($C$2:$C1937=C1938,row($C$2:$C1937),0)))) ,1),0),0))"),"")</f>
        <v/>
      </c>
      <c r="H1938" s="170" t="str">
        <f t="shared" si="8"/>
        <v/>
      </c>
      <c r="I1938" s="147" t="str">
        <f t="shared" si="1"/>
        <v/>
      </c>
      <c r="J1938" s="147" t="str">
        <f t="shared" si="13"/>
        <v/>
      </c>
      <c r="K1938" s="147" t="str">
        <f>IFERROR(__xludf.DUMMYFUNCTION("if(C1938="""","""",iferror(if(row()&lt;&gt;2,INDEX(arrayformula(filter($L$2:$L1937,$C$2:$C1937&lt;&gt;"""",row($C$2:$C1937)=max(if($C$2:$C1937=C1938,row($C$2:$C1937),0)))) ,1),0),0))"),"")</f>
        <v/>
      </c>
      <c r="L1938" s="147" t="str">
        <f t="shared" si="14"/>
        <v/>
      </c>
      <c r="M1938" s="147" t="str">
        <f t="shared" si="15"/>
        <v/>
      </c>
      <c r="N1938" s="147" t="str">
        <f t="shared" si="16"/>
        <v/>
      </c>
      <c r="O1938" s="147" t="str">
        <f t="shared" si="6"/>
        <v/>
      </c>
      <c r="P1938" s="150" t="str">
        <f t="shared" si="7"/>
        <v/>
      </c>
      <c r="Q1938" s="151" t="str">
        <f>IFERROR(VLOOKUP(C1938,Ativos!$A$1:$G2000,5,),)</f>
        <v/>
      </c>
    </row>
    <row r="1939" ht="21.0" customHeight="1">
      <c r="A1939" s="152"/>
      <c r="B1939" s="160"/>
      <c r="C1939" s="153"/>
      <c r="D1939" s="169"/>
      <c r="E1939" s="139"/>
      <c r="F1939" s="141"/>
      <c r="G1939" s="170" t="str">
        <f>IFERROR(__xludf.DUMMYFUNCTION("if($C1939="""","""",iferror(if(row()&lt;&gt;2,INDEX(arrayformula(filter($H$2:$H1938,$C$2:$C1938&lt;&gt;"""",row($C$2:$C1938)=max(if($C$2:$C1938=C1939,row($C$2:$C1938),0)))) ,1),0),0))"),"")</f>
        <v/>
      </c>
      <c r="H1939" s="170" t="str">
        <f t="shared" si="8"/>
        <v/>
      </c>
      <c r="I1939" s="147" t="str">
        <f t="shared" si="1"/>
        <v/>
      </c>
      <c r="J1939" s="147" t="str">
        <f t="shared" si="13"/>
        <v/>
      </c>
      <c r="K1939" s="147" t="str">
        <f>IFERROR(__xludf.DUMMYFUNCTION("if(C1939="""","""",iferror(if(row()&lt;&gt;2,INDEX(arrayformula(filter($L$2:$L1938,$C$2:$C1938&lt;&gt;"""",row($C$2:$C1938)=max(if($C$2:$C1938=C1939,row($C$2:$C1938),0)))) ,1),0),0))"),"")</f>
        <v/>
      </c>
      <c r="L1939" s="147" t="str">
        <f t="shared" si="14"/>
        <v/>
      </c>
      <c r="M1939" s="147" t="str">
        <f t="shared" si="15"/>
        <v/>
      </c>
      <c r="N1939" s="147" t="str">
        <f t="shared" si="16"/>
        <v/>
      </c>
      <c r="O1939" s="147" t="str">
        <f t="shared" si="6"/>
        <v/>
      </c>
      <c r="P1939" s="150" t="str">
        <f t="shared" si="7"/>
        <v/>
      </c>
      <c r="Q1939" s="151" t="str">
        <f>IFERROR(VLOOKUP(C1939,Ativos!$A$1:$G2000,5,),)</f>
        <v/>
      </c>
    </row>
    <row r="1940" ht="21.0" customHeight="1">
      <c r="A1940" s="152"/>
      <c r="B1940" s="160"/>
      <c r="C1940" s="153"/>
      <c r="D1940" s="169"/>
      <c r="E1940" s="139"/>
      <c r="F1940" s="141"/>
      <c r="G1940" s="170" t="str">
        <f>IFERROR(__xludf.DUMMYFUNCTION("if($C1940="""","""",iferror(if(row()&lt;&gt;2,INDEX(arrayformula(filter($H$2:$H1939,$C$2:$C1939&lt;&gt;"""",row($C$2:$C1939)=max(if($C$2:$C1939=C1940,row($C$2:$C1939),0)))) ,1),0),0))"),"")</f>
        <v/>
      </c>
      <c r="H1940" s="170" t="str">
        <f t="shared" si="8"/>
        <v/>
      </c>
      <c r="I1940" s="147" t="str">
        <f t="shared" si="1"/>
        <v/>
      </c>
      <c r="J1940" s="147" t="str">
        <f t="shared" si="13"/>
        <v/>
      </c>
      <c r="K1940" s="147" t="str">
        <f>IFERROR(__xludf.DUMMYFUNCTION("if(C1940="""","""",iferror(if(row()&lt;&gt;2,INDEX(arrayformula(filter($L$2:$L1939,$C$2:$C1939&lt;&gt;"""",row($C$2:$C1939)=max(if($C$2:$C1939=C1940,row($C$2:$C1939),0)))) ,1),0),0))"),"")</f>
        <v/>
      </c>
      <c r="L1940" s="147" t="str">
        <f t="shared" si="14"/>
        <v/>
      </c>
      <c r="M1940" s="147" t="str">
        <f t="shared" si="15"/>
        <v/>
      </c>
      <c r="N1940" s="147" t="str">
        <f t="shared" si="16"/>
        <v/>
      </c>
      <c r="O1940" s="147" t="str">
        <f t="shared" si="6"/>
        <v/>
      </c>
      <c r="P1940" s="150" t="str">
        <f t="shared" si="7"/>
        <v/>
      </c>
      <c r="Q1940" s="151" t="str">
        <f>IFERROR(VLOOKUP(C1940,Ativos!$A$1:$G2000,5,),)</f>
        <v/>
      </c>
    </row>
    <row r="1941" ht="21.0" customHeight="1">
      <c r="A1941" s="152"/>
      <c r="B1941" s="160"/>
      <c r="C1941" s="153"/>
      <c r="D1941" s="169"/>
      <c r="E1941" s="139"/>
      <c r="F1941" s="141"/>
      <c r="G1941" s="170" t="str">
        <f>IFERROR(__xludf.DUMMYFUNCTION("if($C1941="""","""",iferror(if(row()&lt;&gt;2,INDEX(arrayformula(filter($H$2:$H1940,$C$2:$C1940&lt;&gt;"""",row($C$2:$C1940)=max(if($C$2:$C1940=C1941,row($C$2:$C1940),0)))) ,1),0),0))"),"")</f>
        <v/>
      </c>
      <c r="H1941" s="170" t="str">
        <f t="shared" si="8"/>
        <v/>
      </c>
      <c r="I1941" s="147" t="str">
        <f t="shared" si="1"/>
        <v/>
      </c>
      <c r="J1941" s="147" t="str">
        <f t="shared" si="13"/>
        <v/>
      </c>
      <c r="K1941" s="147" t="str">
        <f>IFERROR(__xludf.DUMMYFUNCTION("if(C1941="""","""",iferror(if(row()&lt;&gt;2,INDEX(arrayformula(filter($L$2:$L1940,$C$2:$C1940&lt;&gt;"""",row($C$2:$C1940)=max(if($C$2:$C1940=C1941,row($C$2:$C1940),0)))) ,1),0),0))"),"")</f>
        <v/>
      </c>
      <c r="L1941" s="147" t="str">
        <f t="shared" si="14"/>
        <v/>
      </c>
      <c r="M1941" s="147" t="str">
        <f t="shared" si="15"/>
        <v/>
      </c>
      <c r="N1941" s="147" t="str">
        <f t="shared" si="16"/>
        <v/>
      </c>
      <c r="O1941" s="147" t="str">
        <f t="shared" si="6"/>
        <v/>
      </c>
      <c r="P1941" s="150" t="str">
        <f t="shared" si="7"/>
        <v/>
      </c>
      <c r="Q1941" s="151" t="str">
        <f>IFERROR(VLOOKUP(C1941,Ativos!$A$1:$G2000,5,),)</f>
        <v/>
      </c>
    </row>
    <row r="1942" ht="21.0" customHeight="1">
      <c r="A1942" s="152"/>
      <c r="B1942" s="160"/>
      <c r="C1942" s="153"/>
      <c r="D1942" s="169"/>
      <c r="E1942" s="139"/>
      <c r="F1942" s="141"/>
      <c r="G1942" s="170" t="str">
        <f>IFERROR(__xludf.DUMMYFUNCTION("if($C1942="""","""",iferror(if(row()&lt;&gt;2,INDEX(arrayformula(filter($H$2:$H1941,$C$2:$C1941&lt;&gt;"""",row($C$2:$C1941)=max(if($C$2:$C1941=C1942,row($C$2:$C1941),0)))) ,1),0),0))"),"")</f>
        <v/>
      </c>
      <c r="H1942" s="170" t="str">
        <f t="shared" si="8"/>
        <v/>
      </c>
      <c r="I1942" s="147" t="str">
        <f t="shared" si="1"/>
        <v/>
      </c>
      <c r="J1942" s="147" t="str">
        <f t="shared" si="13"/>
        <v/>
      </c>
      <c r="K1942" s="147" t="str">
        <f>IFERROR(__xludf.DUMMYFUNCTION("if(C1942="""","""",iferror(if(row()&lt;&gt;2,INDEX(arrayformula(filter($L$2:$L1941,$C$2:$C1941&lt;&gt;"""",row($C$2:$C1941)=max(if($C$2:$C1941=C1942,row($C$2:$C1941),0)))) ,1),0),0))"),"")</f>
        <v/>
      </c>
      <c r="L1942" s="147" t="str">
        <f t="shared" si="14"/>
        <v/>
      </c>
      <c r="M1942" s="147" t="str">
        <f t="shared" si="15"/>
        <v/>
      </c>
      <c r="N1942" s="147" t="str">
        <f t="shared" si="16"/>
        <v/>
      </c>
      <c r="O1942" s="147" t="str">
        <f t="shared" si="6"/>
        <v/>
      </c>
      <c r="P1942" s="150" t="str">
        <f t="shared" si="7"/>
        <v/>
      </c>
      <c r="Q1942" s="151" t="str">
        <f>IFERROR(VLOOKUP(C1942,Ativos!$A$1:$G2000,5,),)</f>
        <v/>
      </c>
    </row>
    <row r="1943" ht="21.0" customHeight="1">
      <c r="A1943" s="152"/>
      <c r="B1943" s="160"/>
      <c r="C1943" s="153"/>
      <c r="D1943" s="169"/>
      <c r="E1943" s="139"/>
      <c r="F1943" s="141"/>
      <c r="G1943" s="170" t="str">
        <f>IFERROR(__xludf.DUMMYFUNCTION("if($C1943="""","""",iferror(if(row()&lt;&gt;2,INDEX(arrayformula(filter($H$2:$H1942,$C$2:$C1942&lt;&gt;"""",row($C$2:$C1942)=max(if($C$2:$C1942=C1943,row($C$2:$C1942),0)))) ,1),0),0))"),"")</f>
        <v/>
      </c>
      <c r="H1943" s="170" t="str">
        <f t="shared" si="8"/>
        <v/>
      </c>
      <c r="I1943" s="147" t="str">
        <f t="shared" si="1"/>
        <v/>
      </c>
      <c r="J1943" s="147" t="str">
        <f t="shared" si="13"/>
        <v/>
      </c>
      <c r="K1943" s="147" t="str">
        <f>IFERROR(__xludf.DUMMYFUNCTION("if(C1943="""","""",iferror(if(row()&lt;&gt;2,INDEX(arrayformula(filter($L$2:$L1942,$C$2:$C1942&lt;&gt;"""",row($C$2:$C1942)=max(if($C$2:$C1942=C1943,row($C$2:$C1942),0)))) ,1),0),0))"),"")</f>
        <v/>
      </c>
      <c r="L1943" s="147" t="str">
        <f t="shared" si="14"/>
        <v/>
      </c>
      <c r="M1943" s="147" t="str">
        <f t="shared" si="15"/>
        <v/>
      </c>
      <c r="N1943" s="147" t="str">
        <f t="shared" si="16"/>
        <v/>
      </c>
      <c r="O1943" s="147" t="str">
        <f t="shared" si="6"/>
        <v/>
      </c>
      <c r="P1943" s="150" t="str">
        <f t="shared" si="7"/>
        <v/>
      </c>
      <c r="Q1943" s="151" t="str">
        <f>IFERROR(VLOOKUP(C1943,Ativos!$A$1:$G2000,5,),)</f>
        <v/>
      </c>
    </row>
    <row r="1944" ht="21.0" customHeight="1">
      <c r="A1944" s="152"/>
      <c r="B1944" s="160"/>
      <c r="C1944" s="153"/>
      <c r="D1944" s="169"/>
      <c r="E1944" s="139"/>
      <c r="F1944" s="141"/>
      <c r="G1944" s="170" t="str">
        <f>IFERROR(__xludf.DUMMYFUNCTION("if($C1944="""","""",iferror(if(row()&lt;&gt;2,INDEX(arrayformula(filter($H$2:$H1943,$C$2:$C1943&lt;&gt;"""",row($C$2:$C1943)=max(if($C$2:$C1943=C1944,row($C$2:$C1943),0)))) ,1),0),0))"),"")</f>
        <v/>
      </c>
      <c r="H1944" s="170" t="str">
        <f t="shared" si="8"/>
        <v/>
      </c>
      <c r="I1944" s="147" t="str">
        <f t="shared" si="1"/>
        <v/>
      </c>
      <c r="J1944" s="147" t="str">
        <f t="shared" si="13"/>
        <v/>
      </c>
      <c r="K1944" s="147" t="str">
        <f>IFERROR(__xludf.DUMMYFUNCTION("if(C1944="""","""",iferror(if(row()&lt;&gt;2,INDEX(arrayformula(filter($L$2:$L1943,$C$2:$C1943&lt;&gt;"""",row($C$2:$C1943)=max(if($C$2:$C1943=C1944,row($C$2:$C1943),0)))) ,1),0),0))"),"")</f>
        <v/>
      </c>
      <c r="L1944" s="147" t="str">
        <f t="shared" si="14"/>
        <v/>
      </c>
      <c r="M1944" s="147" t="str">
        <f t="shared" si="15"/>
        <v/>
      </c>
      <c r="N1944" s="147" t="str">
        <f t="shared" si="16"/>
        <v/>
      </c>
      <c r="O1944" s="147" t="str">
        <f t="shared" si="6"/>
        <v/>
      </c>
      <c r="P1944" s="150" t="str">
        <f t="shared" si="7"/>
        <v/>
      </c>
      <c r="Q1944" s="151" t="str">
        <f>IFERROR(VLOOKUP(C1944,Ativos!$A$1:$G2000,5,),)</f>
        <v/>
      </c>
    </row>
    <row r="1945" ht="21.0" customHeight="1">
      <c r="A1945" s="152"/>
      <c r="B1945" s="160"/>
      <c r="C1945" s="153"/>
      <c r="D1945" s="169"/>
      <c r="E1945" s="139"/>
      <c r="F1945" s="141"/>
      <c r="G1945" s="170" t="str">
        <f>IFERROR(__xludf.DUMMYFUNCTION("if($C1945="""","""",iferror(if(row()&lt;&gt;2,INDEX(arrayformula(filter($H$2:$H1944,$C$2:$C1944&lt;&gt;"""",row($C$2:$C1944)=max(if($C$2:$C1944=C1945,row($C$2:$C1944),0)))) ,1),0),0))"),"")</f>
        <v/>
      </c>
      <c r="H1945" s="170" t="str">
        <f t="shared" si="8"/>
        <v/>
      </c>
      <c r="I1945" s="147" t="str">
        <f t="shared" si="1"/>
        <v/>
      </c>
      <c r="J1945" s="147" t="str">
        <f t="shared" si="13"/>
        <v/>
      </c>
      <c r="K1945" s="147" t="str">
        <f>IFERROR(__xludf.DUMMYFUNCTION("if(C1945="""","""",iferror(if(row()&lt;&gt;2,INDEX(arrayformula(filter($L$2:$L1944,$C$2:$C1944&lt;&gt;"""",row($C$2:$C1944)=max(if($C$2:$C1944=C1945,row($C$2:$C1944),0)))) ,1),0),0))"),"")</f>
        <v/>
      </c>
      <c r="L1945" s="147" t="str">
        <f t="shared" si="14"/>
        <v/>
      </c>
      <c r="M1945" s="147" t="str">
        <f t="shared" si="15"/>
        <v/>
      </c>
      <c r="N1945" s="147" t="str">
        <f t="shared" si="16"/>
        <v/>
      </c>
      <c r="O1945" s="147" t="str">
        <f t="shared" si="6"/>
        <v/>
      </c>
      <c r="P1945" s="150" t="str">
        <f t="shared" si="7"/>
        <v/>
      </c>
      <c r="Q1945" s="151" t="str">
        <f>IFERROR(VLOOKUP(C1945,Ativos!$A$1:$G2000,5,),)</f>
        <v/>
      </c>
    </row>
    <row r="1946" ht="21.0" customHeight="1">
      <c r="A1946" s="152"/>
      <c r="B1946" s="160"/>
      <c r="C1946" s="153"/>
      <c r="D1946" s="169"/>
      <c r="E1946" s="139"/>
      <c r="F1946" s="141"/>
      <c r="G1946" s="170" t="str">
        <f>IFERROR(__xludf.DUMMYFUNCTION("if($C1946="""","""",iferror(if(row()&lt;&gt;2,INDEX(arrayformula(filter($H$2:$H1945,$C$2:$C1945&lt;&gt;"""",row($C$2:$C1945)=max(if($C$2:$C1945=C1946,row($C$2:$C1945),0)))) ,1),0),0))"),"")</f>
        <v/>
      </c>
      <c r="H1946" s="170" t="str">
        <f t="shared" si="8"/>
        <v/>
      </c>
      <c r="I1946" s="147" t="str">
        <f t="shared" si="1"/>
        <v/>
      </c>
      <c r="J1946" s="147" t="str">
        <f t="shared" si="13"/>
        <v/>
      </c>
      <c r="K1946" s="147" t="str">
        <f>IFERROR(__xludf.DUMMYFUNCTION("if(C1946="""","""",iferror(if(row()&lt;&gt;2,INDEX(arrayformula(filter($L$2:$L1945,$C$2:$C1945&lt;&gt;"""",row($C$2:$C1945)=max(if($C$2:$C1945=C1946,row($C$2:$C1945),0)))) ,1),0),0))"),"")</f>
        <v/>
      </c>
      <c r="L1946" s="147" t="str">
        <f t="shared" si="14"/>
        <v/>
      </c>
      <c r="M1946" s="147" t="str">
        <f t="shared" si="15"/>
        <v/>
      </c>
      <c r="N1946" s="147" t="str">
        <f t="shared" si="16"/>
        <v/>
      </c>
      <c r="O1946" s="147" t="str">
        <f t="shared" si="6"/>
        <v/>
      </c>
      <c r="P1946" s="150" t="str">
        <f t="shared" si="7"/>
        <v/>
      </c>
      <c r="Q1946" s="151" t="str">
        <f>IFERROR(VLOOKUP(C1946,Ativos!$A$1:$G2000,5,),)</f>
        <v/>
      </c>
    </row>
    <row r="1947" ht="21.0" customHeight="1">
      <c r="A1947" s="152"/>
      <c r="B1947" s="160"/>
      <c r="C1947" s="153"/>
      <c r="D1947" s="169"/>
      <c r="E1947" s="139"/>
      <c r="F1947" s="141"/>
      <c r="G1947" s="170" t="str">
        <f>IFERROR(__xludf.DUMMYFUNCTION("if($C1947="""","""",iferror(if(row()&lt;&gt;2,INDEX(arrayformula(filter($H$2:$H1946,$C$2:$C1946&lt;&gt;"""",row($C$2:$C1946)=max(if($C$2:$C1946=C1947,row($C$2:$C1946),0)))) ,1),0),0))"),"")</f>
        <v/>
      </c>
      <c r="H1947" s="170" t="str">
        <f t="shared" si="8"/>
        <v/>
      </c>
      <c r="I1947" s="147" t="str">
        <f t="shared" si="1"/>
        <v/>
      </c>
      <c r="J1947" s="147" t="str">
        <f t="shared" si="13"/>
        <v/>
      </c>
      <c r="K1947" s="147" t="str">
        <f>IFERROR(__xludf.DUMMYFUNCTION("if(C1947="""","""",iferror(if(row()&lt;&gt;2,INDEX(arrayformula(filter($L$2:$L1946,$C$2:$C1946&lt;&gt;"""",row($C$2:$C1946)=max(if($C$2:$C1946=C1947,row($C$2:$C1946),0)))) ,1),0),0))"),"")</f>
        <v/>
      </c>
      <c r="L1947" s="147" t="str">
        <f t="shared" si="14"/>
        <v/>
      </c>
      <c r="M1947" s="147" t="str">
        <f t="shared" si="15"/>
        <v/>
      </c>
      <c r="N1947" s="147" t="str">
        <f t="shared" si="16"/>
        <v/>
      </c>
      <c r="O1947" s="147" t="str">
        <f t="shared" si="6"/>
        <v/>
      </c>
      <c r="P1947" s="150" t="str">
        <f t="shared" si="7"/>
        <v/>
      </c>
      <c r="Q1947" s="151" t="str">
        <f>IFERROR(VLOOKUP(C1947,Ativos!$A$1:$G2000,5,),)</f>
        <v/>
      </c>
    </row>
    <row r="1948" ht="21.0" customHeight="1">
      <c r="A1948" s="152"/>
      <c r="B1948" s="160"/>
      <c r="C1948" s="153"/>
      <c r="D1948" s="169"/>
      <c r="E1948" s="139"/>
      <c r="F1948" s="141"/>
      <c r="G1948" s="170" t="str">
        <f>IFERROR(__xludf.DUMMYFUNCTION("if($C1948="""","""",iferror(if(row()&lt;&gt;2,INDEX(arrayformula(filter($H$2:$H1947,$C$2:$C1947&lt;&gt;"""",row($C$2:$C1947)=max(if($C$2:$C1947=C1948,row($C$2:$C1947),0)))) ,1),0),0))"),"")</f>
        <v/>
      </c>
      <c r="H1948" s="170" t="str">
        <f t="shared" si="8"/>
        <v/>
      </c>
      <c r="I1948" s="147" t="str">
        <f t="shared" si="1"/>
        <v/>
      </c>
      <c r="J1948" s="147" t="str">
        <f t="shared" si="13"/>
        <v/>
      </c>
      <c r="K1948" s="147" t="str">
        <f>IFERROR(__xludf.DUMMYFUNCTION("if(C1948="""","""",iferror(if(row()&lt;&gt;2,INDEX(arrayformula(filter($L$2:$L1947,$C$2:$C1947&lt;&gt;"""",row($C$2:$C1947)=max(if($C$2:$C1947=C1948,row($C$2:$C1947),0)))) ,1),0),0))"),"")</f>
        <v/>
      </c>
      <c r="L1948" s="147" t="str">
        <f t="shared" si="14"/>
        <v/>
      </c>
      <c r="M1948" s="147" t="str">
        <f t="shared" si="15"/>
        <v/>
      </c>
      <c r="N1948" s="147" t="str">
        <f t="shared" si="16"/>
        <v/>
      </c>
      <c r="O1948" s="147" t="str">
        <f t="shared" si="6"/>
        <v/>
      </c>
      <c r="P1948" s="150" t="str">
        <f t="shared" si="7"/>
        <v/>
      </c>
      <c r="Q1948" s="151" t="str">
        <f>IFERROR(VLOOKUP(C1948,Ativos!$A$1:$G2000,5,),)</f>
        <v/>
      </c>
    </row>
    <row r="1949" ht="21.0" customHeight="1">
      <c r="A1949" s="152"/>
      <c r="B1949" s="160"/>
      <c r="C1949" s="153"/>
      <c r="D1949" s="169"/>
      <c r="E1949" s="139"/>
      <c r="F1949" s="141"/>
      <c r="G1949" s="170" t="str">
        <f>IFERROR(__xludf.DUMMYFUNCTION("if($C1949="""","""",iferror(if(row()&lt;&gt;2,INDEX(arrayformula(filter($H$2:$H1948,$C$2:$C1948&lt;&gt;"""",row($C$2:$C1948)=max(if($C$2:$C1948=C1949,row($C$2:$C1948),0)))) ,1),0),0))"),"")</f>
        <v/>
      </c>
      <c r="H1949" s="170" t="str">
        <f t="shared" si="8"/>
        <v/>
      </c>
      <c r="I1949" s="147" t="str">
        <f t="shared" si="1"/>
        <v/>
      </c>
      <c r="J1949" s="147" t="str">
        <f t="shared" si="13"/>
        <v/>
      </c>
      <c r="K1949" s="147" t="str">
        <f>IFERROR(__xludf.DUMMYFUNCTION("if(C1949="""","""",iferror(if(row()&lt;&gt;2,INDEX(arrayformula(filter($L$2:$L1948,$C$2:$C1948&lt;&gt;"""",row($C$2:$C1948)=max(if($C$2:$C1948=C1949,row($C$2:$C1948),0)))) ,1),0),0))"),"")</f>
        <v/>
      </c>
      <c r="L1949" s="147" t="str">
        <f t="shared" si="14"/>
        <v/>
      </c>
      <c r="M1949" s="147" t="str">
        <f t="shared" si="15"/>
        <v/>
      </c>
      <c r="N1949" s="147" t="str">
        <f t="shared" si="16"/>
        <v/>
      </c>
      <c r="O1949" s="147" t="str">
        <f t="shared" si="6"/>
        <v/>
      </c>
      <c r="P1949" s="150" t="str">
        <f t="shared" si="7"/>
        <v/>
      </c>
      <c r="Q1949" s="151" t="str">
        <f>IFERROR(VLOOKUP(C1949,Ativos!$A$1:$G2000,5,),)</f>
        <v/>
      </c>
    </row>
    <row r="1950" ht="21.0" customHeight="1">
      <c r="A1950" s="152"/>
      <c r="B1950" s="160"/>
      <c r="C1950" s="153"/>
      <c r="D1950" s="169"/>
      <c r="E1950" s="139"/>
      <c r="F1950" s="141"/>
      <c r="G1950" s="170" t="str">
        <f>IFERROR(__xludf.DUMMYFUNCTION("if($C1950="""","""",iferror(if(row()&lt;&gt;2,INDEX(arrayformula(filter($H$2:$H1949,$C$2:$C1949&lt;&gt;"""",row($C$2:$C1949)=max(if($C$2:$C1949=C1950,row($C$2:$C1949),0)))) ,1),0),0))"),"")</f>
        <v/>
      </c>
      <c r="H1950" s="170" t="str">
        <f t="shared" si="8"/>
        <v/>
      </c>
      <c r="I1950" s="147" t="str">
        <f t="shared" si="1"/>
        <v/>
      </c>
      <c r="J1950" s="147" t="str">
        <f t="shared" si="13"/>
        <v/>
      </c>
      <c r="K1950" s="147" t="str">
        <f>IFERROR(__xludf.DUMMYFUNCTION("if(C1950="""","""",iferror(if(row()&lt;&gt;2,INDEX(arrayformula(filter($L$2:$L1949,$C$2:$C1949&lt;&gt;"""",row($C$2:$C1949)=max(if($C$2:$C1949=C1950,row($C$2:$C1949),0)))) ,1),0),0))"),"")</f>
        <v/>
      </c>
      <c r="L1950" s="147" t="str">
        <f t="shared" si="14"/>
        <v/>
      </c>
      <c r="M1950" s="147" t="str">
        <f t="shared" si="15"/>
        <v/>
      </c>
      <c r="N1950" s="147" t="str">
        <f t="shared" si="16"/>
        <v/>
      </c>
      <c r="O1950" s="147" t="str">
        <f t="shared" si="6"/>
        <v/>
      </c>
      <c r="P1950" s="150" t="str">
        <f t="shared" si="7"/>
        <v/>
      </c>
      <c r="Q1950" s="151" t="str">
        <f>IFERROR(VLOOKUP(C1950,Ativos!$A$1:$G2000,5,),)</f>
        <v/>
      </c>
    </row>
    <row r="1951" ht="21.0" customHeight="1">
      <c r="A1951" s="152"/>
      <c r="B1951" s="160"/>
      <c r="C1951" s="153"/>
      <c r="D1951" s="169"/>
      <c r="E1951" s="139"/>
      <c r="F1951" s="141"/>
      <c r="G1951" s="170" t="str">
        <f>IFERROR(__xludf.DUMMYFUNCTION("if($C1951="""","""",iferror(if(row()&lt;&gt;2,INDEX(arrayformula(filter($H$2:$H1950,$C$2:$C1950&lt;&gt;"""",row($C$2:$C1950)=max(if($C$2:$C1950=C1951,row($C$2:$C1950),0)))) ,1),0),0))"),"")</f>
        <v/>
      </c>
      <c r="H1951" s="170" t="str">
        <f t="shared" si="8"/>
        <v/>
      </c>
      <c r="I1951" s="147" t="str">
        <f t="shared" si="1"/>
        <v/>
      </c>
      <c r="J1951" s="147" t="str">
        <f t="shared" si="13"/>
        <v/>
      </c>
      <c r="K1951" s="147" t="str">
        <f>IFERROR(__xludf.DUMMYFUNCTION("if(C1951="""","""",iferror(if(row()&lt;&gt;2,INDEX(arrayformula(filter($L$2:$L1950,$C$2:$C1950&lt;&gt;"""",row($C$2:$C1950)=max(if($C$2:$C1950=C1951,row($C$2:$C1950),0)))) ,1),0),0))"),"")</f>
        <v/>
      </c>
      <c r="L1951" s="147" t="str">
        <f t="shared" si="14"/>
        <v/>
      </c>
      <c r="M1951" s="147" t="str">
        <f t="shared" si="15"/>
        <v/>
      </c>
      <c r="N1951" s="147" t="str">
        <f t="shared" si="16"/>
        <v/>
      </c>
      <c r="O1951" s="147" t="str">
        <f t="shared" si="6"/>
        <v/>
      </c>
      <c r="P1951" s="150" t="str">
        <f t="shared" si="7"/>
        <v/>
      </c>
      <c r="Q1951" s="151" t="str">
        <f>IFERROR(VLOOKUP(C1951,Ativos!$A$1:$G2000,5,),)</f>
        <v/>
      </c>
    </row>
    <row r="1952" ht="21.0" customHeight="1">
      <c r="A1952" s="152"/>
      <c r="B1952" s="160"/>
      <c r="C1952" s="153"/>
      <c r="D1952" s="169"/>
      <c r="E1952" s="139"/>
      <c r="F1952" s="141"/>
      <c r="G1952" s="170" t="str">
        <f>IFERROR(__xludf.DUMMYFUNCTION("if($C1952="""","""",iferror(if(row()&lt;&gt;2,INDEX(arrayformula(filter($H$2:$H1951,$C$2:$C1951&lt;&gt;"""",row($C$2:$C1951)=max(if($C$2:$C1951=C1952,row($C$2:$C1951),0)))) ,1),0),0))"),"")</f>
        <v/>
      </c>
      <c r="H1952" s="170" t="str">
        <f t="shared" si="8"/>
        <v/>
      </c>
      <c r="I1952" s="147" t="str">
        <f t="shared" si="1"/>
        <v/>
      </c>
      <c r="J1952" s="147" t="str">
        <f t="shared" si="13"/>
        <v/>
      </c>
      <c r="K1952" s="147" t="str">
        <f>IFERROR(__xludf.DUMMYFUNCTION("if(C1952="""","""",iferror(if(row()&lt;&gt;2,INDEX(arrayformula(filter($L$2:$L1951,$C$2:$C1951&lt;&gt;"""",row($C$2:$C1951)=max(if($C$2:$C1951=C1952,row($C$2:$C1951),0)))) ,1),0),0))"),"")</f>
        <v/>
      </c>
      <c r="L1952" s="147" t="str">
        <f t="shared" si="14"/>
        <v/>
      </c>
      <c r="M1952" s="147" t="str">
        <f t="shared" si="15"/>
        <v/>
      </c>
      <c r="N1952" s="147" t="str">
        <f t="shared" si="16"/>
        <v/>
      </c>
      <c r="O1952" s="147" t="str">
        <f t="shared" si="6"/>
        <v/>
      </c>
      <c r="P1952" s="150" t="str">
        <f t="shared" si="7"/>
        <v/>
      </c>
      <c r="Q1952" s="151" t="str">
        <f>IFERROR(VLOOKUP(C1952,Ativos!$A$1:$G2000,5,),)</f>
        <v/>
      </c>
    </row>
    <row r="1953" ht="21.0" customHeight="1">
      <c r="A1953" s="152"/>
      <c r="B1953" s="160"/>
      <c r="C1953" s="153"/>
      <c r="D1953" s="169"/>
      <c r="E1953" s="139"/>
      <c r="F1953" s="141"/>
      <c r="G1953" s="170" t="str">
        <f>IFERROR(__xludf.DUMMYFUNCTION("if($C1953="""","""",iferror(if(row()&lt;&gt;2,INDEX(arrayformula(filter($H$2:$H1952,$C$2:$C1952&lt;&gt;"""",row($C$2:$C1952)=max(if($C$2:$C1952=C1953,row($C$2:$C1952),0)))) ,1),0),0))"),"")</f>
        <v/>
      </c>
      <c r="H1953" s="170" t="str">
        <f t="shared" si="8"/>
        <v/>
      </c>
      <c r="I1953" s="147" t="str">
        <f t="shared" si="1"/>
        <v/>
      </c>
      <c r="J1953" s="147" t="str">
        <f t="shared" si="13"/>
        <v/>
      </c>
      <c r="K1953" s="147" t="str">
        <f>IFERROR(__xludf.DUMMYFUNCTION("if(C1953="""","""",iferror(if(row()&lt;&gt;2,INDEX(arrayformula(filter($L$2:$L1952,$C$2:$C1952&lt;&gt;"""",row($C$2:$C1952)=max(if($C$2:$C1952=C1953,row($C$2:$C1952),0)))) ,1),0),0))"),"")</f>
        <v/>
      </c>
      <c r="L1953" s="147" t="str">
        <f t="shared" si="14"/>
        <v/>
      </c>
      <c r="M1953" s="147" t="str">
        <f t="shared" si="15"/>
        <v/>
      </c>
      <c r="N1953" s="147" t="str">
        <f t="shared" si="16"/>
        <v/>
      </c>
      <c r="O1953" s="147" t="str">
        <f t="shared" si="6"/>
        <v/>
      </c>
      <c r="P1953" s="150" t="str">
        <f t="shared" si="7"/>
        <v/>
      </c>
      <c r="Q1953" s="151" t="str">
        <f>IFERROR(VLOOKUP(C1953,Ativos!$A$1:$G2000,5,),)</f>
        <v/>
      </c>
    </row>
    <row r="1954" ht="21.0" customHeight="1">
      <c r="A1954" s="152"/>
      <c r="B1954" s="160"/>
      <c r="C1954" s="153"/>
      <c r="D1954" s="169"/>
      <c r="E1954" s="139"/>
      <c r="F1954" s="141"/>
      <c r="G1954" s="170" t="str">
        <f>IFERROR(__xludf.DUMMYFUNCTION("if($C1954="""","""",iferror(if(row()&lt;&gt;2,INDEX(arrayformula(filter($H$2:$H1953,$C$2:$C1953&lt;&gt;"""",row($C$2:$C1953)=max(if($C$2:$C1953=C1954,row($C$2:$C1953),0)))) ,1),0),0))"),"")</f>
        <v/>
      </c>
      <c r="H1954" s="170" t="str">
        <f t="shared" si="8"/>
        <v/>
      </c>
      <c r="I1954" s="147" t="str">
        <f t="shared" si="1"/>
        <v/>
      </c>
      <c r="J1954" s="147" t="str">
        <f t="shared" si="13"/>
        <v/>
      </c>
      <c r="K1954" s="147" t="str">
        <f>IFERROR(__xludf.DUMMYFUNCTION("if(C1954="""","""",iferror(if(row()&lt;&gt;2,INDEX(arrayformula(filter($L$2:$L1953,$C$2:$C1953&lt;&gt;"""",row($C$2:$C1953)=max(if($C$2:$C1953=C1954,row($C$2:$C1953),0)))) ,1),0),0))"),"")</f>
        <v/>
      </c>
      <c r="L1954" s="147" t="str">
        <f t="shared" si="14"/>
        <v/>
      </c>
      <c r="M1954" s="147" t="str">
        <f t="shared" si="15"/>
        <v/>
      </c>
      <c r="N1954" s="147" t="str">
        <f t="shared" si="16"/>
        <v/>
      </c>
      <c r="O1954" s="147" t="str">
        <f t="shared" si="6"/>
        <v/>
      </c>
      <c r="P1954" s="150" t="str">
        <f t="shared" si="7"/>
        <v/>
      </c>
      <c r="Q1954" s="151" t="str">
        <f>IFERROR(VLOOKUP(C1954,Ativos!$A$1:$G2000,5,),)</f>
        <v/>
      </c>
    </row>
    <row r="1955" ht="21.0" customHeight="1">
      <c r="A1955" s="152"/>
      <c r="B1955" s="160"/>
      <c r="C1955" s="153"/>
      <c r="D1955" s="169"/>
      <c r="E1955" s="139"/>
      <c r="F1955" s="141"/>
      <c r="G1955" s="170" t="str">
        <f>IFERROR(__xludf.DUMMYFUNCTION("if($C1955="""","""",iferror(if(row()&lt;&gt;2,INDEX(arrayformula(filter($H$2:$H1954,$C$2:$C1954&lt;&gt;"""",row($C$2:$C1954)=max(if($C$2:$C1954=C1955,row($C$2:$C1954),0)))) ,1),0),0))"),"")</f>
        <v/>
      </c>
      <c r="H1955" s="170" t="str">
        <f t="shared" si="8"/>
        <v/>
      </c>
      <c r="I1955" s="147" t="str">
        <f t="shared" si="1"/>
        <v/>
      </c>
      <c r="J1955" s="147" t="str">
        <f t="shared" si="13"/>
        <v/>
      </c>
      <c r="K1955" s="147" t="str">
        <f>IFERROR(__xludf.DUMMYFUNCTION("if(C1955="""","""",iferror(if(row()&lt;&gt;2,INDEX(arrayformula(filter($L$2:$L1954,$C$2:$C1954&lt;&gt;"""",row($C$2:$C1954)=max(if($C$2:$C1954=C1955,row($C$2:$C1954),0)))) ,1),0),0))"),"")</f>
        <v/>
      </c>
      <c r="L1955" s="147" t="str">
        <f t="shared" si="14"/>
        <v/>
      </c>
      <c r="M1955" s="147" t="str">
        <f t="shared" si="15"/>
        <v/>
      </c>
      <c r="N1955" s="147" t="str">
        <f t="shared" si="16"/>
        <v/>
      </c>
      <c r="O1955" s="147" t="str">
        <f t="shared" si="6"/>
        <v/>
      </c>
      <c r="P1955" s="150" t="str">
        <f t="shared" si="7"/>
        <v/>
      </c>
      <c r="Q1955" s="151" t="str">
        <f>IFERROR(VLOOKUP(C1955,Ativos!$A$1:$G2000,5,),)</f>
        <v/>
      </c>
    </row>
    <row r="1956" ht="21.0" customHeight="1">
      <c r="A1956" s="152"/>
      <c r="B1956" s="160"/>
      <c r="C1956" s="153"/>
      <c r="D1956" s="169"/>
      <c r="E1956" s="139"/>
      <c r="F1956" s="141"/>
      <c r="G1956" s="170" t="str">
        <f>IFERROR(__xludf.DUMMYFUNCTION("if($C1956="""","""",iferror(if(row()&lt;&gt;2,INDEX(arrayformula(filter($H$2:$H1955,$C$2:$C1955&lt;&gt;"""",row($C$2:$C1955)=max(if($C$2:$C1955=C1956,row($C$2:$C1955),0)))) ,1),0),0))"),"")</f>
        <v/>
      </c>
      <c r="H1956" s="170" t="str">
        <f t="shared" si="8"/>
        <v/>
      </c>
      <c r="I1956" s="147" t="str">
        <f t="shared" si="1"/>
        <v/>
      </c>
      <c r="J1956" s="147" t="str">
        <f t="shared" si="13"/>
        <v/>
      </c>
      <c r="K1956" s="147" t="str">
        <f>IFERROR(__xludf.DUMMYFUNCTION("if(C1956="""","""",iferror(if(row()&lt;&gt;2,INDEX(arrayformula(filter($L$2:$L1955,$C$2:$C1955&lt;&gt;"""",row($C$2:$C1955)=max(if($C$2:$C1955=C1956,row($C$2:$C1955),0)))) ,1),0),0))"),"")</f>
        <v/>
      </c>
      <c r="L1956" s="147" t="str">
        <f t="shared" si="14"/>
        <v/>
      </c>
      <c r="M1956" s="147" t="str">
        <f t="shared" si="15"/>
        <v/>
      </c>
      <c r="N1956" s="147" t="str">
        <f t="shared" si="16"/>
        <v/>
      </c>
      <c r="O1956" s="147" t="str">
        <f t="shared" si="6"/>
        <v/>
      </c>
      <c r="P1956" s="150" t="str">
        <f t="shared" si="7"/>
        <v/>
      </c>
      <c r="Q1956" s="151" t="str">
        <f>IFERROR(VLOOKUP(C1956,Ativos!$A$1:$G2000,5,),)</f>
        <v/>
      </c>
    </row>
    <row r="1957" ht="21.0" customHeight="1">
      <c r="A1957" s="152"/>
      <c r="B1957" s="160"/>
      <c r="C1957" s="153"/>
      <c r="D1957" s="169"/>
      <c r="E1957" s="139"/>
      <c r="F1957" s="141"/>
      <c r="G1957" s="170" t="str">
        <f>IFERROR(__xludf.DUMMYFUNCTION("if($C1957="""","""",iferror(if(row()&lt;&gt;2,INDEX(arrayformula(filter($H$2:$H1956,$C$2:$C1956&lt;&gt;"""",row($C$2:$C1956)=max(if($C$2:$C1956=C1957,row($C$2:$C1956),0)))) ,1),0),0))"),"")</f>
        <v/>
      </c>
      <c r="H1957" s="170" t="str">
        <f t="shared" si="8"/>
        <v/>
      </c>
      <c r="I1957" s="147" t="str">
        <f t="shared" si="1"/>
        <v/>
      </c>
      <c r="J1957" s="147" t="str">
        <f t="shared" si="13"/>
        <v/>
      </c>
      <c r="K1957" s="147" t="str">
        <f>IFERROR(__xludf.DUMMYFUNCTION("if(C1957="""","""",iferror(if(row()&lt;&gt;2,INDEX(arrayformula(filter($L$2:$L1956,$C$2:$C1956&lt;&gt;"""",row($C$2:$C1956)=max(if($C$2:$C1956=C1957,row($C$2:$C1956),0)))) ,1),0),0))"),"")</f>
        <v/>
      </c>
      <c r="L1957" s="147" t="str">
        <f t="shared" si="14"/>
        <v/>
      </c>
      <c r="M1957" s="147" t="str">
        <f t="shared" si="15"/>
        <v/>
      </c>
      <c r="N1957" s="147" t="str">
        <f t="shared" si="16"/>
        <v/>
      </c>
      <c r="O1957" s="147" t="str">
        <f t="shared" si="6"/>
        <v/>
      </c>
      <c r="P1957" s="150" t="str">
        <f t="shared" si="7"/>
        <v/>
      </c>
      <c r="Q1957" s="151" t="str">
        <f>IFERROR(VLOOKUP(C1957,Ativos!$A$1:$G2000,5,),)</f>
        <v/>
      </c>
    </row>
    <row r="1958" ht="21.0" customHeight="1">
      <c r="A1958" s="152"/>
      <c r="B1958" s="160"/>
      <c r="C1958" s="153"/>
      <c r="D1958" s="169"/>
      <c r="E1958" s="139"/>
      <c r="F1958" s="141"/>
      <c r="G1958" s="170" t="str">
        <f>IFERROR(__xludf.DUMMYFUNCTION("if($C1958="""","""",iferror(if(row()&lt;&gt;2,INDEX(arrayformula(filter($H$2:$H1957,$C$2:$C1957&lt;&gt;"""",row($C$2:$C1957)=max(if($C$2:$C1957=C1958,row($C$2:$C1957),0)))) ,1),0),0))"),"")</f>
        <v/>
      </c>
      <c r="H1958" s="170" t="str">
        <f t="shared" si="8"/>
        <v/>
      </c>
      <c r="I1958" s="147" t="str">
        <f t="shared" si="1"/>
        <v/>
      </c>
      <c r="J1958" s="147" t="str">
        <f t="shared" si="13"/>
        <v/>
      </c>
      <c r="K1958" s="147" t="str">
        <f>IFERROR(__xludf.DUMMYFUNCTION("if(C1958="""","""",iferror(if(row()&lt;&gt;2,INDEX(arrayformula(filter($L$2:$L1957,$C$2:$C1957&lt;&gt;"""",row($C$2:$C1957)=max(if($C$2:$C1957=C1958,row($C$2:$C1957),0)))) ,1),0),0))"),"")</f>
        <v/>
      </c>
      <c r="L1958" s="147" t="str">
        <f t="shared" si="14"/>
        <v/>
      </c>
      <c r="M1958" s="147" t="str">
        <f t="shared" si="15"/>
        <v/>
      </c>
      <c r="N1958" s="147" t="str">
        <f t="shared" si="16"/>
        <v/>
      </c>
      <c r="O1958" s="147" t="str">
        <f t="shared" si="6"/>
        <v/>
      </c>
      <c r="P1958" s="150" t="str">
        <f t="shared" si="7"/>
        <v/>
      </c>
      <c r="Q1958" s="151" t="str">
        <f>IFERROR(VLOOKUP(C1958,Ativos!$A$1:$G2000,5,),)</f>
        <v/>
      </c>
    </row>
    <row r="1959" ht="21.0" customHeight="1">
      <c r="A1959" s="152"/>
      <c r="B1959" s="160"/>
      <c r="C1959" s="153"/>
      <c r="D1959" s="169"/>
      <c r="E1959" s="139"/>
      <c r="F1959" s="141"/>
      <c r="G1959" s="170" t="str">
        <f>IFERROR(__xludf.DUMMYFUNCTION("if($C1959="""","""",iferror(if(row()&lt;&gt;2,INDEX(arrayformula(filter($H$2:$H1958,$C$2:$C1958&lt;&gt;"""",row($C$2:$C1958)=max(if($C$2:$C1958=C1959,row($C$2:$C1958),0)))) ,1),0),0))"),"")</f>
        <v/>
      </c>
      <c r="H1959" s="170" t="str">
        <f t="shared" si="8"/>
        <v/>
      </c>
      <c r="I1959" s="147" t="str">
        <f t="shared" si="1"/>
        <v/>
      </c>
      <c r="J1959" s="147" t="str">
        <f t="shared" si="13"/>
        <v/>
      </c>
      <c r="K1959" s="147" t="str">
        <f>IFERROR(__xludf.DUMMYFUNCTION("if(C1959="""","""",iferror(if(row()&lt;&gt;2,INDEX(arrayformula(filter($L$2:$L1958,$C$2:$C1958&lt;&gt;"""",row($C$2:$C1958)=max(if($C$2:$C1958=C1959,row($C$2:$C1958),0)))) ,1),0),0))"),"")</f>
        <v/>
      </c>
      <c r="L1959" s="147" t="str">
        <f t="shared" si="14"/>
        <v/>
      </c>
      <c r="M1959" s="147" t="str">
        <f t="shared" si="15"/>
        <v/>
      </c>
      <c r="N1959" s="147" t="str">
        <f t="shared" si="16"/>
        <v/>
      </c>
      <c r="O1959" s="147" t="str">
        <f t="shared" si="6"/>
        <v/>
      </c>
      <c r="P1959" s="150" t="str">
        <f t="shared" si="7"/>
        <v/>
      </c>
      <c r="Q1959" s="151" t="str">
        <f>IFERROR(VLOOKUP(C1959,Ativos!$A$1:$G2000,5,),)</f>
        <v/>
      </c>
    </row>
    <row r="1960" ht="21.0" customHeight="1">
      <c r="A1960" s="152"/>
      <c r="B1960" s="160"/>
      <c r="C1960" s="153"/>
      <c r="D1960" s="169"/>
      <c r="E1960" s="139"/>
      <c r="F1960" s="141"/>
      <c r="G1960" s="170" t="str">
        <f>IFERROR(__xludf.DUMMYFUNCTION("if($C1960="""","""",iferror(if(row()&lt;&gt;2,INDEX(arrayformula(filter($H$2:$H1959,$C$2:$C1959&lt;&gt;"""",row($C$2:$C1959)=max(if($C$2:$C1959=C1960,row($C$2:$C1959),0)))) ,1),0),0))"),"")</f>
        <v/>
      </c>
      <c r="H1960" s="170" t="str">
        <f t="shared" si="8"/>
        <v/>
      </c>
      <c r="I1960" s="147" t="str">
        <f t="shared" si="1"/>
        <v/>
      </c>
      <c r="J1960" s="147" t="str">
        <f t="shared" si="13"/>
        <v/>
      </c>
      <c r="K1960" s="147" t="str">
        <f>IFERROR(__xludf.DUMMYFUNCTION("if(C1960="""","""",iferror(if(row()&lt;&gt;2,INDEX(arrayformula(filter($L$2:$L1959,$C$2:$C1959&lt;&gt;"""",row($C$2:$C1959)=max(if($C$2:$C1959=C1960,row($C$2:$C1959),0)))) ,1),0),0))"),"")</f>
        <v/>
      </c>
      <c r="L1960" s="147" t="str">
        <f t="shared" si="14"/>
        <v/>
      </c>
      <c r="M1960" s="147" t="str">
        <f t="shared" si="15"/>
        <v/>
      </c>
      <c r="N1960" s="147" t="str">
        <f t="shared" si="16"/>
        <v/>
      </c>
      <c r="O1960" s="147" t="str">
        <f t="shared" si="6"/>
        <v/>
      </c>
      <c r="P1960" s="150" t="str">
        <f t="shared" si="7"/>
        <v/>
      </c>
      <c r="Q1960" s="151" t="str">
        <f>IFERROR(VLOOKUP(C1960,Ativos!$A$1:$G2000,5,),)</f>
        <v/>
      </c>
    </row>
    <row r="1961" ht="21.0" customHeight="1">
      <c r="A1961" s="152"/>
      <c r="B1961" s="160"/>
      <c r="C1961" s="153"/>
      <c r="D1961" s="169"/>
      <c r="E1961" s="139"/>
      <c r="F1961" s="141"/>
      <c r="G1961" s="170" t="str">
        <f>IFERROR(__xludf.DUMMYFUNCTION("if($C1961="""","""",iferror(if(row()&lt;&gt;2,INDEX(arrayformula(filter($H$2:$H1960,$C$2:$C1960&lt;&gt;"""",row($C$2:$C1960)=max(if($C$2:$C1960=C1961,row($C$2:$C1960),0)))) ,1),0),0))"),"")</f>
        <v/>
      </c>
      <c r="H1961" s="170" t="str">
        <f t="shared" si="8"/>
        <v/>
      </c>
      <c r="I1961" s="147" t="str">
        <f t="shared" si="1"/>
        <v/>
      </c>
      <c r="J1961" s="147" t="str">
        <f t="shared" si="13"/>
        <v/>
      </c>
      <c r="K1961" s="147" t="str">
        <f>IFERROR(__xludf.DUMMYFUNCTION("if(C1961="""","""",iferror(if(row()&lt;&gt;2,INDEX(arrayformula(filter($L$2:$L1960,$C$2:$C1960&lt;&gt;"""",row($C$2:$C1960)=max(if($C$2:$C1960=C1961,row($C$2:$C1960),0)))) ,1),0),0))"),"")</f>
        <v/>
      </c>
      <c r="L1961" s="147" t="str">
        <f t="shared" si="14"/>
        <v/>
      </c>
      <c r="M1961" s="147" t="str">
        <f t="shared" si="15"/>
        <v/>
      </c>
      <c r="N1961" s="147" t="str">
        <f t="shared" si="16"/>
        <v/>
      </c>
      <c r="O1961" s="147" t="str">
        <f t="shared" si="6"/>
        <v/>
      </c>
      <c r="P1961" s="150" t="str">
        <f t="shared" si="7"/>
        <v/>
      </c>
      <c r="Q1961" s="151" t="str">
        <f>IFERROR(VLOOKUP(C1961,Ativos!$A$1:$G2000,5,),)</f>
        <v/>
      </c>
    </row>
    <row r="1962" ht="21.0" customHeight="1">
      <c r="A1962" s="152"/>
      <c r="B1962" s="160"/>
      <c r="C1962" s="153"/>
      <c r="D1962" s="169"/>
      <c r="E1962" s="139"/>
      <c r="F1962" s="141"/>
      <c r="G1962" s="170" t="str">
        <f>IFERROR(__xludf.DUMMYFUNCTION("if($C1962="""","""",iferror(if(row()&lt;&gt;2,INDEX(arrayformula(filter($H$2:$H1961,$C$2:$C1961&lt;&gt;"""",row($C$2:$C1961)=max(if($C$2:$C1961=C1962,row($C$2:$C1961),0)))) ,1),0),0))"),"")</f>
        <v/>
      </c>
      <c r="H1962" s="170" t="str">
        <f t="shared" si="8"/>
        <v/>
      </c>
      <c r="I1962" s="147" t="str">
        <f t="shared" si="1"/>
        <v/>
      </c>
      <c r="J1962" s="147" t="str">
        <f t="shared" si="13"/>
        <v/>
      </c>
      <c r="K1962" s="147" t="str">
        <f>IFERROR(__xludf.DUMMYFUNCTION("if(C1962="""","""",iferror(if(row()&lt;&gt;2,INDEX(arrayformula(filter($L$2:$L1961,$C$2:$C1961&lt;&gt;"""",row($C$2:$C1961)=max(if($C$2:$C1961=C1962,row($C$2:$C1961),0)))) ,1),0),0))"),"")</f>
        <v/>
      </c>
      <c r="L1962" s="147" t="str">
        <f t="shared" si="14"/>
        <v/>
      </c>
      <c r="M1962" s="147" t="str">
        <f t="shared" si="15"/>
        <v/>
      </c>
      <c r="N1962" s="147" t="str">
        <f t="shared" si="16"/>
        <v/>
      </c>
      <c r="O1962" s="147" t="str">
        <f t="shared" si="6"/>
        <v/>
      </c>
      <c r="P1962" s="150" t="str">
        <f t="shared" si="7"/>
        <v/>
      </c>
      <c r="Q1962" s="151" t="str">
        <f>IFERROR(VLOOKUP(C1962,Ativos!$A$1:$G2000,5,),)</f>
        <v/>
      </c>
    </row>
    <row r="1963" ht="21.0" customHeight="1">
      <c r="A1963" s="152"/>
      <c r="B1963" s="160"/>
      <c r="C1963" s="153"/>
      <c r="D1963" s="169"/>
      <c r="E1963" s="139"/>
      <c r="F1963" s="141"/>
      <c r="G1963" s="170" t="str">
        <f>IFERROR(__xludf.DUMMYFUNCTION("if($C1963="""","""",iferror(if(row()&lt;&gt;2,INDEX(arrayformula(filter($H$2:$H1962,$C$2:$C1962&lt;&gt;"""",row($C$2:$C1962)=max(if($C$2:$C1962=C1963,row($C$2:$C1962),0)))) ,1),0),0))"),"")</f>
        <v/>
      </c>
      <c r="H1963" s="170" t="str">
        <f t="shared" si="8"/>
        <v/>
      </c>
      <c r="I1963" s="147" t="str">
        <f t="shared" si="1"/>
        <v/>
      </c>
      <c r="J1963" s="147" t="str">
        <f t="shared" si="13"/>
        <v/>
      </c>
      <c r="K1963" s="147" t="str">
        <f>IFERROR(__xludf.DUMMYFUNCTION("if(C1963="""","""",iferror(if(row()&lt;&gt;2,INDEX(arrayformula(filter($L$2:$L1962,$C$2:$C1962&lt;&gt;"""",row($C$2:$C1962)=max(if($C$2:$C1962=C1963,row($C$2:$C1962),0)))) ,1),0),0))"),"")</f>
        <v/>
      </c>
      <c r="L1963" s="147" t="str">
        <f t="shared" si="14"/>
        <v/>
      </c>
      <c r="M1963" s="147" t="str">
        <f t="shared" si="15"/>
        <v/>
      </c>
      <c r="N1963" s="147" t="str">
        <f t="shared" si="16"/>
        <v/>
      </c>
      <c r="O1963" s="147" t="str">
        <f t="shared" si="6"/>
        <v/>
      </c>
      <c r="P1963" s="150" t="str">
        <f t="shared" si="7"/>
        <v/>
      </c>
      <c r="Q1963" s="151" t="str">
        <f>IFERROR(VLOOKUP(C1963,Ativos!$A$1:$G2000,5,),)</f>
        <v/>
      </c>
    </row>
    <row r="1964" ht="21.0" customHeight="1">
      <c r="A1964" s="152"/>
      <c r="B1964" s="160"/>
      <c r="C1964" s="153"/>
      <c r="D1964" s="169"/>
      <c r="E1964" s="139"/>
      <c r="F1964" s="141"/>
      <c r="G1964" s="170" t="str">
        <f>IFERROR(__xludf.DUMMYFUNCTION("if($C1964="""","""",iferror(if(row()&lt;&gt;2,INDEX(arrayformula(filter($H$2:$H1963,$C$2:$C1963&lt;&gt;"""",row($C$2:$C1963)=max(if($C$2:$C1963=C1964,row($C$2:$C1963),0)))) ,1),0),0))"),"")</f>
        <v/>
      </c>
      <c r="H1964" s="170" t="str">
        <f t="shared" si="8"/>
        <v/>
      </c>
      <c r="I1964" s="147" t="str">
        <f t="shared" si="1"/>
        <v/>
      </c>
      <c r="J1964" s="147" t="str">
        <f t="shared" si="13"/>
        <v/>
      </c>
      <c r="K1964" s="147" t="str">
        <f>IFERROR(__xludf.DUMMYFUNCTION("if(C1964="""","""",iferror(if(row()&lt;&gt;2,INDEX(arrayformula(filter($L$2:$L1963,$C$2:$C1963&lt;&gt;"""",row($C$2:$C1963)=max(if($C$2:$C1963=C1964,row($C$2:$C1963),0)))) ,1),0),0))"),"")</f>
        <v/>
      </c>
      <c r="L1964" s="147" t="str">
        <f t="shared" si="14"/>
        <v/>
      </c>
      <c r="M1964" s="147" t="str">
        <f t="shared" si="15"/>
        <v/>
      </c>
      <c r="N1964" s="147" t="str">
        <f t="shared" si="16"/>
        <v/>
      </c>
      <c r="O1964" s="147" t="str">
        <f t="shared" si="6"/>
        <v/>
      </c>
      <c r="P1964" s="150" t="str">
        <f t="shared" si="7"/>
        <v/>
      </c>
      <c r="Q1964" s="151" t="str">
        <f>IFERROR(VLOOKUP(C1964,Ativos!$A$1:$G2000,5,),)</f>
        <v/>
      </c>
    </row>
    <row r="1965" ht="21.0" customHeight="1">
      <c r="A1965" s="152"/>
      <c r="B1965" s="160"/>
      <c r="C1965" s="153"/>
      <c r="D1965" s="169"/>
      <c r="E1965" s="139"/>
      <c r="F1965" s="141"/>
      <c r="G1965" s="170" t="str">
        <f>IFERROR(__xludf.DUMMYFUNCTION("if($C1965="""","""",iferror(if(row()&lt;&gt;2,INDEX(arrayformula(filter($H$2:$H1964,$C$2:$C1964&lt;&gt;"""",row($C$2:$C1964)=max(if($C$2:$C1964=C1965,row($C$2:$C1964),0)))) ,1),0),0))"),"")</f>
        <v/>
      </c>
      <c r="H1965" s="170" t="str">
        <f t="shared" si="8"/>
        <v/>
      </c>
      <c r="I1965" s="147" t="str">
        <f t="shared" si="1"/>
        <v/>
      </c>
      <c r="J1965" s="147" t="str">
        <f t="shared" si="13"/>
        <v/>
      </c>
      <c r="K1965" s="147" t="str">
        <f>IFERROR(__xludf.DUMMYFUNCTION("if(C1965="""","""",iferror(if(row()&lt;&gt;2,INDEX(arrayformula(filter($L$2:$L1964,$C$2:$C1964&lt;&gt;"""",row($C$2:$C1964)=max(if($C$2:$C1964=C1965,row($C$2:$C1964),0)))) ,1),0),0))"),"")</f>
        <v/>
      </c>
      <c r="L1965" s="147" t="str">
        <f t="shared" si="14"/>
        <v/>
      </c>
      <c r="M1965" s="147" t="str">
        <f t="shared" si="15"/>
        <v/>
      </c>
      <c r="N1965" s="147" t="str">
        <f t="shared" si="16"/>
        <v/>
      </c>
      <c r="O1965" s="147" t="str">
        <f t="shared" si="6"/>
        <v/>
      </c>
      <c r="P1965" s="150" t="str">
        <f t="shared" si="7"/>
        <v/>
      </c>
      <c r="Q1965" s="151" t="str">
        <f>IFERROR(VLOOKUP(C1965,Ativos!$A$1:$G2000,5,),)</f>
        <v/>
      </c>
    </row>
    <row r="1966" ht="21.0" customHeight="1">
      <c r="A1966" s="152"/>
      <c r="B1966" s="160"/>
      <c r="C1966" s="153"/>
      <c r="D1966" s="169"/>
      <c r="E1966" s="139"/>
      <c r="F1966" s="141"/>
      <c r="G1966" s="170" t="str">
        <f>IFERROR(__xludf.DUMMYFUNCTION("if($C1966="""","""",iferror(if(row()&lt;&gt;2,INDEX(arrayformula(filter($H$2:$H1965,$C$2:$C1965&lt;&gt;"""",row($C$2:$C1965)=max(if($C$2:$C1965=C1966,row($C$2:$C1965),0)))) ,1),0),0))"),"")</f>
        <v/>
      </c>
      <c r="H1966" s="170" t="str">
        <f t="shared" si="8"/>
        <v/>
      </c>
      <c r="I1966" s="147" t="str">
        <f t="shared" si="1"/>
        <v/>
      </c>
      <c r="J1966" s="147" t="str">
        <f t="shared" si="13"/>
        <v/>
      </c>
      <c r="K1966" s="147" t="str">
        <f>IFERROR(__xludf.DUMMYFUNCTION("if(C1966="""","""",iferror(if(row()&lt;&gt;2,INDEX(arrayformula(filter($L$2:$L1965,$C$2:$C1965&lt;&gt;"""",row($C$2:$C1965)=max(if($C$2:$C1965=C1966,row($C$2:$C1965),0)))) ,1),0),0))"),"")</f>
        <v/>
      </c>
      <c r="L1966" s="147" t="str">
        <f t="shared" si="14"/>
        <v/>
      </c>
      <c r="M1966" s="147" t="str">
        <f t="shared" si="15"/>
        <v/>
      </c>
      <c r="N1966" s="147" t="str">
        <f t="shared" si="16"/>
        <v/>
      </c>
      <c r="O1966" s="147" t="str">
        <f t="shared" si="6"/>
        <v/>
      </c>
      <c r="P1966" s="150" t="str">
        <f t="shared" si="7"/>
        <v/>
      </c>
      <c r="Q1966" s="151" t="str">
        <f>IFERROR(VLOOKUP(C1966,Ativos!$A$1:$G2000,5,),)</f>
        <v/>
      </c>
    </row>
    <row r="1967" ht="21.0" customHeight="1">
      <c r="A1967" s="152"/>
      <c r="B1967" s="160"/>
      <c r="C1967" s="153"/>
      <c r="D1967" s="169"/>
      <c r="E1967" s="139"/>
      <c r="F1967" s="141"/>
      <c r="G1967" s="170" t="str">
        <f>IFERROR(__xludf.DUMMYFUNCTION("if($C1967="""","""",iferror(if(row()&lt;&gt;2,INDEX(arrayformula(filter($H$2:$H1966,$C$2:$C1966&lt;&gt;"""",row($C$2:$C1966)=max(if($C$2:$C1966=C1967,row($C$2:$C1966),0)))) ,1),0),0))"),"")</f>
        <v/>
      </c>
      <c r="H1967" s="170" t="str">
        <f t="shared" si="8"/>
        <v/>
      </c>
      <c r="I1967" s="147" t="str">
        <f t="shared" si="1"/>
        <v/>
      </c>
      <c r="J1967" s="147" t="str">
        <f t="shared" si="13"/>
        <v/>
      </c>
      <c r="K1967" s="147" t="str">
        <f>IFERROR(__xludf.DUMMYFUNCTION("if(C1967="""","""",iferror(if(row()&lt;&gt;2,INDEX(arrayformula(filter($L$2:$L1966,$C$2:$C1966&lt;&gt;"""",row($C$2:$C1966)=max(if($C$2:$C1966=C1967,row($C$2:$C1966),0)))) ,1),0),0))"),"")</f>
        <v/>
      </c>
      <c r="L1967" s="147" t="str">
        <f t="shared" si="14"/>
        <v/>
      </c>
      <c r="M1967" s="147" t="str">
        <f t="shared" si="15"/>
        <v/>
      </c>
      <c r="N1967" s="147" t="str">
        <f t="shared" si="16"/>
        <v/>
      </c>
      <c r="O1967" s="147" t="str">
        <f t="shared" si="6"/>
        <v/>
      </c>
      <c r="P1967" s="150" t="str">
        <f t="shared" si="7"/>
        <v/>
      </c>
      <c r="Q1967" s="151" t="str">
        <f>IFERROR(VLOOKUP(C1967,Ativos!$A$1:$G2000,5,),)</f>
        <v/>
      </c>
    </row>
    <row r="1968" ht="21.0" customHeight="1">
      <c r="A1968" s="152"/>
      <c r="B1968" s="160"/>
      <c r="C1968" s="153"/>
      <c r="D1968" s="169"/>
      <c r="E1968" s="139"/>
      <c r="F1968" s="141"/>
      <c r="G1968" s="170" t="str">
        <f>IFERROR(__xludf.DUMMYFUNCTION("if($C1968="""","""",iferror(if(row()&lt;&gt;2,INDEX(arrayformula(filter($H$2:$H1967,$C$2:$C1967&lt;&gt;"""",row($C$2:$C1967)=max(if($C$2:$C1967=C1968,row($C$2:$C1967),0)))) ,1),0),0))"),"")</f>
        <v/>
      </c>
      <c r="H1968" s="170" t="str">
        <f t="shared" si="8"/>
        <v/>
      </c>
      <c r="I1968" s="147" t="str">
        <f t="shared" si="1"/>
        <v/>
      </c>
      <c r="J1968" s="147" t="str">
        <f t="shared" si="13"/>
        <v/>
      </c>
      <c r="K1968" s="147" t="str">
        <f>IFERROR(__xludf.DUMMYFUNCTION("if(C1968="""","""",iferror(if(row()&lt;&gt;2,INDEX(arrayformula(filter($L$2:$L1967,$C$2:$C1967&lt;&gt;"""",row($C$2:$C1967)=max(if($C$2:$C1967=C1968,row($C$2:$C1967),0)))) ,1),0),0))"),"")</f>
        <v/>
      </c>
      <c r="L1968" s="147" t="str">
        <f t="shared" si="14"/>
        <v/>
      </c>
      <c r="M1968" s="147" t="str">
        <f t="shared" si="15"/>
        <v/>
      </c>
      <c r="N1968" s="147" t="str">
        <f t="shared" si="16"/>
        <v/>
      </c>
      <c r="O1968" s="147" t="str">
        <f t="shared" si="6"/>
        <v/>
      </c>
      <c r="P1968" s="150" t="str">
        <f t="shared" si="7"/>
        <v/>
      </c>
      <c r="Q1968" s="151" t="str">
        <f>IFERROR(VLOOKUP(C1968,Ativos!$A$1:$G2000,5,),)</f>
        <v/>
      </c>
    </row>
    <row r="1969" ht="21.0" customHeight="1">
      <c r="A1969" s="152"/>
      <c r="B1969" s="160"/>
      <c r="C1969" s="153"/>
      <c r="D1969" s="169"/>
      <c r="E1969" s="139"/>
      <c r="F1969" s="141"/>
      <c r="G1969" s="170" t="str">
        <f>IFERROR(__xludf.DUMMYFUNCTION("if($C1969="""","""",iferror(if(row()&lt;&gt;2,INDEX(arrayformula(filter($H$2:$H1968,$C$2:$C1968&lt;&gt;"""",row($C$2:$C1968)=max(if($C$2:$C1968=C1969,row($C$2:$C1968),0)))) ,1),0),0))"),"")</f>
        <v/>
      </c>
      <c r="H1969" s="170" t="str">
        <f t="shared" si="8"/>
        <v/>
      </c>
      <c r="I1969" s="147" t="str">
        <f t="shared" si="1"/>
        <v/>
      </c>
      <c r="J1969" s="147" t="str">
        <f t="shared" si="13"/>
        <v/>
      </c>
      <c r="K1969" s="147" t="str">
        <f>IFERROR(__xludf.DUMMYFUNCTION("if(C1969="""","""",iferror(if(row()&lt;&gt;2,INDEX(arrayformula(filter($L$2:$L1968,$C$2:$C1968&lt;&gt;"""",row($C$2:$C1968)=max(if($C$2:$C1968=C1969,row($C$2:$C1968),0)))) ,1),0),0))"),"")</f>
        <v/>
      </c>
      <c r="L1969" s="147" t="str">
        <f t="shared" si="14"/>
        <v/>
      </c>
      <c r="M1969" s="147" t="str">
        <f t="shared" si="15"/>
        <v/>
      </c>
      <c r="N1969" s="147" t="str">
        <f t="shared" si="16"/>
        <v/>
      </c>
      <c r="O1969" s="147" t="str">
        <f t="shared" si="6"/>
        <v/>
      </c>
      <c r="P1969" s="150" t="str">
        <f t="shared" si="7"/>
        <v/>
      </c>
      <c r="Q1969" s="151" t="str">
        <f>IFERROR(VLOOKUP(C1969,Ativos!$A$1:$G2000,5,),)</f>
        <v/>
      </c>
    </row>
    <row r="1970" ht="21.0" customHeight="1">
      <c r="A1970" s="152"/>
      <c r="B1970" s="160"/>
      <c r="C1970" s="153"/>
      <c r="D1970" s="169"/>
      <c r="E1970" s="139"/>
      <c r="F1970" s="141"/>
      <c r="G1970" s="170" t="str">
        <f>IFERROR(__xludf.DUMMYFUNCTION("if($C1970="""","""",iferror(if(row()&lt;&gt;2,INDEX(arrayformula(filter($H$2:$H1969,$C$2:$C1969&lt;&gt;"""",row($C$2:$C1969)=max(if($C$2:$C1969=C1970,row($C$2:$C1969),0)))) ,1),0),0))"),"")</f>
        <v/>
      </c>
      <c r="H1970" s="170" t="str">
        <f t="shared" si="8"/>
        <v/>
      </c>
      <c r="I1970" s="147" t="str">
        <f t="shared" si="1"/>
        <v/>
      </c>
      <c r="J1970" s="147" t="str">
        <f t="shared" si="13"/>
        <v/>
      </c>
      <c r="K1970" s="147" t="str">
        <f>IFERROR(__xludf.DUMMYFUNCTION("if(C1970="""","""",iferror(if(row()&lt;&gt;2,INDEX(arrayformula(filter($L$2:$L1969,$C$2:$C1969&lt;&gt;"""",row($C$2:$C1969)=max(if($C$2:$C1969=C1970,row($C$2:$C1969),0)))) ,1),0),0))"),"")</f>
        <v/>
      </c>
      <c r="L1970" s="147" t="str">
        <f t="shared" si="14"/>
        <v/>
      </c>
      <c r="M1970" s="147" t="str">
        <f t="shared" si="15"/>
        <v/>
      </c>
      <c r="N1970" s="147" t="str">
        <f t="shared" si="16"/>
        <v/>
      </c>
      <c r="O1970" s="147" t="str">
        <f t="shared" si="6"/>
        <v/>
      </c>
      <c r="P1970" s="150" t="str">
        <f t="shared" si="7"/>
        <v/>
      </c>
      <c r="Q1970" s="151" t="str">
        <f>IFERROR(VLOOKUP(C1970,Ativos!$A$1:$G2000,5,),)</f>
        <v/>
      </c>
    </row>
    <row r="1971" ht="21.0" customHeight="1">
      <c r="A1971" s="152"/>
      <c r="B1971" s="160"/>
      <c r="C1971" s="153"/>
      <c r="D1971" s="169"/>
      <c r="E1971" s="139"/>
      <c r="F1971" s="141"/>
      <c r="G1971" s="170" t="str">
        <f>IFERROR(__xludf.DUMMYFUNCTION("if($C1971="""","""",iferror(if(row()&lt;&gt;2,INDEX(arrayformula(filter($H$2:$H1970,$C$2:$C1970&lt;&gt;"""",row($C$2:$C1970)=max(if($C$2:$C1970=C1971,row($C$2:$C1970),0)))) ,1),0),0))"),"")</f>
        <v/>
      </c>
      <c r="H1971" s="170" t="str">
        <f t="shared" si="8"/>
        <v/>
      </c>
      <c r="I1971" s="147" t="str">
        <f t="shared" si="1"/>
        <v/>
      </c>
      <c r="J1971" s="147" t="str">
        <f t="shared" si="13"/>
        <v/>
      </c>
      <c r="K1971" s="147" t="str">
        <f>IFERROR(__xludf.DUMMYFUNCTION("if(C1971="""","""",iferror(if(row()&lt;&gt;2,INDEX(arrayformula(filter($L$2:$L1970,$C$2:$C1970&lt;&gt;"""",row($C$2:$C1970)=max(if($C$2:$C1970=C1971,row($C$2:$C1970),0)))) ,1),0),0))"),"")</f>
        <v/>
      </c>
      <c r="L1971" s="147" t="str">
        <f t="shared" si="14"/>
        <v/>
      </c>
      <c r="M1971" s="147" t="str">
        <f t="shared" si="15"/>
        <v/>
      </c>
      <c r="N1971" s="147" t="str">
        <f t="shared" si="16"/>
        <v/>
      </c>
      <c r="O1971" s="147" t="str">
        <f t="shared" si="6"/>
        <v/>
      </c>
      <c r="P1971" s="150" t="str">
        <f t="shared" si="7"/>
        <v/>
      </c>
      <c r="Q1971" s="151" t="str">
        <f>IFERROR(VLOOKUP(C1971,Ativos!$A$1:$G2000,5,),)</f>
        <v/>
      </c>
    </row>
    <row r="1972" ht="21.0" customHeight="1">
      <c r="A1972" s="152"/>
      <c r="B1972" s="160"/>
      <c r="C1972" s="153"/>
      <c r="D1972" s="169"/>
      <c r="E1972" s="139"/>
      <c r="F1972" s="141"/>
      <c r="G1972" s="170" t="str">
        <f>IFERROR(__xludf.DUMMYFUNCTION("if($C1972="""","""",iferror(if(row()&lt;&gt;2,INDEX(arrayformula(filter($H$2:$H1971,$C$2:$C1971&lt;&gt;"""",row($C$2:$C1971)=max(if($C$2:$C1971=C1972,row($C$2:$C1971),0)))) ,1),0),0))"),"")</f>
        <v/>
      </c>
      <c r="H1972" s="170" t="str">
        <f t="shared" si="8"/>
        <v/>
      </c>
      <c r="I1972" s="147" t="str">
        <f t="shared" si="1"/>
        <v/>
      </c>
      <c r="J1972" s="147" t="str">
        <f t="shared" si="13"/>
        <v/>
      </c>
      <c r="K1972" s="147" t="str">
        <f>IFERROR(__xludf.DUMMYFUNCTION("if(C1972="""","""",iferror(if(row()&lt;&gt;2,INDEX(arrayformula(filter($L$2:$L1971,$C$2:$C1971&lt;&gt;"""",row($C$2:$C1971)=max(if($C$2:$C1971=C1972,row($C$2:$C1971),0)))) ,1),0),0))"),"")</f>
        <v/>
      </c>
      <c r="L1972" s="147" t="str">
        <f t="shared" si="14"/>
        <v/>
      </c>
      <c r="M1972" s="147" t="str">
        <f t="shared" si="15"/>
        <v/>
      </c>
      <c r="N1972" s="147" t="str">
        <f t="shared" si="16"/>
        <v/>
      </c>
      <c r="O1972" s="147" t="str">
        <f t="shared" si="6"/>
        <v/>
      </c>
      <c r="P1972" s="150" t="str">
        <f t="shared" si="7"/>
        <v/>
      </c>
      <c r="Q1972" s="151" t="str">
        <f>IFERROR(VLOOKUP(C1972,Ativos!$A$1:$G2000,5,),)</f>
        <v/>
      </c>
    </row>
    <row r="1973" ht="21.0" customHeight="1">
      <c r="A1973" s="152"/>
      <c r="B1973" s="160"/>
      <c r="C1973" s="153"/>
      <c r="D1973" s="169"/>
      <c r="E1973" s="139"/>
      <c r="F1973" s="141"/>
      <c r="G1973" s="170" t="str">
        <f>IFERROR(__xludf.DUMMYFUNCTION("if($C1973="""","""",iferror(if(row()&lt;&gt;2,INDEX(arrayformula(filter($H$2:$H1972,$C$2:$C1972&lt;&gt;"""",row($C$2:$C1972)=max(if($C$2:$C1972=C1973,row($C$2:$C1972),0)))) ,1),0),0))"),"")</f>
        <v/>
      </c>
      <c r="H1973" s="170" t="str">
        <f t="shared" si="8"/>
        <v/>
      </c>
      <c r="I1973" s="147" t="str">
        <f t="shared" si="1"/>
        <v/>
      </c>
      <c r="J1973" s="147" t="str">
        <f t="shared" si="13"/>
        <v/>
      </c>
      <c r="K1973" s="147" t="str">
        <f>IFERROR(__xludf.DUMMYFUNCTION("if(C1973="""","""",iferror(if(row()&lt;&gt;2,INDEX(arrayformula(filter($L$2:$L1972,$C$2:$C1972&lt;&gt;"""",row($C$2:$C1972)=max(if($C$2:$C1972=C1973,row($C$2:$C1972),0)))) ,1),0),0))"),"")</f>
        <v/>
      </c>
      <c r="L1973" s="147" t="str">
        <f t="shared" si="14"/>
        <v/>
      </c>
      <c r="M1973" s="147" t="str">
        <f t="shared" si="15"/>
        <v/>
      </c>
      <c r="N1973" s="147" t="str">
        <f t="shared" si="16"/>
        <v/>
      </c>
      <c r="O1973" s="147" t="str">
        <f t="shared" si="6"/>
        <v/>
      </c>
      <c r="P1973" s="150" t="str">
        <f t="shared" si="7"/>
        <v/>
      </c>
      <c r="Q1973" s="151" t="str">
        <f>IFERROR(VLOOKUP(C1973,Ativos!$A$1:$G2000,5,),)</f>
        <v/>
      </c>
    </row>
    <row r="1974" ht="21.0" customHeight="1">
      <c r="A1974" s="152"/>
      <c r="B1974" s="160"/>
      <c r="C1974" s="153"/>
      <c r="D1974" s="169"/>
      <c r="E1974" s="139"/>
      <c r="F1974" s="141"/>
      <c r="G1974" s="170" t="str">
        <f>IFERROR(__xludf.DUMMYFUNCTION("if($C1974="""","""",iferror(if(row()&lt;&gt;2,INDEX(arrayformula(filter($H$2:$H1973,$C$2:$C1973&lt;&gt;"""",row($C$2:$C1973)=max(if($C$2:$C1973=C1974,row($C$2:$C1973),0)))) ,1),0),0))"),"")</f>
        <v/>
      </c>
      <c r="H1974" s="170" t="str">
        <f t="shared" si="8"/>
        <v/>
      </c>
      <c r="I1974" s="147" t="str">
        <f t="shared" si="1"/>
        <v/>
      </c>
      <c r="J1974" s="147" t="str">
        <f t="shared" si="13"/>
        <v/>
      </c>
      <c r="K1974" s="147" t="str">
        <f>IFERROR(__xludf.DUMMYFUNCTION("if(C1974="""","""",iferror(if(row()&lt;&gt;2,INDEX(arrayformula(filter($L$2:$L1973,$C$2:$C1973&lt;&gt;"""",row($C$2:$C1973)=max(if($C$2:$C1973=C1974,row($C$2:$C1973),0)))) ,1),0),0))"),"")</f>
        <v/>
      </c>
      <c r="L1974" s="147" t="str">
        <f t="shared" si="14"/>
        <v/>
      </c>
      <c r="M1974" s="147" t="str">
        <f t="shared" si="15"/>
        <v/>
      </c>
      <c r="N1974" s="147" t="str">
        <f t="shared" si="16"/>
        <v/>
      </c>
      <c r="O1974" s="147" t="str">
        <f t="shared" si="6"/>
        <v/>
      </c>
      <c r="P1974" s="150" t="str">
        <f t="shared" si="7"/>
        <v/>
      </c>
      <c r="Q1974" s="151" t="str">
        <f>IFERROR(VLOOKUP(C1974,Ativos!$A$1:$G2000,5,),)</f>
        <v/>
      </c>
    </row>
    <row r="1975" ht="21.0" customHeight="1">
      <c r="A1975" s="152"/>
      <c r="B1975" s="160"/>
      <c r="C1975" s="153"/>
      <c r="D1975" s="169"/>
      <c r="E1975" s="139"/>
      <c r="F1975" s="141"/>
      <c r="G1975" s="170" t="str">
        <f>IFERROR(__xludf.DUMMYFUNCTION("if($C1975="""","""",iferror(if(row()&lt;&gt;2,INDEX(arrayformula(filter($H$2:$H1974,$C$2:$C1974&lt;&gt;"""",row($C$2:$C1974)=max(if($C$2:$C1974=C1975,row($C$2:$C1974),0)))) ,1),0),0))"),"")</f>
        <v/>
      </c>
      <c r="H1975" s="170" t="str">
        <f t="shared" si="8"/>
        <v/>
      </c>
      <c r="I1975" s="147" t="str">
        <f t="shared" si="1"/>
        <v/>
      </c>
      <c r="J1975" s="147" t="str">
        <f t="shared" si="13"/>
        <v/>
      </c>
      <c r="K1975" s="147" t="str">
        <f>IFERROR(__xludf.DUMMYFUNCTION("if(C1975="""","""",iferror(if(row()&lt;&gt;2,INDEX(arrayformula(filter($L$2:$L1974,$C$2:$C1974&lt;&gt;"""",row($C$2:$C1974)=max(if($C$2:$C1974=C1975,row($C$2:$C1974),0)))) ,1),0),0))"),"")</f>
        <v/>
      </c>
      <c r="L1975" s="147" t="str">
        <f t="shared" si="14"/>
        <v/>
      </c>
      <c r="M1975" s="147" t="str">
        <f t="shared" si="15"/>
        <v/>
      </c>
      <c r="N1975" s="147" t="str">
        <f t="shared" si="16"/>
        <v/>
      </c>
      <c r="O1975" s="147" t="str">
        <f t="shared" si="6"/>
        <v/>
      </c>
      <c r="P1975" s="150" t="str">
        <f t="shared" si="7"/>
        <v/>
      </c>
      <c r="Q1975" s="151" t="str">
        <f>IFERROR(VLOOKUP(C1975,Ativos!$A$1:$G2000,5,),)</f>
        <v/>
      </c>
    </row>
    <row r="1976" ht="21.0" customHeight="1">
      <c r="A1976" s="152"/>
      <c r="B1976" s="160"/>
      <c r="C1976" s="153"/>
      <c r="D1976" s="169"/>
      <c r="E1976" s="139"/>
      <c r="F1976" s="141"/>
      <c r="G1976" s="170" t="str">
        <f>IFERROR(__xludf.DUMMYFUNCTION("if($C1976="""","""",iferror(if(row()&lt;&gt;2,INDEX(arrayformula(filter($H$2:$H1975,$C$2:$C1975&lt;&gt;"""",row($C$2:$C1975)=max(if($C$2:$C1975=C1976,row($C$2:$C1975),0)))) ,1),0),0))"),"")</f>
        <v/>
      </c>
      <c r="H1976" s="170" t="str">
        <f t="shared" si="8"/>
        <v/>
      </c>
      <c r="I1976" s="147" t="str">
        <f t="shared" si="1"/>
        <v/>
      </c>
      <c r="J1976" s="147" t="str">
        <f t="shared" si="13"/>
        <v/>
      </c>
      <c r="K1976" s="147" t="str">
        <f>IFERROR(__xludf.DUMMYFUNCTION("if(C1976="""","""",iferror(if(row()&lt;&gt;2,INDEX(arrayformula(filter($L$2:$L1975,$C$2:$C1975&lt;&gt;"""",row($C$2:$C1975)=max(if($C$2:$C1975=C1976,row($C$2:$C1975),0)))) ,1),0),0))"),"")</f>
        <v/>
      </c>
      <c r="L1976" s="147" t="str">
        <f t="shared" si="14"/>
        <v/>
      </c>
      <c r="M1976" s="147" t="str">
        <f t="shared" si="15"/>
        <v/>
      </c>
      <c r="N1976" s="147" t="str">
        <f t="shared" si="16"/>
        <v/>
      </c>
      <c r="O1976" s="147" t="str">
        <f t="shared" si="6"/>
        <v/>
      </c>
      <c r="P1976" s="150" t="str">
        <f t="shared" si="7"/>
        <v/>
      </c>
      <c r="Q1976" s="151" t="str">
        <f>IFERROR(VLOOKUP(C1976,Ativos!$A$1:$G2000,5,),)</f>
        <v/>
      </c>
    </row>
    <row r="1977" ht="21.0" customHeight="1">
      <c r="A1977" s="152"/>
      <c r="B1977" s="160"/>
      <c r="C1977" s="153"/>
      <c r="D1977" s="169"/>
      <c r="E1977" s="139"/>
      <c r="F1977" s="141"/>
      <c r="G1977" s="170" t="str">
        <f>IFERROR(__xludf.DUMMYFUNCTION("if($C1977="""","""",iferror(if(row()&lt;&gt;2,INDEX(arrayformula(filter($H$2:$H1976,$C$2:$C1976&lt;&gt;"""",row($C$2:$C1976)=max(if($C$2:$C1976=C1977,row($C$2:$C1976),0)))) ,1),0),0))"),"")</f>
        <v/>
      </c>
      <c r="H1977" s="170" t="str">
        <f t="shared" si="8"/>
        <v/>
      </c>
      <c r="I1977" s="147" t="str">
        <f t="shared" si="1"/>
        <v/>
      </c>
      <c r="J1977" s="147" t="str">
        <f t="shared" si="13"/>
        <v/>
      </c>
      <c r="K1977" s="147" t="str">
        <f>IFERROR(__xludf.DUMMYFUNCTION("if(C1977="""","""",iferror(if(row()&lt;&gt;2,INDEX(arrayformula(filter($L$2:$L1976,$C$2:$C1976&lt;&gt;"""",row($C$2:$C1976)=max(if($C$2:$C1976=C1977,row($C$2:$C1976),0)))) ,1),0),0))"),"")</f>
        <v/>
      </c>
      <c r="L1977" s="147" t="str">
        <f t="shared" si="14"/>
        <v/>
      </c>
      <c r="M1977" s="147" t="str">
        <f t="shared" si="15"/>
        <v/>
      </c>
      <c r="N1977" s="147" t="str">
        <f t="shared" si="16"/>
        <v/>
      </c>
      <c r="O1977" s="147" t="str">
        <f t="shared" si="6"/>
        <v/>
      </c>
      <c r="P1977" s="150" t="str">
        <f t="shared" si="7"/>
        <v/>
      </c>
      <c r="Q1977" s="151" t="str">
        <f>IFERROR(VLOOKUP(C1977,Ativos!$A$1:$G2000,5,),)</f>
        <v/>
      </c>
    </row>
    <row r="1978" ht="21.0" customHeight="1">
      <c r="A1978" s="152"/>
      <c r="B1978" s="160"/>
      <c r="C1978" s="153"/>
      <c r="D1978" s="169"/>
      <c r="E1978" s="139"/>
      <c r="F1978" s="141"/>
      <c r="G1978" s="170" t="str">
        <f>IFERROR(__xludf.DUMMYFUNCTION("if($C1978="""","""",iferror(if(row()&lt;&gt;2,INDEX(arrayformula(filter($H$2:$H1977,$C$2:$C1977&lt;&gt;"""",row($C$2:$C1977)=max(if($C$2:$C1977=C1978,row($C$2:$C1977),0)))) ,1),0),0))"),"")</f>
        <v/>
      </c>
      <c r="H1978" s="170" t="str">
        <f t="shared" si="8"/>
        <v/>
      </c>
      <c r="I1978" s="147" t="str">
        <f t="shared" si="1"/>
        <v/>
      </c>
      <c r="J1978" s="147" t="str">
        <f t="shared" si="13"/>
        <v/>
      </c>
      <c r="K1978" s="147" t="str">
        <f>IFERROR(__xludf.DUMMYFUNCTION("if(C1978="""","""",iferror(if(row()&lt;&gt;2,INDEX(arrayformula(filter($L$2:$L1977,$C$2:$C1977&lt;&gt;"""",row($C$2:$C1977)=max(if($C$2:$C1977=C1978,row($C$2:$C1977),0)))) ,1),0),0))"),"")</f>
        <v/>
      </c>
      <c r="L1978" s="147" t="str">
        <f t="shared" si="14"/>
        <v/>
      </c>
      <c r="M1978" s="147" t="str">
        <f t="shared" si="15"/>
        <v/>
      </c>
      <c r="N1978" s="147" t="str">
        <f t="shared" si="16"/>
        <v/>
      </c>
      <c r="O1978" s="147" t="str">
        <f t="shared" si="6"/>
        <v/>
      </c>
      <c r="P1978" s="150" t="str">
        <f t="shared" si="7"/>
        <v/>
      </c>
      <c r="Q1978" s="151" t="str">
        <f>IFERROR(VLOOKUP(C1978,Ativos!$A$1:$G2000,5,),)</f>
        <v/>
      </c>
    </row>
    <row r="1979" ht="21.0" customHeight="1">
      <c r="A1979" s="152"/>
      <c r="B1979" s="160"/>
      <c r="C1979" s="153"/>
      <c r="D1979" s="169"/>
      <c r="E1979" s="139"/>
      <c r="F1979" s="141"/>
      <c r="G1979" s="170" t="str">
        <f>IFERROR(__xludf.DUMMYFUNCTION("if($C1979="""","""",iferror(if(row()&lt;&gt;2,INDEX(arrayformula(filter($H$2:$H1978,$C$2:$C1978&lt;&gt;"""",row($C$2:$C1978)=max(if($C$2:$C1978=C1979,row($C$2:$C1978),0)))) ,1),0),0))"),"")</f>
        <v/>
      </c>
      <c r="H1979" s="170" t="str">
        <f t="shared" si="8"/>
        <v/>
      </c>
      <c r="I1979" s="147" t="str">
        <f t="shared" si="1"/>
        <v/>
      </c>
      <c r="J1979" s="147" t="str">
        <f t="shared" si="13"/>
        <v/>
      </c>
      <c r="K1979" s="147" t="str">
        <f>IFERROR(__xludf.DUMMYFUNCTION("if(C1979="""","""",iferror(if(row()&lt;&gt;2,INDEX(arrayformula(filter($L$2:$L1978,$C$2:$C1978&lt;&gt;"""",row($C$2:$C1978)=max(if($C$2:$C1978=C1979,row($C$2:$C1978),0)))) ,1),0),0))"),"")</f>
        <v/>
      </c>
      <c r="L1979" s="147" t="str">
        <f t="shared" si="14"/>
        <v/>
      </c>
      <c r="M1979" s="147" t="str">
        <f t="shared" si="15"/>
        <v/>
      </c>
      <c r="N1979" s="147" t="str">
        <f t="shared" si="16"/>
        <v/>
      </c>
      <c r="O1979" s="147" t="str">
        <f t="shared" si="6"/>
        <v/>
      </c>
      <c r="P1979" s="150" t="str">
        <f t="shared" si="7"/>
        <v/>
      </c>
      <c r="Q1979" s="151" t="str">
        <f>IFERROR(VLOOKUP(C1979,Ativos!$A$1:$G2000,5,),)</f>
        <v/>
      </c>
    </row>
    <row r="1980" ht="21.0" customHeight="1">
      <c r="A1980" s="152"/>
      <c r="B1980" s="160"/>
      <c r="C1980" s="153"/>
      <c r="D1980" s="169"/>
      <c r="E1980" s="139"/>
      <c r="F1980" s="141"/>
      <c r="G1980" s="170" t="str">
        <f>IFERROR(__xludf.DUMMYFUNCTION("if($C1980="""","""",iferror(if(row()&lt;&gt;2,INDEX(arrayformula(filter($H$2:$H1979,$C$2:$C1979&lt;&gt;"""",row($C$2:$C1979)=max(if($C$2:$C1979=C1980,row($C$2:$C1979),0)))) ,1),0),0))"),"")</f>
        <v/>
      </c>
      <c r="H1980" s="170" t="str">
        <f t="shared" si="8"/>
        <v/>
      </c>
      <c r="I1980" s="147" t="str">
        <f t="shared" si="1"/>
        <v/>
      </c>
      <c r="J1980" s="147" t="str">
        <f t="shared" si="13"/>
        <v/>
      </c>
      <c r="K1980" s="147" t="str">
        <f>IFERROR(__xludf.DUMMYFUNCTION("if(C1980="""","""",iferror(if(row()&lt;&gt;2,INDEX(arrayformula(filter($L$2:$L1979,$C$2:$C1979&lt;&gt;"""",row($C$2:$C1979)=max(if($C$2:$C1979=C1980,row($C$2:$C1979),0)))) ,1),0),0))"),"")</f>
        <v/>
      </c>
      <c r="L1980" s="147" t="str">
        <f t="shared" si="14"/>
        <v/>
      </c>
      <c r="M1980" s="147" t="str">
        <f t="shared" si="15"/>
        <v/>
      </c>
      <c r="N1980" s="147" t="str">
        <f t="shared" si="16"/>
        <v/>
      </c>
      <c r="O1980" s="147" t="str">
        <f t="shared" si="6"/>
        <v/>
      </c>
      <c r="P1980" s="150" t="str">
        <f t="shared" si="7"/>
        <v/>
      </c>
      <c r="Q1980" s="151" t="str">
        <f>IFERROR(VLOOKUP(C1980,Ativos!$A$1:$G2000,5,),)</f>
        <v/>
      </c>
    </row>
    <row r="1981" ht="21.0" customHeight="1">
      <c r="A1981" s="152"/>
      <c r="B1981" s="160"/>
      <c r="C1981" s="153"/>
      <c r="D1981" s="169"/>
      <c r="E1981" s="139"/>
      <c r="F1981" s="141"/>
      <c r="G1981" s="170" t="str">
        <f>IFERROR(__xludf.DUMMYFUNCTION("if($C1981="""","""",iferror(if(row()&lt;&gt;2,INDEX(arrayformula(filter($H$2:$H1980,$C$2:$C1980&lt;&gt;"""",row($C$2:$C1980)=max(if($C$2:$C1980=C1981,row($C$2:$C1980),0)))) ,1),0),0))"),"")</f>
        <v/>
      </c>
      <c r="H1981" s="170" t="str">
        <f t="shared" si="8"/>
        <v/>
      </c>
      <c r="I1981" s="147" t="str">
        <f t="shared" si="1"/>
        <v/>
      </c>
      <c r="J1981" s="147" t="str">
        <f t="shared" si="13"/>
        <v/>
      </c>
      <c r="K1981" s="147" t="str">
        <f>IFERROR(__xludf.DUMMYFUNCTION("if(C1981="""","""",iferror(if(row()&lt;&gt;2,INDEX(arrayformula(filter($L$2:$L1980,$C$2:$C1980&lt;&gt;"""",row($C$2:$C1980)=max(if($C$2:$C1980=C1981,row($C$2:$C1980),0)))) ,1),0),0))"),"")</f>
        <v/>
      </c>
      <c r="L1981" s="147" t="str">
        <f t="shared" si="14"/>
        <v/>
      </c>
      <c r="M1981" s="147" t="str">
        <f t="shared" si="15"/>
        <v/>
      </c>
      <c r="N1981" s="147" t="str">
        <f t="shared" si="16"/>
        <v/>
      </c>
      <c r="O1981" s="147" t="str">
        <f t="shared" si="6"/>
        <v/>
      </c>
      <c r="P1981" s="150" t="str">
        <f t="shared" si="7"/>
        <v/>
      </c>
      <c r="Q1981" s="151" t="str">
        <f>IFERROR(VLOOKUP(C1981,Ativos!$A$1:$G2000,5,),)</f>
        <v/>
      </c>
    </row>
    <row r="1982" ht="21.0" customHeight="1">
      <c r="A1982" s="152"/>
      <c r="B1982" s="160"/>
      <c r="C1982" s="153"/>
      <c r="D1982" s="169"/>
      <c r="E1982" s="139"/>
      <c r="F1982" s="141"/>
      <c r="G1982" s="170" t="str">
        <f>IFERROR(__xludf.DUMMYFUNCTION("if($C1982="""","""",iferror(if(row()&lt;&gt;2,INDEX(arrayformula(filter($H$2:$H1981,$C$2:$C1981&lt;&gt;"""",row($C$2:$C1981)=max(if($C$2:$C1981=C1982,row($C$2:$C1981),0)))) ,1),0),0))"),"")</f>
        <v/>
      </c>
      <c r="H1982" s="170" t="str">
        <f t="shared" si="8"/>
        <v/>
      </c>
      <c r="I1982" s="147" t="str">
        <f t="shared" si="1"/>
        <v/>
      </c>
      <c r="J1982" s="147" t="str">
        <f t="shared" si="13"/>
        <v/>
      </c>
      <c r="K1982" s="147" t="str">
        <f>IFERROR(__xludf.DUMMYFUNCTION("if(C1982="""","""",iferror(if(row()&lt;&gt;2,INDEX(arrayformula(filter($L$2:$L1981,$C$2:$C1981&lt;&gt;"""",row($C$2:$C1981)=max(if($C$2:$C1981=C1982,row($C$2:$C1981),0)))) ,1),0),0))"),"")</f>
        <v/>
      </c>
      <c r="L1982" s="147" t="str">
        <f t="shared" si="14"/>
        <v/>
      </c>
      <c r="M1982" s="147" t="str">
        <f t="shared" si="15"/>
        <v/>
      </c>
      <c r="N1982" s="147" t="str">
        <f t="shared" si="16"/>
        <v/>
      </c>
      <c r="O1982" s="147" t="str">
        <f t="shared" si="6"/>
        <v/>
      </c>
      <c r="P1982" s="150" t="str">
        <f t="shared" si="7"/>
        <v/>
      </c>
      <c r="Q1982" s="151" t="str">
        <f>IFERROR(VLOOKUP(C1982,Ativos!$A$1:$G2000,5,),)</f>
        <v/>
      </c>
    </row>
    <row r="1983" ht="21.0" customHeight="1">
      <c r="A1983" s="152"/>
      <c r="B1983" s="160"/>
      <c r="C1983" s="153"/>
      <c r="D1983" s="169"/>
      <c r="E1983" s="139"/>
      <c r="F1983" s="141"/>
      <c r="G1983" s="170" t="str">
        <f>IFERROR(__xludf.DUMMYFUNCTION("if($C1983="""","""",iferror(if(row()&lt;&gt;2,INDEX(arrayformula(filter($H$2:$H1982,$C$2:$C1982&lt;&gt;"""",row($C$2:$C1982)=max(if($C$2:$C1982=C1983,row($C$2:$C1982),0)))) ,1),0),0))"),"")</f>
        <v/>
      </c>
      <c r="H1983" s="170" t="str">
        <f t="shared" si="8"/>
        <v/>
      </c>
      <c r="I1983" s="147" t="str">
        <f t="shared" si="1"/>
        <v/>
      </c>
      <c r="J1983" s="147" t="str">
        <f t="shared" si="13"/>
        <v/>
      </c>
      <c r="K1983" s="147" t="str">
        <f>IFERROR(__xludf.DUMMYFUNCTION("if(C1983="""","""",iferror(if(row()&lt;&gt;2,INDEX(arrayformula(filter($L$2:$L1982,$C$2:$C1982&lt;&gt;"""",row($C$2:$C1982)=max(if($C$2:$C1982=C1983,row($C$2:$C1982),0)))) ,1),0),0))"),"")</f>
        <v/>
      </c>
      <c r="L1983" s="147" t="str">
        <f t="shared" si="14"/>
        <v/>
      </c>
      <c r="M1983" s="147" t="str">
        <f t="shared" si="15"/>
        <v/>
      </c>
      <c r="N1983" s="147" t="str">
        <f t="shared" si="16"/>
        <v/>
      </c>
      <c r="O1983" s="147" t="str">
        <f t="shared" si="6"/>
        <v/>
      </c>
      <c r="P1983" s="150" t="str">
        <f t="shared" si="7"/>
        <v/>
      </c>
      <c r="Q1983" s="151" t="str">
        <f>IFERROR(VLOOKUP(C1983,Ativos!$A$1:$G2000,5,),)</f>
        <v/>
      </c>
    </row>
    <row r="1984" ht="21.0" customHeight="1">
      <c r="A1984" s="152"/>
      <c r="B1984" s="160"/>
      <c r="C1984" s="153"/>
      <c r="D1984" s="169"/>
      <c r="E1984" s="139"/>
      <c r="F1984" s="141"/>
      <c r="G1984" s="170" t="str">
        <f>IFERROR(__xludf.DUMMYFUNCTION("if($C1984="""","""",iferror(if(row()&lt;&gt;2,INDEX(arrayformula(filter($H$2:$H1983,$C$2:$C1983&lt;&gt;"""",row($C$2:$C1983)=max(if($C$2:$C1983=C1984,row($C$2:$C1983),0)))) ,1),0),0))"),"")</f>
        <v/>
      </c>
      <c r="H1984" s="170" t="str">
        <f t="shared" si="8"/>
        <v/>
      </c>
      <c r="I1984" s="147" t="str">
        <f t="shared" si="1"/>
        <v/>
      </c>
      <c r="J1984" s="147" t="str">
        <f t="shared" si="13"/>
        <v/>
      </c>
      <c r="K1984" s="147" t="str">
        <f>IFERROR(__xludf.DUMMYFUNCTION("if(C1984="""","""",iferror(if(row()&lt;&gt;2,INDEX(arrayformula(filter($L$2:$L1983,$C$2:$C1983&lt;&gt;"""",row($C$2:$C1983)=max(if($C$2:$C1983=C1984,row($C$2:$C1983),0)))) ,1),0),0))"),"")</f>
        <v/>
      </c>
      <c r="L1984" s="147" t="str">
        <f t="shared" si="14"/>
        <v/>
      </c>
      <c r="M1984" s="147" t="str">
        <f t="shared" si="15"/>
        <v/>
      </c>
      <c r="N1984" s="147" t="str">
        <f t="shared" si="16"/>
        <v/>
      </c>
      <c r="O1984" s="147" t="str">
        <f t="shared" si="6"/>
        <v/>
      </c>
      <c r="P1984" s="150" t="str">
        <f t="shared" si="7"/>
        <v/>
      </c>
      <c r="Q1984" s="151" t="str">
        <f>IFERROR(VLOOKUP(C1984,Ativos!$A$1:$G2000,5,),)</f>
        <v/>
      </c>
    </row>
    <row r="1985" ht="21.0" customHeight="1">
      <c r="A1985" s="152"/>
      <c r="B1985" s="160"/>
      <c r="C1985" s="153"/>
      <c r="D1985" s="169"/>
      <c r="E1985" s="139"/>
      <c r="F1985" s="141"/>
      <c r="G1985" s="170" t="str">
        <f>IFERROR(__xludf.DUMMYFUNCTION("if($C1985="""","""",iferror(if(row()&lt;&gt;2,INDEX(arrayformula(filter($H$2:$H1984,$C$2:$C1984&lt;&gt;"""",row($C$2:$C1984)=max(if($C$2:$C1984=C1985,row($C$2:$C1984),0)))) ,1),0),0))"),"")</f>
        <v/>
      </c>
      <c r="H1985" s="170" t="str">
        <f t="shared" si="8"/>
        <v/>
      </c>
      <c r="I1985" s="147" t="str">
        <f t="shared" si="1"/>
        <v/>
      </c>
      <c r="J1985" s="147" t="str">
        <f t="shared" si="13"/>
        <v/>
      </c>
      <c r="K1985" s="147" t="str">
        <f>IFERROR(__xludf.DUMMYFUNCTION("if(C1985="""","""",iferror(if(row()&lt;&gt;2,INDEX(arrayformula(filter($L$2:$L1984,$C$2:$C1984&lt;&gt;"""",row($C$2:$C1984)=max(if($C$2:$C1984=C1985,row($C$2:$C1984),0)))) ,1),0),0))"),"")</f>
        <v/>
      </c>
      <c r="L1985" s="147" t="str">
        <f t="shared" si="14"/>
        <v/>
      </c>
      <c r="M1985" s="147" t="str">
        <f t="shared" si="15"/>
        <v/>
      </c>
      <c r="N1985" s="147" t="str">
        <f t="shared" si="16"/>
        <v/>
      </c>
      <c r="O1985" s="147" t="str">
        <f t="shared" si="6"/>
        <v/>
      </c>
      <c r="P1985" s="150" t="str">
        <f t="shared" si="7"/>
        <v/>
      </c>
      <c r="Q1985" s="151" t="str">
        <f>IFERROR(VLOOKUP(C1985,Ativos!$A$1:$G2000,5,),)</f>
        <v/>
      </c>
    </row>
    <row r="1986" ht="21.0" customHeight="1">
      <c r="A1986" s="152"/>
      <c r="B1986" s="160"/>
      <c r="C1986" s="153"/>
      <c r="D1986" s="169"/>
      <c r="E1986" s="139"/>
      <c r="F1986" s="141"/>
      <c r="G1986" s="170" t="str">
        <f>IFERROR(__xludf.DUMMYFUNCTION("if($C1986="""","""",iferror(if(row()&lt;&gt;2,INDEX(arrayformula(filter($H$2:$H1985,$C$2:$C1985&lt;&gt;"""",row($C$2:$C1985)=max(if($C$2:$C1985=C1986,row($C$2:$C1985),0)))) ,1),0),0))"),"")</f>
        <v/>
      </c>
      <c r="H1986" s="170" t="str">
        <f t="shared" si="8"/>
        <v/>
      </c>
      <c r="I1986" s="147" t="str">
        <f t="shared" si="1"/>
        <v/>
      </c>
      <c r="J1986" s="147" t="str">
        <f t="shared" si="13"/>
        <v/>
      </c>
      <c r="K1986" s="147" t="str">
        <f>IFERROR(__xludf.DUMMYFUNCTION("if(C1986="""","""",iferror(if(row()&lt;&gt;2,INDEX(arrayformula(filter($L$2:$L1985,$C$2:$C1985&lt;&gt;"""",row($C$2:$C1985)=max(if($C$2:$C1985=C1986,row($C$2:$C1985),0)))) ,1),0),0))"),"")</f>
        <v/>
      </c>
      <c r="L1986" s="147" t="str">
        <f t="shared" si="14"/>
        <v/>
      </c>
      <c r="M1986" s="147" t="str">
        <f t="shared" si="15"/>
        <v/>
      </c>
      <c r="N1986" s="147" t="str">
        <f t="shared" si="16"/>
        <v/>
      </c>
      <c r="O1986" s="147" t="str">
        <f t="shared" si="6"/>
        <v/>
      </c>
      <c r="P1986" s="150" t="str">
        <f t="shared" si="7"/>
        <v/>
      </c>
      <c r="Q1986" s="151" t="str">
        <f>IFERROR(VLOOKUP(C1986,Ativos!$A$1:$G2000,5,),)</f>
        <v/>
      </c>
    </row>
    <row r="1987" ht="21.0" customHeight="1">
      <c r="A1987" s="152"/>
      <c r="B1987" s="160"/>
      <c r="C1987" s="153"/>
      <c r="D1987" s="169"/>
      <c r="E1987" s="139"/>
      <c r="F1987" s="141"/>
      <c r="G1987" s="170" t="str">
        <f>IFERROR(__xludf.DUMMYFUNCTION("if($C1987="""","""",iferror(if(row()&lt;&gt;2,INDEX(arrayformula(filter($H$2:$H1986,$C$2:$C1986&lt;&gt;"""",row($C$2:$C1986)=max(if($C$2:$C1986=C1987,row($C$2:$C1986),0)))) ,1),0),0))"),"")</f>
        <v/>
      </c>
      <c r="H1987" s="170" t="str">
        <f t="shared" si="8"/>
        <v/>
      </c>
      <c r="I1987" s="147" t="str">
        <f t="shared" si="1"/>
        <v/>
      </c>
      <c r="J1987" s="147" t="str">
        <f t="shared" si="13"/>
        <v/>
      </c>
      <c r="K1987" s="147" t="str">
        <f>IFERROR(__xludf.DUMMYFUNCTION("if(C1987="""","""",iferror(if(row()&lt;&gt;2,INDEX(arrayformula(filter($L$2:$L1986,$C$2:$C1986&lt;&gt;"""",row($C$2:$C1986)=max(if($C$2:$C1986=C1987,row($C$2:$C1986),0)))) ,1),0),0))"),"")</f>
        <v/>
      </c>
      <c r="L1987" s="147" t="str">
        <f t="shared" si="14"/>
        <v/>
      </c>
      <c r="M1987" s="147" t="str">
        <f t="shared" si="15"/>
        <v/>
      </c>
      <c r="N1987" s="147" t="str">
        <f t="shared" si="16"/>
        <v/>
      </c>
      <c r="O1987" s="147" t="str">
        <f t="shared" si="6"/>
        <v/>
      </c>
      <c r="P1987" s="150" t="str">
        <f t="shared" si="7"/>
        <v/>
      </c>
      <c r="Q1987" s="151" t="str">
        <f>IFERROR(VLOOKUP(C1987,Ativos!$A$1:$G2000,5,),)</f>
        <v/>
      </c>
    </row>
    <row r="1988" ht="21.0" customHeight="1">
      <c r="A1988" s="152"/>
      <c r="B1988" s="160"/>
      <c r="C1988" s="153"/>
      <c r="D1988" s="169"/>
      <c r="E1988" s="139"/>
      <c r="F1988" s="141"/>
      <c r="G1988" s="170" t="str">
        <f>IFERROR(__xludf.DUMMYFUNCTION("if($C1988="""","""",iferror(if(row()&lt;&gt;2,INDEX(arrayformula(filter($H$2:$H1987,$C$2:$C1987&lt;&gt;"""",row($C$2:$C1987)=max(if($C$2:$C1987=C1988,row($C$2:$C1987),0)))) ,1),0),0))"),"")</f>
        <v/>
      </c>
      <c r="H1988" s="170" t="str">
        <f t="shared" si="8"/>
        <v/>
      </c>
      <c r="I1988" s="147" t="str">
        <f t="shared" si="1"/>
        <v/>
      </c>
      <c r="J1988" s="147" t="str">
        <f t="shared" si="13"/>
        <v/>
      </c>
      <c r="K1988" s="147" t="str">
        <f>IFERROR(__xludf.DUMMYFUNCTION("if(C1988="""","""",iferror(if(row()&lt;&gt;2,INDEX(arrayformula(filter($L$2:$L1987,$C$2:$C1987&lt;&gt;"""",row($C$2:$C1987)=max(if($C$2:$C1987=C1988,row($C$2:$C1987),0)))) ,1),0),0))"),"")</f>
        <v/>
      </c>
      <c r="L1988" s="147" t="str">
        <f t="shared" si="14"/>
        <v/>
      </c>
      <c r="M1988" s="147" t="str">
        <f t="shared" si="15"/>
        <v/>
      </c>
      <c r="N1988" s="147" t="str">
        <f t="shared" si="16"/>
        <v/>
      </c>
      <c r="O1988" s="147" t="str">
        <f t="shared" si="6"/>
        <v/>
      </c>
      <c r="P1988" s="150" t="str">
        <f t="shared" si="7"/>
        <v/>
      </c>
      <c r="Q1988" s="151" t="str">
        <f>IFERROR(VLOOKUP(C1988,Ativos!$A$1:$G2000,5,),)</f>
        <v/>
      </c>
    </row>
    <row r="1989" ht="21.0" customHeight="1">
      <c r="A1989" s="152"/>
      <c r="B1989" s="160"/>
      <c r="C1989" s="153"/>
      <c r="D1989" s="169"/>
      <c r="E1989" s="139"/>
      <c r="F1989" s="141"/>
      <c r="G1989" s="170" t="str">
        <f>IFERROR(__xludf.DUMMYFUNCTION("if($C1989="""","""",iferror(if(row()&lt;&gt;2,INDEX(arrayformula(filter($H$2:$H1988,$C$2:$C1988&lt;&gt;"""",row($C$2:$C1988)=max(if($C$2:$C1988=C1989,row($C$2:$C1988),0)))) ,1),0),0))"),"")</f>
        <v/>
      </c>
      <c r="H1989" s="170" t="str">
        <f t="shared" si="8"/>
        <v/>
      </c>
      <c r="I1989" s="147" t="str">
        <f t="shared" si="1"/>
        <v/>
      </c>
      <c r="J1989" s="147" t="str">
        <f t="shared" si="13"/>
        <v/>
      </c>
      <c r="K1989" s="147" t="str">
        <f>IFERROR(__xludf.DUMMYFUNCTION("if(C1989="""","""",iferror(if(row()&lt;&gt;2,INDEX(arrayformula(filter($L$2:$L1988,$C$2:$C1988&lt;&gt;"""",row($C$2:$C1988)=max(if($C$2:$C1988=C1989,row($C$2:$C1988),0)))) ,1),0),0))"),"")</f>
        <v/>
      </c>
      <c r="L1989" s="147" t="str">
        <f t="shared" si="14"/>
        <v/>
      </c>
      <c r="M1989" s="147" t="str">
        <f t="shared" si="15"/>
        <v/>
      </c>
      <c r="N1989" s="147" t="str">
        <f t="shared" si="16"/>
        <v/>
      </c>
      <c r="O1989" s="147" t="str">
        <f t="shared" si="6"/>
        <v/>
      </c>
      <c r="P1989" s="150" t="str">
        <f t="shared" si="7"/>
        <v/>
      </c>
      <c r="Q1989" s="151" t="str">
        <f>IFERROR(VLOOKUP(C1989,Ativos!$A$1:$G2000,5,),)</f>
        <v/>
      </c>
    </row>
    <row r="1990" ht="21.0" customHeight="1">
      <c r="A1990" s="152"/>
      <c r="B1990" s="160"/>
      <c r="C1990" s="153"/>
      <c r="D1990" s="169"/>
      <c r="E1990" s="139"/>
      <c r="F1990" s="141"/>
      <c r="G1990" s="170" t="str">
        <f>IFERROR(__xludf.DUMMYFUNCTION("if($C1990="""","""",iferror(if(row()&lt;&gt;2,INDEX(arrayformula(filter($H$2:$H1989,$C$2:$C1989&lt;&gt;"""",row($C$2:$C1989)=max(if($C$2:$C1989=C1990,row($C$2:$C1989),0)))) ,1),0),0))"),"")</f>
        <v/>
      </c>
      <c r="H1990" s="170" t="str">
        <f t="shared" si="8"/>
        <v/>
      </c>
      <c r="I1990" s="147" t="str">
        <f t="shared" si="1"/>
        <v/>
      </c>
      <c r="J1990" s="147" t="str">
        <f t="shared" si="13"/>
        <v/>
      </c>
      <c r="K1990" s="147" t="str">
        <f>IFERROR(__xludf.DUMMYFUNCTION("if(C1990="""","""",iferror(if(row()&lt;&gt;2,INDEX(arrayformula(filter($L$2:$L1989,$C$2:$C1989&lt;&gt;"""",row($C$2:$C1989)=max(if($C$2:$C1989=C1990,row($C$2:$C1989),0)))) ,1),0),0))"),"")</f>
        <v/>
      </c>
      <c r="L1990" s="147" t="str">
        <f t="shared" si="14"/>
        <v/>
      </c>
      <c r="M1990" s="147" t="str">
        <f t="shared" si="15"/>
        <v/>
      </c>
      <c r="N1990" s="147" t="str">
        <f t="shared" si="16"/>
        <v/>
      </c>
      <c r="O1990" s="147" t="str">
        <f t="shared" si="6"/>
        <v/>
      </c>
      <c r="P1990" s="150" t="str">
        <f t="shared" si="7"/>
        <v/>
      </c>
      <c r="Q1990" s="151" t="str">
        <f>IFERROR(VLOOKUP(C1990,Ativos!$A$1:$G2000,5,),)</f>
        <v/>
      </c>
    </row>
    <row r="1991" ht="21.0" customHeight="1">
      <c r="A1991" s="152"/>
      <c r="B1991" s="160"/>
      <c r="C1991" s="153"/>
      <c r="D1991" s="169"/>
      <c r="E1991" s="139"/>
      <c r="F1991" s="141"/>
      <c r="G1991" s="170" t="str">
        <f>IFERROR(__xludf.DUMMYFUNCTION("if($C1991="""","""",iferror(if(row()&lt;&gt;2,INDEX(arrayformula(filter($H$2:$H1990,$C$2:$C1990&lt;&gt;"""",row($C$2:$C1990)=max(if($C$2:$C1990=C1991,row($C$2:$C1990),0)))) ,1),0),0))"),"")</f>
        <v/>
      </c>
      <c r="H1991" s="170" t="str">
        <f t="shared" si="8"/>
        <v/>
      </c>
      <c r="I1991" s="147" t="str">
        <f t="shared" si="1"/>
        <v/>
      </c>
      <c r="J1991" s="147" t="str">
        <f t="shared" si="13"/>
        <v/>
      </c>
      <c r="K1991" s="147" t="str">
        <f>IFERROR(__xludf.DUMMYFUNCTION("if(C1991="""","""",iferror(if(row()&lt;&gt;2,INDEX(arrayformula(filter($L$2:$L1990,$C$2:$C1990&lt;&gt;"""",row($C$2:$C1990)=max(if($C$2:$C1990=C1991,row($C$2:$C1990),0)))) ,1),0),0))"),"")</f>
        <v/>
      </c>
      <c r="L1991" s="147" t="str">
        <f t="shared" si="14"/>
        <v/>
      </c>
      <c r="M1991" s="147" t="str">
        <f t="shared" si="15"/>
        <v/>
      </c>
      <c r="N1991" s="147" t="str">
        <f t="shared" si="16"/>
        <v/>
      </c>
      <c r="O1991" s="147" t="str">
        <f t="shared" si="6"/>
        <v/>
      </c>
      <c r="P1991" s="150" t="str">
        <f t="shared" si="7"/>
        <v/>
      </c>
      <c r="Q1991" s="151" t="str">
        <f>IFERROR(VLOOKUP(C1991,Ativos!$A$1:$G2000,5,),)</f>
        <v/>
      </c>
    </row>
    <row r="1992" ht="21.0" customHeight="1">
      <c r="A1992" s="152"/>
      <c r="B1992" s="160"/>
      <c r="C1992" s="153"/>
      <c r="D1992" s="169"/>
      <c r="E1992" s="139"/>
      <c r="F1992" s="141"/>
      <c r="G1992" s="170" t="str">
        <f>IFERROR(__xludf.DUMMYFUNCTION("if($C1992="""","""",iferror(if(row()&lt;&gt;2,INDEX(arrayformula(filter($H$2:$H1991,$C$2:$C1991&lt;&gt;"""",row($C$2:$C1991)=max(if($C$2:$C1991=C1992,row($C$2:$C1991),0)))) ,1),0),0))"),"")</f>
        <v/>
      </c>
      <c r="H1992" s="170" t="str">
        <f t="shared" si="8"/>
        <v/>
      </c>
      <c r="I1992" s="147" t="str">
        <f t="shared" si="1"/>
        <v/>
      </c>
      <c r="J1992" s="147" t="str">
        <f t="shared" si="13"/>
        <v/>
      </c>
      <c r="K1992" s="147" t="str">
        <f>IFERROR(__xludf.DUMMYFUNCTION("if(C1992="""","""",iferror(if(row()&lt;&gt;2,INDEX(arrayformula(filter($L$2:$L1991,$C$2:$C1991&lt;&gt;"""",row($C$2:$C1991)=max(if($C$2:$C1991=C1992,row($C$2:$C1991),0)))) ,1),0),0))"),"")</f>
        <v/>
      </c>
      <c r="L1992" s="147" t="str">
        <f t="shared" si="14"/>
        <v/>
      </c>
      <c r="M1992" s="147" t="str">
        <f t="shared" si="15"/>
        <v/>
      </c>
      <c r="N1992" s="147" t="str">
        <f t="shared" si="16"/>
        <v/>
      </c>
      <c r="O1992" s="147" t="str">
        <f t="shared" si="6"/>
        <v/>
      </c>
      <c r="P1992" s="150" t="str">
        <f t="shared" si="7"/>
        <v/>
      </c>
      <c r="Q1992" s="151" t="str">
        <f>IFERROR(VLOOKUP(C1992,Ativos!$A$1:$G2000,5,),)</f>
        <v/>
      </c>
    </row>
    <row r="1993" ht="21.0" customHeight="1">
      <c r="A1993" s="152"/>
      <c r="B1993" s="160"/>
      <c r="C1993" s="153"/>
      <c r="D1993" s="169"/>
      <c r="E1993" s="139"/>
      <c r="F1993" s="141"/>
      <c r="G1993" s="170" t="str">
        <f>IFERROR(__xludf.DUMMYFUNCTION("if($C1993="""","""",iferror(if(row()&lt;&gt;2,INDEX(arrayformula(filter($H$2:$H1992,$C$2:$C1992&lt;&gt;"""",row($C$2:$C1992)=max(if($C$2:$C1992=C1993,row($C$2:$C1992),0)))) ,1),0),0))"),"")</f>
        <v/>
      </c>
      <c r="H1993" s="170" t="str">
        <f t="shared" si="8"/>
        <v/>
      </c>
      <c r="I1993" s="147" t="str">
        <f t="shared" si="1"/>
        <v/>
      </c>
      <c r="J1993" s="147" t="str">
        <f t="shared" si="13"/>
        <v/>
      </c>
      <c r="K1993" s="147" t="str">
        <f>IFERROR(__xludf.DUMMYFUNCTION("if(C1993="""","""",iferror(if(row()&lt;&gt;2,INDEX(arrayformula(filter($L$2:$L1992,$C$2:$C1992&lt;&gt;"""",row($C$2:$C1992)=max(if($C$2:$C1992=C1993,row($C$2:$C1992),0)))) ,1),0),0))"),"")</f>
        <v/>
      </c>
      <c r="L1993" s="147" t="str">
        <f t="shared" si="14"/>
        <v/>
      </c>
      <c r="M1993" s="147" t="str">
        <f t="shared" si="15"/>
        <v/>
      </c>
      <c r="N1993" s="147" t="str">
        <f t="shared" si="16"/>
        <v/>
      </c>
      <c r="O1993" s="147" t="str">
        <f t="shared" si="6"/>
        <v/>
      </c>
      <c r="P1993" s="150" t="str">
        <f t="shared" si="7"/>
        <v/>
      </c>
      <c r="Q1993" s="151" t="str">
        <f>IFERROR(VLOOKUP(C1993,Ativos!$A$1:$G2000,5,),)</f>
        <v/>
      </c>
    </row>
    <row r="1994" ht="21.0" customHeight="1">
      <c r="A1994" s="152"/>
      <c r="B1994" s="160"/>
      <c r="C1994" s="153"/>
      <c r="D1994" s="169"/>
      <c r="E1994" s="139"/>
      <c r="F1994" s="141"/>
      <c r="G1994" s="170" t="str">
        <f>IFERROR(__xludf.DUMMYFUNCTION("if($C1994="""","""",iferror(if(row()&lt;&gt;2,INDEX(arrayformula(filter($H$2:$H1993,$C$2:$C1993&lt;&gt;"""",row($C$2:$C1993)=max(if($C$2:$C1993=C1994,row($C$2:$C1993),0)))) ,1),0),0))"),"")</f>
        <v/>
      </c>
      <c r="H1994" s="170" t="str">
        <f t="shared" si="8"/>
        <v/>
      </c>
      <c r="I1994" s="147" t="str">
        <f t="shared" si="1"/>
        <v/>
      </c>
      <c r="J1994" s="147" t="str">
        <f t="shared" si="13"/>
        <v/>
      </c>
      <c r="K1994" s="147" t="str">
        <f>IFERROR(__xludf.DUMMYFUNCTION("if(C1994="""","""",iferror(if(row()&lt;&gt;2,INDEX(arrayformula(filter($L$2:$L1993,$C$2:$C1993&lt;&gt;"""",row($C$2:$C1993)=max(if($C$2:$C1993=C1994,row($C$2:$C1993),0)))) ,1),0),0))"),"")</f>
        <v/>
      </c>
      <c r="L1994" s="147" t="str">
        <f t="shared" si="14"/>
        <v/>
      </c>
      <c r="M1994" s="147" t="str">
        <f t="shared" si="15"/>
        <v/>
      </c>
      <c r="N1994" s="147" t="str">
        <f t="shared" si="16"/>
        <v/>
      </c>
      <c r="O1994" s="147" t="str">
        <f t="shared" si="6"/>
        <v/>
      </c>
      <c r="P1994" s="150" t="str">
        <f t="shared" si="7"/>
        <v/>
      </c>
      <c r="Q1994" s="151" t="str">
        <f>IFERROR(VLOOKUP(C1994,Ativos!$A$1:$G2000,5,),)</f>
        <v/>
      </c>
    </row>
    <row r="1995" ht="21.0" customHeight="1">
      <c r="A1995" s="152"/>
      <c r="B1995" s="160"/>
      <c r="C1995" s="153"/>
      <c r="D1995" s="169"/>
      <c r="E1995" s="139"/>
      <c r="F1995" s="141"/>
      <c r="G1995" s="170" t="str">
        <f>IFERROR(__xludf.DUMMYFUNCTION("if($C1995="""","""",iferror(if(row()&lt;&gt;2,INDEX(arrayformula(filter($H$2:$H1994,$C$2:$C1994&lt;&gt;"""",row($C$2:$C1994)=max(if($C$2:$C1994=C1995,row($C$2:$C1994),0)))) ,1),0),0))"),"")</f>
        <v/>
      </c>
      <c r="H1995" s="170" t="str">
        <f t="shared" si="8"/>
        <v/>
      </c>
      <c r="I1995" s="147" t="str">
        <f t="shared" si="1"/>
        <v/>
      </c>
      <c r="J1995" s="147" t="str">
        <f t="shared" si="13"/>
        <v/>
      </c>
      <c r="K1995" s="147" t="str">
        <f>IFERROR(__xludf.DUMMYFUNCTION("if(C1995="""","""",iferror(if(row()&lt;&gt;2,INDEX(arrayformula(filter($L$2:$L1994,$C$2:$C1994&lt;&gt;"""",row($C$2:$C1994)=max(if($C$2:$C1994=C1995,row($C$2:$C1994),0)))) ,1),0),0))"),"")</f>
        <v/>
      </c>
      <c r="L1995" s="147" t="str">
        <f t="shared" si="14"/>
        <v/>
      </c>
      <c r="M1995" s="147" t="str">
        <f t="shared" si="15"/>
        <v/>
      </c>
      <c r="N1995" s="147" t="str">
        <f t="shared" si="16"/>
        <v/>
      </c>
      <c r="O1995" s="147" t="str">
        <f t="shared" si="6"/>
        <v/>
      </c>
      <c r="P1995" s="150" t="str">
        <f t="shared" si="7"/>
        <v/>
      </c>
      <c r="Q1995" s="151" t="str">
        <f>IFERROR(VLOOKUP(C1995,Ativos!$A$1:$G2000,5,),)</f>
        <v/>
      </c>
    </row>
    <row r="1996" ht="21.0" customHeight="1">
      <c r="A1996" s="152"/>
      <c r="B1996" s="160"/>
      <c r="C1996" s="153"/>
      <c r="D1996" s="169"/>
      <c r="E1996" s="139"/>
      <c r="F1996" s="141"/>
      <c r="G1996" s="170" t="str">
        <f>IFERROR(__xludf.DUMMYFUNCTION("if($C1996="""","""",iferror(if(row()&lt;&gt;2,INDEX(arrayformula(filter($H$2:$H1995,$C$2:$C1995&lt;&gt;"""",row($C$2:$C1995)=max(if($C$2:$C1995=C1996,row($C$2:$C1995),0)))) ,1),0),0))"),"")</f>
        <v/>
      </c>
      <c r="H1996" s="170" t="str">
        <f t="shared" si="8"/>
        <v/>
      </c>
      <c r="I1996" s="147" t="str">
        <f t="shared" si="1"/>
        <v/>
      </c>
      <c r="J1996" s="147" t="str">
        <f t="shared" si="13"/>
        <v/>
      </c>
      <c r="K1996" s="147" t="str">
        <f>IFERROR(__xludf.DUMMYFUNCTION("if(C1996="""","""",iferror(if(row()&lt;&gt;2,INDEX(arrayformula(filter($L$2:$L1995,$C$2:$C1995&lt;&gt;"""",row($C$2:$C1995)=max(if($C$2:$C1995=C1996,row($C$2:$C1995),0)))) ,1),0),0))"),"")</f>
        <v/>
      </c>
      <c r="L1996" s="147" t="str">
        <f t="shared" si="14"/>
        <v/>
      </c>
      <c r="M1996" s="147" t="str">
        <f t="shared" si="15"/>
        <v/>
      </c>
      <c r="N1996" s="147" t="str">
        <f t="shared" si="16"/>
        <v/>
      </c>
      <c r="O1996" s="147" t="str">
        <f t="shared" si="6"/>
        <v/>
      </c>
      <c r="P1996" s="150" t="str">
        <f t="shared" si="7"/>
        <v/>
      </c>
      <c r="Q1996" s="151" t="str">
        <f>IFERROR(VLOOKUP(C1996,Ativos!$A$1:$G2000,5,),)</f>
        <v/>
      </c>
    </row>
    <row r="1997" ht="21.0" customHeight="1">
      <c r="A1997" s="152"/>
      <c r="B1997" s="160"/>
      <c r="C1997" s="153"/>
      <c r="D1997" s="169"/>
      <c r="E1997" s="139"/>
      <c r="F1997" s="141"/>
      <c r="G1997" s="170" t="str">
        <f>IFERROR(__xludf.DUMMYFUNCTION("if($C1997="""","""",iferror(if(row()&lt;&gt;2,INDEX(arrayformula(filter($H$2:$H1996,$C$2:$C1996&lt;&gt;"""",row($C$2:$C1996)=max(if($C$2:$C1996=C1997,row($C$2:$C1996),0)))) ,1),0),0))"),"")</f>
        <v/>
      </c>
      <c r="H1997" s="170" t="str">
        <f t="shared" si="8"/>
        <v/>
      </c>
      <c r="I1997" s="147" t="str">
        <f t="shared" si="1"/>
        <v/>
      </c>
      <c r="J1997" s="147" t="str">
        <f t="shared" si="13"/>
        <v/>
      </c>
      <c r="K1997" s="147" t="str">
        <f>IFERROR(__xludf.DUMMYFUNCTION("if(C1997="""","""",iferror(if(row()&lt;&gt;2,INDEX(arrayformula(filter($L$2:$L1996,$C$2:$C1996&lt;&gt;"""",row($C$2:$C1996)=max(if($C$2:$C1996=C1997,row($C$2:$C1996),0)))) ,1),0),0))"),"")</f>
        <v/>
      </c>
      <c r="L1997" s="147" t="str">
        <f t="shared" si="14"/>
        <v/>
      </c>
      <c r="M1997" s="147" t="str">
        <f t="shared" si="15"/>
        <v/>
      </c>
      <c r="N1997" s="147" t="str">
        <f t="shared" si="16"/>
        <v/>
      </c>
      <c r="O1997" s="147" t="str">
        <f t="shared" si="6"/>
        <v/>
      </c>
      <c r="P1997" s="150" t="str">
        <f t="shared" si="7"/>
        <v/>
      </c>
      <c r="Q1997" s="151" t="str">
        <f>IFERROR(VLOOKUP(C1997,Ativos!$A$1:$G2000,5,),)</f>
        <v/>
      </c>
    </row>
    <row r="1998" ht="21.0" customHeight="1">
      <c r="A1998" s="152"/>
      <c r="B1998" s="160"/>
      <c r="C1998" s="153"/>
      <c r="D1998" s="169"/>
      <c r="E1998" s="139"/>
      <c r="F1998" s="141"/>
      <c r="G1998" s="170" t="str">
        <f>IFERROR(__xludf.DUMMYFUNCTION("if($C1998="""","""",iferror(if(row()&lt;&gt;2,INDEX(arrayformula(filter($H$2:$H1997,$C$2:$C1997&lt;&gt;"""",row($C$2:$C1997)=max(if($C$2:$C1997=C1998,row($C$2:$C1997),0)))) ,1),0),0))"),"")</f>
        <v/>
      </c>
      <c r="H1998" s="170" t="str">
        <f t="shared" si="8"/>
        <v/>
      </c>
      <c r="I1998" s="147" t="str">
        <f t="shared" si="1"/>
        <v/>
      </c>
      <c r="J1998" s="147" t="str">
        <f t="shared" si="13"/>
        <v/>
      </c>
      <c r="K1998" s="147" t="str">
        <f>IFERROR(__xludf.DUMMYFUNCTION("if(C1998="""","""",iferror(if(row()&lt;&gt;2,INDEX(arrayformula(filter($L$2:$L1997,$C$2:$C1997&lt;&gt;"""",row($C$2:$C1997)=max(if($C$2:$C1997=C1998,row($C$2:$C1997),0)))) ,1),0),0))"),"")</f>
        <v/>
      </c>
      <c r="L1998" s="147" t="str">
        <f t="shared" si="14"/>
        <v/>
      </c>
      <c r="M1998" s="147" t="str">
        <f t="shared" si="15"/>
        <v/>
      </c>
      <c r="N1998" s="147" t="str">
        <f t="shared" si="16"/>
        <v/>
      </c>
      <c r="O1998" s="147" t="str">
        <f t="shared" si="6"/>
        <v/>
      </c>
      <c r="P1998" s="150" t="str">
        <f t="shared" si="7"/>
        <v/>
      </c>
      <c r="Q1998" s="151" t="str">
        <f>IFERROR(VLOOKUP(C1998,Ativos!$A$1:$G2000,5,),)</f>
        <v/>
      </c>
    </row>
    <row r="1999" ht="21.0" customHeight="1">
      <c r="A1999" s="152"/>
      <c r="B1999" s="160"/>
      <c r="C1999" s="153"/>
      <c r="D1999" s="169"/>
      <c r="E1999" s="139"/>
      <c r="F1999" s="141"/>
      <c r="G1999" s="170" t="str">
        <f>IFERROR(__xludf.DUMMYFUNCTION("if($C1999="""","""",iferror(if(row()&lt;&gt;2,INDEX(arrayformula(filter($H$2:$H1998,$C$2:$C1998&lt;&gt;"""",row($C$2:$C1998)=max(if($C$2:$C1998=C1999,row($C$2:$C1998),0)))) ,1),0),0))"),"")</f>
        <v/>
      </c>
      <c r="H1999" s="170" t="str">
        <f t="shared" si="8"/>
        <v/>
      </c>
      <c r="I1999" s="147" t="str">
        <f t="shared" si="1"/>
        <v/>
      </c>
      <c r="J1999" s="147" t="str">
        <f t="shared" si="13"/>
        <v/>
      </c>
      <c r="K1999" s="147" t="str">
        <f>IFERROR(__xludf.DUMMYFUNCTION("if(C1999="""","""",iferror(if(row()&lt;&gt;2,INDEX(arrayformula(filter($L$2:$L1998,$C$2:$C1998&lt;&gt;"""",row($C$2:$C1998)=max(if($C$2:$C1998=C1999,row($C$2:$C1998),0)))) ,1),0),0))"),"")</f>
        <v/>
      </c>
      <c r="L1999" s="147" t="str">
        <f t="shared" si="14"/>
        <v/>
      </c>
      <c r="M1999" s="147" t="str">
        <f t="shared" si="15"/>
        <v/>
      </c>
      <c r="N1999" s="147" t="str">
        <f t="shared" si="16"/>
        <v/>
      </c>
      <c r="O1999" s="147" t="str">
        <f t="shared" si="6"/>
        <v/>
      </c>
      <c r="P1999" s="150" t="str">
        <f t="shared" si="7"/>
        <v/>
      </c>
      <c r="Q1999" s="151" t="str">
        <f>IFERROR(VLOOKUP(C1999,Ativos!$A$1:$G2000,5,),)</f>
        <v/>
      </c>
    </row>
    <row r="2000" ht="21.0" customHeight="1">
      <c r="A2000" s="152"/>
      <c r="B2000" s="160"/>
      <c r="C2000" s="153"/>
      <c r="D2000" s="169"/>
      <c r="E2000" s="139"/>
      <c r="F2000" s="141"/>
      <c r="G2000" s="170" t="str">
        <f>IFERROR(__xludf.DUMMYFUNCTION("if($C2000="""","""",iferror(if(row()&lt;&gt;2,INDEX(arrayformula(filter($H$2:$H1999,$C$2:$C1999&lt;&gt;"""",row($C$2:$C1999)=max(if($C$2:$C1999=C2000,row($C$2:$C1999),0)))) ,1),0),0))"),"")</f>
        <v/>
      </c>
      <c r="H2000" s="170" t="str">
        <f t="shared" si="8"/>
        <v/>
      </c>
      <c r="I2000" s="147" t="str">
        <f t="shared" si="1"/>
        <v/>
      </c>
      <c r="J2000" s="147" t="str">
        <f t="shared" si="13"/>
        <v/>
      </c>
      <c r="K2000" s="147" t="str">
        <f>IFERROR(__xludf.DUMMYFUNCTION("if(C2000="""","""",iferror(if(row()&lt;&gt;2,INDEX(arrayformula(filter($L$2:$L1999,$C$2:$C1999&lt;&gt;"""",row($C$2:$C1999)=max(if($C$2:$C1999=C2000,row($C$2:$C1999),0)))) ,1),0),0))"),"")</f>
        <v/>
      </c>
      <c r="L2000" s="147" t="str">
        <f t="shared" si="14"/>
        <v/>
      </c>
      <c r="M2000" s="147" t="str">
        <f t="shared" si="15"/>
        <v/>
      </c>
      <c r="N2000" s="147" t="str">
        <f t="shared" si="16"/>
        <v/>
      </c>
      <c r="O2000" s="147" t="str">
        <f t="shared" si="6"/>
        <v/>
      </c>
      <c r="P2000" s="150" t="str">
        <f t="shared" si="7"/>
        <v/>
      </c>
      <c r="Q2000" s="151" t="str">
        <f>IFERROR(VLOOKUP(C2000,Ativos!$A$1:$G2000,5,),)</f>
        <v/>
      </c>
    </row>
  </sheetData>
  <conditionalFormatting sqref="B2:B2000">
    <cfRule type="cellIs" dxfId="12" priority="1" operator="equal">
      <formula>"C"</formula>
    </cfRule>
  </conditionalFormatting>
  <conditionalFormatting sqref="B2:B2000">
    <cfRule type="cellIs" dxfId="2" priority="2" operator="equal">
      <formula>"V"</formula>
    </cfRule>
  </conditionalFormatting>
  <conditionalFormatting sqref="B2:B2000">
    <cfRule type="cellIs" dxfId="3" priority="3" operator="equal">
      <formula>"B"</formula>
    </cfRule>
  </conditionalFormatting>
  <conditionalFormatting sqref="B2:B2000">
    <cfRule type="cellIs" dxfId="13" priority="4" operator="equal">
      <formula>"S"</formula>
    </cfRule>
  </conditionalFormatting>
  <conditionalFormatting sqref="O2:P2000">
    <cfRule type="cellIs" dxfId="14" priority="5" operator="greaterThan">
      <formula>0</formula>
    </cfRule>
  </conditionalFormatting>
  <conditionalFormatting sqref="O2:P2000">
    <cfRule type="cellIs" dxfId="15" priority="6" operator="lessThan">
      <formula>0</formula>
    </cfRule>
  </conditionalFormatting>
  <conditionalFormatting sqref="B2:B2000">
    <cfRule type="cellIs" dxfId="16" priority="7" operator="equal">
      <formula>"A"</formula>
    </cfRule>
  </conditionalFormatting>
  <conditionalFormatting sqref="B2:B2000">
    <cfRule type="cellIs" dxfId="17" priority="8" operator="equal">
      <formula>"AT"</formula>
    </cfRule>
  </conditionalFormatting>
  <dataValidations>
    <dataValidation type="list" allowBlank="1" showInputMessage="1" showErrorMessage="1" prompt="Insira uma operação apenas de ativos cadastrados na aba DadosAtivos." sqref="C2:C2000">
      <formula1>Data!$K$2:$K2000</formula1>
    </dataValidation>
    <dataValidation type="list" allowBlank="1" showInputMessage="1" showErrorMessage="1" prompt="Selecione uma operação." sqref="B2:B2000">
      <formula1>"C,V"</formula1>
    </dataValidation>
    <dataValidation type="list" allowBlank="1" showErrorMessage="1" sqref="F2:F2000">
      <formula1>Data!$N$2:$N2000</formula1>
    </dataValidation>
  </dataValidations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1C232"/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1.29"/>
    <col customWidth="1" min="2" max="2" width="7.0"/>
    <col customWidth="1" min="3" max="4" width="15.43"/>
    <col customWidth="1" min="5" max="5" width="16.86"/>
    <col customWidth="1" min="6" max="6" width="15.86"/>
    <col customWidth="1" min="7" max="7" width="10.43"/>
    <col customWidth="1" min="8" max="8" width="16.86"/>
    <col customWidth="1" min="9" max="9" width="14.29"/>
    <col customWidth="1" min="10" max="10" width="9.43"/>
    <col customWidth="1" min="11" max="11" width="14.29"/>
    <col customWidth="1" min="12" max="12" width="9.43"/>
  </cols>
  <sheetData>
    <row r="1" ht="28.5" customHeight="1">
      <c r="A1" s="173" t="s">
        <v>57</v>
      </c>
      <c r="B1" s="174" t="s">
        <v>148</v>
      </c>
      <c r="C1" s="173" t="s">
        <v>170</v>
      </c>
      <c r="D1" s="173" t="s">
        <v>171</v>
      </c>
      <c r="E1" s="175" t="s">
        <v>172</v>
      </c>
      <c r="F1" s="176" t="s">
        <v>173</v>
      </c>
      <c r="G1" s="177" t="s">
        <v>13</v>
      </c>
      <c r="H1" s="178" t="s">
        <v>15</v>
      </c>
      <c r="I1" s="178" t="s">
        <v>14</v>
      </c>
      <c r="J1" s="174" t="s">
        <v>60</v>
      </c>
      <c r="K1" s="174" t="s">
        <v>62</v>
      </c>
      <c r="L1" s="174" t="s">
        <v>174</v>
      </c>
    </row>
    <row r="2" ht="21.0" customHeight="1">
      <c r="A2" s="179" t="s">
        <v>111</v>
      </c>
      <c r="B2" s="179" t="s">
        <v>175</v>
      </c>
      <c r="C2" s="180">
        <v>43831.0</v>
      </c>
      <c r="D2" s="180">
        <v>43871.0</v>
      </c>
      <c r="E2" s="181">
        <v>4.3</v>
      </c>
      <c r="F2" s="182">
        <f t="shared" ref="F2:F2000" si="1">IF(B2="J",E2*0.85,E2)</f>
        <v>3.655</v>
      </c>
      <c r="G2" s="183">
        <f>IFERROR(__xludf.DUMMYFUNCTION("IFERROR(lookup(9999999999,FILTER('Operações-BR'!$M:$M,'Operações-BR'!$C:$C=A2,'Operações-BR'!$A:$A&lt;=C2)),0)"),100.0)</f>
        <v>100</v>
      </c>
      <c r="H2" s="184">
        <f t="shared" ref="H2:H2000" si="2">G2*F2</f>
        <v>365.5</v>
      </c>
      <c r="I2" s="184">
        <f>IFERROR(__xludf.DUMMYFUNCTION("IFERROR(lookup(9999999999,FILTER('Operações-BR'!Q:Q,'Operações-BR'!$C:$C=A2,'Operações-BR'!$A:$A&lt;=C2))/G2,0)"),15.0)</f>
        <v>15</v>
      </c>
      <c r="J2" s="185" t="str">
        <f>IFERROR(VLOOKUP(A2,Ativos!$A$1:$G2000,5,),"")</f>
        <v>AÇÃO</v>
      </c>
      <c r="K2" s="185" t="str">
        <f>IFERROR(VLOOKUP(A2,Ativos!A:H,8,),"")</f>
        <v>Brasil</v>
      </c>
      <c r="L2" s="186">
        <f t="shared" ref="L2:L2000" si="3">IFERROR(IF(G2&gt;0,(F2/I2),0),0)</f>
        <v>0.2436666667</v>
      </c>
    </row>
    <row r="3" ht="21.0" customHeight="1">
      <c r="A3" s="187" t="s">
        <v>111</v>
      </c>
      <c r="B3" s="187" t="s">
        <v>176</v>
      </c>
      <c r="C3" s="188">
        <v>43831.0</v>
      </c>
      <c r="D3" s="188">
        <v>43895.0</v>
      </c>
      <c r="E3" s="189">
        <v>5.3</v>
      </c>
      <c r="F3" s="182">
        <f t="shared" si="1"/>
        <v>5.3</v>
      </c>
      <c r="G3" s="183">
        <f>IFERROR(__xludf.DUMMYFUNCTION("IFERROR(lookup(9999999999,FILTER('Operações-BR'!$M:$M,'Operações-BR'!$C:$C=A3,'Operações-BR'!$A:$A&lt;=C3)),0)"),100.0)</f>
        <v>100</v>
      </c>
      <c r="H3" s="184">
        <f t="shared" si="2"/>
        <v>530</v>
      </c>
      <c r="I3" s="184">
        <f>IFERROR(__xludf.DUMMYFUNCTION("IFERROR(lookup(9999999999,FILTER('Operações-BR'!Q:Q,'Operações-BR'!$C:$C=A3,'Operações-BR'!$A:$A&lt;=C3))/G3,0)"),15.0)</f>
        <v>15</v>
      </c>
      <c r="J3" s="185" t="str">
        <f>IFERROR(VLOOKUP(A3,Ativos!$A$1:$G2000,5,),"")</f>
        <v>AÇÃO</v>
      </c>
      <c r="K3" s="185" t="str">
        <f>IFERROR(VLOOKUP(A3,Ativos!A:H,8,),"")</f>
        <v>Brasil</v>
      </c>
      <c r="L3" s="186">
        <f t="shared" si="3"/>
        <v>0.3533333333</v>
      </c>
    </row>
    <row r="4" ht="21.0" customHeight="1">
      <c r="A4" s="187" t="s">
        <v>90</v>
      </c>
      <c r="B4" s="187" t="s">
        <v>175</v>
      </c>
      <c r="C4" s="188">
        <v>43862.0</v>
      </c>
      <c r="D4" s="188">
        <v>43905.0</v>
      </c>
      <c r="E4" s="189">
        <v>2.15</v>
      </c>
      <c r="F4" s="182">
        <f t="shared" si="1"/>
        <v>1.8275</v>
      </c>
      <c r="G4" s="183">
        <f>IFERROR(__xludf.DUMMYFUNCTION("IFERROR(lookup(9999999999,FILTER('Operações-BR'!$M:$M,'Operações-BR'!$C:$C=A4,'Operações-BR'!$A:$A&lt;=C4)),0)"),200.0)</f>
        <v>200</v>
      </c>
      <c r="H4" s="184">
        <f t="shared" si="2"/>
        <v>365.5</v>
      </c>
      <c r="I4" s="184">
        <f>IFERROR(__xludf.DUMMYFUNCTION("IFERROR(lookup(9999999999,FILTER('Operações-BR'!Q:Q,'Operações-BR'!$C:$C=A4,'Operações-BR'!$A:$A&lt;=C4))/G4,0)"),35.0)</f>
        <v>35</v>
      </c>
      <c r="J4" s="185" t="str">
        <f>IFERROR(VLOOKUP(A4,Ativos!$A$1:$G2000,5,),"")</f>
        <v>AÇÃO</v>
      </c>
      <c r="K4" s="185" t="str">
        <f>IFERROR(VLOOKUP(A4,Ativos!A:H,8,),"")</f>
        <v>Brasil</v>
      </c>
      <c r="L4" s="186">
        <f t="shared" si="3"/>
        <v>0.05221428571</v>
      </c>
    </row>
    <row r="5" ht="21.0" customHeight="1">
      <c r="A5" s="187" t="s">
        <v>90</v>
      </c>
      <c r="B5" s="187" t="s">
        <v>176</v>
      </c>
      <c r="C5" s="188">
        <v>43862.0</v>
      </c>
      <c r="D5" s="188">
        <v>43931.0</v>
      </c>
      <c r="E5" s="189">
        <v>3.5</v>
      </c>
      <c r="F5" s="182">
        <f t="shared" si="1"/>
        <v>3.5</v>
      </c>
      <c r="G5" s="183">
        <f>IFERROR(__xludf.DUMMYFUNCTION("IFERROR(lookup(9999999999,FILTER('Operações-BR'!$M:$M,'Operações-BR'!$C:$C=A5,'Operações-BR'!$A:$A&lt;=C5)),0)"),200.0)</f>
        <v>200</v>
      </c>
      <c r="H5" s="184">
        <f t="shared" si="2"/>
        <v>700</v>
      </c>
      <c r="I5" s="184">
        <f>IFERROR(__xludf.DUMMYFUNCTION("IFERROR(lookup(9999999999,FILTER('Operações-BR'!Q:Q,'Operações-BR'!$C:$C=A5,'Operações-BR'!$A:$A&lt;=C5))/G5,0)"),35.0)</f>
        <v>35</v>
      </c>
      <c r="J5" s="185" t="str">
        <f>IFERROR(VLOOKUP(A5,Ativos!$A$1:$G2000,5,),"")</f>
        <v>AÇÃO</v>
      </c>
      <c r="K5" s="185" t="str">
        <f>IFERROR(VLOOKUP(A5,Ativos!A:H,8,),"")</f>
        <v>Brasil</v>
      </c>
      <c r="L5" s="186">
        <f t="shared" si="3"/>
        <v>0.1</v>
      </c>
    </row>
    <row r="6" ht="21.0" customHeight="1">
      <c r="A6" s="187" t="s">
        <v>106</v>
      </c>
      <c r="B6" s="187" t="s">
        <v>21</v>
      </c>
      <c r="C6" s="188">
        <v>43891.0</v>
      </c>
      <c r="D6" s="188">
        <v>43936.0</v>
      </c>
      <c r="E6" s="189">
        <v>1.1</v>
      </c>
      <c r="F6" s="182">
        <f t="shared" si="1"/>
        <v>1.1</v>
      </c>
      <c r="G6" s="183">
        <f>IFERROR(__xludf.DUMMYFUNCTION("IFERROR(lookup(9999999999,FILTER('Operações-BR'!$M:$M,'Operações-BR'!$C:$C=A6,'Operações-BR'!$A:$A&lt;=C6)),0)"),150.0)</f>
        <v>150</v>
      </c>
      <c r="H6" s="184">
        <f t="shared" si="2"/>
        <v>165</v>
      </c>
      <c r="I6" s="184">
        <f>IFERROR(__xludf.DUMMYFUNCTION("IFERROR(lookup(9999999999,FILTER('Operações-BR'!Q:Q,'Operações-BR'!$C:$C=A6,'Operações-BR'!$A:$A&lt;=C6))/G6,0)"),170.0)</f>
        <v>170</v>
      </c>
      <c r="J6" s="185" t="str">
        <f>IFERROR(VLOOKUP(A6,Ativos!$A$1:$G2000,5,),"")</f>
        <v>FII</v>
      </c>
      <c r="K6" s="185" t="str">
        <f>IFERROR(VLOOKUP(A6,Ativos!A:H,8,),"")</f>
        <v>Brasil</v>
      </c>
      <c r="L6" s="186">
        <f t="shared" si="3"/>
        <v>0.006470588235</v>
      </c>
    </row>
    <row r="7" ht="21.0" customHeight="1">
      <c r="A7" s="187" t="s">
        <v>93</v>
      </c>
      <c r="B7" s="187" t="s">
        <v>21</v>
      </c>
      <c r="C7" s="188">
        <v>43891.0</v>
      </c>
      <c r="D7" s="188">
        <v>43936.0</v>
      </c>
      <c r="E7" s="189">
        <v>2.2</v>
      </c>
      <c r="F7" s="182">
        <f t="shared" si="1"/>
        <v>2.2</v>
      </c>
      <c r="G7" s="183">
        <f>IFERROR(__xludf.DUMMYFUNCTION("IFERROR(lookup(9999999999,FILTER('Operações-BR'!$M:$M,'Operações-BR'!$C:$C=A7,'Operações-BR'!$A:$A&lt;=C7)),0)"),100.0)</f>
        <v>100</v>
      </c>
      <c r="H7" s="184">
        <f t="shared" si="2"/>
        <v>220</v>
      </c>
      <c r="I7" s="184">
        <f>IFERROR(__xludf.DUMMYFUNCTION("IFERROR(lookup(9999999999,FILTER('Operações-BR'!Q:Q,'Operações-BR'!$C:$C=A7,'Operações-BR'!$A:$A&lt;=C7))/G7,0)"),150.0)</f>
        <v>150</v>
      </c>
      <c r="J7" s="185" t="str">
        <f>IFERROR(VLOOKUP(A7,Ativos!$A$1:$G2000,5,),"")</f>
        <v>FII</v>
      </c>
      <c r="K7" s="185" t="str">
        <f>IFERROR(VLOOKUP(A7,Ativos!A:H,8,),"")</f>
        <v>Brasil</v>
      </c>
      <c r="L7" s="186">
        <f t="shared" si="3"/>
        <v>0.01466666667</v>
      </c>
    </row>
    <row r="8" ht="21.0" customHeight="1">
      <c r="A8" s="187" t="s">
        <v>93</v>
      </c>
      <c r="B8" s="187" t="s">
        <v>21</v>
      </c>
      <c r="C8" s="188">
        <v>43922.0</v>
      </c>
      <c r="D8" s="188">
        <v>43966.0</v>
      </c>
      <c r="E8" s="189">
        <v>1.1</v>
      </c>
      <c r="F8" s="182">
        <f t="shared" si="1"/>
        <v>1.1</v>
      </c>
      <c r="G8" s="183">
        <f>IFERROR(__xludf.DUMMYFUNCTION("IFERROR(lookup(9999999999,FILTER('Operações-BR'!$M:$M,'Operações-BR'!$C:$C=A8,'Operações-BR'!$A:$A&lt;=C8)),0)"),100.0)</f>
        <v>100</v>
      </c>
      <c r="H8" s="184">
        <f t="shared" si="2"/>
        <v>110</v>
      </c>
      <c r="I8" s="184">
        <f>IFERROR(__xludf.DUMMYFUNCTION("IFERROR(lookup(9999999999,FILTER('Operações-BR'!Q:Q,'Operações-BR'!$C:$C=A8,'Operações-BR'!$A:$A&lt;=C8))/G8,0)"),150.0)</f>
        <v>150</v>
      </c>
      <c r="J8" s="185" t="str">
        <f>IFERROR(VLOOKUP(A8,Ativos!$A$1:$G2000,5,),"")</f>
        <v>FII</v>
      </c>
      <c r="K8" s="185" t="str">
        <f>IFERROR(VLOOKUP(A8,Ativos!A:H,8,),"")</f>
        <v>Brasil</v>
      </c>
      <c r="L8" s="186">
        <f t="shared" si="3"/>
        <v>0.007333333333</v>
      </c>
    </row>
    <row r="9" ht="21.0" customHeight="1">
      <c r="A9" s="187" t="s">
        <v>106</v>
      </c>
      <c r="B9" s="187" t="s">
        <v>21</v>
      </c>
      <c r="C9" s="188">
        <v>43952.0</v>
      </c>
      <c r="D9" s="188">
        <v>43997.0</v>
      </c>
      <c r="E9" s="189">
        <v>0.78</v>
      </c>
      <c r="F9" s="182">
        <f t="shared" si="1"/>
        <v>0.78</v>
      </c>
      <c r="G9" s="183">
        <f>IFERROR(__xludf.DUMMYFUNCTION("IFERROR(lookup(9999999999,FILTER('Operações-BR'!$M:$M,'Operações-BR'!$C:$C=A9,'Operações-BR'!$A:$A&lt;=C9)),0)"),150.0)</f>
        <v>150</v>
      </c>
      <c r="H9" s="184">
        <f t="shared" si="2"/>
        <v>117</v>
      </c>
      <c r="I9" s="184">
        <f>IFERROR(__xludf.DUMMYFUNCTION("IFERROR(lookup(9999999999,FILTER('Operações-BR'!Q:Q,'Operações-BR'!$C:$C=A9,'Operações-BR'!$A:$A&lt;=C9))/G9,0)"),170.0)</f>
        <v>170</v>
      </c>
      <c r="J9" s="185" t="str">
        <f>IFERROR(VLOOKUP(A9,Ativos!$A$1:$G2000,5,),"")</f>
        <v>FII</v>
      </c>
      <c r="K9" s="185" t="str">
        <f>IFERROR(VLOOKUP(A9,Ativos!A:H,8,),"")</f>
        <v>Brasil</v>
      </c>
      <c r="L9" s="186">
        <f t="shared" si="3"/>
        <v>0.004588235294</v>
      </c>
    </row>
    <row r="10" ht="21.0" customHeight="1">
      <c r="A10" s="187" t="s">
        <v>93</v>
      </c>
      <c r="B10" s="187" t="s">
        <v>21</v>
      </c>
      <c r="C10" s="188">
        <v>43952.0</v>
      </c>
      <c r="D10" s="188">
        <v>43997.0</v>
      </c>
      <c r="E10" s="189">
        <v>1.1</v>
      </c>
      <c r="F10" s="182">
        <f t="shared" si="1"/>
        <v>1.1</v>
      </c>
      <c r="G10" s="183">
        <f>IFERROR(__xludf.DUMMYFUNCTION("IFERROR(lookup(9999999999,FILTER('Operações-BR'!$M:$M,'Operações-BR'!$C:$C=A10,'Operações-BR'!$A:$A&lt;=C10)),0)"),100.0)</f>
        <v>100</v>
      </c>
      <c r="H10" s="184">
        <f t="shared" si="2"/>
        <v>110</v>
      </c>
      <c r="I10" s="184">
        <f>IFERROR(__xludf.DUMMYFUNCTION("IFERROR(lookup(9999999999,FILTER('Operações-BR'!Q:Q,'Operações-BR'!$C:$C=A10,'Operações-BR'!$A:$A&lt;=C10))/G10,0)"),150.0)</f>
        <v>150</v>
      </c>
      <c r="J10" s="185" t="str">
        <f>IFERROR(VLOOKUP(A10,Ativos!$A$1:$G2000,5,),"")</f>
        <v>FII</v>
      </c>
      <c r="K10" s="185" t="str">
        <f>IFERROR(VLOOKUP(A10,Ativos!A:H,8,),"")</f>
        <v>Brasil</v>
      </c>
      <c r="L10" s="186">
        <f t="shared" si="3"/>
        <v>0.007333333333</v>
      </c>
    </row>
    <row r="11" ht="21.0" customHeight="1">
      <c r="A11" s="187" t="s">
        <v>106</v>
      </c>
      <c r="B11" s="187" t="s">
        <v>21</v>
      </c>
      <c r="C11" s="188">
        <v>43983.0</v>
      </c>
      <c r="D11" s="188">
        <v>44027.0</v>
      </c>
      <c r="E11" s="189">
        <v>0.78</v>
      </c>
      <c r="F11" s="182">
        <f t="shared" si="1"/>
        <v>0.78</v>
      </c>
      <c r="G11" s="183">
        <f>IFERROR(__xludf.DUMMYFUNCTION("IFERROR(lookup(9999999999,FILTER('Operações-BR'!$M:$M,'Operações-BR'!$C:$C=A11,'Operações-BR'!$A:$A&lt;=C11)),0)"),150.0)</f>
        <v>150</v>
      </c>
      <c r="H11" s="184">
        <f t="shared" si="2"/>
        <v>117</v>
      </c>
      <c r="I11" s="184">
        <f>IFERROR(__xludf.DUMMYFUNCTION("IFERROR(lookup(9999999999,FILTER('Operações-BR'!Q:Q,'Operações-BR'!$C:$C=A11,'Operações-BR'!$A:$A&lt;=C11))/G11,0)"),170.0)</f>
        <v>170</v>
      </c>
      <c r="J11" s="185" t="str">
        <f>IFERROR(VLOOKUP(A11,Ativos!$A$1:$G2000,5,),"")</f>
        <v>FII</v>
      </c>
      <c r="K11" s="185" t="str">
        <f>IFERROR(VLOOKUP(A11,Ativos!A:H,8,),"")</f>
        <v>Brasil</v>
      </c>
      <c r="L11" s="186">
        <f t="shared" si="3"/>
        <v>0.004588235294</v>
      </c>
    </row>
    <row r="12" ht="21.0" customHeight="1">
      <c r="A12" s="155" t="s">
        <v>93</v>
      </c>
      <c r="B12" s="155" t="s">
        <v>21</v>
      </c>
      <c r="C12" s="188">
        <v>43983.0</v>
      </c>
      <c r="D12" s="190">
        <v>44027.0</v>
      </c>
      <c r="E12" s="191">
        <v>1.2</v>
      </c>
      <c r="F12" s="182">
        <f t="shared" si="1"/>
        <v>1.2</v>
      </c>
      <c r="G12" s="183">
        <f>IFERROR(__xludf.DUMMYFUNCTION("IFERROR(lookup(9999999999,FILTER('Operações-BR'!$M:$M,'Operações-BR'!$C:$C=A12,'Operações-BR'!$A:$A&lt;=C12)),0)"),100.0)</f>
        <v>100</v>
      </c>
      <c r="H12" s="184">
        <f t="shared" si="2"/>
        <v>120</v>
      </c>
      <c r="I12" s="184">
        <f>IFERROR(__xludf.DUMMYFUNCTION("IFERROR(lookup(9999999999,FILTER('Operações-BR'!Q:Q,'Operações-BR'!$C:$C=A12,'Operações-BR'!$A:$A&lt;=C12))/G12,0)"),150.0)</f>
        <v>150</v>
      </c>
      <c r="J12" s="185" t="str">
        <f>IFERROR(VLOOKUP(A12,Ativos!$A$1:$G2000,5,),"")</f>
        <v>FII</v>
      </c>
      <c r="K12" s="185" t="str">
        <f>IFERROR(VLOOKUP(A12,Ativos!A:H,8,),"")</f>
        <v>Brasil</v>
      </c>
      <c r="L12" s="186">
        <f t="shared" si="3"/>
        <v>0.008</v>
      </c>
    </row>
    <row r="13" ht="21.0" customHeight="1">
      <c r="A13" s="187" t="s">
        <v>93</v>
      </c>
      <c r="B13" s="187" t="s">
        <v>21</v>
      </c>
      <c r="C13" s="188">
        <v>44013.0</v>
      </c>
      <c r="D13" s="188">
        <v>44058.0</v>
      </c>
      <c r="E13" s="189">
        <v>1.25</v>
      </c>
      <c r="F13" s="182">
        <f t="shared" si="1"/>
        <v>1.25</v>
      </c>
      <c r="G13" s="183">
        <f>IFERROR(__xludf.DUMMYFUNCTION("IFERROR(lookup(9999999999,FILTER('Operações-BR'!$M:$M,'Operações-BR'!$C:$C=A13,'Operações-BR'!$A:$A&lt;=C13)),0)"),100.0)</f>
        <v>100</v>
      </c>
      <c r="H13" s="184">
        <f t="shared" si="2"/>
        <v>125</v>
      </c>
      <c r="I13" s="184">
        <f>IFERROR(__xludf.DUMMYFUNCTION("IFERROR(lookup(9999999999,FILTER('Operações-BR'!Q:Q,'Operações-BR'!$C:$C=A13,'Operações-BR'!$A:$A&lt;=C13))/G13,0)"),150.0)</f>
        <v>150</v>
      </c>
      <c r="J13" s="185" t="str">
        <f>IFERROR(VLOOKUP(A13,Ativos!$A$1:$G2000,5,),"")</f>
        <v>FII</v>
      </c>
      <c r="K13" s="185" t="str">
        <f>IFERROR(VLOOKUP(A13,Ativos!A:H,8,),"")</f>
        <v>Brasil</v>
      </c>
      <c r="L13" s="186">
        <f t="shared" si="3"/>
        <v>0.008333333333</v>
      </c>
    </row>
    <row r="14" ht="21.0" customHeight="1">
      <c r="A14" s="187" t="s">
        <v>106</v>
      </c>
      <c r="B14" s="187" t="s">
        <v>21</v>
      </c>
      <c r="C14" s="188">
        <v>44013.0</v>
      </c>
      <c r="D14" s="188">
        <v>44058.0</v>
      </c>
      <c r="E14" s="189">
        <v>0.78</v>
      </c>
      <c r="F14" s="182">
        <f t="shared" si="1"/>
        <v>0.78</v>
      </c>
      <c r="G14" s="183">
        <f>IFERROR(__xludf.DUMMYFUNCTION("IFERROR(lookup(9999999999,FILTER('Operações-BR'!$M:$M,'Operações-BR'!$C:$C=A14,'Operações-BR'!$A:$A&lt;=C14)),0)"),150.0)</f>
        <v>150</v>
      </c>
      <c r="H14" s="184">
        <f t="shared" si="2"/>
        <v>117</v>
      </c>
      <c r="I14" s="184">
        <f>IFERROR(__xludf.DUMMYFUNCTION("IFERROR(lookup(9999999999,FILTER('Operações-BR'!Q:Q,'Operações-BR'!$C:$C=A14,'Operações-BR'!$A:$A&lt;=C14))/G14,0)"),170.0)</f>
        <v>170</v>
      </c>
      <c r="J14" s="185" t="str">
        <f>IFERROR(VLOOKUP(A14,Ativos!$A$1:$G2000,5,),"")</f>
        <v>FII</v>
      </c>
      <c r="K14" s="185" t="str">
        <f>IFERROR(VLOOKUP(A14,Ativos!A:H,8,),"")</f>
        <v>Brasil</v>
      </c>
      <c r="L14" s="186">
        <f t="shared" si="3"/>
        <v>0.004588235294</v>
      </c>
    </row>
    <row r="15" ht="21.0" customHeight="1">
      <c r="A15" s="187" t="s">
        <v>93</v>
      </c>
      <c r="B15" s="187" t="s">
        <v>21</v>
      </c>
      <c r="C15" s="188">
        <v>44044.0</v>
      </c>
      <c r="D15" s="188">
        <v>44089.0</v>
      </c>
      <c r="E15" s="189">
        <v>1.1</v>
      </c>
      <c r="F15" s="182">
        <f t="shared" si="1"/>
        <v>1.1</v>
      </c>
      <c r="G15" s="183">
        <f>IFERROR(__xludf.DUMMYFUNCTION("IFERROR(lookup(9999999999,FILTER('Operações-BR'!$M:$M,'Operações-BR'!$C:$C=A15,'Operações-BR'!$A:$A&lt;=C15)),0)"),100.0)</f>
        <v>100</v>
      </c>
      <c r="H15" s="184">
        <f t="shared" si="2"/>
        <v>110</v>
      </c>
      <c r="I15" s="184">
        <f>IFERROR(__xludf.DUMMYFUNCTION("IFERROR(lookup(9999999999,FILTER('Operações-BR'!Q:Q,'Operações-BR'!$C:$C=A15,'Operações-BR'!$A:$A&lt;=C15))/G15,0)"),150.0)</f>
        <v>150</v>
      </c>
      <c r="J15" s="185" t="str">
        <f>IFERROR(VLOOKUP(A15,Ativos!$A$1:$G2000,5,),"")</f>
        <v>FII</v>
      </c>
      <c r="K15" s="185" t="str">
        <f>IFERROR(VLOOKUP(A15,Ativos!A:H,8,),"")</f>
        <v>Brasil</v>
      </c>
      <c r="L15" s="186">
        <f t="shared" si="3"/>
        <v>0.007333333333</v>
      </c>
    </row>
    <row r="16" ht="21.0" customHeight="1">
      <c r="A16" s="187" t="s">
        <v>106</v>
      </c>
      <c r="B16" s="187" t="s">
        <v>21</v>
      </c>
      <c r="C16" s="188">
        <v>44044.0</v>
      </c>
      <c r="D16" s="188">
        <v>44089.0</v>
      </c>
      <c r="E16" s="189">
        <v>0.8</v>
      </c>
      <c r="F16" s="182">
        <f t="shared" si="1"/>
        <v>0.8</v>
      </c>
      <c r="G16" s="183">
        <f>IFERROR(__xludf.DUMMYFUNCTION("IFERROR(lookup(9999999999,FILTER('Operações-BR'!$M:$M,'Operações-BR'!$C:$C=A16,'Operações-BR'!$A:$A&lt;=C16)),0)"),150.0)</f>
        <v>150</v>
      </c>
      <c r="H16" s="184">
        <f t="shared" si="2"/>
        <v>120</v>
      </c>
      <c r="I16" s="184">
        <f>IFERROR(__xludf.DUMMYFUNCTION("IFERROR(lookup(9999999999,FILTER('Operações-BR'!Q:Q,'Operações-BR'!$C:$C=A16,'Operações-BR'!$A:$A&lt;=C16))/G16,0)"),170.0)</f>
        <v>170</v>
      </c>
      <c r="J16" s="185" t="str">
        <f>IFERROR(VLOOKUP(A16,Ativos!$A$1:$G2000,5,),"")</f>
        <v>FII</v>
      </c>
      <c r="K16" s="185" t="str">
        <f>IFERROR(VLOOKUP(A16,Ativos!A:H,8,),"")</f>
        <v>Brasil</v>
      </c>
      <c r="L16" s="186">
        <f t="shared" si="3"/>
        <v>0.004705882353</v>
      </c>
    </row>
    <row r="17" ht="21.0" customHeight="1">
      <c r="A17" s="187" t="s">
        <v>93</v>
      </c>
      <c r="B17" s="187" t="s">
        <v>21</v>
      </c>
      <c r="C17" s="188">
        <v>44075.0</v>
      </c>
      <c r="D17" s="188">
        <v>44119.0</v>
      </c>
      <c r="E17" s="189">
        <v>1.1</v>
      </c>
      <c r="F17" s="182">
        <f t="shared" si="1"/>
        <v>1.1</v>
      </c>
      <c r="G17" s="183">
        <f>IFERROR(__xludf.DUMMYFUNCTION("IFERROR(lookup(9999999999,FILTER('Operações-BR'!$M:$M,'Operações-BR'!$C:$C=A17,'Operações-BR'!$A:$A&lt;=C17)),0)"),100.0)</f>
        <v>100</v>
      </c>
      <c r="H17" s="184">
        <f t="shared" si="2"/>
        <v>110</v>
      </c>
      <c r="I17" s="184">
        <f>IFERROR(__xludf.DUMMYFUNCTION("IFERROR(lookup(9999999999,FILTER('Operações-BR'!Q:Q,'Operações-BR'!$C:$C=A17,'Operações-BR'!$A:$A&lt;=C17))/G17,0)"),150.0)</f>
        <v>150</v>
      </c>
      <c r="J17" s="185" t="str">
        <f>IFERROR(VLOOKUP(A17,Ativos!$A$1:$G2000,5,),"")</f>
        <v>FII</v>
      </c>
      <c r="K17" s="185" t="str">
        <f>IFERROR(VLOOKUP(A17,Ativos!A:H,8,),"")</f>
        <v>Brasil</v>
      </c>
      <c r="L17" s="186">
        <f t="shared" si="3"/>
        <v>0.007333333333</v>
      </c>
    </row>
    <row r="18" ht="21.0" customHeight="1">
      <c r="A18" s="187" t="s">
        <v>106</v>
      </c>
      <c r="B18" s="187" t="s">
        <v>21</v>
      </c>
      <c r="C18" s="188">
        <v>44075.0</v>
      </c>
      <c r="D18" s="188">
        <v>44119.0</v>
      </c>
      <c r="E18" s="189">
        <v>0.81</v>
      </c>
      <c r="F18" s="182">
        <f t="shared" si="1"/>
        <v>0.81</v>
      </c>
      <c r="G18" s="183">
        <f>IFERROR(__xludf.DUMMYFUNCTION("IFERROR(lookup(9999999999,FILTER('Operações-BR'!$M:$M,'Operações-BR'!$C:$C=A18,'Operações-BR'!$A:$A&lt;=C18)),0)"),150.0)</f>
        <v>150</v>
      </c>
      <c r="H18" s="184">
        <f t="shared" si="2"/>
        <v>121.5</v>
      </c>
      <c r="I18" s="184">
        <f>IFERROR(__xludf.DUMMYFUNCTION("IFERROR(lookup(9999999999,FILTER('Operações-BR'!Q:Q,'Operações-BR'!$C:$C=A18,'Operações-BR'!$A:$A&lt;=C18))/G18,0)"),170.0)</f>
        <v>170</v>
      </c>
      <c r="J18" s="185" t="str">
        <f>IFERROR(VLOOKUP(A18,Ativos!$A$1:$G2000,5,),"")</f>
        <v>FII</v>
      </c>
      <c r="K18" s="185" t="str">
        <f>IFERROR(VLOOKUP(A18,Ativos!A:H,8,),"")</f>
        <v>Brasil</v>
      </c>
      <c r="L18" s="186">
        <f t="shared" si="3"/>
        <v>0.004764705882</v>
      </c>
    </row>
    <row r="19" ht="21.0" customHeight="1">
      <c r="A19" s="187" t="s">
        <v>93</v>
      </c>
      <c r="B19" s="187" t="s">
        <v>21</v>
      </c>
      <c r="C19" s="188">
        <v>44105.0</v>
      </c>
      <c r="D19" s="188">
        <v>44150.0</v>
      </c>
      <c r="E19" s="189">
        <v>2.2</v>
      </c>
      <c r="F19" s="182">
        <f t="shared" si="1"/>
        <v>2.2</v>
      </c>
      <c r="G19" s="183">
        <f>IFERROR(__xludf.DUMMYFUNCTION("IFERROR(lookup(9999999999,FILTER('Operações-BR'!$M:$M,'Operações-BR'!$C:$C=A19,'Operações-BR'!$A:$A&lt;=C19)),0)"),100.0)</f>
        <v>100</v>
      </c>
      <c r="H19" s="184">
        <f t="shared" si="2"/>
        <v>220</v>
      </c>
      <c r="I19" s="184">
        <f>IFERROR(__xludf.DUMMYFUNCTION("IFERROR(lookup(9999999999,FILTER('Operações-BR'!Q:Q,'Operações-BR'!$C:$C=A19,'Operações-BR'!$A:$A&lt;=C19))/G19,0)"),150.0)</f>
        <v>150</v>
      </c>
      <c r="J19" s="185" t="str">
        <f>IFERROR(VLOOKUP(A19,Ativos!$A$1:$G2000,5,),"")</f>
        <v>FII</v>
      </c>
      <c r="K19" s="185" t="str">
        <f>IFERROR(VLOOKUP(A19,Ativos!A:H,8,),"")</f>
        <v>Brasil</v>
      </c>
      <c r="L19" s="186">
        <f t="shared" si="3"/>
        <v>0.01466666667</v>
      </c>
    </row>
    <row r="20" ht="21.0" customHeight="1">
      <c r="A20" s="187" t="s">
        <v>106</v>
      </c>
      <c r="B20" s="187" t="s">
        <v>21</v>
      </c>
      <c r="C20" s="188">
        <v>44105.0</v>
      </c>
      <c r="D20" s="188">
        <v>44150.0</v>
      </c>
      <c r="E20" s="189">
        <v>0.95</v>
      </c>
      <c r="F20" s="182">
        <f t="shared" si="1"/>
        <v>0.95</v>
      </c>
      <c r="G20" s="183">
        <f>IFERROR(__xludf.DUMMYFUNCTION("IFERROR(lookup(9999999999,FILTER('Operações-BR'!$M:$M,'Operações-BR'!$C:$C=A20,'Operações-BR'!$A:$A&lt;=C20)),0)"),150.0)</f>
        <v>150</v>
      </c>
      <c r="H20" s="184">
        <f t="shared" si="2"/>
        <v>142.5</v>
      </c>
      <c r="I20" s="184">
        <f>IFERROR(__xludf.DUMMYFUNCTION("IFERROR(lookup(9999999999,FILTER('Operações-BR'!Q:Q,'Operações-BR'!$C:$C=A20,'Operações-BR'!$A:$A&lt;=C20))/G20,0)"),170.0)</f>
        <v>170</v>
      </c>
      <c r="J20" s="185" t="str">
        <f>IFERROR(VLOOKUP(A20,Ativos!$A$1:$G2000,5,),"")</f>
        <v>FII</v>
      </c>
      <c r="K20" s="185" t="str">
        <f>IFERROR(VLOOKUP(A20,Ativos!A:H,8,),"")</f>
        <v>Brasil</v>
      </c>
      <c r="L20" s="186">
        <f t="shared" si="3"/>
        <v>0.005588235294</v>
      </c>
    </row>
    <row r="21" ht="21.0" customHeight="1">
      <c r="A21" s="187" t="s">
        <v>93</v>
      </c>
      <c r="B21" s="187" t="s">
        <v>21</v>
      </c>
      <c r="C21" s="188">
        <v>44136.0</v>
      </c>
      <c r="D21" s="188">
        <v>44180.0</v>
      </c>
      <c r="E21" s="189">
        <v>1.2</v>
      </c>
      <c r="F21" s="182">
        <f t="shared" si="1"/>
        <v>1.2</v>
      </c>
      <c r="G21" s="183">
        <f>IFERROR(__xludf.DUMMYFUNCTION("IFERROR(lookup(9999999999,FILTER('Operações-BR'!$M:$M,'Operações-BR'!$C:$C=A21,'Operações-BR'!$A:$A&lt;=C21)),0)"),100.0)</f>
        <v>100</v>
      </c>
      <c r="H21" s="184">
        <f t="shared" si="2"/>
        <v>120</v>
      </c>
      <c r="I21" s="184">
        <f>IFERROR(__xludf.DUMMYFUNCTION("IFERROR(lookup(9999999999,FILTER('Operações-BR'!Q:Q,'Operações-BR'!$C:$C=A21,'Operações-BR'!$A:$A&lt;=C21))/G21,0)"),150.0)</f>
        <v>150</v>
      </c>
      <c r="J21" s="185" t="str">
        <f>IFERROR(VLOOKUP(A21,Ativos!$A$1:$G2000,5,),"")</f>
        <v>FII</v>
      </c>
      <c r="K21" s="185" t="str">
        <f>IFERROR(VLOOKUP(A21,Ativos!A:H,8,),"")</f>
        <v>Brasil</v>
      </c>
      <c r="L21" s="186">
        <f t="shared" si="3"/>
        <v>0.008</v>
      </c>
    </row>
    <row r="22" ht="21.0" customHeight="1">
      <c r="A22" s="187" t="s">
        <v>106</v>
      </c>
      <c r="B22" s="187" t="s">
        <v>21</v>
      </c>
      <c r="C22" s="188">
        <v>44136.0</v>
      </c>
      <c r="D22" s="188">
        <v>44180.0</v>
      </c>
      <c r="E22" s="189">
        <v>1.0</v>
      </c>
      <c r="F22" s="182">
        <f t="shared" si="1"/>
        <v>1</v>
      </c>
      <c r="G22" s="183">
        <f>IFERROR(__xludf.DUMMYFUNCTION("IFERROR(lookup(9999999999,FILTER('Operações-BR'!$M:$M,'Operações-BR'!$C:$C=A22,'Operações-BR'!$A:$A&lt;=C22)),0)"),150.0)</f>
        <v>150</v>
      </c>
      <c r="H22" s="184">
        <f t="shared" si="2"/>
        <v>150</v>
      </c>
      <c r="I22" s="184">
        <f>IFERROR(__xludf.DUMMYFUNCTION("IFERROR(lookup(9999999999,FILTER('Operações-BR'!Q:Q,'Operações-BR'!$C:$C=A22,'Operações-BR'!$A:$A&lt;=C22))/G22,0)"),170.0)</f>
        <v>170</v>
      </c>
      <c r="J22" s="185" t="str">
        <f>IFERROR(VLOOKUP(A22,Ativos!$A$1:$G2000,5,),"")</f>
        <v>FII</v>
      </c>
      <c r="K22" s="185" t="str">
        <f>IFERROR(VLOOKUP(A22,Ativos!A:H,8,),"")</f>
        <v>Brasil</v>
      </c>
      <c r="L22" s="186">
        <f t="shared" si="3"/>
        <v>0.005882352941</v>
      </c>
    </row>
    <row r="23" ht="21.0" customHeight="1">
      <c r="A23" s="187" t="s">
        <v>93</v>
      </c>
      <c r="B23" s="187" t="s">
        <v>21</v>
      </c>
      <c r="C23" s="188">
        <v>44166.0</v>
      </c>
      <c r="D23" s="188">
        <v>44211.0</v>
      </c>
      <c r="E23" s="189">
        <v>1.2</v>
      </c>
      <c r="F23" s="182">
        <f t="shared" si="1"/>
        <v>1.2</v>
      </c>
      <c r="G23" s="183">
        <f>IFERROR(__xludf.DUMMYFUNCTION("IFERROR(lookup(9999999999,FILTER('Operações-BR'!$M:$M,'Operações-BR'!$C:$C=A23,'Operações-BR'!$A:$A&lt;=C23)),0)"),100.0)</f>
        <v>100</v>
      </c>
      <c r="H23" s="184">
        <f t="shared" si="2"/>
        <v>120</v>
      </c>
      <c r="I23" s="184">
        <f>IFERROR(__xludf.DUMMYFUNCTION("IFERROR(lookup(9999999999,FILTER('Operações-BR'!Q:Q,'Operações-BR'!$C:$C=A23,'Operações-BR'!$A:$A&lt;=C23))/G23,0)"),150.0)</f>
        <v>150</v>
      </c>
      <c r="J23" s="185" t="str">
        <f>IFERROR(VLOOKUP(A23,Ativos!$A$1:$G2000,5,),"")</f>
        <v>FII</v>
      </c>
      <c r="K23" s="185" t="str">
        <f>IFERROR(VLOOKUP(A23,Ativos!A:H,8,),"")</f>
        <v>Brasil</v>
      </c>
      <c r="L23" s="186">
        <f t="shared" si="3"/>
        <v>0.008</v>
      </c>
    </row>
    <row r="24" ht="21.0" customHeight="1">
      <c r="A24" s="187" t="s">
        <v>106</v>
      </c>
      <c r="B24" s="187" t="s">
        <v>21</v>
      </c>
      <c r="C24" s="188">
        <v>44166.0</v>
      </c>
      <c r="D24" s="188">
        <v>44211.0</v>
      </c>
      <c r="E24" s="189">
        <v>1.1</v>
      </c>
      <c r="F24" s="182">
        <f t="shared" si="1"/>
        <v>1.1</v>
      </c>
      <c r="G24" s="183">
        <f>IFERROR(__xludf.DUMMYFUNCTION("IFERROR(lookup(9999999999,FILTER('Operações-BR'!$M:$M,'Operações-BR'!$C:$C=A24,'Operações-BR'!$A:$A&lt;=C24)),0)"),150.0)</f>
        <v>150</v>
      </c>
      <c r="H24" s="184">
        <f t="shared" si="2"/>
        <v>165</v>
      </c>
      <c r="I24" s="184">
        <f>IFERROR(__xludf.DUMMYFUNCTION("IFERROR(lookup(9999999999,FILTER('Operações-BR'!Q:Q,'Operações-BR'!$C:$C=A24,'Operações-BR'!$A:$A&lt;=C24))/G24,0)"),170.0)</f>
        <v>170</v>
      </c>
      <c r="J24" s="185" t="str">
        <f>IFERROR(VLOOKUP(A24,Ativos!$A$1:$G2000,5,),"")</f>
        <v>FII</v>
      </c>
      <c r="K24" s="185" t="str">
        <f>IFERROR(VLOOKUP(A24,Ativos!A:H,8,),"")</f>
        <v>Brasil</v>
      </c>
      <c r="L24" s="186">
        <f t="shared" si="3"/>
        <v>0.006470588235</v>
      </c>
    </row>
    <row r="25" ht="21.0" customHeight="1">
      <c r="A25" s="187" t="s">
        <v>77</v>
      </c>
      <c r="B25" s="187" t="s">
        <v>21</v>
      </c>
      <c r="C25" s="188">
        <v>44197.0</v>
      </c>
      <c r="D25" s="188">
        <v>44237.0</v>
      </c>
      <c r="E25" s="189">
        <v>5.5</v>
      </c>
      <c r="F25" s="182">
        <f t="shared" si="1"/>
        <v>5.5</v>
      </c>
      <c r="G25" s="183">
        <f>IFERROR(__xludf.DUMMYFUNCTION("IFERROR(lookup(9999999999,FILTER('Operações-BR'!$M:$M,'Operações-BR'!$C:$C=A25,'Operações-BR'!$A:$A&lt;=C25)),0)"),200.0)</f>
        <v>200</v>
      </c>
      <c r="H25" s="184">
        <f t="shared" si="2"/>
        <v>1100</v>
      </c>
      <c r="I25" s="184">
        <f>IFERROR(__xludf.DUMMYFUNCTION("IFERROR(lookup(9999999999,FILTER('Operações-BR'!Q:Q,'Operações-BR'!$C:$C=A25,'Operações-BR'!$A:$A&lt;=C25))/G25,0)"),25.0)</f>
        <v>25</v>
      </c>
      <c r="J25" s="185" t="str">
        <f>IFERROR(VLOOKUP(A25,Ativos!$A$1:$G2000,5,),"")</f>
        <v>AÇÃO</v>
      </c>
      <c r="K25" s="185" t="str">
        <f>IFERROR(VLOOKUP(A25,Ativos!A:H,8,),"")</f>
        <v>Brasil</v>
      </c>
      <c r="L25" s="186">
        <f t="shared" si="3"/>
        <v>0.22</v>
      </c>
    </row>
    <row r="26" ht="21.0" customHeight="1">
      <c r="A26" s="187" t="s">
        <v>111</v>
      </c>
      <c r="B26" s="187" t="s">
        <v>175</v>
      </c>
      <c r="C26" s="188">
        <v>44197.0</v>
      </c>
      <c r="D26" s="188">
        <v>44265.0</v>
      </c>
      <c r="E26" s="189">
        <v>3.0</v>
      </c>
      <c r="F26" s="182">
        <f t="shared" si="1"/>
        <v>2.55</v>
      </c>
      <c r="G26" s="183">
        <f>IFERROR(__xludf.DUMMYFUNCTION("IFERROR(lookup(9999999999,FILTER('Operações-BR'!$M:$M,'Operações-BR'!$C:$C=A26,'Operações-BR'!$A:$A&lt;=C26)),0)"),100.0)</f>
        <v>100</v>
      </c>
      <c r="H26" s="184">
        <f t="shared" si="2"/>
        <v>255</v>
      </c>
      <c r="I26" s="184">
        <f>IFERROR(__xludf.DUMMYFUNCTION("IFERROR(lookup(9999999999,FILTER('Operações-BR'!Q:Q,'Operações-BR'!$C:$C=A26,'Operações-BR'!$A:$A&lt;=C26))/G26,0)"),15.0)</f>
        <v>15</v>
      </c>
      <c r="J26" s="185" t="str">
        <f>IFERROR(VLOOKUP(A26,Ativos!$A$1:$G2000,5,),"")</f>
        <v>AÇÃO</v>
      </c>
      <c r="K26" s="185" t="str">
        <f>IFERROR(VLOOKUP(A26,Ativos!A:H,8,),"")</f>
        <v>Brasil</v>
      </c>
      <c r="L26" s="186">
        <f t="shared" si="3"/>
        <v>0.17</v>
      </c>
    </row>
    <row r="27" ht="21.0" customHeight="1">
      <c r="A27" s="187" t="s">
        <v>98</v>
      </c>
      <c r="B27" s="187" t="s">
        <v>21</v>
      </c>
      <c r="C27" s="188">
        <v>44256.0</v>
      </c>
      <c r="D27" s="188">
        <v>44301.0</v>
      </c>
      <c r="E27" s="189">
        <v>0.78</v>
      </c>
      <c r="F27" s="182">
        <f t="shared" si="1"/>
        <v>0.78</v>
      </c>
      <c r="G27" s="183">
        <f>IFERROR(__xludf.DUMMYFUNCTION("IFERROR(lookup(9999999999,FILTER('Operações-BR'!$M:$M,'Operações-BR'!$C:$C=A27,'Operações-BR'!$A:$A&lt;=C27)),0)"),125.0)</f>
        <v>125</v>
      </c>
      <c r="H27" s="184">
        <f t="shared" si="2"/>
        <v>97.5</v>
      </c>
      <c r="I27" s="184">
        <f>IFERROR(__xludf.DUMMYFUNCTION("IFERROR(lookup(9999999999,FILTER('Operações-BR'!Q:Q,'Operações-BR'!$C:$C=A27,'Operações-BR'!$A:$A&lt;=C27))/G27,0)"),125.0)</f>
        <v>125</v>
      </c>
      <c r="J27" s="185" t="str">
        <f>IFERROR(VLOOKUP(A27,Ativos!$A$1:$G2000,5,),"")</f>
        <v>FII</v>
      </c>
      <c r="K27" s="185" t="str">
        <f>IFERROR(VLOOKUP(A27,Ativos!A:H,8,),"")</f>
        <v>Brasil</v>
      </c>
      <c r="L27" s="186">
        <f t="shared" si="3"/>
        <v>0.00624</v>
      </c>
    </row>
    <row r="28" ht="21.0" customHeight="1">
      <c r="A28" s="187" t="s">
        <v>114</v>
      </c>
      <c r="B28" s="187" t="s">
        <v>176</v>
      </c>
      <c r="C28" s="188">
        <v>44228.0</v>
      </c>
      <c r="D28" s="188">
        <v>44321.0</v>
      </c>
      <c r="E28" s="189">
        <v>2.56</v>
      </c>
      <c r="F28" s="182">
        <f t="shared" si="1"/>
        <v>2.56</v>
      </c>
      <c r="G28" s="183">
        <f>IFERROR(__xludf.DUMMYFUNCTION("IFERROR(lookup(9999999999,FILTER('Operações-BR'!$M:$M,'Operações-BR'!$C:$C=A28,'Operações-BR'!$A:$A&lt;=C28)),0)"),150.0)</f>
        <v>150</v>
      </c>
      <c r="H28" s="184">
        <f t="shared" si="2"/>
        <v>384</v>
      </c>
      <c r="I28" s="184">
        <f>IFERROR(__xludf.DUMMYFUNCTION("IFERROR(lookup(9999999999,FILTER('Operações-BR'!Q:Q,'Operações-BR'!$C:$C=A28,'Operações-BR'!$A:$A&lt;=C28))/G28,0)"),15.0)</f>
        <v>15</v>
      </c>
      <c r="J28" s="185" t="str">
        <f>IFERROR(VLOOKUP(A28,Ativos!$A$1:$G2000,5,),"")</f>
        <v>AÇÃO</v>
      </c>
      <c r="K28" s="185" t="str">
        <f>IFERROR(VLOOKUP(A28,Ativos!A:H,8,),"")</f>
        <v>Brasil</v>
      </c>
      <c r="L28" s="186">
        <f t="shared" si="3"/>
        <v>0.1706666667</v>
      </c>
    </row>
    <row r="29" ht="21.0" customHeight="1">
      <c r="A29" s="187" t="s">
        <v>106</v>
      </c>
      <c r="B29" s="187" t="s">
        <v>21</v>
      </c>
      <c r="C29" s="188">
        <v>44287.0</v>
      </c>
      <c r="D29" s="188">
        <v>44331.0</v>
      </c>
      <c r="E29" s="189">
        <v>0.78</v>
      </c>
      <c r="F29" s="182">
        <f t="shared" si="1"/>
        <v>0.78</v>
      </c>
      <c r="G29" s="183">
        <f>IFERROR(__xludf.DUMMYFUNCTION("IFERROR(lookup(9999999999,FILTER('Operações-BR'!$M:$M,'Operações-BR'!$C:$C=A29,'Operações-BR'!$A:$A&lt;=C29)),0)"),150.0)</f>
        <v>150</v>
      </c>
      <c r="H29" s="184">
        <f t="shared" si="2"/>
        <v>117</v>
      </c>
      <c r="I29" s="184">
        <f>IFERROR(__xludf.DUMMYFUNCTION("IFERROR(lookup(9999999999,FILTER('Operações-BR'!Q:Q,'Operações-BR'!$C:$C=A29,'Operações-BR'!$A:$A&lt;=C29))/G29,0)"),170.0)</f>
        <v>170</v>
      </c>
      <c r="J29" s="185" t="str">
        <f>IFERROR(VLOOKUP(A29,Ativos!$A$1:$G2000,5,),"")</f>
        <v>FII</v>
      </c>
      <c r="K29" s="185" t="str">
        <f>IFERROR(VLOOKUP(A29,Ativos!A:H,8,),"")</f>
        <v>Brasil</v>
      </c>
      <c r="L29" s="186">
        <f t="shared" si="3"/>
        <v>0.004588235294</v>
      </c>
    </row>
    <row r="30" ht="21.0" customHeight="1">
      <c r="A30" s="187"/>
      <c r="B30" s="187"/>
      <c r="C30" s="188"/>
      <c r="D30" s="188"/>
      <c r="E30" s="189"/>
      <c r="F30" s="182" t="str">
        <f t="shared" si="1"/>
        <v/>
      </c>
      <c r="G30" s="183">
        <f>IFERROR(__xludf.DUMMYFUNCTION("IFERROR(lookup(9999999999,FILTER('Operações-BR'!$M:$M,'Operações-BR'!$C:$C=A30,'Operações-BR'!$A:$A&lt;=C30)),0)"),0.0)</f>
        <v>0</v>
      </c>
      <c r="H30" s="184">
        <f t="shared" si="2"/>
        <v>0</v>
      </c>
      <c r="I30" s="184">
        <f>IFERROR(__xludf.DUMMYFUNCTION("IFERROR(lookup(9999999999,FILTER('Operações-BR'!Q:Q,'Operações-BR'!$C:$C=A30,'Operações-BR'!$A:$A&lt;=C30))/G30,0)"),0.0)</f>
        <v>0</v>
      </c>
      <c r="J30" s="185" t="str">
        <f>IFERROR(VLOOKUP(A30,Ativos!$A$1:$G2000,5,),"")</f>
        <v/>
      </c>
      <c r="K30" s="185" t="str">
        <f>IFERROR(VLOOKUP(A30,Ativos!A:H,8,),"")</f>
        <v/>
      </c>
      <c r="L30" s="186">
        <f t="shared" si="3"/>
        <v>0</v>
      </c>
    </row>
    <row r="31" ht="21.0" customHeight="1">
      <c r="A31" s="187"/>
      <c r="B31" s="187"/>
      <c r="C31" s="188"/>
      <c r="D31" s="188"/>
      <c r="E31" s="189"/>
      <c r="F31" s="182" t="str">
        <f t="shared" si="1"/>
        <v/>
      </c>
      <c r="G31" s="183">
        <f>IFERROR(__xludf.DUMMYFUNCTION("IFERROR(lookup(9999999999,FILTER('Operações-BR'!$M:$M,'Operações-BR'!$C:$C=A31,'Operações-BR'!$A:$A&lt;=C31)),0)"),0.0)</f>
        <v>0</v>
      </c>
      <c r="H31" s="184">
        <f t="shared" si="2"/>
        <v>0</v>
      </c>
      <c r="I31" s="184">
        <f>IFERROR(__xludf.DUMMYFUNCTION("IFERROR(lookup(9999999999,FILTER('Operações-BR'!Q:Q,'Operações-BR'!$C:$C=A31,'Operações-BR'!$A:$A&lt;=C31))/G31,0)"),0.0)</f>
        <v>0</v>
      </c>
      <c r="J31" s="185" t="str">
        <f>IFERROR(VLOOKUP(A31,Ativos!$A$1:$G2000,5,),"")</f>
        <v/>
      </c>
      <c r="K31" s="185" t="str">
        <f>IFERROR(VLOOKUP(A31,Ativos!A:H,8,),"")</f>
        <v/>
      </c>
      <c r="L31" s="186">
        <f t="shared" si="3"/>
        <v>0</v>
      </c>
    </row>
    <row r="32" ht="21.0" customHeight="1">
      <c r="A32" s="187"/>
      <c r="B32" s="187"/>
      <c r="C32" s="188"/>
      <c r="D32" s="188"/>
      <c r="E32" s="189"/>
      <c r="F32" s="182" t="str">
        <f t="shared" si="1"/>
        <v/>
      </c>
      <c r="G32" s="183">
        <f>IFERROR(__xludf.DUMMYFUNCTION("IFERROR(lookup(9999999999,FILTER('Operações-BR'!$M:$M,'Operações-BR'!$C:$C=A32,'Operações-BR'!$A:$A&lt;=C32)),0)"),0.0)</f>
        <v>0</v>
      </c>
      <c r="H32" s="184">
        <f t="shared" si="2"/>
        <v>0</v>
      </c>
      <c r="I32" s="184">
        <f>IFERROR(__xludf.DUMMYFUNCTION("IFERROR(lookup(9999999999,FILTER('Operações-BR'!Q:Q,'Operações-BR'!$C:$C=A32,'Operações-BR'!$A:$A&lt;=C32))/G32,0)"),0.0)</f>
        <v>0</v>
      </c>
      <c r="J32" s="185" t="str">
        <f>IFERROR(VLOOKUP(A32,Ativos!$A$1:$G2000,5,),"")</f>
        <v/>
      </c>
      <c r="K32" s="185" t="str">
        <f>IFERROR(VLOOKUP(A32,Ativos!A:H,8,),"")</f>
        <v/>
      </c>
      <c r="L32" s="186">
        <f t="shared" si="3"/>
        <v>0</v>
      </c>
    </row>
    <row r="33" ht="21.0" customHeight="1">
      <c r="A33" s="187"/>
      <c r="B33" s="187"/>
      <c r="C33" s="188"/>
      <c r="D33" s="188"/>
      <c r="E33" s="189"/>
      <c r="F33" s="182" t="str">
        <f t="shared" si="1"/>
        <v/>
      </c>
      <c r="G33" s="183">
        <f>IFERROR(__xludf.DUMMYFUNCTION("IFERROR(lookup(9999999999,FILTER('Operações-BR'!$M:$M,'Operações-BR'!$C:$C=A33,'Operações-BR'!$A:$A&lt;=C33)),0)"),0.0)</f>
        <v>0</v>
      </c>
      <c r="H33" s="184">
        <f t="shared" si="2"/>
        <v>0</v>
      </c>
      <c r="I33" s="184">
        <f>IFERROR(__xludf.DUMMYFUNCTION("IFERROR(lookup(9999999999,FILTER('Operações-BR'!Q:Q,'Operações-BR'!$C:$C=A33,'Operações-BR'!$A:$A&lt;=C33))/G33,0)"),0.0)</f>
        <v>0</v>
      </c>
      <c r="J33" s="185" t="str">
        <f>IFERROR(VLOOKUP(A33,Ativos!$A$1:$G2000,5,),"")</f>
        <v/>
      </c>
      <c r="K33" s="185" t="str">
        <f>IFERROR(VLOOKUP(A33,Ativos!A:H,8,),"")</f>
        <v/>
      </c>
      <c r="L33" s="186">
        <f t="shared" si="3"/>
        <v>0</v>
      </c>
    </row>
    <row r="34" ht="21.0" customHeight="1">
      <c r="A34" s="187"/>
      <c r="B34" s="187"/>
      <c r="C34" s="188"/>
      <c r="D34" s="188"/>
      <c r="E34" s="189"/>
      <c r="F34" s="182" t="str">
        <f t="shared" si="1"/>
        <v/>
      </c>
      <c r="G34" s="183">
        <f>IFERROR(__xludf.DUMMYFUNCTION("IFERROR(lookup(9999999999,FILTER('Operações-BR'!$M:$M,'Operações-BR'!$C:$C=A34,'Operações-BR'!$A:$A&lt;=C34)),0)"),0.0)</f>
        <v>0</v>
      </c>
      <c r="H34" s="184">
        <f t="shared" si="2"/>
        <v>0</v>
      </c>
      <c r="I34" s="184">
        <f>IFERROR(__xludf.DUMMYFUNCTION("IFERROR(lookup(9999999999,FILTER('Operações-BR'!Q:Q,'Operações-BR'!$C:$C=A34,'Operações-BR'!$A:$A&lt;=C34))/G34,0)"),0.0)</f>
        <v>0</v>
      </c>
      <c r="J34" s="185" t="str">
        <f>IFERROR(VLOOKUP(A34,Ativos!$A$1:$G2000,5,),"")</f>
        <v/>
      </c>
      <c r="K34" s="185" t="str">
        <f>IFERROR(VLOOKUP(A34,Ativos!A:H,8,),"")</f>
        <v/>
      </c>
      <c r="L34" s="186">
        <f t="shared" si="3"/>
        <v>0</v>
      </c>
    </row>
    <row r="35" ht="21.0" customHeight="1">
      <c r="A35" s="187"/>
      <c r="B35" s="187"/>
      <c r="C35" s="188"/>
      <c r="D35" s="188"/>
      <c r="E35" s="189"/>
      <c r="F35" s="182" t="str">
        <f t="shared" si="1"/>
        <v/>
      </c>
      <c r="G35" s="183">
        <f>IFERROR(__xludf.DUMMYFUNCTION("IFERROR(lookup(9999999999,FILTER('Operações-BR'!$M:$M,'Operações-BR'!$C:$C=A35,'Operações-BR'!$A:$A&lt;=C35)),0)"),0.0)</f>
        <v>0</v>
      </c>
      <c r="H35" s="184">
        <f t="shared" si="2"/>
        <v>0</v>
      </c>
      <c r="I35" s="184">
        <f>IFERROR(__xludf.DUMMYFUNCTION("IFERROR(lookup(9999999999,FILTER('Operações-BR'!Q:Q,'Operações-BR'!$C:$C=A35,'Operações-BR'!$A:$A&lt;=C35))/G35,0)"),0.0)</f>
        <v>0</v>
      </c>
      <c r="J35" s="185" t="str">
        <f>IFERROR(VLOOKUP(A35,Ativos!$A$1:$G2000,5,),"")</f>
        <v/>
      </c>
      <c r="K35" s="185" t="str">
        <f>IFERROR(VLOOKUP(A35,Ativos!A:H,8,),"")</f>
        <v/>
      </c>
      <c r="L35" s="186">
        <f t="shared" si="3"/>
        <v>0</v>
      </c>
    </row>
    <row r="36" ht="21.0" customHeight="1">
      <c r="A36" s="187"/>
      <c r="B36" s="187"/>
      <c r="C36" s="188"/>
      <c r="D36" s="188"/>
      <c r="E36" s="189"/>
      <c r="F36" s="182" t="str">
        <f t="shared" si="1"/>
        <v/>
      </c>
      <c r="G36" s="183">
        <f>IFERROR(__xludf.DUMMYFUNCTION("IFERROR(lookup(9999999999,FILTER('Operações-BR'!$M:$M,'Operações-BR'!$C:$C=A36,'Operações-BR'!$A:$A&lt;=C36)),0)"),0.0)</f>
        <v>0</v>
      </c>
      <c r="H36" s="184">
        <f t="shared" si="2"/>
        <v>0</v>
      </c>
      <c r="I36" s="184">
        <f>IFERROR(__xludf.DUMMYFUNCTION("IFERROR(lookup(9999999999,FILTER('Operações-BR'!Q:Q,'Operações-BR'!$C:$C=A36,'Operações-BR'!$A:$A&lt;=C36))/G36,0)"),0.0)</f>
        <v>0</v>
      </c>
      <c r="J36" s="185" t="str">
        <f>IFERROR(VLOOKUP(A36,Ativos!$A$1:$G2000,5,),"")</f>
        <v/>
      </c>
      <c r="K36" s="185" t="str">
        <f>IFERROR(VLOOKUP(A36,Ativos!A:H,8,),"")</f>
        <v/>
      </c>
      <c r="L36" s="186">
        <f t="shared" si="3"/>
        <v>0</v>
      </c>
    </row>
    <row r="37" ht="21.0" customHeight="1">
      <c r="A37" s="187"/>
      <c r="B37" s="187"/>
      <c r="C37" s="188"/>
      <c r="D37" s="188"/>
      <c r="E37" s="189"/>
      <c r="F37" s="182" t="str">
        <f t="shared" si="1"/>
        <v/>
      </c>
      <c r="G37" s="183">
        <f>IFERROR(__xludf.DUMMYFUNCTION("IFERROR(lookup(9999999999,FILTER('Operações-BR'!$M:$M,'Operações-BR'!$C:$C=A37,'Operações-BR'!$A:$A&lt;=C37)),0)"),0.0)</f>
        <v>0</v>
      </c>
      <c r="H37" s="184">
        <f t="shared" si="2"/>
        <v>0</v>
      </c>
      <c r="I37" s="184">
        <f>IFERROR(__xludf.DUMMYFUNCTION("IFERROR(lookup(9999999999,FILTER('Operações-BR'!Q:Q,'Operações-BR'!$C:$C=A37,'Operações-BR'!$A:$A&lt;=C37))/G37,0)"),0.0)</f>
        <v>0</v>
      </c>
      <c r="J37" s="185" t="str">
        <f>IFERROR(VLOOKUP(A37,Ativos!$A$1:$G2000,5,),"")</f>
        <v/>
      </c>
      <c r="K37" s="185" t="str">
        <f>IFERROR(VLOOKUP(A37,Ativos!A:H,8,),"")</f>
        <v/>
      </c>
      <c r="L37" s="186">
        <f t="shared" si="3"/>
        <v>0</v>
      </c>
    </row>
    <row r="38" ht="21.0" customHeight="1">
      <c r="A38" s="187"/>
      <c r="B38" s="187"/>
      <c r="C38" s="188"/>
      <c r="D38" s="188"/>
      <c r="E38" s="189"/>
      <c r="F38" s="182" t="str">
        <f t="shared" si="1"/>
        <v/>
      </c>
      <c r="G38" s="183">
        <f>IFERROR(__xludf.DUMMYFUNCTION("IFERROR(lookup(9999999999,FILTER('Operações-BR'!$M:$M,'Operações-BR'!$C:$C=A38,'Operações-BR'!$A:$A&lt;=C38)),0)"),0.0)</f>
        <v>0</v>
      </c>
      <c r="H38" s="184">
        <f t="shared" si="2"/>
        <v>0</v>
      </c>
      <c r="I38" s="184">
        <f>IFERROR(__xludf.DUMMYFUNCTION("IFERROR(lookup(9999999999,FILTER('Operações-BR'!Q:Q,'Operações-BR'!$C:$C=A38,'Operações-BR'!$A:$A&lt;=C38))/G38,0)"),0.0)</f>
        <v>0</v>
      </c>
      <c r="J38" s="185" t="str">
        <f>IFERROR(VLOOKUP(A38,Ativos!$A$1:$G2000,5,),"")</f>
        <v/>
      </c>
      <c r="K38" s="185" t="str">
        <f>IFERROR(VLOOKUP(A38,Ativos!A:H,8,),"")</f>
        <v/>
      </c>
      <c r="L38" s="186">
        <f t="shared" si="3"/>
        <v>0</v>
      </c>
    </row>
    <row r="39" ht="21.0" customHeight="1">
      <c r="A39" s="187"/>
      <c r="B39" s="187"/>
      <c r="C39" s="188"/>
      <c r="D39" s="188"/>
      <c r="E39" s="189"/>
      <c r="F39" s="182" t="str">
        <f t="shared" si="1"/>
        <v/>
      </c>
      <c r="G39" s="183">
        <f>IFERROR(__xludf.DUMMYFUNCTION("IFERROR(lookup(9999999999,FILTER('Operações-BR'!$M:$M,'Operações-BR'!$C:$C=A39,'Operações-BR'!$A:$A&lt;=C39)),0)"),0.0)</f>
        <v>0</v>
      </c>
      <c r="H39" s="184">
        <f t="shared" si="2"/>
        <v>0</v>
      </c>
      <c r="I39" s="184">
        <f>IFERROR(__xludf.DUMMYFUNCTION("IFERROR(lookup(9999999999,FILTER('Operações-BR'!Q:Q,'Operações-BR'!$C:$C=A39,'Operações-BR'!$A:$A&lt;=C39))/G39,0)"),0.0)</f>
        <v>0</v>
      </c>
      <c r="J39" s="185" t="str">
        <f>IFERROR(VLOOKUP(A39,Ativos!$A$1:$G2000,5,),"")</f>
        <v/>
      </c>
      <c r="K39" s="185" t="str">
        <f>IFERROR(VLOOKUP(A39,Ativos!A:H,8,),"")</f>
        <v/>
      </c>
      <c r="L39" s="186">
        <f t="shared" si="3"/>
        <v>0</v>
      </c>
    </row>
    <row r="40" ht="21.0" customHeight="1">
      <c r="A40" s="187"/>
      <c r="B40" s="187"/>
      <c r="C40" s="188"/>
      <c r="D40" s="188"/>
      <c r="E40" s="189"/>
      <c r="F40" s="182" t="str">
        <f t="shared" si="1"/>
        <v/>
      </c>
      <c r="G40" s="183">
        <f>IFERROR(__xludf.DUMMYFUNCTION("IFERROR(lookup(9999999999,FILTER('Operações-BR'!$M:$M,'Operações-BR'!$C:$C=A40,'Operações-BR'!$A:$A&lt;=C40)),0)"),0.0)</f>
        <v>0</v>
      </c>
      <c r="H40" s="184">
        <f t="shared" si="2"/>
        <v>0</v>
      </c>
      <c r="I40" s="184">
        <f>IFERROR(__xludf.DUMMYFUNCTION("IFERROR(lookup(9999999999,FILTER('Operações-BR'!Q:Q,'Operações-BR'!$C:$C=A40,'Operações-BR'!$A:$A&lt;=C40))/G40,0)"),0.0)</f>
        <v>0</v>
      </c>
      <c r="J40" s="185" t="str">
        <f>IFERROR(VLOOKUP(A40,Ativos!$A$1:$G2000,5,),"")</f>
        <v/>
      </c>
      <c r="K40" s="185" t="str">
        <f>IFERROR(VLOOKUP(A40,Ativos!A:H,8,),"")</f>
        <v/>
      </c>
      <c r="L40" s="186">
        <f t="shared" si="3"/>
        <v>0</v>
      </c>
    </row>
    <row r="41" ht="21.0" customHeight="1">
      <c r="A41" s="187"/>
      <c r="B41" s="187"/>
      <c r="C41" s="188"/>
      <c r="D41" s="188"/>
      <c r="E41" s="189"/>
      <c r="F41" s="182" t="str">
        <f t="shared" si="1"/>
        <v/>
      </c>
      <c r="G41" s="183">
        <f>IFERROR(__xludf.DUMMYFUNCTION("IFERROR(lookup(9999999999,FILTER('Operações-BR'!$M:$M,'Operações-BR'!$C:$C=A41,'Operações-BR'!$A:$A&lt;=C41)),0)"),0.0)</f>
        <v>0</v>
      </c>
      <c r="H41" s="184">
        <f t="shared" si="2"/>
        <v>0</v>
      </c>
      <c r="I41" s="184">
        <f>IFERROR(__xludf.DUMMYFUNCTION("IFERROR(lookup(9999999999,FILTER('Operações-BR'!Q:Q,'Operações-BR'!$C:$C=A41,'Operações-BR'!$A:$A&lt;=C41))/G41,0)"),0.0)</f>
        <v>0</v>
      </c>
      <c r="J41" s="185" t="str">
        <f>IFERROR(VLOOKUP(A41,Ativos!$A$1:$G2000,5,),"")</f>
        <v/>
      </c>
      <c r="K41" s="185" t="str">
        <f>IFERROR(VLOOKUP(A41,Ativos!A:H,8,),"")</f>
        <v/>
      </c>
      <c r="L41" s="186">
        <f t="shared" si="3"/>
        <v>0</v>
      </c>
    </row>
    <row r="42" ht="21.0" customHeight="1">
      <c r="A42" s="187"/>
      <c r="B42" s="187"/>
      <c r="C42" s="188"/>
      <c r="D42" s="188"/>
      <c r="E42" s="189"/>
      <c r="F42" s="182" t="str">
        <f t="shared" si="1"/>
        <v/>
      </c>
      <c r="G42" s="183">
        <f>IFERROR(__xludf.DUMMYFUNCTION("IFERROR(lookup(9999999999,FILTER('Operações-BR'!$M:$M,'Operações-BR'!$C:$C=A42,'Operações-BR'!$A:$A&lt;=C42)),0)"),0.0)</f>
        <v>0</v>
      </c>
      <c r="H42" s="184">
        <f t="shared" si="2"/>
        <v>0</v>
      </c>
      <c r="I42" s="184">
        <f>IFERROR(__xludf.DUMMYFUNCTION("IFERROR(lookup(9999999999,FILTER('Operações-BR'!Q:Q,'Operações-BR'!$C:$C=A42,'Operações-BR'!$A:$A&lt;=C42))/G42,0)"),0.0)</f>
        <v>0</v>
      </c>
      <c r="J42" s="185" t="str">
        <f>IFERROR(VLOOKUP(A42,Ativos!$A$1:$G2000,5,),"")</f>
        <v/>
      </c>
      <c r="K42" s="185" t="str">
        <f>IFERROR(VLOOKUP(A42,Ativos!A:H,8,),"")</f>
        <v/>
      </c>
      <c r="L42" s="186">
        <f t="shared" si="3"/>
        <v>0</v>
      </c>
    </row>
    <row r="43" ht="21.0" customHeight="1">
      <c r="A43" s="192"/>
      <c r="B43" s="192"/>
      <c r="C43" s="188"/>
      <c r="D43" s="193"/>
      <c r="E43" s="194"/>
      <c r="F43" s="182" t="str">
        <f t="shared" si="1"/>
        <v/>
      </c>
      <c r="G43" s="183">
        <f>IFERROR(__xludf.DUMMYFUNCTION("IFERROR(lookup(9999999999,FILTER('Operações-BR'!$M:$M,'Operações-BR'!$C:$C=A43,'Operações-BR'!$A:$A&lt;=C43)),0)"),0.0)</f>
        <v>0</v>
      </c>
      <c r="H43" s="184">
        <f t="shared" si="2"/>
        <v>0</v>
      </c>
      <c r="I43" s="184">
        <f>IFERROR(__xludf.DUMMYFUNCTION("IFERROR(lookup(9999999999,FILTER('Operações-BR'!Q:Q,'Operações-BR'!$C:$C=A43,'Operações-BR'!$A:$A&lt;=C43))/G43,0)"),0.0)</f>
        <v>0</v>
      </c>
      <c r="J43" s="185" t="str">
        <f>IFERROR(VLOOKUP(A43,Ativos!$A$1:$G2000,5,),"")</f>
        <v/>
      </c>
      <c r="K43" s="185" t="str">
        <f>IFERROR(VLOOKUP(A43,Ativos!A:H,8,),"")</f>
        <v/>
      </c>
      <c r="L43" s="186">
        <f t="shared" si="3"/>
        <v>0</v>
      </c>
    </row>
    <row r="44" ht="21.0" customHeight="1">
      <c r="A44" s="187"/>
      <c r="B44" s="187"/>
      <c r="C44" s="188"/>
      <c r="D44" s="188"/>
      <c r="E44" s="189"/>
      <c r="F44" s="182" t="str">
        <f t="shared" si="1"/>
        <v/>
      </c>
      <c r="G44" s="183">
        <f>IFERROR(__xludf.DUMMYFUNCTION("IFERROR(lookup(9999999999,FILTER('Operações-BR'!$M:$M,'Operações-BR'!$C:$C=A44,'Operações-BR'!$A:$A&lt;=C44)),0)"),0.0)</f>
        <v>0</v>
      </c>
      <c r="H44" s="184">
        <f t="shared" si="2"/>
        <v>0</v>
      </c>
      <c r="I44" s="184">
        <f>IFERROR(__xludf.DUMMYFUNCTION("IFERROR(lookup(9999999999,FILTER('Operações-BR'!Q:Q,'Operações-BR'!$C:$C=A44,'Operações-BR'!$A:$A&lt;=C44))/G44,0)"),0.0)</f>
        <v>0</v>
      </c>
      <c r="J44" s="185" t="str">
        <f>IFERROR(VLOOKUP(A44,Ativos!$A$1:$G2000,5,),"")</f>
        <v/>
      </c>
      <c r="K44" s="185" t="str">
        <f>IFERROR(VLOOKUP(A44,Ativos!A:H,8,),"")</f>
        <v/>
      </c>
      <c r="L44" s="186">
        <f t="shared" si="3"/>
        <v>0</v>
      </c>
    </row>
    <row r="45" ht="21.0" customHeight="1">
      <c r="A45" s="187"/>
      <c r="B45" s="187"/>
      <c r="C45" s="188"/>
      <c r="D45" s="188"/>
      <c r="E45" s="189"/>
      <c r="F45" s="182" t="str">
        <f t="shared" si="1"/>
        <v/>
      </c>
      <c r="G45" s="183">
        <f>IFERROR(__xludf.DUMMYFUNCTION("IFERROR(lookup(9999999999,FILTER('Operações-BR'!$M:$M,'Operações-BR'!$C:$C=A45,'Operações-BR'!$A:$A&lt;=C45)),0)"),0.0)</f>
        <v>0</v>
      </c>
      <c r="H45" s="184">
        <f t="shared" si="2"/>
        <v>0</v>
      </c>
      <c r="I45" s="184">
        <f>IFERROR(__xludf.DUMMYFUNCTION("IFERROR(lookup(9999999999,FILTER('Operações-BR'!Q:Q,'Operações-BR'!$C:$C=A45,'Operações-BR'!$A:$A&lt;=C45))/G45,0)"),0.0)</f>
        <v>0</v>
      </c>
      <c r="J45" s="185" t="str">
        <f>IFERROR(VLOOKUP(A45,Ativos!$A$1:$G2000,5,),"")</f>
        <v/>
      </c>
      <c r="K45" s="185" t="str">
        <f>IFERROR(VLOOKUP(A45,Ativos!A:H,8,),"")</f>
        <v/>
      </c>
      <c r="L45" s="186">
        <f t="shared" si="3"/>
        <v>0</v>
      </c>
    </row>
    <row r="46" ht="21.0" customHeight="1">
      <c r="A46" s="187"/>
      <c r="B46" s="187"/>
      <c r="C46" s="188"/>
      <c r="D46" s="188"/>
      <c r="E46" s="189"/>
      <c r="F46" s="182" t="str">
        <f t="shared" si="1"/>
        <v/>
      </c>
      <c r="G46" s="183">
        <f>IFERROR(__xludf.DUMMYFUNCTION("IFERROR(lookup(9999999999,FILTER('Operações-BR'!$M:$M,'Operações-BR'!$C:$C=A46,'Operações-BR'!$A:$A&lt;=C46)),0)"),0.0)</f>
        <v>0</v>
      </c>
      <c r="H46" s="184">
        <f t="shared" si="2"/>
        <v>0</v>
      </c>
      <c r="I46" s="184">
        <f>IFERROR(__xludf.DUMMYFUNCTION("IFERROR(lookup(9999999999,FILTER('Operações-BR'!Q:Q,'Operações-BR'!$C:$C=A46,'Operações-BR'!$A:$A&lt;=C46))/G46,0)"),0.0)</f>
        <v>0</v>
      </c>
      <c r="J46" s="185" t="str">
        <f>IFERROR(VLOOKUP(A46,Ativos!$A$1:$G2000,5,),"")</f>
        <v/>
      </c>
      <c r="K46" s="185" t="str">
        <f>IFERROR(VLOOKUP(A46,Ativos!A:H,8,),"")</f>
        <v/>
      </c>
      <c r="L46" s="186">
        <f t="shared" si="3"/>
        <v>0</v>
      </c>
    </row>
    <row r="47" ht="21.0" customHeight="1">
      <c r="A47" s="187"/>
      <c r="B47" s="187"/>
      <c r="C47" s="188"/>
      <c r="D47" s="188"/>
      <c r="E47" s="189"/>
      <c r="F47" s="182" t="str">
        <f t="shared" si="1"/>
        <v/>
      </c>
      <c r="G47" s="183">
        <f>IFERROR(__xludf.DUMMYFUNCTION("IFERROR(lookup(9999999999,FILTER('Operações-BR'!$M:$M,'Operações-BR'!$C:$C=A47,'Operações-BR'!$A:$A&lt;=C47)),0)"),0.0)</f>
        <v>0</v>
      </c>
      <c r="H47" s="184">
        <f t="shared" si="2"/>
        <v>0</v>
      </c>
      <c r="I47" s="184">
        <f>IFERROR(__xludf.DUMMYFUNCTION("IFERROR(lookup(9999999999,FILTER('Operações-BR'!Q:Q,'Operações-BR'!$C:$C=A47,'Operações-BR'!$A:$A&lt;=C47))/G47,0)"),0.0)</f>
        <v>0</v>
      </c>
      <c r="J47" s="185" t="str">
        <f>IFERROR(VLOOKUP(A47,Ativos!$A$1:$G2000,5,),"")</f>
        <v/>
      </c>
      <c r="K47" s="185" t="str">
        <f>IFERROR(VLOOKUP(A47,Ativos!A:H,8,),"")</f>
        <v/>
      </c>
      <c r="L47" s="186">
        <f t="shared" si="3"/>
        <v>0</v>
      </c>
    </row>
    <row r="48" ht="22.5" customHeight="1">
      <c r="A48" s="187"/>
      <c r="B48" s="187"/>
      <c r="C48" s="188"/>
      <c r="D48" s="188"/>
      <c r="E48" s="189"/>
      <c r="F48" s="182" t="str">
        <f t="shared" si="1"/>
        <v/>
      </c>
      <c r="G48" s="183">
        <f>IFERROR(__xludf.DUMMYFUNCTION("IFERROR(lookup(9999999999,FILTER('Operações-BR'!$M:$M,'Operações-BR'!$C:$C=A48,'Operações-BR'!$A:$A&lt;=C48)),0)"),0.0)</f>
        <v>0</v>
      </c>
      <c r="H48" s="184">
        <f t="shared" si="2"/>
        <v>0</v>
      </c>
      <c r="I48" s="184">
        <f>IFERROR(__xludf.DUMMYFUNCTION("IFERROR(lookup(9999999999,FILTER('Operações-BR'!Q:Q,'Operações-BR'!$C:$C=A48,'Operações-BR'!$A:$A&lt;=C48))/G48,0)"),0.0)</f>
        <v>0</v>
      </c>
      <c r="J48" s="185" t="str">
        <f>IFERROR(VLOOKUP(A48,Ativos!$A$1:$G2000,5,),"")</f>
        <v/>
      </c>
      <c r="K48" s="185" t="str">
        <f>IFERROR(VLOOKUP(A48,Ativos!A:H,8,),"")</f>
        <v/>
      </c>
      <c r="L48" s="186">
        <f t="shared" si="3"/>
        <v>0</v>
      </c>
    </row>
    <row r="49" ht="21.0" customHeight="1">
      <c r="A49" s="187"/>
      <c r="B49" s="187"/>
      <c r="C49" s="188"/>
      <c r="D49" s="188"/>
      <c r="E49" s="189"/>
      <c r="F49" s="182" t="str">
        <f t="shared" si="1"/>
        <v/>
      </c>
      <c r="G49" s="183">
        <f>IFERROR(__xludf.DUMMYFUNCTION("IFERROR(lookup(9999999999,FILTER('Operações-BR'!$M:$M,'Operações-BR'!$C:$C=A49,'Operações-BR'!$A:$A&lt;=C49)),0)"),0.0)</f>
        <v>0</v>
      </c>
      <c r="H49" s="184">
        <f t="shared" si="2"/>
        <v>0</v>
      </c>
      <c r="I49" s="184">
        <f>IFERROR(__xludf.DUMMYFUNCTION("IFERROR(lookup(9999999999,FILTER('Operações-BR'!Q:Q,'Operações-BR'!$C:$C=A49,'Operações-BR'!$A:$A&lt;=C49))/G49,0)"),0.0)</f>
        <v>0</v>
      </c>
      <c r="J49" s="185" t="str">
        <f>IFERROR(VLOOKUP(A49,Ativos!$A$1:$G2000,5,),"")</f>
        <v/>
      </c>
      <c r="K49" s="185" t="str">
        <f>IFERROR(VLOOKUP(A49,Ativos!A:H,8,),"")</f>
        <v/>
      </c>
      <c r="L49" s="186">
        <f t="shared" si="3"/>
        <v>0</v>
      </c>
    </row>
    <row r="50" ht="21.0" customHeight="1">
      <c r="A50" s="187"/>
      <c r="B50" s="187"/>
      <c r="C50" s="188"/>
      <c r="D50" s="188"/>
      <c r="E50" s="189"/>
      <c r="F50" s="182" t="str">
        <f t="shared" si="1"/>
        <v/>
      </c>
      <c r="G50" s="183">
        <f>IFERROR(__xludf.DUMMYFUNCTION("IFERROR(lookup(9999999999,FILTER('Operações-BR'!$M:$M,'Operações-BR'!$C:$C=A50,'Operações-BR'!$A:$A&lt;=C50)),0)"),0.0)</f>
        <v>0</v>
      </c>
      <c r="H50" s="184">
        <f t="shared" si="2"/>
        <v>0</v>
      </c>
      <c r="I50" s="184">
        <f>IFERROR(__xludf.DUMMYFUNCTION("IFERROR(lookup(9999999999,FILTER('Operações-BR'!Q:Q,'Operações-BR'!$C:$C=A50,'Operações-BR'!$A:$A&lt;=C50))/G50,0)"),0.0)</f>
        <v>0</v>
      </c>
      <c r="J50" s="185" t="str">
        <f>IFERROR(VLOOKUP(A50,Ativos!$A$1:$G2000,5,),"")</f>
        <v/>
      </c>
      <c r="K50" s="185" t="str">
        <f>IFERROR(VLOOKUP(A50,Ativos!A:H,8,),"")</f>
        <v/>
      </c>
      <c r="L50" s="186">
        <f t="shared" si="3"/>
        <v>0</v>
      </c>
    </row>
    <row r="51" ht="21.0" customHeight="1">
      <c r="A51" s="187"/>
      <c r="B51" s="187"/>
      <c r="C51" s="188"/>
      <c r="D51" s="190"/>
      <c r="E51" s="189"/>
      <c r="F51" s="182" t="str">
        <f t="shared" si="1"/>
        <v/>
      </c>
      <c r="G51" s="183">
        <f>IFERROR(__xludf.DUMMYFUNCTION("IFERROR(lookup(9999999999,FILTER('Operações-BR'!$M:$M,'Operações-BR'!$C:$C=A51,'Operações-BR'!$A:$A&lt;=C51)),0)"),0.0)</f>
        <v>0</v>
      </c>
      <c r="H51" s="184">
        <f t="shared" si="2"/>
        <v>0</v>
      </c>
      <c r="I51" s="184">
        <f>IFERROR(__xludf.DUMMYFUNCTION("IFERROR(lookup(9999999999,FILTER('Operações-BR'!Q:Q,'Operações-BR'!$C:$C=A51,'Operações-BR'!$A:$A&lt;=C51))/G51,0)"),0.0)</f>
        <v>0</v>
      </c>
      <c r="J51" s="185" t="str">
        <f>IFERROR(VLOOKUP(A51,Ativos!$A$1:$G2000,5,),"")</f>
        <v/>
      </c>
      <c r="K51" s="185" t="str">
        <f>IFERROR(VLOOKUP(A51,Ativos!A:H,8,),"")</f>
        <v/>
      </c>
      <c r="L51" s="186">
        <f t="shared" si="3"/>
        <v>0</v>
      </c>
    </row>
    <row r="52" ht="21.0" customHeight="1">
      <c r="A52" s="187"/>
      <c r="B52" s="187"/>
      <c r="C52" s="188"/>
      <c r="D52" s="190"/>
      <c r="E52" s="189"/>
      <c r="F52" s="182" t="str">
        <f t="shared" si="1"/>
        <v/>
      </c>
      <c r="G52" s="183">
        <f>IFERROR(__xludf.DUMMYFUNCTION("IFERROR(lookup(9999999999,FILTER('Operações-BR'!$M:$M,'Operações-BR'!$C:$C=A52,'Operações-BR'!$A:$A&lt;=C52)),0)"),0.0)</f>
        <v>0</v>
      </c>
      <c r="H52" s="184">
        <f t="shared" si="2"/>
        <v>0</v>
      </c>
      <c r="I52" s="184">
        <f>IFERROR(__xludf.DUMMYFUNCTION("IFERROR(lookup(9999999999,FILTER('Operações-BR'!Q:Q,'Operações-BR'!$C:$C=A52,'Operações-BR'!$A:$A&lt;=C52))/G52,0)"),0.0)</f>
        <v>0</v>
      </c>
      <c r="J52" s="185" t="str">
        <f>IFERROR(VLOOKUP(A52,Ativos!$A$1:$G2000,5,),"")</f>
        <v/>
      </c>
      <c r="K52" s="185" t="str">
        <f>IFERROR(VLOOKUP(A52,Ativos!A:H,8,),"")</f>
        <v/>
      </c>
      <c r="L52" s="186">
        <f t="shared" si="3"/>
        <v>0</v>
      </c>
    </row>
    <row r="53" ht="21.0" customHeight="1">
      <c r="A53" s="187"/>
      <c r="B53" s="187"/>
      <c r="C53" s="188"/>
      <c r="D53" s="190"/>
      <c r="E53" s="189"/>
      <c r="F53" s="182" t="str">
        <f t="shared" si="1"/>
        <v/>
      </c>
      <c r="G53" s="183">
        <f>IFERROR(__xludf.DUMMYFUNCTION("IFERROR(lookup(9999999999,FILTER('Operações-BR'!$M:$M,'Operações-BR'!$C:$C=A53,'Operações-BR'!$A:$A&lt;=C53)),0)"),0.0)</f>
        <v>0</v>
      </c>
      <c r="H53" s="184">
        <f t="shared" si="2"/>
        <v>0</v>
      </c>
      <c r="I53" s="184">
        <f>IFERROR(__xludf.DUMMYFUNCTION("IFERROR(lookup(9999999999,FILTER('Operações-BR'!Q:Q,'Operações-BR'!$C:$C=A53,'Operações-BR'!$A:$A&lt;=C53))/G53,0)"),0.0)</f>
        <v>0</v>
      </c>
      <c r="J53" s="185" t="str">
        <f>IFERROR(VLOOKUP(A53,Ativos!$A$1:$G2000,5,),"")</f>
        <v/>
      </c>
      <c r="K53" s="185" t="str">
        <f>IFERROR(VLOOKUP(A53,Ativos!A:H,8,),"")</f>
        <v/>
      </c>
      <c r="L53" s="186">
        <f t="shared" si="3"/>
        <v>0</v>
      </c>
    </row>
    <row r="54" ht="21.0" customHeight="1">
      <c r="A54" s="187"/>
      <c r="B54" s="187"/>
      <c r="C54" s="188"/>
      <c r="D54" s="190"/>
      <c r="E54" s="189"/>
      <c r="F54" s="182" t="str">
        <f t="shared" si="1"/>
        <v/>
      </c>
      <c r="G54" s="183">
        <f>IFERROR(__xludf.DUMMYFUNCTION("IFERROR(lookup(9999999999,FILTER('Operações-BR'!$M:$M,'Operações-BR'!$C:$C=A54,'Operações-BR'!$A:$A&lt;=C54)),0)"),0.0)</f>
        <v>0</v>
      </c>
      <c r="H54" s="184">
        <f t="shared" si="2"/>
        <v>0</v>
      </c>
      <c r="I54" s="184">
        <f>IFERROR(__xludf.DUMMYFUNCTION("IFERROR(lookup(9999999999,FILTER('Operações-BR'!Q:Q,'Operações-BR'!$C:$C=A54,'Operações-BR'!$A:$A&lt;=C54))/G54,0)"),0.0)</f>
        <v>0</v>
      </c>
      <c r="J54" s="185" t="str">
        <f>IFERROR(VLOOKUP(A54,Ativos!$A$1:$G2000,5,),"")</f>
        <v/>
      </c>
      <c r="K54" s="185" t="str">
        <f>IFERROR(VLOOKUP(A54,Ativos!A:H,8,),"")</f>
        <v/>
      </c>
      <c r="L54" s="186">
        <f t="shared" si="3"/>
        <v>0</v>
      </c>
    </row>
    <row r="55" ht="21.0" customHeight="1">
      <c r="A55" s="187"/>
      <c r="B55" s="187"/>
      <c r="C55" s="188"/>
      <c r="D55" s="190"/>
      <c r="E55" s="189"/>
      <c r="F55" s="182" t="str">
        <f t="shared" si="1"/>
        <v/>
      </c>
      <c r="G55" s="183">
        <f>IFERROR(__xludf.DUMMYFUNCTION("IFERROR(lookup(9999999999,FILTER('Operações-BR'!$M:$M,'Operações-BR'!$C:$C=A55,'Operações-BR'!$A:$A&lt;=C55)),0)"),0.0)</f>
        <v>0</v>
      </c>
      <c r="H55" s="184">
        <f t="shared" si="2"/>
        <v>0</v>
      </c>
      <c r="I55" s="184">
        <f>IFERROR(__xludf.DUMMYFUNCTION("IFERROR(lookup(9999999999,FILTER('Operações-BR'!Q:Q,'Operações-BR'!$C:$C=A55,'Operações-BR'!$A:$A&lt;=C55))/G55,0)"),0.0)</f>
        <v>0</v>
      </c>
      <c r="J55" s="185" t="str">
        <f>IFERROR(VLOOKUP(A55,Ativos!$A$1:$G2000,5,),"")</f>
        <v/>
      </c>
      <c r="K55" s="185" t="str">
        <f>IFERROR(VLOOKUP(A55,Ativos!A:H,8,),"")</f>
        <v/>
      </c>
      <c r="L55" s="186">
        <f t="shared" si="3"/>
        <v>0</v>
      </c>
    </row>
    <row r="56" ht="21.0" customHeight="1">
      <c r="A56" s="187"/>
      <c r="B56" s="187"/>
      <c r="C56" s="188"/>
      <c r="D56" s="190"/>
      <c r="E56" s="189"/>
      <c r="F56" s="182" t="str">
        <f t="shared" si="1"/>
        <v/>
      </c>
      <c r="G56" s="183">
        <f>IFERROR(__xludf.DUMMYFUNCTION("IFERROR(lookup(9999999999,FILTER('Operações-BR'!$M:$M,'Operações-BR'!$C:$C=A56,'Operações-BR'!$A:$A&lt;=C56)),0)"),0.0)</f>
        <v>0</v>
      </c>
      <c r="H56" s="184">
        <f t="shared" si="2"/>
        <v>0</v>
      </c>
      <c r="I56" s="184">
        <f>IFERROR(__xludf.DUMMYFUNCTION("IFERROR(lookup(9999999999,FILTER('Operações-BR'!Q:Q,'Operações-BR'!$C:$C=A56,'Operações-BR'!$A:$A&lt;=C56))/G56,0)"),0.0)</f>
        <v>0</v>
      </c>
      <c r="J56" s="185" t="str">
        <f>IFERROR(VLOOKUP(A56,Ativos!$A$1:$G2000,5,),"")</f>
        <v/>
      </c>
      <c r="K56" s="185" t="str">
        <f>IFERROR(VLOOKUP(A56,Ativos!A:H,8,),"")</f>
        <v/>
      </c>
      <c r="L56" s="186">
        <f t="shared" si="3"/>
        <v>0</v>
      </c>
    </row>
    <row r="57" ht="21.0" customHeight="1">
      <c r="A57" s="187"/>
      <c r="B57" s="187"/>
      <c r="C57" s="188"/>
      <c r="D57" s="190"/>
      <c r="E57" s="189"/>
      <c r="F57" s="182" t="str">
        <f t="shared" si="1"/>
        <v/>
      </c>
      <c r="G57" s="183">
        <f>IFERROR(__xludf.DUMMYFUNCTION("IFERROR(lookup(9999999999,FILTER('Operações-BR'!$M:$M,'Operações-BR'!$C:$C=A57,'Operações-BR'!$A:$A&lt;=C57)),0)"),0.0)</f>
        <v>0</v>
      </c>
      <c r="H57" s="184">
        <f t="shared" si="2"/>
        <v>0</v>
      </c>
      <c r="I57" s="184">
        <f>IFERROR(__xludf.DUMMYFUNCTION("IFERROR(lookup(9999999999,FILTER('Operações-BR'!Q:Q,'Operações-BR'!$C:$C=A57,'Operações-BR'!$A:$A&lt;=C57))/G57,0)"),0.0)</f>
        <v>0</v>
      </c>
      <c r="J57" s="185" t="str">
        <f>IFERROR(VLOOKUP(A57,Ativos!$A$1:$G2000,5,),"")</f>
        <v/>
      </c>
      <c r="K57" s="185" t="str">
        <f>IFERROR(VLOOKUP(A57,Ativos!A:H,8,),"")</f>
        <v/>
      </c>
      <c r="L57" s="186">
        <f t="shared" si="3"/>
        <v>0</v>
      </c>
    </row>
    <row r="58" ht="21.0" customHeight="1">
      <c r="A58" s="187"/>
      <c r="B58" s="187"/>
      <c r="C58" s="188"/>
      <c r="D58" s="190"/>
      <c r="E58" s="189"/>
      <c r="F58" s="182" t="str">
        <f t="shared" si="1"/>
        <v/>
      </c>
      <c r="G58" s="183">
        <f>IFERROR(__xludf.DUMMYFUNCTION("IFERROR(lookup(9999999999,FILTER('Operações-BR'!$M:$M,'Operações-BR'!$C:$C=A58,'Operações-BR'!$A:$A&lt;=C58)),0)"),0.0)</f>
        <v>0</v>
      </c>
      <c r="H58" s="184">
        <f t="shared" si="2"/>
        <v>0</v>
      </c>
      <c r="I58" s="184">
        <f>IFERROR(__xludf.DUMMYFUNCTION("IFERROR(lookup(9999999999,FILTER('Operações-BR'!Q:Q,'Operações-BR'!$C:$C=A58,'Operações-BR'!$A:$A&lt;=C58))/G58,0)"),0.0)</f>
        <v>0</v>
      </c>
      <c r="J58" s="185" t="str">
        <f>IFERROR(VLOOKUP(A58,Ativos!$A$1:$G2000,5,),"")</f>
        <v/>
      </c>
      <c r="K58" s="185" t="str">
        <f>IFERROR(VLOOKUP(A58,Ativos!A:H,8,),"")</f>
        <v/>
      </c>
      <c r="L58" s="186">
        <f t="shared" si="3"/>
        <v>0</v>
      </c>
    </row>
    <row r="59" ht="21.0" customHeight="1">
      <c r="A59" s="187"/>
      <c r="B59" s="187"/>
      <c r="C59" s="188"/>
      <c r="D59" s="188"/>
      <c r="E59" s="189"/>
      <c r="F59" s="182" t="str">
        <f t="shared" si="1"/>
        <v/>
      </c>
      <c r="G59" s="183">
        <f>IFERROR(__xludf.DUMMYFUNCTION("IFERROR(lookup(9999999999,FILTER('Operações-BR'!$M:$M,'Operações-BR'!$C:$C=A59,'Operações-BR'!$A:$A&lt;=C59)),0)"),0.0)</f>
        <v>0</v>
      </c>
      <c r="H59" s="184">
        <f t="shared" si="2"/>
        <v>0</v>
      </c>
      <c r="I59" s="184">
        <f>IFERROR(__xludf.DUMMYFUNCTION("IFERROR(lookup(9999999999,FILTER('Operações-BR'!Q:Q,'Operações-BR'!$C:$C=A59,'Operações-BR'!$A:$A&lt;=C59))/G59,0)"),0.0)</f>
        <v>0</v>
      </c>
      <c r="J59" s="185" t="str">
        <f>IFERROR(VLOOKUP(A59,Ativos!$A$1:$G2000,5,),"")</f>
        <v/>
      </c>
      <c r="K59" s="185" t="str">
        <f>IFERROR(VLOOKUP(A59,Ativos!A:H,8,),"")</f>
        <v/>
      </c>
      <c r="L59" s="186">
        <f t="shared" si="3"/>
        <v>0</v>
      </c>
    </row>
    <row r="60" ht="21.0" customHeight="1">
      <c r="A60" s="187"/>
      <c r="B60" s="187"/>
      <c r="C60" s="188"/>
      <c r="D60" s="188"/>
      <c r="E60" s="189"/>
      <c r="F60" s="182" t="str">
        <f t="shared" si="1"/>
        <v/>
      </c>
      <c r="G60" s="183">
        <f>IFERROR(__xludf.DUMMYFUNCTION("IFERROR(lookup(9999999999,FILTER('Operações-BR'!$M:$M,'Operações-BR'!$C:$C=A60,'Operações-BR'!$A:$A&lt;=C60)),0)"),0.0)</f>
        <v>0</v>
      </c>
      <c r="H60" s="184">
        <f t="shared" si="2"/>
        <v>0</v>
      </c>
      <c r="I60" s="184">
        <f>IFERROR(__xludf.DUMMYFUNCTION("IFERROR(lookup(9999999999,FILTER('Operações-BR'!Q:Q,'Operações-BR'!$C:$C=A60,'Operações-BR'!$A:$A&lt;=C60))/G60,0)"),0.0)</f>
        <v>0</v>
      </c>
      <c r="J60" s="185" t="str">
        <f>IFERROR(VLOOKUP(A60,Ativos!$A$1:$G2000,5,),"")</f>
        <v/>
      </c>
      <c r="K60" s="185" t="str">
        <f>IFERROR(VLOOKUP(A60,Ativos!A:H,8,),"")</f>
        <v/>
      </c>
      <c r="L60" s="186">
        <f t="shared" si="3"/>
        <v>0</v>
      </c>
    </row>
    <row r="61" ht="21.0" customHeight="1">
      <c r="A61" s="187"/>
      <c r="B61" s="187"/>
      <c r="C61" s="188"/>
      <c r="D61" s="188"/>
      <c r="E61" s="189"/>
      <c r="F61" s="182" t="str">
        <f t="shared" si="1"/>
        <v/>
      </c>
      <c r="G61" s="183">
        <f>IFERROR(__xludf.DUMMYFUNCTION("IFERROR(lookup(9999999999,FILTER('Operações-BR'!$M:$M,'Operações-BR'!$C:$C=A61,'Operações-BR'!$A:$A&lt;=C61)),0)"),0.0)</f>
        <v>0</v>
      </c>
      <c r="H61" s="184">
        <f t="shared" si="2"/>
        <v>0</v>
      </c>
      <c r="I61" s="184">
        <f>IFERROR(__xludf.DUMMYFUNCTION("IFERROR(lookup(9999999999,FILTER('Operações-BR'!Q:Q,'Operações-BR'!$C:$C=A61,'Operações-BR'!$A:$A&lt;=C61))/G61,0)"),0.0)</f>
        <v>0</v>
      </c>
      <c r="J61" s="185" t="str">
        <f>IFERROR(VLOOKUP(A61,Ativos!$A$1:$G2000,5,),"")</f>
        <v/>
      </c>
      <c r="K61" s="185" t="str">
        <f>IFERROR(VLOOKUP(A61,Ativos!A:H,8,),"")</f>
        <v/>
      </c>
      <c r="L61" s="186">
        <f t="shared" si="3"/>
        <v>0</v>
      </c>
    </row>
    <row r="62" ht="21.0" customHeight="1">
      <c r="A62" s="187"/>
      <c r="B62" s="187"/>
      <c r="C62" s="188"/>
      <c r="D62" s="188"/>
      <c r="E62" s="189"/>
      <c r="F62" s="182" t="str">
        <f t="shared" si="1"/>
        <v/>
      </c>
      <c r="G62" s="183">
        <f>IFERROR(__xludf.DUMMYFUNCTION("IFERROR(lookup(9999999999,FILTER('Operações-BR'!$M:$M,'Operações-BR'!$C:$C=A62,'Operações-BR'!$A:$A&lt;=C62)),0)"),0.0)</f>
        <v>0</v>
      </c>
      <c r="H62" s="184">
        <f t="shared" si="2"/>
        <v>0</v>
      </c>
      <c r="I62" s="184">
        <f>IFERROR(__xludf.DUMMYFUNCTION("IFERROR(lookup(9999999999,FILTER('Operações-BR'!Q:Q,'Operações-BR'!$C:$C=A62,'Operações-BR'!$A:$A&lt;=C62))/G62,0)"),0.0)</f>
        <v>0</v>
      </c>
      <c r="J62" s="185" t="str">
        <f>IFERROR(VLOOKUP(A62,Ativos!$A$1:$G2000,5,),"")</f>
        <v/>
      </c>
      <c r="K62" s="185" t="str">
        <f>IFERROR(VLOOKUP(A62,Ativos!A:H,8,),"")</f>
        <v/>
      </c>
      <c r="L62" s="186">
        <f t="shared" si="3"/>
        <v>0</v>
      </c>
    </row>
    <row r="63" ht="21.0" customHeight="1">
      <c r="A63" s="187"/>
      <c r="B63" s="187"/>
      <c r="C63" s="188"/>
      <c r="D63" s="188"/>
      <c r="E63" s="189"/>
      <c r="F63" s="182" t="str">
        <f t="shared" si="1"/>
        <v/>
      </c>
      <c r="G63" s="183">
        <f>IFERROR(__xludf.DUMMYFUNCTION("IFERROR(lookup(9999999999,FILTER('Operações-BR'!$M:$M,'Operações-BR'!$C:$C=A63,'Operações-BR'!$A:$A&lt;=C63)),0)"),0.0)</f>
        <v>0</v>
      </c>
      <c r="H63" s="184">
        <f t="shared" si="2"/>
        <v>0</v>
      </c>
      <c r="I63" s="184">
        <f>IFERROR(__xludf.DUMMYFUNCTION("IFERROR(lookup(9999999999,FILTER('Operações-BR'!Q:Q,'Operações-BR'!$C:$C=A63,'Operações-BR'!$A:$A&lt;=C63))/G63,0)"),0.0)</f>
        <v>0</v>
      </c>
      <c r="J63" s="185" t="str">
        <f>IFERROR(VLOOKUP(A63,Ativos!$A$1:$G2000,5,),"")</f>
        <v/>
      </c>
      <c r="K63" s="185" t="str">
        <f>IFERROR(VLOOKUP(A63,Ativos!A:H,8,),"")</f>
        <v/>
      </c>
      <c r="L63" s="186">
        <f t="shared" si="3"/>
        <v>0</v>
      </c>
    </row>
    <row r="64" ht="21.0" customHeight="1">
      <c r="A64" s="187"/>
      <c r="B64" s="187"/>
      <c r="C64" s="188"/>
      <c r="D64" s="190"/>
      <c r="E64" s="189"/>
      <c r="F64" s="182" t="str">
        <f t="shared" si="1"/>
        <v/>
      </c>
      <c r="G64" s="183">
        <f>IFERROR(__xludf.DUMMYFUNCTION("IFERROR(lookup(9999999999,FILTER('Operações-BR'!$M:$M,'Operações-BR'!$C:$C=A64,'Operações-BR'!$A:$A&lt;=C64)),0)"),0.0)</f>
        <v>0</v>
      </c>
      <c r="H64" s="184">
        <f t="shared" si="2"/>
        <v>0</v>
      </c>
      <c r="I64" s="184">
        <f>IFERROR(__xludf.DUMMYFUNCTION("IFERROR(lookup(9999999999,FILTER('Operações-BR'!Q:Q,'Operações-BR'!$C:$C=A64,'Operações-BR'!$A:$A&lt;=C64))/G64,0)"),0.0)</f>
        <v>0</v>
      </c>
      <c r="J64" s="185" t="str">
        <f>IFERROR(VLOOKUP(A64,Ativos!$A$1:$G2000,5,),"")</f>
        <v/>
      </c>
      <c r="K64" s="185" t="str">
        <f>IFERROR(VLOOKUP(A64,Ativos!A:H,8,),"")</f>
        <v/>
      </c>
      <c r="L64" s="186">
        <f t="shared" si="3"/>
        <v>0</v>
      </c>
    </row>
    <row r="65" ht="21.0" customHeight="1">
      <c r="A65" s="187"/>
      <c r="B65" s="187"/>
      <c r="C65" s="188"/>
      <c r="D65" s="188"/>
      <c r="E65" s="189"/>
      <c r="F65" s="182" t="str">
        <f t="shared" si="1"/>
        <v/>
      </c>
      <c r="G65" s="183">
        <f>IFERROR(__xludf.DUMMYFUNCTION("IFERROR(lookup(9999999999,FILTER('Operações-BR'!$M:$M,'Operações-BR'!$C:$C=A65,'Operações-BR'!$A:$A&lt;=C65)),0)"),0.0)</f>
        <v>0</v>
      </c>
      <c r="H65" s="184">
        <f t="shared" si="2"/>
        <v>0</v>
      </c>
      <c r="I65" s="184">
        <f>IFERROR(__xludf.DUMMYFUNCTION("IFERROR(lookup(9999999999,FILTER('Operações-BR'!Q:Q,'Operações-BR'!$C:$C=A65,'Operações-BR'!$A:$A&lt;=C65))/G65,0)"),0.0)</f>
        <v>0</v>
      </c>
      <c r="J65" s="185" t="str">
        <f>IFERROR(VLOOKUP(A65,Ativos!$A$1:$G2000,5,),"")</f>
        <v/>
      </c>
      <c r="K65" s="185" t="str">
        <f>IFERROR(VLOOKUP(A65,Ativos!A:H,8,),"")</f>
        <v/>
      </c>
      <c r="L65" s="186">
        <f t="shared" si="3"/>
        <v>0</v>
      </c>
    </row>
    <row r="66" ht="21.0" customHeight="1">
      <c r="A66" s="187"/>
      <c r="B66" s="187"/>
      <c r="C66" s="188"/>
      <c r="D66" s="188"/>
      <c r="E66" s="189"/>
      <c r="F66" s="182" t="str">
        <f t="shared" si="1"/>
        <v/>
      </c>
      <c r="G66" s="183">
        <f>IFERROR(__xludf.DUMMYFUNCTION("IFERROR(lookup(9999999999,FILTER('Operações-BR'!$M:$M,'Operações-BR'!$C:$C=A66,'Operações-BR'!$A:$A&lt;=C66)),0)"),0.0)</f>
        <v>0</v>
      </c>
      <c r="H66" s="184">
        <f t="shared" si="2"/>
        <v>0</v>
      </c>
      <c r="I66" s="184">
        <f>IFERROR(__xludf.DUMMYFUNCTION("IFERROR(lookup(9999999999,FILTER('Operações-BR'!Q:Q,'Operações-BR'!$C:$C=A66,'Operações-BR'!$A:$A&lt;=C66))/G66,0)"),0.0)</f>
        <v>0</v>
      </c>
      <c r="J66" s="185" t="str">
        <f>IFERROR(VLOOKUP(A66,Ativos!$A$1:$G2000,5,),"")</f>
        <v/>
      </c>
      <c r="K66" s="185" t="str">
        <f>IFERROR(VLOOKUP(A66,Ativos!A:H,8,),"")</f>
        <v/>
      </c>
      <c r="L66" s="186">
        <f t="shared" si="3"/>
        <v>0</v>
      </c>
    </row>
    <row r="67" ht="21.0" customHeight="1">
      <c r="A67" s="187"/>
      <c r="B67" s="187"/>
      <c r="C67" s="188"/>
      <c r="D67" s="188"/>
      <c r="E67" s="189"/>
      <c r="F67" s="182" t="str">
        <f t="shared" si="1"/>
        <v/>
      </c>
      <c r="G67" s="183">
        <f>IFERROR(__xludf.DUMMYFUNCTION("IFERROR(lookup(9999999999,FILTER('Operações-BR'!$M:$M,'Operações-BR'!$C:$C=A67,'Operações-BR'!$A:$A&lt;=C67)),0)"),0.0)</f>
        <v>0</v>
      </c>
      <c r="H67" s="184">
        <f t="shared" si="2"/>
        <v>0</v>
      </c>
      <c r="I67" s="184">
        <f>IFERROR(__xludf.DUMMYFUNCTION("IFERROR(lookup(9999999999,FILTER('Operações-BR'!Q:Q,'Operações-BR'!$C:$C=A67,'Operações-BR'!$A:$A&lt;=C67))/G67,0)"),0.0)</f>
        <v>0</v>
      </c>
      <c r="J67" s="185" t="str">
        <f>IFERROR(VLOOKUP(A67,Ativos!$A$1:$G2000,5,),"")</f>
        <v/>
      </c>
      <c r="K67" s="185" t="str">
        <f>IFERROR(VLOOKUP(A67,Ativos!A:H,8,),"")</f>
        <v/>
      </c>
      <c r="L67" s="186">
        <f t="shared" si="3"/>
        <v>0</v>
      </c>
    </row>
    <row r="68" ht="21.0" customHeight="1">
      <c r="A68" s="187"/>
      <c r="B68" s="187"/>
      <c r="C68" s="188"/>
      <c r="D68" s="188"/>
      <c r="E68" s="189"/>
      <c r="F68" s="182" t="str">
        <f t="shared" si="1"/>
        <v/>
      </c>
      <c r="G68" s="183">
        <f>IFERROR(__xludf.DUMMYFUNCTION("IFERROR(lookup(9999999999,FILTER('Operações-BR'!$M:$M,'Operações-BR'!$C:$C=A68,'Operações-BR'!$A:$A&lt;=C68)),0)"),0.0)</f>
        <v>0</v>
      </c>
      <c r="H68" s="184">
        <f t="shared" si="2"/>
        <v>0</v>
      </c>
      <c r="I68" s="184">
        <f>IFERROR(__xludf.DUMMYFUNCTION("IFERROR(lookup(9999999999,FILTER('Operações-BR'!Q:Q,'Operações-BR'!$C:$C=A68,'Operações-BR'!$A:$A&lt;=C68))/G68,0)"),0.0)</f>
        <v>0</v>
      </c>
      <c r="J68" s="185" t="str">
        <f>IFERROR(VLOOKUP(A68,Ativos!$A$1:$G2000,5,),"")</f>
        <v/>
      </c>
      <c r="K68" s="185" t="str">
        <f>IFERROR(VLOOKUP(A68,Ativos!A:H,8,),"")</f>
        <v/>
      </c>
      <c r="L68" s="186">
        <f t="shared" si="3"/>
        <v>0</v>
      </c>
    </row>
    <row r="69" ht="21.0" customHeight="1">
      <c r="A69" s="187"/>
      <c r="B69" s="187"/>
      <c r="C69" s="188"/>
      <c r="D69" s="188"/>
      <c r="E69" s="189"/>
      <c r="F69" s="182" t="str">
        <f t="shared" si="1"/>
        <v/>
      </c>
      <c r="G69" s="183">
        <f>IFERROR(__xludf.DUMMYFUNCTION("IFERROR(lookup(9999999999,FILTER('Operações-BR'!$M:$M,'Operações-BR'!$C:$C=A69,'Operações-BR'!$A:$A&lt;=C69)),0)"),0.0)</f>
        <v>0</v>
      </c>
      <c r="H69" s="184">
        <f t="shared" si="2"/>
        <v>0</v>
      </c>
      <c r="I69" s="184">
        <f>IFERROR(__xludf.DUMMYFUNCTION("IFERROR(lookup(9999999999,FILTER('Operações-BR'!Q:Q,'Operações-BR'!$C:$C=A69,'Operações-BR'!$A:$A&lt;=C69))/G69,0)"),0.0)</f>
        <v>0</v>
      </c>
      <c r="J69" s="185" t="str">
        <f>IFERROR(VLOOKUP(A69,Ativos!$A$1:$G2000,5,),"")</f>
        <v/>
      </c>
      <c r="K69" s="185" t="str">
        <f>IFERROR(VLOOKUP(A69,Ativos!A:H,8,),"")</f>
        <v/>
      </c>
      <c r="L69" s="186">
        <f t="shared" si="3"/>
        <v>0</v>
      </c>
    </row>
    <row r="70" ht="21.0" customHeight="1">
      <c r="A70" s="187"/>
      <c r="B70" s="187"/>
      <c r="C70" s="188"/>
      <c r="D70" s="188"/>
      <c r="E70" s="189"/>
      <c r="F70" s="182" t="str">
        <f t="shared" si="1"/>
        <v/>
      </c>
      <c r="G70" s="183">
        <f>IFERROR(__xludf.DUMMYFUNCTION("IFERROR(lookup(9999999999,FILTER('Operações-BR'!$M:$M,'Operações-BR'!$C:$C=A70,'Operações-BR'!$A:$A&lt;=C70)),0)"),0.0)</f>
        <v>0</v>
      </c>
      <c r="H70" s="184">
        <f t="shared" si="2"/>
        <v>0</v>
      </c>
      <c r="I70" s="184">
        <f>IFERROR(__xludf.DUMMYFUNCTION("IFERROR(lookup(9999999999,FILTER('Operações-BR'!Q:Q,'Operações-BR'!$C:$C=A70,'Operações-BR'!$A:$A&lt;=C70))/G70,0)"),0.0)</f>
        <v>0</v>
      </c>
      <c r="J70" s="185" t="str">
        <f>IFERROR(VLOOKUP(A70,Ativos!$A$1:$G2000,5,),"")</f>
        <v/>
      </c>
      <c r="K70" s="185" t="str">
        <f>IFERROR(VLOOKUP(A70,Ativos!A:H,8,),"")</f>
        <v/>
      </c>
      <c r="L70" s="186">
        <f t="shared" si="3"/>
        <v>0</v>
      </c>
    </row>
    <row r="71" ht="21.0" customHeight="1">
      <c r="A71" s="187"/>
      <c r="B71" s="187"/>
      <c r="C71" s="188"/>
      <c r="D71" s="188"/>
      <c r="E71" s="189"/>
      <c r="F71" s="182" t="str">
        <f t="shared" si="1"/>
        <v/>
      </c>
      <c r="G71" s="183">
        <f>IFERROR(__xludf.DUMMYFUNCTION("IFERROR(lookup(9999999999,FILTER('Operações-BR'!$M:$M,'Operações-BR'!$C:$C=A71,'Operações-BR'!$A:$A&lt;=C71)),0)"),0.0)</f>
        <v>0</v>
      </c>
      <c r="H71" s="184">
        <f t="shared" si="2"/>
        <v>0</v>
      </c>
      <c r="I71" s="184">
        <f>IFERROR(__xludf.DUMMYFUNCTION("IFERROR(lookup(9999999999,FILTER('Operações-BR'!Q:Q,'Operações-BR'!$C:$C=A71,'Operações-BR'!$A:$A&lt;=C71))/G71,0)"),0.0)</f>
        <v>0</v>
      </c>
      <c r="J71" s="185" t="str">
        <f>IFERROR(VLOOKUP(A71,Ativos!$A$1:$G2000,5,),"")</f>
        <v/>
      </c>
      <c r="K71" s="185" t="str">
        <f>IFERROR(VLOOKUP(A71,Ativos!A:H,8,),"")</f>
        <v/>
      </c>
      <c r="L71" s="186">
        <f t="shared" si="3"/>
        <v>0</v>
      </c>
    </row>
    <row r="72" ht="21.0" customHeight="1">
      <c r="A72" s="187"/>
      <c r="B72" s="187"/>
      <c r="C72" s="188"/>
      <c r="D72" s="188"/>
      <c r="E72" s="189"/>
      <c r="F72" s="182" t="str">
        <f t="shared" si="1"/>
        <v/>
      </c>
      <c r="G72" s="183">
        <f>IFERROR(__xludf.DUMMYFUNCTION("IFERROR(lookup(9999999999,FILTER('Operações-BR'!$M:$M,'Operações-BR'!$C:$C=A72,'Operações-BR'!$A:$A&lt;=C72)),0)"),0.0)</f>
        <v>0</v>
      </c>
      <c r="H72" s="184">
        <f t="shared" si="2"/>
        <v>0</v>
      </c>
      <c r="I72" s="184">
        <f>IFERROR(__xludf.DUMMYFUNCTION("IFERROR(lookup(9999999999,FILTER('Operações-BR'!Q:Q,'Operações-BR'!$C:$C=A72,'Operações-BR'!$A:$A&lt;=C72))/G72,0)"),0.0)</f>
        <v>0</v>
      </c>
      <c r="J72" s="185" t="str">
        <f>IFERROR(VLOOKUP(A72,Ativos!$A$1:$G2000,5,),"")</f>
        <v/>
      </c>
      <c r="K72" s="185" t="str">
        <f>IFERROR(VLOOKUP(A72,Ativos!A:H,8,),"")</f>
        <v/>
      </c>
      <c r="L72" s="186">
        <f t="shared" si="3"/>
        <v>0</v>
      </c>
    </row>
    <row r="73" ht="21.0" customHeight="1">
      <c r="A73" s="187"/>
      <c r="B73" s="187"/>
      <c r="C73" s="188"/>
      <c r="D73" s="190"/>
      <c r="E73" s="189"/>
      <c r="F73" s="182" t="str">
        <f t="shared" si="1"/>
        <v/>
      </c>
      <c r="G73" s="183">
        <f>IFERROR(__xludf.DUMMYFUNCTION("IFERROR(lookup(9999999999,FILTER('Operações-BR'!$M:$M,'Operações-BR'!$C:$C=A73,'Operações-BR'!$A:$A&lt;=C73)),0)"),0.0)</f>
        <v>0</v>
      </c>
      <c r="H73" s="184">
        <f t="shared" si="2"/>
        <v>0</v>
      </c>
      <c r="I73" s="184">
        <f>IFERROR(__xludf.DUMMYFUNCTION("IFERROR(lookup(9999999999,FILTER('Operações-BR'!Q:Q,'Operações-BR'!$C:$C=A73,'Operações-BR'!$A:$A&lt;=C73))/G73,0)"),0.0)</f>
        <v>0</v>
      </c>
      <c r="J73" s="185" t="str">
        <f>IFERROR(VLOOKUP(A73,Ativos!$A$1:$G2000,5,),"")</f>
        <v/>
      </c>
      <c r="K73" s="185" t="str">
        <f>IFERROR(VLOOKUP(A73,Ativos!A:H,8,),"")</f>
        <v/>
      </c>
      <c r="L73" s="186">
        <f t="shared" si="3"/>
        <v>0</v>
      </c>
    </row>
    <row r="74" ht="21.0" customHeight="1">
      <c r="A74" s="187"/>
      <c r="B74" s="187"/>
      <c r="C74" s="188"/>
      <c r="D74" s="188"/>
      <c r="E74" s="189"/>
      <c r="F74" s="182" t="str">
        <f t="shared" si="1"/>
        <v/>
      </c>
      <c r="G74" s="183">
        <f>IFERROR(__xludf.DUMMYFUNCTION("IFERROR(lookup(9999999999,FILTER('Operações-BR'!$M:$M,'Operações-BR'!$C:$C=A74,'Operações-BR'!$A:$A&lt;=C74)),0)"),0.0)</f>
        <v>0</v>
      </c>
      <c r="H74" s="184">
        <f t="shared" si="2"/>
        <v>0</v>
      </c>
      <c r="I74" s="184">
        <f>IFERROR(__xludf.DUMMYFUNCTION("IFERROR(lookup(9999999999,FILTER('Operações-BR'!Q:Q,'Operações-BR'!$C:$C=A74,'Operações-BR'!$A:$A&lt;=C74))/G74,0)"),0.0)</f>
        <v>0</v>
      </c>
      <c r="J74" s="185" t="str">
        <f>IFERROR(VLOOKUP(A74,Ativos!$A$1:$G2000,5,),"")</f>
        <v/>
      </c>
      <c r="K74" s="185" t="str">
        <f>IFERROR(VLOOKUP(A74,Ativos!A:H,8,),"")</f>
        <v/>
      </c>
      <c r="L74" s="186">
        <f t="shared" si="3"/>
        <v>0</v>
      </c>
    </row>
    <row r="75" ht="21.0" customHeight="1">
      <c r="A75" s="187"/>
      <c r="B75" s="187"/>
      <c r="C75" s="188"/>
      <c r="D75" s="188"/>
      <c r="E75" s="189"/>
      <c r="F75" s="182" t="str">
        <f t="shared" si="1"/>
        <v/>
      </c>
      <c r="G75" s="183">
        <f>IFERROR(__xludf.DUMMYFUNCTION("IFERROR(lookup(9999999999,FILTER('Operações-BR'!$M:$M,'Operações-BR'!$C:$C=A75,'Operações-BR'!$A:$A&lt;=C75)),0)"),0.0)</f>
        <v>0</v>
      </c>
      <c r="H75" s="184">
        <f t="shared" si="2"/>
        <v>0</v>
      </c>
      <c r="I75" s="184">
        <f>IFERROR(__xludf.DUMMYFUNCTION("IFERROR(lookup(9999999999,FILTER('Operações-BR'!Q:Q,'Operações-BR'!$C:$C=A75,'Operações-BR'!$A:$A&lt;=C75))/G75,0)"),0.0)</f>
        <v>0</v>
      </c>
      <c r="J75" s="185" t="str">
        <f>IFERROR(VLOOKUP(A75,Ativos!$A$1:$G2000,5,),"")</f>
        <v/>
      </c>
      <c r="K75" s="185" t="str">
        <f>IFERROR(VLOOKUP(A75,Ativos!A:H,8,),"")</f>
        <v/>
      </c>
      <c r="L75" s="186">
        <f t="shared" si="3"/>
        <v>0</v>
      </c>
    </row>
    <row r="76" ht="21.0" customHeight="1">
      <c r="A76" s="187"/>
      <c r="B76" s="187"/>
      <c r="C76" s="188"/>
      <c r="D76" s="188"/>
      <c r="E76" s="189"/>
      <c r="F76" s="182" t="str">
        <f t="shared" si="1"/>
        <v/>
      </c>
      <c r="G76" s="183">
        <f>IFERROR(__xludf.DUMMYFUNCTION("IFERROR(lookup(9999999999,FILTER('Operações-BR'!$M:$M,'Operações-BR'!$C:$C=A76,'Operações-BR'!$A:$A&lt;=C76)),0)"),0.0)</f>
        <v>0</v>
      </c>
      <c r="H76" s="184">
        <f t="shared" si="2"/>
        <v>0</v>
      </c>
      <c r="I76" s="184">
        <f>IFERROR(__xludf.DUMMYFUNCTION("IFERROR(lookup(9999999999,FILTER('Operações-BR'!Q:Q,'Operações-BR'!$C:$C=A76,'Operações-BR'!$A:$A&lt;=C76))/G76,0)"),0.0)</f>
        <v>0</v>
      </c>
      <c r="J76" s="185" t="str">
        <f>IFERROR(VLOOKUP(A76,Ativos!$A$1:$G2000,5,),"")</f>
        <v/>
      </c>
      <c r="K76" s="185" t="str">
        <f>IFERROR(VLOOKUP(A76,Ativos!A:H,8,),"")</f>
        <v/>
      </c>
      <c r="L76" s="186">
        <f t="shared" si="3"/>
        <v>0</v>
      </c>
    </row>
    <row r="77" ht="21.0" customHeight="1">
      <c r="A77" s="187"/>
      <c r="B77" s="187"/>
      <c r="C77" s="188"/>
      <c r="D77" s="188"/>
      <c r="E77" s="189"/>
      <c r="F77" s="182" t="str">
        <f t="shared" si="1"/>
        <v/>
      </c>
      <c r="G77" s="183">
        <f>IFERROR(__xludf.DUMMYFUNCTION("IFERROR(lookup(9999999999,FILTER('Operações-BR'!$M:$M,'Operações-BR'!$C:$C=A77,'Operações-BR'!$A:$A&lt;=C77)),0)"),0.0)</f>
        <v>0</v>
      </c>
      <c r="H77" s="184">
        <f t="shared" si="2"/>
        <v>0</v>
      </c>
      <c r="I77" s="184">
        <f>IFERROR(__xludf.DUMMYFUNCTION("IFERROR(lookup(9999999999,FILTER('Operações-BR'!Q:Q,'Operações-BR'!$C:$C=A77,'Operações-BR'!$A:$A&lt;=C77))/G77,0)"),0.0)</f>
        <v>0</v>
      </c>
      <c r="J77" s="185" t="str">
        <f>IFERROR(VLOOKUP(A77,Ativos!$A$1:$G2000,5,),"")</f>
        <v/>
      </c>
      <c r="K77" s="185" t="str">
        <f>IFERROR(VLOOKUP(A77,Ativos!A:H,8,),"")</f>
        <v/>
      </c>
      <c r="L77" s="186">
        <f t="shared" si="3"/>
        <v>0</v>
      </c>
    </row>
    <row r="78" ht="21.0" customHeight="1">
      <c r="A78" s="187"/>
      <c r="B78" s="187"/>
      <c r="C78" s="188"/>
      <c r="D78" s="188"/>
      <c r="E78" s="189"/>
      <c r="F78" s="182" t="str">
        <f t="shared" si="1"/>
        <v/>
      </c>
      <c r="G78" s="183">
        <f>IFERROR(__xludf.DUMMYFUNCTION("IFERROR(lookup(9999999999,FILTER('Operações-BR'!$M:$M,'Operações-BR'!$C:$C=A78,'Operações-BR'!$A:$A&lt;=C78)),0)"),0.0)</f>
        <v>0</v>
      </c>
      <c r="H78" s="184">
        <f t="shared" si="2"/>
        <v>0</v>
      </c>
      <c r="I78" s="184">
        <f>IFERROR(__xludf.DUMMYFUNCTION("IFERROR(lookup(9999999999,FILTER('Operações-BR'!Q:Q,'Operações-BR'!$C:$C=A78,'Operações-BR'!$A:$A&lt;=C78))/G78,0)"),0.0)</f>
        <v>0</v>
      </c>
      <c r="J78" s="185" t="str">
        <f>IFERROR(VLOOKUP(A78,Ativos!$A$1:$G2000,5,),"")</f>
        <v/>
      </c>
      <c r="K78" s="185" t="str">
        <f>IFERROR(VLOOKUP(A78,Ativos!A:H,8,),"")</f>
        <v/>
      </c>
      <c r="L78" s="186">
        <f t="shared" si="3"/>
        <v>0</v>
      </c>
    </row>
    <row r="79" ht="21.0" customHeight="1">
      <c r="A79" s="187"/>
      <c r="B79" s="187"/>
      <c r="C79" s="195"/>
      <c r="D79" s="188"/>
      <c r="E79" s="189"/>
      <c r="F79" s="182" t="str">
        <f t="shared" si="1"/>
        <v/>
      </c>
      <c r="G79" s="183">
        <f>IFERROR(__xludf.DUMMYFUNCTION("IFERROR(lookup(9999999999,FILTER('Operações-BR'!$M:$M,'Operações-BR'!$C:$C=A79,'Operações-BR'!$A:$A&lt;=C79)),0)"),0.0)</f>
        <v>0</v>
      </c>
      <c r="H79" s="184">
        <f t="shared" si="2"/>
        <v>0</v>
      </c>
      <c r="I79" s="184">
        <f>IFERROR(__xludf.DUMMYFUNCTION("IFERROR(lookup(9999999999,FILTER('Operações-BR'!Q:Q,'Operações-BR'!$C:$C=A79,'Operações-BR'!$A:$A&lt;=C79))/G79,0)"),0.0)</f>
        <v>0</v>
      </c>
      <c r="J79" s="185" t="str">
        <f>IFERROR(VLOOKUP(A79,Ativos!$A$1:$G2000,5,),"")</f>
        <v/>
      </c>
      <c r="K79" s="185" t="str">
        <f>IFERROR(VLOOKUP(A79,Ativos!A:H,8,),"")</f>
        <v/>
      </c>
      <c r="L79" s="186">
        <f t="shared" si="3"/>
        <v>0</v>
      </c>
    </row>
    <row r="80" ht="21.0" customHeight="1">
      <c r="A80" s="187"/>
      <c r="B80" s="187"/>
      <c r="C80" s="188"/>
      <c r="D80" s="188"/>
      <c r="E80" s="189"/>
      <c r="F80" s="182" t="str">
        <f t="shared" si="1"/>
        <v/>
      </c>
      <c r="G80" s="183">
        <f>IFERROR(__xludf.DUMMYFUNCTION("IFERROR(lookup(9999999999,FILTER('Operações-BR'!$M:$M,'Operações-BR'!$C:$C=A80,'Operações-BR'!$A:$A&lt;=C80)),0)"),0.0)</f>
        <v>0</v>
      </c>
      <c r="H80" s="184">
        <f t="shared" si="2"/>
        <v>0</v>
      </c>
      <c r="I80" s="184">
        <f>IFERROR(__xludf.DUMMYFUNCTION("IFERROR(lookup(9999999999,FILTER('Operações-BR'!Q:Q,'Operações-BR'!$C:$C=A80,'Operações-BR'!$A:$A&lt;=C80))/G80,0)"),0.0)</f>
        <v>0</v>
      </c>
      <c r="J80" s="185" t="str">
        <f>IFERROR(VLOOKUP(A80,Ativos!$A$1:$G2000,5,),"")</f>
        <v/>
      </c>
      <c r="K80" s="185" t="str">
        <f>IFERROR(VLOOKUP(A80,Ativos!A:H,8,),"")</f>
        <v/>
      </c>
      <c r="L80" s="186">
        <f t="shared" si="3"/>
        <v>0</v>
      </c>
    </row>
    <row r="81" ht="21.0" customHeight="1">
      <c r="A81" s="187"/>
      <c r="B81" s="187"/>
      <c r="C81" s="188"/>
      <c r="D81" s="188"/>
      <c r="E81" s="189"/>
      <c r="F81" s="182" t="str">
        <f t="shared" si="1"/>
        <v/>
      </c>
      <c r="G81" s="183">
        <f>IFERROR(__xludf.DUMMYFUNCTION("IFERROR(lookup(9999999999,FILTER('Operações-BR'!$M:$M,'Operações-BR'!$C:$C=A81,'Operações-BR'!$A:$A&lt;=C81)),0)"),0.0)</f>
        <v>0</v>
      </c>
      <c r="H81" s="184">
        <f t="shared" si="2"/>
        <v>0</v>
      </c>
      <c r="I81" s="184">
        <f>IFERROR(__xludf.DUMMYFUNCTION("IFERROR(lookup(9999999999,FILTER('Operações-BR'!Q:Q,'Operações-BR'!$C:$C=A81,'Operações-BR'!$A:$A&lt;=C81))/G81,0)"),0.0)</f>
        <v>0</v>
      </c>
      <c r="J81" s="185" t="str">
        <f>IFERROR(VLOOKUP(A81,Ativos!$A$1:$G2000,5,),"")</f>
        <v/>
      </c>
      <c r="K81" s="185" t="str">
        <f>IFERROR(VLOOKUP(A81,Ativos!A:H,8,),"")</f>
        <v/>
      </c>
      <c r="L81" s="186">
        <f t="shared" si="3"/>
        <v>0</v>
      </c>
    </row>
    <row r="82" ht="21.0" customHeight="1">
      <c r="A82" s="187"/>
      <c r="B82" s="187"/>
      <c r="C82" s="188"/>
      <c r="D82" s="188"/>
      <c r="E82" s="189"/>
      <c r="F82" s="182" t="str">
        <f t="shared" si="1"/>
        <v/>
      </c>
      <c r="G82" s="183">
        <f>IFERROR(__xludf.DUMMYFUNCTION("IFERROR(lookup(9999999999,FILTER('Operações-BR'!$M:$M,'Operações-BR'!$C:$C=A82,'Operações-BR'!$A:$A&lt;=C82)),0)"),0.0)</f>
        <v>0</v>
      </c>
      <c r="H82" s="184">
        <f t="shared" si="2"/>
        <v>0</v>
      </c>
      <c r="I82" s="184">
        <f>IFERROR(__xludf.DUMMYFUNCTION("IFERROR(lookup(9999999999,FILTER('Operações-BR'!Q:Q,'Operações-BR'!$C:$C=A82,'Operações-BR'!$A:$A&lt;=C82))/G82,0)"),0.0)</f>
        <v>0</v>
      </c>
      <c r="J82" s="185" t="str">
        <f>IFERROR(VLOOKUP(A82,Ativos!$A$1:$G2000,5,),"")</f>
        <v/>
      </c>
      <c r="K82" s="185" t="str">
        <f>IFERROR(VLOOKUP(A82,Ativos!A:H,8,),"")</f>
        <v/>
      </c>
      <c r="L82" s="186">
        <f t="shared" si="3"/>
        <v>0</v>
      </c>
    </row>
    <row r="83" ht="21.0" customHeight="1">
      <c r="A83" s="187"/>
      <c r="B83" s="187"/>
      <c r="C83" s="188"/>
      <c r="D83" s="188"/>
      <c r="E83" s="189"/>
      <c r="F83" s="182" t="str">
        <f t="shared" si="1"/>
        <v/>
      </c>
      <c r="G83" s="183">
        <f>IFERROR(__xludf.DUMMYFUNCTION("IFERROR(lookup(9999999999,FILTER('Operações-BR'!$M:$M,'Operações-BR'!$C:$C=A83,'Operações-BR'!$A:$A&lt;=C83)),0)"),0.0)</f>
        <v>0</v>
      </c>
      <c r="H83" s="184">
        <f t="shared" si="2"/>
        <v>0</v>
      </c>
      <c r="I83" s="184">
        <f>IFERROR(__xludf.DUMMYFUNCTION("IFERROR(lookup(9999999999,FILTER('Operações-BR'!Q:Q,'Operações-BR'!$C:$C=A83,'Operações-BR'!$A:$A&lt;=C83))/G83,0)"),0.0)</f>
        <v>0</v>
      </c>
      <c r="J83" s="185" t="str">
        <f>IFERROR(VLOOKUP(A83,Ativos!$A$1:$G2000,5,),"")</f>
        <v/>
      </c>
      <c r="K83" s="185" t="str">
        <f>IFERROR(VLOOKUP(A83,Ativos!A:H,8,),"")</f>
        <v/>
      </c>
      <c r="L83" s="186">
        <f t="shared" si="3"/>
        <v>0</v>
      </c>
    </row>
    <row r="84" ht="21.0" customHeight="1">
      <c r="A84" s="187"/>
      <c r="B84" s="187"/>
      <c r="C84" s="188"/>
      <c r="D84" s="188"/>
      <c r="E84" s="189"/>
      <c r="F84" s="182" t="str">
        <f t="shared" si="1"/>
        <v/>
      </c>
      <c r="G84" s="183">
        <f>IFERROR(__xludf.DUMMYFUNCTION("IFERROR(lookup(9999999999,FILTER('Operações-BR'!$M:$M,'Operações-BR'!$C:$C=A84,'Operações-BR'!$A:$A&lt;=C84)),0)"),0.0)</f>
        <v>0</v>
      </c>
      <c r="H84" s="184">
        <f t="shared" si="2"/>
        <v>0</v>
      </c>
      <c r="I84" s="184">
        <f>IFERROR(__xludf.DUMMYFUNCTION("IFERROR(lookup(9999999999,FILTER('Operações-BR'!Q:Q,'Operações-BR'!$C:$C=A84,'Operações-BR'!$A:$A&lt;=C84))/G84,0)"),0.0)</f>
        <v>0</v>
      </c>
      <c r="J84" s="185" t="str">
        <f>IFERROR(VLOOKUP(A84,Ativos!$A$1:$G2000,5,),"")</f>
        <v/>
      </c>
      <c r="K84" s="185" t="str">
        <f>IFERROR(VLOOKUP(A84,Ativos!A:H,8,),"")</f>
        <v/>
      </c>
      <c r="L84" s="186">
        <f t="shared" si="3"/>
        <v>0</v>
      </c>
    </row>
    <row r="85" ht="21.0" customHeight="1">
      <c r="A85" s="187"/>
      <c r="B85" s="187"/>
      <c r="C85" s="188"/>
      <c r="D85" s="188"/>
      <c r="E85" s="189"/>
      <c r="F85" s="182" t="str">
        <f t="shared" si="1"/>
        <v/>
      </c>
      <c r="G85" s="183">
        <f>IFERROR(__xludf.DUMMYFUNCTION("IFERROR(lookup(9999999999,FILTER('Operações-BR'!$M:$M,'Operações-BR'!$C:$C=A85,'Operações-BR'!$A:$A&lt;=C85)),0)"),0.0)</f>
        <v>0</v>
      </c>
      <c r="H85" s="184">
        <f t="shared" si="2"/>
        <v>0</v>
      </c>
      <c r="I85" s="184">
        <f>IFERROR(__xludf.DUMMYFUNCTION("IFERROR(lookup(9999999999,FILTER('Operações-BR'!Q:Q,'Operações-BR'!$C:$C=A85,'Operações-BR'!$A:$A&lt;=C85))/G85,0)"),0.0)</f>
        <v>0</v>
      </c>
      <c r="J85" s="185" t="str">
        <f>IFERROR(VLOOKUP(A85,Ativos!$A$1:$G2000,5,),"")</f>
        <v/>
      </c>
      <c r="K85" s="185" t="str">
        <f>IFERROR(VLOOKUP(A85,Ativos!A:H,8,),"")</f>
        <v/>
      </c>
      <c r="L85" s="186">
        <f t="shared" si="3"/>
        <v>0</v>
      </c>
    </row>
    <row r="86" ht="21.0" customHeight="1">
      <c r="A86" s="187"/>
      <c r="B86" s="187"/>
      <c r="C86" s="188"/>
      <c r="D86" s="188"/>
      <c r="E86" s="189"/>
      <c r="F86" s="182" t="str">
        <f t="shared" si="1"/>
        <v/>
      </c>
      <c r="G86" s="183">
        <f>IFERROR(__xludf.DUMMYFUNCTION("IFERROR(lookup(9999999999,FILTER('Operações-BR'!$M:$M,'Operações-BR'!$C:$C=A86,'Operações-BR'!$A:$A&lt;=C86)),0)"),0.0)</f>
        <v>0</v>
      </c>
      <c r="H86" s="184">
        <f t="shared" si="2"/>
        <v>0</v>
      </c>
      <c r="I86" s="184">
        <f>IFERROR(__xludf.DUMMYFUNCTION("IFERROR(lookup(9999999999,FILTER('Operações-BR'!Q:Q,'Operações-BR'!$C:$C=A86,'Operações-BR'!$A:$A&lt;=C86))/G86,0)"),0.0)</f>
        <v>0</v>
      </c>
      <c r="J86" s="185" t="str">
        <f>IFERROR(VLOOKUP(A86,Ativos!$A$1:$G2000,5,),"")</f>
        <v/>
      </c>
      <c r="K86" s="185" t="str">
        <f>IFERROR(VLOOKUP(A86,Ativos!A:H,8,),"")</f>
        <v/>
      </c>
      <c r="L86" s="186">
        <f t="shared" si="3"/>
        <v>0</v>
      </c>
    </row>
    <row r="87" ht="21.0" customHeight="1">
      <c r="A87" s="187"/>
      <c r="B87" s="187"/>
      <c r="C87" s="188"/>
      <c r="D87" s="188"/>
      <c r="E87" s="189"/>
      <c r="F87" s="182" t="str">
        <f t="shared" si="1"/>
        <v/>
      </c>
      <c r="G87" s="183">
        <f>IFERROR(__xludf.DUMMYFUNCTION("IFERROR(lookup(9999999999,FILTER('Operações-BR'!$M:$M,'Operações-BR'!$C:$C=A87,'Operações-BR'!$A:$A&lt;=C87)),0)"),0.0)</f>
        <v>0</v>
      </c>
      <c r="H87" s="184">
        <f t="shared" si="2"/>
        <v>0</v>
      </c>
      <c r="I87" s="184">
        <f>IFERROR(__xludf.DUMMYFUNCTION("IFERROR(lookup(9999999999,FILTER('Operações-BR'!Q:Q,'Operações-BR'!$C:$C=A87,'Operações-BR'!$A:$A&lt;=C87))/G87,0)"),0.0)</f>
        <v>0</v>
      </c>
      <c r="J87" s="185" t="str">
        <f>IFERROR(VLOOKUP(A87,Ativos!$A$1:$G2000,5,),"")</f>
        <v/>
      </c>
      <c r="K87" s="185" t="str">
        <f>IFERROR(VLOOKUP(A87,Ativos!A:H,8,),"")</f>
        <v/>
      </c>
      <c r="L87" s="186">
        <f t="shared" si="3"/>
        <v>0</v>
      </c>
    </row>
    <row r="88" ht="21.0" customHeight="1">
      <c r="A88" s="187"/>
      <c r="B88" s="187"/>
      <c r="C88" s="135"/>
      <c r="D88" s="188"/>
      <c r="E88" s="189"/>
      <c r="F88" s="182" t="str">
        <f t="shared" si="1"/>
        <v/>
      </c>
      <c r="G88" s="183">
        <f>IFERROR(__xludf.DUMMYFUNCTION("IFERROR(lookup(9999999999,FILTER('Operações-BR'!$M:$M,'Operações-BR'!$C:$C=A88,'Operações-BR'!$A:$A&lt;=C88)),0)"),0.0)</f>
        <v>0</v>
      </c>
      <c r="H88" s="184">
        <f t="shared" si="2"/>
        <v>0</v>
      </c>
      <c r="I88" s="184">
        <f>IFERROR(__xludf.DUMMYFUNCTION("IFERROR(lookup(9999999999,FILTER('Operações-BR'!Q:Q,'Operações-BR'!$C:$C=A88,'Operações-BR'!$A:$A&lt;=C88))/G88,0)"),0.0)</f>
        <v>0</v>
      </c>
      <c r="J88" s="185" t="str">
        <f>IFERROR(VLOOKUP(A88,Ativos!$A$1:$G2000,5,),"")</f>
        <v/>
      </c>
      <c r="K88" s="185" t="str">
        <f>IFERROR(VLOOKUP(A88,Ativos!A:H,8,),"")</f>
        <v/>
      </c>
      <c r="L88" s="186">
        <f t="shared" si="3"/>
        <v>0</v>
      </c>
    </row>
    <row r="89" ht="21.0" customHeight="1">
      <c r="A89" s="187"/>
      <c r="B89" s="187"/>
      <c r="C89" s="188"/>
      <c r="D89" s="188"/>
      <c r="E89" s="189"/>
      <c r="F89" s="182" t="str">
        <f t="shared" si="1"/>
        <v/>
      </c>
      <c r="G89" s="183">
        <f>IFERROR(__xludf.DUMMYFUNCTION("IFERROR(lookup(9999999999,FILTER('Operações-BR'!$M:$M,'Operações-BR'!$C:$C=A89,'Operações-BR'!$A:$A&lt;=C89)),0)"),0.0)</f>
        <v>0</v>
      </c>
      <c r="H89" s="184">
        <f t="shared" si="2"/>
        <v>0</v>
      </c>
      <c r="I89" s="184">
        <f>IFERROR(__xludf.DUMMYFUNCTION("IFERROR(lookup(9999999999,FILTER('Operações-BR'!Q:Q,'Operações-BR'!$C:$C=A89,'Operações-BR'!$A:$A&lt;=C89))/G89,0)"),0.0)</f>
        <v>0</v>
      </c>
      <c r="J89" s="185" t="str">
        <f>IFERROR(VLOOKUP(A89,Ativos!$A$1:$G2000,5,),"")</f>
        <v/>
      </c>
      <c r="K89" s="185" t="str">
        <f>IFERROR(VLOOKUP(A89,Ativos!A:H,8,),"")</f>
        <v/>
      </c>
      <c r="L89" s="186">
        <f t="shared" si="3"/>
        <v>0</v>
      </c>
    </row>
    <row r="90" ht="21.0" customHeight="1">
      <c r="A90" s="187"/>
      <c r="B90" s="187"/>
      <c r="C90" s="188"/>
      <c r="D90" s="188"/>
      <c r="E90" s="189"/>
      <c r="F90" s="182" t="str">
        <f t="shared" si="1"/>
        <v/>
      </c>
      <c r="G90" s="183">
        <f>IFERROR(__xludf.DUMMYFUNCTION("IFERROR(lookup(9999999999,FILTER('Operações-BR'!$M:$M,'Operações-BR'!$C:$C=A90,'Operações-BR'!$A:$A&lt;=C90)),0)"),0.0)</f>
        <v>0</v>
      </c>
      <c r="H90" s="184">
        <f t="shared" si="2"/>
        <v>0</v>
      </c>
      <c r="I90" s="184">
        <f>IFERROR(__xludf.DUMMYFUNCTION("IFERROR(lookup(9999999999,FILTER('Operações-BR'!Q:Q,'Operações-BR'!$C:$C=A90,'Operações-BR'!$A:$A&lt;=C90))/G90,0)"),0.0)</f>
        <v>0</v>
      </c>
      <c r="J90" s="185" t="str">
        <f>IFERROR(VLOOKUP(A90,Ativos!$A$1:$G2000,5,),"")</f>
        <v/>
      </c>
      <c r="K90" s="185" t="str">
        <f>IFERROR(VLOOKUP(A90,Ativos!A:H,8,),"")</f>
        <v/>
      </c>
      <c r="L90" s="186">
        <f t="shared" si="3"/>
        <v>0</v>
      </c>
    </row>
    <row r="91" ht="21.0" customHeight="1">
      <c r="A91" s="187"/>
      <c r="B91" s="187"/>
      <c r="C91" s="188"/>
      <c r="D91" s="188"/>
      <c r="E91" s="189"/>
      <c r="F91" s="182" t="str">
        <f t="shared" si="1"/>
        <v/>
      </c>
      <c r="G91" s="183">
        <f>IFERROR(__xludf.DUMMYFUNCTION("IFERROR(lookup(9999999999,FILTER('Operações-BR'!$M:$M,'Operações-BR'!$C:$C=A91,'Operações-BR'!$A:$A&lt;=C91)),0)"),0.0)</f>
        <v>0</v>
      </c>
      <c r="H91" s="184">
        <f t="shared" si="2"/>
        <v>0</v>
      </c>
      <c r="I91" s="184">
        <f>IFERROR(__xludf.DUMMYFUNCTION("IFERROR(lookup(9999999999,FILTER('Operações-BR'!Q:Q,'Operações-BR'!$C:$C=A91,'Operações-BR'!$A:$A&lt;=C91))/G91,0)"),0.0)</f>
        <v>0</v>
      </c>
      <c r="J91" s="185" t="str">
        <f>IFERROR(VLOOKUP(A91,Ativos!$A$1:$G2000,5,),"")</f>
        <v/>
      </c>
      <c r="K91" s="185" t="str">
        <f>IFERROR(VLOOKUP(A91,Ativos!A:H,8,),"")</f>
        <v/>
      </c>
      <c r="L91" s="186">
        <f t="shared" si="3"/>
        <v>0</v>
      </c>
    </row>
    <row r="92" ht="21.0" customHeight="1">
      <c r="A92" s="187"/>
      <c r="B92" s="187"/>
      <c r="C92" s="188"/>
      <c r="D92" s="188"/>
      <c r="E92" s="189"/>
      <c r="F92" s="182" t="str">
        <f t="shared" si="1"/>
        <v/>
      </c>
      <c r="G92" s="183">
        <f>IFERROR(__xludf.DUMMYFUNCTION("IFERROR(lookup(9999999999,FILTER('Operações-BR'!$M:$M,'Operações-BR'!$C:$C=A92,'Operações-BR'!$A:$A&lt;=C92)),0)"),0.0)</f>
        <v>0</v>
      </c>
      <c r="H92" s="184">
        <f t="shared" si="2"/>
        <v>0</v>
      </c>
      <c r="I92" s="184">
        <f>IFERROR(__xludf.DUMMYFUNCTION("IFERROR(lookup(9999999999,FILTER('Operações-BR'!Q:Q,'Operações-BR'!$C:$C=A92,'Operações-BR'!$A:$A&lt;=C92))/G92,0)"),0.0)</f>
        <v>0</v>
      </c>
      <c r="J92" s="185" t="str">
        <f>IFERROR(VLOOKUP(A92,Ativos!$A$1:$G2000,5,),"")</f>
        <v/>
      </c>
      <c r="K92" s="185" t="str">
        <f>IFERROR(VLOOKUP(A92,Ativos!A:H,8,),"")</f>
        <v/>
      </c>
      <c r="L92" s="186">
        <f t="shared" si="3"/>
        <v>0</v>
      </c>
    </row>
    <row r="93" ht="21.0" customHeight="1">
      <c r="A93" s="187"/>
      <c r="B93" s="187"/>
      <c r="C93" s="188"/>
      <c r="D93" s="188"/>
      <c r="E93" s="189"/>
      <c r="F93" s="182" t="str">
        <f t="shared" si="1"/>
        <v/>
      </c>
      <c r="G93" s="183">
        <f>IFERROR(__xludf.DUMMYFUNCTION("IFERROR(lookup(9999999999,FILTER('Operações-BR'!$M:$M,'Operações-BR'!$C:$C=A93,'Operações-BR'!$A:$A&lt;=C93)),0)"),0.0)</f>
        <v>0</v>
      </c>
      <c r="H93" s="184">
        <f t="shared" si="2"/>
        <v>0</v>
      </c>
      <c r="I93" s="184">
        <f>IFERROR(__xludf.DUMMYFUNCTION("IFERROR(lookup(9999999999,FILTER('Operações-BR'!Q:Q,'Operações-BR'!$C:$C=A93,'Operações-BR'!$A:$A&lt;=C93))/G93,0)"),0.0)</f>
        <v>0</v>
      </c>
      <c r="J93" s="185" t="str">
        <f>IFERROR(VLOOKUP(A93,Ativos!$A$1:$G2000,5,),"")</f>
        <v/>
      </c>
      <c r="K93" s="185" t="str">
        <f>IFERROR(VLOOKUP(A93,Ativos!A:H,8,),"")</f>
        <v/>
      </c>
      <c r="L93" s="186">
        <f t="shared" si="3"/>
        <v>0</v>
      </c>
    </row>
    <row r="94" ht="21.0" customHeight="1">
      <c r="A94" s="187"/>
      <c r="B94" s="187"/>
      <c r="C94" s="188"/>
      <c r="D94" s="188"/>
      <c r="E94" s="189"/>
      <c r="F94" s="182" t="str">
        <f t="shared" si="1"/>
        <v/>
      </c>
      <c r="G94" s="183">
        <f>IFERROR(__xludf.DUMMYFUNCTION("IFERROR(lookup(9999999999,FILTER('Operações-BR'!$M:$M,'Operações-BR'!$C:$C=A94,'Operações-BR'!$A:$A&lt;=C94)),0)"),0.0)</f>
        <v>0</v>
      </c>
      <c r="H94" s="184">
        <f t="shared" si="2"/>
        <v>0</v>
      </c>
      <c r="I94" s="184">
        <f>IFERROR(__xludf.DUMMYFUNCTION("IFERROR(lookup(9999999999,FILTER('Operações-BR'!Q:Q,'Operações-BR'!$C:$C=A94,'Operações-BR'!$A:$A&lt;=C94))/G94,0)"),0.0)</f>
        <v>0</v>
      </c>
      <c r="J94" s="185" t="str">
        <f>IFERROR(VLOOKUP(A94,Ativos!$A$1:$G2000,5,),"")</f>
        <v/>
      </c>
      <c r="K94" s="185" t="str">
        <f>IFERROR(VLOOKUP(A94,Ativos!A:H,8,),"")</f>
        <v/>
      </c>
      <c r="L94" s="186">
        <f t="shared" si="3"/>
        <v>0</v>
      </c>
    </row>
    <row r="95" ht="21.0" customHeight="1">
      <c r="A95" s="187"/>
      <c r="B95" s="187"/>
      <c r="C95" s="188"/>
      <c r="D95" s="188"/>
      <c r="E95" s="189"/>
      <c r="F95" s="182" t="str">
        <f t="shared" si="1"/>
        <v/>
      </c>
      <c r="G95" s="183">
        <f>IFERROR(__xludf.DUMMYFUNCTION("IFERROR(lookup(9999999999,FILTER('Operações-BR'!$M:$M,'Operações-BR'!$C:$C=A95,'Operações-BR'!$A:$A&lt;=C95)),0)"),0.0)</f>
        <v>0</v>
      </c>
      <c r="H95" s="184">
        <f t="shared" si="2"/>
        <v>0</v>
      </c>
      <c r="I95" s="184">
        <f>IFERROR(__xludf.DUMMYFUNCTION("IFERROR(lookup(9999999999,FILTER('Operações-BR'!Q:Q,'Operações-BR'!$C:$C=A95,'Operações-BR'!$A:$A&lt;=C95))/G95,0)"),0.0)</f>
        <v>0</v>
      </c>
      <c r="J95" s="185" t="str">
        <f>IFERROR(VLOOKUP(A95,Ativos!$A$1:$G2000,5,),"")</f>
        <v/>
      </c>
      <c r="K95" s="185" t="str">
        <f>IFERROR(VLOOKUP(A95,Ativos!A:H,8,),"")</f>
        <v/>
      </c>
      <c r="L95" s="186">
        <f t="shared" si="3"/>
        <v>0</v>
      </c>
    </row>
    <row r="96" ht="21.0" customHeight="1">
      <c r="A96" s="187"/>
      <c r="B96" s="187"/>
      <c r="C96" s="188"/>
      <c r="D96" s="188"/>
      <c r="E96" s="189"/>
      <c r="F96" s="182" t="str">
        <f t="shared" si="1"/>
        <v/>
      </c>
      <c r="G96" s="183">
        <f>IFERROR(__xludf.DUMMYFUNCTION("IFERROR(lookup(9999999999,FILTER('Operações-BR'!$M:$M,'Operações-BR'!$C:$C=A96,'Operações-BR'!$A:$A&lt;=C96)),0)"),0.0)</f>
        <v>0</v>
      </c>
      <c r="H96" s="184">
        <f t="shared" si="2"/>
        <v>0</v>
      </c>
      <c r="I96" s="184">
        <f>IFERROR(__xludf.DUMMYFUNCTION("IFERROR(lookup(9999999999,FILTER('Operações-BR'!Q:Q,'Operações-BR'!$C:$C=A96,'Operações-BR'!$A:$A&lt;=C96))/G96,0)"),0.0)</f>
        <v>0</v>
      </c>
      <c r="J96" s="185" t="str">
        <f>IFERROR(VLOOKUP(A96,Ativos!$A$1:$G2000,5,),"")</f>
        <v/>
      </c>
      <c r="K96" s="185" t="str">
        <f>IFERROR(VLOOKUP(A96,Ativos!A:H,8,),"")</f>
        <v/>
      </c>
      <c r="L96" s="186">
        <f t="shared" si="3"/>
        <v>0</v>
      </c>
    </row>
    <row r="97" ht="21.0" customHeight="1">
      <c r="A97" s="187"/>
      <c r="B97" s="187"/>
      <c r="C97" s="188"/>
      <c r="D97" s="188"/>
      <c r="E97" s="189"/>
      <c r="F97" s="182" t="str">
        <f t="shared" si="1"/>
        <v/>
      </c>
      <c r="G97" s="183">
        <f>IFERROR(__xludf.DUMMYFUNCTION("IFERROR(lookup(9999999999,FILTER('Operações-BR'!$M:$M,'Operações-BR'!$C:$C=A97,'Operações-BR'!$A:$A&lt;=C97)),0)"),0.0)</f>
        <v>0</v>
      </c>
      <c r="H97" s="184">
        <f t="shared" si="2"/>
        <v>0</v>
      </c>
      <c r="I97" s="184">
        <f>IFERROR(__xludf.DUMMYFUNCTION("IFERROR(lookup(9999999999,FILTER('Operações-BR'!Q:Q,'Operações-BR'!$C:$C=A97,'Operações-BR'!$A:$A&lt;=C97))/G97,0)"),0.0)</f>
        <v>0</v>
      </c>
      <c r="J97" s="185" t="str">
        <f>IFERROR(VLOOKUP(A97,Ativos!$A$1:$G2000,5,),"")</f>
        <v/>
      </c>
      <c r="K97" s="185" t="str">
        <f>IFERROR(VLOOKUP(A97,Ativos!A:H,8,),"")</f>
        <v/>
      </c>
      <c r="L97" s="186">
        <f t="shared" si="3"/>
        <v>0</v>
      </c>
    </row>
    <row r="98" ht="21.0" customHeight="1">
      <c r="A98" s="187"/>
      <c r="B98" s="187"/>
      <c r="C98" s="188"/>
      <c r="D98" s="188"/>
      <c r="E98" s="189"/>
      <c r="F98" s="182" t="str">
        <f t="shared" si="1"/>
        <v/>
      </c>
      <c r="G98" s="183">
        <f>IFERROR(__xludf.DUMMYFUNCTION("IFERROR(lookup(9999999999,FILTER('Operações-BR'!$M:$M,'Operações-BR'!$C:$C=A98,'Operações-BR'!$A:$A&lt;=C98)),0)"),0.0)</f>
        <v>0</v>
      </c>
      <c r="H98" s="184">
        <f t="shared" si="2"/>
        <v>0</v>
      </c>
      <c r="I98" s="184">
        <f>IFERROR(__xludf.DUMMYFUNCTION("IFERROR(lookup(9999999999,FILTER('Operações-BR'!Q:Q,'Operações-BR'!$C:$C=A98,'Operações-BR'!$A:$A&lt;=C98))/G98,0)"),0.0)</f>
        <v>0</v>
      </c>
      <c r="J98" s="185" t="str">
        <f>IFERROR(VLOOKUP(A98,Ativos!$A$1:$G2000,5,),"")</f>
        <v/>
      </c>
      <c r="K98" s="185" t="str">
        <f>IFERROR(VLOOKUP(A98,Ativos!A:H,8,),"")</f>
        <v/>
      </c>
      <c r="L98" s="186">
        <f t="shared" si="3"/>
        <v>0</v>
      </c>
    </row>
    <row r="99" ht="21.0" customHeight="1">
      <c r="A99" s="187"/>
      <c r="B99" s="187"/>
      <c r="C99" s="188"/>
      <c r="D99" s="188"/>
      <c r="E99" s="189"/>
      <c r="F99" s="182" t="str">
        <f t="shared" si="1"/>
        <v/>
      </c>
      <c r="G99" s="183">
        <f>IFERROR(__xludf.DUMMYFUNCTION("IFERROR(lookup(9999999999,FILTER('Operações-BR'!$M:$M,'Operações-BR'!$C:$C=A99,'Operações-BR'!$A:$A&lt;=C99)),0)"),0.0)</f>
        <v>0</v>
      </c>
      <c r="H99" s="184">
        <f t="shared" si="2"/>
        <v>0</v>
      </c>
      <c r="I99" s="184">
        <f>IFERROR(__xludf.DUMMYFUNCTION("IFERROR(lookup(9999999999,FILTER('Operações-BR'!Q:Q,'Operações-BR'!$C:$C=A99,'Operações-BR'!$A:$A&lt;=C99))/G99,0)"),0.0)</f>
        <v>0</v>
      </c>
      <c r="J99" s="185" t="str">
        <f>IFERROR(VLOOKUP(A99,Ativos!$A$1:$G2000,5,),"")</f>
        <v/>
      </c>
      <c r="K99" s="185" t="str">
        <f>IFERROR(VLOOKUP(A99,Ativos!A:H,8,),"")</f>
        <v/>
      </c>
      <c r="L99" s="186">
        <f t="shared" si="3"/>
        <v>0</v>
      </c>
    </row>
    <row r="100" ht="21.0" customHeight="1">
      <c r="A100" s="187"/>
      <c r="B100" s="187"/>
      <c r="C100" s="188"/>
      <c r="D100" s="188"/>
      <c r="E100" s="189"/>
      <c r="F100" s="182" t="str">
        <f t="shared" si="1"/>
        <v/>
      </c>
      <c r="G100" s="183">
        <f>IFERROR(__xludf.DUMMYFUNCTION("IFERROR(lookup(9999999999,FILTER('Operações-BR'!$M:$M,'Operações-BR'!$C:$C=A100,'Operações-BR'!$A:$A&lt;=C100)),0)"),0.0)</f>
        <v>0</v>
      </c>
      <c r="H100" s="184">
        <f t="shared" si="2"/>
        <v>0</v>
      </c>
      <c r="I100" s="184">
        <f>IFERROR(__xludf.DUMMYFUNCTION("IFERROR(lookup(9999999999,FILTER('Operações-BR'!Q:Q,'Operações-BR'!$C:$C=A100,'Operações-BR'!$A:$A&lt;=C100))/G100,0)"),0.0)</f>
        <v>0</v>
      </c>
      <c r="J100" s="185" t="str">
        <f>IFERROR(VLOOKUP(A100,Ativos!$A$1:$G2000,5,),"")</f>
        <v/>
      </c>
      <c r="K100" s="185" t="str">
        <f>IFERROR(VLOOKUP(A100,Ativos!A:H,8,),"")</f>
        <v/>
      </c>
      <c r="L100" s="186">
        <f t="shared" si="3"/>
        <v>0</v>
      </c>
    </row>
    <row r="101" ht="21.0" customHeight="1">
      <c r="A101" s="187"/>
      <c r="B101" s="187"/>
      <c r="C101" s="188"/>
      <c r="D101" s="188"/>
      <c r="E101" s="189"/>
      <c r="F101" s="182" t="str">
        <f t="shared" si="1"/>
        <v/>
      </c>
      <c r="G101" s="183">
        <f>IFERROR(__xludf.DUMMYFUNCTION("IFERROR(lookup(9999999999,FILTER('Operações-BR'!$M:$M,'Operações-BR'!$C:$C=A101,'Operações-BR'!$A:$A&lt;=C101)),0)"),0.0)</f>
        <v>0</v>
      </c>
      <c r="H101" s="184">
        <f t="shared" si="2"/>
        <v>0</v>
      </c>
      <c r="I101" s="184">
        <f>IFERROR(__xludf.DUMMYFUNCTION("IFERROR(lookup(9999999999,FILTER('Operações-BR'!Q:Q,'Operações-BR'!$C:$C=A101,'Operações-BR'!$A:$A&lt;=C101))/G101,0)"),0.0)</f>
        <v>0</v>
      </c>
      <c r="J101" s="185" t="str">
        <f>IFERROR(VLOOKUP(A101,Ativos!$A$1:$G2000,5,),"")</f>
        <v/>
      </c>
      <c r="K101" s="185" t="str">
        <f>IFERROR(VLOOKUP(A101,Ativos!A:H,8,),"")</f>
        <v/>
      </c>
      <c r="L101" s="186">
        <f t="shared" si="3"/>
        <v>0</v>
      </c>
    </row>
    <row r="102" ht="21.0" customHeight="1">
      <c r="A102" s="187"/>
      <c r="B102" s="187"/>
      <c r="C102" s="188"/>
      <c r="D102" s="188"/>
      <c r="E102" s="189"/>
      <c r="F102" s="182" t="str">
        <f t="shared" si="1"/>
        <v/>
      </c>
      <c r="G102" s="183">
        <f>IFERROR(__xludf.DUMMYFUNCTION("IFERROR(lookup(9999999999,FILTER('Operações-BR'!$M:$M,'Operações-BR'!$C:$C=A102,'Operações-BR'!$A:$A&lt;=C102)),0)"),0.0)</f>
        <v>0</v>
      </c>
      <c r="H102" s="184">
        <f t="shared" si="2"/>
        <v>0</v>
      </c>
      <c r="I102" s="184">
        <f>IFERROR(__xludf.DUMMYFUNCTION("IFERROR(lookup(9999999999,FILTER('Operações-BR'!Q:Q,'Operações-BR'!$C:$C=A102,'Operações-BR'!$A:$A&lt;=C102))/G102,0)"),0.0)</f>
        <v>0</v>
      </c>
      <c r="J102" s="185" t="str">
        <f>IFERROR(VLOOKUP(A102,Ativos!$A$1:$G2000,5,),"")</f>
        <v/>
      </c>
      <c r="K102" s="185" t="str">
        <f>IFERROR(VLOOKUP(A102,Ativos!A:H,8,),"")</f>
        <v/>
      </c>
      <c r="L102" s="186">
        <f t="shared" si="3"/>
        <v>0</v>
      </c>
    </row>
    <row r="103" ht="21.0" customHeight="1">
      <c r="A103" s="187"/>
      <c r="B103" s="187"/>
      <c r="C103" s="188"/>
      <c r="D103" s="188"/>
      <c r="E103" s="189"/>
      <c r="F103" s="182" t="str">
        <f t="shared" si="1"/>
        <v/>
      </c>
      <c r="G103" s="183">
        <f>IFERROR(__xludf.DUMMYFUNCTION("IFERROR(lookup(9999999999,FILTER('Operações-BR'!$M:$M,'Operações-BR'!$C:$C=A103,'Operações-BR'!$A:$A&lt;=C103)),0)"),0.0)</f>
        <v>0</v>
      </c>
      <c r="H103" s="184">
        <f t="shared" si="2"/>
        <v>0</v>
      </c>
      <c r="I103" s="184">
        <f>IFERROR(__xludf.DUMMYFUNCTION("IFERROR(lookup(9999999999,FILTER('Operações-BR'!Q:Q,'Operações-BR'!$C:$C=A103,'Operações-BR'!$A:$A&lt;=C103))/G103,0)"),0.0)</f>
        <v>0</v>
      </c>
      <c r="J103" s="185" t="str">
        <f>IFERROR(VLOOKUP(A103,Ativos!$A$1:$G2000,5,),"")</f>
        <v/>
      </c>
      <c r="K103" s="185" t="str">
        <f>IFERROR(VLOOKUP(A103,Ativos!A:H,8,),"")</f>
        <v/>
      </c>
      <c r="L103" s="186">
        <f t="shared" si="3"/>
        <v>0</v>
      </c>
    </row>
    <row r="104" ht="21.0" customHeight="1">
      <c r="A104" s="187"/>
      <c r="B104" s="187"/>
      <c r="C104" s="188"/>
      <c r="D104" s="188"/>
      <c r="E104" s="189"/>
      <c r="F104" s="182" t="str">
        <f t="shared" si="1"/>
        <v/>
      </c>
      <c r="G104" s="183">
        <f>IFERROR(__xludf.DUMMYFUNCTION("IFERROR(lookup(9999999999,FILTER('Operações-BR'!$M:$M,'Operações-BR'!$C:$C=A104,'Operações-BR'!$A:$A&lt;=C104)),0)"),0.0)</f>
        <v>0</v>
      </c>
      <c r="H104" s="184">
        <f t="shared" si="2"/>
        <v>0</v>
      </c>
      <c r="I104" s="184">
        <f>IFERROR(__xludf.DUMMYFUNCTION("IFERROR(lookup(9999999999,FILTER('Operações-BR'!Q:Q,'Operações-BR'!$C:$C=A104,'Operações-BR'!$A:$A&lt;=C104))/G104,0)"),0.0)</f>
        <v>0</v>
      </c>
      <c r="J104" s="185" t="str">
        <f>IFERROR(VLOOKUP(A104,Ativos!$A$1:$G2000,5,),"")</f>
        <v/>
      </c>
      <c r="K104" s="185" t="str">
        <f>IFERROR(VLOOKUP(A104,Ativos!A:H,8,),"")</f>
        <v/>
      </c>
      <c r="L104" s="186">
        <f t="shared" si="3"/>
        <v>0</v>
      </c>
    </row>
    <row r="105" ht="21.0" customHeight="1">
      <c r="A105" s="187"/>
      <c r="B105" s="187"/>
      <c r="C105" s="188"/>
      <c r="D105" s="188"/>
      <c r="E105" s="189"/>
      <c r="F105" s="182" t="str">
        <f t="shared" si="1"/>
        <v/>
      </c>
      <c r="G105" s="183">
        <f>IFERROR(__xludf.DUMMYFUNCTION("IFERROR(lookup(9999999999,FILTER('Operações-BR'!$M:$M,'Operações-BR'!$C:$C=A105,'Operações-BR'!$A:$A&lt;=C105)),0)"),0.0)</f>
        <v>0</v>
      </c>
      <c r="H105" s="184">
        <f t="shared" si="2"/>
        <v>0</v>
      </c>
      <c r="I105" s="184">
        <f>IFERROR(__xludf.DUMMYFUNCTION("IFERROR(lookup(9999999999,FILTER('Operações-BR'!Q:Q,'Operações-BR'!$C:$C=A105,'Operações-BR'!$A:$A&lt;=C105))/G105,0)"),0.0)</f>
        <v>0</v>
      </c>
      <c r="J105" s="185" t="str">
        <f>IFERROR(VLOOKUP(A105,Ativos!$A$1:$G2000,5,),"")</f>
        <v/>
      </c>
      <c r="K105" s="185" t="str">
        <f>IFERROR(VLOOKUP(A105,Ativos!A:H,8,),"")</f>
        <v/>
      </c>
      <c r="L105" s="186">
        <f t="shared" si="3"/>
        <v>0</v>
      </c>
    </row>
    <row r="106" ht="21.0" customHeight="1">
      <c r="A106" s="187"/>
      <c r="B106" s="187"/>
      <c r="C106" s="188"/>
      <c r="D106" s="188"/>
      <c r="E106" s="189"/>
      <c r="F106" s="182" t="str">
        <f t="shared" si="1"/>
        <v/>
      </c>
      <c r="G106" s="183">
        <f>IFERROR(__xludf.DUMMYFUNCTION("IFERROR(lookup(9999999999,FILTER('Operações-BR'!$M:$M,'Operações-BR'!$C:$C=A106,'Operações-BR'!$A:$A&lt;=C106)),0)"),0.0)</f>
        <v>0</v>
      </c>
      <c r="H106" s="184">
        <f t="shared" si="2"/>
        <v>0</v>
      </c>
      <c r="I106" s="184">
        <f>IFERROR(__xludf.DUMMYFUNCTION("IFERROR(lookup(9999999999,FILTER('Operações-BR'!Q:Q,'Operações-BR'!$C:$C=A106,'Operações-BR'!$A:$A&lt;=C106))/G106,0)"),0.0)</f>
        <v>0</v>
      </c>
      <c r="J106" s="185" t="str">
        <f>IFERROR(VLOOKUP(A106,Ativos!$A$1:$G2000,5,),"")</f>
        <v/>
      </c>
      <c r="K106" s="185" t="str">
        <f>IFERROR(VLOOKUP(A106,Ativos!A:H,8,),"")</f>
        <v/>
      </c>
      <c r="L106" s="186">
        <f t="shared" si="3"/>
        <v>0</v>
      </c>
    </row>
    <row r="107" ht="21.0" customHeight="1">
      <c r="A107" s="187"/>
      <c r="B107" s="187"/>
      <c r="C107" s="188"/>
      <c r="D107" s="188"/>
      <c r="E107" s="189"/>
      <c r="F107" s="182" t="str">
        <f t="shared" si="1"/>
        <v/>
      </c>
      <c r="G107" s="183">
        <f>IFERROR(__xludf.DUMMYFUNCTION("IFERROR(lookup(9999999999,FILTER('Operações-BR'!$M:$M,'Operações-BR'!$C:$C=A107,'Operações-BR'!$A:$A&lt;=C107)),0)"),0.0)</f>
        <v>0</v>
      </c>
      <c r="H107" s="184">
        <f t="shared" si="2"/>
        <v>0</v>
      </c>
      <c r="I107" s="184">
        <f>IFERROR(__xludf.DUMMYFUNCTION("IFERROR(lookup(9999999999,FILTER('Operações-BR'!Q:Q,'Operações-BR'!$C:$C=A107,'Operações-BR'!$A:$A&lt;=C107))/G107,0)"),0.0)</f>
        <v>0</v>
      </c>
      <c r="J107" s="185" t="str">
        <f>IFERROR(VLOOKUP(A107,Ativos!$A$1:$G2000,5,),"")</f>
        <v/>
      </c>
      <c r="K107" s="185" t="str">
        <f>IFERROR(VLOOKUP(A107,Ativos!A:H,8,),"")</f>
        <v/>
      </c>
      <c r="L107" s="186">
        <f t="shared" si="3"/>
        <v>0</v>
      </c>
    </row>
    <row r="108" ht="21.0" customHeight="1">
      <c r="A108" s="187"/>
      <c r="B108" s="187"/>
      <c r="C108" s="188"/>
      <c r="D108" s="188"/>
      <c r="E108" s="189"/>
      <c r="F108" s="182" t="str">
        <f t="shared" si="1"/>
        <v/>
      </c>
      <c r="G108" s="183">
        <f>IFERROR(__xludf.DUMMYFUNCTION("IFERROR(lookup(9999999999,FILTER('Operações-BR'!$M:$M,'Operações-BR'!$C:$C=A108,'Operações-BR'!$A:$A&lt;=C108)),0)"),0.0)</f>
        <v>0</v>
      </c>
      <c r="H108" s="184">
        <f t="shared" si="2"/>
        <v>0</v>
      </c>
      <c r="I108" s="184">
        <f>IFERROR(__xludf.DUMMYFUNCTION("IFERROR(lookup(9999999999,FILTER('Operações-BR'!Q:Q,'Operações-BR'!$C:$C=A108,'Operações-BR'!$A:$A&lt;=C108))/G108,0)"),0.0)</f>
        <v>0</v>
      </c>
      <c r="J108" s="185" t="str">
        <f>IFERROR(VLOOKUP(A108,Ativos!$A$1:$G2000,5,),"")</f>
        <v/>
      </c>
      <c r="K108" s="185" t="str">
        <f>IFERROR(VLOOKUP(A108,Ativos!A:H,8,),"")</f>
        <v/>
      </c>
      <c r="L108" s="186">
        <f t="shared" si="3"/>
        <v>0</v>
      </c>
    </row>
    <row r="109" ht="21.0" customHeight="1">
      <c r="A109" s="187"/>
      <c r="B109" s="187"/>
      <c r="C109" s="188"/>
      <c r="D109" s="188"/>
      <c r="E109" s="189"/>
      <c r="F109" s="182" t="str">
        <f t="shared" si="1"/>
        <v/>
      </c>
      <c r="G109" s="183">
        <f>IFERROR(__xludf.DUMMYFUNCTION("IFERROR(lookup(9999999999,FILTER('Operações-BR'!$M:$M,'Operações-BR'!$C:$C=A109,'Operações-BR'!$A:$A&lt;=C109)),0)"),0.0)</f>
        <v>0</v>
      </c>
      <c r="H109" s="184">
        <f t="shared" si="2"/>
        <v>0</v>
      </c>
      <c r="I109" s="184">
        <f>IFERROR(__xludf.DUMMYFUNCTION("IFERROR(lookup(9999999999,FILTER('Operações-BR'!Q:Q,'Operações-BR'!$C:$C=A109,'Operações-BR'!$A:$A&lt;=C109))/G109,0)"),0.0)</f>
        <v>0</v>
      </c>
      <c r="J109" s="185" t="str">
        <f>IFERROR(VLOOKUP(A109,Ativos!$A$1:$G2000,5,),"")</f>
        <v/>
      </c>
      <c r="K109" s="185" t="str">
        <f>IFERROR(VLOOKUP(A109,Ativos!A:H,8,),"")</f>
        <v/>
      </c>
      <c r="L109" s="186">
        <f t="shared" si="3"/>
        <v>0</v>
      </c>
    </row>
    <row r="110" ht="21.0" customHeight="1">
      <c r="A110" s="187"/>
      <c r="B110" s="187"/>
      <c r="C110" s="188"/>
      <c r="D110" s="188"/>
      <c r="E110" s="189"/>
      <c r="F110" s="182" t="str">
        <f t="shared" si="1"/>
        <v/>
      </c>
      <c r="G110" s="183">
        <f>IFERROR(__xludf.DUMMYFUNCTION("IFERROR(lookup(9999999999,FILTER('Operações-BR'!$M:$M,'Operações-BR'!$C:$C=A110,'Operações-BR'!$A:$A&lt;=C110)),0)"),0.0)</f>
        <v>0</v>
      </c>
      <c r="H110" s="184">
        <f t="shared" si="2"/>
        <v>0</v>
      </c>
      <c r="I110" s="184">
        <f>IFERROR(__xludf.DUMMYFUNCTION("IFERROR(lookup(9999999999,FILTER('Operações-BR'!Q:Q,'Operações-BR'!$C:$C=A110,'Operações-BR'!$A:$A&lt;=C110))/G110,0)"),0.0)</f>
        <v>0</v>
      </c>
      <c r="J110" s="185" t="str">
        <f>IFERROR(VLOOKUP(A110,Ativos!$A$1:$G2000,5,),"")</f>
        <v/>
      </c>
      <c r="K110" s="185" t="str">
        <f>IFERROR(VLOOKUP(A110,Ativos!A:H,8,),"")</f>
        <v/>
      </c>
      <c r="L110" s="186">
        <f t="shared" si="3"/>
        <v>0</v>
      </c>
    </row>
    <row r="111" ht="21.0" customHeight="1">
      <c r="A111" s="192"/>
      <c r="B111" s="192"/>
      <c r="C111" s="188"/>
      <c r="D111" s="190"/>
      <c r="E111" s="194"/>
      <c r="F111" s="182" t="str">
        <f t="shared" si="1"/>
        <v/>
      </c>
      <c r="G111" s="183">
        <f>IFERROR(__xludf.DUMMYFUNCTION("IFERROR(lookup(9999999999,FILTER('Operações-BR'!$M:$M,'Operações-BR'!$C:$C=A111,'Operações-BR'!$A:$A&lt;=C111)),0)"),0.0)</f>
        <v>0</v>
      </c>
      <c r="H111" s="184">
        <f t="shared" si="2"/>
        <v>0</v>
      </c>
      <c r="I111" s="184">
        <f>IFERROR(__xludf.DUMMYFUNCTION("IFERROR(lookup(9999999999,FILTER('Operações-BR'!Q:Q,'Operações-BR'!$C:$C=A111,'Operações-BR'!$A:$A&lt;=C111))/G111,0)"),0.0)</f>
        <v>0</v>
      </c>
      <c r="J111" s="185" t="str">
        <f>IFERROR(VLOOKUP(A111,Ativos!$A$1:$G2000,5,),"")</f>
        <v/>
      </c>
      <c r="K111" s="185" t="str">
        <f>IFERROR(VLOOKUP(A111,Ativos!A:H,8,),"")</f>
        <v/>
      </c>
      <c r="L111" s="186">
        <f t="shared" si="3"/>
        <v>0</v>
      </c>
    </row>
    <row r="112" ht="21.0" customHeight="1">
      <c r="A112" s="187"/>
      <c r="B112" s="187"/>
      <c r="C112" s="188"/>
      <c r="D112" s="188"/>
      <c r="E112" s="189"/>
      <c r="F112" s="182" t="str">
        <f t="shared" si="1"/>
        <v/>
      </c>
      <c r="G112" s="183">
        <f>IFERROR(__xludf.DUMMYFUNCTION("IFERROR(lookup(9999999999,FILTER('Operações-BR'!$M:$M,'Operações-BR'!$C:$C=A112,'Operações-BR'!$A:$A&lt;=C112)),0)"),0.0)</f>
        <v>0</v>
      </c>
      <c r="H112" s="184">
        <f t="shared" si="2"/>
        <v>0</v>
      </c>
      <c r="I112" s="184">
        <f>IFERROR(__xludf.DUMMYFUNCTION("IFERROR(lookup(9999999999,FILTER('Operações-BR'!Q:Q,'Operações-BR'!$C:$C=A112,'Operações-BR'!$A:$A&lt;=C112))/G112,0)"),0.0)</f>
        <v>0</v>
      </c>
      <c r="J112" s="185" t="str">
        <f>IFERROR(VLOOKUP(A112,Ativos!$A$1:$G2000,5,),"")</f>
        <v/>
      </c>
      <c r="K112" s="185" t="str">
        <f>IFERROR(VLOOKUP(A112,Ativos!A:H,8,),"")</f>
        <v/>
      </c>
      <c r="L112" s="186">
        <f t="shared" si="3"/>
        <v>0</v>
      </c>
    </row>
    <row r="113" ht="21.0" customHeight="1">
      <c r="A113" s="187"/>
      <c r="B113" s="187"/>
      <c r="C113" s="188"/>
      <c r="D113" s="188"/>
      <c r="E113" s="189"/>
      <c r="F113" s="182" t="str">
        <f t="shared" si="1"/>
        <v/>
      </c>
      <c r="G113" s="183">
        <f>IFERROR(__xludf.DUMMYFUNCTION("IFERROR(lookup(9999999999,FILTER('Operações-BR'!$M:$M,'Operações-BR'!$C:$C=A113,'Operações-BR'!$A:$A&lt;=C113)),0)"),0.0)</f>
        <v>0</v>
      </c>
      <c r="H113" s="184">
        <f t="shared" si="2"/>
        <v>0</v>
      </c>
      <c r="I113" s="184">
        <f>IFERROR(__xludf.DUMMYFUNCTION("IFERROR(lookup(9999999999,FILTER('Operações-BR'!Q:Q,'Operações-BR'!$C:$C=A113,'Operações-BR'!$A:$A&lt;=C113))/G113,0)"),0.0)</f>
        <v>0</v>
      </c>
      <c r="J113" s="185" t="str">
        <f>IFERROR(VLOOKUP(A113,Ativos!$A$1:$G2000,5,),"")</f>
        <v/>
      </c>
      <c r="K113" s="185" t="str">
        <f>IFERROR(VLOOKUP(A113,Ativos!A:H,8,),"")</f>
        <v/>
      </c>
      <c r="L113" s="186">
        <f t="shared" si="3"/>
        <v>0</v>
      </c>
    </row>
    <row r="114" ht="21.0" customHeight="1">
      <c r="A114" s="187"/>
      <c r="B114" s="187"/>
      <c r="C114" s="188"/>
      <c r="D114" s="188"/>
      <c r="E114" s="189"/>
      <c r="F114" s="182" t="str">
        <f t="shared" si="1"/>
        <v/>
      </c>
      <c r="G114" s="183">
        <f>IFERROR(__xludf.DUMMYFUNCTION("IFERROR(lookup(9999999999,FILTER('Operações-BR'!$M:$M,'Operações-BR'!$C:$C=A114,'Operações-BR'!$A:$A&lt;=C114)),0)"),0.0)</f>
        <v>0</v>
      </c>
      <c r="H114" s="184">
        <f t="shared" si="2"/>
        <v>0</v>
      </c>
      <c r="I114" s="184">
        <f>IFERROR(__xludf.DUMMYFUNCTION("IFERROR(lookup(9999999999,FILTER('Operações-BR'!Q:Q,'Operações-BR'!$C:$C=A114,'Operações-BR'!$A:$A&lt;=C114))/G114,0)"),0.0)</f>
        <v>0</v>
      </c>
      <c r="J114" s="185" t="str">
        <f>IFERROR(VLOOKUP(A114,Ativos!$A$1:$G2000,5,),"")</f>
        <v/>
      </c>
      <c r="K114" s="185" t="str">
        <f>IFERROR(VLOOKUP(A114,Ativos!A:H,8,),"")</f>
        <v/>
      </c>
      <c r="L114" s="186">
        <f t="shared" si="3"/>
        <v>0</v>
      </c>
    </row>
    <row r="115" ht="21.0" customHeight="1">
      <c r="A115" s="187"/>
      <c r="B115" s="187"/>
      <c r="C115" s="188"/>
      <c r="D115" s="188"/>
      <c r="E115" s="189"/>
      <c r="F115" s="182" t="str">
        <f t="shared" si="1"/>
        <v/>
      </c>
      <c r="G115" s="183">
        <f>IFERROR(__xludf.DUMMYFUNCTION("IFERROR(lookup(9999999999,FILTER('Operações-BR'!$M:$M,'Operações-BR'!$C:$C=A115,'Operações-BR'!$A:$A&lt;=C115)),0)"),0.0)</f>
        <v>0</v>
      </c>
      <c r="H115" s="184">
        <f t="shared" si="2"/>
        <v>0</v>
      </c>
      <c r="I115" s="184">
        <f>IFERROR(__xludf.DUMMYFUNCTION("IFERROR(lookup(9999999999,FILTER('Operações-BR'!Q:Q,'Operações-BR'!$C:$C=A115,'Operações-BR'!$A:$A&lt;=C115))/G115,0)"),0.0)</f>
        <v>0</v>
      </c>
      <c r="J115" s="185" t="str">
        <f>IFERROR(VLOOKUP(A115,Ativos!$A$1:$G2000,5,),"")</f>
        <v/>
      </c>
      <c r="K115" s="185" t="str">
        <f>IFERROR(VLOOKUP(A115,Ativos!A:H,8,),"")</f>
        <v/>
      </c>
      <c r="L115" s="186">
        <f t="shared" si="3"/>
        <v>0</v>
      </c>
    </row>
    <row r="116" ht="21.0" customHeight="1">
      <c r="A116" s="187"/>
      <c r="B116" s="187"/>
      <c r="C116" s="188"/>
      <c r="D116" s="188"/>
      <c r="E116" s="189"/>
      <c r="F116" s="182" t="str">
        <f t="shared" si="1"/>
        <v/>
      </c>
      <c r="G116" s="183">
        <f>IFERROR(__xludf.DUMMYFUNCTION("IFERROR(lookup(9999999999,FILTER('Operações-BR'!$M:$M,'Operações-BR'!$C:$C=A116,'Operações-BR'!$A:$A&lt;=C116)),0)"),0.0)</f>
        <v>0</v>
      </c>
      <c r="H116" s="184">
        <f t="shared" si="2"/>
        <v>0</v>
      </c>
      <c r="I116" s="184">
        <f>IFERROR(__xludf.DUMMYFUNCTION("IFERROR(lookup(9999999999,FILTER('Operações-BR'!Q:Q,'Operações-BR'!$C:$C=A116,'Operações-BR'!$A:$A&lt;=C116))/G116,0)"),0.0)</f>
        <v>0</v>
      </c>
      <c r="J116" s="185" t="str">
        <f>IFERROR(VLOOKUP(A116,Ativos!$A$1:$G2000,5,),"")</f>
        <v/>
      </c>
      <c r="K116" s="185" t="str">
        <f>IFERROR(VLOOKUP(A116,Ativos!A:H,8,),"")</f>
        <v/>
      </c>
      <c r="L116" s="186">
        <f t="shared" si="3"/>
        <v>0</v>
      </c>
    </row>
    <row r="117" ht="21.0" customHeight="1">
      <c r="A117" s="187"/>
      <c r="B117" s="187"/>
      <c r="C117" s="188"/>
      <c r="D117" s="188"/>
      <c r="E117" s="189"/>
      <c r="F117" s="182" t="str">
        <f t="shared" si="1"/>
        <v/>
      </c>
      <c r="G117" s="183">
        <f>IFERROR(__xludf.DUMMYFUNCTION("IFERROR(lookup(9999999999,FILTER('Operações-BR'!$M:$M,'Operações-BR'!$C:$C=A117,'Operações-BR'!$A:$A&lt;=C117)),0)"),0.0)</f>
        <v>0</v>
      </c>
      <c r="H117" s="184">
        <f t="shared" si="2"/>
        <v>0</v>
      </c>
      <c r="I117" s="184">
        <f>IFERROR(__xludf.DUMMYFUNCTION("IFERROR(lookup(9999999999,FILTER('Operações-BR'!Q:Q,'Operações-BR'!$C:$C=A117,'Operações-BR'!$A:$A&lt;=C117))/G117,0)"),0.0)</f>
        <v>0</v>
      </c>
      <c r="J117" s="185" t="str">
        <f>IFERROR(VLOOKUP(A117,Ativos!$A$1:$G2000,5,),"")</f>
        <v/>
      </c>
      <c r="K117" s="185" t="str">
        <f>IFERROR(VLOOKUP(A117,Ativos!A:H,8,),"")</f>
        <v/>
      </c>
      <c r="L117" s="186">
        <f t="shared" si="3"/>
        <v>0</v>
      </c>
    </row>
    <row r="118" ht="21.0" customHeight="1">
      <c r="A118" s="187"/>
      <c r="B118" s="187"/>
      <c r="C118" s="188"/>
      <c r="D118" s="188"/>
      <c r="E118" s="189"/>
      <c r="F118" s="182" t="str">
        <f t="shared" si="1"/>
        <v/>
      </c>
      <c r="G118" s="183">
        <f>IFERROR(__xludf.DUMMYFUNCTION("IFERROR(lookup(9999999999,FILTER('Operações-BR'!$M:$M,'Operações-BR'!$C:$C=A118,'Operações-BR'!$A:$A&lt;=C118)),0)"),0.0)</f>
        <v>0</v>
      </c>
      <c r="H118" s="184">
        <f t="shared" si="2"/>
        <v>0</v>
      </c>
      <c r="I118" s="184">
        <f>IFERROR(__xludf.DUMMYFUNCTION("IFERROR(lookup(9999999999,FILTER('Operações-BR'!Q:Q,'Operações-BR'!$C:$C=A118,'Operações-BR'!$A:$A&lt;=C118))/G118,0)"),0.0)</f>
        <v>0</v>
      </c>
      <c r="J118" s="185" t="str">
        <f>IFERROR(VLOOKUP(A118,Ativos!$A$1:$G2000,5,),"")</f>
        <v/>
      </c>
      <c r="K118" s="185" t="str">
        <f>IFERROR(VLOOKUP(A118,Ativos!A:H,8,),"")</f>
        <v/>
      </c>
      <c r="L118" s="186">
        <f t="shared" si="3"/>
        <v>0</v>
      </c>
    </row>
    <row r="119" ht="21.0" customHeight="1">
      <c r="A119" s="187"/>
      <c r="B119" s="187"/>
      <c r="C119" s="188"/>
      <c r="D119" s="188"/>
      <c r="E119" s="189"/>
      <c r="F119" s="182" t="str">
        <f t="shared" si="1"/>
        <v/>
      </c>
      <c r="G119" s="183">
        <f>IFERROR(__xludf.DUMMYFUNCTION("IFERROR(lookup(9999999999,FILTER('Operações-BR'!$M:$M,'Operações-BR'!$C:$C=A119,'Operações-BR'!$A:$A&lt;=C119)),0)"),0.0)</f>
        <v>0</v>
      </c>
      <c r="H119" s="184">
        <f t="shared" si="2"/>
        <v>0</v>
      </c>
      <c r="I119" s="184">
        <f>IFERROR(__xludf.DUMMYFUNCTION("IFERROR(lookup(9999999999,FILTER('Operações-BR'!Q:Q,'Operações-BR'!$C:$C=A119,'Operações-BR'!$A:$A&lt;=C119))/G119,0)"),0.0)</f>
        <v>0</v>
      </c>
      <c r="J119" s="185" t="str">
        <f>IFERROR(VLOOKUP(A119,Ativos!$A$1:$G2000,5,),"")</f>
        <v/>
      </c>
      <c r="K119" s="185" t="str">
        <f>IFERROR(VLOOKUP(A119,Ativos!A:H,8,),"")</f>
        <v/>
      </c>
      <c r="L119" s="186">
        <f t="shared" si="3"/>
        <v>0</v>
      </c>
    </row>
    <row r="120" ht="21.0" customHeight="1">
      <c r="A120" s="187"/>
      <c r="B120" s="187"/>
      <c r="C120" s="188"/>
      <c r="D120" s="188"/>
      <c r="E120" s="189"/>
      <c r="F120" s="182" t="str">
        <f t="shared" si="1"/>
        <v/>
      </c>
      <c r="G120" s="183">
        <f>IFERROR(__xludf.DUMMYFUNCTION("IFERROR(lookup(9999999999,FILTER('Operações-BR'!$M:$M,'Operações-BR'!$C:$C=A120,'Operações-BR'!$A:$A&lt;=C120)),0)"),0.0)</f>
        <v>0</v>
      </c>
      <c r="H120" s="184">
        <f t="shared" si="2"/>
        <v>0</v>
      </c>
      <c r="I120" s="184">
        <f>IFERROR(__xludf.DUMMYFUNCTION("IFERROR(lookup(9999999999,FILTER('Operações-BR'!Q:Q,'Operações-BR'!$C:$C=A120,'Operações-BR'!$A:$A&lt;=C120))/G120,0)"),0.0)</f>
        <v>0</v>
      </c>
      <c r="J120" s="185" t="str">
        <f>IFERROR(VLOOKUP(A120,Ativos!$A$1:$G2000,5,),"")</f>
        <v/>
      </c>
      <c r="K120" s="185" t="str">
        <f>IFERROR(VLOOKUP(A120,Ativos!A:H,8,),"")</f>
        <v/>
      </c>
      <c r="L120" s="186">
        <f t="shared" si="3"/>
        <v>0</v>
      </c>
    </row>
    <row r="121" ht="21.0" customHeight="1">
      <c r="A121" s="187"/>
      <c r="B121" s="187"/>
      <c r="C121" s="188"/>
      <c r="D121" s="188"/>
      <c r="E121" s="189"/>
      <c r="F121" s="182" t="str">
        <f t="shared" si="1"/>
        <v/>
      </c>
      <c r="G121" s="183">
        <f>IFERROR(__xludf.DUMMYFUNCTION("IFERROR(lookup(9999999999,FILTER('Operações-BR'!$M:$M,'Operações-BR'!$C:$C=A121,'Operações-BR'!$A:$A&lt;=C121)),0)"),0.0)</f>
        <v>0</v>
      </c>
      <c r="H121" s="184">
        <f t="shared" si="2"/>
        <v>0</v>
      </c>
      <c r="I121" s="184">
        <f>IFERROR(__xludf.DUMMYFUNCTION("IFERROR(lookup(9999999999,FILTER('Operações-BR'!Q:Q,'Operações-BR'!$C:$C=A121,'Operações-BR'!$A:$A&lt;=C121))/G121,0)"),0.0)</f>
        <v>0</v>
      </c>
      <c r="J121" s="185" t="str">
        <f>IFERROR(VLOOKUP(A121,Ativos!$A$1:$G2000,5,),"")</f>
        <v/>
      </c>
      <c r="K121" s="185" t="str">
        <f>IFERROR(VLOOKUP(A121,Ativos!A:H,8,),"")</f>
        <v/>
      </c>
      <c r="L121" s="186">
        <f t="shared" si="3"/>
        <v>0</v>
      </c>
    </row>
    <row r="122" ht="21.0" customHeight="1">
      <c r="A122" s="187"/>
      <c r="B122" s="187"/>
      <c r="C122" s="188"/>
      <c r="D122" s="188"/>
      <c r="E122" s="189"/>
      <c r="F122" s="182" t="str">
        <f t="shared" si="1"/>
        <v/>
      </c>
      <c r="G122" s="183">
        <f>IFERROR(__xludf.DUMMYFUNCTION("IFERROR(lookup(9999999999,FILTER('Operações-BR'!$M:$M,'Operações-BR'!$C:$C=A122,'Operações-BR'!$A:$A&lt;=C122)),0)"),0.0)</f>
        <v>0</v>
      </c>
      <c r="H122" s="184">
        <f t="shared" si="2"/>
        <v>0</v>
      </c>
      <c r="I122" s="184">
        <f>IFERROR(__xludf.DUMMYFUNCTION("IFERROR(lookup(9999999999,FILTER('Operações-BR'!Q:Q,'Operações-BR'!$C:$C=A122,'Operações-BR'!$A:$A&lt;=C122))/G122,0)"),0.0)</f>
        <v>0</v>
      </c>
      <c r="J122" s="185" t="str">
        <f>IFERROR(VLOOKUP(A122,Ativos!$A$1:$G2000,5,),"")</f>
        <v/>
      </c>
      <c r="K122" s="185" t="str">
        <f>IFERROR(VLOOKUP(A122,Ativos!A:H,8,),"")</f>
        <v/>
      </c>
      <c r="L122" s="186">
        <f t="shared" si="3"/>
        <v>0</v>
      </c>
    </row>
    <row r="123" ht="21.0" customHeight="1">
      <c r="A123" s="187"/>
      <c r="B123" s="187"/>
      <c r="C123" s="188"/>
      <c r="D123" s="188"/>
      <c r="E123" s="189"/>
      <c r="F123" s="182" t="str">
        <f t="shared" si="1"/>
        <v/>
      </c>
      <c r="G123" s="183">
        <f>IFERROR(__xludf.DUMMYFUNCTION("IFERROR(lookup(9999999999,FILTER('Operações-BR'!$M:$M,'Operações-BR'!$C:$C=A123,'Operações-BR'!$A:$A&lt;=C123)),0)"),0.0)</f>
        <v>0</v>
      </c>
      <c r="H123" s="184">
        <f t="shared" si="2"/>
        <v>0</v>
      </c>
      <c r="I123" s="184">
        <f>IFERROR(__xludf.DUMMYFUNCTION("IFERROR(lookup(9999999999,FILTER('Operações-BR'!Q:Q,'Operações-BR'!$C:$C=A123,'Operações-BR'!$A:$A&lt;=C123))/G123,0)"),0.0)</f>
        <v>0</v>
      </c>
      <c r="J123" s="185" t="str">
        <f>IFERROR(VLOOKUP(A123,Ativos!$A$1:$G2000,5,),"")</f>
        <v/>
      </c>
      <c r="K123" s="185" t="str">
        <f>IFERROR(VLOOKUP(A123,Ativos!A:H,8,),"")</f>
        <v/>
      </c>
      <c r="L123" s="186">
        <f t="shared" si="3"/>
        <v>0</v>
      </c>
    </row>
    <row r="124" ht="21.0" customHeight="1">
      <c r="A124" s="187"/>
      <c r="B124" s="187"/>
      <c r="C124" s="188"/>
      <c r="D124" s="188"/>
      <c r="E124" s="189"/>
      <c r="F124" s="182" t="str">
        <f t="shared" si="1"/>
        <v/>
      </c>
      <c r="G124" s="183">
        <f>IFERROR(__xludf.DUMMYFUNCTION("IFERROR(lookup(9999999999,FILTER('Operações-BR'!$M:$M,'Operações-BR'!$C:$C=A124,'Operações-BR'!$A:$A&lt;=C124)),0)"),0.0)</f>
        <v>0</v>
      </c>
      <c r="H124" s="184">
        <f t="shared" si="2"/>
        <v>0</v>
      </c>
      <c r="I124" s="184">
        <f>IFERROR(__xludf.DUMMYFUNCTION("IFERROR(lookup(9999999999,FILTER('Operações-BR'!Q:Q,'Operações-BR'!$C:$C=A124,'Operações-BR'!$A:$A&lt;=C124))/G124,0)"),0.0)</f>
        <v>0</v>
      </c>
      <c r="J124" s="185" t="str">
        <f>IFERROR(VLOOKUP(A124,Ativos!$A$1:$G2000,5,),"")</f>
        <v/>
      </c>
      <c r="K124" s="185" t="str">
        <f>IFERROR(VLOOKUP(A124,Ativos!A:H,8,),"")</f>
        <v/>
      </c>
      <c r="L124" s="186">
        <f t="shared" si="3"/>
        <v>0</v>
      </c>
    </row>
    <row r="125" ht="21.0" customHeight="1">
      <c r="A125" s="187"/>
      <c r="B125" s="187"/>
      <c r="C125" s="188"/>
      <c r="D125" s="188"/>
      <c r="E125" s="189"/>
      <c r="F125" s="182" t="str">
        <f t="shared" si="1"/>
        <v/>
      </c>
      <c r="G125" s="183">
        <f>IFERROR(__xludf.DUMMYFUNCTION("IFERROR(lookup(9999999999,FILTER('Operações-BR'!$M:$M,'Operações-BR'!$C:$C=A125,'Operações-BR'!$A:$A&lt;=C125)),0)"),0.0)</f>
        <v>0</v>
      </c>
      <c r="H125" s="184">
        <f t="shared" si="2"/>
        <v>0</v>
      </c>
      <c r="I125" s="184">
        <f>IFERROR(__xludf.DUMMYFUNCTION("IFERROR(lookup(9999999999,FILTER('Operações-BR'!Q:Q,'Operações-BR'!$C:$C=A125,'Operações-BR'!$A:$A&lt;=C125))/G125,0)"),0.0)</f>
        <v>0</v>
      </c>
      <c r="J125" s="185" t="str">
        <f>IFERROR(VLOOKUP(A125,Ativos!$A$1:$G2000,5,),"")</f>
        <v/>
      </c>
      <c r="K125" s="185" t="str">
        <f>IFERROR(VLOOKUP(A125,Ativos!A:H,8,),"")</f>
        <v/>
      </c>
      <c r="L125" s="186">
        <f t="shared" si="3"/>
        <v>0</v>
      </c>
    </row>
    <row r="126" ht="21.0" customHeight="1">
      <c r="A126" s="187"/>
      <c r="B126" s="187"/>
      <c r="C126" s="188"/>
      <c r="D126" s="188"/>
      <c r="E126" s="189"/>
      <c r="F126" s="182" t="str">
        <f t="shared" si="1"/>
        <v/>
      </c>
      <c r="G126" s="183">
        <f>IFERROR(__xludf.DUMMYFUNCTION("IFERROR(lookup(9999999999,FILTER('Operações-BR'!$M:$M,'Operações-BR'!$C:$C=A126,'Operações-BR'!$A:$A&lt;=C126)),0)"),0.0)</f>
        <v>0</v>
      </c>
      <c r="H126" s="184">
        <f t="shared" si="2"/>
        <v>0</v>
      </c>
      <c r="I126" s="184">
        <f>IFERROR(__xludf.DUMMYFUNCTION("IFERROR(lookup(9999999999,FILTER('Operações-BR'!Q:Q,'Operações-BR'!$C:$C=A126,'Operações-BR'!$A:$A&lt;=C126))/G126,0)"),0.0)</f>
        <v>0</v>
      </c>
      <c r="J126" s="185" t="str">
        <f>IFERROR(VLOOKUP(A126,Ativos!$A$1:$G2000,5,),"")</f>
        <v/>
      </c>
      <c r="K126" s="185" t="str">
        <f>IFERROR(VLOOKUP(A126,Ativos!A:H,8,),"")</f>
        <v/>
      </c>
      <c r="L126" s="186">
        <f t="shared" si="3"/>
        <v>0</v>
      </c>
    </row>
    <row r="127" ht="21.0" customHeight="1">
      <c r="A127" s="187"/>
      <c r="B127" s="187"/>
      <c r="C127" s="188"/>
      <c r="D127" s="188"/>
      <c r="E127" s="189"/>
      <c r="F127" s="182" t="str">
        <f t="shared" si="1"/>
        <v/>
      </c>
      <c r="G127" s="183">
        <f>IFERROR(__xludf.DUMMYFUNCTION("IFERROR(lookup(9999999999,FILTER('Operações-BR'!$M:$M,'Operações-BR'!$C:$C=A127,'Operações-BR'!$A:$A&lt;=C127)),0)"),0.0)</f>
        <v>0</v>
      </c>
      <c r="H127" s="184">
        <f t="shared" si="2"/>
        <v>0</v>
      </c>
      <c r="I127" s="184">
        <f>IFERROR(__xludf.DUMMYFUNCTION("IFERROR(lookup(9999999999,FILTER('Operações-BR'!Q:Q,'Operações-BR'!$C:$C=A127,'Operações-BR'!$A:$A&lt;=C127))/G127,0)"),0.0)</f>
        <v>0</v>
      </c>
      <c r="J127" s="185" t="str">
        <f>IFERROR(VLOOKUP(A127,Ativos!$A$1:$G2000,5,),"")</f>
        <v/>
      </c>
      <c r="K127" s="185" t="str">
        <f>IFERROR(VLOOKUP(A127,Ativos!A:H,8,),"")</f>
        <v/>
      </c>
      <c r="L127" s="186">
        <f t="shared" si="3"/>
        <v>0</v>
      </c>
    </row>
    <row r="128" ht="21.0" customHeight="1">
      <c r="A128" s="187"/>
      <c r="B128" s="187"/>
      <c r="C128" s="188"/>
      <c r="D128" s="188"/>
      <c r="E128" s="189"/>
      <c r="F128" s="182" t="str">
        <f t="shared" si="1"/>
        <v/>
      </c>
      <c r="G128" s="183">
        <f>IFERROR(__xludf.DUMMYFUNCTION("IFERROR(lookup(9999999999,FILTER('Operações-BR'!$M:$M,'Operações-BR'!$C:$C=A128,'Operações-BR'!$A:$A&lt;=C128)),0)"),0.0)</f>
        <v>0</v>
      </c>
      <c r="H128" s="184">
        <f t="shared" si="2"/>
        <v>0</v>
      </c>
      <c r="I128" s="184">
        <f>IFERROR(__xludf.DUMMYFUNCTION("IFERROR(lookup(9999999999,FILTER('Operações-BR'!Q:Q,'Operações-BR'!$C:$C=A128,'Operações-BR'!$A:$A&lt;=C128))/G128,0)"),0.0)</f>
        <v>0</v>
      </c>
      <c r="J128" s="185" t="str">
        <f>IFERROR(VLOOKUP(A128,Ativos!$A$1:$G2000,5,),"")</f>
        <v/>
      </c>
      <c r="K128" s="185" t="str">
        <f>IFERROR(VLOOKUP(A128,Ativos!A:H,8,),"")</f>
        <v/>
      </c>
      <c r="L128" s="186">
        <f t="shared" si="3"/>
        <v>0</v>
      </c>
    </row>
    <row r="129" ht="21.0" customHeight="1">
      <c r="A129" s="187"/>
      <c r="B129" s="187"/>
      <c r="C129" s="188"/>
      <c r="D129" s="188"/>
      <c r="E129" s="189"/>
      <c r="F129" s="182" t="str">
        <f t="shared" si="1"/>
        <v/>
      </c>
      <c r="G129" s="183">
        <f>IFERROR(__xludf.DUMMYFUNCTION("IFERROR(lookup(9999999999,FILTER('Operações-BR'!$M:$M,'Operações-BR'!$C:$C=A129,'Operações-BR'!$A:$A&lt;=C129)),0)"),0.0)</f>
        <v>0</v>
      </c>
      <c r="H129" s="184">
        <f t="shared" si="2"/>
        <v>0</v>
      </c>
      <c r="I129" s="184">
        <f>IFERROR(__xludf.DUMMYFUNCTION("IFERROR(lookup(9999999999,FILTER('Operações-BR'!Q:Q,'Operações-BR'!$C:$C=A129,'Operações-BR'!$A:$A&lt;=C129))/G129,0)"),0.0)</f>
        <v>0</v>
      </c>
      <c r="J129" s="185" t="str">
        <f>IFERROR(VLOOKUP(A129,Ativos!$A$1:$G2000,5,),"")</f>
        <v/>
      </c>
      <c r="K129" s="185" t="str">
        <f>IFERROR(VLOOKUP(A129,Ativos!A:H,8,),"")</f>
        <v/>
      </c>
      <c r="L129" s="186">
        <f t="shared" si="3"/>
        <v>0</v>
      </c>
    </row>
    <row r="130" ht="21.0" customHeight="1">
      <c r="A130" s="187"/>
      <c r="B130" s="187"/>
      <c r="C130" s="188"/>
      <c r="D130" s="188"/>
      <c r="E130" s="189"/>
      <c r="F130" s="182" t="str">
        <f t="shared" si="1"/>
        <v/>
      </c>
      <c r="G130" s="183">
        <f>IFERROR(__xludf.DUMMYFUNCTION("IFERROR(lookup(9999999999,FILTER('Operações-BR'!$M:$M,'Operações-BR'!$C:$C=A130,'Operações-BR'!$A:$A&lt;=C130)),0)"),0.0)</f>
        <v>0</v>
      </c>
      <c r="H130" s="184">
        <f t="shared" si="2"/>
        <v>0</v>
      </c>
      <c r="I130" s="184">
        <f>IFERROR(__xludf.DUMMYFUNCTION("IFERROR(lookup(9999999999,FILTER('Operações-BR'!Q:Q,'Operações-BR'!$C:$C=A130,'Operações-BR'!$A:$A&lt;=C130))/G130,0)"),0.0)</f>
        <v>0</v>
      </c>
      <c r="J130" s="185" t="str">
        <f>IFERROR(VLOOKUP(A130,Ativos!$A$1:$G2000,5,),"")</f>
        <v/>
      </c>
      <c r="K130" s="185" t="str">
        <f>IFERROR(VLOOKUP(A130,Ativos!A:H,8,),"")</f>
        <v/>
      </c>
      <c r="L130" s="186">
        <f t="shared" si="3"/>
        <v>0</v>
      </c>
    </row>
    <row r="131" ht="21.0" customHeight="1">
      <c r="A131" s="187"/>
      <c r="B131" s="187"/>
      <c r="C131" s="188"/>
      <c r="D131" s="188"/>
      <c r="E131" s="189"/>
      <c r="F131" s="182" t="str">
        <f t="shared" si="1"/>
        <v/>
      </c>
      <c r="G131" s="183">
        <f>IFERROR(__xludf.DUMMYFUNCTION("IFERROR(lookup(9999999999,FILTER('Operações-BR'!$M:$M,'Operações-BR'!$C:$C=A131,'Operações-BR'!$A:$A&lt;=C131)),0)"),0.0)</f>
        <v>0</v>
      </c>
      <c r="H131" s="184">
        <f t="shared" si="2"/>
        <v>0</v>
      </c>
      <c r="I131" s="184">
        <f>IFERROR(__xludf.DUMMYFUNCTION("IFERROR(lookup(9999999999,FILTER('Operações-BR'!Q:Q,'Operações-BR'!$C:$C=A131,'Operações-BR'!$A:$A&lt;=C131))/G131,0)"),0.0)</f>
        <v>0</v>
      </c>
      <c r="J131" s="185" t="str">
        <f>IFERROR(VLOOKUP(A131,Ativos!$A$1:$G2000,5,),"")</f>
        <v/>
      </c>
      <c r="K131" s="185" t="str">
        <f>IFERROR(VLOOKUP(A131,Ativos!A:H,8,),"")</f>
        <v/>
      </c>
      <c r="L131" s="186">
        <f t="shared" si="3"/>
        <v>0</v>
      </c>
    </row>
    <row r="132" ht="21.0" customHeight="1">
      <c r="A132" s="187"/>
      <c r="B132" s="187"/>
      <c r="C132" s="188"/>
      <c r="D132" s="188"/>
      <c r="E132" s="189"/>
      <c r="F132" s="182" t="str">
        <f t="shared" si="1"/>
        <v/>
      </c>
      <c r="G132" s="183">
        <f>IFERROR(__xludf.DUMMYFUNCTION("IFERROR(lookup(9999999999,FILTER('Operações-BR'!$M:$M,'Operações-BR'!$C:$C=A132,'Operações-BR'!$A:$A&lt;=C132)),0)"),0.0)</f>
        <v>0</v>
      </c>
      <c r="H132" s="184">
        <f t="shared" si="2"/>
        <v>0</v>
      </c>
      <c r="I132" s="184">
        <f>IFERROR(__xludf.DUMMYFUNCTION("IFERROR(lookup(9999999999,FILTER('Operações-BR'!Q:Q,'Operações-BR'!$C:$C=A132,'Operações-BR'!$A:$A&lt;=C132))/G132,0)"),0.0)</f>
        <v>0</v>
      </c>
      <c r="J132" s="185" t="str">
        <f>IFERROR(VLOOKUP(A132,Ativos!$A$1:$G2000,5,),"")</f>
        <v/>
      </c>
      <c r="K132" s="185" t="str">
        <f>IFERROR(VLOOKUP(A132,Ativos!A:H,8,),"")</f>
        <v/>
      </c>
      <c r="L132" s="186">
        <f t="shared" si="3"/>
        <v>0</v>
      </c>
    </row>
    <row r="133" ht="21.0" customHeight="1">
      <c r="A133" s="187"/>
      <c r="B133" s="187"/>
      <c r="C133" s="188"/>
      <c r="D133" s="188"/>
      <c r="E133" s="189"/>
      <c r="F133" s="182" t="str">
        <f t="shared" si="1"/>
        <v/>
      </c>
      <c r="G133" s="183">
        <f>IFERROR(__xludf.DUMMYFUNCTION("IFERROR(lookup(9999999999,FILTER('Operações-BR'!$M:$M,'Operações-BR'!$C:$C=A133,'Operações-BR'!$A:$A&lt;=C133)),0)"),0.0)</f>
        <v>0</v>
      </c>
      <c r="H133" s="184">
        <f t="shared" si="2"/>
        <v>0</v>
      </c>
      <c r="I133" s="184">
        <f>IFERROR(__xludf.DUMMYFUNCTION("IFERROR(lookup(9999999999,FILTER('Operações-BR'!Q:Q,'Operações-BR'!$C:$C=A133,'Operações-BR'!$A:$A&lt;=C133))/G133,0)"),0.0)</f>
        <v>0</v>
      </c>
      <c r="J133" s="185" t="str">
        <f>IFERROR(VLOOKUP(A133,Ativos!$A$1:$G2000,5,),"")</f>
        <v/>
      </c>
      <c r="K133" s="185" t="str">
        <f>IFERROR(VLOOKUP(A133,Ativos!A:H,8,),"")</f>
        <v/>
      </c>
      <c r="L133" s="186">
        <f t="shared" si="3"/>
        <v>0</v>
      </c>
    </row>
    <row r="134" ht="21.0" customHeight="1">
      <c r="A134" s="187"/>
      <c r="B134" s="187"/>
      <c r="C134" s="188"/>
      <c r="D134" s="188"/>
      <c r="E134" s="189"/>
      <c r="F134" s="182" t="str">
        <f t="shared" si="1"/>
        <v/>
      </c>
      <c r="G134" s="183">
        <f>IFERROR(__xludf.DUMMYFUNCTION("IFERROR(lookup(9999999999,FILTER('Operações-BR'!$M:$M,'Operações-BR'!$C:$C=A134,'Operações-BR'!$A:$A&lt;=C134)),0)"),0.0)</f>
        <v>0</v>
      </c>
      <c r="H134" s="184">
        <f t="shared" si="2"/>
        <v>0</v>
      </c>
      <c r="I134" s="184">
        <f>IFERROR(__xludf.DUMMYFUNCTION("IFERROR(lookup(9999999999,FILTER('Operações-BR'!Q:Q,'Operações-BR'!$C:$C=A134,'Operações-BR'!$A:$A&lt;=C134))/G134,0)"),0.0)</f>
        <v>0</v>
      </c>
      <c r="J134" s="185" t="str">
        <f>IFERROR(VLOOKUP(A134,Ativos!$A$1:$G2000,5,),"")</f>
        <v/>
      </c>
      <c r="K134" s="185" t="str">
        <f>IFERROR(VLOOKUP(A134,Ativos!A:H,8,),"")</f>
        <v/>
      </c>
      <c r="L134" s="186">
        <f t="shared" si="3"/>
        <v>0</v>
      </c>
    </row>
    <row r="135" ht="21.0" customHeight="1">
      <c r="A135" s="187"/>
      <c r="B135" s="187"/>
      <c r="C135" s="188"/>
      <c r="D135" s="188"/>
      <c r="E135" s="189"/>
      <c r="F135" s="182" t="str">
        <f t="shared" si="1"/>
        <v/>
      </c>
      <c r="G135" s="183">
        <f>IFERROR(__xludf.DUMMYFUNCTION("IFERROR(lookup(9999999999,FILTER('Operações-BR'!$M:$M,'Operações-BR'!$C:$C=A135,'Operações-BR'!$A:$A&lt;=C135)),0)"),0.0)</f>
        <v>0</v>
      </c>
      <c r="H135" s="184">
        <f t="shared" si="2"/>
        <v>0</v>
      </c>
      <c r="I135" s="184">
        <f>IFERROR(__xludf.DUMMYFUNCTION("IFERROR(lookup(9999999999,FILTER('Operações-BR'!Q:Q,'Operações-BR'!$C:$C=A135,'Operações-BR'!$A:$A&lt;=C135))/G135,0)"),0.0)</f>
        <v>0</v>
      </c>
      <c r="J135" s="185" t="str">
        <f>IFERROR(VLOOKUP(A135,Ativos!$A$1:$G2000,5,),"")</f>
        <v/>
      </c>
      <c r="K135" s="185" t="str">
        <f>IFERROR(VLOOKUP(A135,Ativos!A:H,8,),"")</f>
        <v/>
      </c>
      <c r="L135" s="186">
        <f t="shared" si="3"/>
        <v>0</v>
      </c>
    </row>
    <row r="136" ht="21.0" customHeight="1">
      <c r="A136" s="187"/>
      <c r="B136" s="187"/>
      <c r="C136" s="188"/>
      <c r="D136" s="188"/>
      <c r="E136" s="189"/>
      <c r="F136" s="182" t="str">
        <f t="shared" si="1"/>
        <v/>
      </c>
      <c r="G136" s="183">
        <f>IFERROR(__xludf.DUMMYFUNCTION("IFERROR(lookup(9999999999,FILTER('Operações-BR'!$M:$M,'Operações-BR'!$C:$C=A136,'Operações-BR'!$A:$A&lt;=C136)),0)"),0.0)</f>
        <v>0</v>
      </c>
      <c r="H136" s="184">
        <f t="shared" si="2"/>
        <v>0</v>
      </c>
      <c r="I136" s="184">
        <f>IFERROR(__xludf.DUMMYFUNCTION("IFERROR(lookup(9999999999,FILTER('Operações-BR'!Q:Q,'Operações-BR'!$C:$C=A136,'Operações-BR'!$A:$A&lt;=C136))/G136,0)"),0.0)</f>
        <v>0</v>
      </c>
      <c r="J136" s="185" t="str">
        <f>IFERROR(VLOOKUP(A136,Ativos!$A$1:$G2000,5,),"")</f>
        <v/>
      </c>
      <c r="K136" s="185" t="str">
        <f>IFERROR(VLOOKUP(A136,Ativos!A:H,8,),"")</f>
        <v/>
      </c>
      <c r="L136" s="186">
        <f t="shared" si="3"/>
        <v>0</v>
      </c>
    </row>
    <row r="137" ht="21.0" customHeight="1">
      <c r="A137" s="187"/>
      <c r="B137" s="187"/>
      <c r="C137" s="188"/>
      <c r="D137" s="188"/>
      <c r="E137" s="189"/>
      <c r="F137" s="182" t="str">
        <f t="shared" si="1"/>
        <v/>
      </c>
      <c r="G137" s="183">
        <f>IFERROR(__xludf.DUMMYFUNCTION("IFERROR(lookup(9999999999,FILTER('Operações-BR'!$M:$M,'Operações-BR'!$C:$C=A137,'Operações-BR'!$A:$A&lt;=C137)),0)"),0.0)</f>
        <v>0</v>
      </c>
      <c r="H137" s="184">
        <f t="shared" si="2"/>
        <v>0</v>
      </c>
      <c r="I137" s="184">
        <f>IFERROR(__xludf.DUMMYFUNCTION("IFERROR(lookup(9999999999,FILTER('Operações-BR'!Q:Q,'Operações-BR'!$C:$C=A137,'Operações-BR'!$A:$A&lt;=C137))/G137,0)"),0.0)</f>
        <v>0</v>
      </c>
      <c r="J137" s="185" t="str">
        <f>IFERROR(VLOOKUP(A137,Ativos!$A$1:$G2000,5,),"")</f>
        <v/>
      </c>
      <c r="K137" s="185" t="str">
        <f>IFERROR(VLOOKUP(A137,Ativos!A:H,8,),"")</f>
        <v/>
      </c>
      <c r="L137" s="186">
        <f t="shared" si="3"/>
        <v>0</v>
      </c>
    </row>
    <row r="138" ht="21.0" customHeight="1">
      <c r="A138" s="187"/>
      <c r="B138" s="187"/>
      <c r="C138" s="188"/>
      <c r="D138" s="188"/>
      <c r="E138" s="189"/>
      <c r="F138" s="182" t="str">
        <f t="shared" si="1"/>
        <v/>
      </c>
      <c r="G138" s="183">
        <f>IFERROR(__xludf.DUMMYFUNCTION("IFERROR(lookup(9999999999,FILTER('Operações-BR'!$M:$M,'Operações-BR'!$C:$C=A138,'Operações-BR'!$A:$A&lt;=C138)),0)"),0.0)</f>
        <v>0</v>
      </c>
      <c r="H138" s="184">
        <f t="shared" si="2"/>
        <v>0</v>
      </c>
      <c r="I138" s="184">
        <f>IFERROR(__xludf.DUMMYFUNCTION("IFERROR(lookup(9999999999,FILTER('Operações-BR'!Q:Q,'Operações-BR'!$C:$C=A138,'Operações-BR'!$A:$A&lt;=C138))/G138,0)"),0.0)</f>
        <v>0</v>
      </c>
      <c r="J138" s="185" t="str">
        <f>IFERROR(VLOOKUP(A138,Ativos!$A$1:$G2000,5,),"")</f>
        <v/>
      </c>
      <c r="K138" s="185" t="str">
        <f>IFERROR(VLOOKUP(A138,Ativos!A:H,8,),"")</f>
        <v/>
      </c>
      <c r="L138" s="186">
        <f t="shared" si="3"/>
        <v>0</v>
      </c>
    </row>
    <row r="139" ht="21.0" customHeight="1">
      <c r="A139" s="187"/>
      <c r="B139" s="187"/>
      <c r="C139" s="188"/>
      <c r="D139" s="188"/>
      <c r="E139" s="189"/>
      <c r="F139" s="182" t="str">
        <f t="shared" si="1"/>
        <v/>
      </c>
      <c r="G139" s="183">
        <f>IFERROR(__xludf.DUMMYFUNCTION("IFERROR(lookup(9999999999,FILTER('Operações-BR'!$M:$M,'Operações-BR'!$C:$C=A139,'Operações-BR'!$A:$A&lt;=C139)),0)"),0.0)</f>
        <v>0</v>
      </c>
      <c r="H139" s="184">
        <f t="shared" si="2"/>
        <v>0</v>
      </c>
      <c r="I139" s="184">
        <f>IFERROR(__xludf.DUMMYFUNCTION("IFERROR(lookup(9999999999,FILTER('Operações-BR'!Q:Q,'Operações-BR'!$C:$C=A139,'Operações-BR'!$A:$A&lt;=C139))/G139,0)"),0.0)</f>
        <v>0</v>
      </c>
      <c r="J139" s="185" t="str">
        <f>IFERROR(VLOOKUP(A139,Ativos!$A$1:$G2000,5,),"")</f>
        <v/>
      </c>
      <c r="K139" s="185" t="str">
        <f>IFERROR(VLOOKUP(A139,Ativos!A:H,8,),"")</f>
        <v/>
      </c>
      <c r="L139" s="186">
        <f t="shared" si="3"/>
        <v>0</v>
      </c>
    </row>
    <row r="140" ht="21.0" customHeight="1">
      <c r="A140" s="187"/>
      <c r="B140" s="187"/>
      <c r="C140" s="188"/>
      <c r="D140" s="188"/>
      <c r="E140" s="189"/>
      <c r="F140" s="182" t="str">
        <f t="shared" si="1"/>
        <v/>
      </c>
      <c r="G140" s="183">
        <f>IFERROR(__xludf.DUMMYFUNCTION("IFERROR(lookup(9999999999,FILTER('Operações-BR'!$M:$M,'Operações-BR'!$C:$C=A140,'Operações-BR'!$A:$A&lt;=C140)),0)"),0.0)</f>
        <v>0</v>
      </c>
      <c r="H140" s="184">
        <f t="shared" si="2"/>
        <v>0</v>
      </c>
      <c r="I140" s="184">
        <f>IFERROR(__xludf.DUMMYFUNCTION("IFERROR(lookup(9999999999,FILTER('Operações-BR'!Q:Q,'Operações-BR'!$C:$C=A140,'Operações-BR'!$A:$A&lt;=C140))/G140,0)"),0.0)</f>
        <v>0</v>
      </c>
      <c r="J140" s="185" t="str">
        <f>IFERROR(VLOOKUP(A140,Ativos!$A$1:$G2000,5,),"")</f>
        <v/>
      </c>
      <c r="K140" s="185" t="str">
        <f>IFERROR(VLOOKUP(A140,Ativos!A:H,8,),"")</f>
        <v/>
      </c>
      <c r="L140" s="186">
        <f t="shared" si="3"/>
        <v>0</v>
      </c>
    </row>
    <row r="141" ht="21.0" customHeight="1">
      <c r="A141" s="187"/>
      <c r="B141" s="187"/>
      <c r="C141" s="188"/>
      <c r="D141" s="188"/>
      <c r="E141" s="189"/>
      <c r="F141" s="182" t="str">
        <f t="shared" si="1"/>
        <v/>
      </c>
      <c r="G141" s="183">
        <f>IFERROR(__xludf.DUMMYFUNCTION("IFERROR(lookup(9999999999,FILTER('Operações-BR'!$M:$M,'Operações-BR'!$C:$C=A141,'Operações-BR'!$A:$A&lt;=C141)),0)"),0.0)</f>
        <v>0</v>
      </c>
      <c r="H141" s="184">
        <f t="shared" si="2"/>
        <v>0</v>
      </c>
      <c r="I141" s="184">
        <f>IFERROR(__xludf.DUMMYFUNCTION("IFERROR(lookup(9999999999,FILTER('Operações-BR'!Q:Q,'Operações-BR'!$C:$C=A141,'Operações-BR'!$A:$A&lt;=C141))/G141,0)"),0.0)</f>
        <v>0</v>
      </c>
      <c r="J141" s="185" t="str">
        <f>IFERROR(VLOOKUP(A141,Ativos!$A$1:$G2000,5,),"")</f>
        <v/>
      </c>
      <c r="K141" s="185" t="str">
        <f>IFERROR(VLOOKUP(A141,Ativos!A:H,8,),"")</f>
        <v/>
      </c>
      <c r="L141" s="186">
        <f t="shared" si="3"/>
        <v>0</v>
      </c>
    </row>
    <row r="142" ht="21.0" customHeight="1">
      <c r="A142" s="187"/>
      <c r="B142" s="187"/>
      <c r="C142" s="188"/>
      <c r="D142" s="188"/>
      <c r="E142" s="189"/>
      <c r="F142" s="182" t="str">
        <f t="shared" si="1"/>
        <v/>
      </c>
      <c r="G142" s="183">
        <f>IFERROR(__xludf.DUMMYFUNCTION("IFERROR(lookup(9999999999,FILTER('Operações-BR'!$M:$M,'Operações-BR'!$C:$C=A142,'Operações-BR'!$A:$A&lt;=C142)),0)"),0.0)</f>
        <v>0</v>
      </c>
      <c r="H142" s="184">
        <f t="shared" si="2"/>
        <v>0</v>
      </c>
      <c r="I142" s="184">
        <f>IFERROR(__xludf.DUMMYFUNCTION("IFERROR(lookup(9999999999,FILTER('Operações-BR'!Q:Q,'Operações-BR'!$C:$C=A142,'Operações-BR'!$A:$A&lt;=C142))/G142,0)"),0.0)</f>
        <v>0</v>
      </c>
      <c r="J142" s="185" t="str">
        <f>IFERROR(VLOOKUP(A142,Ativos!$A$1:$G2000,5,),"")</f>
        <v/>
      </c>
      <c r="K142" s="185" t="str">
        <f>IFERROR(VLOOKUP(A142,Ativos!A:H,8,),"")</f>
        <v/>
      </c>
      <c r="L142" s="186">
        <f t="shared" si="3"/>
        <v>0</v>
      </c>
    </row>
    <row r="143" ht="21.0" customHeight="1">
      <c r="A143" s="187"/>
      <c r="B143" s="187"/>
      <c r="C143" s="188"/>
      <c r="D143" s="188"/>
      <c r="E143" s="189"/>
      <c r="F143" s="182" t="str">
        <f t="shared" si="1"/>
        <v/>
      </c>
      <c r="G143" s="183">
        <f>IFERROR(__xludf.DUMMYFUNCTION("IFERROR(lookup(9999999999,FILTER('Operações-BR'!$M:$M,'Operações-BR'!$C:$C=A143,'Operações-BR'!$A:$A&lt;=C143)),0)"),0.0)</f>
        <v>0</v>
      </c>
      <c r="H143" s="184">
        <f t="shared" si="2"/>
        <v>0</v>
      </c>
      <c r="I143" s="184">
        <f>IFERROR(__xludf.DUMMYFUNCTION("IFERROR(lookup(9999999999,FILTER('Operações-BR'!Q:Q,'Operações-BR'!$C:$C=A143,'Operações-BR'!$A:$A&lt;=C143))/G143,0)"),0.0)</f>
        <v>0</v>
      </c>
      <c r="J143" s="185" t="str">
        <f>IFERROR(VLOOKUP(A143,Ativos!$A$1:$G2000,5,),"")</f>
        <v/>
      </c>
      <c r="K143" s="185" t="str">
        <f>IFERROR(VLOOKUP(A143,Ativos!A:H,8,),"")</f>
        <v/>
      </c>
      <c r="L143" s="186">
        <f t="shared" si="3"/>
        <v>0</v>
      </c>
    </row>
    <row r="144" ht="21.0" customHeight="1">
      <c r="A144" s="187"/>
      <c r="B144" s="187"/>
      <c r="C144" s="188"/>
      <c r="D144" s="188"/>
      <c r="E144" s="189"/>
      <c r="F144" s="182" t="str">
        <f t="shared" si="1"/>
        <v/>
      </c>
      <c r="G144" s="183">
        <f>IFERROR(__xludf.DUMMYFUNCTION("IFERROR(lookup(9999999999,FILTER('Operações-BR'!$M:$M,'Operações-BR'!$C:$C=A144,'Operações-BR'!$A:$A&lt;=C144)),0)"),0.0)</f>
        <v>0</v>
      </c>
      <c r="H144" s="184">
        <f t="shared" si="2"/>
        <v>0</v>
      </c>
      <c r="I144" s="184">
        <f>IFERROR(__xludf.DUMMYFUNCTION("IFERROR(lookup(9999999999,FILTER('Operações-BR'!Q:Q,'Operações-BR'!$C:$C=A144,'Operações-BR'!$A:$A&lt;=C144))/G144,0)"),0.0)</f>
        <v>0</v>
      </c>
      <c r="J144" s="185" t="str">
        <f>IFERROR(VLOOKUP(A144,Ativos!$A$1:$G2000,5,),"")</f>
        <v/>
      </c>
      <c r="K144" s="185" t="str">
        <f>IFERROR(VLOOKUP(A144,Ativos!A:H,8,),"")</f>
        <v/>
      </c>
      <c r="L144" s="186">
        <f t="shared" si="3"/>
        <v>0</v>
      </c>
    </row>
    <row r="145" ht="21.0" customHeight="1">
      <c r="A145" s="187"/>
      <c r="B145" s="187"/>
      <c r="C145" s="188"/>
      <c r="D145" s="188"/>
      <c r="E145" s="189"/>
      <c r="F145" s="182" t="str">
        <f t="shared" si="1"/>
        <v/>
      </c>
      <c r="G145" s="183">
        <f>IFERROR(__xludf.DUMMYFUNCTION("IFERROR(lookup(9999999999,FILTER('Operações-BR'!$M:$M,'Operações-BR'!$C:$C=A145,'Operações-BR'!$A:$A&lt;=C145)),0)"),0.0)</f>
        <v>0</v>
      </c>
      <c r="H145" s="184">
        <f t="shared" si="2"/>
        <v>0</v>
      </c>
      <c r="I145" s="184">
        <f>IFERROR(__xludf.DUMMYFUNCTION("IFERROR(lookup(9999999999,FILTER('Operações-BR'!Q:Q,'Operações-BR'!$C:$C=A145,'Operações-BR'!$A:$A&lt;=C145))/G145,0)"),0.0)</f>
        <v>0</v>
      </c>
      <c r="J145" s="185" t="str">
        <f>IFERROR(VLOOKUP(A145,Ativos!$A$1:$G2000,5,),"")</f>
        <v/>
      </c>
      <c r="K145" s="185" t="str">
        <f>IFERROR(VLOOKUP(A145,Ativos!A:H,8,),"")</f>
        <v/>
      </c>
      <c r="L145" s="186">
        <f t="shared" si="3"/>
        <v>0</v>
      </c>
    </row>
    <row r="146" ht="21.0" customHeight="1">
      <c r="A146" s="187"/>
      <c r="B146" s="187"/>
      <c r="C146" s="188"/>
      <c r="D146" s="188"/>
      <c r="E146" s="189"/>
      <c r="F146" s="182" t="str">
        <f t="shared" si="1"/>
        <v/>
      </c>
      <c r="G146" s="183">
        <f>IFERROR(__xludf.DUMMYFUNCTION("IFERROR(lookup(9999999999,FILTER('Operações-BR'!$M:$M,'Operações-BR'!$C:$C=A146,'Operações-BR'!$A:$A&lt;=C146)),0)"),0.0)</f>
        <v>0</v>
      </c>
      <c r="H146" s="184">
        <f t="shared" si="2"/>
        <v>0</v>
      </c>
      <c r="I146" s="184">
        <f>IFERROR(__xludf.DUMMYFUNCTION("IFERROR(lookup(9999999999,FILTER('Operações-BR'!Q:Q,'Operações-BR'!$C:$C=A146,'Operações-BR'!$A:$A&lt;=C146))/G146,0)"),0.0)</f>
        <v>0</v>
      </c>
      <c r="J146" s="185" t="str">
        <f>IFERROR(VLOOKUP(A146,Ativos!$A$1:$G2000,5,),"")</f>
        <v/>
      </c>
      <c r="K146" s="185" t="str">
        <f>IFERROR(VLOOKUP(A146,Ativos!A:H,8,),"")</f>
        <v/>
      </c>
      <c r="L146" s="186">
        <f t="shared" si="3"/>
        <v>0</v>
      </c>
    </row>
    <row r="147" ht="21.0" customHeight="1">
      <c r="A147" s="187"/>
      <c r="B147" s="187"/>
      <c r="C147" s="188"/>
      <c r="D147" s="188"/>
      <c r="E147" s="189"/>
      <c r="F147" s="182" t="str">
        <f t="shared" si="1"/>
        <v/>
      </c>
      <c r="G147" s="183">
        <f>IFERROR(__xludf.DUMMYFUNCTION("IFERROR(lookup(9999999999,FILTER('Operações-BR'!$M:$M,'Operações-BR'!$C:$C=A147,'Operações-BR'!$A:$A&lt;=C147)),0)"),0.0)</f>
        <v>0</v>
      </c>
      <c r="H147" s="184">
        <f t="shared" si="2"/>
        <v>0</v>
      </c>
      <c r="I147" s="184">
        <f>IFERROR(__xludf.DUMMYFUNCTION("IFERROR(lookup(9999999999,FILTER('Operações-BR'!Q:Q,'Operações-BR'!$C:$C=A147,'Operações-BR'!$A:$A&lt;=C147))/G147,0)"),0.0)</f>
        <v>0</v>
      </c>
      <c r="J147" s="185" t="str">
        <f>IFERROR(VLOOKUP(A147,Ativos!$A$1:$G2000,5,),"")</f>
        <v/>
      </c>
      <c r="K147" s="185" t="str">
        <f>IFERROR(VLOOKUP(A147,Ativos!A:H,8,),"")</f>
        <v/>
      </c>
      <c r="L147" s="186">
        <f t="shared" si="3"/>
        <v>0</v>
      </c>
    </row>
    <row r="148" ht="21.0" customHeight="1">
      <c r="A148" s="187"/>
      <c r="B148" s="187"/>
      <c r="C148" s="188"/>
      <c r="D148" s="188"/>
      <c r="E148" s="189"/>
      <c r="F148" s="182" t="str">
        <f t="shared" si="1"/>
        <v/>
      </c>
      <c r="G148" s="183">
        <f>IFERROR(__xludf.DUMMYFUNCTION("IFERROR(lookup(9999999999,FILTER('Operações-BR'!$M:$M,'Operações-BR'!$C:$C=A148,'Operações-BR'!$A:$A&lt;=C148)),0)"),0.0)</f>
        <v>0</v>
      </c>
      <c r="H148" s="184">
        <f t="shared" si="2"/>
        <v>0</v>
      </c>
      <c r="I148" s="184">
        <f>IFERROR(__xludf.DUMMYFUNCTION("IFERROR(lookup(9999999999,FILTER('Operações-BR'!Q:Q,'Operações-BR'!$C:$C=A148,'Operações-BR'!$A:$A&lt;=C148))/G148,0)"),0.0)</f>
        <v>0</v>
      </c>
      <c r="J148" s="185" t="str">
        <f>IFERROR(VLOOKUP(A148,Ativos!$A$1:$G2000,5,),"")</f>
        <v/>
      </c>
      <c r="K148" s="185" t="str">
        <f>IFERROR(VLOOKUP(A148,Ativos!A:H,8,),"")</f>
        <v/>
      </c>
      <c r="L148" s="186">
        <f t="shared" si="3"/>
        <v>0</v>
      </c>
    </row>
    <row r="149" ht="21.0" customHeight="1">
      <c r="A149" s="187"/>
      <c r="B149" s="187"/>
      <c r="C149" s="195"/>
      <c r="D149" s="188"/>
      <c r="E149" s="189"/>
      <c r="F149" s="182" t="str">
        <f t="shared" si="1"/>
        <v/>
      </c>
      <c r="G149" s="183">
        <f>IFERROR(__xludf.DUMMYFUNCTION("IFERROR(lookup(9999999999,FILTER('Operações-BR'!$M:$M,'Operações-BR'!$C:$C=A149,'Operações-BR'!$A:$A&lt;=C149)),0)"),0.0)</f>
        <v>0</v>
      </c>
      <c r="H149" s="184">
        <f t="shared" si="2"/>
        <v>0</v>
      </c>
      <c r="I149" s="184">
        <f>IFERROR(__xludf.DUMMYFUNCTION("IFERROR(lookup(9999999999,FILTER('Operações-BR'!Q:Q,'Operações-BR'!$C:$C=A149,'Operações-BR'!$A:$A&lt;=C149))/G149,0)"),0.0)</f>
        <v>0</v>
      </c>
      <c r="J149" s="185" t="str">
        <f>IFERROR(VLOOKUP(A149,Ativos!$A$1:$G2000,5,),"")</f>
        <v/>
      </c>
      <c r="K149" s="185" t="str">
        <f>IFERROR(VLOOKUP(A149,Ativos!A:H,8,),"")</f>
        <v/>
      </c>
      <c r="L149" s="186">
        <f t="shared" si="3"/>
        <v>0</v>
      </c>
    </row>
    <row r="150" ht="21.0" customHeight="1">
      <c r="A150" s="187"/>
      <c r="B150" s="187"/>
      <c r="C150" s="188"/>
      <c r="D150" s="188"/>
      <c r="E150" s="189"/>
      <c r="F150" s="182" t="str">
        <f t="shared" si="1"/>
        <v/>
      </c>
      <c r="G150" s="183">
        <f>IFERROR(__xludf.DUMMYFUNCTION("IFERROR(lookup(9999999999,FILTER('Operações-BR'!$M:$M,'Operações-BR'!$C:$C=A150,'Operações-BR'!$A:$A&lt;=C150)),0)"),0.0)</f>
        <v>0</v>
      </c>
      <c r="H150" s="184">
        <f t="shared" si="2"/>
        <v>0</v>
      </c>
      <c r="I150" s="184">
        <f>IFERROR(__xludf.DUMMYFUNCTION("IFERROR(lookup(9999999999,FILTER('Operações-BR'!Q:Q,'Operações-BR'!$C:$C=A150,'Operações-BR'!$A:$A&lt;=C150))/G150,0)"),0.0)</f>
        <v>0</v>
      </c>
      <c r="J150" s="185" t="str">
        <f>IFERROR(VLOOKUP(A150,Ativos!$A$1:$G2000,5,),"")</f>
        <v/>
      </c>
      <c r="K150" s="185" t="str">
        <f>IFERROR(VLOOKUP(A150,Ativos!A:H,8,),"")</f>
        <v/>
      </c>
      <c r="L150" s="186">
        <f t="shared" si="3"/>
        <v>0</v>
      </c>
    </row>
    <row r="151" ht="21.0" customHeight="1">
      <c r="A151" s="187"/>
      <c r="B151" s="187"/>
      <c r="C151" s="188"/>
      <c r="D151" s="188"/>
      <c r="E151" s="189"/>
      <c r="F151" s="182" t="str">
        <f t="shared" si="1"/>
        <v/>
      </c>
      <c r="G151" s="183">
        <f>IFERROR(__xludf.DUMMYFUNCTION("IFERROR(lookup(9999999999,FILTER('Operações-BR'!$M:$M,'Operações-BR'!$C:$C=A151,'Operações-BR'!$A:$A&lt;=C151)),0)"),0.0)</f>
        <v>0</v>
      </c>
      <c r="H151" s="184">
        <f t="shared" si="2"/>
        <v>0</v>
      </c>
      <c r="I151" s="184">
        <f>IFERROR(__xludf.DUMMYFUNCTION("IFERROR(lookup(9999999999,FILTER('Operações-BR'!Q:Q,'Operações-BR'!$C:$C=A151,'Operações-BR'!$A:$A&lt;=C151))/G151,0)"),0.0)</f>
        <v>0</v>
      </c>
      <c r="J151" s="185" t="str">
        <f>IFERROR(VLOOKUP(A151,Ativos!$A$1:$G2000,5,),"")</f>
        <v/>
      </c>
      <c r="K151" s="185" t="str">
        <f>IFERROR(VLOOKUP(A151,Ativos!A:H,8,),"")</f>
        <v/>
      </c>
      <c r="L151" s="186">
        <f t="shared" si="3"/>
        <v>0</v>
      </c>
    </row>
    <row r="152" ht="21.0" customHeight="1">
      <c r="A152" s="187"/>
      <c r="B152" s="187"/>
      <c r="C152" s="188"/>
      <c r="D152" s="188"/>
      <c r="E152" s="189"/>
      <c r="F152" s="182" t="str">
        <f t="shared" si="1"/>
        <v/>
      </c>
      <c r="G152" s="183">
        <f>IFERROR(__xludf.DUMMYFUNCTION("IFERROR(lookup(9999999999,FILTER('Operações-BR'!$M:$M,'Operações-BR'!$C:$C=A152,'Operações-BR'!$A:$A&lt;=C152)),0)"),0.0)</f>
        <v>0</v>
      </c>
      <c r="H152" s="184">
        <f t="shared" si="2"/>
        <v>0</v>
      </c>
      <c r="I152" s="184">
        <f>IFERROR(__xludf.DUMMYFUNCTION("IFERROR(lookup(9999999999,FILTER('Operações-BR'!Q:Q,'Operações-BR'!$C:$C=A152,'Operações-BR'!$A:$A&lt;=C152))/G152,0)"),0.0)</f>
        <v>0</v>
      </c>
      <c r="J152" s="185" t="str">
        <f>IFERROR(VLOOKUP(A152,Ativos!$A$1:$G2000,5,),"")</f>
        <v/>
      </c>
      <c r="K152" s="185" t="str">
        <f>IFERROR(VLOOKUP(A152,Ativos!A:H,8,),"")</f>
        <v/>
      </c>
      <c r="L152" s="186">
        <f t="shared" si="3"/>
        <v>0</v>
      </c>
    </row>
    <row r="153" ht="21.0" customHeight="1">
      <c r="A153" s="187"/>
      <c r="B153" s="187"/>
      <c r="C153" s="188"/>
      <c r="D153" s="188"/>
      <c r="E153" s="189"/>
      <c r="F153" s="182" t="str">
        <f t="shared" si="1"/>
        <v/>
      </c>
      <c r="G153" s="183">
        <f>IFERROR(__xludf.DUMMYFUNCTION("IFERROR(lookup(9999999999,FILTER('Operações-BR'!$M:$M,'Operações-BR'!$C:$C=A153,'Operações-BR'!$A:$A&lt;=C153)),0)"),0.0)</f>
        <v>0</v>
      </c>
      <c r="H153" s="184">
        <f t="shared" si="2"/>
        <v>0</v>
      </c>
      <c r="I153" s="184">
        <f>IFERROR(__xludf.DUMMYFUNCTION("IFERROR(lookup(9999999999,FILTER('Operações-BR'!Q:Q,'Operações-BR'!$C:$C=A153,'Operações-BR'!$A:$A&lt;=C153))/G153,0)"),0.0)</f>
        <v>0</v>
      </c>
      <c r="J153" s="185" t="str">
        <f>IFERROR(VLOOKUP(A153,Ativos!$A$1:$G2000,5,),"")</f>
        <v/>
      </c>
      <c r="K153" s="185" t="str">
        <f>IFERROR(VLOOKUP(A153,Ativos!A:H,8,),"")</f>
        <v/>
      </c>
      <c r="L153" s="186">
        <f t="shared" si="3"/>
        <v>0</v>
      </c>
    </row>
    <row r="154" ht="21.0" customHeight="1">
      <c r="A154" s="187"/>
      <c r="B154" s="187"/>
      <c r="C154" s="188"/>
      <c r="D154" s="188"/>
      <c r="E154" s="189"/>
      <c r="F154" s="182" t="str">
        <f t="shared" si="1"/>
        <v/>
      </c>
      <c r="G154" s="183">
        <f>IFERROR(__xludf.DUMMYFUNCTION("IFERROR(lookup(9999999999,FILTER('Operações-BR'!$M:$M,'Operações-BR'!$C:$C=A154,'Operações-BR'!$A:$A&lt;=C154)),0)"),0.0)</f>
        <v>0</v>
      </c>
      <c r="H154" s="184">
        <f t="shared" si="2"/>
        <v>0</v>
      </c>
      <c r="I154" s="184">
        <f>IFERROR(__xludf.DUMMYFUNCTION("IFERROR(lookup(9999999999,FILTER('Operações-BR'!Q:Q,'Operações-BR'!$C:$C=A154,'Operações-BR'!$A:$A&lt;=C154))/G154,0)"),0.0)</f>
        <v>0</v>
      </c>
      <c r="J154" s="185" t="str">
        <f>IFERROR(VLOOKUP(A154,Ativos!$A$1:$G2000,5,),"")</f>
        <v/>
      </c>
      <c r="K154" s="185" t="str">
        <f>IFERROR(VLOOKUP(A154,Ativos!A:H,8,),"")</f>
        <v/>
      </c>
      <c r="L154" s="186">
        <f t="shared" si="3"/>
        <v>0</v>
      </c>
    </row>
    <row r="155" ht="21.0" customHeight="1">
      <c r="A155" s="187"/>
      <c r="B155" s="187"/>
      <c r="C155" s="188"/>
      <c r="D155" s="188"/>
      <c r="E155" s="189"/>
      <c r="F155" s="182" t="str">
        <f t="shared" si="1"/>
        <v/>
      </c>
      <c r="G155" s="183">
        <f>IFERROR(__xludf.DUMMYFUNCTION("IFERROR(lookup(9999999999,FILTER('Operações-BR'!$M:$M,'Operações-BR'!$C:$C=A155,'Operações-BR'!$A:$A&lt;=C155)),0)"),0.0)</f>
        <v>0</v>
      </c>
      <c r="H155" s="184">
        <f t="shared" si="2"/>
        <v>0</v>
      </c>
      <c r="I155" s="184">
        <f>IFERROR(__xludf.DUMMYFUNCTION("IFERROR(lookup(9999999999,FILTER('Operações-BR'!Q:Q,'Operações-BR'!$C:$C=A155,'Operações-BR'!$A:$A&lt;=C155))/G155,0)"),0.0)</f>
        <v>0</v>
      </c>
      <c r="J155" s="185" t="str">
        <f>IFERROR(VLOOKUP(A155,Ativos!$A$1:$G2000,5,),"")</f>
        <v/>
      </c>
      <c r="K155" s="185" t="str">
        <f>IFERROR(VLOOKUP(A155,Ativos!A:H,8,),"")</f>
        <v/>
      </c>
      <c r="L155" s="186">
        <f t="shared" si="3"/>
        <v>0</v>
      </c>
    </row>
    <row r="156" ht="21.0" customHeight="1">
      <c r="A156" s="187"/>
      <c r="B156" s="187"/>
      <c r="C156" s="188"/>
      <c r="D156" s="188"/>
      <c r="E156" s="189"/>
      <c r="F156" s="182" t="str">
        <f t="shared" si="1"/>
        <v/>
      </c>
      <c r="G156" s="183">
        <f>IFERROR(__xludf.DUMMYFUNCTION("IFERROR(lookup(9999999999,FILTER('Operações-BR'!$M:$M,'Operações-BR'!$C:$C=A156,'Operações-BR'!$A:$A&lt;=C156)),0)"),0.0)</f>
        <v>0</v>
      </c>
      <c r="H156" s="184">
        <f t="shared" si="2"/>
        <v>0</v>
      </c>
      <c r="I156" s="184">
        <f>IFERROR(__xludf.DUMMYFUNCTION("IFERROR(lookup(9999999999,FILTER('Operações-BR'!Q:Q,'Operações-BR'!$C:$C=A156,'Operações-BR'!$A:$A&lt;=C156))/G156,0)"),0.0)</f>
        <v>0</v>
      </c>
      <c r="J156" s="185" t="str">
        <f>IFERROR(VLOOKUP(A156,Ativos!$A$1:$G2000,5,),"")</f>
        <v/>
      </c>
      <c r="K156" s="185" t="str">
        <f>IFERROR(VLOOKUP(A156,Ativos!A:H,8,),"")</f>
        <v/>
      </c>
      <c r="L156" s="186">
        <f t="shared" si="3"/>
        <v>0</v>
      </c>
    </row>
    <row r="157" ht="21.0" customHeight="1">
      <c r="A157" s="187"/>
      <c r="B157" s="187"/>
      <c r="C157" s="188"/>
      <c r="D157" s="188"/>
      <c r="E157" s="189"/>
      <c r="F157" s="182" t="str">
        <f t="shared" si="1"/>
        <v/>
      </c>
      <c r="G157" s="183">
        <f>IFERROR(__xludf.DUMMYFUNCTION("IFERROR(lookup(9999999999,FILTER('Operações-BR'!$M:$M,'Operações-BR'!$C:$C=A157,'Operações-BR'!$A:$A&lt;=C157)),0)"),0.0)</f>
        <v>0</v>
      </c>
      <c r="H157" s="184">
        <f t="shared" si="2"/>
        <v>0</v>
      </c>
      <c r="I157" s="184">
        <f>IFERROR(__xludf.DUMMYFUNCTION("IFERROR(lookup(9999999999,FILTER('Operações-BR'!Q:Q,'Operações-BR'!$C:$C=A157,'Operações-BR'!$A:$A&lt;=C157))/G157,0)"),0.0)</f>
        <v>0</v>
      </c>
      <c r="J157" s="185" t="str">
        <f>IFERROR(VLOOKUP(A157,Ativos!$A$1:$G2000,5,),"")</f>
        <v/>
      </c>
      <c r="K157" s="185" t="str">
        <f>IFERROR(VLOOKUP(A157,Ativos!A:H,8,),"")</f>
        <v/>
      </c>
      <c r="L157" s="186">
        <f t="shared" si="3"/>
        <v>0</v>
      </c>
    </row>
    <row r="158" ht="21.0" customHeight="1">
      <c r="A158" s="187"/>
      <c r="B158" s="187"/>
      <c r="C158" s="188"/>
      <c r="D158" s="188"/>
      <c r="E158" s="189"/>
      <c r="F158" s="182" t="str">
        <f t="shared" si="1"/>
        <v/>
      </c>
      <c r="G158" s="183">
        <f>IFERROR(__xludf.DUMMYFUNCTION("IFERROR(lookup(9999999999,FILTER('Operações-BR'!$M:$M,'Operações-BR'!$C:$C=A158,'Operações-BR'!$A:$A&lt;=C158)),0)"),0.0)</f>
        <v>0</v>
      </c>
      <c r="H158" s="184">
        <f t="shared" si="2"/>
        <v>0</v>
      </c>
      <c r="I158" s="184">
        <f>IFERROR(__xludf.DUMMYFUNCTION("IFERROR(lookup(9999999999,FILTER('Operações-BR'!Q:Q,'Operações-BR'!$C:$C=A158,'Operações-BR'!$A:$A&lt;=C158))/G158,0)"),0.0)</f>
        <v>0</v>
      </c>
      <c r="J158" s="185" t="str">
        <f>IFERROR(VLOOKUP(A158,Ativos!$A$1:$G2000,5,),"")</f>
        <v/>
      </c>
      <c r="K158" s="185" t="str">
        <f>IFERROR(VLOOKUP(A158,Ativos!A:H,8,),"")</f>
        <v/>
      </c>
      <c r="L158" s="186">
        <f t="shared" si="3"/>
        <v>0</v>
      </c>
    </row>
    <row r="159" ht="21.0" customHeight="1">
      <c r="A159" s="187"/>
      <c r="B159" s="187"/>
      <c r="C159" s="188"/>
      <c r="D159" s="188"/>
      <c r="E159" s="189"/>
      <c r="F159" s="182" t="str">
        <f t="shared" si="1"/>
        <v/>
      </c>
      <c r="G159" s="183">
        <f>IFERROR(__xludf.DUMMYFUNCTION("IFERROR(lookup(9999999999,FILTER('Operações-BR'!$M:$M,'Operações-BR'!$C:$C=A159,'Operações-BR'!$A:$A&lt;=C159)),0)"),0.0)</f>
        <v>0</v>
      </c>
      <c r="H159" s="184">
        <f t="shared" si="2"/>
        <v>0</v>
      </c>
      <c r="I159" s="184">
        <f>IFERROR(__xludf.DUMMYFUNCTION("IFERROR(lookup(9999999999,FILTER('Operações-BR'!Q:Q,'Operações-BR'!$C:$C=A159,'Operações-BR'!$A:$A&lt;=C159))/G159,0)"),0.0)</f>
        <v>0</v>
      </c>
      <c r="J159" s="185" t="str">
        <f>IFERROR(VLOOKUP(A159,Ativos!$A$1:$G2000,5,),"")</f>
        <v/>
      </c>
      <c r="K159" s="185" t="str">
        <f>IFERROR(VLOOKUP(A159,Ativos!A:H,8,),"")</f>
        <v/>
      </c>
      <c r="L159" s="186">
        <f t="shared" si="3"/>
        <v>0</v>
      </c>
    </row>
    <row r="160" ht="21.0" customHeight="1">
      <c r="A160" s="187"/>
      <c r="B160" s="187"/>
      <c r="C160" s="188"/>
      <c r="D160" s="188"/>
      <c r="E160" s="189"/>
      <c r="F160" s="182" t="str">
        <f t="shared" si="1"/>
        <v/>
      </c>
      <c r="G160" s="183">
        <f>IFERROR(__xludf.DUMMYFUNCTION("IFERROR(lookup(9999999999,FILTER('Operações-BR'!$M:$M,'Operações-BR'!$C:$C=A160,'Operações-BR'!$A:$A&lt;=C160)),0)"),0.0)</f>
        <v>0</v>
      </c>
      <c r="H160" s="184">
        <f t="shared" si="2"/>
        <v>0</v>
      </c>
      <c r="I160" s="184">
        <f>IFERROR(__xludf.DUMMYFUNCTION("IFERROR(lookup(9999999999,FILTER('Operações-BR'!Q:Q,'Operações-BR'!$C:$C=A160,'Operações-BR'!$A:$A&lt;=C160))/G160,0)"),0.0)</f>
        <v>0</v>
      </c>
      <c r="J160" s="185" t="str">
        <f>IFERROR(VLOOKUP(A160,Ativos!$A$1:$G2000,5,),"")</f>
        <v/>
      </c>
      <c r="K160" s="185" t="str">
        <f>IFERROR(VLOOKUP(A160,Ativos!A:H,8,),"")</f>
        <v/>
      </c>
      <c r="L160" s="186">
        <f t="shared" si="3"/>
        <v>0</v>
      </c>
    </row>
    <row r="161" ht="21.0" customHeight="1">
      <c r="A161" s="187"/>
      <c r="B161" s="187"/>
      <c r="C161" s="188"/>
      <c r="D161" s="188"/>
      <c r="E161" s="189"/>
      <c r="F161" s="182" t="str">
        <f t="shared" si="1"/>
        <v/>
      </c>
      <c r="G161" s="183">
        <f>IFERROR(__xludf.DUMMYFUNCTION("IFERROR(lookup(9999999999,FILTER('Operações-BR'!$M:$M,'Operações-BR'!$C:$C=A161,'Operações-BR'!$A:$A&lt;=C161)),0)"),0.0)</f>
        <v>0</v>
      </c>
      <c r="H161" s="184">
        <f t="shared" si="2"/>
        <v>0</v>
      </c>
      <c r="I161" s="184">
        <f>IFERROR(__xludf.DUMMYFUNCTION("IFERROR(lookup(9999999999,FILTER('Operações-BR'!Q:Q,'Operações-BR'!$C:$C=A161,'Operações-BR'!$A:$A&lt;=C161))/G161,0)"),0.0)</f>
        <v>0</v>
      </c>
      <c r="J161" s="185" t="str">
        <f>IFERROR(VLOOKUP(A161,Ativos!$A$1:$G2000,5,),"")</f>
        <v/>
      </c>
      <c r="K161" s="185" t="str">
        <f>IFERROR(VLOOKUP(A161,Ativos!A:H,8,),"")</f>
        <v/>
      </c>
      <c r="L161" s="186">
        <f t="shared" si="3"/>
        <v>0</v>
      </c>
    </row>
    <row r="162" ht="21.0" customHeight="1">
      <c r="A162" s="187"/>
      <c r="B162" s="187"/>
      <c r="C162" s="188"/>
      <c r="D162" s="188"/>
      <c r="E162" s="189"/>
      <c r="F162" s="182" t="str">
        <f t="shared" si="1"/>
        <v/>
      </c>
      <c r="G162" s="183">
        <f>IFERROR(__xludf.DUMMYFUNCTION("IFERROR(lookup(9999999999,FILTER('Operações-BR'!$M:$M,'Operações-BR'!$C:$C=A162,'Operações-BR'!$A:$A&lt;=C162)),0)"),0.0)</f>
        <v>0</v>
      </c>
      <c r="H162" s="184">
        <f t="shared" si="2"/>
        <v>0</v>
      </c>
      <c r="I162" s="184">
        <f>IFERROR(__xludf.DUMMYFUNCTION("IFERROR(lookup(9999999999,FILTER('Operações-BR'!Q:Q,'Operações-BR'!$C:$C=A162,'Operações-BR'!$A:$A&lt;=C162))/G162,0)"),0.0)</f>
        <v>0</v>
      </c>
      <c r="J162" s="185" t="str">
        <f>IFERROR(VLOOKUP(A162,Ativos!$A$1:$G2000,5,),"")</f>
        <v/>
      </c>
      <c r="K162" s="185" t="str">
        <f>IFERROR(VLOOKUP(A162,Ativos!A:H,8,),"")</f>
        <v/>
      </c>
      <c r="L162" s="186">
        <f t="shared" si="3"/>
        <v>0</v>
      </c>
    </row>
    <row r="163" ht="21.0" customHeight="1">
      <c r="A163" s="187"/>
      <c r="B163" s="187"/>
      <c r="C163" s="188"/>
      <c r="D163" s="188"/>
      <c r="E163" s="189"/>
      <c r="F163" s="182" t="str">
        <f t="shared" si="1"/>
        <v/>
      </c>
      <c r="G163" s="183">
        <f>IFERROR(__xludf.DUMMYFUNCTION("IFERROR(lookup(9999999999,FILTER('Operações-BR'!$M:$M,'Operações-BR'!$C:$C=A163,'Operações-BR'!$A:$A&lt;=C163)),0)"),0.0)</f>
        <v>0</v>
      </c>
      <c r="H163" s="184">
        <f t="shared" si="2"/>
        <v>0</v>
      </c>
      <c r="I163" s="184">
        <f>IFERROR(__xludf.DUMMYFUNCTION("IFERROR(lookup(9999999999,FILTER('Operações-BR'!Q:Q,'Operações-BR'!$C:$C=A163,'Operações-BR'!$A:$A&lt;=C163))/G163,0)"),0.0)</f>
        <v>0</v>
      </c>
      <c r="J163" s="185" t="str">
        <f>IFERROR(VLOOKUP(A163,Ativos!$A$1:$G2000,5,),"")</f>
        <v/>
      </c>
      <c r="K163" s="185" t="str">
        <f>IFERROR(VLOOKUP(A163,Ativos!A:H,8,),"")</f>
        <v/>
      </c>
      <c r="L163" s="186">
        <f t="shared" si="3"/>
        <v>0</v>
      </c>
    </row>
    <row r="164" ht="21.0" customHeight="1">
      <c r="A164" s="187"/>
      <c r="B164" s="187"/>
      <c r="C164" s="188"/>
      <c r="D164" s="188"/>
      <c r="E164" s="189"/>
      <c r="F164" s="182" t="str">
        <f t="shared" si="1"/>
        <v/>
      </c>
      <c r="G164" s="183">
        <f>IFERROR(__xludf.DUMMYFUNCTION("IFERROR(lookup(9999999999,FILTER('Operações-BR'!$M:$M,'Operações-BR'!$C:$C=A164,'Operações-BR'!$A:$A&lt;=C164)),0)"),0.0)</f>
        <v>0</v>
      </c>
      <c r="H164" s="184">
        <f t="shared" si="2"/>
        <v>0</v>
      </c>
      <c r="I164" s="184">
        <f>IFERROR(__xludf.DUMMYFUNCTION("IFERROR(lookup(9999999999,FILTER('Operações-BR'!Q:Q,'Operações-BR'!$C:$C=A164,'Operações-BR'!$A:$A&lt;=C164))/G164,0)"),0.0)</f>
        <v>0</v>
      </c>
      <c r="J164" s="185" t="str">
        <f>IFERROR(VLOOKUP(A164,Ativos!$A$1:$G2000,5,),"")</f>
        <v/>
      </c>
      <c r="K164" s="185" t="str">
        <f>IFERROR(VLOOKUP(A164,Ativos!A:H,8,),"")</f>
        <v/>
      </c>
      <c r="L164" s="186">
        <f t="shared" si="3"/>
        <v>0</v>
      </c>
    </row>
    <row r="165" ht="21.0" customHeight="1">
      <c r="A165" s="187"/>
      <c r="B165" s="187"/>
      <c r="C165" s="188"/>
      <c r="D165" s="188"/>
      <c r="E165" s="189"/>
      <c r="F165" s="182" t="str">
        <f t="shared" si="1"/>
        <v/>
      </c>
      <c r="G165" s="183">
        <f>IFERROR(__xludf.DUMMYFUNCTION("IFERROR(lookup(9999999999,FILTER('Operações-BR'!$M:$M,'Operações-BR'!$C:$C=A165,'Operações-BR'!$A:$A&lt;=C165)),0)"),0.0)</f>
        <v>0</v>
      </c>
      <c r="H165" s="184">
        <f t="shared" si="2"/>
        <v>0</v>
      </c>
      <c r="I165" s="184">
        <f>IFERROR(__xludf.DUMMYFUNCTION("IFERROR(lookup(9999999999,FILTER('Operações-BR'!Q:Q,'Operações-BR'!$C:$C=A165,'Operações-BR'!$A:$A&lt;=C165))/G165,0)"),0.0)</f>
        <v>0</v>
      </c>
      <c r="J165" s="185" t="str">
        <f>IFERROR(VLOOKUP(A165,Ativos!$A$1:$G2000,5,),"")</f>
        <v/>
      </c>
      <c r="K165" s="185" t="str">
        <f>IFERROR(VLOOKUP(A165,Ativos!A:H,8,),"")</f>
        <v/>
      </c>
      <c r="L165" s="186">
        <f t="shared" si="3"/>
        <v>0</v>
      </c>
    </row>
    <row r="166" ht="21.0" customHeight="1">
      <c r="A166" s="187"/>
      <c r="B166" s="187"/>
      <c r="C166" s="188"/>
      <c r="D166" s="188"/>
      <c r="E166" s="189"/>
      <c r="F166" s="182" t="str">
        <f t="shared" si="1"/>
        <v/>
      </c>
      <c r="G166" s="183">
        <f>IFERROR(__xludf.DUMMYFUNCTION("IFERROR(lookup(9999999999,FILTER('Operações-BR'!$M:$M,'Operações-BR'!$C:$C=A166,'Operações-BR'!$A:$A&lt;=C166)),0)"),0.0)</f>
        <v>0</v>
      </c>
      <c r="H166" s="184">
        <f t="shared" si="2"/>
        <v>0</v>
      </c>
      <c r="I166" s="184">
        <f>IFERROR(__xludf.DUMMYFUNCTION("IFERROR(lookup(9999999999,FILTER('Operações-BR'!Q:Q,'Operações-BR'!$C:$C=A166,'Operações-BR'!$A:$A&lt;=C166))/G166,0)"),0.0)</f>
        <v>0</v>
      </c>
      <c r="J166" s="185" t="str">
        <f>IFERROR(VLOOKUP(A166,Ativos!$A$1:$G2000,5,),"")</f>
        <v/>
      </c>
      <c r="K166" s="185" t="str">
        <f>IFERROR(VLOOKUP(A166,Ativos!A:H,8,),"")</f>
        <v/>
      </c>
      <c r="L166" s="186">
        <f t="shared" si="3"/>
        <v>0</v>
      </c>
    </row>
    <row r="167" ht="21.0" customHeight="1">
      <c r="A167" s="187"/>
      <c r="B167" s="187"/>
      <c r="C167" s="188"/>
      <c r="D167" s="188"/>
      <c r="E167" s="189"/>
      <c r="F167" s="182" t="str">
        <f t="shared" si="1"/>
        <v/>
      </c>
      <c r="G167" s="183">
        <f>IFERROR(__xludf.DUMMYFUNCTION("IFERROR(lookup(9999999999,FILTER('Operações-BR'!$M:$M,'Operações-BR'!$C:$C=A167,'Operações-BR'!$A:$A&lt;=C167)),0)"),0.0)</f>
        <v>0</v>
      </c>
      <c r="H167" s="184">
        <f t="shared" si="2"/>
        <v>0</v>
      </c>
      <c r="I167" s="184">
        <f>IFERROR(__xludf.DUMMYFUNCTION("IFERROR(lookup(9999999999,FILTER('Operações-BR'!Q:Q,'Operações-BR'!$C:$C=A167,'Operações-BR'!$A:$A&lt;=C167))/G167,0)"),0.0)</f>
        <v>0</v>
      </c>
      <c r="J167" s="185" t="str">
        <f>IFERROR(VLOOKUP(A167,Ativos!$A$1:$G2000,5,),"")</f>
        <v/>
      </c>
      <c r="K167" s="185" t="str">
        <f>IFERROR(VLOOKUP(A167,Ativos!A:H,8,),"")</f>
        <v/>
      </c>
      <c r="L167" s="186">
        <f t="shared" si="3"/>
        <v>0</v>
      </c>
    </row>
    <row r="168" ht="21.0" customHeight="1">
      <c r="A168" s="187"/>
      <c r="B168" s="187"/>
      <c r="C168" s="188"/>
      <c r="D168" s="188"/>
      <c r="E168" s="189"/>
      <c r="F168" s="182" t="str">
        <f t="shared" si="1"/>
        <v/>
      </c>
      <c r="G168" s="183">
        <f>IFERROR(__xludf.DUMMYFUNCTION("IFERROR(lookup(9999999999,FILTER('Operações-BR'!$M:$M,'Operações-BR'!$C:$C=A168,'Operações-BR'!$A:$A&lt;=C168)),0)"),0.0)</f>
        <v>0</v>
      </c>
      <c r="H168" s="184">
        <f t="shared" si="2"/>
        <v>0</v>
      </c>
      <c r="I168" s="184">
        <f>IFERROR(__xludf.DUMMYFUNCTION("IFERROR(lookup(9999999999,FILTER('Operações-BR'!Q:Q,'Operações-BR'!$C:$C=A168,'Operações-BR'!$A:$A&lt;=C168))/G168,0)"),0.0)</f>
        <v>0</v>
      </c>
      <c r="J168" s="185" t="str">
        <f>IFERROR(VLOOKUP(A168,Ativos!$A$1:$G2000,5,),"")</f>
        <v/>
      </c>
      <c r="K168" s="185" t="str">
        <f>IFERROR(VLOOKUP(A168,Ativos!A:H,8,),"")</f>
        <v/>
      </c>
      <c r="L168" s="186">
        <f t="shared" si="3"/>
        <v>0</v>
      </c>
    </row>
    <row r="169" ht="21.0" customHeight="1">
      <c r="A169" s="187"/>
      <c r="B169" s="187"/>
      <c r="C169" s="188"/>
      <c r="D169" s="188"/>
      <c r="E169" s="189"/>
      <c r="F169" s="182" t="str">
        <f t="shared" si="1"/>
        <v/>
      </c>
      <c r="G169" s="183">
        <f>IFERROR(__xludf.DUMMYFUNCTION("IFERROR(lookup(9999999999,FILTER('Operações-BR'!$M:$M,'Operações-BR'!$C:$C=A169,'Operações-BR'!$A:$A&lt;=C169)),0)"),0.0)</f>
        <v>0</v>
      </c>
      <c r="H169" s="184">
        <f t="shared" si="2"/>
        <v>0</v>
      </c>
      <c r="I169" s="184">
        <f>IFERROR(__xludf.DUMMYFUNCTION("IFERROR(lookup(9999999999,FILTER('Operações-BR'!Q:Q,'Operações-BR'!$C:$C=A169,'Operações-BR'!$A:$A&lt;=C169))/G169,0)"),0.0)</f>
        <v>0</v>
      </c>
      <c r="J169" s="185" t="str">
        <f>IFERROR(VLOOKUP(A169,Ativos!$A$1:$G2000,5,),"")</f>
        <v/>
      </c>
      <c r="K169" s="185" t="str">
        <f>IFERROR(VLOOKUP(A169,Ativos!A:H,8,),"")</f>
        <v/>
      </c>
      <c r="L169" s="186">
        <f t="shared" si="3"/>
        <v>0</v>
      </c>
    </row>
    <row r="170" ht="21.0" customHeight="1">
      <c r="A170" s="187"/>
      <c r="B170" s="187"/>
      <c r="C170" s="188"/>
      <c r="D170" s="188"/>
      <c r="E170" s="189"/>
      <c r="F170" s="182" t="str">
        <f t="shared" si="1"/>
        <v/>
      </c>
      <c r="G170" s="183">
        <f>IFERROR(__xludf.DUMMYFUNCTION("IFERROR(lookup(9999999999,FILTER('Operações-BR'!$M:$M,'Operações-BR'!$C:$C=A170,'Operações-BR'!$A:$A&lt;=C170)),0)"),0.0)</f>
        <v>0</v>
      </c>
      <c r="H170" s="184">
        <f t="shared" si="2"/>
        <v>0</v>
      </c>
      <c r="I170" s="184">
        <f>IFERROR(__xludf.DUMMYFUNCTION("IFERROR(lookup(9999999999,FILTER('Operações-BR'!Q:Q,'Operações-BR'!$C:$C=A170,'Operações-BR'!$A:$A&lt;=C170))/G170,0)"),0.0)</f>
        <v>0</v>
      </c>
      <c r="J170" s="185" t="str">
        <f>IFERROR(VLOOKUP(A170,Ativos!$A$1:$G2000,5,),"")</f>
        <v/>
      </c>
      <c r="K170" s="185" t="str">
        <f>IFERROR(VLOOKUP(A170,Ativos!A:H,8,),"")</f>
        <v/>
      </c>
      <c r="L170" s="186">
        <f t="shared" si="3"/>
        <v>0</v>
      </c>
    </row>
    <row r="171" ht="21.0" customHeight="1">
      <c r="A171" s="187"/>
      <c r="B171" s="187"/>
      <c r="C171" s="188"/>
      <c r="D171" s="188"/>
      <c r="E171" s="189"/>
      <c r="F171" s="182" t="str">
        <f t="shared" si="1"/>
        <v/>
      </c>
      <c r="G171" s="183">
        <f>IFERROR(__xludf.DUMMYFUNCTION("IFERROR(lookup(9999999999,FILTER('Operações-BR'!$M:$M,'Operações-BR'!$C:$C=A171,'Operações-BR'!$A:$A&lt;=C171)),0)"),0.0)</f>
        <v>0</v>
      </c>
      <c r="H171" s="184">
        <f t="shared" si="2"/>
        <v>0</v>
      </c>
      <c r="I171" s="184">
        <f>IFERROR(__xludf.DUMMYFUNCTION("IFERROR(lookup(9999999999,FILTER('Operações-BR'!Q:Q,'Operações-BR'!$C:$C=A171,'Operações-BR'!$A:$A&lt;=C171))/G171,0)"),0.0)</f>
        <v>0</v>
      </c>
      <c r="J171" s="185" t="str">
        <f>IFERROR(VLOOKUP(A171,Ativos!$A$1:$G2000,5,),"")</f>
        <v/>
      </c>
      <c r="K171" s="185" t="str">
        <f>IFERROR(VLOOKUP(A171,Ativos!A:H,8,),"")</f>
        <v/>
      </c>
      <c r="L171" s="186">
        <f t="shared" si="3"/>
        <v>0</v>
      </c>
    </row>
    <row r="172" ht="21.0" customHeight="1">
      <c r="A172" s="187"/>
      <c r="B172" s="187"/>
      <c r="C172" s="188"/>
      <c r="D172" s="188"/>
      <c r="E172" s="189"/>
      <c r="F172" s="182" t="str">
        <f t="shared" si="1"/>
        <v/>
      </c>
      <c r="G172" s="183">
        <f>IFERROR(__xludf.DUMMYFUNCTION("IFERROR(lookup(9999999999,FILTER('Operações-BR'!$M:$M,'Operações-BR'!$C:$C=A172,'Operações-BR'!$A:$A&lt;=C172)),0)"),0.0)</f>
        <v>0</v>
      </c>
      <c r="H172" s="184">
        <f t="shared" si="2"/>
        <v>0</v>
      </c>
      <c r="I172" s="184">
        <f>IFERROR(__xludf.DUMMYFUNCTION("IFERROR(lookup(9999999999,FILTER('Operações-BR'!Q:Q,'Operações-BR'!$C:$C=A172,'Operações-BR'!$A:$A&lt;=C172))/G172,0)"),0.0)</f>
        <v>0</v>
      </c>
      <c r="J172" s="185" t="str">
        <f>IFERROR(VLOOKUP(A172,Ativos!$A$1:$G2000,5,),"")</f>
        <v/>
      </c>
      <c r="K172" s="185" t="str">
        <f>IFERROR(VLOOKUP(A172,Ativos!A:H,8,),"")</f>
        <v/>
      </c>
      <c r="L172" s="186">
        <f t="shared" si="3"/>
        <v>0</v>
      </c>
    </row>
    <row r="173" ht="21.0" customHeight="1">
      <c r="A173" s="187"/>
      <c r="B173" s="187"/>
      <c r="C173" s="188"/>
      <c r="D173" s="188"/>
      <c r="E173" s="189"/>
      <c r="F173" s="182" t="str">
        <f t="shared" si="1"/>
        <v/>
      </c>
      <c r="G173" s="183">
        <f>IFERROR(__xludf.DUMMYFUNCTION("IFERROR(lookup(9999999999,FILTER('Operações-BR'!$M:$M,'Operações-BR'!$C:$C=A173,'Operações-BR'!$A:$A&lt;=C173)),0)"),0.0)</f>
        <v>0</v>
      </c>
      <c r="H173" s="184">
        <f t="shared" si="2"/>
        <v>0</v>
      </c>
      <c r="I173" s="184">
        <f>IFERROR(__xludf.DUMMYFUNCTION("IFERROR(lookup(9999999999,FILTER('Operações-BR'!Q:Q,'Operações-BR'!$C:$C=A173,'Operações-BR'!$A:$A&lt;=C173))/G173,0)"),0.0)</f>
        <v>0</v>
      </c>
      <c r="J173" s="185" t="str">
        <f>IFERROR(VLOOKUP(A173,Ativos!$A$1:$G2000,5,),"")</f>
        <v/>
      </c>
      <c r="K173" s="185" t="str">
        <f>IFERROR(VLOOKUP(A173,Ativos!A:H,8,),"")</f>
        <v/>
      </c>
      <c r="L173" s="186">
        <f t="shared" si="3"/>
        <v>0</v>
      </c>
    </row>
    <row r="174" ht="21.0" customHeight="1">
      <c r="A174" s="187"/>
      <c r="B174" s="187"/>
      <c r="C174" s="188"/>
      <c r="D174" s="188"/>
      <c r="E174" s="189"/>
      <c r="F174" s="182" t="str">
        <f t="shared" si="1"/>
        <v/>
      </c>
      <c r="G174" s="183">
        <f>IFERROR(__xludf.DUMMYFUNCTION("IFERROR(lookup(9999999999,FILTER('Operações-BR'!$M:$M,'Operações-BR'!$C:$C=A174,'Operações-BR'!$A:$A&lt;=C174)),0)"),0.0)</f>
        <v>0</v>
      </c>
      <c r="H174" s="184">
        <f t="shared" si="2"/>
        <v>0</v>
      </c>
      <c r="I174" s="184">
        <f>IFERROR(__xludf.DUMMYFUNCTION("IFERROR(lookup(9999999999,FILTER('Operações-BR'!Q:Q,'Operações-BR'!$C:$C=A174,'Operações-BR'!$A:$A&lt;=C174))/G174,0)"),0.0)</f>
        <v>0</v>
      </c>
      <c r="J174" s="185" t="str">
        <f>IFERROR(VLOOKUP(A174,Ativos!$A$1:$G2000,5,),"")</f>
        <v/>
      </c>
      <c r="K174" s="185" t="str">
        <f>IFERROR(VLOOKUP(A174,Ativos!A:H,8,),"")</f>
        <v/>
      </c>
      <c r="L174" s="186">
        <f t="shared" si="3"/>
        <v>0</v>
      </c>
    </row>
    <row r="175" ht="21.0" customHeight="1">
      <c r="A175" s="187"/>
      <c r="B175" s="187"/>
      <c r="C175" s="188"/>
      <c r="D175" s="188"/>
      <c r="E175" s="189"/>
      <c r="F175" s="182" t="str">
        <f t="shared" si="1"/>
        <v/>
      </c>
      <c r="G175" s="183">
        <f>IFERROR(__xludf.DUMMYFUNCTION("IFERROR(lookup(9999999999,FILTER('Operações-BR'!$M:$M,'Operações-BR'!$C:$C=A175,'Operações-BR'!$A:$A&lt;=C175)),0)"),0.0)</f>
        <v>0</v>
      </c>
      <c r="H175" s="184">
        <f t="shared" si="2"/>
        <v>0</v>
      </c>
      <c r="I175" s="184">
        <f>IFERROR(__xludf.DUMMYFUNCTION("IFERROR(lookup(9999999999,FILTER('Operações-BR'!Q:Q,'Operações-BR'!$C:$C=A175,'Operações-BR'!$A:$A&lt;=C175))/G175,0)"),0.0)</f>
        <v>0</v>
      </c>
      <c r="J175" s="185" t="str">
        <f>IFERROR(VLOOKUP(A175,Ativos!$A$1:$G2000,5,),"")</f>
        <v/>
      </c>
      <c r="K175" s="185" t="str">
        <f>IFERROR(VLOOKUP(A175,Ativos!A:H,8,),"")</f>
        <v/>
      </c>
      <c r="L175" s="186">
        <f t="shared" si="3"/>
        <v>0</v>
      </c>
    </row>
    <row r="176" ht="21.0" customHeight="1">
      <c r="A176" s="187"/>
      <c r="B176" s="187"/>
      <c r="C176" s="188"/>
      <c r="D176" s="188"/>
      <c r="E176" s="189"/>
      <c r="F176" s="182" t="str">
        <f t="shared" si="1"/>
        <v/>
      </c>
      <c r="G176" s="183">
        <f>IFERROR(__xludf.DUMMYFUNCTION("IFERROR(lookup(9999999999,FILTER('Operações-BR'!$M:$M,'Operações-BR'!$C:$C=A176,'Operações-BR'!$A:$A&lt;=C176)),0)"),0.0)</f>
        <v>0</v>
      </c>
      <c r="H176" s="184">
        <f t="shared" si="2"/>
        <v>0</v>
      </c>
      <c r="I176" s="184">
        <f>IFERROR(__xludf.DUMMYFUNCTION("IFERROR(lookup(9999999999,FILTER('Operações-BR'!Q:Q,'Operações-BR'!$C:$C=A176,'Operações-BR'!$A:$A&lt;=C176))/G176,0)"),0.0)</f>
        <v>0</v>
      </c>
      <c r="J176" s="185" t="str">
        <f>IFERROR(VLOOKUP(A176,Ativos!$A$1:$G2000,5,),"")</f>
        <v/>
      </c>
      <c r="K176" s="185" t="str">
        <f>IFERROR(VLOOKUP(A176,Ativos!A:H,8,),"")</f>
        <v/>
      </c>
      <c r="L176" s="186">
        <f t="shared" si="3"/>
        <v>0</v>
      </c>
    </row>
    <row r="177" ht="21.0" customHeight="1">
      <c r="A177" s="187"/>
      <c r="B177" s="187"/>
      <c r="C177" s="188"/>
      <c r="D177" s="188"/>
      <c r="E177" s="189"/>
      <c r="F177" s="182" t="str">
        <f t="shared" si="1"/>
        <v/>
      </c>
      <c r="G177" s="183">
        <f>IFERROR(__xludf.DUMMYFUNCTION("IFERROR(lookup(9999999999,FILTER('Operações-BR'!$M:$M,'Operações-BR'!$C:$C=A177,'Operações-BR'!$A:$A&lt;=C177)),0)"),0.0)</f>
        <v>0</v>
      </c>
      <c r="H177" s="184">
        <f t="shared" si="2"/>
        <v>0</v>
      </c>
      <c r="I177" s="184">
        <f>IFERROR(__xludf.DUMMYFUNCTION("IFERROR(lookup(9999999999,FILTER('Operações-BR'!Q:Q,'Operações-BR'!$C:$C=A177,'Operações-BR'!$A:$A&lt;=C177))/G177,0)"),0.0)</f>
        <v>0</v>
      </c>
      <c r="J177" s="185" t="str">
        <f>IFERROR(VLOOKUP(A177,Ativos!$A$1:$G2000,5,),"")</f>
        <v/>
      </c>
      <c r="K177" s="185" t="str">
        <f>IFERROR(VLOOKUP(A177,Ativos!A:H,8,),"")</f>
        <v/>
      </c>
      <c r="L177" s="186">
        <f t="shared" si="3"/>
        <v>0</v>
      </c>
    </row>
    <row r="178" ht="21.0" customHeight="1">
      <c r="A178" s="187"/>
      <c r="B178" s="187"/>
      <c r="C178" s="195"/>
      <c r="D178" s="188"/>
      <c r="E178" s="189"/>
      <c r="F178" s="182" t="str">
        <f t="shared" si="1"/>
        <v/>
      </c>
      <c r="G178" s="183">
        <f>IFERROR(__xludf.DUMMYFUNCTION("IFERROR(lookup(9999999999,FILTER('Operações-BR'!$M:$M,'Operações-BR'!$C:$C=A178,'Operações-BR'!$A:$A&lt;=C178)),0)"),0.0)</f>
        <v>0</v>
      </c>
      <c r="H178" s="184">
        <f t="shared" si="2"/>
        <v>0</v>
      </c>
      <c r="I178" s="184">
        <f>IFERROR(__xludf.DUMMYFUNCTION("IFERROR(lookup(9999999999,FILTER('Operações-BR'!Q:Q,'Operações-BR'!$C:$C=A178,'Operações-BR'!$A:$A&lt;=C178))/G178,0)"),0.0)</f>
        <v>0</v>
      </c>
      <c r="J178" s="185" t="str">
        <f>IFERROR(VLOOKUP(A178,Ativos!$A$1:$G2000,5,),"")</f>
        <v/>
      </c>
      <c r="K178" s="185" t="str">
        <f>IFERROR(VLOOKUP(A178,Ativos!A:H,8,),"")</f>
        <v/>
      </c>
      <c r="L178" s="186">
        <f t="shared" si="3"/>
        <v>0</v>
      </c>
    </row>
    <row r="179" ht="21.0" customHeight="1">
      <c r="A179" s="187"/>
      <c r="B179" s="187"/>
      <c r="C179" s="188"/>
      <c r="D179" s="188"/>
      <c r="E179" s="189"/>
      <c r="F179" s="182" t="str">
        <f t="shared" si="1"/>
        <v/>
      </c>
      <c r="G179" s="183">
        <f>IFERROR(__xludf.DUMMYFUNCTION("IFERROR(lookup(9999999999,FILTER('Operações-BR'!$M:$M,'Operações-BR'!$C:$C=A179,'Operações-BR'!$A:$A&lt;=C179)),0)"),0.0)</f>
        <v>0</v>
      </c>
      <c r="H179" s="184">
        <f t="shared" si="2"/>
        <v>0</v>
      </c>
      <c r="I179" s="184">
        <f>IFERROR(__xludf.DUMMYFUNCTION("IFERROR(lookup(9999999999,FILTER('Operações-BR'!Q:Q,'Operações-BR'!$C:$C=A179,'Operações-BR'!$A:$A&lt;=C179))/G179,0)"),0.0)</f>
        <v>0</v>
      </c>
      <c r="J179" s="185" t="str">
        <f>IFERROR(VLOOKUP(A179,Ativos!$A$1:$G2000,5,),"")</f>
        <v/>
      </c>
      <c r="K179" s="185" t="str">
        <f>IFERROR(VLOOKUP(A179,Ativos!A:H,8,),"")</f>
        <v/>
      </c>
      <c r="L179" s="186">
        <f t="shared" si="3"/>
        <v>0</v>
      </c>
    </row>
    <row r="180" ht="21.0" customHeight="1">
      <c r="A180" s="187"/>
      <c r="B180" s="187"/>
      <c r="C180" s="188"/>
      <c r="D180" s="188"/>
      <c r="E180" s="189"/>
      <c r="F180" s="182" t="str">
        <f t="shared" si="1"/>
        <v/>
      </c>
      <c r="G180" s="183">
        <f>IFERROR(__xludf.DUMMYFUNCTION("IFERROR(lookup(9999999999,FILTER('Operações-BR'!$M:$M,'Operações-BR'!$C:$C=A180,'Operações-BR'!$A:$A&lt;=C180)),0)"),0.0)</f>
        <v>0</v>
      </c>
      <c r="H180" s="184">
        <f t="shared" si="2"/>
        <v>0</v>
      </c>
      <c r="I180" s="184">
        <f>IFERROR(__xludf.DUMMYFUNCTION("IFERROR(lookup(9999999999,FILTER('Operações-BR'!Q:Q,'Operações-BR'!$C:$C=A180,'Operações-BR'!$A:$A&lt;=C180))/G180,0)"),0.0)</f>
        <v>0</v>
      </c>
      <c r="J180" s="185" t="str">
        <f>IFERROR(VLOOKUP(A180,Ativos!$A$1:$G2000,5,),"")</f>
        <v/>
      </c>
      <c r="K180" s="185" t="str">
        <f>IFERROR(VLOOKUP(A180,Ativos!A:H,8,),"")</f>
        <v/>
      </c>
      <c r="L180" s="186">
        <f t="shared" si="3"/>
        <v>0</v>
      </c>
    </row>
    <row r="181" ht="21.0" customHeight="1">
      <c r="A181" s="187"/>
      <c r="B181" s="187"/>
      <c r="C181" s="188"/>
      <c r="D181" s="188"/>
      <c r="E181" s="189"/>
      <c r="F181" s="182" t="str">
        <f t="shared" si="1"/>
        <v/>
      </c>
      <c r="G181" s="183">
        <f>IFERROR(__xludf.DUMMYFUNCTION("IFERROR(lookup(9999999999,FILTER('Operações-BR'!$M:$M,'Operações-BR'!$C:$C=A181,'Operações-BR'!$A:$A&lt;=C181)),0)"),0.0)</f>
        <v>0</v>
      </c>
      <c r="H181" s="184">
        <f t="shared" si="2"/>
        <v>0</v>
      </c>
      <c r="I181" s="184">
        <f>IFERROR(__xludf.DUMMYFUNCTION("IFERROR(lookup(9999999999,FILTER('Operações-BR'!Q:Q,'Operações-BR'!$C:$C=A181,'Operações-BR'!$A:$A&lt;=C181))/G181,0)"),0.0)</f>
        <v>0</v>
      </c>
      <c r="J181" s="185" t="str">
        <f>IFERROR(VLOOKUP(A181,Ativos!$A$1:$G2000,5,),"")</f>
        <v/>
      </c>
      <c r="K181" s="185" t="str">
        <f>IFERROR(VLOOKUP(A181,Ativos!A:H,8,),"")</f>
        <v/>
      </c>
      <c r="L181" s="186">
        <f t="shared" si="3"/>
        <v>0</v>
      </c>
    </row>
    <row r="182" ht="21.0" customHeight="1">
      <c r="A182" s="187"/>
      <c r="B182" s="187"/>
      <c r="C182" s="188"/>
      <c r="D182" s="188"/>
      <c r="E182" s="189"/>
      <c r="F182" s="182" t="str">
        <f t="shared" si="1"/>
        <v/>
      </c>
      <c r="G182" s="183">
        <f>IFERROR(__xludf.DUMMYFUNCTION("IFERROR(lookup(9999999999,FILTER('Operações-BR'!$M:$M,'Operações-BR'!$C:$C=A182,'Operações-BR'!$A:$A&lt;=C182)),0)"),0.0)</f>
        <v>0</v>
      </c>
      <c r="H182" s="184">
        <f t="shared" si="2"/>
        <v>0</v>
      </c>
      <c r="I182" s="184">
        <f>IFERROR(__xludf.DUMMYFUNCTION("IFERROR(lookup(9999999999,FILTER('Operações-BR'!Q:Q,'Operações-BR'!$C:$C=A182,'Operações-BR'!$A:$A&lt;=C182))/G182,0)"),0.0)</f>
        <v>0</v>
      </c>
      <c r="J182" s="185" t="str">
        <f>IFERROR(VLOOKUP(A182,Ativos!$A$1:$G2000,5,),"")</f>
        <v/>
      </c>
      <c r="K182" s="185" t="str">
        <f>IFERROR(VLOOKUP(A182,Ativos!A:H,8,),"")</f>
        <v/>
      </c>
      <c r="L182" s="186">
        <f t="shared" si="3"/>
        <v>0</v>
      </c>
    </row>
    <row r="183" ht="21.0" customHeight="1">
      <c r="A183" s="187"/>
      <c r="B183" s="187"/>
      <c r="C183" s="188"/>
      <c r="D183" s="188"/>
      <c r="E183" s="189"/>
      <c r="F183" s="182" t="str">
        <f t="shared" si="1"/>
        <v/>
      </c>
      <c r="G183" s="183">
        <f>IFERROR(__xludf.DUMMYFUNCTION("IFERROR(lookup(9999999999,FILTER('Operações-BR'!$M:$M,'Operações-BR'!$C:$C=A183,'Operações-BR'!$A:$A&lt;=C183)),0)"),0.0)</f>
        <v>0</v>
      </c>
      <c r="H183" s="184">
        <f t="shared" si="2"/>
        <v>0</v>
      </c>
      <c r="I183" s="184">
        <f>IFERROR(__xludf.DUMMYFUNCTION("IFERROR(lookup(9999999999,FILTER('Operações-BR'!Q:Q,'Operações-BR'!$C:$C=A183,'Operações-BR'!$A:$A&lt;=C183))/G183,0)"),0.0)</f>
        <v>0</v>
      </c>
      <c r="J183" s="185" t="str">
        <f>IFERROR(VLOOKUP(A183,Ativos!$A$1:$G2000,5,),"")</f>
        <v/>
      </c>
      <c r="K183" s="185" t="str">
        <f>IFERROR(VLOOKUP(A183,Ativos!A:H,8,),"")</f>
        <v/>
      </c>
      <c r="L183" s="186">
        <f t="shared" si="3"/>
        <v>0</v>
      </c>
    </row>
    <row r="184" ht="21.0" customHeight="1">
      <c r="A184" s="187"/>
      <c r="B184" s="187"/>
      <c r="C184" s="188"/>
      <c r="D184" s="188"/>
      <c r="E184" s="189"/>
      <c r="F184" s="182" t="str">
        <f t="shared" si="1"/>
        <v/>
      </c>
      <c r="G184" s="183">
        <f>IFERROR(__xludf.DUMMYFUNCTION("IFERROR(lookup(9999999999,FILTER('Operações-BR'!$M:$M,'Operações-BR'!$C:$C=A184,'Operações-BR'!$A:$A&lt;=C184)),0)"),0.0)</f>
        <v>0</v>
      </c>
      <c r="H184" s="184">
        <f t="shared" si="2"/>
        <v>0</v>
      </c>
      <c r="I184" s="184">
        <f>IFERROR(__xludf.DUMMYFUNCTION("IFERROR(lookup(9999999999,FILTER('Operações-BR'!Q:Q,'Operações-BR'!$C:$C=A184,'Operações-BR'!$A:$A&lt;=C184))/G184,0)"),0.0)</f>
        <v>0</v>
      </c>
      <c r="J184" s="185" t="str">
        <f>IFERROR(VLOOKUP(A184,Ativos!$A$1:$G2000,5,),"")</f>
        <v/>
      </c>
      <c r="K184" s="185" t="str">
        <f>IFERROR(VLOOKUP(A184,Ativos!A:H,8,),"")</f>
        <v/>
      </c>
      <c r="L184" s="186">
        <f t="shared" si="3"/>
        <v>0</v>
      </c>
    </row>
    <row r="185" ht="21.0" customHeight="1">
      <c r="A185" s="187"/>
      <c r="B185" s="187"/>
      <c r="C185" s="188"/>
      <c r="D185" s="188"/>
      <c r="E185" s="189"/>
      <c r="F185" s="182" t="str">
        <f t="shared" si="1"/>
        <v/>
      </c>
      <c r="G185" s="183">
        <f>IFERROR(__xludf.DUMMYFUNCTION("IFERROR(lookup(9999999999,FILTER('Operações-BR'!$M:$M,'Operações-BR'!$C:$C=A185,'Operações-BR'!$A:$A&lt;=C185)),0)"),0.0)</f>
        <v>0</v>
      </c>
      <c r="H185" s="184">
        <f t="shared" si="2"/>
        <v>0</v>
      </c>
      <c r="I185" s="184">
        <f>IFERROR(__xludf.DUMMYFUNCTION("IFERROR(lookup(9999999999,FILTER('Operações-BR'!Q:Q,'Operações-BR'!$C:$C=A185,'Operações-BR'!$A:$A&lt;=C185))/G185,0)"),0.0)</f>
        <v>0</v>
      </c>
      <c r="J185" s="185" t="str">
        <f>IFERROR(VLOOKUP(A185,Ativos!$A$1:$G2000,5,),"")</f>
        <v/>
      </c>
      <c r="K185" s="185" t="str">
        <f>IFERROR(VLOOKUP(A185,Ativos!A:H,8,),"")</f>
        <v/>
      </c>
      <c r="L185" s="186">
        <f t="shared" si="3"/>
        <v>0</v>
      </c>
    </row>
    <row r="186" ht="21.0" customHeight="1">
      <c r="A186" s="187"/>
      <c r="B186" s="187"/>
      <c r="C186" s="188"/>
      <c r="D186" s="188"/>
      <c r="E186" s="189"/>
      <c r="F186" s="182" t="str">
        <f t="shared" si="1"/>
        <v/>
      </c>
      <c r="G186" s="183">
        <f>IFERROR(__xludf.DUMMYFUNCTION("IFERROR(lookup(9999999999,FILTER('Operações-BR'!$M:$M,'Operações-BR'!$C:$C=A186,'Operações-BR'!$A:$A&lt;=C186)),0)"),0.0)</f>
        <v>0</v>
      </c>
      <c r="H186" s="184">
        <f t="shared" si="2"/>
        <v>0</v>
      </c>
      <c r="I186" s="184">
        <f>IFERROR(__xludf.DUMMYFUNCTION("IFERROR(lookup(9999999999,FILTER('Operações-BR'!Q:Q,'Operações-BR'!$C:$C=A186,'Operações-BR'!$A:$A&lt;=C186))/G186,0)"),0.0)</f>
        <v>0</v>
      </c>
      <c r="J186" s="185" t="str">
        <f>IFERROR(VLOOKUP(A186,Ativos!$A$1:$G2000,5,),"")</f>
        <v/>
      </c>
      <c r="K186" s="185" t="str">
        <f>IFERROR(VLOOKUP(A186,Ativos!A:H,8,),"")</f>
        <v/>
      </c>
      <c r="L186" s="186">
        <f t="shared" si="3"/>
        <v>0</v>
      </c>
    </row>
    <row r="187" ht="21.0" customHeight="1">
      <c r="A187" s="187"/>
      <c r="B187" s="187"/>
      <c r="C187" s="188"/>
      <c r="D187" s="188"/>
      <c r="E187" s="189"/>
      <c r="F187" s="182" t="str">
        <f t="shared" si="1"/>
        <v/>
      </c>
      <c r="G187" s="183">
        <f>IFERROR(__xludf.DUMMYFUNCTION("IFERROR(lookup(9999999999,FILTER('Operações-BR'!$M:$M,'Operações-BR'!$C:$C=A187,'Operações-BR'!$A:$A&lt;=C187)),0)"),0.0)</f>
        <v>0</v>
      </c>
      <c r="H187" s="184">
        <f t="shared" si="2"/>
        <v>0</v>
      </c>
      <c r="I187" s="184">
        <f>IFERROR(__xludf.DUMMYFUNCTION("IFERROR(lookup(9999999999,FILTER('Operações-BR'!Q:Q,'Operações-BR'!$C:$C=A187,'Operações-BR'!$A:$A&lt;=C187))/G187,0)"),0.0)</f>
        <v>0</v>
      </c>
      <c r="J187" s="185" t="str">
        <f>IFERROR(VLOOKUP(A187,Ativos!$A$1:$G2000,5,),"")</f>
        <v/>
      </c>
      <c r="K187" s="185" t="str">
        <f>IFERROR(VLOOKUP(A187,Ativos!A:H,8,),"")</f>
        <v/>
      </c>
      <c r="L187" s="186">
        <f t="shared" si="3"/>
        <v>0</v>
      </c>
    </row>
    <row r="188" ht="21.0" customHeight="1">
      <c r="A188" s="187"/>
      <c r="B188" s="187"/>
      <c r="C188" s="188"/>
      <c r="D188" s="188"/>
      <c r="E188" s="189"/>
      <c r="F188" s="182" t="str">
        <f t="shared" si="1"/>
        <v/>
      </c>
      <c r="G188" s="183">
        <f>IFERROR(__xludf.DUMMYFUNCTION("IFERROR(lookup(9999999999,FILTER('Operações-BR'!$M:$M,'Operações-BR'!$C:$C=A188,'Operações-BR'!$A:$A&lt;=C188)),0)"),0.0)</f>
        <v>0</v>
      </c>
      <c r="H188" s="184">
        <f t="shared" si="2"/>
        <v>0</v>
      </c>
      <c r="I188" s="184">
        <f>IFERROR(__xludf.DUMMYFUNCTION("IFERROR(lookup(9999999999,FILTER('Operações-BR'!Q:Q,'Operações-BR'!$C:$C=A188,'Operações-BR'!$A:$A&lt;=C188))/G188,0)"),0.0)</f>
        <v>0</v>
      </c>
      <c r="J188" s="185" t="str">
        <f>IFERROR(VLOOKUP(A188,Ativos!$A$1:$G2000,5,),"")</f>
        <v/>
      </c>
      <c r="K188" s="185" t="str">
        <f>IFERROR(VLOOKUP(A188,Ativos!A:H,8,),"")</f>
        <v/>
      </c>
      <c r="L188" s="186">
        <f t="shared" si="3"/>
        <v>0</v>
      </c>
    </row>
    <row r="189" ht="21.0" customHeight="1">
      <c r="A189" s="187"/>
      <c r="B189" s="187"/>
      <c r="C189" s="188"/>
      <c r="D189" s="188"/>
      <c r="E189" s="189"/>
      <c r="F189" s="182" t="str">
        <f t="shared" si="1"/>
        <v/>
      </c>
      <c r="G189" s="183">
        <f>IFERROR(__xludf.DUMMYFUNCTION("IFERROR(lookup(9999999999,FILTER('Operações-BR'!$M:$M,'Operações-BR'!$C:$C=A189,'Operações-BR'!$A:$A&lt;=C189)),0)"),0.0)</f>
        <v>0</v>
      </c>
      <c r="H189" s="184">
        <f t="shared" si="2"/>
        <v>0</v>
      </c>
      <c r="I189" s="184">
        <f>IFERROR(__xludf.DUMMYFUNCTION("IFERROR(lookup(9999999999,FILTER('Operações-BR'!Q:Q,'Operações-BR'!$C:$C=A189,'Operações-BR'!$A:$A&lt;=C189))/G189,0)"),0.0)</f>
        <v>0</v>
      </c>
      <c r="J189" s="185" t="str">
        <f>IFERROR(VLOOKUP(A189,Ativos!$A$1:$G2000,5,),"")</f>
        <v/>
      </c>
      <c r="K189" s="185" t="str">
        <f>IFERROR(VLOOKUP(A189,Ativos!A:H,8,),"")</f>
        <v/>
      </c>
      <c r="L189" s="186">
        <f t="shared" si="3"/>
        <v>0</v>
      </c>
    </row>
    <row r="190" ht="21.0" customHeight="1">
      <c r="A190" s="187"/>
      <c r="B190" s="187"/>
      <c r="C190" s="188"/>
      <c r="D190" s="188"/>
      <c r="E190" s="189"/>
      <c r="F190" s="182" t="str">
        <f t="shared" si="1"/>
        <v/>
      </c>
      <c r="G190" s="183">
        <f>IFERROR(__xludf.DUMMYFUNCTION("IFERROR(lookup(9999999999,FILTER('Operações-BR'!$M:$M,'Operações-BR'!$C:$C=A190,'Operações-BR'!$A:$A&lt;=C190)),0)"),0.0)</f>
        <v>0</v>
      </c>
      <c r="H190" s="184">
        <f t="shared" si="2"/>
        <v>0</v>
      </c>
      <c r="I190" s="184">
        <f>IFERROR(__xludf.DUMMYFUNCTION("IFERROR(lookup(9999999999,FILTER('Operações-BR'!Q:Q,'Operações-BR'!$C:$C=A190,'Operações-BR'!$A:$A&lt;=C190))/G190,0)"),0.0)</f>
        <v>0</v>
      </c>
      <c r="J190" s="185" t="str">
        <f>IFERROR(VLOOKUP(A190,Ativos!$A$1:$G2000,5,),"")</f>
        <v/>
      </c>
      <c r="K190" s="185" t="str">
        <f>IFERROR(VLOOKUP(A190,Ativos!A:H,8,),"")</f>
        <v/>
      </c>
      <c r="L190" s="186">
        <f t="shared" si="3"/>
        <v>0</v>
      </c>
    </row>
    <row r="191" ht="21.0" customHeight="1">
      <c r="A191" s="187"/>
      <c r="B191" s="187"/>
      <c r="C191" s="188"/>
      <c r="D191" s="188"/>
      <c r="E191" s="189"/>
      <c r="F191" s="182" t="str">
        <f t="shared" si="1"/>
        <v/>
      </c>
      <c r="G191" s="183">
        <f>IFERROR(__xludf.DUMMYFUNCTION("IFERROR(lookup(9999999999,FILTER('Operações-BR'!$M:$M,'Operações-BR'!$C:$C=A191,'Operações-BR'!$A:$A&lt;=C191)),0)"),0.0)</f>
        <v>0</v>
      </c>
      <c r="H191" s="184">
        <f t="shared" si="2"/>
        <v>0</v>
      </c>
      <c r="I191" s="184">
        <f>IFERROR(__xludf.DUMMYFUNCTION("IFERROR(lookup(9999999999,FILTER('Operações-BR'!Q:Q,'Operações-BR'!$C:$C=A191,'Operações-BR'!$A:$A&lt;=C191))/G191,0)"),0.0)</f>
        <v>0</v>
      </c>
      <c r="J191" s="185" t="str">
        <f>IFERROR(VLOOKUP(A191,Ativos!$A$1:$G2000,5,),"")</f>
        <v/>
      </c>
      <c r="K191" s="185" t="str">
        <f>IFERROR(VLOOKUP(A191,Ativos!A:H,8,),"")</f>
        <v/>
      </c>
      <c r="L191" s="186">
        <f t="shared" si="3"/>
        <v>0</v>
      </c>
    </row>
    <row r="192" ht="21.0" customHeight="1">
      <c r="A192" s="187"/>
      <c r="B192" s="187"/>
      <c r="C192" s="188"/>
      <c r="D192" s="188"/>
      <c r="E192" s="189"/>
      <c r="F192" s="182" t="str">
        <f t="shared" si="1"/>
        <v/>
      </c>
      <c r="G192" s="183">
        <f>IFERROR(__xludf.DUMMYFUNCTION("IFERROR(lookup(9999999999,FILTER('Operações-BR'!$M:$M,'Operações-BR'!$C:$C=A192,'Operações-BR'!$A:$A&lt;=C192)),0)"),0.0)</f>
        <v>0</v>
      </c>
      <c r="H192" s="184">
        <f t="shared" si="2"/>
        <v>0</v>
      </c>
      <c r="I192" s="184">
        <f>IFERROR(__xludf.DUMMYFUNCTION("IFERROR(lookup(9999999999,FILTER('Operações-BR'!Q:Q,'Operações-BR'!$C:$C=A192,'Operações-BR'!$A:$A&lt;=C192))/G192,0)"),0.0)</f>
        <v>0</v>
      </c>
      <c r="J192" s="185" t="str">
        <f>IFERROR(VLOOKUP(A192,Ativos!$A$1:$G2000,5,),"")</f>
        <v/>
      </c>
      <c r="K192" s="185" t="str">
        <f>IFERROR(VLOOKUP(A192,Ativos!A:H,8,),"")</f>
        <v/>
      </c>
      <c r="L192" s="186">
        <f t="shared" si="3"/>
        <v>0</v>
      </c>
    </row>
    <row r="193" ht="21.0" customHeight="1">
      <c r="A193" s="187"/>
      <c r="B193" s="187"/>
      <c r="C193" s="188"/>
      <c r="D193" s="188"/>
      <c r="E193" s="189"/>
      <c r="F193" s="182" t="str">
        <f t="shared" si="1"/>
        <v/>
      </c>
      <c r="G193" s="183">
        <f>IFERROR(__xludf.DUMMYFUNCTION("IFERROR(lookup(9999999999,FILTER('Operações-BR'!$M:$M,'Operações-BR'!$C:$C=A193,'Operações-BR'!$A:$A&lt;=C193)),0)"),0.0)</f>
        <v>0</v>
      </c>
      <c r="H193" s="184">
        <f t="shared" si="2"/>
        <v>0</v>
      </c>
      <c r="I193" s="184">
        <f>IFERROR(__xludf.DUMMYFUNCTION("IFERROR(lookup(9999999999,FILTER('Operações-BR'!Q:Q,'Operações-BR'!$C:$C=A193,'Operações-BR'!$A:$A&lt;=C193))/G193,0)"),0.0)</f>
        <v>0</v>
      </c>
      <c r="J193" s="185" t="str">
        <f>IFERROR(VLOOKUP(A193,Ativos!$A$1:$G2000,5,),"")</f>
        <v/>
      </c>
      <c r="K193" s="185" t="str">
        <f>IFERROR(VLOOKUP(A193,Ativos!A:H,8,),"")</f>
        <v/>
      </c>
      <c r="L193" s="186">
        <f t="shared" si="3"/>
        <v>0</v>
      </c>
    </row>
    <row r="194" ht="21.0" customHeight="1">
      <c r="A194" s="187"/>
      <c r="B194" s="187"/>
      <c r="C194" s="188"/>
      <c r="D194" s="188"/>
      <c r="E194" s="189"/>
      <c r="F194" s="182" t="str">
        <f t="shared" si="1"/>
        <v/>
      </c>
      <c r="G194" s="183">
        <f>IFERROR(__xludf.DUMMYFUNCTION("IFERROR(lookup(9999999999,FILTER('Operações-BR'!$M:$M,'Operações-BR'!$C:$C=A194,'Operações-BR'!$A:$A&lt;=C194)),0)"),0.0)</f>
        <v>0</v>
      </c>
      <c r="H194" s="184">
        <f t="shared" si="2"/>
        <v>0</v>
      </c>
      <c r="I194" s="184">
        <f>IFERROR(__xludf.DUMMYFUNCTION("IFERROR(lookup(9999999999,FILTER('Operações-BR'!Q:Q,'Operações-BR'!$C:$C=A194,'Operações-BR'!$A:$A&lt;=C194))/G194,0)"),0.0)</f>
        <v>0</v>
      </c>
      <c r="J194" s="185" t="str">
        <f>IFERROR(VLOOKUP(A194,Ativos!$A$1:$G2000,5,),"")</f>
        <v/>
      </c>
      <c r="K194" s="185" t="str">
        <f>IFERROR(VLOOKUP(A194,Ativos!A:H,8,),"")</f>
        <v/>
      </c>
      <c r="L194" s="186">
        <f t="shared" si="3"/>
        <v>0</v>
      </c>
    </row>
    <row r="195" ht="21.0" customHeight="1">
      <c r="A195" s="187"/>
      <c r="B195" s="187"/>
      <c r="C195" s="188"/>
      <c r="D195" s="188"/>
      <c r="E195" s="189"/>
      <c r="F195" s="182" t="str">
        <f t="shared" si="1"/>
        <v/>
      </c>
      <c r="G195" s="183">
        <f>IFERROR(__xludf.DUMMYFUNCTION("IFERROR(lookup(9999999999,FILTER('Operações-BR'!$M:$M,'Operações-BR'!$C:$C=A195,'Operações-BR'!$A:$A&lt;=C195)),0)"),0.0)</f>
        <v>0</v>
      </c>
      <c r="H195" s="184">
        <f t="shared" si="2"/>
        <v>0</v>
      </c>
      <c r="I195" s="184">
        <f>IFERROR(__xludf.DUMMYFUNCTION("IFERROR(lookup(9999999999,FILTER('Operações-BR'!Q:Q,'Operações-BR'!$C:$C=A195,'Operações-BR'!$A:$A&lt;=C195))/G195,0)"),0.0)</f>
        <v>0</v>
      </c>
      <c r="J195" s="185" t="str">
        <f>IFERROR(VLOOKUP(A195,Ativos!$A$1:$G2000,5,),"")</f>
        <v/>
      </c>
      <c r="K195" s="185" t="str">
        <f>IFERROR(VLOOKUP(A195,Ativos!A:H,8,),"")</f>
        <v/>
      </c>
      <c r="L195" s="186">
        <f t="shared" si="3"/>
        <v>0</v>
      </c>
    </row>
    <row r="196" ht="21.0" customHeight="1">
      <c r="A196" s="187"/>
      <c r="B196" s="187"/>
      <c r="C196" s="188"/>
      <c r="D196" s="188"/>
      <c r="E196" s="189"/>
      <c r="F196" s="182" t="str">
        <f t="shared" si="1"/>
        <v/>
      </c>
      <c r="G196" s="183">
        <f>IFERROR(__xludf.DUMMYFUNCTION("IFERROR(lookup(9999999999,FILTER('Operações-BR'!$M:$M,'Operações-BR'!$C:$C=A196,'Operações-BR'!$A:$A&lt;=C196)),0)"),0.0)</f>
        <v>0</v>
      </c>
      <c r="H196" s="184">
        <f t="shared" si="2"/>
        <v>0</v>
      </c>
      <c r="I196" s="184">
        <f>IFERROR(__xludf.DUMMYFUNCTION("IFERROR(lookup(9999999999,FILTER('Operações-BR'!Q:Q,'Operações-BR'!$C:$C=A196,'Operações-BR'!$A:$A&lt;=C196))/G196,0)"),0.0)</f>
        <v>0</v>
      </c>
      <c r="J196" s="185" t="str">
        <f>IFERROR(VLOOKUP(A196,Ativos!$A$1:$G2000,5,),"")</f>
        <v/>
      </c>
      <c r="K196" s="185" t="str">
        <f>IFERROR(VLOOKUP(A196,Ativos!A:H,8,),"")</f>
        <v/>
      </c>
      <c r="L196" s="186">
        <f t="shared" si="3"/>
        <v>0</v>
      </c>
    </row>
    <row r="197" ht="21.0" customHeight="1">
      <c r="A197" s="187"/>
      <c r="B197" s="187"/>
      <c r="C197" s="188"/>
      <c r="D197" s="188"/>
      <c r="E197" s="189"/>
      <c r="F197" s="182" t="str">
        <f t="shared" si="1"/>
        <v/>
      </c>
      <c r="G197" s="183">
        <f>IFERROR(__xludf.DUMMYFUNCTION("IFERROR(lookup(9999999999,FILTER('Operações-BR'!$M:$M,'Operações-BR'!$C:$C=A197,'Operações-BR'!$A:$A&lt;=C197)),0)"),0.0)</f>
        <v>0</v>
      </c>
      <c r="H197" s="184">
        <f t="shared" si="2"/>
        <v>0</v>
      </c>
      <c r="I197" s="184">
        <f>IFERROR(__xludf.DUMMYFUNCTION("IFERROR(lookup(9999999999,FILTER('Operações-BR'!Q:Q,'Operações-BR'!$C:$C=A197,'Operações-BR'!$A:$A&lt;=C197))/G197,0)"),0.0)</f>
        <v>0</v>
      </c>
      <c r="J197" s="185" t="str">
        <f>IFERROR(VLOOKUP(A197,Ativos!$A$1:$G2000,5,),"")</f>
        <v/>
      </c>
      <c r="K197" s="185" t="str">
        <f>IFERROR(VLOOKUP(A197,Ativos!A:H,8,),"")</f>
        <v/>
      </c>
      <c r="L197" s="186">
        <f t="shared" si="3"/>
        <v>0</v>
      </c>
    </row>
    <row r="198" ht="21.0" customHeight="1">
      <c r="A198" s="187"/>
      <c r="B198" s="187"/>
      <c r="C198" s="188"/>
      <c r="D198" s="188"/>
      <c r="E198" s="189"/>
      <c r="F198" s="182" t="str">
        <f t="shared" si="1"/>
        <v/>
      </c>
      <c r="G198" s="183">
        <f>IFERROR(__xludf.DUMMYFUNCTION("IFERROR(lookup(9999999999,FILTER('Operações-BR'!$M:$M,'Operações-BR'!$C:$C=A198,'Operações-BR'!$A:$A&lt;=C198)),0)"),0.0)</f>
        <v>0</v>
      </c>
      <c r="H198" s="184">
        <f t="shared" si="2"/>
        <v>0</v>
      </c>
      <c r="I198" s="184">
        <f>IFERROR(__xludf.DUMMYFUNCTION("IFERROR(lookup(9999999999,FILTER('Operações-BR'!Q:Q,'Operações-BR'!$C:$C=A198,'Operações-BR'!$A:$A&lt;=C198))/G198,0)"),0.0)</f>
        <v>0</v>
      </c>
      <c r="J198" s="185" t="str">
        <f>IFERROR(VLOOKUP(A198,Ativos!$A$1:$G2000,5,),"")</f>
        <v/>
      </c>
      <c r="K198" s="185" t="str">
        <f>IFERROR(VLOOKUP(A198,Ativos!A:H,8,),"")</f>
        <v/>
      </c>
      <c r="L198" s="186">
        <f t="shared" si="3"/>
        <v>0</v>
      </c>
    </row>
    <row r="199" ht="21.0" customHeight="1">
      <c r="A199" s="187"/>
      <c r="B199" s="187"/>
      <c r="C199" s="188"/>
      <c r="D199" s="188"/>
      <c r="E199" s="189"/>
      <c r="F199" s="182" t="str">
        <f t="shared" si="1"/>
        <v/>
      </c>
      <c r="G199" s="183">
        <f>IFERROR(__xludf.DUMMYFUNCTION("IFERROR(lookup(9999999999,FILTER('Operações-BR'!$M:$M,'Operações-BR'!$C:$C=A199,'Operações-BR'!$A:$A&lt;=C199)),0)"),0.0)</f>
        <v>0</v>
      </c>
      <c r="H199" s="184">
        <f t="shared" si="2"/>
        <v>0</v>
      </c>
      <c r="I199" s="184">
        <f>IFERROR(__xludf.DUMMYFUNCTION("IFERROR(lookup(9999999999,FILTER('Operações-BR'!Q:Q,'Operações-BR'!$C:$C=A199,'Operações-BR'!$A:$A&lt;=C199))/G199,0)"),0.0)</f>
        <v>0</v>
      </c>
      <c r="J199" s="185" t="str">
        <f>IFERROR(VLOOKUP(A199,Ativos!$A$1:$G2000,5,),"")</f>
        <v/>
      </c>
      <c r="K199" s="185" t="str">
        <f>IFERROR(VLOOKUP(A199,Ativos!A:H,8,),"")</f>
        <v/>
      </c>
      <c r="L199" s="186">
        <f t="shared" si="3"/>
        <v>0</v>
      </c>
    </row>
    <row r="200" ht="21.0" customHeight="1">
      <c r="A200" s="187"/>
      <c r="B200" s="187"/>
      <c r="C200" s="188"/>
      <c r="D200" s="188"/>
      <c r="E200" s="189"/>
      <c r="F200" s="182" t="str">
        <f t="shared" si="1"/>
        <v/>
      </c>
      <c r="G200" s="183">
        <f>IFERROR(__xludf.DUMMYFUNCTION("IFERROR(lookup(9999999999,FILTER('Operações-BR'!$M:$M,'Operações-BR'!$C:$C=A200,'Operações-BR'!$A:$A&lt;=C200)),0)"),0.0)</f>
        <v>0</v>
      </c>
      <c r="H200" s="184">
        <f t="shared" si="2"/>
        <v>0</v>
      </c>
      <c r="I200" s="184">
        <f>IFERROR(__xludf.DUMMYFUNCTION("IFERROR(lookup(9999999999,FILTER('Operações-BR'!Q:Q,'Operações-BR'!$C:$C=A200,'Operações-BR'!$A:$A&lt;=C200))/G200,0)"),0.0)</f>
        <v>0</v>
      </c>
      <c r="J200" s="185" t="str">
        <f>IFERROR(VLOOKUP(A200,Ativos!$A$1:$G2000,5,),"")</f>
        <v/>
      </c>
      <c r="K200" s="185" t="str">
        <f>IFERROR(VLOOKUP(A200,Ativos!A:H,8,),"")</f>
        <v/>
      </c>
      <c r="L200" s="186">
        <f t="shared" si="3"/>
        <v>0</v>
      </c>
    </row>
    <row r="201" ht="21.0" customHeight="1">
      <c r="A201" s="187"/>
      <c r="B201" s="187"/>
      <c r="C201" s="188"/>
      <c r="D201" s="188"/>
      <c r="E201" s="189"/>
      <c r="F201" s="182" t="str">
        <f t="shared" si="1"/>
        <v/>
      </c>
      <c r="G201" s="183">
        <f>IFERROR(__xludf.DUMMYFUNCTION("IFERROR(lookup(9999999999,FILTER('Operações-BR'!$M:$M,'Operações-BR'!$C:$C=A201,'Operações-BR'!$A:$A&lt;=C201)),0)"),0.0)</f>
        <v>0</v>
      </c>
      <c r="H201" s="184">
        <f t="shared" si="2"/>
        <v>0</v>
      </c>
      <c r="I201" s="184">
        <f>IFERROR(__xludf.DUMMYFUNCTION("IFERROR(lookup(9999999999,FILTER('Operações-BR'!Q:Q,'Operações-BR'!$C:$C=A201,'Operações-BR'!$A:$A&lt;=C201))/G201,0)"),0.0)</f>
        <v>0</v>
      </c>
      <c r="J201" s="185" t="str">
        <f>IFERROR(VLOOKUP(A201,Ativos!$A$1:$G2000,5,),"")</f>
        <v/>
      </c>
      <c r="K201" s="185" t="str">
        <f>IFERROR(VLOOKUP(A201,Ativos!A:H,8,),"")</f>
        <v/>
      </c>
      <c r="L201" s="186">
        <f t="shared" si="3"/>
        <v>0</v>
      </c>
    </row>
    <row r="202" ht="21.0" customHeight="1">
      <c r="A202" s="187"/>
      <c r="B202" s="187"/>
      <c r="C202" s="188"/>
      <c r="D202" s="188"/>
      <c r="E202" s="189"/>
      <c r="F202" s="182" t="str">
        <f t="shared" si="1"/>
        <v/>
      </c>
      <c r="G202" s="183">
        <f>IFERROR(__xludf.DUMMYFUNCTION("IFERROR(lookup(9999999999,FILTER('Operações-BR'!$M:$M,'Operações-BR'!$C:$C=A202,'Operações-BR'!$A:$A&lt;=C202)),0)"),0.0)</f>
        <v>0</v>
      </c>
      <c r="H202" s="184">
        <f t="shared" si="2"/>
        <v>0</v>
      </c>
      <c r="I202" s="184">
        <f>IFERROR(__xludf.DUMMYFUNCTION("IFERROR(lookup(9999999999,FILTER('Operações-BR'!Q:Q,'Operações-BR'!$C:$C=A202,'Operações-BR'!$A:$A&lt;=C202))/G202,0)"),0.0)</f>
        <v>0</v>
      </c>
      <c r="J202" s="185" t="str">
        <f>IFERROR(VLOOKUP(A202,Ativos!$A$1:$G2000,5,),"")</f>
        <v/>
      </c>
      <c r="K202" s="185" t="str">
        <f>IFERROR(VLOOKUP(A202,Ativos!A:H,8,),"")</f>
        <v/>
      </c>
      <c r="L202" s="186">
        <f t="shared" si="3"/>
        <v>0</v>
      </c>
    </row>
    <row r="203" ht="21.0" customHeight="1">
      <c r="A203" s="187"/>
      <c r="B203" s="187"/>
      <c r="C203" s="188"/>
      <c r="D203" s="188"/>
      <c r="E203" s="189"/>
      <c r="F203" s="182" t="str">
        <f t="shared" si="1"/>
        <v/>
      </c>
      <c r="G203" s="183">
        <f>IFERROR(__xludf.DUMMYFUNCTION("IFERROR(lookup(9999999999,FILTER('Operações-BR'!$M:$M,'Operações-BR'!$C:$C=A203,'Operações-BR'!$A:$A&lt;=C203)),0)"),0.0)</f>
        <v>0</v>
      </c>
      <c r="H203" s="184">
        <f t="shared" si="2"/>
        <v>0</v>
      </c>
      <c r="I203" s="184">
        <f>IFERROR(__xludf.DUMMYFUNCTION("IFERROR(lookup(9999999999,FILTER('Operações-BR'!Q:Q,'Operações-BR'!$C:$C=A203,'Operações-BR'!$A:$A&lt;=C203))/G203,0)"),0.0)</f>
        <v>0</v>
      </c>
      <c r="J203" s="185" t="str">
        <f>IFERROR(VLOOKUP(A203,Ativos!$A$1:$G2000,5,),"")</f>
        <v/>
      </c>
      <c r="K203" s="185" t="str">
        <f>IFERROR(VLOOKUP(A203,Ativos!A:H,8,),"")</f>
        <v/>
      </c>
      <c r="L203" s="186">
        <f t="shared" si="3"/>
        <v>0</v>
      </c>
    </row>
    <row r="204" ht="21.0" customHeight="1">
      <c r="A204" s="187"/>
      <c r="B204" s="187"/>
      <c r="C204" s="188"/>
      <c r="D204" s="188"/>
      <c r="E204" s="189"/>
      <c r="F204" s="182" t="str">
        <f t="shared" si="1"/>
        <v/>
      </c>
      <c r="G204" s="183">
        <f>IFERROR(__xludf.DUMMYFUNCTION("IFERROR(lookup(9999999999,FILTER('Operações-BR'!$M:$M,'Operações-BR'!$C:$C=A204,'Operações-BR'!$A:$A&lt;=C204)),0)"),0.0)</f>
        <v>0</v>
      </c>
      <c r="H204" s="184">
        <f t="shared" si="2"/>
        <v>0</v>
      </c>
      <c r="I204" s="184">
        <f>IFERROR(__xludf.DUMMYFUNCTION("IFERROR(lookup(9999999999,FILTER('Operações-BR'!Q:Q,'Operações-BR'!$C:$C=A204,'Operações-BR'!$A:$A&lt;=C204))/G204,0)"),0.0)</f>
        <v>0</v>
      </c>
      <c r="J204" s="185" t="str">
        <f>IFERROR(VLOOKUP(A204,Ativos!$A$1:$G2000,5,),"")</f>
        <v/>
      </c>
      <c r="K204" s="185" t="str">
        <f>IFERROR(VLOOKUP(A204,Ativos!A:H,8,),"")</f>
        <v/>
      </c>
      <c r="L204" s="186">
        <f t="shared" si="3"/>
        <v>0</v>
      </c>
    </row>
    <row r="205" ht="21.0" customHeight="1">
      <c r="A205" s="187"/>
      <c r="B205" s="187"/>
      <c r="C205" s="188"/>
      <c r="D205" s="188"/>
      <c r="E205" s="189"/>
      <c r="F205" s="182" t="str">
        <f t="shared" si="1"/>
        <v/>
      </c>
      <c r="G205" s="183">
        <f>IFERROR(__xludf.DUMMYFUNCTION("IFERROR(lookup(9999999999,FILTER('Operações-BR'!$M:$M,'Operações-BR'!$C:$C=A205,'Operações-BR'!$A:$A&lt;=C205)),0)"),0.0)</f>
        <v>0</v>
      </c>
      <c r="H205" s="184">
        <f t="shared" si="2"/>
        <v>0</v>
      </c>
      <c r="I205" s="184">
        <f>IFERROR(__xludf.DUMMYFUNCTION("IFERROR(lookup(9999999999,FILTER('Operações-BR'!Q:Q,'Operações-BR'!$C:$C=A205,'Operações-BR'!$A:$A&lt;=C205))/G205,0)"),0.0)</f>
        <v>0</v>
      </c>
      <c r="J205" s="185" t="str">
        <f>IFERROR(VLOOKUP(A205,Ativos!$A$1:$G2000,5,),"")</f>
        <v/>
      </c>
      <c r="K205" s="185" t="str">
        <f>IFERROR(VLOOKUP(A205,Ativos!A:H,8,),"")</f>
        <v/>
      </c>
      <c r="L205" s="186">
        <f t="shared" si="3"/>
        <v>0</v>
      </c>
    </row>
    <row r="206" ht="21.0" customHeight="1">
      <c r="A206" s="187"/>
      <c r="B206" s="187"/>
      <c r="C206" s="188"/>
      <c r="D206" s="196"/>
      <c r="E206" s="189"/>
      <c r="F206" s="182" t="str">
        <f t="shared" si="1"/>
        <v/>
      </c>
      <c r="G206" s="183">
        <f>IFERROR(__xludf.DUMMYFUNCTION("IFERROR(lookup(9999999999,FILTER('Operações-BR'!$M:$M,'Operações-BR'!$C:$C=A206,'Operações-BR'!$A:$A&lt;=C206)),0)"),0.0)</f>
        <v>0</v>
      </c>
      <c r="H206" s="184">
        <f t="shared" si="2"/>
        <v>0</v>
      </c>
      <c r="I206" s="184">
        <f>IFERROR(__xludf.DUMMYFUNCTION("IFERROR(lookup(9999999999,FILTER('Operações-BR'!Q:Q,'Operações-BR'!$C:$C=A206,'Operações-BR'!$A:$A&lt;=C206))/G206,0)"),0.0)</f>
        <v>0</v>
      </c>
      <c r="J206" s="185" t="str">
        <f>IFERROR(VLOOKUP(A206,Ativos!$A$1:$G2000,5,),"")</f>
        <v/>
      </c>
      <c r="K206" s="185" t="str">
        <f>IFERROR(VLOOKUP(A206,Ativos!A:H,8,),"")</f>
        <v/>
      </c>
      <c r="L206" s="186">
        <f t="shared" si="3"/>
        <v>0</v>
      </c>
    </row>
    <row r="207" ht="21.0" customHeight="1">
      <c r="A207" s="187"/>
      <c r="B207" s="187"/>
      <c r="C207" s="188"/>
      <c r="D207" s="196"/>
      <c r="E207" s="189"/>
      <c r="F207" s="182" t="str">
        <f t="shared" si="1"/>
        <v/>
      </c>
      <c r="G207" s="183">
        <f>IFERROR(__xludf.DUMMYFUNCTION("IFERROR(lookup(9999999999,FILTER('Operações-BR'!$M:$M,'Operações-BR'!$C:$C=A207,'Operações-BR'!$A:$A&lt;=C207)),0)"),0.0)</f>
        <v>0</v>
      </c>
      <c r="H207" s="184">
        <f t="shared" si="2"/>
        <v>0</v>
      </c>
      <c r="I207" s="184">
        <f>IFERROR(__xludf.DUMMYFUNCTION("IFERROR(lookup(9999999999,FILTER('Operações-BR'!Q:Q,'Operações-BR'!$C:$C=A207,'Operações-BR'!$A:$A&lt;=C207))/G207,0)"),0.0)</f>
        <v>0</v>
      </c>
      <c r="J207" s="185" t="str">
        <f>IFERROR(VLOOKUP(A207,Ativos!$A$1:$G2000,5,),"")</f>
        <v/>
      </c>
      <c r="K207" s="185" t="str">
        <f>IFERROR(VLOOKUP(A207,Ativos!A:H,8,),"")</f>
        <v/>
      </c>
      <c r="L207" s="186">
        <f t="shared" si="3"/>
        <v>0</v>
      </c>
    </row>
    <row r="208" ht="21.0" customHeight="1">
      <c r="A208" s="187"/>
      <c r="B208" s="187"/>
      <c r="C208" s="188"/>
      <c r="D208" s="196"/>
      <c r="E208" s="189"/>
      <c r="F208" s="182" t="str">
        <f t="shared" si="1"/>
        <v/>
      </c>
      <c r="G208" s="183">
        <f>IFERROR(__xludf.DUMMYFUNCTION("IFERROR(lookup(9999999999,FILTER('Operações-BR'!$M:$M,'Operações-BR'!$C:$C=A208,'Operações-BR'!$A:$A&lt;=C208)),0)"),0.0)</f>
        <v>0</v>
      </c>
      <c r="H208" s="184">
        <f t="shared" si="2"/>
        <v>0</v>
      </c>
      <c r="I208" s="184">
        <f>IFERROR(__xludf.DUMMYFUNCTION("IFERROR(lookup(9999999999,FILTER('Operações-BR'!Q:Q,'Operações-BR'!$C:$C=A208,'Operações-BR'!$A:$A&lt;=C208))/G208,0)"),0.0)</f>
        <v>0</v>
      </c>
      <c r="J208" s="185" t="str">
        <f>IFERROR(VLOOKUP(A208,Ativos!$A$1:$G2000,5,),"")</f>
        <v/>
      </c>
      <c r="K208" s="185" t="str">
        <f>IFERROR(VLOOKUP(A208,Ativos!A:H,8,),"")</f>
        <v/>
      </c>
      <c r="L208" s="186">
        <f t="shared" si="3"/>
        <v>0</v>
      </c>
    </row>
    <row r="209" ht="21.0" customHeight="1">
      <c r="A209" s="187"/>
      <c r="B209" s="187"/>
      <c r="C209" s="188"/>
      <c r="D209" s="196"/>
      <c r="E209" s="189"/>
      <c r="F209" s="182" t="str">
        <f t="shared" si="1"/>
        <v/>
      </c>
      <c r="G209" s="183">
        <f>IFERROR(__xludf.DUMMYFUNCTION("IFERROR(lookup(9999999999,FILTER('Operações-BR'!$M:$M,'Operações-BR'!$C:$C=A209,'Operações-BR'!$A:$A&lt;=C209)),0)"),0.0)</f>
        <v>0</v>
      </c>
      <c r="H209" s="184">
        <f t="shared" si="2"/>
        <v>0</v>
      </c>
      <c r="I209" s="184">
        <f>IFERROR(__xludf.DUMMYFUNCTION("IFERROR(lookup(9999999999,FILTER('Operações-BR'!Q:Q,'Operações-BR'!$C:$C=A209,'Operações-BR'!$A:$A&lt;=C209))/G209,0)"),0.0)</f>
        <v>0</v>
      </c>
      <c r="J209" s="185" t="str">
        <f>IFERROR(VLOOKUP(A209,Ativos!$A$1:$G2000,5,),"")</f>
        <v/>
      </c>
      <c r="K209" s="185" t="str">
        <f>IFERROR(VLOOKUP(A209,Ativos!A:H,8,),"")</f>
        <v/>
      </c>
      <c r="L209" s="186">
        <f t="shared" si="3"/>
        <v>0</v>
      </c>
    </row>
    <row r="210" ht="21.0" customHeight="1">
      <c r="A210" s="187"/>
      <c r="B210" s="187"/>
      <c r="C210" s="188"/>
      <c r="D210" s="195"/>
      <c r="E210" s="189"/>
      <c r="F210" s="182" t="str">
        <f t="shared" si="1"/>
        <v/>
      </c>
      <c r="G210" s="183">
        <f>IFERROR(__xludf.DUMMYFUNCTION("IFERROR(lookup(9999999999,FILTER('Operações-BR'!$M:$M,'Operações-BR'!$C:$C=A210,'Operações-BR'!$A:$A&lt;=C210)),0)"),0.0)</f>
        <v>0</v>
      </c>
      <c r="H210" s="184">
        <f t="shared" si="2"/>
        <v>0</v>
      </c>
      <c r="I210" s="184">
        <f>IFERROR(__xludf.DUMMYFUNCTION("IFERROR(lookup(9999999999,FILTER('Operações-BR'!Q:Q,'Operações-BR'!$C:$C=A210,'Operações-BR'!$A:$A&lt;=C210))/G210,0)"),0.0)</f>
        <v>0</v>
      </c>
      <c r="J210" s="185" t="str">
        <f>IFERROR(VLOOKUP(A210,Ativos!$A$1:$G2000,5,),"")</f>
        <v/>
      </c>
      <c r="K210" s="185" t="str">
        <f>IFERROR(VLOOKUP(A210,Ativos!A:H,8,),"")</f>
        <v/>
      </c>
      <c r="L210" s="186">
        <f t="shared" si="3"/>
        <v>0</v>
      </c>
    </row>
    <row r="211" ht="21.0" customHeight="1">
      <c r="A211" s="187"/>
      <c r="B211" s="187"/>
      <c r="C211" s="188"/>
      <c r="D211" s="188"/>
      <c r="E211" s="189"/>
      <c r="F211" s="182" t="str">
        <f t="shared" si="1"/>
        <v/>
      </c>
      <c r="G211" s="183">
        <f>IFERROR(__xludf.DUMMYFUNCTION("IFERROR(lookup(9999999999,FILTER('Operações-BR'!$M:$M,'Operações-BR'!$C:$C=A211,'Operações-BR'!$A:$A&lt;=C211)),0)"),0.0)</f>
        <v>0</v>
      </c>
      <c r="H211" s="184">
        <f t="shared" si="2"/>
        <v>0</v>
      </c>
      <c r="I211" s="184">
        <f>IFERROR(__xludf.DUMMYFUNCTION("IFERROR(lookup(9999999999,FILTER('Operações-BR'!Q:Q,'Operações-BR'!$C:$C=A211,'Operações-BR'!$A:$A&lt;=C211))/G211,0)"),0.0)</f>
        <v>0</v>
      </c>
      <c r="J211" s="185" t="str">
        <f>IFERROR(VLOOKUP(A211,Ativos!$A$1:$G2000,5,),"")</f>
        <v/>
      </c>
      <c r="K211" s="185" t="str">
        <f>IFERROR(VLOOKUP(A211,Ativos!A:H,8,),"")</f>
        <v/>
      </c>
      <c r="L211" s="186">
        <f t="shared" si="3"/>
        <v>0</v>
      </c>
    </row>
    <row r="212" ht="21.0" customHeight="1">
      <c r="A212" s="187"/>
      <c r="B212" s="187"/>
      <c r="C212" s="188"/>
      <c r="D212" s="196"/>
      <c r="E212" s="189"/>
      <c r="F212" s="182" t="str">
        <f t="shared" si="1"/>
        <v/>
      </c>
      <c r="G212" s="183">
        <f>IFERROR(__xludf.DUMMYFUNCTION("IFERROR(lookup(9999999999,FILTER('Operações-BR'!$M:$M,'Operações-BR'!$C:$C=A212,'Operações-BR'!$A:$A&lt;=C212)),0)"),0.0)</f>
        <v>0</v>
      </c>
      <c r="H212" s="184">
        <f t="shared" si="2"/>
        <v>0</v>
      </c>
      <c r="I212" s="184">
        <f>IFERROR(__xludf.DUMMYFUNCTION("IFERROR(lookup(9999999999,FILTER('Operações-BR'!Q:Q,'Operações-BR'!$C:$C=A212,'Operações-BR'!$A:$A&lt;=C212))/G212,0)"),0.0)</f>
        <v>0</v>
      </c>
      <c r="J212" s="185" t="str">
        <f>IFERROR(VLOOKUP(A212,Ativos!$A$1:$G2000,5,),"")</f>
        <v/>
      </c>
      <c r="K212" s="185" t="str">
        <f>IFERROR(VLOOKUP(A212,Ativos!A:H,8,),"")</f>
        <v/>
      </c>
      <c r="L212" s="186">
        <f t="shared" si="3"/>
        <v>0</v>
      </c>
    </row>
    <row r="213" ht="21.0" customHeight="1">
      <c r="A213" s="187"/>
      <c r="B213" s="187"/>
      <c r="C213" s="188"/>
      <c r="D213" s="188"/>
      <c r="E213" s="189"/>
      <c r="F213" s="182" t="str">
        <f t="shared" si="1"/>
        <v/>
      </c>
      <c r="G213" s="183">
        <f>IFERROR(__xludf.DUMMYFUNCTION("IFERROR(lookup(9999999999,FILTER('Operações-BR'!$M:$M,'Operações-BR'!$C:$C=A213,'Operações-BR'!$A:$A&lt;=C213)),0)"),0.0)</f>
        <v>0</v>
      </c>
      <c r="H213" s="184">
        <f t="shared" si="2"/>
        <v>0</v>
      </c>
      <c r="I213" s="184">
        <f>IFERROR(__xludf.DUMMYFUNCTION("IFERROR(lookup(9999999999,FILTER('Operações-BR'!Q:Q,'Operações-BR'!$C:$C=A213,'Operações-BR'!$A:$A&lt;=C213))/G213,0)"),0.0)</f>
        <v>0</v>
      </c>
      <c r="J213" s="185" t="str">
        <f>IFERROR(VLOOKUP(A213,Ativos!$A$1:$G2000,5,),"")</f>
        <v/>
      </c>
      <c r="K213" s="185" t="str">
        <f>IFERROR(VLOOKUP(A213,Ativos!A:H,8,),"")</f>
        <v/>
      </c>
      <c r="L213" s="186">
        <f t="shared" si="3"/>
        <v>0</v>
      </c>
    </row>
    <row r="214" ht="21.0" customHeight="1">
      <c r="A214" s="187"/>
      <c r="B214" s="187"/>
      <c r="C214" s="188"/>
      <c r="D214" s="188"/>
      <c r="E214" s="189"/>
      <c r="F214" s="182" t="str">
        <f t="shared" si="1"/>
        <v/>
      </c>
      <c r="G214" s="183">
        <f>IFERROR(__xludf.DUMMYFUNCTION("IFERROR(lookup(9999999999,FILTER('Operações-BR'!$M:$M,'Operações-BR'!$C:$C=A214,'Operações-BR'!$A:$A&lt;=C214)),0)"),0.0)</f>
        <v>0</v>
      </c>
      <c r="H214" s="184">
        <f t="shared" si="2"/>
        <v>0</v>
      </c>
      <c r="I214" s="184">
        <f>IFERROR(__xludf.DUMMYFUNCTION("IFERROR(lookup(9999999999,FILTER('Operações-BR'!Q:Q,'Operações-BR'!$C:$C=A214,'Operações-BR'!$A:$A&lt;=C214))/G214,0)"),0.0)</f>
        <v>0</v>
      </c>
      <c r="J214" s="185" t="str">
        <f>IFERROR(VLOOKUP(A214,Ativos!$A$1:$G2000,5,),"")</f>
        <v/>
      </c>
      <c r="K214" s="185" t="str">
        <f>IFERROR(VLOOKUP(A214,Ativos!A:H,8,),"")</f>
        <v/>
      </c>
      <c r="L214" s="186">
        <f t="shared" si="3"/>
        <v>0</v>
      </c>
    </row>
    <row r="215" ht="21.0" customHeight="1">
      <c r="A215" s="187"/>
      <c r="B215" s="187"/>
      <c r="C215" s="188"/>
      <c r="D215" s="195"/>
      <c r="E215" s="189"/>
      <c r="F215" s="182" t="str">
        <f t="shared" si="1"/>
        <v/>
      </c>
      <c r="G215" s="183">
        <f>IFERROR(__xludf.DUMMYFUNCTION("IFERROR(lookup(9999999999,FILTER('Operações-BR'!$M:$M,'Operações-BR'!$C:$C=A215,'Operações-BR'!$A:$A&lt;=C215)),0)"),0.0)</f>
        <v>0</v>
      </c>
      <c r="H215" s="184">
        <f t="shared" si="2"/>
        <v>0</v>
      </c>
      <c r="I215" s="184">
        <f>IFERROR(__xludf.DUMMYFUNCTION("IFERROR(lookup(9999999999,FILTER('Operações-BR'!Q:Q,'Operações-BR'!$C:$C=A215,'Operações-BR'!$A:$A&lt;=C215))/G215,0)"),0.0)</f>
        <v>0</v>
      </c>
      <c r="J215" s="185" t="str">
        <f>IFERROR(VLOOKUP(A215,Ativos!$A$1:$G2000,5,),"")</f>
        <v/>
      </c>
      <c r="K215" s="185" t="str">
        <f>IFERROR(VLOOKUP(A215,Ativos!A:H,8,),"")</f>
        <v/>
      </c>
      <c r="L215" s="186">
        <f t="shared" si="3"/>
        <v>0</v>
      </c>
    </row>
    <row r="216" ht="21.0" customHeight="1">
      <c r="A216" s="187"/>
      <c r="B216" s="187"/>
      <c r="C216" s="188"/>
      <c r="D216" s="196"/>
      <c r="E216" s="189"/>
      <c r="F216" s="182" t="str">
        <f t="shared" si="1"/>
        <v/>
      </c>
      <c r="G216" s="183">
        <f>IFERROR(__xludf.DUMMYFUNCTION("IFERROR(lookup(9999999999,FILTER('Operações-BR'!$M:$M,'Operações-BR'!$C:$C=A216,'Operações-BR'!$A:$A&lt;=C216)),0)"),0.0)</f>
        <v>0</v>
      </c>
      <c r="H216" s="184">
        <f t="shared" si="2"/>
        <v>0</v>
      </c>
      <c r="I216" s="184">
        <f>IFERROR(__xludf.DUMMYFUNCTION("IFERROR(lookup(9999999999,FILTER('Operações-BR'!Q:Q,'Operações-BR'!$C:$C=A216,'Operações-BR'!$A:$A&lt;=C216))/G216,0)"),0.0)</f>
        <v>0</v>
      </c>
      <c r="J216" s="185" t="str">
        <f>IFERROR(VLOOKUP(A216,Ativos!$A$1:$G2000,5,),"")</f>
        <v/>
      </c>
      <c r="K216" s="185" t="str">
        <f>IFERROR(VLOOKUP(A216,Ativos!A:H,8,),"")</f>
        <v/>
      </c>
      <c r="L216" s="186">
        <f t="shared" si="3"/>
        <v>0</v>
      </c>
    </row>
    <row r="217" ht="21.0" customHeight="1">
      <c r="A217" s="187"/>
      <c r="B217" s="187"/>
      <c r="C217" s="188"/>
      <c r="D217" s="196"/>
      <c r="E217" s="189"/>
      <c r="F217" s="182" t="str">
        <f t="shared" si="1"/>
        <v/>
      </c>
      <c r="G217" s="183">
        <f>IFERROR(__xludf.DUMMYFUNCTION("IFERROR(lookup(9999999999,FILTER('Operações-BR'!$M:$M,'Operações-BR'!$C:$C=A217,'Operações-BR'!$A:$A&lt;=C217)),0)"),0.0)</f>
        <v>0</v>
      </c>
      <c r="H217" s="184">
        <f t="shared" si="2"/>
        <v>0</v>
      </c>
      <c r="I217" s="184">
        <f>IFERROR(__xludf.DUMMYFUNCTION("IFERROR(lookup(9999999999,FILTER('Operações-BR'!Q:Q,'Operações-BR'!$C:$C=A217,'Operações-BR'!$A:$A&lt;=C217))/G217,0)"),0.0)</f>
        <v>0</v>
      </c>
      <c r="J217" s="185" t="str">
        <f>IFERROR(VLOOKUP(A217,Ativos!$A$1:$G2000,5,),"")</f>
        <v/>
      </c>
      <c r="K217" s="185" t="str">
        <f>IFERROR(VLOOKUP(A217,Ativos!A:H,8,),"")</f>
        <v/>
      </c>
      <c r="L217" s="186">
        <f t="shared" si="3"/>
        <v>0</v>
      </c>
    </row>
    <row r="218" ht="21.0" customHeight="1">
      <c r="A218" s="187"/>
      <c r="B218" s="187"/>
      <c r="C218" s="188"/>
      <c r="D218" s="196"/>
      <c r="E218" s="189"/>
      <c r="F218" s="182" t="str">
        <f t="shared" si="1"/>
        <v/>
      </c>
      <c r="G218" s="183">
        <f>IFERROR(__xludf.DUMMYFUNCTION("IFERROR(lookup(9999999999,FILTER('Operações-BR'!$M:$M,'Operações-BR'!$C:$C=A218,'Operações-BR'!$A:$A&lt;=C218)),0)"),0.0)</f>
        <v>0</v>
      </c>
      <c r="H218" s="184">
        <f t="shared" si="2"/>
        <v>0</v>
      </c>
      <c r="I218" s="184">
        <f>IFERROR(__xludf.DUMMYFUNCTION("IFERROR(lookup(9999999999,FILTER('Operações-BR'!Q:Q,'Operações-BR'!$C:$C=A218,'Operações-BR'!$A:$A&lt;=C218))/G218,0)"),0.0)</f>
        <v>0</v>
      </c>
      <c r="J218" s="185" t="str">
        <f>IFERROR(VLOOKUP(A218,Ativos!$A$1:$G2000,5,),"")</f>
        <v/>
      </c>
      <c r="K218" s="185" t="str">
        <f>IFERROR(VLOOKUP(A218,Ativos!A:H,8,),"")</f>
        <v/>
      </c>
      <c r="L218" s="186">
        <f t="shared" si="3"/>
        <v>0</v>
      </c>
    </row>
    <row r="219" ht="21.0" customHeight="1">
      <c r="A219" s="187"/>
      <c r="B219" s="187"/>
      <c r="C219" s="188"/>
      <c r="D219" s="197"/>
      <c r="E219" s="189"/>
      <c r="F219" s="182" t="str">
        <f t="shared" si="1"/>
        <v/>
      </c>
      <c r="G219" s="183">
        <f>IFERROR(__xludf.DUMMYFUNCTION("IFERROR(lookup(9999999999,FILTER('Operações-BR'!$M:$M,'Operações-BR'!$C:$C=A219,'Operações-BR'!$A:$A&lt;=C219)),0)"),0.0)</f>
        <v>0</v>
      </c>
      <c r="H219" s="184">
        <f t="shared" si="2"/>
        <v>0</v>
      </c>
      <c r="I219" s="184">
        <f>IFERROR(__xludf.DUMMYFUNCTION("IFERROR(lookup(9999999999,FILTER('Operações-BR'!Q:Q,'Operações-BR'!$C:$C=A219,'Operações-BR'!$A:$A&lt;=C219))/G219,0)"),0.0)</f>
        <v>0</v>
      </c>
      <c r="J219" s="185" t="str">
        <f>IFERROR(VLOOKUP(A219,Ativos!$A$1:$G2000,5,),"")</f>
        <v/>
      </c>
      <c r="K219" s="185" t="str">
        <f>IFERROR(VLOOKUP(A219,Ativos!A:H,8,),"")</f>
        <v/>
      </c>
      <c r="L219" s="186">
        <f t="shared" si="3"/>
        <v>0</v>
      </c>
    </row>
    <row r="220" ht="21.0" customHeight="1">
      <c r="A220" s="187"/>
      <c r="B220" s="187"/>
      <c r="C220" s="188"/>
      <c r="D220" s="188"/>
      <c r="E220" s="189"/>
      <c r="F220" s="182" t="str">
        <f t="shared" si="1"/>
        <v/>
      </c>
      <c r="G220" s="183">
        <f>IFERROR(__xludf.DUMMYFUNCTION("IFERROR(lookup(9999999999,FILTER('Operações-BR'!$M:$M,'Operações-BR'!$C:$C=A220,'Operações-BR'!$A:$A&lt;=C220)),0)"),0.0)</f>
        <v>0</v>
      </c>
      <c r="H220" s="184">
        <f t="shared" si="2"/>
        <v>0</v>
      </c>
      <c r="I220" s="184">
        <f>IFERROR(__xludf.DUMMYFUNCTION("IFERROR(lookup(9999999999,FILTER('Operações-BR'!Q:Q,'Operações-BR'!$C:$C=A220,'Operações-BR'!$A:$A&lt;=C220))/G220,0)"),0.0)</f>
        <v>0</v>
      </c>
      <c r="J220" s="185" t="str">
        <f>IFERROR(VLOOKUP(A220,Ativos!$A$1:$G2000,5,),"")</f>
        <v/>
      </c>
      <c r="K220" s="185" t="str">
        <f>IFERROR(VLOOKUP(A220,Ativos!A:H,8,),"")</f>
        <v/>
      </c>
      <c r="L220" s="186">
        <f t="shared" si="3"/>
        <v>0</v>
      </c>
    </row>
    <row r="221" ht="21.0" customHeight="1">
      <c r="A221" s="187"/>
      <c r="B221" s="187"/>
      <c r="C221" s="188"/>
      <c r="D221" s="196"/>
      <c r="E221" s="189"/>
      <c r="F221" s="182" t="str">
        <f t="shared" si="1"/>
        <v/>
      </c>
      <c r="G221" s="183">
        <f>IFERROR(__xludf.DUMMYFUNCTION("IFERROR(lookup(9999999999,FILTER('Operações-BR'!$M:$M,'Operações-BR'!$C:$C=A221,'Operações-BR'!$A:$A&lt;=C221)),0)"),0.0)</f>
        <v>0</v>
      </c>
      <c r="H221" s="184">
        <f t="shared" si="2"/>
        <v>0</v>
      </c>
      <c r="I221" s="184">
        <f>IFERROR(__xludf.DUMMYFUNCTION("IFERROR(lookup(9999999999,FILTER('Operações-BR'!Q:Q,'Operações-BR'!$C:$C=A221,'Operações-BR'!$A:$A&lt;=C221))/G221,0)"),0.0)</f>
        <v>0</v>
      </c>
      <c r="J221" s="185" t="str">
        <f>IFERROR(VLOOKUP(A221,Ativos!$A$1:$G2000,5,),"")</f>
        <v/>
      </c>
      <c r="K221" s="185" t="str">
        <f>IFERROR(VLOOKUP(A221,Ativos!A:H,8,),"")</f>
        <v/>
      </c>
      <c r="L221" s="186">
        <f t="shared" si="3"/>
        <v>0</v>
      </c>
    </row>
    <row r="222" ht="21.0" customHeight="1">
      <c r="A222" s="187"/>
      <c r="B222" s="187"/>
      <c r="C222" s="188"/>
      <c r="D222" s="196"/>
      <c r="E222" s="189"/>
      <c r="F222" s="182" t="str">
        <f t="shared" si="1"/>
        <v/>
      </c>
      <c r="G222" s="183">
        <f>IFERROR(__xludf.DUMMYFUNCTION("IFERROR(lookup(9999999999,FILTER('Operações-BR'!$M:$M,'Operações-BR'!$C:$C=A222,'Operações-BR'!$A:$A&lt;=C222)),0)"),0.0)</f>
        <v>0</v>
      </c>
      <c r="H222" s="184">
        <f t="shared" si="2"/>
        <v>0</v>
      </c>
      <c r="I222" s="184">
        <f>IFERROR(__xludf.DUMMYFUNCTION("IFERROR(lookup(9999999999,FILTER('Operações-BR'!Q:Q,'Operações-BR'!$C:$C=A222,'Operações-BR'!$A:$A&lt;=C222))/G222,0)"),0.0)</f>
        <v>0</v>
      </c>
      <c r="J222" s="185" t="str">
        <f>IFERROR(VLOOKUP(A222,Ativos!$A$1:$G2000,5,),"")</f>
        <v/>
      </c>
      <c r="K222" s="185" t="str">
        <f>IFERROR(VLOOKUP(A222,Ativos!A:H,8,),"")</f>
        <v/>
      </c>
      <c r="L222" s="186">
        <f t="shared" si="3"/>
        <v>0</v>
      </c>
    </row>
    <row r="223" ht="21.0" customHeight="1">
      <c r="A223" s="187"/>
      <c r="B223" s="187"/>
      <c r="C223" s="188"/>
      <c r="D223" s="188"/>
      <c r="E223" s="189"/>
      <c r="F223" s="182" t="str">
        <f t="shared" si="1"/>
        <v/>
      </c>
      <c r="G223" s="183">
        <f>IFERROR(__xludf.DUMMYFUNCTION("IFERROR(lookup(9999999999,FILTER('Operações-BR'!$M:$M,'Operações-BR'!$C:$C=A223,'Operações-BR'!$A:$A&lt;=C223)),0)"),0.0)</f>
        <v>0</v>
      </c>
      <c r="H223" s="184">
        <f t="shared" si="2"/>
        <v>0</v>
      </c>
      <c r="I223" s="184">
        <f>IFERROR(__xludf.DUMMYFUNCTION("IFERROR(lookup(9999999999,FILTER('Operações-BR'!Q:Q,'Operações-BR'!$C:$C=A223,'Operações-BR'!$A:$A&lt;=C223))/G223,0)"),0.0)</f>
        <v>0</v>
      </c>
      <c r="J223" s="185" t="str">
        <f>IFERROR(VLOOKUP(A223,Ativos!$A$1:$G2000,5,),"")</f>
        <v/>
      </c>
      <c r="K223" s="185" t="str">
        <f>IFERROR(VLOOKUP(A223,Ativos!A:H,8,),"")</f>
        <v/>
      </c>
      <c r="L223" s="186">
        <f t="shared" si="3"/>
        <v>0</v>
      </c>
    </row>
    <row r="224" ht="21.0" customHeight="1">
      <c r="A224" s="187"/>
      <c r="B224" s="187"/>
      <c r="C224" s="188"/>
      <c r="D224" s="188"/>
      <c r="E224" s="189"/>
      <c r="F224" s="182" t="str">
        <f t="shared" si="1"/>
        <v/>
      </c>
      <c r="G224" s="183">
        <f>IFERROR(__xludf.DUMMYFUNCTION("IFERROR(lookup(9999999999,FILTER('Operações-BR'!$M:$M,'Operações-BR'!$C:$C=A224,'Operações-BR'!$A:$A&lt;=C224)),0)"),0.0)</f>
        <v>0</v>
      </c>
      <c r="H224" s="184">
        <f t="shared" si="2"/>
        <v>0</v>
      </c>
      <c r="I224" s="184">
        <f>IFERROR(__xludf.DUMMYFUNCTION("IFERROR(lookup(9999999999,FILTER('Operações-BR'!Q:Q,'Operações-BR'!$C:$C=A224,'Operações-BR'!$A:$A&lt;=C224))/G224,0)"),0.0)</f>
        <v>0</v>
      </c>
      <c r="J224" s="185" t="str">
        <f>IFERROR(VLOOKUP(A224,Ativos!$A$1:$G2000,5,),"")</f>
        <v/>
      </c>
      <c r="K224" s="185" t="str">
        <f>IFERROR(VLOOKUP(A224,Ativos!A:H,8,),"")</f>
        <v/>
      </c>
      <c r="L224" s="186">
        <f t="shared" si="3"/>
        <v>0</v>
      </c>
    </row>
    <row r="225" ht="21.0" customHeight="1">
      <c r="A225" s="187"/>
      <c r="B225" s="187"/>
      <c r="C225" s="188"/>
      <c r="D225" s="188"/>
      <c r="E225" s="189"/>
      <c r="F225" s="182" t="str">
        <f t="shared" si="1"/>
        <v/>
      </c>
      <c r="G225" s="183">
        <f>IFERROR(__xludf.DUMMYFUNCTION("IFERROR(lookup(9999999999,FILTER('Operações-BR'!$M:$M,'Operações-BR'!$C:$C=A225,'Operações-BR'!$A:$A&lt;=C225)),0)"),0.0)</f>
        <v>0</v>
      </c>
      <c r="H225" s="184">
        <f t="shared" si="2"/>
        <v>0</v>
      </c>
      <c r="I225" s="184">
        <f>IFERROR(__xludf.DUMMYFUNCTION("IFERROR(lookup(9999999999,FILTER('Operações-BR'!Q:Q,'Operações-BR'!$C:$C=A225,'Operações-BR'!$A:$A&lt;=C225))/G225,0)"),0.0)</f>
        <v>0</v>
      </c>
      <c r="J225" s="185" t="str">
        <f>IFERROR(VLOOKUP(A225,Ativos!$A$1:$G2000,5,),"")</f>
        <v/>
      </c>
      <c r="K225" s="185" t="str">
        <f>IFERROR(VLOOKUP(A225,Ativos!A:H,8,),"")</f>
        <v/>
      </c>
      <c r="L225" s="186">
        <f t="shared" si="3"/>
        <v>0</v>
      </c>
    </row>
    <row r="226" ht="21.0" customHeight="1">
      <c r="A226" s="187"/>
      <c r="B226" s="187"/>
      <c r="C226" s="195"/>
      <c r="D226" s="195"/>
      <c r="E226" s="189"/>
      <c r="F226" s="182" t="str">
        <f t="shared" si="1"/>
        <v/>
      </c>
      <c r="G226" s="183">
        <f>IFERROR(__xludf.DUMMYFUNCTION("IFERROR(lookup(9999999999,FILTER('Operações-BR'!$M:$M,'Operações-BR'!$C:$C=A226,'Operações-BR'!$A:$A&lt;=C226)),0)"),0.0)</f>
        <v>0</v>
      </c>
      <c r="H226" s="184">
        <f t="shared" si="2"/>
        <v>0</v>
      </c>
      <c r="I226" s="184">
        <f>IFERROR(__xludf.DUMMYFUNCTION("IFERROR(lookup(9999999999,FILTER('Operações-BR'!Q:Q,'Operações-BR'!$C:$C=A226,'Operações-BR'!$A:$A&lt;=C226))/G226,0)"),0.0)</f>
        <v>0</v>
      </c>
      <c r="J226" s="185" t="str">
        <f>IFERROR(VLOOKUP(A226,Ativos!$A$1:$G2000,5,),"")</f>
        <v/>
      </c>
      <c r="K226" s="185" t="str">
        <f>IFERROR(VLOOKUP(A226,Ativos!A:H,8,),"")</f>
        <v/>
      </c>
      <c r="L226" s="186">
        <f t="shared" si="3"/>
        <v>0</v>
      </c>
    </row>
    <row r="227" ht="21.0" customHeight="1">
      <c r="A227" s="187"/>
      <c r="B227" s="187"/>
      <c r="C227" s="188"/>
      <c r="D227" s="188"/>
      <c r="E227" s="189"/>
      <c r="F227" s="182" t="str">
        <f t="shared" si="1"/>
        <v/>
      </c>
      <c r="G227" s="183">
        <f>IFERROR(__xludf.DUMMYFUNCTION("IFERROR(lookup(9999999999,FILTER('Operações-BR'!$M:$M,'Operações-BR'!$C:$C=A227,'Operações-BR'!$A:$A&lt;=C227)),0)"),0.0)</f>
        <v>0</v>
      </c>
      <c r="H227" s="184">
        <f t="shared" si="2"/>
        <v>0</v>
      </c>
      <c r="I227" s="184">
        <f>IFERROR(__xludf.DUMMYFUNCTION("IFERROR(lookup(9999999999,FILTER('Operações-BR'!Q:Q,'Operações-BR'!$C:$C=A227,'Operações-BR'!$A:$A&lt;=C227))/G227,0)"),0.0)</f>
        <v>0</v>
      </c>
      <c r="J227" s="185" t="str">
        <f>IFERROR(VLOOKUP(A227,Ativos!$A$1:$G2000,5,),"")</f>
        <v/>
      </c>
      <c r="K227" s="185" t="str">
        <f>IFERROR(VLOOKUP(A227,Ativos!A:H,8,),"")</f>
        <v/>
      </c>
      <c r="L227" s="186">
        <f t="shared" si="3"/>
        <v>0</v>
      </c>
    </row>
    <row r="228" ht="21.0" customHeight="1">
      <c r="A228" s="187"/>
      <c r="B228" s="187"/>
      <c r="C228" s="188"/>
      <c r="D228" s="195"/>
      <c r="E228" s="189"/>
      <c r="F228" s="182" t="str">
        <f t="shared" si="1"/>
        <v/>
      </c>
      <c r="G228" s="183">
        <f>IFERROR(__xludf.DUMMYFUNCTION("IFERROR(lookup(9999999999,FILTER('Operações-BR'!$M:$M,'Operações-BR'!$C:$C=A228,'Operações-BR'!$A:$A&lt;=C228)),0)"),0.0)</f>
        <v>0</v>
      </c>
      <c r="H228" s="184">
        <f t="shared" si="2"/>
        <v>0</v>
      </c>
      <c r="I228" s="184">
        <f>IFERROR(__xludf.DUMMYFUNCTION("IFERROR(lookup(9999999999,FILTER('Operações-BR'!Q:Q,'Operações-BR'!$C:$C=A228,'Operações-BR'!$A:$A&lt;=C228))/G228,0)"),0.0)</f>
        <v>0</v>
      </c>
      <c r="J228" s="185" t="str">
        <f>IFERROR(VLOOKUP(A228,Ativos!$A$1:$G2000,5,),"")</f>
        <v/>
      </c>
      <c r="K228" s="185" t="str">
        <f>IFERROR(VLOOKUP(A228,Ativos!A:H,8,),"")</f>
        <v/>
      </c>
      <c r="L228" s="186">
        <f t="shared" si="3"/>
        <v>0</v>
      </c>
    </row>
    <row r="229" ht="21.0" customHeight="1">
      <c r="A229" s="187"/>
      <c r="B229" s="187"/>
      <c r="C229" s="188"/>
      <c r="D229" s="195"/>
      <c r="E229" s="189"/>
      <c r="F229" s="182" t="str">
        <f t="shared" si="1"/>
        <v/>
      </c>
      <c r="G229" s="183">
        <f>IFERROR(__xludf.DUMMYFUNCTION("IFERROR(lookup(9999999999,FILTER('Operações-BR'!$M:$M,'Operações-BR'!$C:$C=A229,'Operações-BR'!$A:$A&lt;=C229)),0)"),0.0)</f>
        <v>0</v>
      </c>
      <c r="H229" s="184">
        <f t="shared" si="2"/>
        <v>0</v>
      </c>
      <c r="I229" s="184">
        <f>IFERROR(__xludf.DUMMYFUNCTION("IFERROR(lookup(9999999999,FILTER('Operações-BR'!Q:Q,'Operações-BR'!$C:$C=A229,'Operações-BR'!$A:$A&lt;=C229))/G229,0)"),0.0)</f>
        <v>0</v>
      </c>
      <c r="J229" s="185" t="str">
        <f>IFERROR(VLOOKUP(A229,Ativos!$A$1:$G2000,5,),"")</f>
        <v/>
      </c>
      <c r="K229" s="185" t="str">
        <f>IFERROR(VLOOKUP(A229,Ativos!A:H,8,),"")</f>
        <v/>
      </c>
      <c r="L229" s="186">
        <f t="shared" si="3"/>
        <v>0</v>
      </c>
    </row>
    <row r="230" ht="21.0" customHeight="1">
      <c r="A230" s="187"/>
      <c r="B230" s="187"/>
      <c r="C230" s="188"/>
      <c r="D230" s="188"/>
      <c r="E230" s="189"/>
      <c r="F230" s="182" t="str">
        <f t="shared" si="1"/>
        <v/>
      </c>
      <c r="G230" s="183">
        <f>IFERROR(__xludf.DUMMYFUNCTION("IFERROR(lookup(9999999999,FILTER('Operações-BR'!$M:$M,'Operações-BR'!$C:$C=A230,'Operações-BR'!$A:$A&lt;=C230)),0)"),0.0)</f>
        <v>0</v>
      </c>
      <c r="H230" s="184">
        <f t="shared" si="2"/>
        <v>0</v>
      </c>
      <c r="I230" s="184">
        <f>IFERROR(__xludf.DUMMYFUNCTION("IFERROR(lookup(9999999999,FILTER('Operações-BR'!Q:Q,'Operações-BR'!$C:$C=A230,'Operações-BR'!$A:$A&lt;=C230))/G230,0)"),0.0)</f>
        <v>0</v>
      </c>
      <c r="J230" s="185" t="str">
        <f>IFERROR(VLOOKUP(A230,Ativos!$A$1:$G2000,5,),"")</f>
        <v/>
      </c>
      <c r="K230" s="185" t="str">
        <f>IFERROR(VLOOKUP(A230,Ativos!A:H,8,),"")</f>
        <v/>
      </c>
      <c r="L230" s="186">
        <f t="shared" si="3"/>
        <v>0</v>
      </c>
    </row>
    <row r="231" ht="21.0" customHeight="1">
      <c r="A231" s="187"/>
      <c r="B231" s="187"/>
      <c r="C231" s="188"/>
      <c r="D231" s="195"/>
      <c r="E231" s="189"/>
      <c r="F231" s="182" t="str">
        <f t="shared" si="1"/>
        <v/>
      </c>
      <c r="G231" s="183">
        <f>IFERROR(__xludf.DUMMYFUNCTION("IFERROR(lookup(9999999999,FILTER('Operações-BR'!$M:$M,'Operações-BR'!$C:$C=A231,'Operações-BR'!$A:$A&lt;=C231)),0)"),0.0)</f>
        <v>0</v>
      </c>
      <c r="H231" s="184">
        <f t="shared" si="2"/>
        <v>0</v>
      </c>
      <c r="I231" s="184">
        <f>IFERROR(__xludf.DUMMYFUNCTION("IFERROR(lookup(9999999999,FILTER('Operações-BR'!Q:Q,'Operações-BR'!$C:$C=A231,'Operações-BR'!$A:$A&lt;=C231))/G231,0)"),0.0)</f>
        <v>0</v>
      </c>
      <c r="J231" s="185" t="str">
        <f>IFERROR(VLOOKUP(A231,Ativos!$A$1:$G2000,5,),"")</f>
        <v/>
      </c>
      <c r="K231" s="185" t="str">
        <f>IFERROR(VLOOKUP(A231,Ativos!A:H,8,),"")</f>
        <v/>
      </c>
      <c r="L231" s="186">
        <f t="shared" si="3"/>
        <v>0</v>
      </c>
    </row>
    <row r="232" ht="21.0" customHeight="1">
      <c r="A232" s="187"/>
      <c r="B232" s="187"/>
      <c r="C232" s="188"/>
      <c r="D232" s="195"/>
      <c r="E232" s="189"/>
      <c r="F232" s="182" t="str">
        <f t="shared" si="1"/>
        <v/>
      </c>
      <c r="G232" s="183">
        <f>IFERROR(__xludf.DUMMYFUNCTION("IFERROR(lookup(9999999999,FILTER('Operações-BR'!$M:$M,'Operações-BR'!$C:$C=A232,'Operações-BR'!$A:$A&lt;=C232)),0)"),0.0)</f>
        <v>0</v>
      </c>
      <c r="H232" s="184">
        <f t="shared" si="2"/>
        <v>0</v>
      </c>
      <c r="I232" s="184">
        <f>IFERROR(__xludf.DUMMYFUNCTION("IFERROR(lookup(9999999999,FILTER('Operações-BR'!Q:Q,'Operações-BR'!$C:$C=A232,'Operações-BR'!$A:$A&lt;=C232))/G232,0)"),0.0)</f>
        <v>0</v>
      </c>
      <c r="J232" s="185" t="str">
        <f>IFERROR(VLOOKUP(A232,Ativos!$A$1:$G2000,5,),"")</f>
        <v/>
      </c>
      <c r="K232" s="185" t="str">
        <f>IFERROR(VLOOKUP(A232,Ativos!A:H,8,),"")</f>
        <v/>
      </c>
      <c r="L232" s="186">
        <f t="shared" si="3"/>
        <v>0</v>
      </c>
    </row>
    <row r="233" ht="21.0" customHeight="1">
      <c r="A233" s="187"/>
      <c r="B233" s="187"/>
      <c r="C233" s="188"/>
      <c r="D233" s="195"/>
      <c r="E233" s="189"/>
      <c r="F233" s="182" t="str">
        <f t="shared" si="1"/>
        <v/>
      </c>
      <c r="G233" s="183">
        <f>IFERROR(__xludf.DUMMYFUNCTION("IFERROR(lookup(9999999999,FILTER('Operações-BR'!$M:$M,'Operações-BR'!$C:$C=A233,'Operações-BR'!$A:$A&lt;=C233)),0)"),0.0)</f>
        <v>0</v>
      </c>
      <c r="H233" s="184">
        <f t="shared" si="2"/>
        <v>0</v>
      </c>
      <c r="I233" s="184">
        <f>IFERROR(__xludf.DUMMYFUNCTION("IFERROR(lookup(9999999999,FILTER('Operações-BR'!Q:Q,'Operações-BR'!$C:$C=A233,'Operações-BR'!$A:$A&lt;=C233))/G233,0)"),0.0)</f>
        <v>0</v>
      </c>
      <c r="J233" s="185" t="str">
        <f>IFERROR(VLOOKUP(A233,Ativos!$A$1:$G2000,5,),"")</f>
        <v/>
      </c>
      <c r="K233" s="185" t="str">
        <f>IFERROR(VLOOKUP(A233,Ativos!A:H,8,),"")</f>
        <v/>
      </c>
      <c r="L233" s="186">
        <f t="shared" si="3"/>
        <v>0</v>
      </c>
    </row>
    <row r="234" ht="21.0" customHeight="1">
      <c r="A234" s="187"/>
      <c r="B234" s="187"/>
      <c r="C234" s="188"/>
      <c r="D234" s="195"/>
      <c r="E234" s="189"/>
      <c r="F234" s="182" t="str">
        <f t="shared" si="1"/>
        <v/>
      </c>
      <c r="G234" s="183">
        <f>IFERROR(__xludf.DUMMYFUNCTION("IFERROR(lookup(9999999999,FILTER('Operações-BR'!$M:$M,'Operações-BR'!$C:$C=A234,'Operações-BR'!$A:$A&lt;=C234)),0)"),0.0)</f>
        <v>0</v>
      </c>
      <c r="H234" s="184">
        <f t="shared" si="2"/>
        <v>0</v>
      </c>
      <c r="I234" s="184">
        <f>IFERROR(__xludf.DUMMYFUNCTION("IFERROR(lookup(9999999999,FILTER('Operações-BR'!Q:Q,'Operações-BR'!$C:$C=A234,'Operações-BR'!$A:$A&lt;=C234))/G234,0)"),0.0)</f>
        <v>0</v>
      </c>
      <c r="J234" s="185" t="str">
        <f>IFERROR(VLOOKUP(A234,Ativos!$A$1:$G2000,5,),"")</f>
        <v/>
      </c>
      <c r="K234" s="185" t="str">
        <f>IFERROR(VLOOKUP(A234,Ativos!A:H,8,),"")</f>
        <v/>
      </c>
      <c r="L234" s="186">
        <f t="shared" si="3"/>
        <v>0</v>
      </c>
    </row>
    <row r="235" ht="21.0" customHeight="1">
      <c r="A235" s="187"/>
      <c r="B235" s="187"/>
      <c r="C235" s="188"/>
      <c r="D235" s="195"/>
      <c r="E235" s="189"/>
      <c r="F235" s="182" t="str">
        <f t="shared" si="1"/>
        <v/>
      </c>
      <c r="G235" s="183">
        <f>IFERROR(__xludf.DUMMYFUNCTION("IFERROR(lookup(9999999999,FILTER('Operações-BR'!$M:$M,'Operações-BR'!$C:$C=A235,'Operações-BR'!$A:$A&lt;=C235)),0)"),0.0)</f>
        <v>0</v>
      </c>
      <c r="H235" s="184">
        <f t="shared" si="2"/>
        <v>0</v>
      </c>
      <c r="I235" s="184">
        <f>IFERROR(__xludf.DUMMYFUNCTION("IFERROR(lookup(9999999999,FILTER('Operações-BR'!Q:Q,'Operações-BR'!$C:$C=A235,'Operações-BR'!$A:$A&lt;=C235))/G235,0)"),0.0)</f>
        <v>0</v>
      </c>
      <c r="J235" s="185" t="str">
        <f>IFERROR(VLOOKUP(A235,Ativos!$A$1:$G2000,5,),"")</f>
        <v/>
      </c>
      <c r="K235" s="185" t="str">
        <f>IFERROR(VLOOKUP(A235,Ativos!A:H,8,),"")</f>
        <v/>
      </c>
      <c r="L235" s="186">
        <f t="shared" si="3"/>
        <v>0</v>
      </c>
    </row>
    <row r="236" ht="21.0" customHeight="1">
      <c r="A236" s="187"/>
      <c r="B236" s="187"/>
      <c r="C236" s="188"/>
      <c r="D236" s="195"/>
      <c r="E236" s="189"/>
      <c r="F236" s="182" t="str">
        <f t="shared" si="1"/>
        <v/>
      </c>
      <c r="G236" s="183">
        <f>IFERROR(__xludf.DUMMYFUNCTION("IFERROR(lookup(9999999999,FILTER('Operações-BR'!$M:$M,'Operações-BR'!$C:$C=A236,'Operações-BR'!$A:$A&lt;=C236)),0)"),0.0)</f>
        <v>0</v>
      </c>
      <c r="H236" s="184">
        <f t="shared" si="2"/>
        <v>0</v>
      </c>
      <c r="I236" s="184">
        <f>IFERROR(__xludf.DUMMYFUNCTION("IFERROR(lookup(9999999999,FILTER('Operações-BR'!Q:Q,'Operações-BR'!$C:$C=A236,'Operações-BR'!$A:$A&lt;=C236))/G236,0)"),0.0)</f>
        <v>0</v>
      </c>
      <c r="J236" s="185" t="str">
        <f>IFERROR(VLOOKUP(A236,Ativos!$A$1:$G2000,5,),"")</f>
        <v/>
      </c>
      <c r="K236" s="185" t="str">
        <f>IFERROR(VLOOKUP(A236,Ativos!A:H,8,),"")</f>
        <v/>
      </c>
      <c r="L236" s="186">
        <f t="shared" si="3"/>
        <v>0</v>
      </c>
    </row>
    <row r="237" ht="21.0" customHeight="1">
      <c r="A237" s="187"/>
      <c r="B237" s="187"/>
      <c r="C237" s="188"/>
      <c r="D237" s="195"/>
      <c r="E237" s="189"/>
      <c r="F237" s="182" t="str">
        <f t="shared" si="1"/>
        <v/>
      </c>
      <c r="G237" s="183">
        <f>IFERROR(__xludf.DUMMYFUNCTION("IFERROR(lookup(9999999999,FILTER('Operações-BR'!$M:$M,'Operações-BR'!$C:$C=A237,'Operações-BR'!$A:$A&lt;=C237)),0)"),0.0)</f>
        <v>0</v>
      </c>
      <c r="H237" s="184">
        <f t="shared" si="2"/>
        <v>0</v>
      </c>
      <c r="I237" s="184">
        <f>IFERROR(__xludf.DUMMYFUNCTION("IFERROR(lookup(9999999999,FILTER('Operações-BR'!Q:Q,'Operações-BR'!$C:$C=A237,'Operações-BR'!$A:$A&lt;=C237))/G237,0)"),0.0)</f>
        <v>0</v>
      </c>
      <c r="J237" s="185" t="str">
        <f>IFERROR(VLOOKUP(A237,Ativos!$A$1:$G2000,5,),"")</f>
        <v/>
      </c>
      <c r="K237" s="185" t="str">
        <f>IFERROR(VLOOKUP(A237,Ativos!A:H,8,),"")</f>
        <v/>
      </c>
      <c r="L237" s="186">
        <f t="shared" si="3"/>
        <v>0</v>
      </c>
    </row>
    <row r="238" ht="21.0" customHeight="1">
      <c r="A238" s="187"/>
      <c r="B238" s="187"/>
      <c r="C238" s="188"/>
      <c r="D238" s="195"/>
      <c r="E238" s="189"/>
      <c r="F238" s="182" t="str">
        <f t="shared" si="1"/>
        <v/>
      </c>
      <c r="G238" s="183">
        <f>IFERROR(__xludf.DUMMYFUNCTION("IFERROR(lookup(9999999999,FILTER('Operações-BR'!$M:$M,'Operações-BR'!$C:$C=A238,'Operações-BR'!$A:$A&lt;=C238)),0)"),0.0)</f>
        <v>0</v>
      </c>
      <c r="H238" s="184">
        <f t="shared" si="2"/>
        <v>0</v>
      </c>
      <c r="I238" s="184">
        <f>IFERROR(__xludf.DUMMYFUNCTION("IFERROR(lookup(9999999999,FILTER('Operações-BR'!Q:Q,'Operações-BR'!$C:$C=A238,'Operações-BR'!$A:$A&lt;=C238))/G238,0)"),0.0)</f>
        <v>0</v>
      </c>
      <c r="J238" s="185" t="str">
        <f>IFERROR(VLOOKUP(A238,Ativos!$A$1:$G2000,5,),"")</f>
        <v/>
      </c>
      <c r="K238" s="185" t="str">
        <f>IFERROR(VLOOKUP(A238,Ativos!A:H,8,),"")</f>
        <v/>
      </c>
      <c r="L238" s="186">
        <f t="shared" si="3"/>
        <v>0</v>
      </c>
    </row>
    <row r="239" ht="21.0" customHeight="1">
      <c r="A239" s="187"/>
      <c r="B239" s="187"/>
      <c r="C239" s="188"/>
      <c r="D239" s="195"/>
      <c r="E239" s="189"/>
      <c r="F239" s="182" t="str">
        <f t="shared" si="1"/>
        <v/>
      </c>
      <c r="G239" s="183">
        <f>IFERROR(__xludf.DUMMYFUNCTION("IFERROR(lookup(9999999999,FILTER('Operações-BR'!$M:$M,'Operações-BR'!$C:$C=A239,'Operações-BR'!$A:$A&lt;=C239)),0)"),0.0)</f>
        <v>0</v>
      </c>
      <c r="H239" s="184">
        <f t="shared" si="2"/>
        <v>0</v>
      </c>
      <c r="I239" s="184">
        <f>IFERROR(__xludf.DUMMYFUNCTION("IFERROR(lookup(9999999999,FILTER('Operações-BR'!Q:Q,'Operações-BR'!$C:$C=A239,'Operações-BR'!$A:$A&lt;=C239))/G239,0)"),0.0)</f>
        <v>0</v>
      </c>
      <c r="J239" s="185" t="str">
        <f>IFERROR(VLOOKUP(A239,Ativos!$A$1:$G2000,5,),"")</f>
        <v/>
      </c>
      <c r="K239" s="185" t="str">
        <f>IFERROR(VLOOKUP(A239,Ativos!A:H,8,),"")</f>
        <v/>
      </c>
      <c r="L239" s="186">
        <f t="shared" si="3"/>
        <v>0</v>
      </c>
    </row>
    <row r="240" ht="21.0" customHeight="1">
      <c r="A240" s="187"/>
      <c r="B240" s="187"/>
      <c r="C240" s="188"/>
      <c r="D240" s="198"/>
      <c r="E240" s="189"/>
      <c r="F240" s="182" t="str">
        <f t="shared" si="1"/>
        <v/>
      </c>
      <c r="G240" s="183">
        <f>IFERROR(__xludf.DUMMYFUNCTION("IFERROR(lookup(9999999999,FILTER('Operações-BR'!$M:$M,'Operações-BR'!$C:$C=A240,'Operações-BR'!$A:$A&lt;=C240)),0)"),0.0)</f>
        <v>0</v>
      </c>
      <c r="H240" s="184">
        <f t="shared" si="2"/>
        <v>0</v>
      </c>
      <c r="I240" s="184">
        <f>IFERROR(__xludf.DUMMYFUNCTION("IFERROR(lookup(9999999999,FILTER('Operações-BR'!Q:Q,'Operações-BR'!$C:$C=A240,'Operações-BR'!$A:$A&lt;=C240))/G240,0)"),0.0)</f>
        <v>0</v>
      </c>
      <c r="J240" s="185" t="str">
        <f>IFERROR(VLOOKUP(A240,Ativos!$A$1:$G2000,5,),"")</f>
        <v/>
      </c>
      <c r="K240" s="185" t="str">
        <f>IFERROR(VLOOKUP(A240,Ativos!A:H,8,),"")</f>
        <v/>
      </c>
      <c r="L240" s="186">
        <f t="shared" si="3"/>
        <v>0</v>
      </c>
    </row>
    <row r="241" ht="21.0" customHeight="1">
      <c r="A241" s="187"/>
      <c r="B241" s="187"/>
      <c r="C241" s="188"/>
      <c r="D241" s="135"/>
      <c r="E241" s="189"/>
      <c r="F241" s="182" t="str">
        <f t="shared" si="1"/>
        <v/>
      </c>
      <c r="G241" s="183">
        <f>IFERROR(__xludf.DUMMYFUNCTION("IFERROR(lookup(9999999999,FILTER('Operações-BR'!$M:$M,'Operações-BR'!$C:$C=A241,'Operações-BR'!$A:$A&lt;=C241)),0)"),0.0)</f>
        <v>0</v>
      </c>
      <c r="H241" s="184">
        <f t="shared" si="2"/>
        <v>0</v>
      </c>
      <c r="I241" s="184">
        <f>IFERROR(__xludf.DUMMYFUNCTION("IFERROR(lookup(9999999999,FILTER('Operações-BR'!Q:Q,'Operações-BR'!$C:$C=A241,'Operações-BR'!$A:$A&lt;=C241))/G241,0)"),0.0)</f>
        <v>0</v>
      </c>
      <c r="J241" s="185" t="str">
        <f>IFERROR(VLOOKUP(A241,Ativos!$A$1:$G2000,5,),"")</f>
        <v/>
      </c>
      <c r="K241" s="185" t="str">
        <f>IFERROR(VLOOKUP(A241,Ativos!A:H,8,),"")</f>
        <v/>
      </c>
      <c r="L241" s="186">
        <f t="shared" si="3"/>
        <v>0</v>
      </c>
    </row>
    <row r="242" ht="21.0" customHeight="1">
      <c r="A242" s="187"/>
      <c r="B242" s="187"/>
      <c r="C242" s="188"/>
      <c r="D242" s="135"/>
      <c r="E242" s="189"/>
      <c r="F242" s="182" t="str">
        <f t="shared" si="1"/>
        <v/>
      </c>
      <c r="G242" s="183">
        <f>IFERROR(__xludf.DUMMYFUNCTION("IFERROR(lookup(9999999999,FILTER('Operações-BR'!$M:$M,'Operações-BR'!$C:$C=A242,'Operações-BR'!$A:$A&lt;=C242)),0)"),0.0)</f>
        <v>0</v>
      </c>
      <c r="H242" s="184">
        <f t="shared" si="2"/>
        <v>0</v>
      </c>
      <c r="I242" s="184">
        <f>IFERROR(__xludf.DUMMYFUNCTION("IFERROR(lookup(9999999999,FILTER('Operações-BR'!Q:Q,'Operações-BR'!$C:$C=A242,'Operações-BR'!$A:$A&lt;=C242))/G242,0)"),0.0)</f>
        <v>0</v>
      </c>
      <c r="J242" s="185" t="str">
        <f>IFERROR(VLOOKUP(A242,Ativos!$A$1:$G2000,5,),"")</f>
        <v/>
      </c>
      <c r="K242" s="185" t="str">
        <f>IFERROR(VLOOKUP(A242,Ativos!A:H,8,),"")</f>
        <v/>
      </c>
      <c r="L242" s="186">
        <f t="shared" si="3"/>
        <v>0</v>
      </c>
    </row>
    <row r="243" ht="21.0" customHeight="1">
      <c r="A243" s="187"/>
      <c r="B243" s="187"/>
      <c r="C243" s="188"/>
      <c r="D243" s="135"/>
      <c r="E243" s="189"/>
      <c r="F243" s="182" t="str">
        <f t="shared" si="1"/>
        <v/>
      </c>
      <c r="G243" s="183">
        <f>IFERROR(__xludf.DUMMYFUNCTION("IFERROR(lookup(9999999999,FILTER('Operações-BR'!$M:$M,'Operações-BR'!$C:$C=A243,'Operações-BR'!$A:$A&lt;=C243)),0)"),0.0)</f>
        <v>0</v>
      </c>
      <c r="H243" s="184">
        <f t="shared" si="2"/>
        <v>0</v>
      </c>
      <c r="I243" s="184">
        <f>IFERROR(__xludf.DUMMYFUNCTION("IFERROR(lookup(9999999999,FILTER('Operações-BR'!Q:Q,'Operações-BR'!$C:$C=A243,'Operações-BR'!$A:$A&lt;=C243))/G243,0)"),0.0)</f>
        <v>0</v>
      </c>
      <c r="J243" s="185" t="str">
        <f>IFERROR(VLOOKUP(A243,Ativos!$A$1:$G2000,5,),"")</f>
        <v/>
      </c>
      <c r="K243" s="185" t="str">
        <f>IFERROR(VLOOKUP(A243,Ativos!A:H,8,),"")</f>
        <v/>
      </c>
      <c r="L243" s="186">
        <f t="shared" si="3"/>
        <v>0</v>
      </c>
    </row>
    <row r="244" ht="21.0" customHeight="1">
      <c r="A244" s="187"/>
      <c r="B244" s="187"/>
      <c r="C244" s="188"/>
      <c r="D244" s="135"/>
      <c r="E244" s="189"/>
      <c r="F244" s="182" t="str">
        <f t="shared" si="1"/>
        <v/>
      </c>
      <c r="G244" s="183">
        <f>IFERROR(__xludf.DUMMYFUNCTION("IFERROR(lookup(9999999999,FILTER('Operações-BR'!$M:$M,'Operações-BR'!$C:$C=A244,'Operações-BR'!$A:$A&lt;=C244)),0)"),0.0)</f>
        <v>0</v>
      </c>
      <c r="H244" s="184">
        <f t="shared" si="2"/>
        <v>0</v>
      </c>
      <c r="I244" s="184">
        <f>IFERROR(__xludf.DUMMYFUNCTION("IFERROR(lookup(9999999999,FILTER('Operações-BR'!Q:Q,'Operações-BR'!$C:$C=A244,'Operações-BR'!$A:$A&lt;=C244))/G244,0)"),0.0)</f>
        <v>0</v>
      </c>
      <c r="J244" s="185" t="str">
        <f>IFERROR(VLOOKUP(A244,Ativos!$A$1:$G2000,5,),"")</f>
        <v/>
      </c>
      <c r="K244" s="185" t="str">
        <f>IFERROR(VLOOKUP(A244,Ativos!A:H,8,),"")</f>
        <v/>
      </c>
      <c r="L244" s="186">
        <f t="shared" si="3"/>
        <v>0</v>
      </c>
    </row>
    <row r="245" ht="21.0" customHeight="1">
      <c r="A245" s="187"/>
      <c r="B245" s="187"/>
      <c r="C245" s="188"/>
      <c r="D245" s="135"/>
      <c r="E245" s="189"/>
      <c r="F245" s="182" t="str">
        <f t="shared" si="1"/>
        <v/>
      </c>
      <c r="G245" s="183">
        <f>IFERROR(__xludf.DUMMYFUNCTION("IFERROR(lookup(9999999999,FILTER('Operações-BR'!$M:$M,'Operações-BR'!$C:$C=A245,'Operações-BR'!$A:$A&lt;=C245)),0)"),0.0)</f>
        <v>0</v>
      </c>
      <c r="H245" s="184">
        <f t="shared" si="2"/>
        <v>0</v>
      </c>
      <c r="I245" s="184">
        <f>IFERROR(__xludf.DUMMYFUNCTION("IFERROR(lookup(9999999999,FILTER('Operações-BR'!Q:Q,'Operações-BR'!$C:$C=A245,'Operações-BR'!$A:$A&lt;=C245))/G245,0)"),0.0)</f>
        <v>0</v>
      </c>
      <c r="J245" s="185" t="str">
        <f>IFERROR(VLOOKUP(A245,Ativos!$A$1:$G2000,5,),"")</f>
        <v/>
      </c>
      <c r="K245" s="185" t="str">
        <f>IFERROR(VLOOKUP(A245,Ativos!A:H,8,),"")</f>
        <v/>
      </c>
      <c r="L245" s="186">
        <f t="shared" si="3"/>
        <v>0</v>
      </c>
    </row>
    <row r="246" ht="21.0" customHeight="1">
      <c r="A246" s="187"/>
      <c r="B246" s="187"/>
      <c r="C246" s="188"/>
      <c r="D246" s="135"/>
      <c r="E246" s="189"/>
      <c r="F246" s="182" t="str">
        <f t="shared" si="1"/>
        <v/>
      </c>
      <c r="G246" s="183">
        <f>IFERROR(__xludf.DUMMYFUNCTION("IFERROR(lookup(9999999999,FILTER('Operações-BR'!$M:$M,'Operações-BR'!$C:$C=A246,'Operações-BR'!$A:$A&lt;=C246)),0)"),0.0)</f>
        <v>0</v>
      </c>
      <c r="H246" s="184">
        <f t="shared" si="2"/>
        <v>0</v>
      </c>
      <c r="I246" s="184">
        <f>IFERROR(__xludf.DUMMYFUNCTION("IFERROR(lookup(9999999999,FILTER('Operações-BR'!Q:Q,'Operações-BR'!$C:$C=A246,'Operações-BR'!$A:$A&lt;=C246))/G246,0)"),0.0)</f>
        <v>0</v>
      </c>
      <c r="J246" s="185" t="str">
        <f>IFERROR(VLOOKUP(A246,Ativos!$A$1:$G2000,5,),"")</f>
        <v/>
      </c>
      <c r="K246" s="185" t="str">
        <f>IFERROR(VLOOKUP(A246,Ativos!A:H,8,),"")</f>
        <v/>
      </c>
      <c r="L246" s="186">
        <f t="shared" si="3"/>
        <v>0</v>
      </c>
    </row>
    <row r="247" ht="21.0" customHeight="1">
      <c r="A247" s="187"/>
      <c r="B247" s="187"/>
      <c r="C247" s="188"/>
      <c r="D247" s="135"/>
      <c r="E247" s="189"/>
      <c r="F247" s="182" t="str">
        <f t="shared" si="1"/>
        <v/>
      </c>
      <c r="G247" s="183">
        <f>IFERROR(__xludf.DUMMYFUNCTION("IFERROR(lookup(9999999999,FILTER('Operações-BR'!$M:$M,'Operações-BR'!$C:$C=A247,'Operações-BR'!$A:$A&lt;=C247)),0)"),0.0)</f>
        <v>0</v>
      </c>
      <c r="H247" s="184">
        <f t="shared" si="2"/>
        <v>0</v>
      </c>
      <c r="I247" s="184">
        <f>IFERROR(__xludf.DUMMYFUNCTION("IFERROR(lookup(9999999999,FILTER('Operações-BR'!Q:Q,'Operações-BR'!$C:$C=A247,'Operações-BR'!$A:$A&lt;=C247))/G247,0)"),0.0)</f>
        <v>0</v>
      </c>
      <c r="J247" s="185" t="str">
        <f>IFERROR(VLOOKUP(A247,Ativos!$A$1:$G2000,5,),"")</f>
        <v/>
      </c>
      <c r="K247" s="185" t="str">
        <f>IFERROR(VLOOKUP(A247,Ativos!A:H,8,),"")</f>
        <v/>
      </c>
      <c r="L247" s="186">
        <f t="shared" si="3"/>
        <v>0</v>
      </c>
    </row>
    <row r="248" ht="21.0" customHeight="1">
      <c r="A248" s="187"/>
      <c r="B248" s="187"/>
      <c r="C248" s="188"/>
      <c r="D248" s="135"/>
      <c r="E248" s="189"/>
      <c r="F248" s="182" t="str">
        <f t="shared" si="1"/>
        <v/>
      </c>
      <c r="G248" s="183">
        <f>IFERROR(__xludf.DUMMYFUNCTION("IFERROR(lookup(9999999999,FILTER('Operações-BR'!$M:$M,'Operações-BR'!$C:$C=A248,'Operações-BR'!$A:$A&lt;=C248)),0)"),0.0)</f>
        <v>0</v>
      </c>
      <c r="H248" s="184">
        <f t="shared" si="2"/>
        <v>0</v>
      </c>
      <c r="I248" s="184">
        <f>IFERROR(__xludf.DUMMYFUNCTION("IFERROR(lookup(9999999999,FILTER('Operações-BR'!Q:Q,'Operações-BR'!$C:$C=A248,'Operações-BR'!$A:$A&lt;=C248))/G248,0)"),0.0)</f>
        <v>0</v>
      </c>
      <c r="J248" s="185" t="str">
        <f>IFERROR(VLOOKUP(A248,Ativos!$A$1:$G2000,5,),"")</f>
        <v/>
      </c>
      <c r="K248" s="185" t="str">
        <f>IFERROR(VLOOKUP(A248,Ativos!A:H,8,),"")</f>
        <v/>
      </c>
      <c r="L248" s="186">
        <f t="shared" si="3"/>
        <v>0</v>
      </c>
    </row>
    <row r="249" ht="21.0" customHeight="1">
      <c r="A249" s="187"/>
      <c r="B249" s="187"/>
      <c r="C249" s="188"/>
      <c r="D249" s="135"/>
      <c r="E249" s="189"/>
      <c r="F249" s="182" t="str">
        <f t="shared" si="1"/>
        <v/>
      </c>
      <c r="G249" s="183">
        <f>IFERROR(__xludf.DUMMYFUNCTION("IFERROR(lookup(9999999999,FILTER('Operações-BR'!$M:$M,'Operações-BR'!$C:$C=A249,'Operações-BR'!$A:$A&lt;=C249)),0)"),0.0)</f>
        <v>0</v>
      </c>
      <c r="H249" s="184">
        <f t="shared" si="2"/>
        <v>0</v>
      </c>
      <c r="I249" s="184">
        <f>IFERROR(__xludf.DUMMYFUNCTION("IFERROR(lookup(9999999999,FILTER('Operações-BR'!Q:Q,'Operações-BR'!$C:$C=A249,'Operações-BR'!$A:$A&lt;=C249))/G249,0)"),0.0)</f>
        <v>0</v>
      </c>
      <c r="J249" s="185" t="str">
        <f>IFERROR(VLOOKUP(A249,Ativos!$A$1:$G2000,5,),"")</f>
        <v/>
      </c>
      <c r="K249" s="185" t="str">
        <f>IFERROR(VLOOKUP(A249,Ativos!A:H,8,),"")</f>
        <v/>
      </c>
      <c r="L249" s="186">
        <f t="shared" si="3"/>
        <v>0</v>
      </c>
    </row>
    <row r="250" ht="21.0" customHeight="1">
      <c r="A250" s="187"/>
      <c r="B250" s="187"/>
      <c r="C250" s="188"/>
      <c r="D250" s="135"/>
      <c r="E250" s="189"/>
      <c r="F250" s="182" t="str">
        <f t="shared" si="1"/>
        <v/>
      </c>
      <c r="G250" s="183">
        <f>IFERROR(__xludf.DUMMYFUNCTION("IFERROR(lookup(9999999999,FILTER('Operações-BR'!$M:$M,'Operações-BR'!$C:$C=A250,'Operações-BR'!$A:$A&lt;=C250)),0)"),0.0)</f>
        <v>0</v>
      </c>
      <c r="H250" s="184">
        <f t="shared" si="2"/>
        <v>0</v>
      </c>
      <c r="I250" s="184">
        <f>IFERROR(__xludf.DUMMYFUNCTION("IFERROR(lookup(9999999999,FILTER('Operações-BR'!Q:Q,'Operações-BR'!$C:$C=A250,'Operações-BR'!$A:$A&lt;=C250))/G250,0)"),0.0)</f>
        <v>0</v>
      </c>
      <c r="J250" s="185" t="str">
        <f>IFERROR(VLOOKUP(A250,Ativos!$A$1:$G2000,5,),"")</f>
        <v/>
      </c>
      <c r="K250" s="185" t="str">
        <f>IFERROR(VLOOKUP(A250,Ativos!A:H,8,),"")</f>
        <v/>
      </c>
      <c r="L250" s="186">
        <f t="shared" si="3"/>
        <v>0</v>
      </c>
    </row>
    <row r="251" ht="21.0" customHeight="1">
      <c r="A251" s="187"/>
      <c r="B251" s="187"/>
      <c r="C251" s="188"/>
      <c r="D251" s="135"/>
      <c r="E251" s="189"/>
      <c r="F251" s="182" t="str">
        <f t="shared" si="1"/>
        <v/>
      </c>
      <c r="G251" s="183">
        <f>IFERROR(__xludf.DUMMYFUNCTION("IFERROR(lookup(9999999999,FILTER('Operações-BR'!$M:$M,'Operações-BR'!$C:$C=A251,'Operações-BR'!$A:$A&lt;=C251)),0)"),0.0)</f>
        <v>0</v>
      </c>
      <c r="H251" s="184">
        <f t="shared" si="2"/>
        <v>0</v>
      </c>
      <c r="I251" s="184">
        <f>IFERROR(__xludf.DUMMYFUNCTION("IFERROR(lookup(9999999999,FILTER('Operações-BR'!Q:Q,'Operações-BR'!$C:$C=A251,'Operações-BR'!$A:$A&lt;=C251))/G251,0)"),0.0)</f>
        <v>0</v>
      </c>
      <c r="J251" s="185" t="str">
        <f>IFERROR(VLOOKUP(A251,Ativos!$A$1:$G2000,5,),"")</f>
        <v/>
      </c>
      <c r="K251" s="185" t="str">
        <f>IFERROR(VLOOKUP(A251,Ativos!A:H,8,),"")</f>
        <v/>
      </c>
      <c r="L251" s="186">
        <f t="shared" si="3"/>
        <v>0</v>
      </c>
    </row>
    <row r="252" ht="21.0" customHeight="1">
      <c r="A252" s="187"/>
      <c r="B252" s="187"/>
      <c r="C252" s="188"/>
      <c r="D252" s="135"/>
      <c r="E252" s="189"/>
      <c r="F252" s="182" t="str">
        <f t="shared" si="1"/>
        <v/>
      </c>
      <c r="G252" s="183">
        <f>IFERROR(__xludf.DUMMYFUNCTION("IFERROR(lookup(9999999999,FILTER('Operações-BR'!$M:$M,'Operações-BR'!$C:$C=A252,'Operações-BR'!$A:$A&lt;=C252)),0)"),0.0)</f>
        <v>0</v>
      </c>
      <c r="H252" s="184">
        <f t="shared" si="2"/>
        <v>0</v>
      </c>
      <c r="I252" s="184">
        <f>IFERROR(__xludf.DUMMYFUNCTION("IFERROR(lookup(9999999999,FILTER('Operações-BR'!Q:Q,'Operações-BR'!$C:$C=A252,'Operações-BR'!$A:$A&lt;=C252))/G252,0)"),0.0)</f>
        <v>0</v>
      </c>
      <c r="J252" s="185" t="str">
        <f>IFERROR(VLOOKUP(A252,Ativos!$A$1:$G2000,5,),"")</f>
        <v/>
      </c>
      <c r="K252" s="185" t="str">
        <f>IFERROR(VLOOKUP(A252,Ativos!A:H,8,),"")</f>
        <v/>
      </c>
      <c r="L252" s="186">
        <f t="shared" si="3"/>
        <v>0</v>
      </c>
    </row>
    <row r="253" ht="21.0" customHeight="1">
      <c r="A253" s="187"/>
      <c r="B253" s="187"/>
      <c r="C253" s="188"/>
      <c r="D253" s="135"/>
      <c r="E253" s="189"/>
      <c r="F253" s="182" t="str">
        <f t="shared" si="1"/>
        <v/>
      </c>
      <c r="G253" s="183">
        <f>IFERROR(__xludf.DUMMYFUNCTION("IFERROR(lookup(9999999999,FILTER('Operações-BR'!$M:$M,'Operações-BR'!$C:$C=A253,'Operações-BR'!$A:$A&lt;=C253)),0)"),0.0)</f>
        <v>0</v>
      </c>
      <c r="H253" s="184">
        <f t="shared" si="2"/>
        <v>0</v>
      </c>
      <c r="I253" s="184">
        <f>IFERROR(__xludf.DUMMYFUNCTION("IFERROR(lookup(9999999999,FILTER('Operações-BR'!Q:Q,'Operações-BR'!$C:$C=A253,'Operações-BR'!$A:$A&lt;=C253))/G253,0)"),0.0)</f>
        <v>0</v>
      </c>
      <c r="J253" s="185" t="str">
        <f>IFERROR(VLOOKUP(A253,Ativos!$A$1:$G2000,5,),"")</f>
        <v/>
      </c>
      <c r="K253" s="185" t="str">
        <f>IFERROR(VLOOKUP(A253,Ativos!A:H,8,),"")</f>
        <v/>
      </c>
      <c r="L253" s="186">
        <f t="shared" si="3"/>
        <v>0</v>
      </c>
    </row>
    <row r="254" ht="21.0" customHeight="1">
      <c r="A254" s="187"/>
      <c r="B254" s="187"/>
      <c r="C254" s="188"/>
      <c r="D254" s="135"/>
      <c r="E254" s="189"/>
      <c r="F254" s="182" t="str">
        <f t="shared" si="1"/>
        <v/>
      </c>
      <c r="G254" s="183">
        <f>IFERROR(__xludf.DUMMYFUNCTION("IFERROR(lookup(9999999999,FILTER('Operações-BR'!$M:$M,'Operações-BR'!$C:$C=A254,'Operações-BR'!$A:$A&lt;=C254)),0)"),0.0)</f>
        <v>0</v>
      </c>
      <c r="H254" s="184">
        <f t="shared" si="2"/>
        <v>0</v>
      </c>
      <c r="I254" s="184">
        <f>IFERROR(__xludf.DUMMYFUNCTION("IFERROR(lookup(9999999999,FILTER('Operações-BR'!Q:Q,'Operações-BR'!$C:$C=A254,'Operações-BR'!$A:$A&lt;=C254))/G254,0)"),0.0)</f>
        <v>0</v>
      </c>
      <c r="J254" s="185" t="str">
        <f>IFERROR(VLOOKUP(A254,Ativos!$A$1:$G2000,5,),"")</f>
        <v/>
      </c>
      <c r="K254" s="185" t="str">
        <f>IFERROR(VLOOKUP(A254,Ativos!A:H,8,),"")</f>
        <v/>
      </c>
      <c r="L254" s="186">
        <f t="shared" si="3"/>
        <v>0</v>
      </c>
    </row>
    <row r="255" ht="21.0" customHeight="1">
      <c r="A255" s="187"/>
      <c r="B255" s="187"/>
      <c r="C255" s="188"/>
      <c r="D255" s="135"/>
      <c r="E255" s="189"/>
      <c r="F255" s="182" t="str">
        <f t="shared" si="1"/>
        <v/>
      </c>
      <c r="G255" s="183">
        <f>IFERROR(__xludf.DUMMYFUNCTION("IFERROR(lookup(9999999999,FILTER('Operações-BR'!$M:$M,'Operações-BR'!$C:$C=A255,'Operações-BR'!$A:$A&lt;=C255)),0)"),0.0)</f>
        <v>0</v>
      </c>
      <c r="H255" s="184">
        <f t="shared" si="2"/>
        <v>0</v>
      </c>
      <c r="I255" s="184">
        <f>IFERROR(__xludf.DUMMYFUNCTION("IFERROR(lookup(9999999999,FILTER('Operações-BR'!Q:Q,'Operações-BR'!$C:$C=A255,'Operações-BR'!$A:$A&lt;=C255))/G255,0)"),0.0)</f>
        <v>0</v>
      </c>
      <c r="J255" s="185" t="str">
        <f>IFERROR(VLOOKUP(A255,Ativos!$A$1:$G2000,5,),"")</f>
        <v/>
      </c>
      <c r="K255" s="185" t="str">
        <f>IFERROR(VLOOKUP(A255,Ativos!A:H,8,),"")</f>
        <v/>
      </c>
      <c r="L255" s="186">
        <f t="shared" si="3"/>
        <v>0</v>
      </c>
    </row>
    <row r="256" ht="21.0" customHeight="1">
      <c r="A256" s="187"/>
      <c r="B256" s="187"/>
      <c r="C256" s="188"/>
      <c r="D256" s="135"/>
      <c r="E256" s="189"/>
      <c r="F256" s="182" t="str">
        <f t="shared" si="1"/>
        <v/>
      </c>
      <c r="G256" s="183">
        <f>IFERROR(__xludf.DUMMYFUNCTION("IFERROR(lookup(9999999999,FILTER('Operações-BR'!$M:$M,'Operações-BR'!$C:$C=A256,'Operações-BR'!$A:$A&lt;=C256)),0)"),0.0)</f>
        <v>0</v>
      </c>
      <c r="H256" s="184">
        <f t="shared" si="2"/>
        <v>0</v>
      </c>
      <c r="I256" s="184">
        <f>IFERROR(__xludf.DUMMYFUNCTION("IFERROR(lookup(9999999999,FILTER('Operações-BR'!Q:Q,'Operações-BR'!$C:$C=A256,'Operações-BR'!$A:$A&lt;=C256))/G256,0)"),0.0)</f>
        <v>0</v>
      </c>
      <c r="J256" s="185" t="str">
        <f>IFERROR(VLOOKUP(A256,Ativos!$A$1:$G2000,5,),"")</f>
        <v/>
      </c>
      <c r="K256" s="185" t="str">
        <f>IFERROR(VLOOKUP(A256,Ativos!A:H,8,),"")</f>
        <v/>
      </c>
      <c r="L256" s="186">
        <f t="shared" si="3"/>
        <v>0</v>
      </c>
    </row>
    <row r="257" ht="21.0" customHeight="1">
      <c r="A257" s="187"/>
      <c r="B257" s="187"/>
      <c r="C257" s="188"/>
      <c r="D257" s="135"/>
      <c r="E257" s="189"/>
      <c r="F257" s="182" t="str">
        <f t="shared" si="1"/>
        <v/>
      </c>
      <c r="G257" s="183">
        <f>IFERROR(__xludf.DUMMYFUNCTION("IFERROR(lookup(9999999999,FILTER('Operações-BR'!$M:$M,'Operações-BR'!$C:$C=A257,'Operações-BR'!$A:$A&lt;=C257)),0)"),0.0)</f>
        <v>0</v>
      </c>
      <c r="H257" s="184">
        <f t="shared" si="2"/>
        <v>0</v>
      </c>
      <c r="I257" s="184">
        <f>IFERROR(__xludf.DUMMYFUNCTION("IFERROR(lookup(9999999999,FILTER('Operações-BR'!Q:Q,'Operações-BR'!$C:$C=A257,'Operações-BR'!$A:$A&lt;=C257))/G257,0)"),0.0)</f>
        <v>0</v>
      </c>
      <c r="J257" s="185" t="str">
        <f>IFERROR(VLOOKUP(A257,Ativos!$A$1:$G2000,5,),"")</f>
        <v/>
      </c>
      <c r="K257" s="185" t="str">
        <f>IFERROR(VLOOKUP(A257,Ativos!A:H,8,),"")</f>
        <v/>
      </c>
      <c r="L257" s="186">
        <f t="shared" si="3"/>
        <v>0</v>
      </c>
    </row>
    <row r="258" ht="21.0" customHeight="1">
      <c r="A258" s="187"/>
      <c r="B258" s="187"/>
      <c r="C258" s="188"/>
      <c r="D258" s="135"/>
      <c r="E258" s="189"/>
      <c r="F258" s="182" t="str">
        <f t="shared" si="1"/>
        <v/>
      </c>
      <c r="G258" s="183">
        <f>IFERROR(__xludf.DUMMYFUNCTION("IFERROR(lookup(9999999999,FILTER('Operações-BR'!$M:$M,'Operações-BR'!$C:$C=A258,'Operações-BR'!$A:$A&lt;=C258)),0)"),0.0)</f>
        <v>0</v>
      </c>
      <c r="H258" s="184">
        <f t="shared" si="2"/>
        <v>0</v>
      </c>
      <c r="I258" s="184">
        <f>IFERROR(__xludf.DUMMYFUNCTION("IFERROR(lookup(9999999999,FILTER('Operações-BR'!Q:Q,'Operações-BR'!$C:$C=A258,'Operações-BR'!$A:$A&lt;=C258))/G258,0)"),0.0)</f>
        <v>0</v>
      </c>
      <c r="J258" s="185" t="str">
        <f>IFERROR(VLOOKUP(A258,Ativos!$A$1:$G2000,5,),"")</f>
        <v/>
      </c>
      <c r="K258" s="185" t="str">
        <f>IFERROR(VLOOKUP(A258,Ativos!A:H,8,),"")</f>
        <v/>
      </c>
      <c r="L258" s="186">
        <f t="shared" si="3"/>
        <v>0</v>
      </c>
    </row>
    <row r="259" ht="21.0" customHeight="1">
      <c r="A259" s="187"/>
      <c r="B259" s="187"/>
      <c r="C259" s="188"/>
      <c r="D259" s="135"/>
      <c r="E259" s="189"/>
      <c r="F259" s="182" t="str">
        <f t="shared" si="1"/>
        <v/>
      </c>
      <c r="G259" s="183">
        <f>IFERROR(__xludf.DUMMYFUNCTION("IFERROR(lookup(9999999999,FILTER('Operações-BR'!$M:$M,'Operações-BR'!$C:$C=A259,'Operações-BR'!$A:$A&lt;=C259)),0)"),0.0)</f>
        <v>0</v>
      </c>
      <c r="H259" s="184">
        <f t="shared" si="2"/>
        <v>0</v>
      </c>
      <c r="I259" s="184">
        <f>IFERROR(__xludf.DUMMYFUNCTION("IFERROR(lookup(9999999999,FILTER('Operações-BR'!Q:Q,'Operações-BR'!$C:$C=A259,'Operações-BR'!$A:$A&lt;=C259))/G259,0)"),0.0)</f>
        <v>0</v>
      </c>
      <c r="J259" s="185" t="str">
        <f>IFERROR(VLOOKUP(A259,Ativos!$A$1:$G2000,5,),"")</f>
        <v/>
      </c>
      <c r="K259" s="185" t="str">
        <f>IFERROR(VLOOKUP(A259,Ativos!A:H,8,),"")</f>
        <v/>
      </c>
      <c r="L259" s="186">
        <f t="shared" si="3"/>
        <v>0</v>
      </c>
    </row>
    <row r="260" ht="21.0" customHeight="1">
      <c r="A260" s="187"/>
      <c r="B260" s="187"/>
      <c r="C260" s="188"/>
      <c r="D260" s="135"/>
      <c r="E260" s="189"/>
      <c r="F260" s="182" t="str">
        <f t="shared" si="1"/>
        <v/>
      </c>
      <c r="G260" s="183">
        <f>IFERROR(__xludf.DUMMYFUNCTION("IFERROR(lookup(9999999999,FILTER('Operações-BR'!$M:$M,'Operações-BR'!$C:$C=A260,'Operações-BR'!$A:$A&lt;=C260)),0)"),0.0)</f>
        <v>0</v>
      </c>
      <c r="H260" s="184">
        <f t="shared" si="2"/>
        <v>0</v>
      </c>
      <c r="I260" s="184">
        <f>IFERROR(__xludf.DUMMYFUNCTION("IFERROR(lookup(9999999999,FILTER('Operações-BR'!Q:Q,'Operações-BR'!$C:$C=A260,'Operações-BR'!$A:$A&lt;=C260))/G260,0)"),0.0)</f>
        <v>0</v>
      </c>
      <c r="J260" s="185" t="str">
        <f>IFERROR(VLOOKUP(A260,Ativos!$A$1:$G2000,5,),"")</f>
        <v/>
      </c>
      <c r="K260" s="185" t="str">
        <f>IFERROR(VLOOKUP(A260,Ativos!A:H,8,),"")</f>
        <v/>
      </c>
      <c r="L260" s="186">
        <f t="shared" si="3"/>
        <v>0</v>
      </c>
    </row>
    <row r="261" ht="21.0" customHeight="1">
      <c r="A261" s="187"/>
      <c r="B261" s="187"/>
      <c r="C261" s="188"/>
      <c r="D261" s="135"/>
      <c r="E261" s="189"/>
      <c r="F261" s="182" t="str">
        <f t="shared" si="1"/>
        <v/>
      </c>
      <c r="G261" s="183">
        <f>IFERROR(__xludf.DUMMYFUNCTION("IFERROR(lookup(9999999999,FILTER('Operações-BR'!$M:$M,'Operações-BR'!$C:$C=A261,'Operações-BR'!$A:$A&lt;=C261)),0)"),0.0)</f>
        <v>0</v>
      </c>
      <c r="H261" s="184">
        <f t="shared" si="2"/>
        <v>0</v>
      </c>
      <c r="I261" s="184">
        <f>IFERROR(__xludf.DUMMYFUNCTION("IFERROR(lookup(9999999999,FILTER('Operações-BR'!Q:Q,'Operações-BR'!$C:$C=A261,'Operações-BR'!$A:$A&lt;=C261))/G261,0)"),0.0)</f>
        <v>0</v>
      </c>
      <c r="J261" s="185" t="str">
        <f>IFERROR(VLOOKUP(A261,Ativos!$A$1:$G2000,5,),"")</f>
        <v/>
      </c>
      <c r="K261" s="185" t="str">
        <f>IFERROR(VLOOKUP(A261,Ativos!A:H,8,),"")</f>
        <v/>
      </c>
      <c r="L261" s="186">
        <f t="shared" si="3"/>
        <v>0</v>
      </c>
    </row>
    <row r="262" ht="21.0" customHeight="1">
      <c r="A262" s="187"/>
      <c r="B262" s="187"/>
      <c r="C262" s="188"/>
      <c r="D262" s="135"/>
      <c r="E262" s="189"/>
      <c r="F262" s="182" t="str">
        <f t="shared" si="1"/>
        <v/>
      </c>
      <c r="G262" s="183">
        <f>IFERROR(__xludf.DUMMYFUNCTION("IFERROR(lookup(9999999999,FILTER('Operações-BR'!$M:$M,'Operações-BR'!$C:$C=A262,'Operações-BR'!$A:$A&lt;=C262)),0)"),0.0)</f>
        <v>0</v>
      </c>
      <c r="H262" s="184">
        <f t="shared" si="2"/>
        <v>0</v>
      </c>
      <c r="I262" s="184">
        <f>IFERROR(__xludf.DUMMYFUNCTION("IFERROR(lookup(9999999999,FILTER('Operações-BR'!Q:Q,'Operações-BR'!$C:$C=A262,'Operações-BR'!$A:$A&lt;=C262))/G262,0)"),0.0)</f>
        <v>0</v>
      </c>
      <c r="J262" s="185" t="str">
        <f>IFERROR(VLOOKUP(A262,Ativos!$A$1:$G2000,5,),"")</f>
        <v/>
      </c>
      <c r="K262" s="185" t="str">
        <f>IFERROR(VLOOKUP(A262,Ativos!A:H,8,),"")</f>
        <v/>
      </c>
      <c r="L262" s="186">
        <f t="shared" si="3"/>
        <v>0</v>
      </c>
    </row>
    <row r="263" ht="21.0" customHeight="1">
      <c r="A263" s="187"/>
      <c r="B263" s="187"/>
      <c r="C263" s="188"/>
      <c r="D263" s="135"/>
      <c r="E263" s="189"/>
      <c r="F263" s="182" t="str">
        <f t="shared" si="1"/>
        <v/>
      </c>
      <c r="G263" s="183">
        <f>IFERROR(__xludf.DUMMYFUNCTION("IFERROR(lookup(9999999999,FILTER('Operações-BR'!$M:$M,'Operações-BR'!$C:$C=A263,'Operações-BR'!$A:$A&lt;=C263)),0)"),0.0)</f>
        <v>0</v>
      </c>
      <c r="H263" s="184">
        <f t="shared" si="2"/>
        <v>0</v>
      </c>
      <c r="I263" s="184">
        <f>IFERROR(__xludf.DUMMYFUNCTION("IFERROR(lookup(9999999999,FILTER('Operações-BR'!Q:Q,'Operações-BR'!$C:$C=A263,'Operações-BR'!$A:$A&lt;=C263))/G263,0)"),0.0)</f>
        <v>0</v>
      </c>
      <c r="J263" s="185" t="str">
        <f>IFERROR(VLOOKUP(A263,Ativos!$A$1:$G2000,5,),"")</f>
        <v/>
      </c>
      <c r="K263" s="185" t="str">
        <f>IFERROR(VLOOKUP(A263,Ativos!A:H,8,),"")</f>
        <v/>
      </c>
      <c r="L263" s="186">
        <f t="shared" si="3"/>
        <v>0</v>
      </c>
    </row>
    <row r="264" ht="21.0" customHeight="1">
      <c r="A264" s="187"/>
      <c r="B264" s="187"/>
      <c r="C264" s="188"/>
      <c r="D264" s="135"/>
      <c r="E264" s="189"/>
      <c r="F264" s="182" t="str">
        <f t="shared" si="1"/>
        <v/>
      </c>
      <c r="G264" s="183">
        <f>IFERROR(__xludf.DUMMYFUNCTION("IFERROR(lookup(9999999999,FILTER('Operações-BR'!$M:$M,'Operações-BR'!$C:$C=A264,'Operações-BR'!$A:$A&lt;=C264)),0)"),0.0)</f>
        <v>0</v>
      </c>
      <c r="H264" s="184">
        <f t="shared" si="2"/>
        <v>0</v>
      </c>
      <c r="I264" s="184">
        <f>IFERROR(__xludf.DUMMYFUNCTION("IFERROR(lookup(9999999999,FILTER('Operações-BR'!Q:Q,'Operações-BR'!$C:$C=A264,'Operações-BR'!$A:$A&lt;=C264))/G264,0)"),0.0)</f>
        <v>0</v>
      </c>
      <c r="J264" s="185" t="str">
        <f>IFERROR(VLOOKUP(A264,Ativos!$A$1:$G2000,5,),"")</f>
        <v/>
      </c>
      <c r="K264" s="185" t="str">
        <f>IFERROR(VLOOKUP(A264,Ativos!A:H,8,),"")</f>
        <v/>
      </c>
      <c r="L264" s="186">
        <f t="shared" si="3"/>
        <v>0</v>
      </c>
    </row>
    <row r="265" ht="21.0" customHeight="1">
      <c r="A265" s="187"/>
      <c r="B265" s="187"/>
      <c r="C265" s="188"/>
      <c r="D265" s="135"/>
      <c r="E265" s="189"/>
      <c r="F265" s="182" t="str">
        <f t="shared" si="1"/>
        <v/>
      </c>
      <c r="G265" s="183">
        <f>IFERROR(__xludf.DUMMYFUNCTION("IFERROR(lookup(9999999999,FILTER('Operações-BR'!$M:$M,'Operações-BR'!$C:$C=A265,'Operações-BR'!$A:$A&lt;=C265)),0)"),0.0)</f>
        <v>0</v>
      </c>
      <c r="H265" s="184">
        <f t="shared" si="2"/>
        <v>0</v>
      </c>
      <c r="I265" s="184">
        <f>IFERROR(__xludf.DUMMYFUNCTION("IFERROR(lookup(9999999999,FILTER('Operações-BR'!Q:Q,'Operações-BR'!$C:$C=A265,'Operações-BR'!$A:$A&lt;=C265))/G265,0)"),0.0)</f>
        <v>0</v>
      </c>
      <c r="J265" s="185" t="str">
        <f>IFERROR(VLOOKUP(A265,Ativos!$A$1:$G2000,5,),"")</f>
        <v/>
      </c>
      <c r="K265" s="185" t="str">
        <f>IFERROR(VLOOKUP(A265,Ativos!A:H,8,),"")</f>
        <v/>
      </c>
      <c r="L265" s="186">
        <f t="shared" si="3"/>
        <v>0</v>
      </c>
    </row>
    <row r="266" ht="21.0" customHeight="1">
      <c r="A266" s="187"/>
      <c r="B266" s="187"/>
      <c r="C266" s="188"/>
      <c r="D266" s="135"/>
      <c r="E266" s="189"/>
      <c r="F266" s="182" t="str">
        <f t="shared" si="1"/>
        <v/>
      </c>
      <c r="G266" s="183">
        <f>IFERROR(__xludf.DUMMYFUNCTION("IFERROR(lookup(9999999999,FILTER('Operações-BR'!$M:$M,'Operações-BR'!$C:$C=A266,'Operações-BR'!$A:$A&lt;=C266)),0)"),0.0)</f>
        <v>0</v>
      </c>
      <c r="H266" s="184">
        <f t="shared" si="2"/>
        <v>0</v>
      </c>
      <c r="I266" s="184">
        <f>IFERROR(__xludf.DUMMYFUNCTION("IFERROR(lookup(9999999999,FILTER('Operações-BR'!Q:Q,'Operações-BR'!$C:$C=A266,'Operações-BR'!$A:$A&lt;=C266))/G266,0)"),0.0)</f>
        <v>0</v>
      </c>
      <c r="J266" s="185" t="str">
        <f>IFERROR(VLOOKUP(A266,Ativos!$A$1:$G2000,5,),"")</f>
        <v/>
      </c>
      <c r="K266" s="185" t="str">
        <f>IFERROR(VLOOKUP(A266,Ativos!A:H,8,),"")</f>
        <v/>
      </c>
      <c r="L266" s="186">
        <f t="shared" si="3"/>
        <v>0</v>
      </c>
    </row>
    <row r="267" ht="21.0" customHeight="1">
      <c r="A267" s="187"/>
      <c r="B267" s="187"/>
      <c r="C267" s="188"/>
      <c r="D267" s="135"/>
      <c r="E267" s="189"/>
      <c r="F267" s="182" t="str">
        <f t="shared" si="1"/>
        <v/>
      </c>
      <c r="G267" s="183">
        <f>IFERROR(__xludf.DUMMYFUNCTION("IFERROR(lookup(9999999999,FILTER('Operações-BR'!$M:$M,'Operações-BR'!$C:$C=A267,'Operações-BR'!$A:$A&lt;=C267)),0)"),0.0)</f>
        <v>0</v>
      </c>
      <c r="H267" s="184">
        <f t="shared" si="2"/>
        <v>0</v>
      </c>
      <c r="I267" s="184">
        <f>IFERROR(__xludf.DUMMYFUNCTION("IFERROR(lookup(9999999999,FILTER('Operações-BR'!Q:Q,'Operações-BR'!$C:$C=A267,'Operações-BR'!$A:$A&lt;=C267))/G267,0)"),0.0)</f>
        <v>0</v>
      </c>
      <c r="J267" s="185" t="str">
        <f>IFERROR(VLOOKUP(A267,Ativos!$A$1:$G2000,5,),"")</f>
        <v/>
      </c>
      <c r="K267" s="185" t="str">
        <f>IFERROR(VLOOKUP(A267,Ativos!A:H,8,),"")</f>
        <v/>
      </c>
      <c r="L267" s="186">
        <f t="shared" si="3"/>
        <v>0</v>
      </c>
    </row>
    <row r="268" ht="21.0" customHeight="1">
      <c r="A268" s="187"/>
      <c r="B268" s="187"/>
      <c r="C268" s="188"/>
      <c r="D268" s="135"/>
      <c r="E268" s="189"/>
      <c r="F268" s="182" t="str">
        <f t="shared" si="1"/>
        <v/>
      </c>
      <c r="G268" s="183">
        <f>IFERROR(__xludf.DUMMYFUNCTION("IFERROR(lookup(9999999999,FILTER('Operações-BR'!$M:$M,'Operações-BR'!$C:$C=A268,'Operações-BR'!$A:$A&lt;=C268)),0)"),0.0)</f>
        <v>0</v>
      </c>
      <c r="H268" s="184">
        <f t="shared" si="2"/>
        <v>0</v>
      </c>
      <c r="I268" s="184">
        <f>IFERROR(__xludf.DUMMYFUNCTION("IFERROR(lookup(9999999999,FILTER('Operações-BR'!Q:Q,'Operações-BR'!$C:$C=A268,'Operações-BR'!$A:$A&lt;=C268))/G268,0)"),0.0)</f>
        <v>0</v>
      </c>
      <c r="J268" s="185" t="str">
        <f>IFERROR(VLOOKUP(A268,Ativos!$A$1:$G2000,5,),"")</f>
        <v/>
      </c>
      <c r="K268" s="185" t="str">
        <f>IFERROR(VLOOKUP(A268,Ativos!A:H,8,),"")</f>
        <v/>
      </c>
      <c r="L268" s="186">
        <f t="shared" si="3"/>
        <v>0</v>
      </c>
    </row>
    <row r="269" ht="21.0" customHeight="1">
      <c r="A269" s="187"/>
      <c r="B269" s="187"/>
      <c r="C269" s="188"/>
      <c r="D269" s="135"/>
      <c r="E269" s="189"/>
      <c r="F269" s="182" t="str">
        <f t="shared" si="1"/>
        <v/>
      </c>
      <c r="G269" s="183">
        <f>IFERROR(__xludf.DUMMYFUNCTION("IFERROR(lookup(9999999999,FILTER('Operações-BR'!$M:$M,'Operações-BR'!$C:$C=A269,'Operações-BR'!$A:$A&lt;=C269)),0)"),0.0)</f>
        <v>0</v>
      </c>
      <c r="H269" s="184">
        <f t="shared" si="2"/>
        <v>0</v>
      </c>
      <c r="I269" s="184">
        <f>IFERROR(__xludf.DUMMYFUNCTION("IFERROR(lookup(9999999999,FILTER('Operações-BR'!Q:Q,'Operações-BR'!$C:$C=A269,'Operações-BR'!$A:$A&lt;=C269))/G269,0)"),0.0)</f>
        <v>0</v>
      </c>
      <c r="J269" s="185" t="str">
        <f>IFERROR(VLOOKUP(A269,Ativos!$A$1:$G2000,5,),"")</f>
        <v/>
      </c>
      <c r="K269" s="185" t="str">
        <f>IFERROR(VLOOKUP(A269,Ativos!A:H,8,),"")</f>
        <v/>
      </c>
      <c r="L269" s="186">
        <f t="shared" si="3"/>
        <v>0</v>
      </c>
    </row>
    <row r="270" ht="21.0" customHeight="1">
      <c r="A270" s="187"/>
      <c r="B270" s="187"/>
      <c r="C270" s="188"/>
      <c r="D270" s="135"/>
      <c r="E270" s="189"/>
      <c r="F270" s="182" t="str">
        <f t="shared" si="1"/>
        <v/>
      </c>
      <c r="G270" s="183">
        <f>IFERROR(__xludf.DUMMYFUNCTION("IFERROR(lookup(9999999999,FILTER('Operações-BR'!$M:$M,'Operações-BR'!$C:$C=A270,'Operações-BR'!$A:$A&lt;=C270)),0)"),0.0)</f>
        <v>0</v>
      </c>
      <c r="H270" s="184">
        <f t="shared" si="2"/>
        <v>0</v>
      </c>
      <c r="I270" s="184">
        <f>IFERROR(__xludf.DUMMYFUNCTION("IFERROR(lookup(9999999999,FILTER('Operações-BR'!Q:Q,'Operações-BR'!$C:$C=A270,'Operações-BR'!$A:$A&lt;=C270))/G270,0)"),0.0)</f>
        <v>0</v>
      </c>
      <c r="J270" s="185" t="str">
        <f>IFERROR(VLOOKUP(A270,Ativos!$A$1:$G2000,5,),"")</f>
        <v/>
      </c>
      <c r="K270" s="185" t="str">
        <f>IFERROR(VLOOKUP(A270,Ativos!A:H,8,),"")</f>
        <v/>
      </c>
      <c r="L270" s="186">
        <f t="shared" si="3"/>
        <v>0</v>
      </c>
    </row>
    <row r="271" ht="21.0" customHeight="1">
      <c r="A271" s="187"/>
      <c r="B271" s="187"/>
      <c r="C271" s="188"/>
      <c r="D271" s="135"/>
      <c r="E271" s="189"/>
      <c r="F271" s="182" t="str">
        <f t="shared" si="1"/>
        <v/>
      </c>
      <c r="G271" s="183">
        <f>IFERROR(__xludf.DUMMYFUNCTION("IFERROR(lookup(9999999999,FILTER('Operações-BR'!$M:$M,'Operações-BR'!$C:$C=A271,'Operações-BR'!$A:$A&lt;=C271)),0)"),0.0)</f>
        <v>0</v>
      </c>
      <c r="H271" s="184">
        <f t="shared" si="2"/>
        <v>0</v>
      </c>
      <c r="I271" s="184">
        <f>IFERROR(__xludf.DUMMYFUNCTION("IFERROR(lookup(9999999999,FILTER('Operações-BR'!Q:Q,'Operações-BR'!$C:$C=A271,'Operações-BR'!$A:$A&lt;=C271))/G271,0)"),0.0)</f>
        <v>0</v>
      </c>
      <c r="J271" s="185" t="str">
        <f>IFERROR(VLOOKUP(A271,Ativos!$A$1:$G2000,5,),"")</f>
        <v/>
      </c>
      <c r="K271" s="185" t="str">
        <f>IFERROR(VLOOKUP(A271,Ativos!A:H,8,),"")</f>
        <v/>
      </c>
      <c r="L271" s="186">
        <f t="shared" si="3"/>
        <v>0</v>
      </c>
    </row>
    <row r="272" ht="21.0" customHeight="1">
      <c r="A272" s="187"/>
      <c r="B272" s="187"/>
      <c r="C272" s="188"/>
      <c r="D272" s="135"/>
      <c r="E272" s="189"/>
      <c r="F272" s="182" t="str">
        <f t="shared" si="1"/>
        <v/>
      </c>
      <c r="G272" s="183">
        <f>IFERROR(__xludf.DUMMYFUNCTION("IFERROR(lookup(9999999999,FILTER('Operações-BR'!$M:$M,'Operações-BR'!$C:$C=A272,'Operações-BR'!$A:$A&lt;=C272)),0)"),0.0)</f>
        <v>0</v>
      </c>
      <c r="H272" s="184">
        <f t="shared" si="2"/>
        <v>0</v>
      </c>
      <c r="I272" s="184">
        <f>IFERROR(__xludf.DUMMYFUNCTION("IFERROR(lookup(9999999999,FILTER('Operações-BR'!Q:Q,'Operações-BR'!$C:$C=A272,'Operações-BR'!$A:$A&lt;=C272))/G272,0)"),0.0)</f>
        <v>0</v>
      </c>
      <c r="J272" s="185" t="str">
        <f>IFERROR(VLOOKUP(A272,Ativos!$A$1:$G2000,5,),"")</f>
        <v/>
      </c>
      <c r="K272" s="185" t="str">
        <f>IFERROR(VLOOKUP(A272,Ativos!A:H,8,),"")</f>
        <v/>
      </c>
      <c r="L272" s="186">
        <f t="shared" si="3"/>
        <v>0</v>
      </c>
    </row>
    <row r="273" ht="21.0" customHeight="1">
      <c r="A273" s="187"/>
      <c r="B273" s="187"/>
      <c r="C273" s="188"/>
      <c r="D273" s="135"/>
      <c r="E273" s="189"/>
      <c r="F273" s="182" t="str">
        <f t="shared" si="1"/>
        <v/>
      </c>
      <c r="G273" s="183">
        <f>IFERROR(__xludf.DUMMYFUNCTION("IFERROR(lookup(9999999999,FILTER('Operações-BR'!$M:$M,'Operações-BR'!$C:$C=A273,'Operações-BR'!$A:$A&lt;=C273)),0)"),0.0)</f>
        <v>0</v>
      </c>
      <c r="H273" s="184">
        <f t="shared" si="2"/>
        <v>0</v>
      </c>
      <c r="I273" s="184">
        <f>IFERROR(__xludf.DUMMYFUNCTION("IFERROR(lookup(9999999999,FILTER('Operações-BR'!Q:Q,'Operações-BR'!$C:$C=A273,'Operações-BR'!$A:$A&lt;=C273))/G273,0)"),0.0)</f>
        <v>0</v>
      </c>
      <c r="J273" s="185" t="str">
        <f>IFERROR(VLOOKUP(A273,Ativos!$A$1:$G2000,5,),"")</f>
        <v/>
      </c>
      <c r="K273" s="185" t="str">
        <f>IFERROR(VLOOKUP(A273,Ativos!A:H,8,),"")</f>
        <v/>
      </c>
      <c r="L273" s="186">
        <f t="shared" si="3"/>
        <v>0</v>
      </c>
    </row>
    <row r="274" ht="21.0" customHeight="1">
      <c r="A274" s="187"/>
      <c r="B274" s="187"/>
      <c r="C274" s="188"/>
      <c r="D274" s="135"/>
      <c r="E274" s="189"/>
      <c r="F274" s="182" t="str">
        <f t="shared" si="1"/>
        <v/>
      </c>
      <c r="G274" s="183">
        <f>IFERROR(__xludf.DUMMYFUNCTION("IFERROR(lookup(9999999999,FILTER('Operações-BR'!$M:$M,'Operações-BR'!$C:$C=A274,'Operações-BR'!$A:$A&lt;=C274)),0)"),0.0)</f>
        <v>0</v>
      </c>
      <c r="H274" s="184">
        <f t="shared" si="2"/>
        <v>0</v>
      </c>
      <c r="I274" s="184">
        <f>IFERROR(__xludf.DUMMYFUNCTION("IFERROR(lookup(9999999999,FILTER('Operações-BR'!Q:Q,'Operações-BR'!$C:$C=A274,'Operações-BR'!$A:$A&lt;=C274))/G274,0)"),0.0)</f>
        <v>0</v>
      </c>
      <c r="J274" s="185" t="str">
        <f>IFERROR(VLOOKUP(A274,Ativos!$A$1:$G2000,5,),"")</f>
        <v/>
      </c>
      <c r="K274" s="185" t="str">
        <f>IFERROR(VLOOKUP(A274,Ativos!A:H,8,),"")</f>
        <v/>
      </c>
      <c r="L274" s="186">
        <f t="shared" si="3"/>
        <v>0</v>
      </c>
    </row>
    <row r="275" ht="21.0" customHeight="1">
      <c r="A275" s="187"/>
      <c r="B275" s="187"/>
      <c r="C275" s="188"/>
      <c r="D275" s="135"/>
      <c r="E275" s="189"/>
      <c r="F275" s="182" t="str">
        <f t="shared" si="1"/>
        <v/>
      </c>
      <c r="G275" s="183">
        <f>IFERROR(__xludf.DUMMYFUNCTION("IFERROR(lookup(9999999999,FILTER('Operações-BR'!$M:$M,'Operações-BR'!$C:$C=A275,'Operações-BR'!$A:$A&lt;=C275)),0)"),0.0)</f>
        <v>0</v>
      </c>
      <c r="H275" s="184">
        <f t="shared" si="2"/>
        <v>0</v>
      </c>
      <c r="I275" s="184">
        <f>IFERROR(__xludf.DUMMYFUNCTION("IFERROR(lookup(9999999999,FILTER('Operações-BR'!Q:Q,'Operações-BR'!$C:$C=A275,'Operações-BR'!$A:$A&lt;=C275))/G275,0)"),0.0)</f>
        <v>0</v>
      </c>
      <c r="J275" s="185" t="str">
        <f>IFERROR(VLOOKUP(A275,Ativos!$A$1:$G2000,5,),"")</f>
        <v/>
      </c>
      <c r="K275" s="185" t="str">
        <f>IFERROR(VLOOKUP(A275,Ativos!A:H,8,),"")</f>
        <v/>
      </c>
      <c r="L275" s="186">
        <f t="shared" si="3"/>
        <v>0</v>
      </c>
    </row>
    <row r="276" ht="21.0" customHeight="1">
      <c r="A276" s="187"/>
      <c r="B276" s="187"/>
      <c r="C276" s="188"/>
      <c r="D276" s="135"/>
      <c r="E276" s="189"/>
      <c r="F276" s="182" t="str">
        <f t="shared" si="1"/>
        <v/>
      </c>
      <c r="G276" s="183">
        <f>IFERROR(__xludf.DUMMYFUNCTION("IFERROR(lookup(9999999999,FILTER('Operações-BR'!$M:$M,'Operações-BR'!$C:$C=A276,'Operações-BR'!$A:$A&lt;=C276)),0)"),0.0)</f>
        <v>0</v>
      </c>
      <c r="H276" s="184">
        <f t="shared" si="2"/>
        <v>0</v>
      </c>
      <c r="I276" s="184">
        <f>IFERROR(__xludf.DUMMYFUNCTION("IFERROR(lookup(9999999999,FILTER('Operações-BR'!Q:Q,'Operações-BR'!$C:$C=A276,'Operações-BR'!$A:$A&lt;=C276))/G276,0)"),0.0)</f>
        <v>0</v>
      </c>
      <c r="J276" s="185" t="str">
        <f>IFERROR(VLOOKUP(A276,Ativos!$A$1:$G2000,5,),"")</f>
        <v/>
      </c>
      <c r="K276" s="185" t="str">
        <f>IFERROR(VLOOKUP(A276,Ativos!A:H,8,),"")</f>
        <v/>
      </c>
      <c r="L276" s="186">
        <f t="shared" si="3"/>
        <v>0</v>
      </c>
    </row>
    <row r="277" ht="21.0" customHeight="1">
      <c r="A277" s="187"/>
      <c r="B277" s="187"/>
      <c r="C277" s="188"/>
      <c r="D277" s="135"/>
      <c r="E277" s="189"/>
      <c r="F277" s="182" t="str">
        <f t="shared" si="1"/>
        <v/>
      </c>
      <c r="G277" s="183">
        <f>IFERROR(__xludf.DUMMYFUNCTION("IFERROR(lookup(9999999999,FILTER('Operações-BR'!$M:$M,'Operações-BR'!$C:$C=A277,'Operações-BR'!$A:$A&lt;=C277)),0)"),0.0)</f>
        <v>0</v>
      </c>
      <c r="H277" s="184">
        <f t="shared" si="2"/>
        <v>0</v>
      </c>
      <c r="I277" s="184">
        <f>IFERROR(__xludf.DUMMYFUNCTION("IFERROR(lookup(9999999999,FILTER('Operações-BR'!Q:Q,'Operações-BR'!$C:$C=A277,'Operações-BR'!$A:$A&lt;=C277))/G277,0)"),0.0)</f>
        <v>0</v>
      </c>
      <c r="J277" s="185" t="str">
        <f>IFERROR(VLOOKUP(A277,Ativos!$A$1:$G2000,5,),"")</f>
        <v/>
      </c>
      <c r="K277" s="185" t="str">
        <f>IFERROR(VLOOKUP(A277,Ativos!A:H,8,),"")</f>
        <v/>
      </c>
      <c r="L277" s="186">
        <f t="shared" si="3"/>
        <v>0</v>
      </c>
    </row>
    <row r="278" ht="21.0" customHeight="1">
      <c r="A278" s="187"/>
      <c r="B278" s="187"/>
      <c r="C278" s="188"/>
      <c r="D278" s="135"/>
      <c r="E278" s="189"/>
      <c r="F278" s="182" t="str">
        <f t="shared" si="1"/>
        <v/>
      </c>
      <c r="G278" s="183">
        <f>IFERROR(__xludf.DUMMYFUNCTION("IFERROR(lookup(9999999999,FILTER('Operações-BR'!$M:$M,'Operações-BR'!$C:$C=A278,'Operações-BR'!$A:$A&lt;=C278)),0)"),0.0)</f>
        <v>0</v>
      </c>
      <c r="H278" s="184">
        <f t="shared" si="2"/>
        <v>0</v>
      </c>
      <c r="I278" s="184">
        <f>IFERROR(__xludf.DUMMYFUNCTION("IFERROR(lookup(9999999999,FILTER('Operações-BR'!Q:Q,'Operações-BR'!$C:$C=A278,'Operações-BR'!$A:$A&lt;=C278))/G278,0)"),0.0)</f>
        <v>0</v>
      </c>
      <c r="J278" s="185" t="str">
        <f>IFERROR(VLOOKUP(A278,Ativos!$A$1:$G2000,5,),"")</f>
        <v/>
      </c>
      <c r="K278" s="185" t="str">
        <f>IFERROR(VLOOKUP(A278,Ativos!A:H,8,),"")</f>
        <v/>
      </c>
      <c r="L278" s="186">
        <f t="shared" si="3"/>
        <v>0</v>
      </c>
    </row>
    <row r="279" ht="21.0" customHeight="1">
      <c r="A279" s="187"/>
      <c r="B279" s="187"/>
      <c r="C279" s="188"/>
      <c r="D279" s="135"/>
      <c r="E279" s="189"/>
      <c r="F279" s="182" t="str">
        <f t="shared" si="1"/>
        <v/>
      </c>
      <c r="G279" s="183">
        <f>IFERROR(__xludf.DUMMYFUNCTION("IFERROR(lookup(9999999999,FILTER('Operações-BR'!$M:$M,'Operações-BR'!$C:$C=A279,'Operações-BR'!$A:$A&lt;=C279)),0)"),0.0)</f>
        <v>0</v>
      </c>
      <c r="H279" s="184">
        <f t="shared" si="2"/>
        <v>0</v>
      </c>
      <c r="I279" s="184">
        <f>IFERROR(__xludf.DUMMYFUNCTION("IFERROR(lookup(9999999999,FILTER('Operações-BR'!Q:Q,'Operações-BR'!$C:$C=A279,'Operações-BR'!$A:$A&lt;=C279))/G279,0)"),0.0)</f>
        <v>0</v>
      </c>
      <c r="J279" s="185" t="str">
        <f>IFERROR(VLOOKUP(A279,Ativos!$A$1:$G2000,5,),"")</f>
        <v/>
      </c>
      <c r="K279" s="185" t="str">
        <f>IFERROR(VLOOKUP(A279,Ativos!A:H,8,),"")</f>
        <v/>
      </c>
      <c r="L279" s="186">
        <f t="shared" si="3"/>
        <v>0</v>
      </c>
    </row>
    <row r="280" ht="21.0" customHeight="1">
      <c r="A280" s="187"/>
      <c r="B280" s="187"/>
      <c r="C280" s="188"/>
      <c r="D280" s="135"/>
      <c r="E280" s="189"/>
      <c r="F280" s="182" t="str">
        <f t="shared" si="1"/>
        <v/>
      </c>
      <c r="G280" s="183">
        <f>IFERROR(__xludf.DUMMYFUNCTION("IFERROR(lookup(9999999999,FILTER('Operações-BR'!$M:$M,'Operações-BR'!$C:$C=A280,'Operações-BR'!$A:$A&lt;=C280)),0)"),0.0)</f>
        <v>0</v>
      </c>
      <c r="H280" s="184">
        <f t="shared" si="2"/>
        <v>0</v>
      </c>
      <c r="I280" s="184">
        <f>IFERROR(__xludf.DUMMYFUNCTION("IFERROR(lookup(9999999999,FILTER('Operações-BR'!Q:Q,'Operações-BR'!$C:$C=A280,'Operações-BR'!$A:$A&lt;=C280))/G280,0)"),0.0)</f>
        <v>0</v>
      </c>
      <c r="J280" s="185" t="str">
        <f>IFERROR(VLOOKUP(A280,Ativos!$A$1:$G2000,5,),"")</f>
        <v/>
      </c>
      <c r="K280" s="185" t="str">
        <f>IFERROR(VLOOKUP(A280,Ativos!A:H,8,),"")</f>
        <v/>
      </c>
      <c r="L280" s="186">
        <f t="shared" si="3"/>
        <v>0</v>
      </c>
    </row>
    <row r="281" ht="21.0" customHeight="1">
      <c r="A281" s="187"/>
      <c r="B281" s="187"/>
      <c r="C281" s="188"/>
      <c r="D281" s="135"/>
      <c r="E281" s="189"/>
      <c r="F281" s="182" t="str">
        <f t="shared" si="1"/>
        <v/>
      </c>
      <c r="G281" s="183">
        <f>IFERROR(__xludf.DUMMYFUNCTION("IFERROR(lookup(9999999999,FILTER('Operações-BR'!$M:$M,'Operações-BR'!$C:$C=A281,'Operações-BR'!$A:$A&lt;=C281)),0)"),0.0)</f>
        <v>0</v>
      </c>
      <c r="H281" s="184">
        <f t="shared" si="2"/>
        <v>0</v>
      </c>
      <c r="I281" s="184">
        <f>IFERROR(__xludf.DUMMYFUNCTION("IFERROR(lookup(9999999999,FILTER('Operações-BR'!Q:Q,'Operações-BR'!$C:$C=A281,'Operações-BR'!$A:$A&lt;=C281))/G281,0)"),0.0)</f>
        <v>0</v>
      </c>
      <c r="J281" s="185" t="str">
        <f>IFERROR(VLOOKUP(A281,Ativos!$A$1:$G2000,5,),"")</f>
        <v/>
      </c>
      <c r="K281" s="185" t="str">
        <f>IFERROR(VLOOKUP(A281,Ativos!A:H,8,),"")</f>
        <v/>
      </c>
      <c r="L281" s="186">
        <f t="shared" si="3"/>
        <v>0</v>
      </c>
    </row>
    <row r="282" ht="21.0" customHeight="1">
      <c r="A282" s="187"/>
      <c r="B282" s="187"/>
      <c r="C282" s="188"/>
      <c r="D282" s="135"/>
      <c r="E282" s="189"/>
      <c r="F282" s="182" t="str">
        <f t="shared" si="1"/>
        <v/>
      </c>
      <c r="G282" s="183">
        <f>IFERROR(__xludf.DUMMYFUNCTION("IFERROR(lookup(9999999999,FILTER('Operações-BR'!$M:$M,'Operações-BR'!$C:$C=A282,'Operações-BR'!$A:$A&lt;=C282)),0)"),0.0)</f>
        <v>0</v>
      </c>
      <c r="H282" s="184">
        <f t="shared" si="2"/>
        <v>0</v>
      </c>
      <c r="I282" s="184">
        <f>IFERROR(__xludf.DUMMYFUNCTION("IFERROR(lookup(9999999999,FILTER('Operações-BR'!Q:Q,'Operações-BR'!$C:$C=A282,'Operações-BR'!$A:$A&lt;=C282))/G282,0)"),0.0)</f>
        <v>0</v>
      </c>
      <c r="J282" s="185" t="str">
        <f>IFERROR(VLOOKUP(A282,Ativos!$A$1:$G2000,5,),"")</f>
        <v/>
      </c>
      <c r="K282" s="185" t="str">
        <f>IFERROR(VLOOKUP(A282,Ativos!A:H,8,),"")</f>
        <v/>
      </c>
      <c r="L282" s="186">
        <f t="shared" si="3"/>
        <v>0</v>
      </c>
    </row>
    <row r="283" ht="21.0" customHeight="1">
      <c r="A283" s="187"/>
      <c r="B283" s="187"/>
      <c r="C283" s="188"/>
      <c r="D283" s="135"/>
      <c r="E283" s="189"/>
      <c r="F283" s="182" t="str">
        <f t="shared" si="1"/>
        <v/>
      </c>
      <c r="G283" s="183">
        <f>IFERROR(__xludf.DUMMYFUNCTION("IFERROR(lookup(9999999999,FILTER('Operações-BR'!$M:$M,'Operações-BR'!$C:$C=A283,'Operações-BR'!$A:$A&lt;=C283)),0)"),0.0)</f>
        <v>0</v>
      </c>
      <c r="H283" s="184">
        <f t="shared" si="2"/>
        <v>0</v>
      </c>
      <c r="I283" s="184">
        <f>IFERROR(__xludf.DUMMYFUNCTION("IFERROR(lookup(9999999999,FILTER('Operações-BR'!Q:Q,'Operações-BR'!$C:$C=A283,'Operações-BR'!$A:$A&lt;=C283))/G283,0)"),0.0)</f>
        <v>0</v>
      </c>
      <c r="J283" s="185" t="str">
        <f>IFERROR(VLOOKUP(A283,Ativos!$A$1:$G2000,5,),"")</f>
        <v/>
      </c>
      <c r="K283" s="185" t="str">
        <f>IFERROR(VLOOKUP(A283,Ativos!A:H,8,),"")</f>
        <v/>
      </c>
      <c r="L283" s="186">
        <f t="shared" si="3"/>
        <v>0</v>
      </c>
    </row>
    <row r="284" ht="21.0" customHeight="1">
      <c r="A284" s="187"/>
      <c r="B284" s="187"/>
      <c r="C284" s="188"/>
      <c r="D284" s="135"/>
      <c r="E284" s="189"/>
      <c r="F284" s="182" t="str">
        <f t="shared" si="1"/>
        <v/>
      </c>
      <c r="G284" s="183">
        <f>IFERROR(__xludf.DUMMYFUNCTION("IFERROR(lookup(9999999999,FILTER('Operações-BR'!$M:$M,'Operações-BR'!$C:$C=A284,'Operações-BR'!$A:$A&lt;=C284)),0)"),0.0)</f>
        <v>0</v>
      </c>
      <c r="H284" s="184">
        <f t="shared" si="2"/>
        <v>0</v>
      </c>
      <c r="I284" s="184">
        <f>IFERROR(__xludf.DUMMYFUNCTION("IFERROR(lookup(9999999999,FILTER('Operações-BR'!Q:Q,'Operações-BR'!$C:$C=A284,'Operações-BR'!$A:$A&lt;=C284))/G284,0)"),0.0)</f>
        <v>0</v>
      </c>
      <c r="J284" s="185" t="str">
        <f>IFERROR(VLOOKUP(A284,Ativos!$A$1:$G2000,5,),"")</f>
        <v/>
      </c>
      <c r="K284" s="185" t="str">
        <f>IFERROR(VLOOKUP(A284,Ativos!A:H,8,),"")</f>
        <v/>
      </c>
      <c r="L284" s="186">
        <f t="shared" si="3"/>
        <v>0</v>
      </c>
    </row>
    <row r="285" ht="21.0" customHeight="1">
      <c r="A285" s="187"/>
      <c r="B285" s="187"/>
      <c r="C285" s="188"/>
      <c r="D285" s="135"/>
      <c r="E285" s="189"/>
      <c r="F285" s="182" t="str">
        <f t="shared" si="1"/>
        <v/>
      </c>
      <c r="G285" s="183">
        <f>IFERROR(__xludf.DUMMYFUNCTION("IFERROR(lookup(9999999999,FILTER('Operações-BR'!$M:$M,'Operações-BR'!$C:$C=A285,'Operações-BR'!$A:$A&lt;=C285)),0)"),0.0)</f>
        <v>0</v>
      </c>
      <c r="H285" s="184">
        <f t="shared" si="2"/>
        <v>0</v>
      </c>
      <c r="I285" s="184">
        <f>IFERROR(__xludf.DUMMYFUNCTION("IFERROR(lookup(9999999999,FILTER('Operações-BR'!Q:Q,'Operações-BR'!$C:$C=A285,'Operações-BR'!$A:$A&lt;=C285))/G285,0)"),0.0)</f>
        <v>0</v>
      </c>
      <c r="J285" s="185" t="str">
        <f>IFERROR(VLOOKUP(A285,Ativos!$A$1:$G2000,5,),"")</f>
        <v/>
      </c>
      <c r="K285" s="185" t="str">
        <f>IFERROR(VLOOKUP(A285,Ativos!A:H,8,),"")</f>
        <v/>
      </c>
      <c r="L285" s="186">
        <f t="shared" si="3"/>
        <v>0</v>
      </c>
    </row>
    <row r="286" ht="21.0" customHeight="1">
      <c r="A286" s="187"/>
      <c r="B286" s="187"/>
      <c r="C286" s="188"/>
      <c r="D286" s="135"/>
      <c r="E286" s="189"/>
      <c r="F286" s="182" t="str">
        <f t="shared" si="1"/>
        <v/>
      </c>
      <c r="G286" s="183">
        <f>IFERROR(__xludf.DUMMYFUNCTION("IFERROR(lookup(9999999999,FILTER('Operações-BR'!$M:$M,'Operações-BR'!$C:$C=A286,'Operações-BR'!$A:$A&lt;=C286)),0)"),0.0)</f>
        <v>0</v>
      </c>
      <c r="H286" s="184">
        <f t="shared" si="2"/>
        <v>0</v>
      </c>
      <c r="I286" s="184">
        <f>IFERROR(__xludf.DUMMYFUNCTION("IFERROR(lookup(9999999999,FILTER('Operações-BR'!Q:Q,'Operações-BR'!$C:$C=A286,'Operações-BR'!$A:$A&lt;=C286))/G286,0)"),0.0)</f>
        <v>0</v>
      </c>
      <c r="J286" s="185" t="str">
        <f>IFERROR(VLOOKUP(A286,Ativos!$A$1:$G2000,5,),"")</f>
        <v/>
      </c>
      <c r="K286" s="185" t="str">
        <f>IFERROR(VLOOKUP(A286,Ativos!A:H,8,),"")</f>
        <v/>
      </c>
      <c r="L286" s="186">
        <f t="shared" si="3"/>
        <v>0</v>
      </c>
    </row>
    <row r="287" ht="21.0" customHeight="1">
      <c r="A287" s="187"/>
      <c r="B287" s="187"/>
      <c r="C287" s="188"/>
      <c r="D287" s="135"/>
      <c r="E287" s="189"/>
      <c r="F287" s="182" t="str">
        <f t="shared" si="1"/>
        <v/>
      </c>
      <c r="G287" s="183">
        <f>IFERROR(__xludf.DUMMYFUNCTION("IFERROR(lookup(9999999999,FILTER('Operações-BR'!$M:$M,'Operações-BR'!$C:$C=A287,'Operações-BR'!$A:$A&lt;=C287)),0)"),0.0)</f>
        <v>0</v>
      </c>
      <c r="H287" s="184">
        <f t="shared" si="2"/>
        <v>0</v>
      </c>
      <c r="I287" s="184">
        <f>IFERROR(__xludf.DUMMYFUNCTION("IFERROR(lookup(9999999999,FILTER('Operações-BR'!Q:Q,'Operações-BR'!$C:$C=A287,'Operações-BR'!$A:$A&lt;=C287))/G287,0)"),0.0)</f>
        <v>0</v>
      </c>
      <c r="J287" s="185" t="str">
        <f>IFERROR(VLOOKUP(A287,Ativos!$A$1:$G2000,5,),"")</f>
        <v/>
      </c>
      <c r="K287" s="185" t="str">
        <f>IFERROR(VLOOKUP(A287,Ativos!A:H,8,),"")</f>
        <v/>
      </c>
      <c r="L287" s="186">
        <f t="shared" si="3"/>
        <v>0</v>
      </c>
    </row>
    <row r="288" ht="21.0" customHeight="1">
      <c r="A288" s="187"/>
      <c r="B288" s="187"/>
      <c r="C288" s="188"/>
      <c r="D288" s="135"/>
      <c r="E288" s="189"/>
      <c r="F288" s="182" t="str">
        <f t="shared" si="1"/>
        <v/>
      </c>
      <c r="G288" s="183">
        <f>IFERROR(__xludf.DUMMYFUNCTION("IFERROR(lookup(9999999999,FILTER('Operações-BR'!$M:$M,'Operações-BR'!$C:$C=A288,'Operações-BR'!$A:$A&lt;=C288)),0)"),0.0)</f>
        <v>0</v>
      </c>
      <c r="H288" s="184">
        <f t="shared" si="2"/>
        <v>0</v>
      </c>
      <c r="I288" s="184">
        <f>IFERROR(__xludf.DUMMYFUNCTION("IFERROR(lookup(9999999999,FILTER('Operações-BR'!Q:Q,'Operações-BR'!$C:$C=A288,'Operações-BR'!$A:$A&lt;=C288))/G288,0)"),0.0)</f>
        <v>0</v>
      </c>
      <c r="J288" s="185" t="str">
        <f>IFERROR(VLOOKUP(A288,Ativos!$A$1:$G2000,5,),"")</f>
        <v/>
      </c>
      <c r="K288" s="185" t="str">
        <f>IFERROR(VLOOKUP(A288,Ativos!A:H,8,),"")</f>
        <v/>
      </c>
      <c r="L288" s="186">
        <f t="shared" si="3"/>
        <v>0</v>
      </c>
    </row>
    <row r="289" ht="21.0" customHeight="1">
      <c r="A289" s="187"/>
      <c r="B289" s="187"/>
      <c r="C289" s="188"/>
      <c r="D289" s="135"/>
      <c r="E289" s="189"/>
      <c r="F289" s="182" t="str">
        <f t="shared" si="1"/>
        <v/>
      </c>
      <c r="G289" s="183">
        <f>IFERROR(__xludf.DUMMYFUNCTION("IFERROR(lookup(9999999999,FILTER('Operações-BR'!$M:$M,'Operações-BR'!$C:$C=A289,'Operações-BR'!$A:$A&lt;=C289)),0)"),0.0)</f>
        <v>0</v>
      </c>
      <c r="H289" s="184">
        <f t="shared" si="2"/>
        <v>0</v>
      </c>
      <c r="I289" s="184">
        <f>IFERROR(__xludf.DUMMYFUNCTION("IFERROR(lookup(9999999999,FILTER('Operações-BR'!Q:Q,'Operações-BR'!$C:$C=A289,'Operações-BR'!$A:$A&lt;=C289))/G289,0)"),0.0)</f>
        <v>0</v>
      </c>
      <c r="J289" s="185" t="str">
        <f>IFERROR(VLOOKUP(A289,Ativos!$A$1:$G2000,5,),"")</f>
        <v/>
      </c>
      <c r="K289" s="185" t="str">
        <f>IFERROR(VLOOKUP(A289,Ativos!A:H,8,),"")</f>
        <v/>
      </c>
      <c r="L289" s="186">
        <f t="shared" si="3"/>
        <v>0</v>
      </c>
    </row>
    <row r="290" ht="21.0" customHeight="1">
      <c r="A290" s="187"/>
      <c r="B290" s="187"/>
      <c r="C290" s="188"/>
      <c r="D290" s="135"/>
      <c r="E290" s="189"/>
      <c r="F290" s="182" t="str">
        <f t="shared" si="1"/>
        <v/>
      </c>
      <c r="G290" s="183">
        <f>IFERROR(__xludf.DUMMYFUNCTION("IFERROR(lookup(9999999999,FILTER('Operações-BR'!$M:$M,'Operações-BR'!$C:$C=A290,'Operações-BR'!$A:$A&lt;=C290)),0)"),0.0)</f>
        <v>0</v>
      </c>
      <c r="H290" s="184">
        <f t="shared" si="2"/>
        <v>0</v>
      </c>
      <c r="I290" s="184">
        <f>IFERROR(__xludf.DUMMYFUNCTION("IFERROR(lookup(9999999999,FILTER('Operações-BR'!Q:Q,'Operações-BR'!$C:$C=A290,'Operações-BR'!$A:$A&lt;=C290))/G290,0)"),0.0)</f>
        <v>0</v>
      </c>
      <c r="J290" s="185" t="str">
        <f>IFERROR(VLOOKUP(A290,Ativos!$A$1:$G2000,5,),"")</f>
        <v/>
      </c>
      <c r="K290" s="185" t="str">
        <f>IFERROR(VLOOKUP(A290,Ativos!A:H,8,),"")</f>
        <v/>
      </c>
      <c r="L290" s="186">
        <f t="shared" si="3"/>
        <v>0</v>
      </c>
    </row>
    <row r="291" ht="21.0" customHeight="1">
      <c r="A291" s="187"/>
      <c r="B291" s="187"/>
      <c r="C291" s="188"/>
      <c r="D291" s="135"/>
      <c r="E291" s="189"/>
      <c r="F291" s="182" t="str">
        <f t="shared" si="1"/>
        <v/>
      </c>
      <c r="G291" s="183">
        <f>IFERROR(__xludf.DUMMYFUNCTION("IFERROR(lookup(9999999999,FILTER('Operações-BR'!$M:$M,'Operações-BR'!$C:$C=A291,'Operações-BR'!$A:$A&lt;=C291)),0)"),0.0)</f>
        <v>0</v>
      </c>
      <c r="H291" s="184">
        <f t="shared" si="2"/>
        <v>0</v>
      </c>
      <c r="I291" s="184">
        <f>IFERROR(__xludf.DUMMYFUNCTION("IFERROR(lookup(9999999999,FILTER('Operações-BR'!Q:Q,'Operações-BR'!$C:$C=A291,'Operações-BR'!$A:$A&lt;=C291))/G291,0)"),0.0)</f>
        <v>0</v>
      </c>
      <c r="J291" s="185" t="str">
        <f>IFERROR(VLOOKUP(A291,Ativos!$A$1:$G2000,5,),"")</f>
        <v/>
      </c>
      <c r="K291" s="185" t="str">
        <f>IFERROR(VLOOKUP(A291,Ativos!A:H,8,),"")</f>
        <v/>
      </c>
      <c r="L291" s="186">
        <f t="shared" si="3"/>
        <v>0</v>
      </c>
    </row>
    <row r="292" ht="21.0" customHeight="1">
      <c r="A292" s="187"/>
      <c r="B292" s="187"/>
      <c r="C292" s="188"/>
      <c r="D292" s="135"/>
      <c r="E292" s="189"/>
      <c r="F292" s="182" t="str">
        <f t="shared" si="1"/>
        <v/>
      </c>
      <c r="G292" s="183">
        <f>IFERROR(__xludf.DUMMYFUNCTION("IFERROR(lookup(9999999999,FILTER('Operações-BR'!$M:$M,'Operações-BR'!$C:$C=A292,'Operações-BR'!$A:$A&lt;=C292)),0)"),0.0)</f>
        <v>0</v>
      </c>
      <c r="H292" s="184">
        <f t="shared" si="2"/>
        <v>0</v>
      </c>
      <c r="I292" s="184">
        <f>IFERROR(__xludf.DUMMYFUNCTION("IFERROR(lookup(9999999999,FILTER('Operações-BR'!Q:Q,'Operações-BR'!$C:$C=A292,'Operações-BR'!$A:$A&lt;=C292))/G292,0)"),0.0)</f>
        <v>0</v>
      </c>
      <c r="J292" s="185" t="str">
        <f>IFERROR(VLOOKUP(A292,Ativos!$A$1:$G2000,5,),"")</f>
        <v/>
      </c>
      <c r="K292" s="185" t="str">
        <f>IFERROR(VLOOKUP(A292,Ativos!A:H,8,),"")</f>
        <v/>
      </c>
      <c r="L292" s="186">
        <f t="shared" si="3"/>
        <v>0</v>
      </c>
    </row>
    <row r="293" ht="21.0" customHeight="1">
      <c r="A293" s="187"/>
      <c r="B293" s="187"/>
      <c r="C293" s="188"/>
      <c r="D293" s="135"/>
      <c r="E293" s="189"/>
      <c r="F293" s="182" t="str">
        <f t="shared" si="1"/>
        <v/>
      </c>
      <c r="G293" s="183">
        <f>IFERROR(__xludf.DUMMYFUNCTION("IFERROR(lookup(9999999999,FILTER('Operações-BR'!$M:$M,'Operações-BR'!$C:$C=A293,'Operações-BR'!$A:$A&lt;=C293)),0)"),0.0)</f>
        <v>0</v>
      </c>
      <c r="H293" s="184">
        <f t="shared" si="2"/>
        <v>0</v>
      </c>
      <c r="I293" s="184">
        <f>IFERROR(__xludf.DUMMYFUNCTION("IFERROR(lookup(9999999999,FILTER('Operações-BR'!Q:Q,'Operações-BR'!$C:$C=A293,'Operações-BR'!$A:$A&lt;=C293))/G293,0)"),0.0)</f>
        <v>0</v>
      </c>
      <c r="J293" s="185" t="str">
        <f>IFERROR(VLOOKUP(A293,Ativos!$A$1:$G2000,5,),"")</f>
        <v/>
      </c>
      <c r="K293" s="185" t="str">
        <f>IFERROR(VLOOKUP(A293,Ativos!A:H,8,),"")</f>
        <v/>
      </c>
      <c r="L293" s="186">
        <f t="shared" si="3"/>
        <v>0</v>
      </c>
    </row>
    <row r="294" ht="21.0" customHeight="1">
      <c r="A294" s="187"/>
      <c r="B294" s="187"/>
      <c r="C294" s="188"/>
      <c r="D294" s="135"/>
      <c r="E294" s="189"/>
      <c r="F294" s="182" t="str">
        <f t="shared" si="1"/>
        <v/>
      </c>
      <c r="G294" s="183">
        <f>IFERROR(__xludf.DUMMYFUNCTION("IFERROR(lookup(9999999999,FILTER('Operações-BR'!$M:$M,'Operações-BR'!$C:$C=A294,'Operações-BR'!$A:$A&lt;=C294)),0)"),0.0)</f>
        <v>0</v>
      </c>
      <c r="H294" s="184">
        <f t="shared" si="2"/>
        <v>0</v>
      </c>
      <c r="I294" s="184">
        <f>IFERROR(__xludf.DUMMYFUNCTION("IFERROR(lookup(9999999999,FILTER('Operações-BR'!Q:Q,'Operações-BR'!$C:$C=A294,'Operações-BR'!$A:$A&lt;=C294))/G294,0)"),0.0)</f>
        <v>0</v>
      </c>
      <c r="J294" s="185" t="str">
        <f>IFERROR(VLOOKUP(A294,Ativos!$A$1:$G2000,5,),"")</f>
        <v/>
      </c>
      <c r="K294" s="185" t="str">
        <f>IFERROR(VLOOKUP(A294,Ativos!A:H,8,),"")</f>
        <v/>
      </c>
      <c r="L294" s="186">
        <f t="shared" si="3"/>
        <v>0</v>
      </c>
    </row>
    <row r="295" ht="21.0" customHeight="1">
      <c r="A295" s="187"/>
      <c r="B295" s="187"/>
      <c r="C295" s="188"/>
      <c r="D295" s="135"/>
      <c r="E295" s="189"/>
      <c r="F295" s="182" t="str">
        <f t="shared" si="1"/>
        <v/>
      </c>
      <c r="G295" s="183">
        <f>IFERROR(__xludf.DUMMYFUNCTION("IFERROR(lookup(9999999999,FILTER('Operações-BR'!$M:$M,'Operações-BR'!$C:$C=A295,'Operações-BR'!$A:$A&lt;=C295)),0)"),0.0)</f>
        <v>0</v>
      </c>
      <c r="H295" s="184">
        <f t="shared" si="2"/>
        <v>0</v>
      </c>
      <c r="I295" s="184">
        <f>IFERROR(__xludf.DUMMYFUNCTION("IFERROR(lookup(9999999999,FILTER('Operações-BR'!Q:Q,'Operações-BR'!$C:$C=A295,'Operações-BR'!$A:$A&lt;=C295))/G295,0)"),0.0)</f>
        <v>0</v>
      </c>
      <c r="J295" s="185" t="str">
        <f>IFERROR(VLOOKUP(A295,Ativos!$A$1:$G2000,5,),"")</f>
        <v/>
      </c>
      <c r="K295" s="185" t="str">
        <f>IFERROR(VLOOKUP(A295,Ativos!A:H,8,),"")</f>
        <v/>
      </c>
      <c r="L295" s="186">
        <f t="shared" si="3"/>
        <v>0</v>
      </c>
    </row>
    <row r="296" ht="21.0" customHeight="1">
      <c r="A296" s="187"/>
      <c r="B296" s="187"/>
      <c r="C296" s="188"/>
      <c r="D296" s="135"/>
      <c r="E296" s="189"/>
      <c r="F296" s="182" t="str">
        <f t="shared" si="1"/>
        <v/>
      </c>
      <c r="G296" s="183">
        <f>IFERROR(__xludf.DUMMYFUNCTION("IFERROR(lookup(9999999999,FILTER('Operações-BR'!$M:$M,'Operações-BR'!$C:$C=A296,'Operações-BR'!$A:$A&lt;=C296)),0)"),0.0)</f>
        <v>0</v>
      </c>
      <c r="H296" s="184">
        <f t="shared" si="2"/>
        <v>0</v>
      </c>
      <c r="I296" s="184">
        <f>IFERROR(__xludf.DUMMYFUNCTION("IFERROR(lookup(9999999999,FILTER('Operações-BR'!Q:Q,'Operações-BR'!$C:$C=A296,'Operações-BR'!$A:$A&lt;=C296))/G296,0)"),0.0)</f>
        <v>0</v>
      </c>
      <c r="J296" s="185" t="str">
        <f>IFERROR(VLOOKUP(A296,Ativos!$A$1:$G2000,5,),"")</f>
        <v/>
      </c>
      <c r="K296" s="185" t="str">
        <f>IFERROR(VLOOKUP(A296,Ativos!A:H,8,),"")</f>
        <v/>
      </c>
      <c r="L296" s="186">
        <f t="shared" si="3"/>
        <v>0</v>
      </c>
    </row>
    <row r="297" ht="21.0" customHeight="1">
      <c r="A297" s="187"/>
      <c r="B297" s="187"/>
      <c r="C297" s="188"/>
      <c r="D297" s="135"/>
      <c r="E297" s="189"/>
      <c r="F297" s="182" t="str">
        <f t="shared" si="1"/>
        <v/>
      </c>
      <c r="G297" s="183">
        <f>IFERROR(__xludf.DUMMYFUNCTION("IFERROR(lookup(9999999999,FILTER('Operações-BR'!$M:$M,'Operações-BR'!$C:$C=A297,'Operações-BR'!$A:$A&lt;=C297)),0)"),0.0)</f>
        <v>0</v>
      </c>
      <c r="H297" s="184">
        <f t="shared" si="2"/>
        <v>0</v>
      </c>
      <c r="I297" s="184">
        <f>IFERROR(__xludf.DUMMYFUNCTION("IFERROR(lookup(9999999999,FILTER('Operações-BR'!Q:Q,'Operações-BR'!$C:$C=A297,'Operações-BR'!$A:$A&lt;=C297))/G297,0)"),0.0)</f>
        <v>0</v>
      </c>
      <c r="J297" s="185" t="str">
        <f>IFERROR(VLOOKUP(A297,Ativos!$A$1:$G2000,5,),"")</f>
        <v/>
      </c>
      <c r="K297" s="185" t="str">
        <f>IFERROR(VLOOKUP(A297,Ativos!A:H,8,),"")</f>
        <v/>
      </c>
      <c r="L297" s="186">
        <f t="shared" si="3"/>
        <v>0</v>
      </c>
    </row>
    <row r="298" ht="21.0" customHeight="1">
      <c r="A298" s="187"/>
      <c r="B298" s="187"/>
      <c r="C298" s="188"/>
      <c r="D298" s="135"/>
      <c r="E298" s="189"/>
      <c r="F298" s="182" t="str">
        <f t="shared" si="1"/>
        <v/>
      </c>
      <c r="G298" s="183">
        <f>IFERROR(__xludf.DUMMYFUNCTION("IFERROR(lookup(9999999999,FILTER('Operações-BR'!$M:$M,'Operações-BR'!$C:$C=A298,'Operações-BR'!$A:$A&lt;=C298)),0)"),0.0)</f>
        <v>0</v>
      </c>
      <c r="H298" s="184">
        <f t="shared" si="2"/>
        <v>0</v>
      </c>
      <c r="I298" s="184">
        <f>IFERROR(__xludf.DUMMYFUNCTION("IFERROR(lookup(9999999999,FILTER('Operações-BR'!Q:Q,'Operações-BR'!$C:$C=A298,'Operações-BR'!$A:$A&lt;=C298))/G298,0)"),0.0)</f>
        <v>0</v>
      </c>
      <c r="J298" s="185" t="str">
        <f>IFERROR(VLOOKUP(A298,Ativos!$A$1:$G2000,5,),"")</f>
        <v/>
      </c>
      <c r="K298" s="185" t="str">
        <f>IFERROR(VLOOKUP(A298,Ativos!A:H,8,),"")</f>
        <v/>
      </c>
      <c r="L298" s="186">
        <f t="shared" si="3"/>
        <v>0</v>
      </c>
    </row>
    <row r="299" ht="21.0" customHeight="1">
      <c r="A299" s="187"/>
      <c r="B299" s="187"/>
      <c r="C299" s="188"/>
      <c r="D299" s="135"/>
      <c r="E299" s="189"/>
      <c r="F299" s="182" t="str">
        <f t="shared" si="1"/>
        <v/>
      </c>
      <c r="G299" s="183">
        <f>IFERROR(__xludf.DUMMYFUNCTION("IFERROR(lookup(9999999999,FILTER('Operações-BR'!$M:$M,'Operações-BR'!$C:$C=A299,'Operações-BR'!$A:$A&lt;=C299)),0)"),0.0)</f>
        <v>0</v>
      </c>
      <c r="H299" s="184">
        <f t="shared" si="2"/>
        <v>0</v>
      </c>
      <c r="I299" s="184">
        <f>IFERROR(__xludf.DUMMYFUNCTION("IFERROR(lookup(9999999999,FILTER('Operações-BR'!Q:Q,'Operações-BR'!$C:$C=A299,'Operações-BR'!$A:$A&lt;=C299))/G299,0)"),0.0)</f>
        <v>0</v>
      </c>
      <c r="J299" s="185" t="str">
        <f>IFERROR(VLOOKUP(A299,Ativos!$A$1:$G2000,5,),"")</f>
        <v/>
      </c>
      <c r="K299" s="185" t="str">
        <f>IFERROR(VLOOKUP(A299,Ativos!A:H,8,),"")</f>
        <v/>
      </c>
      <c r="L299" s="186">
        <f t="shared" si="3"/>
        <v>0</v>
      </c>
    </row>
    <row r="300" ht="21.0" customHeight="1">
      <c r="A300" s="187"/>
      <c r="B300" s="187"/>
      <c r="C300" s="188"/>
      <c r="D300" s="135"/>
      <c r="E300" s="189"/>
      <c r="F300" s="182" t="str">
        <f t="shared" si="1"/>
        <v/>
      </c>
      <c r="G300" s="183">
        <f>IFERROR(__xludf.DUMMYFUNCTION("IFERROR(lookup(9999999999,FILTER('Operações-BR'!$M:$M,'Operações-BR'!$C:$C=A300,'Operações-BR'!$A:$A&lt;=C300)),0)"),0.0)</f>
        <v>0</v>
      </c>
      <c r="H300" s="184">
        <f t="shared" si="2"/>
        <v>0</v>
      </c>
      <c r="I300" s="184">
        <f>IFERROR(__xludf.DUMMYFUNCTION("IFERROR(lookup(9999999999,FILTER('Operações-BR'!Q:Q,'Operações-BR'!$C:$C=A300,'Operações-BR'!$A:$A&lt;=C300))/G300,0)"),0.0)</f>
        <v>0</v>
      </c>
      <c r="J300" s="185" t="str">
        <f>IFERROR(VLOOKUP(A300,Ativos!$A$1:$G2000,5,),"")</f>
        <v/>
      </c>
      <c r="K300" s="185" t="str">
        <f>IFERROR(VLOOKUP(A300,Ativos!A:H,8,),"")</f>
        <v/>
      </c>
      <c r="L300" s="186">
        <f t="shared" si="3"/>
        <v>0</v>
      </c>
    </row>
    <row r="301" ht="21.0" customHeight="1">
      <c r="A301" s="187"/>
      <c r="B301" s="187"/>
      <c r="C301" s="188"/>
      <c r="D301" s="135"/>
      <c r="E301" s="189"/>
      <c r="F301" s="182" t="str">
        <f t="shared" si="1"/>
        <v/>
      </c>
      <c r="G301" s="183">
        <f>IFERROR(__xludf.DUMMYFUNCTION("IFERROR(lookup(9999999999,FILTER('Operações-BR'!$M:$M,'Operações-BR'!$C:$C=A301,'Operações-BR'!$A:$A&lt;=C301)),0)"),0.0)</f>
        <v>0</v>
      </c>
      <c r="H301" s="184">
        <f t="shared" si="2"/>
        <v>0</v>
      </c>
      <c r="I301" s="184">
        <f>IFERROR(__xludf.DUMMYFUNCTION("IFERROR(lookup(9999999999,FILTER('Operações-BR'!Q:Q,'Operações-BR'!$C:$C=A301,'Operações-BR'!$A:$A&lt;=C301))/G301,0)"),0.0)</f>
        <v>0</v>
      </c>
      <c r="J301" s="185" t="str">
        <f>IFERROR(VLOOKUP(A301,Ativos!$A$1:$G2000,5,),"")</f>
        <v/>
      </c>
      <c r="K301" s="185" t="str">
        <f>IFERROR(VLOOKUP(A301,Ativos!A:H,8,),"")</f>
        <v/>
      </c>
      <c r="L301" s="186">
        <f t="shared" si="3"/>
        <v>0</v>
      </c>
    </row>
    <row r="302" ht="21.0" customHeight="1">
      <c r="A302" s="187"/>
      <c r="B302" s="187"/>
      <c r="C302" s="188"/>
      <c r="D302" s="135"/>
      <c r="E302" s="189"/>
      <c r="F302" s="182" t="str">
        <f t="shared" si="1"/>
        <v/>
      </c>
      <c r="G302" s="183">
        <f>IFERROR(__xludf.DUMMYFUNCTION("IFERROR(lookup(9999999999,FILTER('Operações-BR'!$M:$M,'Operações-BR'!$C:$C=A302,'Operações-BR'!$A:$A&lt;=C302)),0)"),0.0)</f>
        <v>0</v>
      </c>
      <c r="H302" s="184">
        <f t="shared" si="2"/>
        <v>0</v>
      </c>
      <c r="I302" s="184">
        <f>IFERROR(__xludf.DUMMYFUNCTION("IFERROR(lookup(9999999999,FILTER('Operações-BR'!Q:Q,'Operações-BR'!$C:$C=A302,'Operações-BR'!$A:$A&lt;=C302))/G302,0)"),0.0)</f>
        <v>0</v>
      </c>
      <c r="J302" s="185" t="str">
        <f>IFERROR(VLOOKUP(A302,Ativos!$A$1:$G2000,5,),"")</f>
        <v/>
      </c>
      <c r="K302" s="185" t="str">
        <f>IFERROR(VLOOKUP(A302,Ativos!A:H,8,),"")</f>
        <v/>
      </c>
      <c r="L302" s="186">
        <f t="shared" si="3"/>
        <v>0</v>
      </c>
    </row>
    <row r="303" ht="21.0" customHeight="1">
      <c r="A303" s="187"/>
      <c r="B303" s="187"/>
      <c r="C303" s="188"/>
      <c r="D303" s="135"/>
      <c r="E303" s="189"/>
      <c r="F303" s="182" t="str">
        <f t="shared" si="1"/>
        <v/>
      </c>
      <c r="G303" s="183">
        <f>IFERROR(__xludf.DUMMYFUNCTION("IFERROR(lookup(9999999999,FILTER('Operações-BR'!$M:$M,'Operações-BR'!$C:$C=A303,'Operações-BR'!$A:$A&lt;=C303)),0)"),0.0)</f>
        <v>0</v>
      </c>
      <c r="H303" s="184">
        <f t="shared" si="2"/>
        <v>0</v>
      </c>
      <c r="I303" s="184">
        <f>IFERROR(__xludf.DUMMYFUNCTION("IFERROR(lookup(9999999999,FILTER('Operações-BR'!Q:Q,'Operações-BR'!$C:$C=A303,'Operações-BR'!$A:$A&lt;=C303))/G303,0)"),0.0)</f>
        <v>0</v>
      </c>
      <c r="J303" s="185" t="str">
        <f>IFERROR(VLOOKUP(A303,Ativos!$A$1:$G2000,5,),"")</f>
        <v/>
      </c>
      <c r="K303" s="185" t="str">
        <f>IFERROR(VLOOKUP(A303,Ativos!A:H,8,),"")</f>
        <v/>
      </c>
      <c r="L303" s="186">
        <f t="shared" si="3"/>
        <v>0</v>
      </c>
    </row>
    <row r="304" ht="21.0" customHeight="1">
      <c r="A304" s="187"/>
      <c r="B304" s="187"/>
      <c r="C304" s="188"/>
      <c r="D304" s="135"/>
      <c r="E304" s="189"/>
      <c r="F304" s="182" t="str">
        <f t="shared" si="1"/>
        <v/>
      </c>
      <c r="G304" s="183">
        <f>IFERROR(__xludf.DUMMYFUNCTION("IFERROR(lookup(9999999999,FILTER('Operações-BR'!$M:$M,'Operações-BR'!$C:$C=A304,'Operações-BR'!$A:$A&lt;=C304)),0)"),0.0)</f>
        <v>0</v>
      </c>
      <c r="H304" s="184">
        <f t="shared" si="2"/>
        <v>0</v>
      </c>
      <c r="I304" s="184">
        <f>IFERROR(__xludf.DUMMYFUNCTION("IFERROR(lookup(9999999999,FILTER('Operações-BR'!Q:Q,'Operações-BR'!$C:$C=A304,'Operações-BR'!$A:$A&lt;=C304))/G304,0)"),0.0)</f>
        <v>0</v>
      </c>
      <c r="J304" s="185" t="str">
        <f>IFERROR(VLOOKUP(A304,Ativos!$A$1:$G2000,5,),"")</f>
        <v/>
      </c>
      <c r="K304" s="185" t="str">
        <f>IFERROR(VLOOKUP(A304,Ativos!A:H,8,),"")</f>
        <v/>
      </c>
      <c r="L304" s="186">
        <f t="shared" si="3"/>
        <v>0</v>
      </c>
    </row>
    <row r="305" ht="21.0" customHeight="1">
      <c r="A305" s="187"/>
      <c r="B305" s="187"/>
      <c r="C305" s="188"/>
      <c r="D305" s="135"/>
      <c r="E305" s="189"/>
      <c r="F305" s="182" t="str">
        <f t="shared" si="1"/>
        <v/>
      </c>
      <c r="G305" s="183">
        <f>IFERROR(__xludf.DUMMYFUNCTION("IFERROR(lookup(9999999999,FILTER('Operações-BR'!$M:$M,'Operações-BR'!$C:$C=A305,'Operações-BR'!$A:$A&lt;=C305)),0)"),0.0)</f>
        <v>0</v>
      </c>
      <c r="H305" s="184">
        <f t="shared" si="2"/>
        <v>0</v>
      </c>
      <c r="I305" s="184">
        <f>IFERROR(__xludf.DUMMYFUNCTION("IFERROR(lookup(9999999999,FILTER('Operações-BR'!Q:Q,'Operações-BR'!$C:$C=A305,'Operações-BR'!$A:$A&lt;=C305))/G305,0)"),0.0)</f>
        <v>0</v>
      </c>
      <c r="J305" s="185" t="str">
        <f>IFERROR(VLOOKUP(A305,Ativos!$A$1:$G2000,5,),"")</f>
        <v/>
      </c>
      <c r="K305" s="185" t="str">
        <f>IFERROR(VLOOKUP(A305,Ativos!A:H,8,),"")</f>
        <v/>
      </c>
      <c r="L305" s="186">
        <f t="shared" si="3"/>
        <v>0</v>
      </c>
    </row>
    <row r="306" ht="21.0" customHeight="1">
      <c r="A306" s="187"/>
      <c r="B306" s="187"/>
      <c r="C306" s="188"/>
      <c r="D306" s="135"/>
      <c r="E306" s="189"/>
      <c r="F306" s="182" t="str">
        <f t="shared" si="1"/>
        <v/>
      </c>
      <c r="G306" s="183">
        <f>IFERROR(__xludf.DUMMYFUNCTION("IFERROR(lookup(9999999999,FILTER('Operações-BR'!$M:$M,'Operações-BR'!$C:$C=A306,'Operações-BR'!$A:$A&lt;=C306)),0)"),0.0)</f>
        <v>0</v>
      </c>
      <c r="H306" s="184">
        <f t="shared" si="2"/>
        <v>0</v>
      </c>
      <c r="I306" s="184">
        <f>IFERROR(__xludf.DUMMYFUNCTION("IFERROR(lookup(9999999999,FILTER('Operações-BR'!Q:Q,'Operações-BR'!$C:$C=A306,'Operações-BR'!$A:$A&lt;=C306))/G306,0)"),0.0)</f>
        <v>0</v>
      </c>
      <c r="J306" s="185" t="str">
        <f>IFERROR(VLOOKUP(A306,Ativos!$A$1:$G2000,5,),"")</f>
        <v/>
      </c>
      <c r="K306" s="185" t="str">
        <f>IFERROR(VLOOKUP(A306,Ativos!A:H,8,),"")</f>
        <v/>
      </c>
      <c r="L306" s="186">
        <f t="shared" si="3"/>
        <v>0</v>
      </c>
    </row>
    <row r="307" ht="21.0" customHeight="1">
      <c r="A307" s="187"/>
      <c r="B307" s="187"/>
      <c r="C307" s="188"/>
      <c r="D307" s="135"/>
      <c r="E307" s="189"/>
      <c r="F307" s="182" t="str">
        <f t="shared" si="1"/>
        <v/>
      </c>
      <c r="G307" s="183">
        <f>IFERROR(__xludf.DUMMYFUNCTION("IFERROR(lookup(9999999999,FILTER('Operações-BR'!$M:$M,'Operações-BR'!$C:$C=A307,'Operações-BR'!$A:$A&lt;=C307)),0)"),0.0)</f>
        <v>0</v>
      </c>
      <c r="H307" s="184">
        <f t="shared" si="2"/>
        <v>0</v>
      </c>
      <c r="I307" s="184">
        <f>IFERROR(__xludf.DUMMYFUNCTION("IFERROR(lookup(9999999999,FILTER('Operações-BR'!Q:Q,'Operações-BR'!$C:$C=A307,'Operações-BR'!$A:$A&lt;=C307))/G307,0)"),0.0)</f>
        <v>0</v>
      </c>
      <c r="J307" s="185" t="str">
        <f>IFERROR(VLOOKUP(A307,Ativos!$A$1:$G2000,5,),"")</f>
        <v/>
      </c>
      <c r="K307" s="185" t="str">
        <f>IFERROR(VLOOKUP(A307,Ativos!A:H,8,),"")</f>
        <v/>
      </c>
      <c r="L307" s="186">
        <f t="shared" si="3"/>
        <v>0</v>
      </c>
    </row>
    <row r="308" ht="21.0" customHeight="1">
      <c r="A308" s="187"/>
      <c r="B308" s="187"/>
      <c r="C308" s="188"/>
      <c r="D308" s="135"/>
      <c r="E308" s="189"/>
      <c r="F308" s="182" t="str">
        <f t="shared" si="1"/>
        <v/>
      </c>
      <c r="G308" s="183">
        <f>IFERROR(__xludf.DUMMYFUNCTION("IFERROR(lookup(9999999999,FILTER('Operações-BR'!$M:$M,'Operações-BR'!$C:$C=A308,'Operações-BR'!$A:$A&lt;=C308)),0)"),0.0)</f>
        <v>0</v>
      </c>
      <c r="H308" s="184">
        <f t="shared" si="2"/>
        <v>0</v>
      </c>
      <c r="I308" s="184">
        <f>IFERROR(__xludf.DUMMYFUNCTION("IFERROR(lookup(9999999999,FILTER('Operações-BR'!Q:Q,'Operações-BR'!$C:$C=A308,'Operações-BR'!$A:$A&lt;=C308))/G308,0)"),0.0)</f>
        <v>0</v>
      </c>
      <c r="J308" s="185" t="str">
        <f>IFERROR(VLOOKUP(A308,Ativos!$A$1:$G2000,5,),"")</f>
        <v/>
      </c>
      <c r="K308" s="185" t="str">
        <f>IFERROR(VLOOKUP(A308,Ativos!A:H,8,),"")</f>
        <v/>
      </c>
      <c r="L308" s="186">
        <f t="shared" si="3"/>
        <v>0</v>
      </c>
    </row>
    <row r="309" ht="21.0" customHeight="1">
      <c r="A309" s="187"/>
      <c r="B309" s="187"/>
      <c r="C309" s="188"/>
      <c r="D309" s="135"/>
      <c r="E309" s="189"/>
      <c r="F309" s="182" t="str">
        <f t="shared" si="1"/>
        <v/>
      </c>
      <c r="G309" s="183">
        <f>IFERROR(__xludf.DUMMYFUNCTION("IFERROR(lookup(9999999999,FILTER('Operações-BR'!$M:$M,'Operações-BR'!$C:$C=A309,'Operações-BR'!$A:$A&lt;=C309)),0)"),0.0)</f>
        <v>0</v>
      </c>
      <c r="H309" s="184">
        <f t="shared" si="2"/>
        <v>0</v>
      </c>
      <c r="I309" s="184">
        <f>IFERROR(__xludf.DUMMYFUNCTION("IFERROR(lookup(9999999999,FILTER('Operações-BR'!Q:Q,'Operações-BR'!$C:$C=A309,'Operações-BR'!$A:$A&lt;=C309))/G309,0)"),0.0)</f>
        <v>0</v>
      </c>
      <c r="J309" s="185" t="str">
        <f>IFERROR(VLOOKUP(A309,Ativos!$A$1:$G2000,5,),"")</f>
        <v/>
      </c>
      <c r="K309" s="185" t="str">
        <f>IFERROR(VLOOKUP(A309,Ativos!A:H,8,),"")</f>
        <v/>
      </c>
      <c r="L309" s="186">
        <f t="shared" si="3"/>
        <v>0</v>
      </c>
    </row>
    <row r="310" ht="21.0" customHeight="1">
      <c r="A310" s="187"/>
      <c r="B310" s="187"/>
      <c r="C310" s="188"/>
      <c r="D310" s="135"/>
      <c r="E310" s="189"/>
      <c r="F310" s="182" t="str">
        <f t="shared" si="1"/>
        <v/>
      </c>
      <c r="G310" s="183">
        <f>IFERROR(__xludf.DUMMYFUNCTION("IFERROR(lookup(9999999999,FILTER('Operações-BR'!$M:$M,'Operações-BR'!$C:$C=A310,'Operações-BR'!$A:$A&lt;=C310)),0)"),0.0)</f>
        <v>0</v>
      </c>
      <c r="H310" s="184">
        <f t="shared" si="2"/>
        <v>0</v>
      </c>
      <c r="I310" s="184">
        <f>IFERROR(__xludf.DUMMYFUNCTION("IFERROR(lookup(9999999999,FILTER('Operações-BR'!Q:Q,'Operações-BR'!$C:$C=A310,'Operações-BR'!$A:$A&lt;=C310))/G310,0)"),0.0)</f>
        <v>0</v>
      </c>
      <c r="J310" s="185" t="str">
        <f>IFERROR(VLOOKUP(A310,Ativos!$A$1:$G2000,5,),"")</f>
        <v/>
      </c>
      <c r="K310" s="185" t="str">
        <f>IFERROR(VLOOKUP(A310,Ativos!A:H,8,),"")</f>
        <v/>
      </c>
      <c r="L310" s="186">
        <f t="shared" si="3"/>
        <v>0</v>
      </c>
    </row>
    <row r="311" ht="21.0" customHeight="1">
      <c r="A311" s="187"/>
      <c r="B311" s="187"/>
      <c r="C311" s="188"/>
      <c r="D311" s="135"/>
      <c r="E311" s="189"/>
      <c r="F311" s="182" t="str">
        <f t="shared" si="1"/>
        <v/>
      </c>
      <c r="G311" s="183">
        <f>IFERROR(__xludf.DUMMYFUNCTION("IFERROR(lookup(9999999999,FILTER('Operações-BR'!$M:$M,'Operações-BR'!$C:$C=A311,'Operações-BR'!$A:$A&lt;=C311)),0)"),0.0)</f>
        <v>0</v>
      </c>
      <c r="H311" s="184">
        <f t="shared" si="2"/>
        <v>0</v>
      </c>
      <c r="I311" s="184">
        <f>IFERROR(__xludf.DUMMYFUNCTION("IFERROR(lookup(9999999999,FILTER('Operações-BR'!Q:Q,'Operações-BR'!$C:$C=A311,'Operações-BR'!$A:$A&lt;=C311))/G311,0)"),0.0)</f>
        <v>0</v>
      </c>
      <c r="J311" s="185" t="str">
        <f>IFERROR(VLOOKUP(A311,Ativos!$A$1:$G2000,5,),"")</f>
        <v/>
      </c>
      <c r="K311" s="185" t="str">
        <f>IFERROR(VLOOKUP(A311,Ativos!A:H,8,),"")</f>
        <v/>
      </c>
      <c r="L311" s="186">
        <f t="shared" si="3"/>
        <v>0</v>
      </c>
    </row>
    <row r="312" ht="21.0" customHeight="1">
      <c r="A312" s="187"/>
      <c r="B312" s="187"/>
      <c r="C312" s="188"/>
      <c r="D312" s="135"/>
      <c r="E312" s="189"/>
      <c r="F312" s="182" t="str">
        <f t="shared" si="1"/>
        <v/>
      </c>
      <c r="G312" s="183">
        <f>IFERROR(__xludf.DUMMYFUNCTION("IFERROR(lookup(9999999999,FILTER('Operações-BR'!$M:$M,'Operações-BR'!$C:$C=A312,'Operações-BR'!$A:$A&lt;=C312)),0)"),0.0)</f>
        <v>0</v>
      </c>
      <c r="H312" s="184">
        <f t="shared" si="2"/>
        <v>0</v>
      </c>
      <c r="I312" s="184">
        <f>IFERROR(__xludf.DUMMYFUNCTION("IFERROR(lookup(9999999999,FILTER('Operações-BR'!Q:Q,'Operações-BR'!$C:$C=A312,'Operações-BR'!$A:$A&lt;=C312))/G312,0)"),0.0)</f>
        <v>0</v>
      </c>
      <c r="J312" s="185" t="str">
        <f>IFERROR(VLOOKUP(A312,Ativos!$A$1:$G2000,5,),"")</f>
        <v/>
      </c>
      <c r="K312" s="185" t="str">
        <f>IFERROR(VLOOKUP(A312,Ativos!A:H,8,),"")</f>
        <v/>
      </c>
      <c r="L312" s="186">
        <f t="shared" si="3"/>
        <v>0</v>
      </c>
    </row>
    <row r="313" ht="21.0" customHeight="1">
      <c r="A313" s="187"/>
      <c r="B313" s="187"/>
      <c r="C313" s="188"/>
      <c r="D313" s="135"/>
      <c r="E313" s="189"/>
      <c r="F313" s="182" t="str">
        <f t="shared" si="1"/>
        <v/>
      </c>
      <c r="G313" s="183">
        <f>IFERROR(__xludf.DUMMYFUNCTION("IFERROR(lookup(9999999999,FILTER('Operações-BR'!$M:$M,'Operações-BR'!$C:$C=A313,'Operações-BR'!$A:$A&lt;=C313)),0)"),0.0)</f>
        <v>0</v>
      </c>
      <c r="H313" s="184">
        <f t="shared" si="2"/>
        <v>0</v>
      </c>
      <c r="I313" s="184">
        <f>IFERROR(__xludf.DUMMYFUNCTION("IFERROR(lookup(9999999999,FILTER('Operações-BR'!Q:Q,'Operações-BR'!$C:$C=A313,'Operações-BR'!$A:$A&lt;=C313))/G313,0)"),0.0)</f>
        <v>0</v>
      </c>
      <c r="J313" s="185" t="str">
        <f>IFERROR(VLOOKUP(A313,Ativos!$A$1:$G2000,5,),"")</f>
        <v/>
      </c>
      <c r="K313" s="185" t="str">
        <f>IFERROR(VLOOKUP(A313,Ativos!A:H,8,),"")</f>
        <v/>
      </c>
      <c r="L313" s="186">
        <f t="shared" si="3"/>
        <v>0</v>
      </c>
    </row>
    <row r="314" ht="21.0" customHeight="1">
      <c r="A314" s="187"/>
      <c r="B314" s="187"/>
      <c r="C314" s="188"/>
      <c r="D314" s="135"/>
      <c r="E314" s="189"/>
      <c r="F314" s="182" t="str">
        <f t="shared" si="1"/>
        <v/>
      </c>
      <c r="G314" s="183">
        <f>IFERROR(__xludf.DUMMYFUNCTION("IFERROR(lookup(9999999999,FILTER('Operações-BR'!$M:$M,'Operações-BR'!$C:$C=A314,'Operações-BR'!$A:$A&lt;=C314)),0)"),0.0)</f>
        <v>0</v>
      </c>
      <c r="H314" s="184">
        <f t="shared" si="2"/>
        <v>0</v>
      </c>
      <c r="I314" s="184">
        <f>IFERROR(__xludf.DUMMYFUNCTION("IFERROR(lookup(9999999999,FILTER('Operações-BR'!Q:Q,'Operações-BR'!$C:$C=A314,'Operações-BR'!$A:$A&lt;=C314))/G314,0)"),0.0)</f>
        <v>0</v>
      </c>
      <c r="J314" s="185" t="str">
        <f>IFERROR(VLOOKUP(A314,Ativos!$A$1:$G2000,5,),"")</f>
        <v/>
      </c>
      <c r="K314" s="185" t="str">
        <f>IFERROR(VLOOKUP(A314,Ativos!A:H,8,),"")</f>
        <v/>
      </c>
      <c r="L314" s="186">
        <f t="shared" si="3"/>
        <v>0</v>
      </c>
    </row>
    <row r="315" ht="21.0" customHeight="1">
      <c r="A315" s="187"/>
      <c r="B315" s="187"/>
      <c r="C315" s="188"/>
      <c r="D315" s="135"/>
      <c r="E315" s="189"/>
      <c r="F315" s="182" t="str">
        <f t="shared" si="1"/>
        <v/>
      </c>
      <c r="G315" s="183">
        <f>IFERROR(__xludf.DUMMYFUNCTION("IFERROR(lookup(9999999999,FILTER('Operações-BR'!$M:$M,'Operações-BR'!$C:$C=A315,'Operações-BR'!$A:$A&lt;=C315)),0)"),0.0)</f>
        <v>0</v>
      </c>
      <c r="H315" s="184">
        <f t="shared" si="2"/>
        <v>0</v>
      </c>
      <c r="I315" s="184">
        <f>IFERROR(__xludf.DUMMYFUNCTION("IFERROR(lookup(9999999999,FILTER('Operações-BR'!Q:Q,'Operações-BR'!$C:$C=A315,'Operações-BR'!$A:$A&lt;=C315))/G315,0)"),0.0)</f>
        <v>0</v>
      </c>
      <c r="J315" s="185" t="str">
        <f>IFERROR(VLOOKUP(A315,Ativos!$A$1:$G2000,5,),"")</f>
        <v/>
      </c>
      <c r="K315" s="185" t="str">
        <f>IFERROR(VLOOKUP(A315,Ativos!A:H,8,),"")</f>
        <v/>
      </c>
      <c r="L315" s="186">
        <f t="shared" si="3"/>
        <v>0</v>
      </c>
    </row>
    <row r="316" ht="21.0" customHeight="1">
      <c r="A316" s="187"/>
      <c r="B316" s="187"/>
      <c r="C316" s="188"/>
      <c r="D316" s="135"/>
      <c r="E316" s="189"/>
      <c r="F316" s="182" t="str">
        <f t="shared" si="1"/>
        <v/>
      </c>
      <c r="G316" s="183">
        <f>IFERROR(__xludf.DUMMYFUNCTION("IFERROR(lookup(9999999999,FILTER('Operações-BR'!$M:$M,'Operações-BR'!$C:$C=A316,'Operações-BR'!$A:$A&lt;=C316)),0)"),0.0)</f>
        <v>0</v>
      </c>
      <c r="H316" s="184">
        <f t="shared" si="2"/>
        <v>0</v>
      </c>
      <c r="I316" s="184">
        <f>IFERROR(__xludf.DUMMYFUNCTION("IFERROR(lookup(9999999999,FILTER('Operações-BR'!Q:Q,'Operações-BR'!$C:$C=A316,'Operações-BR'!$A:$A&lt;=C316))/G316,0)"),0.0)</f>
        <v>0</v>
      </c>
      <c r="J316" s="185" t="str">
        <f>IFERROR(VLOOKUP(A316,Ativos!$A$1:$G2000,5,),"")</f>
        <v/>
      </c>
      <c r="K316" s="185" t="str">
        <f>IFERROR(VLOOKUP(A316,Ativos!A:H,8,),"")</f>
        <v/>
      </c>
      <c r="L316" s="186">
        <f t="shared" si="3"/>
        <v>0</v>
      </c>
    </row>
    <row r="317" ht="21.0" customHeight="1">
      <c r="A317" s="187"/>
      <c r="B317" s="187"/>
      <c r="C317" s="188"/>
      <c r="D317" s="135"/>
      <c r="E317" s="189"/>
      <c r="F317" s="182" t="str">
        <f t="shared" si="1"/>
        <v/>
      </c>
      <c r="G317" s="183">
        <f>IFERROR(__xludf.DUMMYFUNCTION("IFERROR(lookup(9999999999,FILTER('Operações-BR'!$M:$M,'Operações-BR'!$C:$C=A317,'Operações-BR'!$A:$A&lt;=C317)),0)"),0.0)</f>
        <v>0</v>
      </c>
      <c r="H317" s="184">
        <f t="shared" si="2"/>
        <v>0</v>
      </c>
      <c r="I317" s="184">
        <f>IFERROR(__xludf.DUMMYFUNCTION("IFERROR(lookup(9999999999,FILTER('Operações-BR'!Q:Q,'Operações-BR'!$C:$C=A317,'Operações-BR'!$A:$A&lt;=C317))/G317,0)"),0.0)</f>
        <v>0</v>
      </c>
      <c r="J317" s="185" t="str">
        <f>IFERROR(VLOOKUP(A317,Ativos!$A$1:$G2000,5,),"")</f>
        <v/>
      </c>
      <c r="K317" s="185" t="str">
        <f>IFERROR(VLOOKUP(A317,Ativos!A:H,8,),"")</f>
        <v/>
      </c>
      <c r="L317" s="186">
        <f t="shared" si="3"/>
        <v>0</v>
      </c>
    </row>
    <row r="318" ht="21.0" customHeight="1">
      <c r="A318" s="187"/>
      <c r="B318" s="187"/>
      <c r="C318" s="188"/>
      <c r="D318" s="135"/>
      <c r="E318" s="189"/>
      <c r="F318" s="182" t="str">
        <f t="shared" si="1"/>
        <v/>
      </c>
      <c r="G318" s="183">
        <f>IFERROR(__xludf.DUMMYFUNCTION("IFERROR(lookup(9999999999,FILTER('Operações-BR'!$M:$M,'Operações-BR'!$C:$C=A318,'Operações-BR'!$A:$A&lt;=C318)),0)"),0.0)</f>
        <v>0</v>
      </c>
      <c r="H318" s="184">
        <f t="shared" si="2"/>
        <v>0</v>
      </c>
      <c r="I318" s="184">
        <f>IFERROR(__xludf.DUMMYFUNCTION("IFERROR(lookup(9999999999,FILTER('Operações-BR'!Q:Q,'Operações-BR'!$C:$C=A318,'Operações-BR'!$A:$A&lt;=C318))/G318,0)"),0.0)</f>
        <v>0</v>
      </c>
      <c r="J318" s="185" t="str">
        <f>IFERROR(VLOOKUP(A318,Ativos!$A$1:$G2000,5,),"")</f>
        <v/>
      </c>
      <c r="K318" s="185" t="str">
        <f>IFERROR(VLOOKUP(A318,Ativos!A:H,8,),"")</f>
        <v/>
      </c>
      <c r="L318" s="186">
        <f t="shared" si="3"/>
        <v>0</v>
      </c>
    </row>
    <row r="319" ht="21.0" customHeight="1">
      <c r="A319" s="187"/>
      <c r="B319" s="187"/>
      <c r="C319" s="188"/>
      <c r="D319" s="135"/>
      <c r="E319" s="189"/>
      <c r="F319" s="182" t="str">
        <f t="shared" si="1"/>
        <v/>
      </c>
      <c r="G319" s="183">
        <f>IFERROR(__xludf.DUMMYFUNCTION("IFERROR(lookup(9999999999,FILTER('Operações-BR'!$M:$M,'Operações-BR'!$C:$C=A319,'Operações-BR'!$A:$A&lt;=C319)),0)"),0.0)</f>
        <v>0</v>
      </c>
      <c r="H319" s="184">
        <f t="shared" si="2"/>
        <v>0</v>
      </c>
      <c r="I319" s="184">
        <f>IFERROR(__xludf.DUMMYFUNCTION("IFERROR(lookup(9999999999,FILTER('Operações-BR'!Q:Q,'Operações-BR'!$C:$C=A319,'Operações-BR'!$A:$A&lt;=C319))/G319,0)"),0.0)</f>
        <v>0</v>
      </c>
      <c r="J319" s="185" t="str">
        <f>IFERROR(VLOOKUP(A319,Ativos!$A$1:$G2000,5,),"")</f>
        <v/>
      </c>
      <c r="K319" s="185" t="str">
        <f>IFERROR(VLOOKUP(A319,Ativos!A:H,8,),"")</f>
        <v/>
      </c>
      <c r="L319" s="186">
        <f t="shared" si="3"/>
        <v>0</v>
      </c>
    </row>
    <row r="320" ht="21.0" customHeight="1">
      <c r="A320" s="187"/>
      <c r="B320" s="187"/>
      <c r="C320" s="188"/>
      <c r="D320" s="135"/>
      <c r="E320" s="189"/>
      <c r="F320" s="182" t="str">
        <f t="shared" si="1"/>
        <v/>
      </c>
      <c r="G320" s="183">
        <f>IFERROR(__xludf.DUMMYFUNCTION("IFERROR(lookup(9999999999,FILTER('Operações-BR'!$M:$M,'Operações-BR'!$C:$C=A320,'Operações-BR'!$A:$A&lt;=C320)),0)"),0.0)</f>
        <v>0</v>
      </c>
      <c r="H320" s="184">
        <f t="shared" si="2"/>
        <v>0</v>
      </c>
      <c r="I320" s="184">
        <f>IFERROR(__xludf.DUMMYFUNCTION("IFERROR(lookup(9999999999,FILTER('Operações-BR'!Q:Q,'Operações-BR'!$C:$C=A320,'Operações-BR'!$A:$A&lt;=C320))/G320,0)"),0.0)</f>
        <v>0</v>
      </c>
      <c r="J320" s="185" t="str">
        <f>IFERROR(VLOOKUP(A320,Ativos!$A$1:$G2000,5,),"")</f>
        <v/>
      </c>
      <c r="K320" s="185" t="str">
        <f>IFERROR(VLOOKUP(A320,Ativos!A:H,8,),"")</f>
        <v/>
      </c>
      <c r="L320" s="186">
        <f t="shared" si="3"/>
        <v>0</v>
      </c>
    </row>
    <row r="321" ht="21.0" customHeight="1">
      <c r="A321" s="187"/>
      <c r="B321" s="187"/>
      <c r="C321" s="188"/>
      <c r="D321" s="135"/>
      <c r="E321" s="189"/>
      <c r="F321" s="182" t="str">
        <f t="shared" si="1"/>
        <v/>
      </c>
      <c r="G321" s="183">
        <f>IFERROR(__xludf.DUMMYFUNCTION("IFERROR(lookup(9999999999,FILTER('Operações-BR'!$M:$M,'Operações-BR'!$C:$C=A321,'Operações-BR'!$A:$A&lt;=C321)),0)"),0.0)</f>
        <v>0</v>
      </c>
      <c r="H321" s="184">
        <f t="shared" si="2"/>
        <v>0</v>
      </c>
      <c r="I321" s="184">
        <f>IFERROR(__xludf.DUMMYFUNCTION("IFERROR(lookup(9999999999,FILTER('Operações-BR'!Q:Q,'Operações-BR'!$C:$C=A321,'Operações-BR'!$A:$A&lt;=C321))/G321,0)"),0.0)</f>
        <v>0</v>
      </c>
      <c r="J321" s="185" t="str">
        <f>IFERROR(VLOOKUP(A321,Ativos!$A$1:$G2000,5,),"")</f>
        <v/>
      </c>
      <c r="K321" s="185" t="str">
        <f>IFERROR(VLOOKUP(A321,Ativos!A:H,8,),"")</f>
        <v/>
      </c>
      <c r="L321" s="186">
        <f t="shared" si="3"/>
        <v>0</v>
      </c>
    </row>
    <row r="322" ht="21.0" customHeight="1">
      <c r="A322" s="187"/>
      <c r="B322" s="187"/>
      <c r="C322" s="188"/>
      <c r="D322" s="135"/>
      <c r="E322" s="189"/>
      <c r="F322" s="182" t="str">
        <f t="shared" si="1"/>
        <v/>
      </c>
      <c r="G322" s="183">
        <f>IFERROR(__xludf.DUMMYFUNCTION("IFERROR(lookup(9999999999,FILTER('Operações-BR'!$M:$M,'Operações-BR'!$C:$C=A322,'Operações-BR'!$A:$A&lt;=C322)),0)"),0.0)</f>
        <v>0</v>
      </c>
      <c r="H322" s="184">
        <f t="shared" si="2"/>
        <v>0</v>
      </c>
      <c r="I322" s="184">
        <f>IFERROR(__xludf.DUMMYFUNCTION("IFERROR(lookup(9999999999,FILTER('Operações-BR'!Q:Q,'Operações-BR'!$C:$C=A322,'Operações-BR'!$A:$A&lt;=C322))/G322,0)"),0.0)</f>
        <v>0</v>
      </c>
      <c r="J322" s="185" t="str">
        <f>IFERROR(VLOOKUP(A322,Ativos!$A$1:$G2000,5,),"")</f>
        <v/>
      </c>
      <c r="K322" s="185" t="str">
        <f>IFERROR(VLOOKUP(A322,Ativos!A:H,8,),"")</f>
        <v/>
      </c>
      <c r="L322" s="186">
        <f t="shared" si="3"/>
        <v>0</v>
      </c>
    </row>
    <row r="323" ht="21.0" customHeight="1">
      <c r="A323" s="187"/>
      <c r="B323" s="187"/>
      <c r="C323" s="188"/>
      <c r="D323" s="135"/>
      <c r="E323" s="189"/>
      <c r="F323" s="182" t="str">
        <f t="shared" si="1"/>
        <v/>
      </c>
      <c r="G323" s="183">
        <f>IFERROR(__xludf.DUMMYFUNCTION("IFERROR(lookup(9999999999,FILTER('Operações-BR'!$M:$M,'Operações-BR'!$C:$C=A323,'Operações-BR'!$A:$A&lt;=C323)),0)"),0.0)</f>
        <v>0</v>
      </c>
      <c r="H323" s="184">
        <f t="shared" si="2"/>
        <v>0</v>
      </c>
      <c r="I323" s="184">
        <f>IFERROR(__xludf.DUMMYFUNCTION("IFERROR(lookup(9999999999,FILTER('Operações-BR'!Q:Q,'Operações-BR'!$C:$C=A323,'Operações-BR'!$A:$A&lt;=C323))/G323,0)"),0.0)</f>
        <v>0</v>
      </c>
      <c r="J323" s="185" t="str">
        <f>IFERROR(VLOOKUP(A323,Ativos!$A$1:$G2000,5,),"")</f>
        <v/>
      </c>
      <c r="K323" s="185" t="str">
        <f>IFERROR(VLOOKUP(A323,Ativos!A:H,8,),"")</f>
        <v/>
      </c>
      <c r="L323" s="186">
        <f t="shared" si="3"/>
        <v>0</v>
      </c>
    </row>
    <row r="324" ht="21.0" customHeight="1">
      <c r="A324" s="187"/>
      <c r="B324" s="187"/>
      <c r="C324" s="188"/>
      <c r="D324" s="135"/>
      <c r="E324" s="189"/>
      <c r="F324" s="182" t="str">
        <f t="shared" si="1"/>
        <v/>
      </c>
      <c r="G324" s="183">
        <f>IFERROR(__xludf.DUMMYFUNCTION("IFERROR(lookup(9999999999,FILTER('Operações-BR'!$M:$M,'Operações-BR'!$C:$C=A324,'Operações-BR'!$A:$A&lt;=C324)),0)"),0.0)</f>
        <v>0</v>
      </c>
      <c r="H324" s="184">
        <f t="shared" si="2"/>
        <v>0</v>
      </c>
      <c r="I324" s="184">
        <f>IFERROR(__xludf.DUMMYFUNCTION("IFERROR(lookup(9999999999,FILTER('Operações-BR'!Q:Q,'Operações-BR'!$C:$C=A324,'Operações-BR'!$A:$A&lt;=C324))/G324,0)"),0.0)</f>
        <v>0</v>
      </c>
      <c r="J324" s="185" t="str">
        <f>IFERROR(VLOOKUP(A324,Ativos!$A$1:$G2000,5,),"")</f>
        <v/>
      </c>
      <c r="K324" s="185" t="str">
        <f>IFERROR(VLOOKUP(A324,Ativos!A:H,8,),"")</f>
        <v/>
      </c>
      <c r="L324" s="186">
        <f t="shared" si="3"/>
        <v>0</v>
      </c>
    </row>
    <row r="325" ht="21.0" customHeight="1">
      <c r="A325" s="187"/>
      <c r="B325" s="187"/>
      <c r="C325" s="188"/>
      <c r="D325" s="135"/>
      <c r="E325" s="189"/>
      <c r="F325" s="182" t="str">
        <f t="shared" si="1"/>
        <v/>
      </c>
      <c r="G325" s="183">
        <f>IFERROR(__xludf.DUMMYFUNCTION("IFERROR(lookup(9999999999,FILTER('Operações-BR'!$M:$M,'Operações-BR'!$C:$C=A325,'Operações-BR'!$A:$A&lt;=C325)),0)"),0.0)</f>
        <v>0</v>
      </c>
      <c r="H325" s="184">
        <f t="shared" si="2"/>
        <v>0</v>
      </c>
      <c r="I325" s="184">
        <f>IFERROR(__xludf.DUMMYFUNCTION("IFERROR(lookup(9999999999,FILTER('Operações-BR'!Q:Q,'Operações-BR'!$C:$C=A325,'Operações-BR'!$A:$A&lt;=C325))/G325,0)"),0.0)</f>
        <v>0</v>
      </c>
      <c r="J325" s="185" t="str">
        <f>IFERROR(VLOOKUP(A325,Ativos!$A$1:$G2000,5,),"")</f>
        <v/>
      </c>
      <c r="K325" s="185" t="str">
        <f>IFERROR(VLOOKUP(A325,Ativos!A:H,8,),"")</f>
        <v/>
      </c>
      <c r="L325" s="186">
        <f t="shared" si="3"/>
        <v>0</v>
      </c>
    </row>
    <row r="326" ht="21.0" customHeight="1">
      <c r="A326" s="187"/>
      <c r="B326" s="187"/>
      <c r="C326" s="188"/>
      <c r="D326" s="135"/>
      <c r="E326" s="189"/>
      <c r="F326" s="182" t="str">
        <f t="shared" si="1"/>
        <v/>
      </c>
      <c r="G326" s="183">
        <f>IFERROR(__xludf.DUMMYFUNCTION("IFERROR(lookup(9999999999,FILTER('Operações-BR'!$M:$M,'Operações-BR'!$C:$C=A326,'Operações-BR'!$A:$A&lt;=C326)),0)"),0.0)</f>
        <v>0</v>
      </c>
      <c r="H326" s="184">
        <f t="shared" si="2"/>
        <v>0</v>
      </c>
      <c r="I326" s="184">
        <f>IFERROR(__xludf.DUMMYFUNCTION("IFERROR(lookup(9999999999,FILTER('Operações-BR'!Q:Q,'Operações-BR'!$C:$C=A326,'Operações-BR'!$A:$A&lt;=C326))/G326,0)"),0.0)</f>
        <v>0</v>
      </c>
      <c r="J326" s="185" t="str">
        <f>IFERROR(VLOOKUP(A326,Ativos!$A$1:$G2000,5,),"")</f>
        <v/>
      </c>
      <c r="K326" s="185" t="str">
        <f>IFERROR(VLOOKUP(A326,Ativos!A:H,8,),"")</f>
        <v/>
      </c>
      <c r="L326" s="186">
        <f t="shared" si="3"/>
        <v>0</v>
      </c>
    </row>
    <row r="327" ht="21.0" customHeight="1">
      <c r="A327" s="187"/>
      <c r="B327" s="187"/>
      <c r="C327" s="188"/>
      <c r="D327" s="135"/>
      <c r="E327" s="189"/>
      <c r="F327" s="182" t="str">
        <f t="shared" si="1"/>
        <v/>
      </c>
      <c r="G327" s="183">
        <f>IFERROR(__xludf.DUMMYFUNCTION("IFERROR(lookup(9999999999,FILTER('Operações-BR'!$M:$M,'Operações-BR'!$C:$C=A327,'Operações-BR'!$A:$A&lt;=C327)),0)"),0.0)</f>
        <v>0</v>
      </c>
      <c r="H327" s="184">
        <f t="shared" si="2"/>
        <v>0</v>
      </c>
      <c r="I327" s="184">
        <f>IFERROR(__xludf.DUMMYFUNCTION("IFERROR(lookup(9999999999,FILTER('Operações-BR'!Q:Q,'Operações-BR'!$C:$C=A327,'Operações-BR'!$A:$A&lt;=C327))/G327,0)"),0.0)</f>
        <v>0</v>
      </c>
      <c r="J327" s="185" t="str">
        <f>IFERROR(VLOOKUP(A327,Ativos!$A$1:$G2000,5,),"")</f>
        <v/>
      </c>
      <c r="K327" s="185" t="str">
        <f>IFERROR(VLOOKUP(A327,Ativos!A:H,8,),"")</f>
        <v/>
      </c>
      <c r="L327" s="186">
        <f t="shared" si="3"/>
        <v>0</v>
      </c>
    </row>
    <row r="328" ht="21.0" customHeight="1">
      <c r="A328" s="187"/>
      <c r="B328" s="187"/>
      <c r="C328" s="188"/>
      <c r="D328" s="135"/>
      <c r="E328" s="189"/>
      <c r="F328" s="182" t="str">
        <f t="shared" si="1"/>
        <v/>
      </c>
      <c r="G328" s="183">
        <f>IFERROR(__xludf.DUMMYFUNCTION("IFERROR(lookup(9999999999,FILTER('Operações-BR'!$M:$M,'Operações-BR'!$C:$C=A328,'Operações-BR'!$A:$A&lt;=C328)),0)"),0.0)</f>
        <v>0</v>
      </c>
      <c r="H328" s="184">
        <f t="shared" si="2"/>
        <v>0</v>
      </c>
      <c r="I328" s="184">
        <f>IFERROR(__xludf.DUMMYFUNCTION("IFERROR(lookup(9999999999,FILTER('Operações-BR'!Q:Q,'Operações-BR'!$C:$C=A328,'Operações-BR'!$A:$A&lt;=C328))/G328,0)"),0.0)</f>
        <v>0</v>
      </c>
      <c r="J328" s="185" t="str">
        <f>IFERROR(VLOOKUP(A328,Ativos!$A$1:$G2000,5,),"")</f>
        <v/>
      </c>
      <c r="K328" s="185" t="str">
        <f>IFERROR(VLOOKUP(A328,Ativos!A:H,8,),"")</f>
        <v/>
      </c>
      <c r="L328" s="186">
        <f t="shared" si="3"/>
        <v>0</v>
      </c>
    </row>
    <row r="329" ht="21.0" customHeight="1">
      <c r="A329" s="187"/>
      <c r="B329" s="187"/>
      <c r="C329" s="188"/>
      <c r="D329" s="135"/>
      <c r="E329" s="189"/>
      <c r="F329" s="182" t="str">
        <f t="shared" si="1"/>
        <v/>
      </c>
      <c r="G329" s="183">
        <f>IFERROR(__xludf.DUMMYFUNCTION("IFERROR(lookup(9999999999,FILTER('Operações-BR'!$M:$M,'Operações-BR'!$C:$C=A329,'Operações-BR'!$A:$A&lt;=C329)),0)"),0.0)</f>
        <v>0</v>
      </c>
      <c r="H329" s="184">
        <f t="shared" si="2"/>
        <v>0</v>
      </c>
      <c r="I329" s="184">
        <f>IFERROR(__xludf.DUMMYFUNCTION("IFERROR(lookup(9999999999,FILTER('Operações-BR'!Q:Q,'Operações-BR'!$C:$C=A329,'Operações-BR'!$A:$A&lt;=C329))/G329,0)"),0.0)</f>
        <v>0</v>
      </c>
      <c r="J329" s="185" t="str">
        <f>IFERROR(VLOOKUP(A329,Ativos!$A$1:$G2000,5,),"")</f>
        <v/>
      </c>
      <c r="K329" s="185" t="str">
        <f>IFERROR(VLOOKUP(A329,Ativos!A:H,8,),"")</f>
        <v/>
      </c>
      <c r="L329" s="186">
        <f t="shared" si="3"/>
        <v>0</v>
      </c>
    </row>
    <row r="330" ht="21.0" customHeight="1">
      <c r="A330" s="187"/>
      <c r="B330" s="187"/>
      <c r="C330" s="188"/>
      <c r="D330" s="135"/>
      <c r="E330" s="189"/>
      <c r="F330" s="182" t="str">
        <f t="shared" si="1"/>
        <v/>
      </c>
      <c r="G330" s="183">
        <f>IFERROR(__xludf.DUMMYFUNCTION("IFERROR(lookup(9999999999,FILTER('Operações-BR'!$M:$M,'Operações-BR'!$C:$C=A330,'Operações-BR'!$A:$A&lt;=C330)),0)"),0.0)</f>
        <v>0</v>
      </c>
      <c r="H330" s="184">
        <f t="shared" si="2"/>
        <v>0</v>
      </c>
      <c r="I330" s="184">
        <f>IFERROR(__xludf.DUMMYFUNCTION("IFERROR(lookup(9999999999,FILTER('Operações-BR'!Q:Q,'Operações-BR'!$C:$C=A330,'Operações-BR'!$A:$A&lt;=C330))/G330,0)"),0.0)</f>
        <v>0</v>
      </c>
      <c r="J330" s="185" t="str">
        <f>IFERROR(VLOOKUP(A330,Ativos!$A$1:$G2000,5,),"")</f>
        <v/>
      </c>
      <c r="K330" s="185" t="str">
        <f>IFERROR(VLOOKUP(A330,Ativos!A:H,8,),"")</f>
        <v/>
      </c>
      <c r="L330" s="186">
        <f t="shared" si="3"/>
        <v>0</v>
      </c>
    </row>
    <row r="331" ht="21.0" customHeight="1">
      <c r="A331" s="187"/>
      <c r="B331" s="187"/>
      <c r="C331" s="188"/>
      <c r="D331" s="135"/>
      <c r="E331" s="189"/>
      <c r="F331" s="182" t="str">
        <f t="shared" si="1"/>
        <v/>
      </c>
      <c r="G331" s="183">
        <f>IFERROR(__xludf.DUMMYFUNCTION("IFERROR(lookup(9999999999,FILTER('Operações-BR'!$M:$M,'Operações-BR'!$C:$C=A331,'Operações-BR'!$A:$A&lt;=C331)),0)"),0.0)</f>
        <v>0</v>
      </c>
      <c r="H331" s="184">
        <f t="shared" si="2"/>
        <v>0</v>
      </c>
      <c r="I331" s="184">
        <f>IFERROR(__xludf.DUMMYFUNCTION("IFERROR(lookup(9999999999,FILTER('Operações-BR'!Q:Q,'Operações-BR'!$C:$C=A331,'Operações-BR'!$A:$A&lt;=C331))/G331,0)"),0.0)</f>
        <v>0</v>
      </c>
      <c r="J331" s="185" t="str">
        <f>IFERROR(VLOOKUP(A331,Ativos!$A$1:$G2000,5,),"")</f>
        <v/>
      </c>
      <c r="K331" s="185" t="str">
        <f>IFERROR(VLOOKUP(A331,Ativos!A:H,8,),"")</f>
        <v/>
      </c>
      <c r="L331" s="186">
        <f t="shared" si="3"/>
        <v>0</v>
      </c>
    </row>
    <row r="332" ht="21.0" customHeight="1">
      <c r="A332" s="187"/>
      <c r="B332" s="187"/>
      <c r="C332" s="188"/>
      <c r="D332" s="135"/>
      <c r="E332" s="189"/>
      <c r="F332" s="182" t="str">
        <f t="shared" si="1"/>
        <v/>
      </c>
      <c r="G332" s="183">
        <f>IFERROR(__xludf.DUMMYFUNCTION("IFERROR(lookup(9999999999,FILTER('Operações-BR'!$M:$M,'Operações-BR'!$C:$C=A332,'Operações-BR'!$A:$A&lt;=C332)),0)"),0.0)</f>
        <v>0</v>
      </c>
      <c r="H332" s="184">
        <f t="shared" si="2"/>
        <v>0</v>
      </c>
      <c r="I332" s="184">
        <f>IFERROR(__xludf.DUMMYFUNCTION("IFERROR(lookup(9999999999,FILTER('Operações-BR'!Q:Q,'Operações-BR'!$C:$C=A332,'Operações-BR'!$A:$A&lt;=C332))/G332,0)"),0.0)</f>
        <v>0</v>
      </c>
      <c r="J332" s="185" t="str">
        <f>IFERROR(VLOOKUP(A332,Ativos!$A$1:$G2000,5,),"")</f>
        <v/>
      </c>
      <c r="K332" s="185" t="str">
        <f>IFERROR(VLOOKUP(A332,Ativos!A:H,8,),"")</f>
        <v/>
      </c>
      <c r="L332" s="186">
        <f t="shared" si="3"/>
        <v>0</v>
      </c>
    </row>
    <row r="333" ht="21.0" customHeight="1">
      <c r="A333" s="187"/>
      <c r="B333" s="187"/>
      <c r="C333" s="188"/>
      <c r="D333" s="135"/>
      <c r="E333" s="189"/>
      <c r="F333" s="182" t="str">
        <f t="shared" si="1"/>
        <v/>
      </c>
      <c r="G333" s="183">
        <f>IFERROR(__xludf.DUMMYFUNCTION("IFERROR(lookup(9999999999,FILTER('Operações-BR'!$M:$M,'Operações-BR'!$C:$C=A333,'Operações-BR'!$A:$A&lt;=C333)),0)"),0.0)</f>
        <v>0</v>
      </c>
      <c r="H333" s="184">
        <f t="shared" si="2"/>
        <v>0</v>
      </c>
      <c r="I333" s="184">
        <f>IFERROR(__xludf.DUMMYFUNCTION("IFERROR(lookup(9999999999,FILTER('Operações-BR'!Q:Q,'Operações-BR'!$C:$C=A333,'Operações-BR'!$A:$A&lt;=C333))/G333,0)"),0.0)</f>
        <v>0</v>
      </c>
      <c r="J333" s="185" t="str">
        <f>IFERROR(VLOOKUP(A333,Ativos!$A$1:$G2000,5,),"")</f>
        <v/>
      </c>
      <c r="K333" s="185" t="str">
        <f>IFERROR(VLOOKUP(A333,Ativos!A:H,8,),"")</f>
        <v/>
      </c>
      <c r="L333" s="186">
        <f t="shared" si="3"/>
        <v>0</v>
      </c>
    </row>
    <row r="334" ht="21.0" customHeight="1">
      <c r="A334" s="187"/>
      <c r="B334" s="187"/>
      <c r="C334" s="188"/>
      <c r="D334" s="135"/>
      <c r="E334" s="189"/>
      <c r="F334" s="182" t="str">
        <f t="shared" si="1"/>
        <v/>
      </c>
      <c r="G334" s="183">
        <f>IFERROR(__xludf.DUMMYFUNCTION("IFERROR(lookup(9999999999,FILTER('Operações-BR'!$M:$M,'Operações-BR'!$C:$C=A334,'Operações-BR'!$A:$A&lt;=C334)),0)"),0.0)</f>
        <v>0</v>
      </c>
      <c r="H334" s="184">
        <f t="shared" si="2"/>
        <v>0</v>
      </c>
      <c r="I334" s="184">
        <f>IFERROR(__xludf.DUMMYFUNCTION("IFERROR(lookup(9999999999,FILTER('Operações-BR'!Q:Q,'Operações-BR'!$C:$C=A334,'Operações-BR'!$A:$A&lt;=C334))/G334,0)"),0.0)</f>
        <v>0</v>
      </c>
      <c r="J334" s="185" t="str">
        <f>IFERROR(VLOOKUP(A334,Ativos!$A$1:$G2000,5,),"")</f>
        <v/>
      </c>
      <c r="K334" s="185" t="str">
        <f>IFERROR(VLOOKUP(A334,Ativos!A:H,8,),"")</f>
        <v/>
      </c>
      <c r="L334" s="186">
        <f t="shared" si="3"/>
        <v>0</v>
      </c>
    </row>
    <row r="335" ht="21.0" customHeight="1">
      <c r="A335" s="187"/>
      <c r="B335" s="187"/>
      <c r="C335" s="188"/>
      <c r="D335" s="135"/>
      <c r="E335" s="189"/>
      <c r="F335" s="182" t="str">
        <f t="shared" si="1"/>
        <v/>
      </c>
      <c r="G335" s="183">
        <f>IFERROR(__xludf.DUMMYFUNCTION("IFERROR(lookup(9999999999,FILTER('Operações-BR'!$M:$M,'Operações-BR'!$C:$C=A335,'Operações-BR'!$A:$A&lt;=C335)),0)"),0.0)</f>
        <v>0</v>
      </c>
      <c r="H335" s="184">
        <f t="shared" si="2"/>
        <v>0</v>
      </c>
      <c r="I335" s="184">
        <f>IFERROR(__xludf.DUMMYFUNCTION("IFERROR(lookup(9999999999,FILTER('Operações-BR'!Q:Q,'Operações-BR'!$C:$C=A335,'Operações-BR'!$A:$A&lt;=C335))/G335,0)"),0.0)</f>
        <v>0</v>
      </c>
      <c r="J335" s="185" t="str">
        <f>IFERROR(VLOOKUP(A335,Ativos!$A$1:$G2000,5,),"")</f>
        <v/>
      </c>
      <c r="K335" s="185" t="str">
        <f>IFERROR(VLOOKUP(A335,Ativos!A:H,8,),"")</f>
        <v/>
      </c>
      <c r="L335" s="186">
        <f t="shared" si="3"/>
        <v>0</v>
      </c>
    </row>
    <row r="336" ht="21.0" customHeight="1">
      <c r="A336" s="187"/>
      <c r="B336" s="187"/>
      <c r="C336" s="188"/>
      <c r="D336" s="135"/>
      <c r="E336" s="189"/>
      <c r="F336" s="182" t="str">
        <f t="shared" si="1"/>
        <v/>
      </c>
      <c r="G336" s="183">
        <f>IFERROR(__xludf.DUMMYFUNCTION("IFERROR(lookup(9999999999,FILTER('Operações-BR'!$M:$M,'Operações-BR'!$C:$C=A336,'Operações-BR'!$A:$A&lt;=C336)),0)"),0.0)</f>
        <v>0</v>
      </c>
      <c r="H336" s="184">
        <f t="shared" si="2"/>
        <v>0</v>
      </c>
      <c r="I336" s="184">
        <f>IFERROR(__xludf.DUMMYFUNCTION("IFERROR(lookup(9999999999,FILTER('Operações-BR'!Q:Q,'Operações-BR'!$C:$C=A336,'Operações-BR'!$A:$A&lt;=C336))/G336,0)"),0.0)</f>
        <v>0</v>
      </c>
      <c r="J336" s="185" t="str">
        <f>IFERROR(VLOOKUP(A336,Ativos!$A$1:$G2000,5,),"")</f>
        <v/>
      </c>
      <c r="K336" s="185" t="str">
        <f>IFERROR(VLOOKUP(A336,Ativos!A:H,8,),"")</f>
        <v/>
      </c>
      <c r="L336" s="186">
        <f t="shared" si="3"/>
        <v>0</v>
      </c>
    </row>
    <row r="337" ht="21.0" customHeight="1">
      <c r="A337" s="187"/>
      <c r="B337" s="187"/>
      <c r="C337" s="188"/>
      <c r="D337" s="135"/>
      <c r="E337" s="189"/>
      <c r="F337" s="182" t="str">
        <f t="shared" si="1"/>
        <v/>
      </c>
      <c r="G337" s="183">
        <f>IFERROR(__xludf.DUMMYFUNCTION("IFERROR(lookup(9999999999,FILTER('Operações-BR'!$M:$M,'Operações-BR'!$C:$C=A337,'Operações-BR'!$A:$A&lt;=C337)),0)"),0.0)</f>
        <v>0</v>
      </c>
      <c r="H337" s="184">
        <f t="shared" si="2"/>
        <v>0</v>
      </c>
      <c r="I337" s="184">
        <f>IFERROR(__xludf.DUMMYFUNCTION("IFERROR(lookup(9999999999,FILTER('Operações-BR'!Q:Q,'Operações-BR'!$C:$C=A337,'Operações-BR'!$A:$A&lt;=C337))/G337,0)"),0.0)</f>
        <v>0</v>
      </c>
      <c r="J337" s="185" t="str">
        <f>IFERROR(VLOOKUP(A337,Ativos!$A$1:$G2000,5,),"")</f>
        <v/>
      </c>
      <c r="K337" s="185" t="str">
        <f>IFERROR(VLOOKUP(A337,Ativos!A:H,8,),"")</f>
        <v/>
      </c>
      <c r="L337" s="186">
        <f t="shared" si="3"/>
        <v>0</v>
      </c>
    </row>
    <row r="338" ht="21.0" customHeight="1">
      <c r="A338" s="187"/>
      <c r="B338" s="187"/>
      <c r="C338" s="188"/>
      <c r="D338" s="135"/>
      <c r="E338" s="189"/>
      <c r="F338" s="182" t="str">
        <f t="shared" si="1"/>
        <v/>
      </c>
      <c r="G338" s="183">
        <f>IFERROR(__xludf.DUMMYFUNCTION("IFERROR(lookup(9999999999,FILTER('Operações-BR'!$M:$M,'Operações-BR'!$C:$C=A338,'Operações-BR'!$A:$A&lt;=C338)),0)"),0.0)</f>
        <v>0</v>
      </c>
      <c r="H338" s="184">
        <f t="shared" si="2"/>
        <v>0</v>
      </c>
      <c r="I338" s="184">
        <f>IFERROR(__xludf.DUMMYFUNCTION("IFERROR(lookup(9999999999,FILTER('Operações-BR'!Q:Q,'Operações-BR'!$C:$C=A338,'Operações-BR'!$A:$A&lt;=C338))/G338,0)"),0.0)</f>
        <v>0</v>
      </c>
      <c r="J338" s="185" t="str">
        <f>IFERROR(VLOOKUP(A338,Ativos!$A$1:$G2000,5,),"")</f>
        <v/>
      </c>
      <c r="K338" s="185" t="str">
        <f>IFERROR(VLOOKUP(A338,Ativos!A:H,8,),"")</f>
        <v/>
      </c>
      <c r="L338" s="186">
        <f t="shared" si="3"/>
        <v>0</v>
      </c>
    </row>
    <row r="339" ht="21.0" customHeight="1">
      <c r="A339" s="187"/>
      <c r="B339" s="187"/>
      <c r="C339" s="188"/>
      <c r="D339" s="135"/>
      <c r="E339" s="189"/>
      <c r="F339" s="182" t="str">
        <f t="shared" si="1"/>
        <v/>
      </c>
      <c r="G339" s="183">
        <f>IFERROR(__xludf.DUMMYFUNCTION("IFERROR(lookup(9999999999,FILTER('Operações-BR'!$M:$M,'Operações-BR'!$C:$C=A339,'Operações-BR'!$A:$A&lt;=C339)),0)"),0.0)</f>
        <v>0</v>
      </c>
      <c r="H339" s="184">
        <f t="shared" si="2"/>
        <v>0</v>
      </c>
      <c r="I339" s="184">
        <f>IFERROR(__xludf.DUMMYFUNCTION("IFERROR(lookup(9999999999,FILTER('Operações-BR'!Q:Q,'Operações-BR'!$C:$C=A339,'Operações-BR'!$A:$A&lt;=C339))/G339,0)"),0.0)</f>
        <v>0</v>
      </c>
      <c r="J339" s="185" t="str">
        <f>IFERROR(VLOOKUP(A339,Ativos!$A$1:$G2000,5,),"")</f>
        <v/>
      </c>
      <c r="K339" s="185" t="str">
        <f>IFERROR(VLOOKUP(A339,Ativos!A:H,8,),"")</f>
        <v/>
      </c>
      <c r="L339" s="186">
        <f t="shared" si="3"/>
        <v>0</v>
      </c>
    </row>
    <row r="340" ht="21.0" customHeight="1">
      <c r="A340" s="187"/>
      <c r="B340" s="187"/>
      <c r="C340" s="188"/>
      <c r="D340" s="135"/>
      <c r="E340" s="189"/>
      <c r="F340" s="182" t="str">
        <f t="shared" si="1"/>
        <v/>
      </c>
      <c r="G340" s="183">
        <f>IFERROR(__xludf.DUMMYFUNCTION("IFERROR(lookup(9999999999,FILTER('Operações-BR'!$M:$M,'Operações-BR'!$C:$C=A340,'Operações-BR'!$A:$A&lt;=C340)),0)"),0.0)</f>
        <v>0</v>
      </c>
      <c r="H340" s="184">
        <f t="shared" si="2"/>
        <v>0</v>
      </c>
      <c r="I340" s="184">
        <f>IFERROR(__xludf.DUMMYFUNCTION("IFERROR(lookup(9999999999,FILTER('Operações-BR'!Q:Q,'Operações-BR'!$C:$C=A340,'Operações-BR'!$A:$A&lt;=C340))/G340,0)"),0.0)</f>
        <v>0</v>
      </c>
      <c r="J340" s="185" t="str">
        <f>IFERROR(VLOOKUP(A340,Ativos!$A$1:$G2000,5,),"")</f>
        <v/>
      </c>
      <c r="K340" s="185" t="str">
        <f>IFERROR(VLOOKUP(A340,Ativos!A:H,8,),"")</f>
        <v/>
      </c>
      <c r="L340" s="186">
        <f t="shared" si="3"/>
        <v>0</v>
      </c>
    </row>
    <row r="341" ht="21.0" customHeight="1">
      <c r="A341" s="187"/>
      <c r="B341" s="187"/>
      <c r="C341" s="188"/>
      <c r="D341" s="135"/>
      <c r="E341" s="189"/>
      <c r="F341" s="182" t="str">
        <f t="shared" si="1"/>
        <v/>
      </c>
      <c r="G341" s="183">
        <f>IFERROR(__xludf.DUMMYFUNCTION("IFERROR(lookup(9999999999,FILTER('Operações-BR'!$M:$M,'Operações-BR'!$C:$C=A341,'Operações-BR'!$A:$A&lt;=C341)),0)"),0.0)</f>
        <v>0</v>
      </c>
      <c r="H341" s="184">
        <f t="shared" si="2"/>
        <v>0</v>
      </c>
      <c r="I341" s="184">
        <f>IFERROR(__xludf.DUMMYFUNCTION("IFERROR(lookup(9999999999,FILTER('Operações-BR'!Q:Q,'Operações-BR'!$C:$C=A341,'Operações-BR'!$A:$A&lt;=C341))/G341,0)"),0.0)</f>
        <v>0</v>
      </c>
      <c r="J341" s="185" t="str">
        <f>IFERROR(VLOOKUP(A341,Ativos!$A$1:$G2000,5,),"")</f>
        <v/>
      </c>
      <c r="K341" s="185" t="str">
        <f>IFERROR(VLOOKUP(A341,Ativos!A:H,8,),"")</f>
        <v/>
      </c>
      <c r="L341" s="186">
        <f t="shared" si="3"/>
        <v>0</v>
      </c>
    </row>
    <row r="342" ht="21.0" customHeight="1">
      <c r="A342" s="187"/>
      <c r="B342" s="187"/>
      <c r="C342" s="188"/>
      <c r="D342" s="135"/>
      <c r="E342" s="189"/>
      <c r="F342" s="182" t="str">
        <f t="shared" si="1"/>
        <v/>
      </c>
      <c r="G342" s="183">
        <f>IFERROR(__xludf.DUMMYFUNCTION("IFERROR(lookup(9999999999,FILTER('Operações-BR'!$M:$M,'Operações-BR'!$C:$C=A342,'Operações-BR'!$A:$A&lt;=C342)),0)"),0.0)</f>
        <v>0</v>
      </c>
      <c r="H342" s="184">
        <f t="shared" si="2"/>
        <v>0</v>
      </c>
      <c r="I342" s="184">
        <f>IFERROR(__xludf.DUMMYFUNCTION("IFERROR(lookup(9999999999,FILTER('Operações-BR'!Q:Q,'Operações-BR'!$C:$C=A342,'Operações-BR'!$A:$A&lt;=C342))/G342,0)"),0.0)</f>
        <v>0</v>
      </c>
      <c r="J342" s="185" t="str">
        <f>IFERROR(VLOOKUP(A342,Ativos!$A$1:$G2000,5,),"")</f>
        <v/>
      </c>
      <c r="K342" s="185" t="str">
        <f>IFERROR(VLOOKUP(A342,Ativos!A:H,8,),"")</f>
        <v/>
      </c>
      <c r="L342" s="186">
        <f t="shared" si="3"/>
        <v>0</v>
      </c>
    </row>
    <row r="343" ht="21.0" customHeight="1">
      <c r="A343" s="187"/>
      <c r="B343" s="187"/>
      <c r="C343" s="188"/>
      <c r="D343" s="135"/>
      <c r="E343" s="189"/>
      <c r="F343" s="182" t="str">
        <f t="shared" si="1"/>
        <v/>
      </c>
      <c r="G343" s="183">
        <f>IFERROR(__xludf.DUMMYFUNCTION("IFERROR(lookup(9999999999,FILTER('Operações-BR'!$M:$M,'Operações-BR'!$C:$C=A343,'Operações-BR'!$A:$A&lt;=C343)),0)"),0.0)</f>
        <v>0</v>
      </c>
      <c r="H343" s="184">
        <f t="shared" si="2"/>
        <v>0</v>
      </c>
      <c r="I343" s="184">
        <f>IFERROR(__xludf.DUMMYFUNCTION("IFERROR(lookup(9999999999,FILTER('Operações-BR'!Q:Q,'Operações-BR'!$C:$C=A343,'Operações-BR'!$A:$A&lt;=C343))/G343,0)"),0.0)</f>
        <v>0</v>
      </c>
      <c r="J343" s="185" t="str">
        <f>IFERROR(VLOOKUP(A343,Ativos!$A$1:$G2000,5,),"")</f>
        <v/>
      </c>
      <c r="K343" s="185" t="str">
        <f>IFERROR(VLOOKUP(A343,Ativos!A:H,8,),"")</f>
        <v/>
      </c>
      <c r="L343" s="186">
        <f t="shared" si="3"/>
        <v>0</v>
      </c>
    </row>
    <row r="344" ht="21.0" customHeight="1">
      <c r="A344" s="187"/>
      <c r="B344" s="187"/>
      <c r="C344" s="188"/>
      <c r="D344" s="135"/>
      <c r="E344" s="189"/>
      <c r="F344" s="182" t="str">
        <f t="shared" si="1"/>
        <v/>
      </c>
      <c r="G344" s="183">
        <f>IFERROR(__xludf.DUMMYFUNCTION("IFERROR(lookup(9999999999,FILTER('Operações-BR'!$M:$M,'Operações-BR'!$C:$C=A344,'Operações-BR'!$A:$A&lt;=C344)),0)"),0.0)</f>
        <v>0</v>
      </c>
      <c r="H344" s="184">
        <f t="shared" si="2"/>
        <v>0</v>
      </c>
      <c r="I344" s="184">
        <f>IFERROR(__xludf.DUMMYFUNCTION("IFERROR(lookup(9999999999,FILTER('Operações-BR'!Q:Q,'Operações-BR'!$C:$C=A344,'Operações-BR'!$A:$A&lt;=C344))/G344,0)"),0.0)</f>
        <v>0</v>
      </c>
      <c r="J344" s="185" t="str">
        <f>IFERROR(VLOOKUP(A344,Ativos!$A$1:$G2000,5,),"")</f>
        <v/>
      </c>
      <c r="K344" s="185" t="str">
        <f>IFERROR(VLOOKUP(A344,Ativos!A:H,8,),"")</f>
        <v/>
      </c>
      <c r="L344" s="186">
        <f t="shared" si="3"/>
        <v>0</v>
      </c>
    </row>
    <row r="345" ht="21.0" customHeight="1">
      <c r="A345" s="187"/>
      <c r="B345" s="187"/>
      <c r="C345" s="188"/>
      <c r="D345" s="135"/>
      <c r="E345" s="189"/>
      <c r="F345" s="182" t="str">
        <f t="shared" si="1"/>
        <v/>
      </c>
      <c r="G345" s="183">
        <f>IFERROR(__xludf.DUMMYFUNCTION("IFERROR(lookup(9999999999,FILTER('Operações-BR'!$M:$M,'Operações-BR'!$C:$C=A345,'Operações-BR'!$A:$A&lt;=C345)),0)"),0.0)</f>
        <v>0</v>
      </c>
      <c r="H345" s="184">
        <f t="shared" si="2"/>
        <v>0</v>
      </c>
      <c r="I345" s="184">
        <f>IFERROR(__xludf.DUMMYFUNCTION("IFERROR(lookup(9999999999,FILTER('Operações-BR'!Q:Q,'Operações-BR'!$C:$C=A345,'Operações-BR'!$A:$A&lt;=C345))/G345,0)"),0.0)</f>
        <v>0</v>
      </c>
      <c r="J345" s="185" t="str">
        <f>IFERROR(VLOOKUP(A345,Ativos!$A$1:$G2000,5,),"")</f>
        <v/>
      </c>
      <c r="K345" s="185" t="str">
        <f>IFERROR(VLOOKUP(A345,Ativos!A:H,8,),"")</f>
        <v/>
      </c>
      <c r="L345" s="186">
        <f t="shared" si="3"/>
        <v>0</v>
      </c>
    </row>
    <row r="346" ht="21.0" customHeight="1">
      <c r="A346" s="187"/>
      <c r="B346" s="187"/>
      <c r="C346" s="188"/>
      <c r="D346" s="135"/>
      <c r="E346" s="189"/>
      <c r="F346" s="182" t="str">
        <f t="shared" si="1"/>
        <v/>
      </c>
      <c r="G346" s="183">
        <f>IFERROR(__xludf.DUMMYFUNCTION("IFERROR(lookup(9999999999,FILTER('Operações-BR'!$M:$M,'Operações-BR'!$C:$C=A346,'Operações-BR'!$A:$A&lt;=C346)),0)"),0.0)</f>
        <v>0</v>
      </c>
      <c r="H346" s="184">
        <f t="shared" si="2"/>
        <v>0</v>
      </c>
      <c r="I346" s="184">
        <f>IFERROR(__xludf.DUMMYFUNCTION("IFERROR(lookup(9999999999,FILTER('Operações-BR'!Q:Q,'Operações-BR'!$C:$C=A346,'Operações-BR'!$A:$A&lt;=C346))/G346,0)"),0.0)</f>
        <v>0</v>
      </c>
      <c r="J346" s="185" t="str">
        <f>IFERROR(VLOOKUP(A346,Ativos!$A$1:$G2000,5,),"")</f>
        <v/>
      </c>
      <c r="K346" s="185" t="str">
        <f>IFERROR(VLOOKUP(A346,Ativos!A:H,8,),"")</f>
        <v/>
      </c>
      <c r="L346" s="186">
        <f t="shared" si="3"/>
        <v>0</v>
      </c>
    </row>
    <row r="347" ht="21.0" customHeight="1">
      <c r="A347" s="187"/>
      <c r="B347" s="187"/>
      <c r="C347" s="188"/>
      <c r="D347" s="135"/>
      <c r="E347" s="189"/>
      <c r="F347" s="182" t="str">
        <f t="shared" si="1"/>
        <v/>
      </c>
      <c r="G347" s="183">
        <f>IFERROR(__xludf.DUMMYFUNCTION("IFERROR(lookup(9999999999,FILTER('Operações-BR'!$M:$M,'Operações-BR'!$C:$C=A347,'Operações-BR'!$A:$A&lt;=C347)),0)"),0.0)</f>
        <v>0</v>
      </c>
      <c r="H347" s="184">
        <f t="shared" si="2"/>
        <v>0</v>
      </c>
      <c r="I347" s="184">
        <f>IFERROR(__xludf.DUMMYFUNCTION("IFERROR(lookup(9999999999,FILTER('Operações-BR'!Q:Q,'Operações-BR'!$C:$C=A347,'Operações-BR'!$A:$A&lt;=C347))/G347,0)"),0.0)</f>
        <v>0</v>
      </c>
      <c r="J347" s="185" t="str">
        <f>IFERROR(VLOOKUP(A347,Ativos!$A$1:$G2000,5,),"")</f>
        <v/>
      </c>
      <c r="K347" s="185" t="str">
        <f>IFERROR(VLOOKUP(A347,Ativos!A:H,8,),"")</f>
        <v/>
      </c>
      <c r="L347" s="186">
        <f t="shared" si="3"/>
        <v>0</v>
      </c>
    </row>
    <row r="348" ht="21.0" customHeight="1">
      <c r="A348" s="187"/>
      <c r="B348" s="187"/>
      <c r="C348" s="188"/>
      <c r="D348" s="135"/>
      <c r="E348" s="189"/>
      <c r="F348" s="182" t="str">
        <f t="shared" si="1"/>
        <v/>
      </c>
      <c r="G348" s="183">
        <f>IFERROR(__xludf.DUMMYFUNCTION("IFERROR(lookup(9999999999,FILTER('Operações-BR'!$M:$M,'Operações-BR'!$C:$C=A348,'Operações-BR'!$A:$A&lt;=C348)),0)"),0.0)</f>
        <v>0</v>
      </c>
      <c r="H348" s="184">
        <f t="shared" si="2"/>
        <v>0</v>
      </c>
      <c r="I348" s="184">
        <f>IFERROR(__xludf.DUMMYFUNCTION("IFERROR(lookup(9999999999,FILTER('Operações-BR'!Q:Q,'Operações-BR'!$C:$C=A348,'Operações-BR'!$A:$A&lt;=C348))/G348,0)"),0.0)</f>
        <v>0</v>
      </c>
      <c r="J348" s="185" t="str">
        <f>IFERROR(VLOOKUP(A348,Ativos!$A$1:$G2000,5,),"")</f>
        <v/>
      </c>
      <c r="K348" s="185" t="str">
        <f>IFERROR(VLOOKUP(A348,Ativos!A:H,8,),"")</f>
        <v/>
      </c>
      <c r="L348" s="186">
        <f t="shared" si="3"/>
        <v>0</v>
      </c>
    </row>
    <row r="349" ht="21.0" customHeight="1">
      <c r="A349" s="187"/>
      <c r="B349" s="187"/>
      <c r="C349" s="188"/>
      <c r="D349" s="135"/>
      <c r="E349" s="189"/>
      <c r="F349" s="182" t="str">
        <f t="shared" si="1"/>
        <v/>
      </c>
      <c r="G349" s="183">
        <f>IFERROR(__xludf.DUMMYFUNCTION("IFERROR(lookup(9999999999,FILTER('Operações-BR'!$M:$M,'Operações-BR'!$C:$C=A349,'Operações-BR'!$A:$A&lt;=C349)),0)"),0.0)</f>
        <v>0</v>
      </c>
      <c r="H349" s="184">
        <f t="shared" si="2"/>
        <v>0</v>
      </c>
      <c r="I349" s="184">
        <f>IFERROR(__xludf.DUMMYFUNCTION("IFERROR(lookup(9999999999,FILTER('Operações-BR'!Q:Q,'Operações-BR'!$C:$C=A349,'Operações-BR'!$A:$A&lt;=C349))/G349,0)"),0.0)</f>
        <v>0</v>
      </c>
      <c r="J349" s="185" t="str">
        <f>IFERROR(VLOOKUP(A349,Ativos!$A$1:$G2000,5,),"")</f>
        <v/>
      </c>
      <c r="K349" s="185" t="str">
        <f>IFERROR(VLOOKUP(A349,Ativos!A:H,8,),"")</f>
        <v/>
      </c>
      <c r="L349" s="186">
        <f t="shared" si="3"/>
        <v>0</v>
      </c>
    </row>
    <row r="350" ht="21.0" customHeight="1">
      <c r="A350" s="187"/>
      <c r="B350" s="187"/>
      <c r="C350" s="188"/>
      <c r="D350" s="135"/>
      <c r="E350" s="189"/>
      <c r="F350" s="182" t="str">
        <f t="shared" si="1"/>
        <v/>
      </c>
      <c r="G350" s="183">
        <f>IFERROR(__xludf.DUMMYFUNCTION("IFERROR(lookup(9999999999,FILTER('Operações-BR'!$M:$M,'Operações-BR'!$C:$C=A350,'Operações-BR'!$A:$A&lt;=C350)),0)"),0.0)</f>
        <v>0</v>
      </c>
      <c r="H350" s="184">
        <f t="shared" si="2"/>
        <v>0</v>
      </c>
      <c r="I350" s="184">
        <f>IFERROR(__xludf.DUMMYFUNCTION("IFERROR(lookup(9999999999,FILTER('Operações-BR'!Q:Q,'Operações-BR'!$C:$C=A350,'Operações-BR'!$A:$A&lt;=C350))/G350,0)"),0.0)</f>
        <v>0</v>
      </c>
      <c r="J350" s="185" t="str">
        <f>IFERROR(VLOOKUP(A350,Ativos!$A$1:$G2000,5,),"")</f>
        <v/>
      </c>
      <c r="K350" s="185" t="str">
        <f>IFERROR(VLOOKUP(A350,Ativos!A:H,8,),"")</f>
        <v/>
      </c>
      <c r="L350" s="186">
        <f t="shared" si="3"/>
        <v>0</v>
      </c>
    </row>
    <row r="351" ht="21.0" customHeight="1">
      <c r="A351" s="187"/>
      <c r="B351" s="187"/>
      <c r="C351" s="188"/>
      <c r="D351" s="135"/>
      <c r="E351" s="189"/>
      <c r="F351" s="182" t="str">
        <f t="shared" si="1"/>
        <v/>
      </c>
      <c r="G351" s="183">
        <f>IFERROR(__xludf.DUMMYFUNCTION("IFERROR(lookup(9999999999,FILTER('Operações-BR'!$M:$M,'Operações-BR'!$C:$C=A351,'Operações-BR'!$A:$A&lt;=C351)),0)"),0.0)</f>
        <v>0</v>
      </c>
      <c r="H351" s="184">
        <f t="shared" si="2"/>
        <v>0</v>
      </c>
      <c r="I351" s="184">
        <f>IFERROR(__xludf.DUMMYFUNCTION("IFERROR(lookup(9999999999,FILTER('Operações-BR'!Q:Q,'Operações-BR'!$C:$C=A351,'Operações-BR'!$A:$A&lt;=C351))/G351,0)"),0.0)</f>
        <v>0</v>
      </c>
      <c r="J351" s="185" t="str">
        <f>IFERROR(VLOOKUP(A351,Ativos!$A$1:$G2000,5,),"")</f>
        <v/>
      </c>
      <c r="K351" s="185" t="str">
        <f>IFERROR(VLOOKUP(A351,Ativos!A:H,8,),"")</f>
        <v/>
      </c>
      <c r="L351" s="186">
        <f t="shared" si="3"/>
        <v>0</v>
      </c>
    </row>
    <row r="352" ht="21.0" customHeight="1">
      <c r="A352" s="187"/>
      <c r="B352" s="187"/>
      <c r="C352" s="188"/>
      <c r="D352" s="135"/>
      <c r="E352" s="189"/>
      <c r="F352" s="182" t="str">
        <f t="shared" si="1"/>
        <v/>
      </c>
      <c r="G352" s="183">
        <f>IFERROR(__xludf.DUMMYFUNCTION("IFERROR(lookup(9999999999,FILTER('Operações-BR'!$M:$M,'Operações-BR'!$C:$C=A352,'Operações-BR'!$A:$A&lt;=C352)),0)"),0.0)</f>
        <v>0</v>
      </c>
      <c r="H352" s="184">
        <f t="shared" si="2"/>
        <v>0</v>
      </c>
      <c r="I352" s="184">
        <f>IFERROR(__xludf.DUMMYFUNCTION("IFERROR(lookup(9999999999,FILTER('Operações-BR'!Q:Q,'Operações-BR'!$C:$C=A352,'Operações-BR'!$A:$A&lt;=C352))/G352,0)"),0.0)</f>
        <v>0</v>
      </c>
      <c r="J352" s="185" t="str">
        <f>IFERROR(VLOOKUP(A352,Ativos!$A$1:$G2000,5,),"")</f>
        <v/>
      </c>
      <c r="K352" s="185" t="str">
        <f>IFERROR(VLOOKUP(A352,Ativos!A:H,8,),"")</f>
        <v/>
      </c>
      <c r="L352" s="186">
        <f t="shared" si="3"/>
        <v>0</v>
      </c>
    </row>
    <row r="353" ht="21.0" customHeight="1">
      <c r="A353" s="187"/>
      <c r="B353" s="187"/>
      <c r="C353" s="188"/>
      <c r="D353" s="135"/>
      <c r="E353" s="189"/>
      <c r="F353" s="182" t="str">
        <f t="shared" si="1"/>
        <v/>
      </c>
      <c r="G353" s="183">
        <f>IFERROR(__xludf.DUMMYFUNCTION("IFERROR(lookup(9999999999,FILTER('Operações-BR'!$M:$M,'Operações-BR'!$C:$C=A353,'Operações-BR'!$A:$A&lt;=C353)),0)"),0.0)</f>
        <v>0</v>
      </c>
      <c r="H353" s="184">
        <f t="shared" si="2"/>
        <v>0</v>
      </c>
      <c r="I353" s="184">
        <f>IFERROR(__xludf.DUMMYFUNCTION("IFERROR(lookup(9999999999,FILTER('Operações-BR'!Q:Q,'Operações-BR'!$C:$C=A353,'Operações-BR'!$A:$A&lt;=C353))/G353,0)"),0.0)</f>
        <v>0</v>
      </c>
      <c r="J353" s="185" t="str">
        <f>IFERROR(VLOOKUP(A353,Ativos!$A$1:$G2000,5,),"")</f>
        <v/>
      </c>
      <c r="K353" s="185" t="str">
        <f>IFERROR(VLOOKUP(A353,Ativos!A:H,8,),"")</f>
        <v/>
      </c>
      <c r="L353" s="186">
        <f t="shared" si="3"/>
        <v>0</v>
      </c>
    </row>
    <row r="354" ht="21.0" customHeight="1">
      <c r="A354" s="187"/>
      <c r="B354" s="187"/>
      <c r="C354" s="188"/>
      <c r="D354" s="135"/>
      <c r="E354" s="189"/>
      <c r="F354" s="182" t="str">
        <f t="shared" si="1"/>
        <v/>
      </c>
      <c r="G354" s="183">
        <f>IFERROR(__xludf.DUMMYFUNCTION("IFERROR(lookup(9999999999,FILTER('Operações-BR'!$M:$M,'Operações-BR'!$C:$C=A354,'Operações-BR'!$A:$A&lt;=C354)),0)"),0.0)</f>
        <v>0</v>
      </c>
      <c r="H354" s="184">
        <f t="shared" si="2"/>
        <v>0</v>
      </c>
      <c r="I354" s="184">
        <f>IFERROR(__xludf.DUMMYFUNCTION("IFERROR(lookup(9999999999,FILTER('Operações-BR'!Q:Q,'Operações-BR'!$C:$C=A354,'Operações-BR'!$A:$A&lt;=C354))/G354,0)"),0.0)</f>
        <v>0</v>
      </c>
      <c r="J354" s="185" t="str">
        <f>IFERROR(VLOOKUP(A354,Ativos!$A$1:$G2000,5,),"")</f>
        <v/>
      </c>
      <c r="K354" s="185" t="str">
        <f>IFERROR(VLOOKUP(A354,Ativos!A:H,8,),"")</f>
        <v/>
      </c>
      <c r="L354" s="186">
        <f t="shared" si="3"/>
        <v>0</v>
      </c>
    </row>
    <row r="355" ht="21.0" customHeight="1">
      <c r="A355" s="187"/>
      <c r="B355" s="187"/>
      <c r="C355" s="188"/>
      <c r="D355" s="135"/>
      <c r="E355" s="189"/>
      <c r="F355" s="182" t="str">
        <f t="shared" si="1"/>
        <v/>
      </c>
      <c r="G355" s="183">
        <f>IFERROR(__xludf.DUMMYFUNCTION("IFERROR(lookup(9999999999,FILTER('Operações-BR'!$M:$M,'Operações-BR'!$C:$C=A355,'Operações-BR'!$A:$A&lt;=C355)),0)"),0.0)</f>
        <v>0</v>
      </c>
      <c r="H355" s="184">
        <f t="shared" si="2"/>
        <v>0</v>
      </c>
      <c r="I355" s="184">
        <f>IFERROR(__xludf.DUMMYFUNCTION("IFERROR(lookup(9999999999,FILTER('Operações-BR'!Q:Q,'Operações-BR'!$C:$C=A355,'Operações-BR'!$A:$A&lt;=C355))/G355,0)"),0.0)</f>
        <v>0</v>
      </c>
      <c r="J355" s="185" t="str">
        <f>IFERROR(VLOOKUP(A355,Ativos!$A$1:$G2000,5,),"")</f>
        <v/>
      </c>
      <c r="K355" s="185" t="str">
        <f>IFERROR(VLOOKUP(A355,Ativos!A:H,8,),"")</f>
        <v/>
      </c>
      <c r="L355" s="186">
        <f t="shared" si="3"/>
        <v>0</v>
      </c>
    </row>
    <row r="356" ht="21.0" customHeight="1">
      <c r="A356" s="187"/>
      <c r="B356" s="187"/>
      <c r="C356" s="188"/>
      <c r="D356" s="135"/>
      <c r="E356" s="189"/>
      <c r="F356" s="182" t="str">
        <f t="shared" si="1"/>
        <v/>
      </c>
      <c r="G356" s="183">
        <f>IFERROR(__xludf.DUMMYFUNCTION("IFERROR(lookup(9999999999,FILTER('Operações-BR'!$M:$M,'Operações-BR'!$C:$C=A356,'Operações-BR'!$A:$A&lt;=C356)),0)"),0.0)</f>
        <v>0</v>
      </c>
      <c r="H356" s="184">
        <f t="shared" si="2"/>
        <v>0</v>
      </c>
      <c r="I356" s="184">
        <f>IFERROR(__xludf.DUMMYFUNCTION("IFERROR(lookup(9999999999,FILTER('Operações-BR'!Q:Q,'Operações-BR'!$C:$C=A356,'Operações-BR'!$A:$A&lt;=C356))/G356,0)"),0.0)</f>
        <v>0</v>
      </c>
      <c r="J356" s="185" t="str">
        <f>IFERROR(VLOOKUP(A356,Ativos!$A$1:$G2000,5,),"")</f>
        <v/>
      </c>
      <c r="K356" s="185" t="str">
        <f>IFERROR(VLOOKUP(A356,Ativos!A:H,8,),"")</f>
        <v/>
      </c>
      <c r="L356" s="186">
        <f t="shared" si="3"/>
        <v>0</v>
      </c>
    </row>
    <row r="357" ht="21.0" customHeight="1">
      <c r="A357" s="187"/>
      <c r="B357" s="187"/>
      <c r="C357" s="188"/>
      <c r="D357" s="135"/>
      <c r="E357" s="189"/>
      <c r="F357" s="182" t="str">
        <f t="shared" si="1"/>
        <v/>
      </c>
      <c r="G357" s="183">
        <f>IFERROR(__xludf.DUMMYFUNCTION("IFERROR(lookup(9999999999,FILTER('Operações-BR'!$M:$M,'Operações-BR'!$C:$C=A357,'Operações-BR'!$A:$A&lt;=C357)),0)"),0.0)</f>
        <v>0</v>
      </c>
      <c r="H357" s="184">
        <f t="shared" si="2"/>
        <v>0</v>
      </c>
      <c r="I357" s="184">
        <f>IFERROR(__xludf.DUMMYFUNCTION("IFERROR(lookup(9999999999,FILTER('Operações-BR'!Q:Q,'Operações-BR'!$C:$C=A357,'Operações-BR'!$A:$A&lt;=C357))/G357,0)"),0.0)</f>
        <v>0</v>
      </c>
      <c r="J357" s="185" t="str">
        <f>IFERROR(VLOOKUP(A357,Ativos!$A$1:$G2000,5,),"")</f>
        <v/>
      </c>
      <c r="K357" s="185" t="str">
        <f>IFERROR(VLOOKUP(A357,Ativos!A:H,8,),"")</f>
        <v/>
      </c>
      <c r="L357" s="186">
        <f t="shared" si="3"/>
        <v>0</v>
      </c>
    </row>
    <row r="358" ht="21.0" customHeight="1">
      <c r="A358" s="187"/>
      <c r="B358" s="187"/>
      <c r="C358" s="188"/>
      <c r="D358" s="135"/>
      <c r="E358" s="189"/>
      <c r="F358" s="182" t="str">
        <f t="shared" si="1"/>
        <v/>
      </c>
      <c r="G358" s="183">
        <f>IFERROR(__xludf.DUMMYFUNCTION("IFERROR(lookup(9999999999,FILTER('Operações-BR'!$M:$M,'Operações-BR'!$C:$C=A358,'Operações-BR'!$A:$A&lt;=C358)),0)"),0.0)</f>
        <v>0</v>
      </c>
      <c r="H358" s="184">
        <f t="shared" si="2"/>
        <v>0</v>
      </c>
      <c r="I358" s="184">
        <f>IFERROR(__xludf.DUMMYFUNCTION("IFERROR(lookup(9999999999,FILTER('Operações-BR'!Q:Q,'Operações-BR'!$C:$C=A358,'Operações-BR'!$A:$A&lt;=C358))/G358,0)"),0.0)</f>
        <v>0</v>
      </c>
      <c r="J358" s="185" t="str">
        <f>IFERROR(VLOOKUP(A358,Ativos!$A$1:$G2000,5,),"")</f>
        <v/>
      </c>
      <c r="K358" s="185" t="str">
        <f>IFERROR(VLOOKUP(A358,Ativos!A:H,8,),"")</f>
        <v/>
      </c>
      <c r="L358" s="186">
        <f t="shared" si="3"/>
        <v>0</v>
      </c>
    </row>
    <row r="359" ht="21.0" customHeight="1">
      <c r="A359" s="187"/>
      <c r="B359" s="187"/>
      <c r="C359" s="188"/>
      <c r="D359" s="135"/>
      <c r="E359" s="189"/>
      <c r="F359" s="182" t="str">
        <f t="shared" si="1"/>
        <v/>
      </c>
      <c r="G359" s="183">
        <f>IFERROR(__xludf.DUMMYFUNCTION("IFERROR(lookup(9999999999,FILTER('Operações-BR'!$M:$M,'Operações-BR'!$C:$C=A359,'Operações-BR'!$A:$A&lt;=C359)),0)"),0.0)</f>
        <v>0</v>
      </c>
      <c r="H359" s="184">
        <f t="shared" si="2"/>
        <v>0</v>
      </c>
      <c r="I359" s="184">
        <f>IFERROR(__xludf.DUMMYFUNCTION("IFERROR(lookup(9999999999,FILTER('Operações-BR'!Q:Q,'Operações-BR'!$C:$C=A359,'Operações-BR'!$A:$A&lt;=C359))/G359,0)"),0.0)</f>
        <v>0</v>
      </c>
      <c r="J359" s="185" t="str">
        <f>IFERROR(VLOOKUP(A359,Ativos!$A$1:$G2000,5,),"")</f>
        <v/>
      </c>
      <c r="K359" s="185" t="str">
        <f>IFERROR(VLOOKUP(A359,Ativos!A:H,8,),"")</f>
        <v/>
      </c>
      <c r="L359" s="186">
        <f t="shared" si="3"/>
        <v>0</v>
      </c>
    </row>
    <row r="360" ht="21.0" customHeight="1">
      <c r="A360" s="187"/>
      <c r="B360" s="187"/>
      <c r="C360" s="188"/>
      <c r="D360" s="135"/>
      <c r="E360" s="189"/>
      <c r="F360" s="182" t="str">
        <f t="shared" si="1"/>
        <v/>
      </c>
      <c r="G360" s="183">
        <f>IFERROR(__xludf.DUMMYFUNCTION("IFERROR(lookup(9999999999,FILTER('Operações-BR'!$M:$M,'Operações-BR'!$C:$C=A360,'Operações-BR'!$A:$A&lt;=C360)),0)"),0.0)</f>
        <v>0</v>
      </c>
      <c r="H360" s="184">
        <f t="shared" si="2"/>
        <v>0</v>
      </c>
      <c r="I360" s="184">
        <f>IFERROR(__xludf.DUMMYFUNCTION("IFERROR(lookup(9999999999,FILTER('Operações-BR'!Q:Q,'Operações-BR'!$C:$C=A360,'Operações-BR'!$A:$A&lt;=C360))/G360,0)"),0.0)</f>
        <v>0</v>
      </c>
      <c r="J360" s="185" t="str">
        <f>IFERROR(VLOOKUP(A360,Ativos!$A$1:$G2000,5,),"")</f>
        <v/>
      </c>
      <c r="K360" s="185" t="str">
        <f>IFERROR(VLOOKUP(A360,Ativos!A:H,8,),"")</f>
        <v/>
      </c>
      <c r="L360" s="186">
        <f t="shared" si="3"/>
        <v>0</v>
      </c>
    </row>
    <row r="361" ht="21.0" customHeight="1">
      <c r="A361" s="187"/>
      <c r="B361" s="187"/>
      <c r="C361" s="188"/>
      <c r="D361" s="135"/>
      <c r="E361" s="189"/>
      <c r="F361" s="182" t="str">
        <f t="shared" si="1"/>
        <v/>
      </c>
      <c r="G361" s="183">
        <f>IFERROR(__xludf.DUMMYFUNCTION("IFERROR(lookup(9999999999,FILTER('Operações-BR'!$M:$M,'Operações-BR'!$C:$C=A361,'Operações-BR'!$A:$A&lt;=C361)),0)"),0.0)</f>
        <v>0</v>
      </c>
      <c r="H361" s="184">
        <f t="shared" si="2"/>
        <v>0</v>
      </c>
      <c r="I361" s="184">
        <f>IFERROR(__xludf.DUMMYFUNCTION("IFERROR(lookup(9999999999,FILTER('Operações-BR'!Q:Q,'Operações-BR'!$C:$C=A361,'Operações-BR'!$A:$A&lt;=C361))/G361,0)"),0.0)</f>
        <v>0</v>
      </c>
      <c r="J361" s="185" t="str">
        <f>IFERROR(VLOOKUP(A361,Ativos!$A$1:$G2000,5,),"")</f>
        <v/>
      </c>
      <c r="K361" s="185" t="str">
        <f>IFERROR(VLOOKUP(A361,Ativos!A:H,8,),"")</f>
        <v/>
      </c>
      <c r="L361" s="186">
        <f t="shared" si="3"/>
        <v>0</v>
      </c>
    </row>
    <row r="362" ht="21.0" customHeight="1">
      <c r="A362" s="187"/>
      <c r="B362" s="187"/>
      <c r="C362" s="188"/>
      <c r="D362" s="135"/>
      <c r="E362" s="189"/>
      <c r="F362" s="182" t="str">
        <f t="shared" si="1"/>
        <v/>
      </c>
      <c r="G362" s="183">
        <f>IFERROR(__xludf.DUMMYFUNCTION("IFERROR(lookup(9999999999,FILTER('Operações-BR'!$M:$M,'Operações-BR'!$C:$C=A362,'Operações-BR'!$A:$A&lt;=C362)),0)"),0.0)</f>
        <v>0</v>
      </c>
      <c r="H362" s="184">
        <f t="shared" si="2"/>
        <v>0</v>
      </c>
      <c r="I362" s="184">
        <f>IFERROR(__xludf.DUMMYFUNCTION("IFERROR(lookup(9999999999,FILTER('Operações-BR'!Q:Q,'Operações-BR'!$C:$C=A362,'Operações-BR'!$A:$A&lt;=C362))/G362,0)"),0.0)</f>
        <v>0</v>
      </c>
      <c r="J362" s="185" t="str">
        <f>IFERROR(VLOOKUP(A362,Ativos!$A$1:$G2000,5,),"")</f>
        <v/>
      </c>
      <c r="K362" s="185" t="str">
        <f>IFERROR(VLOOKUP(A362,Ativos!A:H,8,),"")</f>
        <v/>
      </c>
      <c r="L362" s="186">
        <f t="shared" si="3"/>
        <v>0</v>
      </c>
    </row>
    <row r="363" ht="21.0" customHeight="1">
      <c r="A363" s="187"/>
      <c r="B363" s="187"/>
      <c r="C363" s="188"/>
      <c r="D363" s="135"/>
      <c r="E363" s="189"/>
      <c r="F363" s="182" t="str">
        <f t="shared" si="1"/>
        <v/>
      </c>
      <c r="G363" s="183">
        <f>IFERROR(__xludf.DUMMYFUNCTION("IFERROR(lookup(9999999999,FILTER('Operações-BR'!$M:$M,'Operações-BR'!$C:$C=A363,'Operações-BR'!$A:$A&lt;=C363)),0)"),0.0)</f>
        <v>0</v>
      </c>
      <c r="H363" s="184">
        <f t="shared" si="2"/>
        <v>0</v>
      </c>
      <c r="I363" s="184">
        <f>IFERROR(__xludf.DUMMYFUNCTION("IFERROR(lookup(9999999999,FILTER('Operações-BR'!Q:Q,'Operações-BR'!$C:$C=A363,'Operações-BR'!$A:$A&lt;=C363))/G363,0)"),0.0)</f>
        <v>0</v>
      </c>
      <c r="J363" s="185" t="str">
        <f>IFERROR(VLOOKUP(A363,Ativos!$A$1:$G2000,5,),"")</f>
        <v/>
      </c>
      <c r="K363" s="185" t="str">
        <f>IFERROR(VLOOKUP(A363,Ativos!A:H,8,),"")</f>
        <v/>
      </c>
      <c r="L363" s="186">
        <f t="shared" si="3"/>
        <v>0</v>
      </c>
    </row>
    <row r="364" ht="21.0" customHeight="1">
      <c r="A364" s="187"/>
      <c r="B364" s="187"/>
      <c r="C364" s="188"/>
      <c r="D364" s="135"/>
      <c r="E364" s="189"/>
      <c r="F364" s="182" t="str">
        <f t="shared" si="1"/>
        <v/>
      </c>
      <c r="G364" s="183">
        <f>IFERROR(__xludf.DUMMYFUNCTION("IFERROR(lookup(9999999999,FILTER('Operações-BR'!$M:$M,'Operações-BR'!$C:$C=A364,'Operações-BR'!$A:$A&lt;=C364)),0)"),0.0)</f>
        <v>0</v>
      </c>
      <c r="H364" s="184">
        <f t="shared" si="2"/>
        <v>0</v>
      </c>
      <c r="I364" s="184">
        <f>IFERROR(__xludf.DUMMYFUNCTION("IFERROR(lookup(9999999999,FILTER('Operações-BR'!Q:Q,'Operações-BR'!$C:$C=A364,'Operações-BR'!$A:$A&lt;=C364))/G364,0)"),0.0)</f>
        <v>0</v>
      </c>
      <c r="J364" s="185" t="str">
        <f>IFERROR(VLOOKUP(A364,Ativos!$A$1:$G2000,5,),"")</f>
        <v/>
      </c>
      <c r="K364" s="185" t="str">
        <f>IFERROR(VLOOKUP(A364,Ativos!A:H,8,),"")</f>
        <v/>
      </c>
      <c r="L364" s="186">
        <f t="shared" si="3"/>
        <v>0</v>
      </c>
    </row>
    <row r="365" ht="21.0" customHeight="1">
      <c r="A365" s="187"/>
      <c r="B365" s="187"/>
      <c r="C365" s="188"/>
      <c r="D365" s="135"/>
      <c r="E365" s="189"/>
      <c r="F365" s="182" t="str">
        <f t="shared" si="1"/>
        <v/>
      </c>
      <c r="G365" s="183">
        <f>IFERROR(__xludf.DUMMYFUNCTION("IFERROR(lookup(9999999999,FILTER('Operações-BR'!$M:$M,'Operações-BR'!$C:$C=A365,'Operações-BR'!$A:$A&lt;=C365)),0)"),0.0)</f>
        <v>0</v>
      </c>
      <c r="H365" s="184">
        <f t="shared" si="2"/>
        <v>0</v>
      </c>
      <c r="I365" s="184">
        <f>IFERROR(__xludf.DUMMYFUNCTION("IFERROR(lookup(9999999999,FILTER('Operações-BR'!Q:Q,'Operações-BR'!$C:$C=A365,'Operações-BR'!$A:$A&lt;=C365))/G365,0)"),0.0)</f>
        <v>0</v>
      </c>
      <c r="J365" s="185" t="str">
        <f>IFERROR(VLOOKUP(A365,Ativos!$A$1:$G2000,5,),"")</f>
        <v/>
      </c>
      <c r="K365" s="185" t="str">
        <f>IFERROR(VLOOKUP(A365,Ativos!A:H,8,),"")</f>
        <v/>
      </c>
      <c r="L365" s="186">
        <f t="shared" si="3"/>
        <v>0</v>
      </c>
    </row>
    <row r="366" ht="21.0" customHeight="1">
      <c r="A366" s="187"/>
      <c r="B366" s="187"/>
      <c r="C366" s="188"/>
      <c r="D366" s="135"/>
      <c r="E366" s="189"/>
      <c r="F366" s="182" t="str">
        <f t="shared" si="1"/>
        <v/>
      </c>
      <c r="G366" s="183">
        <f>IFERROR(__xludf.DUMMYFUNCTION("IFERROR(lookup(9999999999,FILTER('Operações-BR'!$M:$M,'Operações-BR'!$C:$C=A366,'Operações-BR'!$A:$A&lt;=C366)),0)"),0.0)</f>
        <v>0</v>
      </c>
      <c r="H366" s="184">
        <f t="shared" si="2"/>
        <v>0</v>
      </c>
      <c r="I366" s="184">
        <f>IFERROR(__xludf.DUMMYFUNCTION("IFERROR(lookup(9999999999,FILTER('Operações-BR'!Q:Q,'Operações-BR'!$C:$C=A366,'Operações-BR'!$A:$A&lt;=C366))/G366,0)"),0.0)</f>
        <v>0</v>
      </c>
      <c r="J366" s="185" t="str">
        <f>IFERROR(VLOOKUP(A366,Ativos!$A$1:$G2000,5,),"")</f>
        <v/>
      </c>
      <c r="K366" s="185" t="str">
        <f>IFERROR(VLOOKUP(A366,Ativos!A:H,8,),"")</f>
        <v/>
      </c>
      <c r="L366" s="186">
        <f t="shared" si="3"/>
        <v>0</v>
      </c>
    </row>
    <row r="367" ht="21.0" customHeight="1">
      <c r="A367" s="187"/>
      <c r="B367" s="187"/>
      <c r="C367" s="188"/>
      <c r="D367" s="135"/>
      <c r="E367" s="189"/>
      <c r="F367" s="182" t="str">
        <f t="shared" si="1"/>
        <v/>
      </c>
      <c r="G367" s="183">
        <f>IFERROR(__xludf.DUMMYFUNCTION("IFERROR(lookup(9999999999,FILTER('Operações-BR'!$M:$M,'Operações-BR'!$C:$C=A367,'Operações-BR'!$A:$A&lt;=C367)),0)"),0.0)</f>
        <v>0</v>
      </c>
      <c r="H367" s="184">
        <f t="shared" si="2"/>
        <v>0</v>
      </c>
      <c r="I367" s="184">
        <f>IFERROR(__xludf.DUMMYFUNCTION("IFERROR(lookup(9999999999,FILTER('Operações-BR'!Q:Q,'Operações-BR'!$C:$C=A367,'Operações-BR'!$A:$A&lt;=C367))/G367,0)"),0.0)</f>
        <v>0</v>
      </c>
      <c r="J367" s="185" t="str">
        <f>IFERROR(VLOOKUP(A367,Ativos!$A$1:$G2000,5,),"")</f>
        <v/>
      </c>
      <c r="K367" s="185" t="str">
        <f>IFERROR(VLOOKUP(A367,Ativos!A:H,8,),"")</f>
        <v/>
      </c>
      <c r="L367" s="186">
        <f t="shared" si="3"/>
        <v>0</v>
      </c>
    </row>
    <row r="368" ht="21.0" customHeight="1">
      <c r="A368" s="187"/>
      <c r="B368" s="187"/>
      <c r="C368" s="188"/>
      <c r="D368" s="135"/>
      <c r="E368" s="189"/>
      <c r="F368" s="182" t="str">
        <f t="shared" si="1"/>
        <v/>
      </c>
      <c r="G368" s="183">
        <f>IFERROR(__xludf.DUMMYFUNCTION("IFERROR(lookup(9999999999,FILTER('Operações-BR'!$M:$M,'Operações-BR'!$C:$C=A368,'Operações-BR'!$A:$A&lt;=C368)),0)"),0.0)</f>
        <v>0</v>
      </c>
      <c r="H368" s="184">
        <f t="shared" si="2"/>
        <v>0</v>
      </c>
      <c r="I368" s="184">
        <f>IFERROR(__xludf.DUMMYFUNCTION("IFERROR(lookup(9999999999,FILTER('Operações-BR'!Q:Q,'Operações-BR'!$C:$C=A368,'Operações-BR'!$A:$A&lt;=C368))/G368,0)"),0.0)</f>
        <v>0</v>
      </c>
      <c r="J368" s="185" t="str">
        <f>IFERROR(VLOOKUP(A368,Ativos!$A$1:$G2000,5,),"")</f>
        <v/>
      </c>
      <c r="K368" s="185" t="str">
        <f>IFERROR(VLOOKUP(A368,Ativos!A:H,8,),"")</f>
        <v/>
      </c>
      <c r="L368" s="186">
        <f t="shared" si="3"/>
        <v>0</v>
      </c>
    </row>
    <row r="369" ht="21.0" customHeight="1">
      <c r="A369" s="187"/>
      <c r="B369" s="187"/>
      <c r="C369" s="188"/>
      <c r="D369" s="135"/>
      <c r="E369" s="189"/>
      <c r="F369" s="182" t="str">
        <f t="shared" si="1"/>
        <v/>
      </c>
      <c r="G369" s="183">
        <f>IFERROR(__xludf.DUMMYFUNCTION("IFERROR(lookup(9999999999,FILTER('Operações-BR'!$M:$M,'Operações-BR'!$C:$C=A369,'Operações-BR'!$A:$A&lt;=C369)),0)"),0.0)</f>
        <v>0</v>
      </c>
      <c r="H369" s="184">
        <f t="shared" si="2"/>
        <v>0</v>
      </c>
      <c r="I369" s="184">
        <f>IFERROR(__xludf.DUMMYFUNCTION("IFERROR(lookup(9999999999,FILTER('Operações-BR'!Q:Q,'Operações-BR'!$C:$C=A369,'Operações-BR'!$A:$A&lt;=C369))/G369,0)"),0.0)</f>
        <v>0</v>
      </c>
      <c r="J369" s="185" t="str">
        <f>IFERROR(VLOOKUP(A369,Ativos!$A$1:$G2000,5,),"")</f>
        <v/>
      </c>
      <c r="K369" s="185" t="str">
        <f>IFERROR(VLOOKUP(A369,Ativos!A:H,8,),"")</f>
        <v/>
      </c>
      <c r="L369" s="186">
        <f t="shared" si="3"/>
        <v>0</v>
      </c>
    </row>
    <row r="370" ht="21.0" customHeight="1">
      <c r="A370" s="187"/>
      <c r="B370" s="187"/>
      <c r="C370" s="188"/>
      <c r="D370" s="135"/>
      <c r="E370" s="189"/>
      <c r="F370" s="182" t="str">
        <f t="shared" si="1"/>
        <v/>
      </c>
      <c r="G370" s="183">
        <f>IFERROR(__xludf.DUMMYFUNCTION("IFERROR(lookup(9999999999,FILTER('Operações-BR'!$M:$M,'Operações-BR'!$C:$C=A370,'Operações-BR'!$A:$A&lt;=C370)),0)"),0.0)</f>
        <v>0</v>
      </c>
      <c r="H370" s="184">
        <f t="shared" si="2"/>
        <v>0</v>
      </c>
      <c r="I370" s="184">
        <f>IFERROR(__xludf.DUMMYFUNCTION("IFERROR(lookup(9999999999,FILTER('Operações-BR'!Q:Q,'Operações-BR'!$C:$C=A370,'Operações-BR'!$A:$A&lt;=C370))/G370,0)"),0.0)</f>
        <v>0</v>
      </c>
      <c r="J370" s="185" t="str">
        <f>IFERROR(VLOOKUP(A370,Ativos!$A$1:$G2000,5,),"")</f>
        <v/>
      </c>
      <c r="K370" s="185" t="str">
        <f>IFERROR(VLOOKUP(A370,Ativos!A:H,8,),"")</f>
        <v/>
      </c>
      <c r="L370" s="186">
        <f t="shared" si="3"/>
        <v>0</v>
      </c>
    </row>
    <row r="371" ht="21.0" customHeight="1">
      <c r="A371" s="187"/>
      <c r="B371" s="187"/>
      <c r="C371" s="188"/>
      <c r="D371" s="135"/>
      <c r="E371" s="189"/>
      <c r="F371" s="182" t="str">
        <f t="shared" si="1"/>
        <v/>
      </c>
      <c r="G371" s="183">
        <f>IFERROR(__xludf.DUMMYFUNCTION("IFERROR(lookup(9999999999,FILTER('Operações-BR'!$M:$M,'Operações-BR'!$C:$C=A371,'Operações-BR'!$A:$A&lt;=C371)),0)"),0.0)</f>
        <v>0</v>
      </c>
      <c r="H371" s="184">
        <f t="shared" si="2"/>
        <v>0</v>
      </c>
      <c r="I371" s="184">
        <f>IFERROR(__xludf.DUMMYFUNCTION("IFERROR(lookup(9999999999,FILTER('Operações-BR'!Q:Q,'Operações-BR'!$C:$C=A371,'Operações-BR'!$A:$A&lt;=C371))/G371,0)"),0.0)</f>
        <v>0</v>
      </c>
      <c r="J371" s="185" t="str">
        <f>IFERROR(VLOOKUP(A371,Ativos!$A$1:$G2000,5,),"")</f>
        <v/>
      </c>
      <c r="K371" s="185" t="str">
        <f>IFERROR(VLOOKUP(A371,Ativos!A:H,8,),"")</f>
        <v/>
      </c>
      <c r="L371" s="186">
        <f t="shared" si="3"/>
        <v>0</v>
      </c>
    </row>
    <row r="372" ht="21.0" customHeight="1">
      <c r="A372" s="187"/>
      <c r="B372" s="187"/>
      <c r="C372" s="188"/>
      <c r="D372" s="135"/>
      <c r="E372" s="189"/>
      <c r="F372" s="182" t="str">
        <f t="shared" si="1"/>
        <v/>
      </c>
      <c r="G372" s="183">
        <f>IFERROR(__xludf.DUMMYFUNCTION("IFERROR(lookup(9999999999,FILTER('Operações-BR'!$M:$M,'Operações-BR'!$C:$C=A372,'Operações-BR'!$A:$A&lt;=C372)),0)"),0.0)</f>
        <v>0</v>
      </c>
      <c r="H372" s="184">
        <f t="shared" si="2"/>
        <v>0</v>
      </c>
      <c r="I372" s="184">
        <f>IFERROR(__xludf.DUMMYFUNCTION("IFERROR(lookup(9999999999,FILTER('Operações-BR'!Q:Q,'Operações-BR'!$C:$C=A372,'Operações-BR'!$A:$A&lt;=C372))/G372,0)"),0.0)</f>
        <v>0</v>
      </c>
      <c r="J372" s="185" t="str">
        <f>IFERROR(VLOOKUP(A372,Ativos!$A$1:$G2000,5,),"")</f>
        <v/>
      </c>
      <c r="K372" s="185" t="str">
        <f>IFERROR(VLOOKUP(A372,Ativos!A:H,8,),"")</f>
        <v/>
      </c>
      <c r="L372" s="186">
        <f t="shared" si="3"/>
        <v>0</v>
      </c>
    </row>
    <row r="373" ht="21.0" customHeight="1">
      <c r="A373" s="187"/>
      <c r="B373" s="187"/>
      <c r="C373" s="188"/>
      <c r="D373" s="135"/>
      <c r="E373" s="189"/>
      <c r="F373" s="182" t="str">
        <f t="shared" si="1"/>
        <v/>
      </c>
      <c r="G373" s="183">
        <f>IFERROR(__xludf.DUMMYFUNCTION("IFERROR(lookup(9999999999,FILTER('Operações-BR'!$M:$M,'Operações-BR'!$C:$C=A373,'Operações-BR'!$A:$A&lt;=C373)),0)"),0.0)</f>
        <v>0</v>
      </c>
      <c r="H373" s="184">
        <f t="shared" si="2"/>
        <v>0</v>
      </c>
      <c r="I373" s="184">
        <f>IFERROR(__xludf.DUMMYFUNCTION("IFERROR(lookup(9999999999,FILTER('Operações-BR'!Q:Q,'Operações-BR'!$C:$C=A373,'Operações-BR'!$A:$A&lt;=C373))/G373,0)"),0.0)</f>
        <v>0</v>
      </c>
      <c r="J373" s="185" t="str">
        <f>IFERROR(VLOOKUP(A373,Ativos!$A$1:$G2000,5,),"")</f>
        <v/>
      </c>
      <c r="K373" s="185" t="str">
        <f>IFERROR(VLOOKUP(A373,Ativos!A:H,8,),"")</f>
        <v/>
      </c>
      <c r="L373" s="186">
        <f t="shared" si="3"/>
        <v>0</v>
      </c>
    </row>
    <row r="374" ht="21.0" customHeight="1">
      <c r="A374" s="187"/>
      <c r="B374" s="187"/>
      <c r="C374" s="188"/>
      <c r="D374" s="135"/>
      <c r="E374" s="189"/>
      <c r="F374" s="182" t="str">
        <f t="shared" si="1"/>
        <v/>
      </c>
      <c r="G374" s="183">
        <f>IFERROR(__xludf.DUMMYFUNCTION("IFERROR(lookup(9999999999,FILTER('Operações-BR'!$M:$M,'Operações-BR'!$C:$C=A374,'Operações-BR'!$A:$A&lt;=C374)),0)"),0.0)</f>
        <v>0</v>
      </c>
      <c r="H374" s="184">
        <f t="shared" si="2"/>
        <v>0</v>
      </c>
      <c r="I374" s="184">
        <f>IFERROR(__xludf.DUMMYFUNCTION("IFERROR(lookup(9999999999,FILTER('Operações-BR'!Q:Q,'Operações-BR'!$C:$C=A374,'Operações-BR'!$A:$A&lt;=C374))/G374,0)"),0.0)</f>
        <v>0</v>
      </c>
      <c r="J374" s="185" t="str">
        <f>IFERROR(VLOOKUP(A374,Ativos!$A$1:$G2000,5,),"")</f>
        <v/>
      </c>
      <c r="K374" s="185" t="str">
        <f>IFERROR(VLOOKUP(A374,Ativos!A:H,8,),"")</f>
        <v/>
      </c>
      <c r="L374" s="186">
        <f t="shared" si="3"/>
        <v>0</v>
      </c>
    </row>
    <row r="375" ht="21.0" customHeight="1">
      <c r="A375" s="187"/>
      <c r="B375" s="187"/>
      <c r="C375" s="188"/>
      <c r="D375" s="135"/>
      <c r="E375" s="189"/>
      <c r="F375" s="182" t="str">
        <f t="shared" si="1"/>
        <v/>
      </c>
      <c r="G375" s="183">
        <f>IFERROR(__xludf.DUMMYFUNCTION("IFERROR(lookup(9999999999,FILTER('Operações-BR'!$M:$M,'Operações-BR'!$C:$C=A375,'Operações-BR'!$A:$A&lt;=C375)),0)"),0.0)</f>
        <v>0</v>
      </c>
      <c r="H375" s="184">
        <f t="shared" si="2"/>
        <v>0</v>
      </c>
      <c r="I375" s="184">
        <f>IFERROR(__xludf.DUMMYFUNCTION("IFERROR(lookup(9999999999,FILTER('Operações-BR'!Q:Q,'Operações-BR'!$C:$C=A375,'Operações-BR'!$A:$A&lt;=C375))/G375,0)"),0.0)</f>
        <v>0</v>
      </c>
      <c r="J375" s="185" t="str">
        <f>IFERROR(VLOOKUP(A375,Ativos!$A$1:$G2000,5,),"")</f>
        <v/>
      </c>
      <c r="K375" s="185" t="str">
        <f>IFERROR(VLOOKUP(A375,Ativos!A:H,8,),"")</f>
        <v/>
      </c>
      <c r="L375" s="186">
        <f t="shared" si="3"/>
        <v>0</v>
      </c>
    </row>
    <row r="376" ht="21.0" customHeight="1">
      <c r="A376" s="187"/>
      <c r="B376" s="187"/>
      <c r="C376" s="188"/>
      <c r="D376" s="135"/>
      <c r="E376" s="189"/>
      <c r="F376" s="182" t="str">
        <f t="shared" si="1"/>
        <v/>
      </c>
      <c r="G376" s="183">
        <f>IFERROR(__xludf.DUMMYFUNCTION("IFERROR(lookup(9999999999,FILTER('Operações-BR'!$M:$M,'Operações-BR'!$C:$C=A376,'Operações-BR'!$A:$A&lt;=C376)),0)"),0.0)</f>
        <v>0</v>
      </c>
      <c r="H376" s="184">
        <f t="shared" si="2"/>
        <v>0</v>
      </c>
      <c r="I376" s="184">
        <f>IFERROR(__xludf.DUMMYFUNCTION("IFERROR(lookup(9999999999,FILTER('Operações-BR'!Q:Q,'Operações-BR'!$C:$C=A376,'Operações-BR'!$A:$A&lt;=C376))/G376,0)"),0.0)</f>
        <v>0</v>
      </c>
      <c r="J376" s="185" t="str">
        <f>IFERROR(VLOOKUP(A376,Ativos!$A$1:$G2000,5,),"")</f>
        <v/>
      </c>
      <c r="K376" s="185" t="str">
        <f>IFERROR(VLOOKUP(A376,Ativos!A:H,8,),"")</f>
        <v/>
      </c>
      <c r="L376" s="186">
        <f t="shared" si="3"/>
        <v>0</v>
      </c>
    </row>
    <row r="377" ht="21.0" customHeight="1">
      <c r="A377" s="187"/>
      <c r="B377" s="187"/>
      <c r="C377" s="188"/>
      <c r="D377" s="135"/>
      <c r="E377" s="189"/>
      <c r="F377" s="182" t="str">
        <f t="shared" si="1"/>
        <v/>
      </c>
      <c r="G377" s="183">
        <f>IFERROR(__xludf.DUMMYFUNCTION("IFERROR(lookup(9999999999,FILTER('Operações-BR'!$M:$M,'Operações-BR'!$C:$C=A377,'Operações-BR'!$A:$A&lt;=C377)),0)"),0.0)</f>
        <v>0</v>
      </c>
      <c r="H377" s="184">
        <f t="shared" si="2"/>
        <v>0</v>
      </c>
      <c r="I377" s="184">
        <f>IFERROR(__xludf.DUMMYFUNCTION("IFERROR(lookup(9999999999,FILTER('Operações-BR'!Q:Q,'Operações-BR'!$C:$C=A377,'Operações-BR'!$A:$A&lt;=C377))/G377,0)"),0.0)</f>
        <v>0</v>
      </c>
      <c r="J377" s="185" t="str">
        <f>IFERROR(VLOOKUP(A377,Ativos!$A$1:$G2000,5,),"")</f>
        <v/>
      </c>
      <c r="K377" s="185" t="str">
        <f>IFERROR(VLOOKUP(A377,Ativos!A:H,8,),"")</f>
        <v/>
      </c>
      <c r="L377" s="186">
        <f t="shared" si="3"/>
        <v>0</v>
      </c>
    </row>
    <row r="378" ht="21.0" customHeight="1">
      <c r="A378" s="187"/>
      <c r="B378" s="187"/>
      <c r="C378" s="188"/>
      <c r="D378" s="135"/>
      <c r="E378" s="189"/>
      <c r="F378" s="182" t="str">
        <f t="shared" si="1"/>
        <v/>
      </c>
      <c r="G378" s="183">
        <f>IFERROR(__xludf.DUMMYFUNCTION("IFERROR(lookup(9999999999,FILTER('Operações-BR'!$M:$M,'Operações-BR'!$C:$C=A378,'Operações-BR'!$A:$A&lt;=C378)),0)"),0.0)</f>
        <v>0</v>
      </c>
      <c r="H378" s="184">
        <f t="shared" si="2"/>
        <v>0</v>
      </c>
      <c r="I378" s="184">
        <f>IFERROR(__xludf.DUMMYFUNCTION("IFERROR(lookup(9999999999,FILTER('Operações-BR'!Q:Q,'Operações-BR'!$C:$C=A378,'Operações-BR'!$A:$A&lt;=C378))/G378,0)"),0.0)</f>
        <v>0</v>
      </c>
      <c r="J378" s="185" t="str">
        <f>IFERROR(VLOOKUP(A378,Ativos!$A$1:$G2000,5,),"")</f>
        <v/>
      </c>
      <c r="K378" s="185" t="str">
        <f>IFERROR(VLOOKUP(A378,Ativos!A:H,8,),"")</f>
        <v/>
      </c>
      <c r="L378" s="186">
        <f t="shared" si="3"/>
        <v>0</v>
      </c>
    </row>
    <row r="379" ht="21.0" customHeight="1">
      <c r="A379" s="187"/>
      <c r="B379" s="187"/>
      <c r="C379" s="188"/>
      <c r="D379" s="135"/>
      <c r="E379" s="189"/>
      <c r="F379" s="182" t="str">
        <f t="shared" si="1"/>
        <v/>
      </c>
      <c r="G379" s="183">
        <f>IFERROR(__xludf.DUMMYFUNCTION("IFERROR(lookup(9999999999,FILTER('Operações-BR'!$M:$M,'Operações-BR'!$C:$C=A379,'Operações-BR'!$A:$A&lt;=C379)),0)"),0.0)</f>
        <v>0</v>
      </c>
      <c r="H379" s="184">
        <f t="shared" si="2"/>
        <v>0</v>
      </c>
      <c r="I379" s="184">
        <f>IFERROR(__xludf.DUMMYFUNCTION("IFERROR(lookup(9999999999,FILTER('Operações-BR'!Q:Q,'Operações-BR'!$C:$C=A379,'Operações-BR'!$A:$A&lt;=C379))/G379,0)"),0.0)</f>
        <v>0</v>
      </c>
      <c r="J379" s="185" t="str">
        <f>IFERROR(VLOOKUP(A379,Ativos!$A$1:$G2000,5,),"")</f>
        <v/>
      </c>
      <c r="K379" s="185" t="str">
        <f>IFERROR(VLOOKUP(A379,Ativos!A:H,8,),"")</f>
        <v/>
      </c>
      <c r="L379" s="186">
        <f t="shared" si="3"/>
        <v>0</v>
      </c>
    </row>
    <row r="380" ht="21.0" customHeight="1">
      <c r="A380" s="187"/>
      <c r="B380" s="187"/>
      <c r="C380" s="188"/>
      <c r="D380" s="135"/>
      <c r="E380" s="189"/>
      <c r="F380" s="182" t="str">
        <f t="shared" si="1"/>
        <v/>
      </c>
      <c r="G380" s="183">
        <f>IFERROR(__xludf.DUMMYFUNCTION("IFERROR(lookup(9999999999,FILTER('Operações-BR'!$M:$M,'Operações-BR'!$C:$C=A380,'Operações-BR'!$A:$A&lt;=C380)),0)"),0.0)</f>
        <v>0</v>
      </c>
      <c r="H380" s="184">
        <f t="shared" si="2"/>
        <v>0</v>
      </c>
      <c r="I380" s="184">
        <f>IFERROR(__xludf.DUMMYFUNCTION("IFERROR(lookup(9999999999,FILTER('Operações-BR'!Q:Q,'Operações-BR'!$C:$C=A380,'Operações-BR'!$A:$A&lt;=C380))/G380,0)"),0.0)</f>
        <v>0</v>
      </c>
      <c r="J380" s="185" t="str">
        <f>IFERROR(VLOOKUP(A380,Ativos!$A$1:$G2000,5,),"")</f>
        <v/>
      </c>
      <c r="K380" s="185" t="str">
        <f>IFERROR(VLOOKUP(A380,Ativos!A:H,8,),"")</f>
        <v/>
      </c>
      <c r="L380" s="186">
        <f t="shared" si="3"/>
        <v>0</v>
      </c>
    </row>
    <row r="381" ht="21.0" customHeight="1">
      <c r="A381" s="187"/>
      <c r="B381" s="187"/>
      <c r="C381" s="188"/>
      <c r="D381" s="135"/>
      <c r="E381" s="189"/>
      <c r="F381" s="182" t="str">
        <f t="shared" si="1"/>
        <v/>
      </c>
      <c r="G381" s="183">
        <f>IFERROR(__xludf.DUMMYFUNCTION("IFERROR(lookup(9999999999,FILTER('Operações-BR'!$M:$M,'Operações-BR'!$C:$C=A381,'Operações-BR'!$A:$A&lt;=C381)),0)"),0.0)</f>
        <v>0</v>
      </c>
      <c r="H381" s="184">
        <f t="shared" si="2"/>
        <v>0</v>
      </c>
      <c r="I381" s="184">
        <f>IFERROR(__xludf.DUMMYFUNCTION("IFERROR(lookup(9999999999,FILTER('Operações-BR'!Q:Q,'Operações-BR'!$C:$C=A381,'Operações-BR'!$A:$A&lt;=C381))/G381,0)"),0.0)</f>
        <v>0</v>
      </c>
      <c r="J381" s="185" t="str">
        <f>IFERROR(VLOOKUP(A381,Ativos!$A$1:$G2000,5,),"")</f>
        <v/>
      </c>
      <c r="K381" s="185" t="str">
        <f>IFERROR(VLOOKUP(A381,Ativos!A:H,8,),"")</f>
        <v/>
      </c>
      <c r="L381" s="186">
        <f t="shared" si="3"/>
        <v>0</v>
      </c>
    </row>
    <row r="382" ht="21.0" customHeight="1">
      <c r="A382" s="187"/>
      <c r="B382" s="187"/>
      <c r="C382" s="188"/>
      <c r="D382" s="135"/>
      <c r="E382" s="189"/>
      <c r="F382" s="182" t="str">
        <f t="shared" si="1"/>
        <v/>
      </c>
      <c r="G382" s="183">
        <f>IFERROR(__xludf.DUMMYFUNCTION("IFERROR(lookup(9999999999,FILTER('Operações-BR'!$M:$M,'Operações-BR'!$C:$C=A382,'Operações-BR'!$A:$A&lt;=C382)),0)"),0.0)</f>
        <v>0</v>
      </c>
      <c r="H382" s="184">
        <f t="shared" si="2"/>
        <v>0</v>
      </c>
      <c r="I382" s="184">
        <f>IFERROR(__xludf.DUMMYFUNCTION("IFERROR(lookup(9999999999,FILTER('Operações-BR'!Q:Q,'Operações-BR'!$C:$C=A382,'Operações-BR'!$A:$A&lt;=C382))/G382,0)"),0.0)</f>
        <v>0</v>
      </c>
      <c r="J382" s="185" t="str">
        <f>IFERROR(VLOOKUP(A382,Ativos!$A$1:$G2000,5,),"")</f>
        <v/>
      </c>
      <c r="K382" s="185" t="str">
        <f>IFERROR(VLOOKUP(A382,Ativos!A:H,8,),"")</f>
        <v/>
      </c>
      <c r="L382" s="186">
        <f t="shared" si="3"/>
        <v>0</v>
      </c>
    </row>
    <row r="383" ht="21.0" customHeight="1">
      <c r="A383" s="187"/>
      <c r="B383" s="187"/>
      <c r="C383" s="188"/>
      <c r="D383" s="135"/>
      <c r="E383" s="189"/>
      <c r="F383" s="182" t="str">
        <f t="shared" si="1"/>
        <v/>
      </c>
      <c r="G383" s="183">
        <f>IFERROR(__xludf.DUMMYFUNCTION("IFERROR(lookup(9999999999,FILTER('Operações-BR'!$M:$M,'Operações-BR'!$C:$C=A383,'Operações-BR'!$A:$A&lt;=C383)),0)"),0.0)</f>
        <v>0</v>
      </c>
      <c r="H383" s="184">
        <f t="shared" si="2"/>
        <v>0</v>
      </c>
      <c r="I383" s="184">
        <f>IFERROR(__xludf.DUMMYFUNCTION("IFERROR(lookup(9999999999,FILTER('Operações-BR'!Q:Q,'Operações-BR'!$C:$C=A383,'Operações-BR'!$A:$A&lt;=C383))/G383,0)"),0.0)</f>
        <v>0</v>
      </c>
      <c r="J383" s="185" t="str">
        <f>IFERROR(VLOOKUP(A383,Ativos!$A$1:$G2000,5,),"")</f>
        <v/>
      </c>
      <c r="K383" s="185" t="str">
        <f>IFERROR(VLOOKUP(A383,Ativos!A:H,8,),"")</f>
        <v/>
      </c>
      <c r="L383" s="186">
        <f t="shared" si="3"/>
        <v>0</v>
      </c>
    </row>
    <row r="384" ht="21.0" customHeight="1">
      <c r="A384" s="187"/>
      <c r="B384" s="187"/>
      <c r="C384" s="188"/>
      <c r="D384" s="135"/>
      <c r="E384" s="189"/>
      <c r="F384" s="182" t="str">
        <f t="shared" si="1"/>
        <v/>
      </c>
      <c r="G384" s="183">
        <f>IFERROR(__xludf.DUMMYFUNCTION("IFERROR(lookup(9999999999,FILTER('Operações-BR'!$M:$M,'Operações-BR'!$C:$C=A384,'Operações-BR'!$A:$A&lt;=C384)),0)"),0.0)</f>
        <v>0</v>
      </c>
      <c r="H384" s="184">
        <f t="shared" si="2"/>
        <v>0</v>
      </c>
      <c r="I384" s="184">
        <f>IFERROR(__xludf.DUMMYFUNCTION("IFERROR(lookup(9999999999,FILTER('Operações-BR'!Q:Q,'Operações-BR'!$C:$C=A384,'Operações-BR'!$A:$A&lt;=C384))/G384,0)"),0.0)</f>
        <v>0</v>
      </c>
      <c r="J384" s="185" t="str">
        <f>IFERROR(VLOOKUP(A384,Ativos!$A$1:$G2000,5,),"")</f>
        <v/>
      </c>
      <c r="K384" s="185" t="str">
        <f>IFERROR(VLOOKUP(A384,Ativos!A:H,8,),"")</f>
        <v/>
      </c>
      <c r="L384" s="186">
        <f t="shared" si="3"/>
        <v>0</v>
      </c>
    </row>
    <row r="385" ht="21.0" customHeight="1">
      <c r="A385" s="187"/>
      <c r="B385" s="187"/>
      <c r="C385" s="188"/>
      <c r="D385" s="135"/>
      <c r="E385" s="189"/>
      <c r="F385" s="182" t="str">
        <f t="shared" si="1"/>
        <v/>
      </c>
      <c r="G385" s="183">
        <f>IFERROR(__xludf.DUMMYFUNCTION("IFERROR(lookup(9999999999,FILTER('Operações-BR'!$M:$M,'Operações-BR'!$C:$C=A385,'Operações-BR'!$A:$A&lt;=C385)),0)"),0.0)</f>
        <v>0</v>
      </c>
      <c r="H385" s="184">
        <f t="shared" si="2"/>
        <v>0</v>
      </c>
      <c r="I385" s="184">
        <f>IFERROR(__xludf.DUMMYFUNCTION("IFERROR(lookup(9999999999,FILTER('Operações-BR'!Q:Q,'Operações-BR'!$C:$C=A385,'Operações-BR'!$A:$A&lt;=C385))/G385,0)"),0.0)</f>
        <v>0</v>
      </c>
      <c r="J385" s="185" t="str">
        <f>IFERROR(VLOOKUP(A385,Ativos!$A$1:$G2000,5,),"")</f>
        <v/>
      </c>
      <c r="K385" s="185" t="str">
        <f>IFERROR(VLOOKUP(A385,Ativos!A:H,8,),"")</f>
        <v/>
      </c>
      <c r="L385" s="186">
        <f t="shared" si="3"/>
        <v>0</v>
      </c>
    </row>
    <row r="386" ht="21.0" customHeight="1">
      <c r="A386" s="187"/>
      <c r="B386" s="187"/>
      <c r="C386" s="188"/>
      <c r="D386" s="135"/>
      <c r="E386" s="189"/>
      <c r="F386" s="182" t="str">
        <f t="shared" si="1"/>
        <v/>
      </c>
      <c r="G386" s="183">
        <f>IFERROR(__xludf.DUMMYFUNCTION("IFERROR(lookup(9999999999,FILTER('Operações-BR'!$M:$M,'Operações-BR'!$C:$C=A386,'Operações-BR'!$A:$A&lt;=C386)),0)"),0.0)</f>
        <v>0</v>
      </c>
      <c r="H386" s="184">
        <f t="shared" si="2"/>
        <v>0</v>
      </c>
      <c r="I386" s="184">
        <f>IFERROR(__xludf.DUMMYFUNCTION("IFERROR(lookup(9999999999,FILTER('Operações-BR'!Q:Q,'Operações-BR'!$C:$C=A386,'Operações-BR'!$A:$A&lt;=C386))/G386,0)"),0.0)</f>
        <v>0</v>
      </c>
      <c r="J386" s="185" t="str">
        <f>IFERROR(VLOOKUP(A386,Ativos!$A$1:$G2000,5,),"")</f>
        <v/>
      </c>
      <c r="K386" s="185" t="str">
        <f>IFERROR(VLOOKUP(A386,Ativos!A:H,8,),"")</f>
        <v/>
      </c>
      <c r="L386" s="186">
        <f t="shared" si="3"/>
        <v>0</v>
      </c>
    </row>
    <row r="387" ht="21.0" customHeight="1">
      <c r="A387" s="187"/>
      <c r="B387" s="187"/>
      <c r="C387" s="188"/>
      <c r="D387" s="135"/>
      <c r="E387" s="189"/>
      <c r="F387" s="182" t="str">
        <f t="shared" si="1"/>
        <v/>
      </c>
      <c r="G387" s="183">
        <f>IFERROR(__xludf.DUMMYFUNCTION("IFERROR(lookup(9999999999,FILTER('Operações-BR'!$M:$M,'Operações-BR'!$C:$C=A387,'Operações-BR'!$A:$A&lt;=C387)),0)"),0.0)</f>
        <v>0</v>
      </c>
      <c r="H387" s="184">
        <f t="shared" si="2"/>
        <v>0</v>
      </c>
      <c r="I387" s="184">
        <f>IFERROR(__xludf.DUMMYFUNCTION("IFERROR(lookup(9999999999,FILTER('Operações-BR'!Q:Q,'Operações-BR'!$C:$C=A387,'Operações-BR'!$A:$A&lt;=C387))/G387,0)"),0.0)</f>
        <v>0</v>
      </c>
      <c r="J387" s="185" t="str">
        <f>IFERROR(VLOOKUP(A387,Ativos!$A$1:$G2000,5,),"")</f>
        <v/>
      </c>
      <c r="K387" s="185" t="str">
        <f>IFERROR(VLOOKUP(A387,Ativos!A:H,8,),"")</f>
        <v/>
      </c>
      <c r="L387" s="186">
        <f t="shared" si="3"/>
        <v>0</v>
      </c>
    </row>
    <row r="388" ht="21.0" customHeight="1">
      <c r="A388" s="187"/>
      <c r="B388" s="187"/>
      <c r="C388" s="188"/>
      <c r="D388" s="135"/>
      <c r="E388" s="189"/>
      <c r="F388" s="182" t="str">
        <f t="shared" si="1"/>
        <v/>
      </c>
      <c r="G388" s="183">
        <f>IFERROR(__xludf.DUMMYFUNCTION("IFERROR(lookup(9999999999,FILTER('Operações-BR'!$M:$M,'Operações-BR'!$C:$C=A388,'Operações-BR'!$A:$A&lt;=C388)),0)"),0.0)</f>
        <v>0</v>
      </c>
      <c r="H388" s="184">
        <f t="shared" si="2"/>
        <v>0</v>
      </c>
      <c r="I388" s="184">
        <f>IFERROR(__xludf.DUMMYFUNCTION("IFERROR(lookup(9999999999,FILTER('Operações-BR'!Q:Q,'Operações-BR'!$C:$C=A388,'Operações-BR'!$A:$A&lt;=C388))/G388,0)"),0.0)</f>
        <v>0</v>
      </c>
      <c r="J388" s="185" t="str">
        <f>IFERROR(VLOOKUP(A388,Ativos!$A$1:$G2000,5,),"")</f>
        <v/>
      </c>
      <c r="K388" s="185" t="str">
        <f>IFERROR(VLOOKUP(A388,Ativos!A:H,8,),"")</f>
        <v/>
      </c>
      <c r="L388" s="186">
        <f t="shared" si="3"/>
        <v>0</v>
      </c>
    </row>
    <row r="389" ht="21.0" customHeight="1">
      <c r="A389" s="187"/>
      <c r="B389" s="187"/>
      <c r="C389" s="188"/>
      <c r="D389" s="135"/>
      <c r="E389" s="189"/>
      <c r="F389" s="182" t="str">
        <f t="shared" si="1"/>
        <v/>
      </c>
      <c r="G389" s="183">
        <f>IFERROR(__xludf.DUMMYFUNCTION("IFERROR(lookup(9999999999,FILTER('Operações-BR'!$M:$M,'Operações-BR'!$C:$C=A389,'Operações-BR'!$A:$A&lt;=C389)),0)"),0.0)</f>
        <v>0</v>
      </c>
      <c r="H389" s="184">
        <f t="shared" si="2"/>
        <v>0</v>
      </c>
      <c r="I389" s="184">
        <f>IFERROR(__xludf.DUMMYFUNCTION("IFERROR(lookup(9999999999,FILTER('Operações-BR'!Q:Q,'Operações-BR'!$C:$C=A389,'Operações-BR'!$A:$A&lt;=C389))/G389,0)"),0.0)</f>
        <v>0</v>
      </c>
      <c r="J389" s="185" t="str">
        <f>IFERROR(VLOOKUP(A389,Ativos!$A$1:$G2000,5,),"")</f>
        <v/>
      </c>
      <c r="K389" s="185" t="str">
        <f>IFERROR(VLOOKUP(A389,Ativos!A:H,8,),"")</f>
        <v/>
      </c>
      <c r="L389" s="186">
        <f t="shared" si="3"/>
        <v>0</v>
      </c>
    </row>
    <row r="390" ht="21.0" customHeight="1">
      <c r="A390" s="187"/>
      <c r="B390" s="187"/>
      <c r="C390" s="188"/>
      <c r="D390" s="135"/>
      <c r="E390" s="189"/>
      <c r="F390" s="182" t="str">
        <f t="shared" si="1"/>
        <v/>
      </c>
      <c r="G390" s="183">
        <f>IFERROR(__xludf.DUMMYFUNCTION("IFERROR(lookup(9999999999,FILTER('Operações-BR'!$M:$M,'Operações-BR'!$C:$C=A390,'Operações-BR'!$A:$A&lt;=C390)),0)"),0.0)</f>
        <v>0</v>
      </c>
      <c r="H390" s="184">
        <f t="shared" si="2"/>
        <v>0</v>
      </c>
      <c r="I390" s="184">
        <f>IFERROR(__xludf.DUMMYFUNCTION("IFERROR(lookup(9999999999,FILTER('Operações-BR'!Q:Q,'Operações-BR'!$C:$C=A390,'Operações-BR'!$A:$A&lt;=C390))/G390,0)"),0.0)</f>
        <v>0</v>
      </c>
      <c r="J390" s="185" t="str">
        <f>IFERROR(VLOOKUP(A390,Ativos!$A$1:$G2000,5,),"")</f>
        <v/>
      </c>
      <c r="K390" s="185" t="str">
        <f>IFERROR(VLOOKUP(A390,Ativos!A:H,8,),"")</f>
        <v/>
      </c>
      <c r="L390" s="186">
        <f t="shared" si="3"/>
        <v>0</v>
      </c>
    </row>
    <row r="391" ht="21.0" customHeight="1">
      <c r="A391" s="187"/>
      <c r="B391" s="187"/>
      <c r="C391" s="188"/>
      <c r="D391" s="135"/>
      <c r="E391" s="189"/>
      <c r="F391" s="182" t="str">
        <f t="shared" si="1"/>
        <v/>
      </c>
      <c r="G391" s="183">
        <f>IFERROR(__xludf.DUMMYFUNCTION("IFERROR(lookup(9999999999,FILTER('Operações-BR'!$M:$M,'Operações-BR'!$C:$C=A391,'Operações-BR'!$A:$A&lt;=C391)),0)"),0.0)</f>
        <v>0</v>
      </c>
      <c r="H391" s="184">
        <f t="shared" si="2"/>
        <v>0</v>
      </c>
      <c r="I391" s="184">
        <f>IFERROR(__xludf.DUMMYFUNCTION("IFERROR(lookup(9999999999,FILTER('Operações-BR'!Q:Q,'Operações-BR'!$C:$C=A391,'Operações-BR'!$A:$A&lt;=C391))/G391,0)"),0.0)</f>
        <v>0</v>
      </c>
      <c r="J391" s="185" t="str">
        <f>IFERROR(VLOOKUP(A391,Ativos!$A$1:$G2000,5,),"")</f>
        <v/>
      </c>
      <c r="K391" s="185" t="str">
        <f>IFERROR(VLOOKUP(A391,Ativos!A:H,8,),"")</f>
        <v/>
      </c>
      <c r="L391" s="186">
        <f t="shared" si="3"/>
        <v>0</v>
      </c>
    </row>
    <row r="392" ht="21.0" customHeight="1">
      <c r="A392" s="187"/>
      <c r="B392" s="187"/>
      <c r="C392" s="188"/>
      <c r="D392" s="135"/>
      <c r="E392" s="189"/>
      <c r="F392" s="182" t="str">
        <f t="shared" si="1"/>
        <v/>
      </c>
      <c r="G392" s="183">
        <f>IFERROR(__xludf.DUMMYFUNCTION("IFERROR(lookup(9999999999,FILTER('Operações-BR'!$M:$M,'Operações-BR'!$C:$C=A392,'Operações-BR'!$A:$A&lt;=C392)),0)"),0.0)</f>
        <v>0</v>
      </c>
      <c r="H392" s="184">
        <f t="shared" si="2"/>
        <v>0</v>
      </c>
      <c r="I392" s="184">
        <f>IFERROR(__xludf.DUMMYFUNCTION("IFERROR(lookup(9999999999,FILTER('Operações-BR'!Q:Q,'Operações-BR'!$C:$C=A392,'Operações-BR'!$A:$A&lt;=C392))/G392,0)"),0.0)</f>
        <v>0</v>
      </c>
      <c r="J392" s="185" t="str">
        <f>IFERROR(VLOOKUP(A392,Ativos!$A$1:$G2000,5,),"")</f>
        <v/>
      </c>
      <c r="K392" s="185" t="str">
        <f>IFERROR(VLOOKUP(A392,Ativos!A:H,8,),"")</f>
        <v/>
      </c>
      <c r="L392" s="186">
        <f t="shared" si="3"/>
        <v>0</v>
      </c>
    </row>
    <row r="393" ht="21.0" customHeight="1">
      <c r="A393" s="187"/>
      <c r="B393" s="187"/>
      <c r="C393" s="188"/>
      <c r="D393" s="135"/>
      <c r="E393" s="189"/>
      <c r="F393" s="182" t="str">
        <f t="shared" si="1"/>
        <v/>
      </c>
      <c r="G393" s="183">
        <f>IFERROR(__xludf.DUMMYFUNCTION("IFERROR(lookup(9999999999,FILTER('Operações-BR'!$M:$M,'Operações-BR'!$C:$C=A393,'Operações-BR'!$A:$A&lt;=C393)),0)"),0.0)</f>
        <v>0</v>
      </c>
      <c r="H393" s="184">
        <f t="shared" si="2"/>
        <v>0</v>
      </c>
      <c r="I393" s="184">
        <f>IFERROR(__xludf.DUMMYFUNCTION("IFERROR(lookup(9999999999,FILTER('Operações-BR'!Q:Q,'Operações-BR'!$C:$C=A393,'Operações-BR'!$A:$A&lt;=C393))/G393,0)"),0.0)</f>
        <v>0</v>
      </c>
      <c r="J393" s="185" t="str">
        <f>IFERROR(VLOOKUP(A393,Ativos!$A$1:$G2000,5,),"")</f>
        <v/>
      </c>
      <c r="K393" s="185" t="str">
        <f>IFERROR(VLOOKUP(A393,Ativos!A:H,8,),"")</f>
        <v/>
      </c>
      <c r="L393" s="186">
        <f t="shared" si="3"/>
        <v>0</v>
      </c>
    </row>
    <row r="394" ht="21.0" customHeight="1">
      <c r="A394" s="187"/>
      <c r="B394" s="187"/>
      <c r="C394" s="188"/>
      <c r="D394" s="135"/>
      <c r="E394" s="189"/>
      <c r="F394" s="182" t="str">
        <f t="shared" si="1"/>
        <v/>
      </c>
      <c r="G394" s="183">
        <f>IFERROR(__xludf.DUMMYFUNCTION("IFERROR(lookup(9999999999,FILTER('Operações-BR'!$M:$M,'Operações-BR'!$C:$C=A394,'Operações-BR'!$A:$A&lt;=C394)),0)"),0.0)</f>
        <v>0</v>
      </c>
      <c r="H394" s="184">
        <f t="shared" si="2"/>
        <v>0</v>
      </c>
      <c r="I394" s="184">
        <f>IFERROR(__xludf.DUMMYFUNCTION("IFERROR(lookup(9999999999,FILTER('Operações-BR'!Q:Q,'Operações-BR'!$C:$C=A394,'Operações-BR'!$A:$A&lt;=C394))/G394,0)"),0.0)</f>
        <v>0</v>
      </c>
      <c r="J394" s="185" t="str">
        <f>IFERROR(VLOOKUP(A394,Ativos!$A$1:$G2000,5,),"")</f>
        <v/>
      </c>
      <c r="K394" s="185" t="str">
        <f>IFERROR(VLOOKUP(A394,Ativos!A:H,8,),"")</f>
        <v/>
      </c>
      <c r="L394" s="186">
        <f t="shared" si="3"/>
        <v>0</v>
      </c>
    </row>
    <row r="395" ht="21.0" customHeight="1">
      <c r="A395" s="187"/>
      <c r="B395" s="187"/>
      <c r="C395" s="188"/>
      <c r="D395" s="135"/>
      <c r="E395" s="189"/>
      <c r="F395" s="182" t="str">
        <f t="shared" si="1"/>
        <v/>
      </c>
      <c r="G395" s="183">
        <f>IFERROR(__xludf.DUMMYFUNCTION("IFERROR(lookup(9999999999,FILTER('Operações-BR'!$M:$M,'Operações-BR'!$C:$C=A395,'Operações-BR'!$A:$A&lt;=C395)),0)"),0.0)</f>
        <v>0</v>
      </c>
      <c r="H395" s="184">
        <f t="shared" si="2"/>
        <v>0</v>
      </c>
      <c r="I395" s="184">
        <f>IFERROR(__xludf.DUMMYFUNCTION("IFERROR(lookup(9999999999,FILTER('Operações-BR'!Q:Q,'Operações-BR'!$C:$C=A395,'Operações-BR'!$A:$A&lt;=C395))/G395,0)"),0.0)</f>
        <v>0</v>
      </c>
      <c r="J395" s="185" t="str">
        <f>IFERROR(VLOOKUP(A395,Ativos!$A$1:$G2000,5,),"")</f>
        <v/>
      </c>
      <c r="K395" s="185" t="str">
        <f>IFERROR(VLOOKUP(A395,Ativos!A:H,8,),"")</f>
        <v/>
      </c>
      <c r="L395" s="186">
        <f t="shared" si="3"/>
        <v>0</v>
      </c>
    </row>
    <row r="396" ht="21.0" customHeight="1">
      <c r="A396" s="187"/>
      <c r="B396" s="187"/>
      <c r="C396" s="188"/>
      <c r="D396" s="135"/>
      <c r="E396" s="189"/>
      <c r="F396" s="182" t="str">
        <f t="shared" si="1"/>
        <v/>
      </c>
      <c r="G396" s="183">
        <f>IFERROR(__xludf.DUMMYFUNCTION("IFERROR(lookup(9999999999,FILTER('Operações-BR'!$M:$M,'Operações-BR'!$C:$C=A396,'Operações-BR'!$A:$A&lt;=C396)),0)"),0.0)</f>
        <v>0</v>
      </c>
      <c r="H396" s="184">
        <f t="shared" si="2"/>
        <v>0</v>
      </c>
      <c r="I396" s="184">
        <f>IFERROR(__xludf.DUMMYFUNCTION("IFERROR(lookup(9999999999,FILTER('Operações-BR'!Q:Q,'Operações-BR'!$C:$C=A396,'Operações-BR'!$A:$A&lt;=C396))/G396,0)"),0.0)</f>
        <v>0</v>
      </c>
      <c r="J396" s="185" t="str">
        <f>IFERROR(VLOOKUP(A396,Ativos!$A$1:$G2000,5,),"")</f>
        <v/>
      </c>
      <c r="K396" s="185" t="str">
        <f>IFERROR(VLOOKUP(A396,Ativos!A:H,8,),"")</f>
        <v/>
      </c>
      <c r="L396" s="186">
        <f t="shared" si="3"/>
        <v>0</v>
      </c>
    </row>
    <row r="397" ht="21.0" customHeight="1">
      <c r="A397" s="187"/>
      <c r="B397" s="187"/>
      <c r="C397" s="188"/>
      <c r="D397" s="135"/>
      <c r="E397" s="189"/>
      <c r="F397" s="182" t="str">
        <f t="shared" si="1"/>
        <v/>
      </c>
      <c r="G397" s="183">
        <f>IFERROR(__xludf.DUMMYFUNCTION("IFERROR(lookup(9999999999,FILTER('Operações-BR'!$M:$M,'Operações-BR'!$C:$C=A397,'Operações-BR'!$A:$A&lt;=C397)),0)"),0.0)</f>
        <v>0</v>
      </c>
      <c r="H397" s="184">
        <f t="shared" si="2"/>
        <v>0</v>
      </c>
      <c r="I397" s="184">
        <f>IFERROR(__xludf.DUMMYFUNCTION("IFERROR(lookup(9999999999,FILTER('Operações-BR'!Q:Q,'Operações-BR'!$C:$C=A397,'Operações-BR'!$A:$A&lt;=C397))/G397,0)"),0.0)</f>
        <v>0</v>
      </c>
      <c r="J397" s="185" t="str">
        <f>IFERROR(VLOOKUP(A397,Ativos!$A$1:$G2000,5,),"")</f>
        <v/>
      </c>
      <c r="K397" s="185" t="str">
        <f>IFERROR(VLOOKUP(A397,Ativos!A:H,8,),"")</f>
        <v/>
      </c>
      <c r="L397" s="186">
        <f t="shared" si="3"/>
        <v>0</v>
      </c>
    </row>
    <row r="398" ht="21.0" customHeight="1">
      <c r="A398" s="187"/>
      <c r="B398" s="187"/>
      <c r="C398" s="188"/>
      <c r="D398" s="135"/>
      <c r="E398" s="189"/>
      <c r="F398" s="182" t="str">
        <f t="shared" si="1"/>
        <v/>
      </c>
      <c r="G398" s="183">
        <f>IFERROR(__xludf.DUMMYFUNCTION("IFERROR(lookup(9999999999,FILTER('Operações-BR'!$M:$M,'Operações-BR'!$C:$C=A398,'Operações-BR'!$A:$A&lt;=C398)),0)"),0.0)</f>
        <v>0</v>
      </c>
      <c r="H398" s="184">
        <f t="shared" si="2"/>
        <v>0</v>
      </c>
      <c r="I398" s="184">
        <f>IFERROR(__xludf.DUMMYFUNCTION("IFERROR(lookup(9999999999,FILTER('Operações-BR'!Q:Q,'Operações-BR'!$C:$C=A398,'Operações-BR'!$A:$A&lt;=C398))/G398,0)"),0.0)</f>
        <v>0</v>
      </c>
      <c r="J398" s="185" t="str">
        <f>IFERROR(VLOOKUP(A398,Ativos!$A$1:$G2000,5,),"")</f>
        <v/>
      </c>
      <c r="K398" s="185" t="str">
        <f>IFERROR(VLOOKUP(A398,Ativos!A:H,8,),"")</f>
        <v/>
      </c>
      <c r="L398" s="186">
        <f t="shared" si="3"/>
        <v>0</v>
      </c>
    </row>
    <row r="399" ht="21.0" customHeight="1">
      <c r="A399" s="187"/>
      <c r="B399" s="187"/>
      <c r="C399" s="188"/>
      <c r="D399" s="135"/>
      <c r="E399" s="189"/>
      <c r="F399" s="182" t="str">
        <f t="shared" si="1"/>
        <v/>
      </c>
      <c r="G399" s="183">
        <f>IFERROR(__xludf.DUMMYFUNCTION("IFERROR(lookup(9999999999,FILTER('Operações-BR'!$M:$M,'Operações-BR'!$C:$C=A399,'Operações-BR'!$A:$A&lt;=C399)),0)"),0.0)</f>
        <v>0</v>
      </c>
      <c r="H399" s="184">
        <f t="shared" si="2"/>
        <v>0</v>
      </c>
      <c r="I399" s="184">
        <f>IFERROR(__xludf.DUMMYFUNCTION("IFERROR(lookup(9999999999,FILTER('Operações-BR'!Q:Q,'Operações-BR'!$C:$C=A399,'Operações-BR'!$A:$A&lt;=C399))/G399,0)"),0.0)</f>
        <v>0</v>
      </c>
      <c r="J399" s="185" t="str">
        <f>IFERROR(VLOOKUP(A399,Ativos!$A$1:$G2000,5,),"")</f>
        <v/>
      </c>
      <c r="K399" s="185" t="str">
        <f>IFERROR(VLOOKUP(A399,Ativos!A:H,8,),"")</f>
        <v/>
      </c>
      <c r="L399" s="186">
        <f t="shared" si="3"/>
        <v>0</v>
      </c>
    </row>
    <row r="400" ht="21.0" customHeight="1">
      <c r="A400" s="187"/>
      <c r="B400" s="187"/>
      <c r="C400" s="188"/>
      <c r="D400" s="135"/>
      <c r="E400" s="189"/>
      <c r="F400" s="182" t="str">
        <f t="shared" si="1"/>
        <v/>
      </c>
      <c r="G400" s="183">
        <f>IFERROR(__xludf.DUMMYFUNCTION("IFERROR(lookup(9999999999,FILTER('Operações-BR'!$M:$M,'Operações-BR'!$C:$C=A400,'Operações-BR'!$A:$A&lt;=C400)),0)"),0.0)</f>
        <v>0</v>
      </c>
      <c r="H400" s="184">
        <f t="shared" si="2"/>
        <v>0</v>
      </c>
      <c r="I400" s="184">
        <f>IFERROR(__xludf.DUMMYFUNCTION("IFERROR(lookup(9999999999,FILTER('Operações-BR'!Q:Q,'Operações-BR'!$C:$C=A400,'Operações-BR'!$A:$A&lt;=C400))/G400,0)"),0.0)</f>
        <v>0</v>
      </c>
      <c r="J400" s="185" t="str">
        <f>IFERROR(VLOOKUP(A400,Ativos!$A$1:$G2000,5,),"")</f>
        <v/>
      </c>
      <c r="K400" s="185" t="str">
        <f>IFERROR(VLOOKUP(A400,Ativos!A:H,8,),"")</f>
        <v/>
      </c>
      <c r="L400" s="186">
        <f t="shared" si="3"/>
        <v>0</v>
      </c>
    </row>
    <row r="401" ht="21.0" customHeight="1">
      <c r="A401" s="187"/>
      <c r="B401" s="187"/>
      <c r="C401" s="188"/>
      <c r="D401" s="135"/>
      <c r="E401" s="189"/>
      <c r="F401" s="182" t="str">
        <f t="shared" si="1"/>
        <v/>
      </c>
      <c r="G401" s="183">
        <f>IFERROR(__xludf.DUMMYFUNCTION("IFERROR(lookup(9999999999,FILTER('Operações-BR'!$M:$M,'Operações-BR'!$C:$C=A401,'Operações-BR'!$A:$A&lt;=C401)),0)"),0.0)</f>
        <v>0</v>
      </c>
      <c r="H401" s="184">
        <f t="shared" si="2"/>
        <v>0</v>
      </c>
      <c r="I401" s="184">
        <f>IFERROR(__xludf.DUMMYFUNCTION("IFERROR(lookup(9999999999,FILTER('Operações-BR'!Q:Q,'Operações-BR'!$C:$C=A401,'Operações-BR'!$A:$A&lt;=C401))/G401,0)"),0.0)</f>
        <v>0</v>
      </c>
      <c r="J401" s="185" t="str">
        <f>IFERROR(VLOOKUP(A401,Ativos!$A$1:$G2000,5,),"")</f>
        <v/>
      </c>
      <c r="K401" s="185" t="str">
        <f>IFERROR(VLOOKUP(A401,Ativos!A:H,8,),"")</f>
        <v/>
      </c>
      <c r="L401" s="186">
        <f t="shared" si="3"/>
        <v>0</v>
      </c>
    </row>
    <row r="402" ht="21.0" customHeight="1">
      <c r="A402" s="187"/>
      <c r="B402" s="187"/>
      <c r="C402" s="188"/>
      <c r="D402" s="135"/>
      <c r="E402" s="189"/>
      <c r="F402" s="182" t="str">
        <f t="shared" si="1"/>
        <v/>
      </c>
      <c r="G402" s="183">
        <f>IFERROR(__xludf.DUMMYFUNCTION("IFERROR(lookup(9999999999,FILTER('Operações-BR'!$M:$M,'Operações-BR'!$C:$C=A402,'Operações-BR'!$A:$A&lt;=C402)),0)"),0.0)</f>
        <v>0</v>
      </c>
      <c r="H402" s="184">
        <f t="shared" si="2"/>
        <v>0</v>
      </c>
      <c r="I402" s="184">
        <f>IFERROR(__xludf.DUMMYFUNCTION("IFERROR(lookup(9999999999,FILTER('Operações-BR'!Q:Q,'Operações-BR'!$C:$C=A402,'Operações-BR'!$A:$A&lt;=C402))/G402,0)"),0.0)</f>
        <v>0</v>
      </c>
      <c r="J402" s="185" t="str">
        <f>IFERROR(VLOOKUP(A402,Ativos!$A$1:$G2000,5,),"")</f>
        <v/>
      </c>
      <c r="K402" s="185" t="str">
        <f>IFERROR(VLOOKUP(A402,Ativos!A:H,8,),"")</f>
        <v/>
      </c>
      <c r="L402" s="186">
        <f t="shared" si="3"/>
        <v>0</v>
      </c>
    </row>
    <row r="403" ht="21.0" customHeight="1">
      <c r="A403" s="187"/>
      <c r="B403" s="187"/>
      <c r="C403" s="188"/>
      <c r="D403" s="135"/>
      <c r="E403" s="189"/>
      <c r="F403" s="182" t="str">
        <f t="shared" si="1"/>
        <v/>
      </c>
      <c r="G403" s="183">
        <f>IFERROR(__xludf.DUMMYFUNCTION("IFERROR(lookup(9999999999,FILTER('Operações-BR'!$M:$M,'Operações-BR'!$C:$C=A403,'Operações-BR'!$A:$A&lt;=C403)),0)"),0.0)</f>
        <v>0</v>
      </c>
      <c r="H403" s="184">
        <f t="shared" si="2"/>
        <v>0</v>
      </c>
      <c r="I403" s="184">
        <f>IFERROR(__xludf.DUMMYFUNCTION("IFERROR(lookup(9999999999,FILTER('Operações-BR'!Q:Q,'Operações-BR'!$C:$C=A403,'Operações-BR'!$A:$A&lt;=C403))/G403,0)"),0.0)</f>
        <v>0</v>
      </c>
      <c r="J403" s="185" t="str">
        <f>IFERROR(VLOOKUP(A403,Ativos!$A$1:$G2000,5,),"")</f>
        <v/>
      </c>
      <c r="K403" s="185" t="str">
        <f>IFERROR(VLOOKUP(A403,Ativos!A:H,8,),"")</f>
        <v/>
      </c>
      <c r="L403" s="186">
        <f t="shared" si="3"/>
        <v>0</v>
      </c>
    </row>
    <row r="404" ht="21.0" customHeight="1">
      <c r="A404" s="187"/>
      <c r="B404" s="187"/>
      <c r="C404" s="188"/>
      <c r="D404" s="135"/>
      <c r="E404" s="189"/>
      <c r="F404" s="182" t="str">
        <f t="shared" si="1"/>
        <v/>
      </c>
      <c r="G404" s="183">
        <f>IFERROR(__xludf.DUMMYFUNCTION("IFERROR(lookup(9999999999,FILTER('Operações-BR'!$M:$M,'Operações-BR'!$C:$C=A404,'Operações-BR'!$A:$A&lt;=C404)),0)"),0.0)</f>
        <v>0</v>
      </c>
      <c r="H404" s="184">
        <f t="shared" si="2"/>
        <v>0</v>
      </c>
      <c r="I404" s="184">
        <f>IFERROR(__xludf.DUMMYFUNCTION("IFERROR(lookup(9999999999,FILTER('Operações-BR'!Q:Q,'Operações-BR'!$C:$C=A404,'Operações-BR'!$A:$A&lt;=C404))/G404,0)"),0.0)</f>
        <v>0</v>
      </c>
      <c r="J404" s="185" t="str">
        <f>IFERROR(VLOOKUP(A404,Ativos!$A$1:$G2000,5,),"")</f>
        <v/>
      </c>
      <c r="K404" s="185" t="str">
        <f>IFERROR(VLOOKUP(A404,Ativos!A:H,8,),"")</f>
        <v/>
      </c>
      <c r="L404" s="186">
        <f t="shared" si="3"/>
        <v>0</v>
      </c>
    </row>
    <row r="405" ht="21.0" customHeight="1">
      <c r="A405" s="187"/>
      <c r="B405" s="187"/>
      <c r="C405" s="188"/>
      <c r="D405" s="135"/>
      <c r="E405" s="189"/>
      <c r="F405" s="182" t="str">
        <f t="shared" si="1"/>
        <v/>
      </c>
      <c r="G405" s="183">
        <f>IFERROR(__xludf.DUMMYFUNCTION("IFERROR(lookup(9999999999,FILTER('Operações-BR'!$M:$M,'Operações-BR'!$C:$C=A405,'Operações-BR'!$A:$A&lt;=C405)),0)"),0.0)</f>
        <v>0</v>
      </c>
      <c r="H405" s="184">
        <f t="shared" si="2"/>
        <v>0</v>
      </c>
      <c r="I405" s="184">
        <f>IFERROR(__xludf.DUMMYFUNCTION("IFERROR(lookup(9999999999,FILTER('Operações-BR'!Q:Q,'Operações-BR'!$C:$C=A405,'Operações-BR'!$A:$A&lt;=C405))/G405,0)"),0.0)</f>
        <v>0</v>
      </c>
      <c r="J405" s="185" t="str">
        <f>IFERROR(VLOOKUP(A405,Ativos!$A$1:$G2000,5,),"")</f>
        <v/>
      </c>
      <c r="K405" s="185" t="str">
        <f>IFERROR(VLOOKUP(A405,Ativos!A:H,8,),"")</f>
        <v/>
      </c>
      <c r="L405" s="186">
        <f t="shared" si="3"/>
        <v>0</v>
      </c>
    </row>
    <row r="406" ht="21.0" customHeight="1">
      <c r="A406" s="187"/>
      <c r="B406" s="187"/>
      <c r="C406" s="188"/>
      <c r="D406" s="135"/>
      <c r="E406" s="189"/>
      <c r="F406" s="182" t="str">
        <f t="shared" si="1"/>
        <v/>
      </c>
      <c r="G406" s="183">
        <f>IFERROR(__xludf.DUMMYFUNCTION("IFERROR(lookup(9999999999,FILTER('Operações-BR'!$M:$M,'Operações-BR'!$C:$C=A406,'Operações-BR'!$A:$A&lt;=C406)),0)"),0.0)</f>
        <v>0</v>
      </c>
      <c r="H406" s="184">
        <f t="shared" si="2"/>
        <v>0</v>
      </c>
      <c r="I406" s="184">
        <f>IFERROR(__xludf.DUMMYFUNCTION("IFERROR(lookup(9999999999,FILTER('Operações-BR'!Q:Q,'Operações-BR'!$C:$C=A406,'Operações-BR'!$A:$A&lt;=C406))/G406,0)"),0.0)</f>
        <v>0</v>
      </c>
      <c r="J406" s="185" t="str">
        <f>IFERROR(VLOOKUP(A406,Ativos!$A$1:$G2000,5,),"")</f>
        <v/>
      </c>
      <c r="K406" s="185" t="str">
        <f>IFERROR(VLOOKUP(A406,Ativos!A:H,8,),"")</f>
        <v/>
      </c>
      <c r="L406" s="186">
        <f t="shared" si="3"/>
        <v>0</v>
      </c>
    </row>
    <row r="407" ht="21.0" customHeight="1">
      <c r="A407" s="187"/>
      <c r="B407" s="187"/>
      <c r="C407" s="188"/>
      <c r="D407" s="135"/>
      <c r="E407" s="189"/>
      <c r="F407" s="182" t="str">
        <f t="shared" si="1"/>
        <v/>
      </c>
      <c r="G407" s="183">
        <f>IFERROR(__xludf.DUMMYFUNCTION("IFERROR(lookup(9999999999,FILTER('Operações-BR'!$M:$M,'Operações-BR'!$C:$C=A407,'Operações-BR'!$A:$A&lt;=C407)),0)"),0.0)</f>
        <v>0</v>
      </c>
      <c r="H407" s="184">
        <f t="shared" si="2"/>
        <v>0</v>
      </c>
      <c r="I407" s="184">
        <f>IFERROR(__xludf.DUMMYFUNCTION("IFERROR(lookup(9999999999,FILTER('Operações-BR'!Q:Q,'Operações-BR'!$C:$C=A407,'Operações-BR'!$A:$A&lt;=C407))/G407,0)"),0.0)</f>
        <v>0</v>
      </c>
      <c r="J407" s="185" t="str">
        <f>IFERROR(VLOOKUP(A407,Ativos!$A$1:$G2000,5,),"")</f>
        <v/>
      </c>
      <c r="K407" s="185" t="str">
        <f>IFERROR(VLOOKUP(A407,Ativos!A:H,8,),"")</f>
        <v/>
      </c>
      <c r="L407" s="186">
        <f t="shared" si="3"/>
        <v>0</v>
      </c>
    </row>
    <row r="408" ht="21.0" customHeight="1">
      <c r="A408" s="187"/>
      <c r="B408" s="187"/>
      <c r="C408" s="188"/>
      <c r="D408" s="135"/>
      <c r="E408" s="189"/>
      <c r="F408" s="182" t="str">
        <f t="shared" si="1"/>
        <v/>
      </c>
      <c r="G408" s="183">
        <f>IFERROR(__xludf.DUMMYFUNCTION("IFERROR(lookup(9999999999,FILTER('Operações-BR'!$M:$M,'Operações-BR'!$C:$C=A408,'Operações-BR'!$A:$A&lt;=C408)),0)"),0.0)</f>
        <v>0</v>
      </c>
      <c r="H408" s="184">
        <f t="shared" si="2"/>
        <v>0</v>
      </c>
      <c r="I408" s="184">
        <f>IFERROR(__xludf.DUMMYFUNCTION("IFERROR(lookup(9999999999,FILTER('Operações-BR'!Q:Q,'Operações-BR'!$C:$C=A408,'Operações-BR'!$A:$A&lt;=C408))/G408,0)"),0.0)</f>
        <v>0</v>
      </c>
      <c r="J408" s="185" t="str">
        <f>IFERROR(VLOOKUP(A408,Ativos!$A$1:$G2000,5,),"")</f>
        <v/>
      </c>
      <c r="K408" s="185" t="str">
        <f>IFERROR(VLOOKUP(A408,Ativos!A:H,8,),"")</f>
        <v/>
      </c>
      <c r="L408" s="186">
        <f t="shared" si="3"/>
        <v>0</v>
      </c>
    </row>
    <row r="409" ht="21.0" customHeight="1">
      <c r="A409" s="187"/>
      <c r="B409" s="187"/>
      <c r="C409" s="188"/>
      <c r="D409" s="135"/>
      <c r="E409" s="189"/>
      <c r="F409" s="182" t="str">
        <f t="shared" si="1"/>
        <v/>
      </c>
      <c r="G409" s="183">
        <f>IFERROR(__xludf.DUMMYFUNCTION("IFERROR(lookup(9999999999,FILTER('Operações-BR'!$M:$M,'Operações-BR'!$C:$C=A409,'Operações-BR'!$A:$A&lt;=C409)),0)"),0.0)</f>
        <v>0</v>
      </c>
      <c r="H409" s="184">
        <f t="shared" si="2"/>
        <v>0</v>
      </c>
      <c r="I409" s="184">
        <f>IFERROR(__xludf.DUMMYFUNCTION("IFERROR(lookup(9999999999,FILTER('Operações-BR'!Q:Q,'Operações-BR'!$C:$C=A409,'Operações-BR'!$A:$A&lt;=C409))/G409,0)"),0.0)</f>
        <v>0</v>
      </c>
      <c r="J409" s="185" t="str">
        <f>IFERROR(VLOOKUP(A409,Ativos!$A$1:$G2000,5,),"")</f>
        <v/>
      </c>
      <c r="K409" s="185" t="str">
        <f>IFERROR(VLOOKUP(A409,Ativos!A:H,8,),"")</f>
        <v/>
      </c>
      <c r="L409" s="186">
        <f t="shared" si="3"/>
        <v>0</v>
      </c>
    </row>
    <row r="410" ht="21.0" customHeight="1">
      <c r="A410" s="187"/>
      <c r="B410" s="187"/>
      <c r="C410" s="188"/>
      <c r="D410" s="135"/>
      <c r="E410" s="189"/>
      <c r="F410" s="182" t="str">
        <f t="shared" si="1"/>
        <v/>
      </c>
      <c r="G410" s="183">
        <f>IFERROR(__xludf.DUMMYFUNCTION("IFERROR(lookup(9999999999,FILTER('Operações-BR'!$M:$M,'Operações-BR'!$C:$C=A410,'Operações-BR'!$A:$A&lt;=C410)),0)"),0.0)</f>
        <v>0</v>
      </c>
      <c r="H410" s="184">
        <f t="shared" si="2"/>
        <v>0</v>
      </c>
      <c r="I410" s="184">
        <f>IFERROR(__xludf.DUMMYFUNCTION("IFERROR(lookup(9999999999,FILTER('Operações-BR'!Q:Q,'Operações-BR'!$C:$C=A410,'Operações-BR'!$A:$A&lt;=C410))/G410,0)"),0.0)</f>
        <v>0</v>
      </c>
      <c r="J410" s="185" t="str">
        <f>IFERROR(VLOOKUP(A410,Ativos!$A$1:$G2000,5,),"")</f>
        <v/>
      </c>
      <c r="K410" s="185" t="str">
        <f>IFERROR(VLOOKUP(A410,Ativos!A:H,8,),"")</f>
        <v/>
      </c>
      <c r="L410" s="186">
        <f t="shared" si="3"/>
        <v>0</v>
      </c>
    </row>
    <row r="411" ht="21.0" customHeight="1">
      <c r="A411" s="187"/>
      <c r="B411" s="187"/>
      <c r="C411" s="188"/>
      <c r="D411" s="135"/>
      <c r="E411" s="189"/>
      <c r="F411" s="182" t="str">
        <f t="shared" si="1"/>
        <v/>
      </c>
      <c r="G411" s="183">
        <f>IFERROR(__xludf.DUMMYFUNCTION("IFERROR(lookup(9999999999,FILTER('Operações-BR'!$M:$M,'Operações-BR'!$C:$C=A411,'Operações-BR'!$A:$A&lt;=C411)),0)"),0.0)</f>
        <v>0</v>
      </c>
      <c r="H411" s="184">
        <f t="shared" si="2"/>
        <v>0</v>
      </c>
      <c r="I411" s="184">
        <f>IFERROR(__xludf.DUMMYFUNCTION("IFERROR(lookup(9999999999,FILTER('Operações-BR'!Q:Q,'Operações-BR'!$C:$C=A411,'Operações-BR'!$A:$A&lt;=C411))/G411,0)"),0.0)</f>
        <v>0</v>
      </c>
      <c r="J411" s="185" t="str">
        <f>IFERROR(VLOOKUP(A411,Ativos!$A$1:$G2000,5,),"")</f>
        <v/>
      </c>
      <c r="K411" s="185" t="str">
        <f>IFERROR(VLOOKUP(A411,Ativos!A:H,8,),"")</f>
        <v/>
      </c>
      <c r="L411" s="186">
        <f t="shared" si="3"/>
        <v>0</v>
      </c>
    </row>
    <row r="412" ht="21.0" customHeight="1">
      <c r="A412" s="187"/>
      <c r="B412" s="187"/>
      <c r="C412" s="188"/>
      <c r="D412" s="135"/>
      <c r="E412" s="189"/>
      <c r="F412" s="182" t="str">
        <f t="shared" si="1"/>
        <v/>
      </c>
      <c r="G412" s="183">
        <f>IFERROR(__xludf.DUMMYFUNCTION("IFERROR(lookup(9999999999,FILTER('Operações-BR'!$M:$M,'Operações-BR'!$C:$C=A412,'Operações-BR'!$A:$A&lt;=C412)),0)"),0.0)</f>
        <v>0</v>
      </c>
      <c r="H412" s="184">
        <f t="shared" si="2"/>
        <v>0</v>
      </c>
      <c r="I412" s="184">
        <f>IFERROR(__xludf.DUMMYFUNCTION("IFERROR(lookup(9999999999,FILTER('Operações-BR'!Q:Q,'Operações-BR'!$C:$C=A412,'Operações-BR'!$A:$A&lt;=C412))/G412,0)"),0.0)</f>
        <v>0</v>
      </c>
      <c r="J412" s="185" t="str">
        <f>IFERROR(VLOOKUP(A412,Ativos!$A$1:$G2000,5,),"")</f>
        <v/>
      </c>
      <c r="K412" s="185" t="str">
        <f>IFERROR(VLOOKUP(A412,Ativos!A:H,8,),"")</f>
        <v/>
      </c>
      <c r="L412" s="186">
        <f t="shared" si="3"/>
        <v>0</v>
      </c>
    </row>
    <row r="413" ht="21.0" customHeight="1">
      <c r="A413" s="187"/>
      <c r="B413" s="187"/>
      <c r="C413" s="188"/>
      <c r="D413" s="135"/>
      <c r="E413" s="189"/>
      <c r="F413" s="182" t="str">
        <f t="shared" si="1"/>
        <v/>
      </c>
      <c r="G413" s="183">
        <f>IFERROR(__xludf.DUMMYFUNCTION("IFERROR(lookup(9999999999,FILTER('Operações-BR'!$M:$M,'Operações-BR'!$C:$C=A413,'Operações-BR'!$A:$A&lt;=C413)),0)"),0.0)</f>
        <v>0</v>
      </c>
      <c r="H413" s="184">
        <f t="shared" si="2"/>
        <v>0</v>
      </c>
      <c r="I413" s="184">
        <f>IFERROR(__xludf.DUMMYFUNCTION("IFERROR(lookup(9999999999,FILTER('Operações-BR'!Q:Q,'Operações-BR'!$C:$C=A413,'Operações-BR'!$A:$A&lt;=C413))/G413,0)"),0.0)</f>
        <v>0</v>
      </c>
      <c r="J413" s="185" t="str">
        <f>IFERROR(VLOOKUP(A413,Ativos!$A$1:$G2000,5,),"")</f>
        <v/>
      </c>
      <c r="K413" s="185" t="str">
        <f>IFERROR(VLOOKUP(A413,Ativos!A:H,8,),"")</f>
        <v/>
      </c>
      <c r="L413" s="186">
        <f t="shared" si="3"/>
        <v>0</v>
      </c>
    </row>
    <row r="414" ht="21.0" customHeight="1">
      <c r="A414" s="187"/>
      <c r="B414" s="187"/>
      <c r="C414" s="188"/>
      <c r="D414" s="135"/>
      <c r="E414" s="189"/>
      <c r="F414" s="182" t="str">
        <f t="shared" si="1"/>
        <v/>
      </c>
      <c r="G414" s="183">
        <f>IFERROR(__xludf.DUMMYFUNCTION("IFERROR(lookup(9999999999,FILTER('Operações-BR'!$M:$M,'Operações-BR'!$C:$C=A414,'Operações-BR'!$A:$A&lt;=C414)),0)"),0.0)</f>
        <v>0</v>
      </c>
      <c r="H414" s="184">
        <f t="shared" si="2"/>
        <v>0</v>
      </c>
      <c r="I414" s="184">
        <f>IFERROR(__xludf.DUMMYFUNCTION("IFERROR(lookup(9999999999,FILTER('Operações-BR'!Q:Q,'Operações-BR'!$C:$C=A414,'Operações-BR'!$A:$A&lt;=C414))/G414,0)"),0.0)</f>
        <v>0</v>
      </c>
      <c r="J414" s="185" t="str">
        <f>IFERROR(VLOOKUP(A414,Ativos!$A$1:$G2000,5,),"")</f>
        <v/>
      </c>
      <c r="K414" s="185" t="str">
        <f>IFERROR(VLOOKUP(A414,Ativos!A:H,8,),"")</f>
        <v/>
      </c>
      <c r="L414" s="186">
        <f t="shared" si="3"/>
        <v>0</v>
      </c>
    </row>
    <row r="415" ht="21.0" customHeight="1">
      <c r="A415" s="187"/>
      <c r="B415" s="187"/>
      <c r="C415" s="188"/>
      <c r="D415" s="135"/>
      <c r="E415" s="189"/>
      <c r="F415" s="182" t="str">
        <f t="shared" si="1"/>
        <v/>
      </c>
      <c r="G415" s="183">
        <f>IFERROR(__xludf.DUMMYFUNCTION("IFERROR(lookup(9999999999,FILTER('Operações-BR'!$M:$M,'Operações-BR'!$C:$C=A415,'Operações-BR'!$A:$A&lt;=C415)),0)"),0.0)</f>
        <v>0</v>
      </c>
      <c r="H415" s="184">
        <f t="shared" si="2"/>
        <v>0</v>
      </c>
      <c r="I415" s="184">
        <f>IFERROR(__xludf.DUMMYFUNCTION("IFERROR(lookup(9999999999,FILTER('Operações-BR'!Q:Q,'Operações-BR'!$C:$C=A415,'Operações-BR'!$A:$A&lt;=C415))/G415,0)"),0.0)</f>
        <v>0</v>
      </c>
      <c r="J415" s="185" t="str">
        <f>IFERROR(VLOOKUP(A415,Ativos!$A$1:$G2000,5,),"")</f>
        <v/>
      </c>
      <c r="K415" s="185" t="str">
        <f>IFERROR(VLOOKUP(A415,Ativos!A:H,8,),"")</f>
        <v/>
      </c>
      <c r="L415" s="186">
        <f t="shared" si="3"/>
        <v>0</v>
      </c>
    </row>
    <row r="416" ht="21.0" customHeight="1">
      <c r="A416" s="187"/>
      <c r="B416" s="187"/>
      <c r="C416" s="188"/>
      <c r="D416" s="135"/>
      <c r="E416" s="189"/>
      <c r="F416" s="182" t="str">
        <f t="shared" si="1"/>
        <v/>
      </c>
      <c r="G416" s="183">
        <f>IFERROR(__xludf.DUMMYFUNCTION("IFERROR(lookup(9999999999,FILTER('Operações-BR'!$M:$M,'Operações-BR'!$C:$C=A416,'Operações-BR'!$A:$A&lt;=C416)),0)"),0.0)</f>
        <v>0</v>
      </c>
      <c r="H416" s="184">
        <f t="shared" si="2"/>
        <v>0</v>
      </c>
      <c r="I416" s="184">
        <f>IFERROR(__xludf.DUMMYFUNCTION("IFERROR(lookup(9999999999,FILTER('Operações-BR'!Q:Q,'Operações-BR'!$C:$C=A416,'Operações-BR'!$A:$A&lt;=C416))/G416,0)"),0.0)</f>
        <v>0</v>
      </c>
      <c r="J416" s="185" t="str">
        <f>IFERROR(VLOOKUP(A416,Ativos!$A$1:$G2000,5,),"")</f>
        <v/>
      </c>
      <c r="K416" s="185" t="str">
        <f>IFERROR(VLOOKUP(A416,Ativos!A:H,8,),"")</f>
        <v/>
      </c>
      <c r="L416" s="186">
        <f t="shared" si="3"/>
        <v>0</v>
      </c>
    </row>
    <row r="417" ht="21.0" customHeight="1">
      <c r="A417" s="187"/>
      <c r="B417" s="187"/>
      <c r="C417" s="188"/>
      <c r="D417" s="135"/>
      <c r="E417" s="189"/>
      <c r="F417" s="182" t="str">
        <f t="shared" si="1"/>
        <v/>
      </c>
      <c r="G417" s="183">
        <f>IFERROR(__xludf.DUMMYFUNCTION("IFERROR(lookup(9999999999,FILTER('Operações-BR'!$M:$M,'Operações-BR'!$C:$C=A417,'Operações-BR'!$A:$A&lt;=C417)),0)"),0.0)</f>
        <v>0</v>
      </c>
      <c r="H417" s="184">
        <f t="shared" si="2"/>
        <v>0</v>
      </c>
      <c r="I417" s="184">
        <f>IFERROR(__xludf.DUMMYFUNCTION("IFERROR(lookup(9999999999,FILTER('Operações-BR'!Q:Q,'Operações-BR'!$C:$C=A417,'Operações-BR'!$A:$A&lt;=C417))/G417,0)"),0.0)</f>
        <v>0</v>
      </c>
      <c r="J417" s="185" t="str">
        <f>IFERROR(VLOOKUP(A417,Ativos!$A$1:$G2000,5,),"")</f>
        <v/>
      </c>
      <c r="K417" s="185" t="str">
        <f>IFERROR(VLOOKUP(A417,Ativos!A:H,8,),"")</f>
        <v/>
      </c>
      <c r="L417" s="186">
        <f t="shared" si="3"/>
        <v>0</v>
      </c>
    </row>
    <row r="418" ht="21.0" customHeight="1">
      <c r="A418" s="187"/>
      <c r="B418" s="187"/>
      <c r="C418" s="188"/>
      <c r="D418" s="135"/>
      <c r="E418" s="189"/>
      <c r="F418" s="182" t="str">
        <f t="shared" si="1"/>
        <v/>
      </c>
      <c r="G418" s="183">
        <f>IFERROR(__xludf.DUMMYFUNCTION("IFERROR(lookup(9999999999,FILTER('Operações-BR'!$M:$M,'Operações-BR'!$C:$C=A418,'Operações-BR'!$A:$A&lt;=C418)),0)"),0.0)</f>
        <v>0</v>
      </c>
      <c r="H418" s="184">
        <f t="shared" si="2"/>
        <v>0</v>
      </c>
      <c r="I418" s="184">
        <f>IFERROR(__xludf.DUMMYFUNCTION("IFERROR(lookup(9999999999,FILTER('Operações-BR'!Q:Q,'Operações-BR'!$C:$C=A418,'Operações-BR'!$A:$A&lt;=C418))/G418,0)"),0.0)</f>
        <v>0</v>
      </c>
      <c r="J418" s="185" t="str">
        <f>IFERROR(VLOOKUP(A418,Ativos!$A$1:$G2000,5,),"")</f>
        <v/>
      </c>
      <c r="K418" s="185" t="str">
        <f>IFERROR(VLOOKUP(A418,Ativos!A:H,8,),"")</f>
        <v/>
      </c>
      <c r="L418" s="186">
        <f t="shared" si="3"/>
        <v>0</v>
      </c>
    </row>
    <row r="419" ht="21.0" customHeight="1">
      <c r="A419" s="187"/>
      <c r="B419" s="187"/>
      <c r="C419" s="188"/>
      <c r="D419" s="135"/>
      <c r="E419" s="189"/>
      <c r="F419" s="182" t="str">
        <f t="shared" si="1"/>
        <v/>
      </c>
      <c r="G419" s="183">
        <f>IFERROR(__xludf.DUMMYFUNCTION("IFERROR(lookup(9999999999,FILTER('Operações-BR'!$M:$M,'Operações-BR'!$C:$C=A419,'Operações-BR'!$A:$A&lt;=C419)),0)"),0.0)</f>
        <v>0</v>
      </c>
      <c r="H419" s="184">
        <f t="shared" si="2"/>
        <v>0</v>
      </c>
      <c r="I419" s="184">
        <f>IFERROR(__xludf.DUMMYFUNCTION("IFERROR(lookup(9999999999,FILTER('Operações-BR'!Q:Q,'Operações-BR'!$C:$C=A419,'Operações-BR'!$A:$A&lt;=C419))/G419,0)"),0.0)</f>
        <v>0</v>
      </c>
      <c r="J419" s="185" t="str">
        <f>IFERROR(VLOOKUP(A419,Ativos!$A$1:$G2000,5,),"")</f>
        <v/>
      </c>
      <c r="K419" s="185" t="str">
        <f>IFERROR(VLOOKUP(A419,Ativos!A:H,8,),"")</f>
        <v/>
      </c>
      <c r="L419" s="186">
        <f t="shared" si="3"/>
        <v>0</v>
      </c>
    </row>
    <row r="420" ht="21.0" customHeight="1">
      <c r="A420" s="187"/>
      <c r="B420" s="187"/>
      <c r="C420" s="188"/>
      <c r="D420" s="135"/>
      <c r="E420" s="189"/>
      <c r="F420" s="182" t="str">
        <f t="shared" si="1"/>
        <v/>
      </c>
      <c r="G420" s="183">
        <f>IFERROR(__xludf.DUMMYFUNCTION("IFERROR(lookup(9999999999,FILTER('Operações-BR'!$M:$M,'Operações-BR'!$C:$C=A420,'Operações-BR'!$A:$A&lt;=C420)),0)"),0.0)</f>
        <v>0</v>
      </c>
      <c r="H420" s="184">
        <f t="shared" si="2"/>
        <v>0</v>
      </c>
      <c r="I420" s="184">
        <f>IFERROR(__xludf.DUMMYFUNCTION("IFERROR(lookup(9999999999,FILTER('Operações-BR'!Q:Q,'Operações-BR'!$C:$C=A420,'Operações-BR'!$A:$A&lt;=C420))/G420,0)"),0.0)</f>
        <v>0</v>
      </c>
      <c r="J420" s="185" t="str">
        <f>IFERROR(VLOOKUP(A420,Ativos!$A$1:$G2000,5,),"")</f>
        <v/>
      </c>
      <c r="K420" s="185" t="str">
        <f>IFERROR(VLOOKUP(A420,Ativos!A:H,8,),"")</f>
        <v/>
      </c>
      <c r="L420" s="186">
        <f t="shared" si="3"/>
        <v>0</v>
      </c>
    </row>
    <row r="421" ht="21.0" customHeight="1">
      <c r="A421" s="187"/>
      <c r="B421" s="187"/>
      <c r="C421" s="188"/>
      <c r="D421" s="135"/>
      <c r="E421" s="189"/>
      <c r="F421" s="182" t="str">
        <f t="shared" si="1"/>
        <v/>
      </c>
      <c r="G421" s="183">
        <f>IFERROR(__xludf.DUMMYFUNCTION("IFERROR(lookup(9999999999,FILTER('Operações-BR'!$M:$M,'Operações-BR'!$C:$C=A421,'Operações-BR'!$A:$A&lt;=C421)),0)"),0.0)</f>
        <v>0</v>
      </c>
      <c r="H421" s="184">
        <f t="shared" si="2"/>
        <v>0</v>
      </c>
      <c r="I421" s="184">
        <f>IFERROR(__xludf.DUMMYFUNCTION("IFERROR(lookup(9999999999,FILTER('Operações-BR'!Q:Q,'Operações-BR'!$C:$C=A421,'Operações-BR'!$A:$A&lt;=C421))/G421,0)"),0.0)</f>
        <v>0</v>
      </c>
      <c r="J421" s="185" t="str">
        <f>IFERROR(VLOOKUP(A421,Ativos!$A$1:$G2000,5,),"")</f>
        <v/>
      </c>
      <c r="K421" s="185" t="str">
        <f>IFERROR(VLOOKUP(A421,Ativos!A:H,8,),"")</f>
        <v/>
      </c>
      <c r="L421" s="186">
        <f t="shared" si="3"/>
        <v>0</v>
      </c>
    </row>
    <row r="422" ht="21.0" customHeight="1">
      <c r="A422" s="187"/>
      <c r="B422" s="187"/>
      <c r="C422" s="188"/>
      <c r="D422" s="135"/>
      <c r="E422" s="189"/>
      <c r="F422" s="182" t="str">
        <f t="shared" si="1"/>
        <v/>
      </c>
      <c r="G422" s="183">
        <f>IFERROR(__xludf.DUMMYFUNCTION("IFERROR(lookup(9999999999,FILTER('Operações-BR'!$M:$M,'Operações-BR'!$C:$C=A422,'Operações-BR'!$A:$A&lt;=C422)),0)"),0.0)</f>
        <v>0</v>
      </c>
      <c r="H422" s="184">
        <f t="shared" si="2"/>
        <v>0</v>
      </c>
      <c r="I422" s="184">
        <f>IFERROR(__xludf.DUMMYFUNCTION("IFERROR(lookup(9999999999,FILTER('Operações-BR'!Q:Q,'Operações-BR'!$C:$C=A422,'Operações-BR'!$A:$A&lt;=C422))/G422,0)"),0.0)</f>
        <v>0</v>
      </c>
      <c r="J422" s="185" t="str">
        <f>IFERROR(VLOOKUP(A422,Ativos!$A$1:$G2000,5,),"")</f>
        <v/>
      </c>
      <c r="K422" s="185" t="str">
        <f>IFERROR(VLOOKUP(A422,Ativos!A:H,8,),"")</f>
        <v/>
      </c>
      <c r="L422" s="186">
        <f t="shared" si="3"/>
        <v>0</v>
      </c>
    </row>
    <row r="423" ht="21.0" customHeight="1">
      <c r="A423" s="187"/>
      <c r="B423" s="187"/>
      <c r="C423" s="188"/>
      <c r="D423" s="135"/>
      <c r="E423" s="189"/>
      <c r="F423" s="182" t="str">
        <f t="shared" si="1"/>
        <v/>
      </c>
      <c r="G423" s="183">
        <f>IFERROR(__xludf.DUMMYFUNCTION("IFERROR(lookup(9999999999,FILTER('Operações-BR'!$M:$M,'Operações-BR'!$C:$C=A423,'Operações-BR'!$A:$A&lt;=C423)),0)"),0.0)</f>
        <v>0</v>
      </c>
      <c r="H423" s="184">
        <f t="shared" si="2"/>
        <v>0</v>
      </c>
      <c r="I423" s="184">
        <f>IFERROR(__xludf.DUMMYFUNCTION("IFERROR(lookup(9999999999,FILTER('Operações-BR'!Q:Q,'Operações-BR'!$C:$C=A423,'Operações-BR'!$A:$A&lt;=C423))/G423,0)"),0.0)</f>
        <v>0</v>
      </c>
      <c r="J423" s="185" t="str">
        <f>IFERROR(VLOOKUP(A423,Ativos!$A$1:$G2000,5,),"")</f>
        <v/>
      </c>
      <c r="K423" s="185" t="str">
        <f>IFERROR(VLOOKUP(A423,Ativos!A:H,8,),"")</f>
        <v/>
      </c>
      <c r="L423" s="186">
        <f t="shared" si="3"/>
        <v>0</v>
      </c>
    </row>
    <row r="424" ht="21.0" customHeight="1">
      <c r="A424" s="187"/>
      <c r="B424" s="187"/>
      <c r="C424" s="188"/>
      <c r="D424" s="135"/>
      <c r="E424" s="189"/>
      <c r="F424" s="182" t="str">
        <f t="shared" si="1"/>
        <v/>
      </c>
      <c r="G424" s="183">
        <f>IFERROR(__xludf.DUMMYFUNCTION("IFERROR(lookup(9999999999,FILTER('Operações-BR'!$M:$M,'Operações-BR'!$C:$C=A424,'Operações-BR'!$A:$A&lt;=C424)),0)"),0.0)</f>
        <v>0</v>
      </c>
      <c r="H424" s="184">
        <f t="shared" si="2"/>
        <v>0</v>
      </c>
      <c r="I424" s="184">
        <f>IFERROR(__xludf.DUMMYFUNCTION("IFERROR(lookup(9999999999,FILTER('Operações-BR'!Q:Q,'Operações-BR'!$C:$C=A424,'Operações-BR'!$A:$A&lt;=C424))/G424,0)"),0.0)</f>
        <v>0</v>
      </c>
      <c r="J424" s="185" t="str">
        <f>IFERROR(VLOOKUP(A424,Ativos!$A$1:$G2000,5,),"")</f>
        <v/>
      </c>
      <c r="K424" s="185" t="str">
        <f>IFERROR(VLOOKUP(A424,Ativos!A:H,8,),"")</f>
        <v/>
      </c>
      <c r="L424" s="186">
        <f t="shared" si="3"/>
        <v>0</v>
      </c>
    </row>
    <row r="425" ht="21.0" customHeight="1">
      <c r="A425" s="187"/>
      <c r="B425" s="187"/>
      <c r="C425" s="188"/>
      <c r="D425" s="135"/>
      <c r="E425" s="189"/>
      <c r="F425" s="182" t="str">
        <f t="shared" si="1"/>
        <v/>
      </c>
      <c r="G425" s="183">
        <f>IFERROR(__xludf.DUMMYFUNCTION("IFERROR(lookup(9999999999,FILTER('Operações-BR'!$M:$M,'Operações-BR'!$C:$C=A425,'Operações-BR'!$A:$A&lt;=C425)),0)"),0.0)</f>
        <v>0</v>
      </c>
      <c r="H425" s="184">
        <f t="shared" si="2"/>
        <v>0</v>
      </c>
      <c r="I425" s="184">
        <f>IFERROR(__xludf.DUMMYFUNCTION("IFERROR(lookup(9999999999,FILTER('Operações-BR'!Q:Q,'Operações-BR'!$C:$C=A425,'Operações-BR'!$A:$A&lt;=C425))/G425,0)"),0.0)</f>
        <v>0</v>
      </c>
      <c r="J425" s="185" t="str">
        <f>IFERROR(VLOOKUP(A425,Ativos!$A$1:$G2000,5,),"")</f>
        <v/>
      </c>
      <c r="K425" s="185" t="str">
        <f>IFERROR(VLOOKUP(A425,Ativos!A:H,8,),"")</f>
        <v/>
      </c>
      <c r="L425" s="186">
        <f t="shared" si="3"/>
        <v>0</v>
      </c>
    </row>
    <row r="426" ht="21.0" customHeight="1">
      <c r="A426" s="187"/>
      <c r="B426" s="187"/>
      <c r="C426" s="188"/>
      <c r="D426" s="135"/>
      <c r="E426" s="189"/>
      <c r="F426" s="182" t="str">
        <f t="shared" si="1"/>
        <v/>
      </c>
      <c r="G426" s="183">
        <f>IFERROR(__xludf.DUMMYFUNCTION("IFERROR(lookup(9999999999,FILTER('Operações-BR'!$M:$M,'Operações-BR'!$C:$C=A426,'Operações-BR'!$A:$A&lt;=C426)),0)"),0.0)</f>
        <v>0</v>
      </c>
      <c r="H426" s="184">
        <f t="shared" si="2"/>
        <v>0</v>
      </c>
      <c r="I426" s="184">
        <f>IFERROR(__xludf.DUMMYFUNCTION("IFERROR(lookup(9999999999,FILTER('Operações-BR'!Q:Q,'Operações-BR'!$C:$C=A426,'Operações-BR'!$A:$A&lt;=C426))/G426,0)"),0.0)</f>
        <v>0</v>
      </c>
      <c r="J426" s="185" t="str">
        <f>IFERROR(VLOOKUP(A426,Ativos!$A$1:$G2000,5,),"")</f>
        <v/>
      </c>
      <c r="K426" s="185" t="str">
        <f>IFERROR(VLOOKUP(A426,Ativos!A:H,8,),"")</f>
        <v/>
      </c>
      <c r="L426" s="186">
        <f t="shared" si="3"/>
        <v>0</v>
      </c>
    </row>
    <row r="427" ht="21.0" customHeight="1">
      <c r="A427" s="187"/>
      <c r="B427" s="187"/>
      <c r="C427" s="188"/>
      <c r="D427" s="135"/>
      <c r="E427" s="189"/>
      <c r="F427" s="182" t="str">
        <f t="shared" si="1"/>
        <v/>
      </c>
      <c r="G427" s="183">
        <f>IFERROR(__xludf.DUMMYFUNCTION("IFERROR(lookup(9999999999,FILTER('Operações-BR'!$M:$M,'Operações-BR'!$C:$C=A427,'Operações-BR'!$A:$A&lt;=C427)),0)"),0.0)</f>
        <v>0</v>
      </c>
      <c r="H427" s="184">
        <f t="shared" si="2"/>
        <v>0</v>
      </c>
      <c r="I427" s="184">
        <f>IFERROR(__xludf.DUMMYFUNCTION("IFERROR(lookup(9999999999,FILTER('Operações-BR'!Q:Q,'Operações-BR'!$C:$C=A427,'Operações-BR'!$A:$A&lt;=C427))/G427,0)"),0.0)</f>
        <v>0</v>
      </c>
      <c r="J427" s="185" t="str">
        <f>IFERROR(VLOOKUP(A427,Ativos!$A$1:$G2000,5,),"")</f>
        <v/>
      </c>
      <c r="K427" s="185" t="str">
        <f>IFERROR(VLOOKUP(A427,Ativos!A:H,8,),"")</f>
        <v/>
      </c>
      <c r="L427" s="186">
        <f t="shared" si="3"/>
        <v>0</v>
      </c>
    </row>
    <row r="428" ht="21.0" customHeight="1">
      <c r="A428" s="187"/>
      <c r="B428" s="187"/>
      <c r="C428" s="188"/>
      <c r="D428" s="135"/>
      <c r="E428" s="189"/>
      <c r="F428" s="182" t="str">
        <f t="shared" si="1"/>
        <v/>
      </c>
      <c r="G428" s="183">
        <f>IFERROR(__xludf.DUMMYFUNCTION("IFERROR(lookup(9999999999,FILTER('Operações-BR'!$M:$M,'Operações-BR'!$C:$C=A428,'Operações-BR'!$A:$A&lt;=C428)),0)"),0.0)</f>
        <v>0</v>
      </c>
      <c r="H428" s="184">
        <f t="shared" si="2"/>
        <v>0</v>
      </c>
      <c r="I428" s="184">
        <f>IFERROR(__xludf.DUMMYFUNCTION("IFERROR(lookup(9999999999,FILTER('Operações-BR'!Q:Q,'Operações-BR'!$C:$C=A428,'Operações-BR'!$A:$A&lt;=C428))/G428,0)"),0.0)</f>
        <v>0</v>
      </c>
      <c r="J428" s="185" t="str">
        <f>IFERROR(VLOOKUP(A428,Ativos!$A$1:$G2000,5,),"")</f>
        <v/>
      </c>
      <c r="K428" s="185" t="str">
        <f>IFERROR(VLOOKUP(A428,Ativos!A:H,8,),"")</f>
        <v/>
      </c>
      <c r="L428" s="186">
        <f t="shared" si="3"/>
        <v>0</v>
      </c>
    </row>
    <row r="429" ht="21.0" customHeight="1">
      <c r="A429" s="187"/>
      <c r="B429" s="187"/>
      <c r="C429" s="188"/>
      <c r="D429" s="135"/>
      <c r="E429" s="189"/>
      <c r="F429" s="182" t="str">
        <f t="shared" si="1"/>
        <v/>
      </c>
      <c r="G429" s="183">
        <f>IFERROR(__xludf.DUMMYFUNCTION("IFERROR(lookup(9999999999,FILTER('Operações-BR'!$M:$M,'Operações-BR'!$C:$C=A429,'Operações-BR'!$A:$A&lt;=C429)),0)"),0.0)</f>
        <v>0</v>
      </c>
      <c r="H429" s="184">
        <f t="shared" si="2"/>
        <v>0</v>
      </c>
      <c r="I429" s="184">
        <f>IFERROR(__xludf.DUMMYFUNCTION("IFERROR(lookup(9999999999,FILTER('Operações-BR'!Q:Q,'Operações-BR'!$C:$C=A429,'Operações-BR'!$A:$A&lt;=C429))/G429,0)"),0.0)</f>
        <v>0</v>
      </c>
      <c r="J429" s="185" t="str">
        <f>IFERROR(VLOOKUP(A429,Ativos!$A$1:$G2000,5,),"")</f>
        <v/>
      </c>
      <c r="K429" s="185" t="str">
        <f>IFERROR(VLOOKUP(A429,Ativos!A:H,8,),"")</f>
        <v/>
      </c>
      <c r="L429" s="186">
        <f t="shared" si="3"/>
        <v>0</v>
      </c>
    </row>
    <row r="430" ht="21.0" customHeight="1">
      <c r="A430" s="187"/>
      <c r="B430" s="187"/>
      <c r="C430" s="188"/>
      <c r="D430" s="135"/>
      <c r="E430" s="189"/>
      <c r="F430" s="182" t="str">
        <f t="shared" si="1"/>
        <v/>
      </c>
      <c r="G430" s="183">
        <f>IFERROR(__xludf.DUMMYFUNCTION("IFERROR(lookup(9999999999,FILTER('Operações-BR'!$M:$M,'Operações-BR'!$C:$C=A430,'Operações-BR'!$A:$A&lt;=C430)),0)"),0.0)</f>
        <v>0</v>
      </c>
      <c r="H430" s="184">
        <f t="shared" si="2"/>
        <v>0</v>
      </c>
      <c r="I430" s="184">
        <f>IFERROR(__xludf.DUMMYFUNCTION("IFERROR(lookup(9999999999,FILTER('Operações-BR'!Q:Q,'Operações-BR'!$C:$C=A430,'Operações-BR'!$A:$A&lt;=C430))/G430,0)"),0.0)</f>
        <v>0</v>
      </c>
      <c r="J430" s="185" t="str">
        <f>IFERROR(VLOOKUP(A430,Ativos!$A$1:$G2000,5,),"")</f>
        <v/>
      </c>
      <c r="K430" s="185" t="str">
        <f>IFERROR(VLOOKUP(A430,Ativos!A:H,8,),"")</f>
        <v/>
      </c>
      <c r="L430" s="186">
        <f t="shared" si="3"/>
        <v>0</v>
      </c>
    </row>
    <row r="431" ht="21.0" customHeight="1">
      <c r="A431" s="187"/>
      <c r="B431" s="187"/>
      <c r="C431" s="188"/>
      <c r="D431" s="135"/>
      <c r="E431" s="189"/>
      <c r="F431" s="182" t="str">
        <f t="shared" si="1"/>
        <v/>
      </c>
      <c r="G431" s="183">
        <f>IFERROR(__xludf.DUMMYFUNCTION("IFERROR(lookup(9999999999,FILTER('Operações-BR'!$M:$M,'Operações-BR'!$C:$C=A431,'Operações-BR'!$A:$A&lt;=C431)),0)"),0.0)</f>
        <v>0</v>
      </c>
      <c r="H431" s="184">
        <f t="shared" si="2"/>
        <v>0</v>
      </c>
      <c r="I431" s="184">
        <f>IFERROR(__xludf.DUMMYFUNCTION("IFERROR(lookup(9999999999,FILTER('Operações-BR'!Q:Q,'Operações-BR'!$C:$C=A431,'Operações-BR'!$A:$A&lt;=C431))/G431,0)"),0.0)</f>
        <v>0</v>
      </c>
      <c r="J431" s="185" t="str">
        <f>IFERROR(VLOOKUP(A431,Ativos!$A$1:$G2000,5,),"")</f>
        <v/>
      </c>
      <c r="K431" s="185" t="str">
        <f>IFERROR(VLOOKUP(A431,Ativos!A:H,8,),"")</f>
        <v/>
      </c>
      <c r="L431" s="186">
        <f t="shared" si="3"/>
        <v>0</v>
      </c>
    </row>
    <row r="432" ht="21.0" customHeight="1">
      <c r="A432" s="187"/>
      <c r="B432" s="187"/>
      <c r="C432" s="188"/>
      <c r="D432" s="135"/>
      <c r="E432" s="189"/>
      <c r="F432" s="182" t="str">
        <f t="shared" si="1"/>
        <v/>
      </c>
      <c r="G432" s="183">
        <f>IFERROR(__xludf.DUMMYFUNCTION("IFERROR(lookup(9999999999,FILTER('Operações-BR'!$M:$M,'Operações-BR'!$C:$C=A432,'Operações-BR'!$A:$A&lt;=C432)),0)"),0.0)</f>
        <v>0</v>
      </c>
      <c r="H432" s="184">
        <f t="shared" si="2"/>
        <v>0</v>
      </c>
      <c r="I432" s="184">
        <f>IFERROR(__xludf.DUMMYFUNCTION("IFERROR(lookup(9999999999,FILTER('Operações-BR'!Q:Q,'Operações-BR'!$C:$C=A432,'Operações-BR'!$A:$A&lt;=C432))/G432,0)"),0.0)</f>
        <v>0</v>
      </c>
      <c r="J432" s="185" t="str">
        <f>IFERROR(VLOOKUP(A432,Ativos!$A$1:$G2000,5,),"")</f>
        <v/>
      </c>
      <c r="K432" s="185" t="str">
        <f>IFERROR(VLOOKUP(A432,Ativos!A:H,8,),"")</f>
        <v/>
      </c>
      <c r="L432" s="186">
        <f t="shared" si="3"/>
        <v>0</v>
      </c>
    </row>
    <row r="433" ht="21.0" customHeight="1">
      <c r="A433" s="187"/>
      <c r="B433" s="187"/>
      <c r="C433" s="188"/>
      <c r="D433" s="135"/>
      <c r="E433" s="189"/>
      <c r="F433" s="182" t="str">
        <f t="shared" si="1"/>
        <v/>
      </c>
      <c r="G433" s="183">
        <f>IFERROR(__xludf.DUMMYFUNCTION("IFERROR(lookup(9999999999,FILTER('Operações-BR'!$M:$M,'Operações-BR'!$C:$C=A433,'Operações-BR'!$A:$A&lt;=C433)),0)"),0.0)</f>
        <v>0</v>
      </c>
      <c r="H433" s="184">
        <f t="shared" si="2"/>
        <v>0</v>
      </c>
      <c r="I433" s="184">
        <f>IFERROR(__xludf.DUMMYFUNCTION("IFERROR(lookup(9999999999,FILTER('Operações-BR'!Q:Q,'Operações-BR'!$C:$C=A433,'Operações-BR'!$A:$A&lt;=C433))/G433,0)"),0.0)</f>
        <v>0</v>
      </c>
      <c r="J433" s="185" t="str">
        <f>IFERROR(VLOOKUP(A433,Ativos!$A$1:$G2000,5,),"")</f>
        <v/>
      </c>
      <c r="K433" s="185" t="str">
        <f>IFERROR(VLOOKUP(A433,Ativos!A:H,8,),"")</f>
        <v/>
      </c>
      <c r="L433" s="186">
        <f t="shared" si="3"/>
        <v>0</v>
      </c>
    </row>
    <row r="434" ht="21.0" customHeight="1">
      <c r="A434" s="187"/>
      <c r="B434" s="187"/>
      <c r="C434" s="188"/>
      <c r="D434" s="135"/>
      <c r="E434" s="189"/>
      <c r="F434" s="182" t="str">
        <f t="shared" si="1"/>
        <v/>
      </c>
      <c r="G434" s="183">
        <f>IFERROR(__xludf.DUMMYFUNCTION("IFERROR(lookup(9999999999,FILTER('Operações-BR'!$M:$M,'Operações-BR'!$C:$C=A434,'Operações-BR'!$A:$A&lt;=C434)),0)"),0.0)</f>
        <v>0</v>
      </c>
      <c r="H434" s="184">
        <f t="shared" si="2"/>
        <v>0</v>
      </c>
      <c r="I434" s="184">
        <f>IFERROR(__xludf.DUMMYFUNCTION("IFERROR(lookup(9999999999,FILTER('Operações-BR'!Q:Q,'Operações-BR'!$C:$C=A434,'Operações-BR'!$A:$A&lt;=C434))/G434,0)"),0.0)</f>
        <v>0</v>
      </c>
      <c r="J434" s="185" t="str">
        <f>IFERROR(VLOOKUP(A434,Ativos!$A$1:$G2000,5,),"")</f>
        <v/>
      </c>
      <c r="K434" s="185" t="str">
        <f>IFERROR(VLOOKUP(A434,Ativos!A:H,8,),"")</f>
        <v/>
      </c>
      <c r="L434" s="186">
        <f t="shared" si="3"/>
        <v>0</v>
      </c>
    </row>
    <row r="435" ht="21.0" customHeight="1">
      <c r="A435" s="187"/>
      <c r="B435" s="187"/>
      <c r="C435" s="188"/>
      <c r="D435" s="135"/>
      <c r="E435" s="189"/>
      <c r="F435" s="182" t="str">
        <f t="shared" si="1"/>
        <v/>
      </c>
      <c r="G435" s="183">
        <f>IFERROR(__xludf.DUMMYFUNCTION("IFERROR(lookup(9999999999,FILTER('Operações-BR'!$M:$M,'Operações-BR'!$C:$C=A435,'Operações-BR'!$A:$A&lt;=C435)),0)"),0.0)</f>
        <v>0</v>
      </c>
      <c r="H435" s="184">
        <f t="shared" si="2"/>
        <v>0</v>
      </c>
      <c r="I435" s="184">
        <f>IFERROR(__xludf.DUMMYFUNCTION("IFERROR(lookup(9999999999,FILTER('Operações-BR'!Q:Q,'Operações-BR'!$C:$C=A435,'Operações-BR'!$A:$A&lt;=C435))/G435,0)"),0.0)</f>
        <v>0</v>
      </c>
      <c r="J435" s="185" t="str">
        <f>IFERROR(VLOOKUP(A435,Ativos!$A$1:$G2000,5,),"")</f>
        <v/>
      </c>
      <c r="K435" s="185" t="str">
        <f>IFERROR(VLOOKUP(A435,Ativos!A:H,8,),"")</f>
        <v/>
      </c>
      <c r="L435" s="186">
        <f t="shared" si="3"/>
        <v>0</v>
      </c>
    </row>
    <row r="436" ht="21.0" customHeight="1">
      <c r="A436" s="187"/>
      <c r="B436" s="187"/>
      <c r="C436" s="188"/>
      <c r="D436" s="135"/>
      <c r="E436" s="189"/>
      <c r="F436" s="182" t="str">
        <f t="shared" si="1"/>
        <v/>
      </c>
      <c r="G436" s="183">
        <f>IFERROR(__xludf.DUMMYFUNCTION("IFERROR(lookup(9999999999,FILTER('Operações-BR'!$M:$M,'Operações-BR'!$C:$C=A436,'Operações-BR'!$A:$A&lt;=C436)),0)"),0.0)</f>
        <v>0</v>
      </c>
      <c r="H436" s="184">
        <f t="shared" si="2"/>
        <v>0</v>
      </c>
      <c r="I436" s="184">
        <f>IFERROR(__xludf.DUMMYFUNCTION("IFERROR(lookup(9999999999,FILTER('Operações-BR'!Q:Q,'Operações-BR'!$C:$C=A436,'Operações-BR'!$A:$A&lt;=C436))/G436,0)"),0.0)</f>
        <v>0</v>
      </c>
      <c r="J436" s="185" t="str">
        <f>IFERROR(VLOOKUP(A436,Ativos!$A$1:$G2000,5,),"")</f>
        <v/>
      </c>
      <c r="K436" s="185" t="str">
        <f>IFERROR(VLOOKUP(A436,Ativos!A:H,8,),"")</f>
        <v/>
      </c>
      <c r="L436" s="186">
        <f t="shared" si="3"/>
        <v>0</v>
      </c>
    </row>
    <row r="437" ht="21.0" customHeight="1">
      <c r="A437" s="187"/>
      <c r="B437" s="187"/>
      <c r="C437" s="188"/>
      <c r="D437" s="135"/>
      <c r="E437" s="189"/>
      <c r="F437" s="182" t="str">
        <f t="shared" si="1"/>
        <v/>
      </c>
      <c r="G437" s="183">
        <f>IFERROR(__xludf.DUMMYFUNCTION("IFERROR(lookup(9999999999,FILTER('Operações-BR'!$M:$M,'Operações-BR'!$C:$C=A437,'Operações-BR'!$A:$A&lt;=C437)),0)"),0.0)</f>
        <v>0</v>
      </c>
      <c r="H437" s="184">
        <f t="shared" si="2"/>
        <v>0</v>
      </c>
      <c r="I437" s="184">
        <f>IFERROR(__xludf.DUMMYFUNCTION("IFERROR(lookup(9999999999,FILTER('Operações-BR'!Q:Q,'Operações-BR'!$C:$C=A437,'Operações-BR'!$A:$A&lt;=C437))/G437,0)"),0.0)</f>
        <v>0</v>
      </c>
      <c r="J437" s="185" t="str">
        <f>IFERROR(VLOOKUP(A437,Ativos!$A$1:$G2000,5,),"")</f>
        <v/>
      </c>
      <c r="K437" s="185" t="str">
        <f>IFERROR(VLOOKUP(A437,Ativos!A:H,8,),"")</f>
        <v/>
      </c>
      <c r="L437" s="186">
        <f t="shared" si="3"/>
        <v>0</v>
      </c>
    </row>
    <row r="438" ht="21.0" customHeight="1">
      <c r="A438" s="187"/>
      <c r="B438" s="187"/>
      <c r="C438" s="188"/>
      <c r="D438" s="135"/>
      <c r="E438" s="189"/>
      <c r="F438" s="182" t="str">
        <f t="shared" si="1"/>
        <v/>
      </c>
      <c r="G438" s="183">
        <f>IFERROR(__xludf.DUMMYFUNCTION("IFERROR(lookup(9999999999,FILTER('Operações-BR'!$M:$M,'Operações-BR'!$C:$C=A438,'Operações-BR'!$A:$A&lt;=C438)),0)"),0.0)</f>
        <v>0</v>
      </c>
      <c r="H438" s="184">
        <f t="shared" si="2"/>
        <v>0</v>
      </c>
      <c r="I438" s="184">
        <f>IFERROR(__xludf.DUMMYFUNCTION("IFERROR(lookup(9999999999,FILTER('Operações-BR'!Q:Q,'Operações-BR'!$C:$C=A438,'Operações-BR'!$A:$A&lt;=C438))/G438,0)"),0.0)</f>
        <v>0</v>
      </c>
      <c r="J438" s="185" t="str">
        <f>IFERROR(VLOOKUP(A438,Ativos!$A$1:$G2000,5,),"")</f>
        <v/>
      </c>
      <c r="K438" s="185" t="str">
        <f>IFERROR(VLOOKUP(A438,Ativos!A:H,8,),"")</f>
        <v/>
      </c>
      <c r="L438" s="186">
        <f t="shared" si="3"/>
        <v>0</v>
      </c>
    </row>
    <row r="439" ht="21.0" customHeight="1">
      <c r="A439" s="187"/>
      <c r="B439" s="187"/>
      <c r="C439" s="188"/>
      <c r="D439" s="135"/>
      <c r="E439" s="189"/>
      <c r="F439" s="182" t="str">
        <f t="shared" si="1"/>
        <v/>
      </c>
      <c r="G439" s="183">
        <f>IFERROR(__xludf.DUMMYFUNCTION("IFERROR(lookup(9999999999,FILTER('Operações-BR'!$M:$M,'Operações-BR'!$C:$C=A439,'Operações-BR'!$A:$A&lt;=C439)),0)"),0.0)</f>
        <v>0</v>
      </c>
      <c r="H439" s="184">
        <f t="shared" si="2"/>
        <v>0</v>
      </c>
      <c r="I439" s="184">
        <f>IFERROR(__xludf.DUMMYFUNCTION("IFERROR(lookup(9999999999,FILTER('Operações-BR'!Q:Q,'Operações-BR'!$C:$C=A439,'Operações-BR'!$A:$A&lt;=C439))/G439,0)"),0.0)</f>
        <v>0</v>
      </c>
      <c r="J439" s="185" t="str">
        <f>IFERROR(VLOOKUP(A439,Ativos!$A$1:$G2000,5,),"")</f>
        <v/>
      </c>
      <c r="K439" s="185" t="str">
        <f>IFERROR(VLOOKUP(A439,Ativos!A:H,8,),"")</f>
        <v/>
      </c>
      <c r="L439" s="186">
        <f t="shared" si="3"/>
        <v>0</v>
      </c>
    </row>
    <row r="440" ht="21.0" customHeight="1">
      <c r="A440" s="187"/>
      <c r="B440" s="187"/>
      <c r="C440" s="188"/>
      <c r="D440" s="135"/>
      <c r="E440" s="189"/>
      <c r="F440" s="182" t="str">
        <f t="shared" si="1"/>
        <v/>
      </c>
      <c r="G440" s="183">
        <f>IFERROR(__xludf.DUMMYFUNCTION("IFERROR(lookup(9999999999,FILTER('Operações-BR'!$M:$M,'Operações-BR'!$C:$C=A440,'Operações-BR'!$A:$A&lt;=C440)),0)"),0.0)</f>
        <v>0</v>
      </c>
      <c r="H440" s="184">
        <f t="shared" si="2"/>
        <v>0</v>
      </c>
      <c r="I440" s="184">
        <f>IFERROR(__xludf.DUMMYFUNCTION("IFERROR(lookup(9999999999,FILTER('Operações-BR'!Q:Q,'Operações-BR'!$C:$C=A440,'Operações-BR'!$A:$A&lt;=C440))/G440,0)"),0.0)</f>
        <v>0</v>
      </c>
      <c r="J440" s="185" t="str">
        <f>IFERROR(VLOOKUP(A440,Ativos!$A$1:$G2000,5,),"")</f>
        <v/>
      </c>
      <c r="K440" s="185" t="str">
        <f>IFERROR(VLOOKUP(A440,Ativos!A:H,8,),"")</f>
        <v/>
      </c>
      <c r="L440" s="186">
        <f t="shared" si="3"/>
        <v>0</v>
      </c>
    </row>
    <row r="441" ht="21.0" customHeight="1">
      <c r="A441" s="187"/>
      <c r="B441" s="187"/>
      <c r="C441" s="188"/>
      <c r="D441" s="135"/>
      <c r="E441" s="189"/>
      <c r="F441" s="182" t="str">
        <f t="shared" si="1"/>
        <v/>
      </c>
      <c r="G441" s="183">
        <f>IFERROR(__xludf.DUMMYFUNCTION("IFERROR(lookup(9999999999,FILTER('Operações-BR'!$M:$M,'Operações-BR'!$C:$C=A441,'Operações-BR'!$A:$A&lt;=C441)),0)"),0.0)</f>
        <v>0</v>
      </c>
      <c r="H441" s="184">
        <f t="shared" si="2"/>
        <v>0</v>
      </c>
      <c r="I441" s="184">
        <f>IFERROR(__xludf.DUMMYFUNCTION("IFERROR(lookup(9999999999,FILTER('Operações-BR'!Q:Q,'Operações-BR'!$C:$C=A441,'Operações-BR'!$A:$A&lt;=C441))/G441,0)"),0.0)</f>
        <v>0</v>
      </c>
      <c r="J441" s="185" t="str">
        <f>IFERROR(VLOOKUP(A441,Ativos!$A$1:$G2000,5,),"")</f>
        <v/>
      </c>
      <c r="K441" s="185" t="str">
        <f>IFERROR(VLOOKUP(A441,Ativos!A:H,8,),"")</f>
        <v/>
      </c>
      <c r="L441" s="186">
        <f t="shared" si="3"/>
        <v>0</v>
      </c>
    </row>
    <row r="442" ht="21.0" customHeight="1">
      <c r="A442" s="187"/>
      <c r="B442" s="187"/>
      <c r="C442" s="188"/>
      <c r="D442" s="135"/>
      <c r="E442" s="189"/>
      <c r="F442" s="182" t="str">
        <f t="shared" si="1"/>
        <v/>
      </c>
      <c r="G442" s="183">
        <f>IFERROR(__xludf.DUMMYFUNCTION("IFERROR(lookup(9999999999,FILTER('Operações-BR'!$M:$M,'Operações-BR'!$C:$C=A442,'Operações-BR'!$A:$A&lt;=C442)),0)"),0.0)</f>
        <v>0</v>
      </c>
      <c r="H442" s="184">
        <f t="shared" si="2"/>
        <v>0</v>
      </c>
      <c r="I442" s="184">
        <f>IFERROR(__xludf.DUMMYFUNCTION("IFERROR(lookup(9999999999,FILTER('Operações-BR'!Q:Q,'Operações-BR'!$C:$C=A442,'Operações-BR'!$A:$A&lt;=C442))/G442,0)"),0.0)</f>
        <v>0</v>
      </c>
      <c r="J442" s="185" t="str">
        <f>IFERROR(VLOOKUP(A442,Ativos!$A$1:$G2000,5,),"")</f>
        <v/>
      </c>
      <c r="K442" s="185" t="str">
        <f>IFERROR(VLOOKUP(A442,Ativos!A:H,8,),"")</f>
        <v/>
      </c>
      <c r="L442" s="186">
        <f t="shared" si="3"/>
        <v>0</v>
      </c>
    </row>
    <row r="443" ht="21.0" customHeight="1">
      <c r="A443" s="187"/>
      <c r="B443" s="187"/>
      <c r="C443" s="188"/>
      <c r="D443" s="135"/>
      <c r="E443" s="189"/>
      <c r="F443" s="182" t="str">
        <f t="shared" si="1"/>
        <v/>
      </c>
      <c r="G443" s="183">
        <f>IFERROR(__xludf.DUMMYFUNCTION("IFERROR(lookup(9999999999,FILTER('Operações-BR'!$M:$M,'Operações-BR'!$C:$C=A443,'Operações-BR'!$A:$A&lt;=C443)),0)"),0.0)</f>
        <v>0</v>
      </c>
      <c r="H443" s="184">
        <f t="shared" si="2"/>
        <v>0</v>
      </c>
      <c r="I443" s="184">
        <f>IFERROR(__xludf.DUMMYFUNCTION("IFERROR(lookup(9999999999,FILTER('Operações-BR'!Q:Q,'Operações-BR'!$C:$C=A443,'Operações-BR'!$A:$A&lt;=C443))/G443,0)"),0.0)</f>
        <v>0</v>
      </c>
      <c r="J443" s="185" t="str">
        <f>IFERROR(VLOOKUP(A443,Ativos!$A$1:$G2000,5,),"")</f>
        <v/>
      </c>
      <c r="K443" s="185" t="str">
        <f>IFERROR(VLOOKUP(A443,Ativos!A:H,8,),"")</f>
        <v/>
      </c>
      <c r="L443" s="186">
        <f t="shared" si="3"/>
        <v>0</v>
      </c>
    </row>
    <row r="444" ht="21.0" customHeight="1">
      <c r="A444" s="187"/>
      <c r="B444" s="187"/>
      <c r="C444" s="188"/>
      <c r="D444" s="135"/>
      <c r="E444" s="189"/>
      <c r="F444" s="182" t="str">
        <f t="shared" si="1"/>
        <v/>
      </c>
      <c r="G444" s="183">
        <f>IFERROR(__xludf.DUMMYFUNCTION("IFERROR(lookup(9999999999,FILTER('Operações-BR'!$M:$M,'Operações-BR'!$C:$C=A444,'Operações-BR'!$A:$A&lt;=C444)),0)"),0.0)</f>
        <v>0</v>
      </c>
      <c r="H444" s="184">
        <f t="shared" si="2"/>
        <v>0</v>
      </c>
      <c r="I444" s="184">
        <f>IFERROR(__xludf.DUMMYFUNCTION("IFERROR(lookup(9999999999,FILTER('Operações-BR'!Q:Q,'Operações-BR'!$C:$C=A444,'Operações-BR'!$A:$A&lt;=C444))/G444,0)"),0.0)</f>
        <v>0</v>
      </c>
      <c r="J444" s="185" t="str">
        <f>IFERROR(VLOOKUP(A444,Ativos!$A$1:$G2000,5,),"")</f>
        <v/>
      </c>
      <c r="K444" s="185" t="str">
        <f>IFERROR(VLOOKUP(A444,Ativos!A:H,8,),"")</f>
        <v/>
      </c>
      <c r="L444" s="186">
        <f t="shared" si="3"/>
        <v>0</v>
      </c>
    </row>
    <row r="445" ht="21.0" customHeight="1">
      <c r="A445" s="187"/>
      <c r="B445" s="187"/>
      <c r="C445" s="188"/>
      <c r="D445" s="135"/>
      <c r="E445" s="189"/>
      <c r="F445" s="182" t="str">
        <f t="shared" si="1"/>
        <v/>
      </c>
      <c r="G445" s="183">
        <f>IFERROR(__xludf.DUMMYFUNCTION("IFERROR(lookup(9999999999,FILTER('Operações-BR'!$M:$M,'Operações-BR'!$C:$C=A445,'Operações-BR'!$A:$A&lt;=C445)),0)"),0.0)</f>
        <v>0</v>
      </c>
      <c r="H445" s="184">
        <f t="shared" si="2"/>
        <v>0</v>
      </c>
      <c r="I445" s="184">
        <f>IFERROR(__xludf.DUMMYFUNCTION("IFERROR(lookup(9999999999,FILTER('Operações-BR'!Q:Q,'Operações-BR'!$C:$C=A445,'Operações-BR'!$A:$A&lt;=C445))/G445,0)"),0.0)</f>
        <v>0</v>
      </c>
      <c r="J445" s="185" t="str">
        <f>IFERROR(VLOOKUP(A445,Ativos!$A$1:$G2000,5,),"")</f>
        <v/>
      </c>
      <c r="K445" s="185" t="str">
        <f>IFERROR(VLOOKUP(A445,Ativos!A:H,8,),"")</f>
        <v/>
      </c>
      <c r="L445" s="186">
        <f t="shared" si="3"/>
        <v>0</v>
      </c>
    </row>
    <row r="446" ht="21.0" customHeight="1">
      <c r="A446" s="187"/>
      <c r="B446" s="187"/>
      <c r="C446" s="188"/>
      <c r="D446" s="135"/>
      <c r="E446" s="189"/>
      <c r="F446" s="182" t="str">
        <f t="shared" si="1"/>
        <v/>
      </c>
      <c r="G446" s="183">
        <f>IFERROR(__xludf.DUMMYFUNCTION("IFERROR(lookup(9999999999,FILTER('Operações-BR'!$M:$M,'Operações-BR'!$C:$C=A446,'Operações-BR'!$A:$A&lt;=C446)),0)"),0.0)</f>
        <v>0</v>
      </c>
      <c r="H446" s="184">
        <f t="shared" si="2"/>
        <v>0</v>
      </c>
      <c r="I446" s="184">
        <f>IFERROR(__xludf.DUMMYFUNCTION("IFERROR(lookup(9999999999,FILTER('Operações-BR'!Q:Q,'Operações-BR'!$C:$C=A446,'Operações-BR'!$A:$A&lt;=C446))/G446,0)"),0.0)</f>
        <v>0</v>
      </c>
      <c r="J446" s="185" t="str">
        <f>IFERROR(VLOOKUP(A446,Ativos!$A$1:$G2000,5,),"")</f>
        <v/>
      </c>
      <c r="K446" s="185" t="str">
        <f>IFERROR(VLOOKUP(A446,Ativos!A:H,8,),"")</f>
        <v/>
      </c>
      <c r="L446" s="186">
        <f t="shared" si="3"/>
        <v>0</v>
      </c>
    </row>
    <row r="447" ht="21.0" customHeight="1">
      <c r="A447" s="187"/>
      <c r="B447" s="187"/>
      <c r="C447" s="188"/>
      <c r="D447" s="135"/>
      <c r="E447" s="189"/>
      <c r="F447" s="182" t="str">
        <f t="shared" si="1"/>
        <v/>
      </c>
      <c r="G447" s="183">
        <f>IFERROR(__xludf.DUMMYFUNCTION("IFERROR(lookup(9999999999,FILTER('Operações-BR'!$M:$M,'Operações-BR'!$C:$C=A447,'Operações-BR'!$A:$A&lt;=C447)),0)"),0.0)</f>
        <v>0</v>
      </c>
      <c r="H447" s="184">
        <f t="shared" si="2"/>
        <v>0</v>
      </c>
      <c r="I447" s="184">
        <f>IFERROR(__xludf.DUMMYFUNCTION("IFERROR(lookup(9999999999,FILTER('Operações-BR'!Q:Q,'Operações-BR'!$C:$C=A447,'Operações-BR'!$A:$A&lt;=C447))/G447,0)"),0.0)</f>
        <v>0</v>
      </c>
      <c r="J447" s="185" t="str">
        <f>IFERROR(VLOOKUP(A447,Ativos!$A$1:$G2000,5,),"")</f>
        <v/>
      </c>
      <c r="K447" s="185" t="str">
        <f>IFERROR(VLOOKUP(A447,Ativos!A:H,8,),"")</f>
        <v/>
      </c>
      <c r="L447" s="186">
        <f t="shared" si="3"/>
        <v>0</v>
      </c>
    </row>
    <row r="448" ht="21.0" customHeight="1">
      <c r="A448" s="187"/>
      <c r="B448" s="187"/>
      <c r="C448" s="188"/>
      <c r="D448" s="135"/>
      <c r="E448" s="189"/>
      <c r="F448" s="182" t="str">
        <f t="shared" si="1"/>
        <v/>
      </c>
      <c r="G448" s="183">
        <f>IFERROR(__xludf.DUMMYFUNCTION("IFERROR(lookup(9999999999,FILTER('Operações-BR'!$M:$M,'Operações-BR'!$C:$C=A448,'Operações-BR'!$A:$A&lt;=C448)),0)"),0.0)</f>
        <v>0</v>
      </c>
      <c r="H448" s="184">
        <f t="shared" si="2"/>
        <v>0</v>
      </c>
      <c r="I448" s="184">
        <f>IFERROR(__xludf.DUMMYFUNCTION("IFERROR(lookup(9999999999,FILTER('Operações-BR'!Q:Q,'Operações-BR'!$C:$C=A448,'Operações-BR'!$A:$A&lt;=C448))/G448,0)"),0.0)</f>
        <v>0</v>
      </c>
      <c r="J448" s="185" t="str">
        <f>IFERROR(VLOOKUP(A448,Ativos!$A$1:$G2000,5,),"")</f>
        <v/>
      </c>
      <c r="K448" s="185" t="str">
        <f>IFERROR(VLOOKUP(A448,Ativos!A:H,8,),"")</f>
        <v/>
      </c>
      <c r="L448" s="186">
        <f t="shared" si="3"/>
        <v>0</v>
      </c>
    </row>
    <row r="449" ht="21.0" customHeight="1">
      <c r="A449" s="187"/>
      <c r="B449" s="187"/>
      <c r="C449" s="188"/>
      <c r="D449" s="135"/>
      <c r="E449" s="189"/>
      <c r="F449" s="182" t="str">
        <f t="shared" si="1"/>
        <v/>
      </c>
      <c r="G449" s="183">
        <f>IFERROR(__xludf.DUMMYFUNCTION("IFERROR(lookup(9999999999,FILTER('Operações-BR'!$M:$M,'Operações-BR'!$C:$C=A449,'Operações-BR'!$A:$A&lt;=C449)),0)"),0.0)</f>
        <v>0</v>
      </c>
      <c r="H449" s="184">
        <f t="shared" si="2"/>
        <v>0</v>
      </c>
      <c r="I449" s="184">
        <f>IFERROR(__xludf.DUMMYFUNCTION("IFERROR(lookup(9999999999,FILTER('Operações-BR'!Q:Q,'Operações-BR'!$C:$C=A449,'Operações-BR'!$A:$A&lt;=C449))/G449,0)"),0.0)</f>
        <v>0</v>
      </c>
      <c r="J449" s="185" t="str">
        <f>IFERROR(VLOOKUP(A449,Ativos!$A$1:$G2000,5,),"")</f>
        <v/>
      </c>
      <c r="K449" s="185" t="str">
        <f>IFERROR(VLOOKUP(A449,Ativos!A:H,8,),"")</f>
        <v/>
      </c>
      <c r="L449" s="186">
        <f t="shared" si="3"/>
        <v>0</v>
      </c>
    </row>
    <row r="450" ht="21.0" customHeight="1">
      <c r="A450" s="187"/>
      <c r="B450" s="187"/>
      <c r="C450" s="188"/>
      <c r="D450" s="135"/>
      <c r="E450" s="189"/>
      <c r="F450" s="182" t="str">
        <f t="shared" si="1"/>
        <v/>
      </c>
      <c r="G450" s="183">
        <f>IFERROR(__xludf.DUMMYFUNCTION("IFERROR(lookup(9999999999,FILTER('Operações-BR'!$M:$M,'Operações-BR'!$C:$C=A450,'Operações-BR'!$A:$A&lt;=C450)),0)"),0.0)</f>
        <v>0</v>
      </c>
      <c r="H450" s="184">
        <f t="shared" si="2"/>
        <v>0</v>
      </c>
      <c r="I450" s="184">
        <f>IFERROR(__xludf.DUMMYFUNCTION("IFERROR(lookup(9999999999,FILTER('Operações-BR'!Q:Q,'Operações-BR'!$C:$C=A450,'Operações-BR'!$A:$A&lt;=C450))/G450,0)"),0.0)</f>
        <v>0</v>
      </c>
      <c r="J450" s="185" t="str">
        <f>IFERROR(VLOOKUP(A450,Ativos!$A$1:$G2000,5,),"")</f>
        <v/>
      </c>
      <c r="K450" s="185" t="str">
        <f>IFERROR(VLOOKUP(A450,Ativos!A:H,8,),"")</f>
        <v/>
      </c>
      <c r="L450" s="186">
        <f t="shared" si="3"/>
        <v>0</v>
      </c>
    </row>
    <row r="451" ht="21.0" customHeight="1">
      <c r="A451" s="187"/>
      <c r="B451" s="187"/>
      <c r="C451" s="188"/>
      <c r="D451" s="135"/>
      <c r="E451" s="189"/>
      <c r="F451" s="182" t="str">
        <f t="shared" si="1"/>
        <v/>
      </c>
      <c r="G451" s="183">
        <f>IFERROR(__xludf.DUMMYFUNCTION("IFERROR(lookup(9999999999,FILTER('Operações-BR'!$M:$M,'Operações-BR'!$C:$C=A451,'Operações-BR'!$A:$A&lt;=C451)),0)"),0.0)</f>
        <v>0</v>
      </c>
      <c r="H451" s="184">
        <f t="shared" si="2"/>
        <v>0</v>
      </c>
      <c r="I451" s="184">
        <f>IFERROR(__xludf.DUMMYFUNCTION("IFERROR(lookup(9999999999,FILTER('Operações-BR'!Q:Q,'Operações-BR'!$C:$C=A451,'Operações-BR'!$A:$A&lt;=C451))/G451,0)"),0.0)</f>
        <v>0</v>
      </c>
      <c r="J451" s="185" t="str">
        <f>IFERROR(VLOOKUP(A451,Ativos!$A$1:$G2000,5,),"")</f>
        <v/>
      </c>
      <c r="K451" s="185" t="str">
        <f>IFERROR(VLOOKUP(A451,Ativos!A:H,8,),"")</f>
        <v/>
      </c>
      <c r="L451" s="186">
        <f t="shared" si="3"/>
        <v>0</v>
      </c>
    </row>
    <row r="452" ht="21.0" customHeight="1">
      <c r="A452" s="187"/>
      <c r="B452" s="187"/>
      <c r="C452" s="188"/>
      <c r="D452" s="135"/>
      <c r="E452" s="189"/>
      <c r="F452" s="182" t="str">
        <f t="shared" si="1"/>
        <v/>
      </c>
      <c r="G452" s="183">
        <f>IFERROR(__xludf.DUMMYFUNCTION("IFERROR(lookup(9999999999,FILTER('Operações-BR'!$M:$M,'Operações-BR'!$C:$C=A452,'Operações-BR'!$A:$A&lt;=C452)),0)"),0.0)</f>
        <v>0</v>
      </c>
      <c r="H452" s="184">
        <f t="shared" si="2"/>
        <v>0</v>
      </c>
      <c r="I452" s="184">
        <f>IFERROR(__xludf.DUMMYFUNCTION("IFERROR(lookup(9999999999,FILTER('Operações-BR'!Q:Q,'Operações-BR'!$C:$C=A452,'Operações-BR'!$A:$A&lt;=C452))/G452,0)"),0.0)</f>
        <v>0</v>
      </c>
      <c r="J452" s="185" t="str">
        <f>IFERROR(VLOOKUP(A452,Ativos!$A$1:$G2000,5,),"")</f>
        <v/>
      </c>
      <c r="K452" s="185" t="str">
        <f>IFERROR(VLOOKUP(A452,Ativos!A:H,8,),"")</f>
        <v/>
      </c>
      <c r="L452" s="186">
        <f t="shared" si="3"/>
        <v>0</v>
      </c>
    </row>
    <row r="453" ht="21.0" customHeight="1">
      <c r="A453" s="187"/>
      <c r="B453" s="187"/>
      <c r="C453" s="188"/>
      <c r="D453" s="135"/>
      <c r="E453" s="189"/>
      <c r="F453" s="182" t="str">
        <f t="shared" si="1"/>
        <v/>
      </c>
      <c r="G453" s="183">
        <f>IFERROR(__xludf.DUMMYFUNCTION("IFERROR(lookup(9999999999,FILTER('Operações-BR'!$M:$M,'Operações-BR'!$C:$C=A453,'Operações-BR'!$A:$A&lt;=C453)),0)"),0.0)</f>
        <v>0</v>
      </c>
      <c r="H453" s="184">
        <f t="shared" si="2"/>
        <v>0</v>
      </c>
      <c r="I453" s="184">
        <f>IFERROR(__xludf.DUMMYFUNCTION("IFERROR(lookup(9999999999,FILTER('Operações-BR'!Q:Q,'Operações-BR'!$C:$C=A453,'Operações-BR'!$A:$A&lt;=C453))/G453,0)"),0.0)</f>
        <v>0</v>
      </c>
      <c r="J453" s="185" t="str">
        <f>IFERROR(VLOOKUP(A453,Ativos!$A$1:$G2000,5,),"")</f>
        <v/>
      </c>
      <c r="K453" s="185" t="str">
        <f>IFERROR(VLOOKUP(A453,Ativos!A:H,8,),"")</f>
        <v/>
      </c>
      <c r="L453" s="186">
        <f t="shared" si="3"/>
        <v>0</v>
      </c>
    </row>
    <row r="454" ht="21.0" customHeight="1">
      <c r="A454" s="187"/>
      <c r="B454" s="187"/>
      <c r="C454" s="188"/>
      <c r="D454" s="135"/>
      <c r="E454" s="189"/>
      <c r="F454" s="182" t="str">
        <f t="shared" si="1"/>
        <v/>
      </c>
      <c r="G454" s="183">
        <f>IFERROR(__xludf.DUMMYFUNCTION("IFERROR(lookup(9999999999,FILTER('Operações-BR'!$M:$M,'Operações-BR'!$C:$C=A454,'Operações-BR'!$A:$A&lt;=C454)),0)"),0.0)</f>
        <v>0</v>
      </c>
      <c r="H454" s="184">
        <f t="shared" si="2"/>
        <v>0</v>
      </c>
      <c r="I454" s="184">
        <f>IFERROR(__xludf.DUMMYFUNCTION("IFERROR(lookup(9999999999,FILTER('Operações-BR'!Q:Q,'Operações-BR'!$C:$C=A454,'Operações-BR'!$A:$A&lt;=C454))/G454,0)"),0.0)</f>
        <v>0</v>
      </c>
      <c r="J454" s="185" t="str">
        <f>IFERROR(VLOOKUP(A454,Ativos!$A$1:$G2000,5,),"")</f>
        <v/>
      </c>
      <c r="K454" s="185" t="str">
        <f>IFERROR(VLOOKUP(A454,Ativos!A:H,8,),"")</f>
        <v/>
      </c>
      <c r="L454" s="186">
        <f t="shared" si="3"/>
        <v>0</v>
      </c>
    </row>
    <row r="455" ht="21.0" customHeight="1">
      <c r="A455" s="187"/>
      <c r="B455" s="187"/>
      <c r="C455" s="188"/>
      <c r="D455" s="135"/>
      <c r="E455" s="189"/>
      <c r="F455" s="182" t="str">
        <f t="shared" si="1"/>
        <v/>
      </c>
      <c r="G455" s="183">
        <f>IFERROR(__xludf.DUMMYFUNCTION("IFERROR(lookup(9999999999,FILTER('Operações-BR'!$M:$M,'Operações-BR'!$C:$C=A455,'Operações-BR'!$A:$A&lt;=C455)),0)"),0.0)</f>
        <v>0</v>
      </c>
      <c r="H455" s="184">
        <f t="shared" si="2"/>
        <v>0</v>
      </c>
      <c r="I455" s="184">
        <f>IFERROR(__xludf.DUMMYFUNCTION("IFERROR(lookup(9999999999,FILTER('Operações-BR'!Q:Q,'Operações-BR'!$C:$C=A455,'Operações-BR'!$A:$A&lt;=C455))/G455,0)"),0.0)</f>
        <v>0</v>
      </c>
      <c r="J455" s="185" t="str">
        <f>IFERROR(VLOOKUP(A455,Ativos!$A$1:$G2000,5,),"")</f>
        <v/>
      </c>
      <c r="K455" s="185" t="str">
        <f>IFERROR(VLOOKUP(A455,Ativos!A:H,8,),"")</f>
        <v/>
      </c>
      <c r="L455" s="186">
        <f t="shared" si="3"/>
        <v>0</v>
      </c>
    </row>
    <row r="456" ht="21.0" customHeight="1">
      <c r="A456" s="187"/>
      <c r="B456" s="187"/>
      <c r="C456" s="188"/>
      <c r="D456" s="135"/>
      <c r="E456" s="189"/>
      <c r="F456" s="182" t="str">
        <f t="shared" si="1"/>
        <v/>
      </c>
      <c r="G456" s="183">
        <f>IFERROR(__xludf.DUMMYFUNCTION("IFERROR(lookup(9999999999,FILTER('Operações-BR'!$M:$M,'Operações-BR'!$C:$C=A456,'Operações-BR'!$A:$A&lt;=C456)),0)"),0.0)</f>
        <v>0</v>
      </c>
      <c r="H456" s="184">
        <f t="shared" si="2"/>
        <v>0</v>
      </c>
      <c r="I456" s="184">
        <f>IFERROR(__xludf.DUMMYFUNCTION("IFERROR(lookup(9999999999,FILTER('Operações-BR'!Q:Q,'Operações-BR'!$C:$C=A456,'Operações-BR'!$A:$A&lt;=C456))/G456,0)"),0.0)</f>
        <v>0</v>
      </c>
      <c r="J456" s="185" t="str">
        <f>IFERROR(VLOOKUP(A456,Ativos!$A$1:$G2000,5,),"")</f>
        <v/>
      </c>
      <c r="K456" s="185" t="str">
        <f>IFERROR(VLOOKUP(A456,Ativos!A:H,8,),"")</f>
        <v/>
      </c>
      <c r="L456" s="186">
        <f t="shared" si="3"/>
        <v>0</v>
      </c>
    </row>
    <row r="457" ht="21.0" customHeight="1">
      <c r="A457" s="187"/>
      <c r="B457" s="187"/>
      <c r="C457" s="188"/>
      <c r="D457" s="135"/>
      <c r="E457" s="189"/>
      <c r="F457" s="182" t="str">
        <f t="shared" si="1"/>
        <v/>
      </c>
      <c r="G457" s="183">
        <f>IFERROR(__xludf.DUMMYFUNCTION("IFERROR(lookup(9999999999,FILTER('Operações-BR'!$M:$M,'Operações-BR'!$C:$C=A457,'Operações-BR'!$A:$A&lt;=C457)),0)"),0.0)</f>
        <v>0</v>
      </c>
      <c r="H457" s="184">
        <f t="shared" si="2"/>
        <v>0</v>
      </c>
      <c r="I457" s="184">
        <f>IFERROR(__xludf.DUMMYFUNCTION("IFERROR(lookup(9999999999,FILTER('Operações-BR'!Q:Q,'Operações-BR'!$C:$C=A457,'Operações-BR'!$A:$A&lt;=C457))/G457,0)"),0.0)</f>
        <v>0</v>
      </c>
      <c r="J457" s="185" t="str">
        <f>IFERROR(VLOOKUP(A457,Ativos!$A$1:$G2000,5,),"")</f>
        <v/>
      </c>
      <c r="K457" s="185" t="str">
        <f>IFERROR(VLOOKUP(A457,Ativos!A:H,8,),"")</f>
        <v/>
      </c>
      <c r="L457" s="186">
        <f t="shared" si="3"/>
        <v>0</v>
      </c>
    </row>
    <row r="458" ht="21.0" customHeight="1">
      <c r="A458" s="187"/>
      <c r="B458" s="187"/>
      <c r="C458" s="188"/>
      <c r="D458" s="135"/>
      <c r="E458" s="189"/>
      <c r="F458" s="182" t="str">
        <f t="shared" si="1"/>
        <v/>
      </c>
      <c r="G458" s="183">
        <f>IFERROR(__xludf.DUMMYFUNCTION("IFERROR(lookup(9999999999,FILTER('Operações-BR'!$M:$M,'Operações-BR'!$C:$C=A458,'Operações-BR'!$A:$A&lt;=C458)),0)"),0.0)</f>
        <v>0</v>
      </c>
      <c r="H458" s="184">
        <f t="shared" si="2"/>
        <v>0</v>
      </c>
      <c r="I458" s="184">
        <f>IFERROR(__xludf.DUMMYFUNCTION("IFERROR(lookup(9999999999,FILTER('Operações-BR'!Q:Q,'Operações-BR'!$C:$C=A458,'Operações-BR'!$A:$A&lt;=C458))/G458,0)"),0.0)</f>
        <v>0</v>
      </c>
      <c r="J458" s="185" t="str">
        <f>IFERROR(VLOOKUP(A458,Ativos!$A$1:$G2000,5,),"")</f>
        <v/>
      </c>
      <c r="K458" s="185" t="str">
        <f>IFERROR(VLOOKUP(A458,Ativos!A:H,8,),"")</f>
        <v/>
      </c>
      <c r="L458" s="186">
        <f t="shared" si="3"/>
        <v>0</v>
      </c>
    </row>
    <row r="459" ht="21.0" customHeight="1">
      <c r="A459" s="187"/>
      <c r="B459" s="187"/>
      <c r="C459" s="188"/>
      <c r="D459" s="135"/>
      <c r="E459" s="189"/>
      <c r="F459" s="182" t="str">
        <f t="shared" si="1"/>
        <v/>
      </c>
      <c r="G459" s="183">
        <f>IFERROR(__xludf.DUMMYFUNCTION("IFERROR(lookup(9999999999,FILTER('Operações-BR'!$M:$M,'Operações-BR'!$C:$C=A459,'Operações-BR'!$A:$A&lt;=C459)),0)"),0.0)</f>
        <v>0</v>
      </c>
      <c r="H459" s="184">
        <f t="shared" si="2"/>
        <v>0</v>
      </c>
      <c r="I459" s="184">
        <f>IFERROR(__xludf.DUMMYFUNCTION("IFERROR(lookup(9999999999,FILTER('Operações-BR'!Q:Q,'Operações-BR'!$C:$C=A459,'Operações-BR'!$A:$A&lt;=C459))/G459,0)"),0.0)</f>
        <v>0</v>
      </c>
      <c r="J459" s="185" t="str">
        <f>IFERROR(VLOOKUP(A459,Ativos!$A$1:$G2000,5,),"")</f>
        <v/>
      </c>
      <c r="K459" s="185" t="str">
        <f>IFERROR(VLOOKUP(A459,Ativos!A:H,8,),"")</f>
        <v/>
      </c>
      <c r="L459" s="186">
        <f t="shared" si="3"/>
        <v>0</v>
      </c>
    </row>
    <row r="460" ht="21.0" customHeight="1">
      <c r="A460" s="187"/>
      <c r="B460" s="187"/>
      <c r="C460" s="188"/>
      <c r="D460" s="135"/>
      <c r="E460" s="189"/>
      <c r="F460" s="182" t="str">
        <f t="shared" si="1"/>
        <v/>
      </c>
      <c r="G460" s="183">
        <f>IFERROR(__xludf.DUMMYFUNCTION("IFERROR(lookup(9999999999,FILTER('Operações-BR'!$M:$M,'Operações-BR'!$C:$C=A460,'Operações-BR'!$A:$A&lt;=C460)),0)"),0.0)</f>
        <v>0</v>
      </c>
      <c r="H460" s="184">
        <f t="shared" si="2"/>
        <v>0</v>
      </c>
      <c r="I460" s="184">
        <f>IFERROR(__xludf.DUMMYFUNCTION("IFERROR(lookup(9999999999,FILTER('Operações-BR'!Q:Q,'Operações-BR'!$C:$C=A460,'Operações-BR'!$A:$A&lt;=C460))/G460,0)"),0.0)</f>
        <v>0</v>
      </c>
      <c r="J460" s="185" t="str">
        <f>IFERROR(VLOOKUP(A460,Ativos!$A$1:$G2000,5,),"")</f>
        <v/>
      </c>
      <c r="K460" s="185" t="str">
        <f>IFERROR(VLOOKUP(A460,Ativos!A:H,8,),"")</f>
        <v/>
      </c>
      <c r="L460" s="186">
        <f t="shared" si="3"/>
        <v>0</v>
      </c>
    </row>
    <row r="461" ht="21.0" customHeight="1">
      <c r="A461" s="187"/>
      <c r="B461" s="187"/>
      <c r="C461" s="188"/>
      <c r="D461" s="135"/>
      <c r="E461" s="189"/>
      <c r="F461" s="182" t="str">
        <f t="shared" si="1"/>
        <v/>
      </c>
      <c r="G461" s="183">
        <f>IFERROR(__xludf.DUMMYFUNCTION("IFERROR(lookup(9999999999,FILTER('Operações-BR'!$M:$M,'Operações-BR'!$C:$C=A461,'Operações-BR'!$A:$A&lt;=C461)),0)"),0.0)</f>
        <v>0</v>
      </c>
      <c r="H461" s="184">
        <f t="shared" si="2"/>
        <v>0</v>
      </c>
      <c r="I461" s="184">
        <f>IFERROR(__xludf.DUMMYFUNCTION("IFERROR(lookup(9999999999,FILTER('Operações-BR'!Q:Q,'Operações-BR'!$C:$C=A461,'Operações-BR'!$A:$A&lt;=C461))/G461,0)"),0.0)</f>
        <v>0</v>
      </c>
      <c r="J461" s="185" t="str">
        <f>IFERROR(VLOOKUP(A461,Ativos!$A$1:$G2000,5,),"")</f>
        <v/>
      </c>
      <c r="K461" s="185" t="str">
        <f>IFERROR(VLOOKUP(A461,Ativos!A:H,8,),"")</f>
        <v/>
      </c>
      <c r="L461" s="186">
        <f t="shared" si="3"/>
        <v>0</v>
      </c>
    </row>
    <row r="462" ht="21.0" customHeight="1">
      <c r="A462" s="187"/>
      <c r="B462" s="187"/>
      <c r="C462" s="188"/>
      <c r="D462" s="135"/>
      <c r="E462" s="189"/>
      <c r="F462" s="182" t="str">
        <f t="shared" si="1"/>
        <v/>
      </c>
      <c r="G462" s="183">
        <f>IFERROR(__xludf.DUMMYFUNCTION("IFERROR(lookup(9999999999,FILTER('Operações-BR'!$M:$M,'Operações-BR'!$C:$C=A462,'Operações-BR'!$A:$A&lt;=C462)),0)"),0.0)</f>
        <v>0</v>
      </c>
      <c r="H462" s="184">
        <f t="shared" si="2"/>
        <v>0</v>
      </c>
      <c r="I462" s="184">
        <f>IFERROR(__xludf.DUMMYFUNCTION("IFERROR(lookup(9999999999,FILTER('Operações-BR'!Q:Q,'Operações-BR'!$C:$C=A462,'Operações-BR'!$A:$A&lt;=C462))/G462,0)"),0.0)</f>
        <v>0</v>
      </c>
      <c r="J462" s="185" t="str">
        <f>IFERROR(VLOOKUP(A462,Ativos!$A$1:$G2000,5,),"")</f>
        <v/>
      </c>
      <c r="K462" s="185" t="str">
        <f>IFERROR(VLOOKUP(A462,Ativos!A:H,8,),"")</f>
        <v/>
      </c>
      <c r="L462" s="186">
        <f t="shared" si="3"/>
        <v>0</v>
      </c>
    </row>
    <row r="463" ht="21.0" customHeight="1">
      <c r="A463" s="187"/>
      <c r="B463" s="187"/>
      <c r="C463" s="188"/>
      <c r="D463" s="135"/>
      <c r="E463" s="189"/>
      <c r="F463" s="182" t="str">
        <f t="shared" si="1"/>
        <v/>
      </c>
      <c r="G463" s="183">
        <f>IFERROR(__xludf.DUMMYFUNCTION("IFERROR(lookup(9999999999,FILTER('Operações-BR'!$M:$M,'Operações-BR'!$C:$C=A463,'Operações-BR'!$A:$A&lt;=C463)),0)"),0.0)</f>
        <v>0</v>
      </c>
      <c r="H463" s="184">
        <f t="shared" si="2"/>
        <v>0</v>
      </c>
      <c r="I463" s="184">
        <f>IFERROR(__xludf.DUMMYFUNCTION("IFERROR(lookup(9999999999,FILTER('Operações-BR'!Q:Q,'Operações-BR'!$C:$C=A463,'Operações-BR'!$A:$A&lt;=C463))/G463,0)"),0.0)</f>
        <v>0</v>
      </c>
      <c r="J463" s="185" t="str">
        <f>IFERROR(VLOOKUP(A463,Ativos!$A$1:$G2000,5,),"")</f>
        <v/>
      </c>
      <c r="K463" s="185" t="str">
        <f>IFERROR(VLOOKUP(A463,Ativos!A:H,8,),"")</f>
        <v/>
      </c>
      <c r="L463" s="186">
        <f t="shared" si="3"/>
        <v>0</v>
      </c>
    </row>
    <row r="464" ht="21.0" customHeight="1">
      <c r="A464" s="187"/>
      <c r="B464" s="187"/>
      <c r="C464" s="188"/>
      <c r="D464" s="135"/>
      <c r="E464" s="189"/>
      <c r="F464" s="182" t="str">
        <f t="shared" si="1"/>
        <v/>
      </c>
      <c r="G464" s="183">
        <f>IFERROR(__xludf.DUMMYFUNCTION("IFERROR(lookup(9999999999,FILTER('Operações-BR'!$M:$M,'Operações-BR'!$C:$C=A464,'Operações-BR'!$A:$A&lt;=C464)),0)"),0.0)</f>
        <v>0</v>
      </c>
      <c r="H464" s="184">
        <f t="shared" si="2"/>
        <v>0</v>
      </c>
      <c r="I464" s="184">
        <f>IFERROR(__xludf.DUMMYFUNCTION("IFERROR(lookup(9999999999,FILTER('Operações-BR'!Q:Q,'Operações-BR'!$C:$C=A464,'Operações-BR'!$A:$A&lt;=C464))/G464,0)"),0.0)</f>
        <v>0</v>
      </c>
      <c r="J464" s="185" t="str">
        <f>IFERROR(VLOOKUP(A464,Ativos!$A$1:$G2000,5,),"")</f>
        <v/>
      </c>
      <c r="K464" s="185" t="str">
        <f>IFERROR(VLOOKUP(A464,Ativos!A:H,8,),"")</f>
        <v/>
      </c>
      <c r="L464" s="186">
        <f t="shared" si="3"/>
        <v>0</v>
      </c>
    </row>
    <row r="465" ht="21.0" customHeight="1">
      <c r="A465" s="187"/>
      <c r="B465" s="187"/>
      <c r="C465" s="188"/>
      <c r="D465" s="135"/>
      <c r="E465" s="189"/>
      <c r="F465" s="182" t="str">
        <f t="shared" si="1"/>
        <v/>
      </c>
      <c r="G465" s="183">
        <f>IFERROR(__xludf.DUMMYFUNCTION("IFERROR(lookup(9999999999,FILTER('Operações-BR'!$M:$M,'Operações-BR'!$C:$C=A465,'Operações-BR'!$A:$A&lt;=C465)),0)"),0.0)</f>
        <v>0</v>
      </c>
      <c r="H465" s="184">
        <f t="shared" si="2"/>
        <v>0</v>
      </c>
      <c r="I465" s="184">
        <f>IFERROR(__xludf.DUMMYFUNCTION("IFERROR(lookup(9999999999,FILTER('Operações-BR'!Q:Q,'Operações-BR'!$C:$C=A465,'Operações-BR'!$A:$A&lt;=C465))/G465,0)"),0.0)</f>
        <v>0</v>
      </c>
      <c r="J465" s="185" t="str">
        <f>IFERROR(VLOOKUP(A465,Ativos!$A$1:$G2000,5,),"")</f>
        <v/>
      </c>
      <c r="K465" s="185" t="str">
        <f>IFERROR(VLOOKUP(A465,Ativos!A:H,8,),"")</f>
        <v/>
      </c>
      <c r="L465" s="186">
        <f t="shared" si="3"/>
        <v>0</v>
      </c>
    </row>
    <row r="466" ht="21.0" customHeight="1">
      <c r="A466" s="187"/>
      <c r="B466" s="187"/>
      <c r="C466" s="188"/>
      <c r="D466" s="135"/>
      <c r="E466" s="189"/>
      <c r="F466" s="182" t="str">
        <f t="shared" si="1"/>
        <v/>
      </c>
      <c r="G466" s="183">
        <f>IFERROR(__xludf.DUMMYFUNCTION("IFERROR(lookup(9999999999,FILTER('Operações-BR'!$M:$M,'Operações-BR'!$C:$C=A466,'Operações-BR'!$A:$A&lt;=C466)),0)"),0.0)</f>
        <v>0</v>
      </c>
      <c r="H466" s="184">
        <f t="shared" si="2"/>
        <v>0</v>
      </c>
      <c r="I466" s="184">
        <f>IFERROR(__xludf.DUMMYFUNCTION("IFERROR(lookup(9999999999,FILTER('Operações-BR'!Q:Q,'Operações-BR'!$C:$C=A466,'Operações-BR'!$A:$A&lt;=C466))/G466,0)"),0.0)</f>
        <v>0</v>
      </c>
      <c r="J466" s="185" t="str">
        <f>IFERROR(VLOOKUP(A466,Ativos!$A$1:$G2000,5,),"")</f>
        <v/>
      </c>
      <c r="K466" s="185" t="str">
        <f>IFERROR(VLOOKUP(A466,Ativos!A:H,8,),"")</f>
        <v/>
      </c>
      <c r="L466" s="186">
        <f t="shared" si="3"/>
        <v>0</v>
      </c>
    </row>
    <row r="467" ht="21.0" customHeight="1">
      <c r="A467" s="187"/>
      <c r="B467" s="187"/>
      <c r="C467" s="188"/>
      <c r="D467" s="135"/>
      <c r="E467" s="189"/>
      <c r="F467" s="182" t="str">
        <f t="shared" si="1"/>
        <v/>
      </c>
      <c r="G467" s="183">
        <f>IFERROR(__xludf.DUMMYFUNCTION("IFERROR(lookup(9999999999,FILTER('Operações-BR'!$M:$M,'Operações-BR'!$C:$C=A467,'Operações-BR'!$A:$A&lt;=C467)),0)"),0.0)</f>
        <v>0</v>
      </c>
      <c r="H467" s="184">
        <f t="shared" si="2"/>
        <v>0</v>
      </c>
      <c r="I467" s="184">
        <f>IFERROR(__xludf.DUMMYFUNCTION("IFERROR(lookup(9999999999,FILTER('Operações-BR'!Q:Q,'Operações-BR'!$C:$C=A467,'Operações-BR'!$A:$A&lt;=C467))/G467,0)"),0.0)</f>
        <v>0</v>
      </c>
      <c r="J467" s="185" t="str">
        <f>IFERROR(VLOOKUP(A467,Ativos!$A$1:$G2000,5,),"")</f>
        <v/>
      </c>
      <c r="K467" s="185" t="str">
        <f>IFERROR(VLOOKUP(A467,Ativos!A:H,8,),"")</f>
        <v/>
      </c>
      <c r="L467" s="186">
        <f t="shared" si="3"/>
        <v>0</v>
      </c>
    </row>
    <row r="468" ht="21.0" customHeight="1">
      <c r="A468" s="187"/>
      <c r="B468" s="187"/>
      <c r="C468" s="188"/>
      <c r="D468" s="135"/>
      <c r="E468" s="189"/>
      <c r="F468" s="182" t="str">
        <f t="shared" si="1"/>
        <v/>
      </c>
      <c r="G468" s="183">
        <f>IFERROR(__xludf.DUMMYFUNCTION("IFERROR(lookup(9999999999,FILTER('Operações-BR'!$M:$M,'Operações-BR'!$C:$C=A468,'Operações-BR'!$A:$A&lt;=C468)),0)"),0.0)</f>
        <v>0</v>
      </c>
      <c r="H468" s="184">
        <f t="shared" si="2"/>
        <v>0</v>
      </c>
      <c r="I468" s="184">
        <f>IFERROR(__xludf.DUMMYFUNCTION("IFERROR(lookup(9999999999,FILTER('Operações-BR'!Q:Q,'Operações-BR'!$C:$C=A468,'Operações-BR'!$A:$A&lt;=C468))/G468,0)"),0.0)</f>
        <v>0</v>
      </c>
      <c r="J468" s="185" t="str">
        <f>IFERROR(VLOOKUP(A468,Ativos!$A$1:$G2000,5,),"")</f>
        <v/>
      </c>
      <c r="K468" s="185" t="str">
        <f>IFERROR(VLOOKUP(A468,Ativos!A:H,8,),"")</f>
        <v/>
      </c>
      <c r="L468" s="186">
        <f t="shared" si="3"/>
        <v>0</v>
      </c>
    </row>
    <row r="469" ht="21.0" customHeight="1">
      <c r="A469" s="187"/>
      <c r="B469" s="187"/>
      <c r="C469" s="188"/>
      <c r="D469" s="135"/>
      <c r="E469" s="189"/>
      <c r="F469" s="182" t="str">
        <f t="shared" si="1"/>
        <v/>
      </c>
      <c r="G469" s="183">
        <f>IFERROR(__xludf.DUMMYFUNCTION("IFERROR(lookup(9999999999,FILTER('Operações-BR'!$M:$M,'Operações-BR'!$C:$C=A469,'Operações-BR'!$A:$A&lt;=C469)),0)"),0.0)</f>
        <v>0</v>
      </c>
      <c r="H469" s="184">
        <f t="shared" si="2"/>
        <v>0</v>
      </c>
      <c r="I469" s="184">
        <f>IFERROR(__xludf.DUMMYFUNCTION("IFERROR(lookup(9999999999,FILTER('Operações-BR'!Q:Q,'Operações-BR'!$C:$C=A469,'Operações-BR'!$A:$A&lt;=C469))/G469,0)"),0.0)</f>
        <v>0</v>
      </c>
      <c r="J469" s="185" t="str">
        <f>IFERROR(VLOOKUP(A469,Ativos!$A$1:$G2000,5,),"")</f>
        <v/>
      </c>
      <c r="K469" s="185" t="str">
        <f>IFERROR(VLOOKUP(A469,Ativos!A:H,8,),"")</f>
        <v/>
      </c>
      <c r="L469" s="186">
        <f t="shared" si="3"/>
        <v>0</v>
      </c>
    </row>
    <row r="470" ht="21.0" customHeight="1">
      <c r="A470" s="187"/>
      <c r="B470" s="187"/>
      <c r="C470" s="188"/>
      <c r="D470" s="135"/>
      <c r="E470" s="189"/>
      <c r="F470" s="182" t="str">
        <f t="shared" si="1"/>
        <v/>
      </c>
      <c r="G470" s="183">
        <f>IFERROR(__xludf.DUMMYFUNCTION("IFERROR(lookup(9999999999,FILTER('Operações-BR'!$M:$M,'Operações-BR'!$C:$C=A470,'Operações-BR'!$A:$A&lt;=C470)),0)"),0.0)</f>
        <v>0</v>
      </c>
      <c r="H470" s="184">
        <f t="shared" si="2"/>
        <v>0</v>
      </c>
      <c r="I470" s="184">
        <f>IFERROR(__xludf.DUMMYFUNCTION("IFERROR(lookup(9999999999,FILTER('Operações-BR'!Q:Q,'Operações-BR'!$C:$C=A470,'Operações-BR'!$A:$A&lt;=C470))/G470,0)"),0.0)</f>
        <v>0</v>
      </c>
      <c r="J470" s="185" t="str">
        <f>IFERROR(VLOOKUP(A470,Ativos!$A$1:$G2000,5,),"")</f>
        <v/>
      </c>
      <c r="K470" s="185" t="str">
        <f>IFERROR(VLOOKUP(A470,Ativos!A:H,8,),"")</f>
        <v/>
      </c>
      <c r="L470" s="186">
        <f t="shared" si="3"/>
        <v>0</v>
      </c>
    </row>
    <row r="471" ht="21.0" customHeight="1">
      <c r="A471" s="187"/>
      <c r="B471" s="187"/>
      <c r="C471" s="188"/>
      <c r="D471" s="135"/>
      <c r="E471" s="189"/>
      <c r="F471" s="182" t="str">
        <f t="shared" si="1"/>
        <v/>
      </c>
      <c r="G471" s="183">
        <f>IFERROR(__xludf.DUMMYFUNCTION("IFERROR(lookup(9999999999,FILTER('Operações-BR'!$M:$M,'Operações-BR'!$C:$C=A471,'Operações-BR'!$A:$A&lt;=C471)),0)"),0.0)</f>
        <v>0</v>
      </c>
      <c r="H471" s="184">
        <f t="shared" si="2"/>
        <v>0</v>
      </c>
      <c r="I471" s="184">
        <f>IFERROR(__xludf.DUMMYFUNCTION("IFERROR(lookup(9999999999,FILTER('Operações-BR'!Q:Q,'Operações-BR'!$C:$C=A471,'Operações-BR'!$A:$A&lt;=C471))/G471,0)"),0.0)</f>
        <v>0</v>
      </c>
      <c r="J471" s="185" t="str">
        <f>IFERROR(VLOOKUP(A471,Ativos!$A$1:$G2000,5,),"")</f>
        <v/>
      </c>
      <c r="K471" s="185" t="str">
        <f>IFERROR(VLOOKUP(A471,Ativos!A:H,8,),"")</f>
        <v/>
      </c>
      <c r="L471" s="186">
        <f t="shared" si="3"/>
        <v>0</v>
      </c>
    </row>
    <row r="472" ht="21.0" customHeight="1">
      <c r="A472" s="187"/>
      <c r="B472" s="187"/>
      <c r="C472" s="188"/>
      <c r="D472" s="135"/>
      <c r="E472" s="189"/>
      <c r="F472" s="182" t="str">
        <f t="shared" si="1"/>
        <v/>
      </c>
      <c r="G472" s="183">
        <f>IFERROR(__xludf.DUMMYFUNCTION("IFERROR(lookup(9999999999,FILTER('Operações-BR'!$M:$M,'Operações-BR'!$C:$C=A472,'Operações-BR'!$A:$A&lt;=C472)),0)"),0.0)</f>
        <v>0</v>
      </c>
      <c r="H472" s="184">
        <f t="shared" si="2"/>
        <v>0</v>
      </c>
      <c r="I472" s="184">
        <f>IFERROR(__xludf.DUMMYFUNCTION("IFERROR(lookup(9999999999,FILTER('Operações-BR'!Q:Q,'Operações-BR'!$C:$C=A472,'Operações-BR'!$A:$A&lt;=C472))/G472,0)"),0.0)</f>
        <v>0</v>
      </c>
      <c r="J472" s="185" t="str">
        <f>IFERROR(VLOOKUP(A472,Ativos!$A$1:$G2000,5,),"")</f>
        <v/>
      </c>
      <c r="K472" s="185" t="str">
        <f>IFERROR(VLOOKUP(A472,Ativos!A:H,8,),"")</f>
        <v/>
      </c>
      <c r="L472" s="186">
        <f t="shared" si="3"/>
        <v>0</v>
      </c>
    </row>
    <row r="473" ht="21.0" customHeight="1">
      <c r="A473" s="187"/>
      <c r="B473" s="187"/>
      <c r="C473" s="188"/>
      <c r="D473" s="135"/>
      <c r="E473" s="189"/>
      <c r="F473" s="182" t="str">
        <f t="shared" si="1"/>
        <v/>
      </c>
      <c r="G473" s="183">
        <f>IFERROR(__xludf.DUMMYFUNCTION("IFERROR(lookup(9999999999,FILTER('Operações-BR'!$M:$M,'Operações-BR'!$C:$C=A473,'Operações-BR'!$A:$A&lt;=C473)),0)"),0.0)</f>
        <v>0</v>
      </c>
      <c r="H473" s="184">
        <f t="shared" si="2"/>
        <v>0</v>
      </c>
      <c r="I473" s="184">
        <f>IFERROR(__xludf.DUMMYFUNCTION("IFERROR(lookup(9999999999,FILTER('Operações-BR'!Q:Q,'Operações-BR'!$C:$C=A473,'Operações-BR'!$A:$A&lt;=C473))/G473,0)"),0.0)</f>
        <v>0</v>
      </c>
      <c r="J473" s="185" t="str">
        <f>IFERROR(VLOOKUP(A473,Ativos!$A$1:$G2000,5,),"")</f>
        <v/>
      </c>
      <c r="K473" s="185" t="str">
        <f>IFERROR(VLOOKUP(A473,Ativos!A:H,8,),"")</f>
        <v/>
      </c>
      <c r="L473" s="186">
        <f t="shared" si="3"/>
        <v>0</v>
      </c>
    </row>
    <row r="474" ht="21.0" customHeight="1">
      <c r="A474" s="187"/>
      <c r="B474" s="187"/>
      <c r="C474" s="188"/>
      <c r="D474" s="135"/>
      <c r="E474" s="189"/>
      <c r="F474" s="182" t="str">
        <f t="shared" si="1"/>
        <v/>
      </c>
      <c r="G474" s="183">
        <f>IFERROR(__xludf.DUMMYFUNCTION("IFERROR(lookup(9999999999,FILTER('Operações-BR'!$M:$M,'Operações-BR'!$C:$C=A474,'Operações-BR'!$A:$A&lt;=C474)),0)"),0.0)</f>
        <v>0</v>
      </c>
      <c r="H474" s="184">
        <f t="shared" si="2"/>
        <v>0</v>
      </c>
      <c r="I474" s="184">
        <f>IFERROR(__xludf.DUMMYFUNCTION("IFERROR(lookup(9999999999,FILTER('Operações-BR'!Q:Q,'Operações-BR'!$C:$C=A474,'Operações-BR'!$A:$A&lt;=C474))/G474,0)"),0.0)</f>
        <v>0</v>
      </c>
      <c r="J474" s="185" t="str">
        <f>IFERROR(VLOOKUP(A474,Ativos!$A$1:$G2000,5,),"")</f>
        <v/>
      </c>
      <c r="K474" s="185" t="str">
        <f>IFERROR(VLOOKUP(A474,Ativos!A:H,8,),"")</f>
        <v/>
      </c>
      <c r="L474" s="186">
        <f t="shared" si="3"/>
        <v>0</v>
      </c>
    </row>
    <row r="475" ht="21.0" customHeight="1">
      <c r="A475" s="187"/>
      <c r="B475" s="187"/>
      <c r="C475" s="188"/>
      <c r="D475" s="135"/>
      <c r="E475" s="189"/>
      <c r="F475" s="182" t="str">
        <f t="shared" si="1"/>
        <v/>
      </c>
      <c r="G475" s="183">
        <f>IFERROR(__xludf.DUMMYFUNCTION("IFERROR(lookup(9999999999,FILTER('Operações-BR'!$M:$M,'Operações-BR'!$C:$C=A475,'Operações-BR'!$A:$A&lt;=C475)),0)"),0.0)</f>
        <v>0</v>
      </c>
      <c r="H475" s="184">
        <f t="shared" si="2"/>
        <v>0</v>
      </c>
      <c r="I475" s="184">
        <f>IFERROR(__xludf.DUMMYFUNCTION("IFERROR(lookup(9999999999,FILTER('Operações-BR'!Q:Q,'Operações-BR'!$C:$C=A475,'Operações-BR'!$A:$A&lt;=C475))/G475,0)"),0.0)</f>
        <v>0</v>
      </c>
      <c r="J475" s="185" t="str">
        <f>IFERROR(VLOOKUP(A475,Ativos!$A$1:$G2000,5,),"")</f>
        <v/>
      </c>
      <c r="K475" s="185" t="str">
        <f>IFERROR(VLOOKUP(A475,Ativos!A:H,8,),"")</f>
        <v/>
      </c>
      <c r="L475" s="186">
        <f t="shared" si="3"/>
        <v>0</v>
      </c>
    </row>
    <row r="476" ht="21.0" customHeight="1">
      <c r="A476" s="187"/>
      <c r="B476" s="187"/>
      <c r="C476" s="188"/>
      <c r="D476" s="135"/>
      <c r="E476" s="189"/>
      <c r="F476" s="182" t="str">
        <f t="shared" si="1"/>
        <v/>
      </c>
      <c r="G476" s="183">
        <f>IFERROR(__xludf.DUMMYFUNCTION("IFERROR(lookup(9999999999,FILTER('Operações-BR'!$M:$M,'Operações-BR'!$C:$C=A476,'Operações-BR'!$A:$A&lt;=C476)),0)"),0.0)</f>
        <v>0</v>
      </c>
      <c r="H476" s="184">
        <f t="shared" si="2"/>
        <v>0</v>
      </c>
      <c r="I476" s="184">
        <f>IFERROR(__xludf.DUMMYFUNCTION("IFERROR(lookup(9999999999,FILTER('Operações-BR'!Q:Q,'Operações-BR'!$C:$C=A476,'Operações-BR'!$A:$A&lt;=C476))/G476,0)"),0.0)</f>
        <v>0</v>
      </c>
      <c r="J476" s="185" t="str">
        <f>IFERROR(VLOOKUP(A476,Ativos!$A$1:$G2000,5,),"")</f>
        <v/>
      </c>
      <c r="K476" s="185" t="str">
        <f>IFERROR(VLOOKUP(A476,Ativos!A:H,8,),"")</f>
        <v/>
      </c>
      <c r="L476" s="186">
        <f t="shared" si="3"/>
        <v>0</v>
      </c>
    </row>
    <row r="477" ht="21.0" customHeight="1">
      <c r="A477" s="187"/>
      <c r="B477" s="187"/>
      <c r="C477" s="188"/>
      <c r="D477" s="135"/>
      <c r="E477" s="189"/>
      <c r="F477" s="182" t="str">
        <f t="shared" si="1"/>
        <v/>
      </c>
      <c r="G477" s="183">
        <f>IFERROR(__xludf.DUMMYFUNCTION("IFERROR(lookup(9999999999,FILTER('Operações-BR'!$M:$M,'Operações-BR'!$C:$C=A477,'Operações-BR'!$A:$A&lt;=C477)),0)"),0.0)</f>
        <v>0</v>
      </c>
      <c r="H477" s="184">
        <f t="shared" si="2"/>
        <v>0</v>
      </c>
      <c r="I477" s="184">
        <f>IFERROR(__xludf.DUMMYFUNCTION("IFERROR(lookup(9999999999,FILTER('Operações-BR'!Q:Q,'Operações-BR'!$C:$C=A477,'Operações-BR'!$A:$A&lt;=C477))/G477,0)"),0.0)</f>
        <v>0</v>
      </c>
      <c r="J477" s="185" t="str">
        <f>IFERROR(VLOOKUP(A477,Ativos!$A$1:$G2000,5,),"")</f>
        <v/>
      </c>
      <c r="K477" s="185" t="str">
        <f>IFERROR(VLOOKUP(A477,Ativos!A:H,8,),"")</f>
        <v/>
      </c>
      <c r="L477" s="186">
        <f t="shared" si="3"/>
        <v>0</v>
      </c>
    </row>
    <row r="478" ht="21.0" customHeight="1">
      <c r="A478" s="187"/>
      <c r="B478" s="187"/>
      <c r="C478" s="188"/>
      <c r="D478" s="135"/>
      <c r="E478" s="189"/>
      <c r="F478" s="182" t="str">
        <f t="shared" si="1"/>
        <v/>
      </c>
      <c r="G478" s="183">
        <f>IFERROR(__xludf.DUMMYFUNCTION("IFERROR(lookup(9999999999,FILTER('Operações-BR'!$M:$M,'Operações-BR'!$C:$C=A478,'Operações-BR'!$A:$A&lt;=C478)),0)"),0.0)</f>
        <v>0</v>
      </c>
      <c r="H478" s="184">
        <f t="shared" si="2"/>
        <v>0</v>
      </c>
      <c r="I478" s="184">
        <f>IFERROR(__xludf.DUMMYFUNCTION("IFERROR(lookup(9999999999,FILTER('Operações-BR'!Q:Q,'Operações-BR'!$C:$C=A478,'Operações-BR'!$A:$A&lt;=C478))/G478,0)"),0.0)</f>
        <v>0</v>
      </c>
      <c r="J478" s="185" t="str">
        <f>IFERROR(VLOOKUP(A478,Ativos!$A$1:$G2000,5,),"")</f>
        <v/>
      </c>
      <c r="K478" s="185" t="str">
        <f>IFERROR(VLOOKUP(A478,Ativos!A:H,8,),"")</f>
        <v/>
      </c>
      <c r="L478" s="186">
        <f t="shared" si="3"/>
        <v>0</v>
      </c>
    </row>
    <row r="479" ht="21.0" customHeight="1">
      <c r="A479" s="187"/>
      <c r="B479" s="187"/>
      <c r="C479" s="188"/>
      <c r="D479" s="135"/>
      <c r="E479" s="189"/>
      <c r="F479" s="182" t="str">
        <f t="shared" si="1"/>
        <v/>
      </c>
      <c r="G479" s="183">
        <f>IFERROR(__xludf.DUMMYFUNCTION("IFERROR(lookup(9999999999,FILTER('Operações-BR'!$M:$M,'Operações-BR'!$C:$C=A479,'Operações-BR'!$A:$A&lt;=C479)),0)"),0.0)</f>
        <v>0</v>
      </c>
      <c r="H479" s="184">
        <f t="shared" si="2"/>
        <v>0</v>
      </c>
      <c r="I479" s="184">
        <f>IFERROR(__xludf.DUMMYFUNCTION("IFERROR(lookup(9999999999,FILTER('Operações-BR'!Q:Q,'Operações-BR'!$C:$C=A479,'Operações-BR'!$A:$A&lt;=C479))/G479,0)"),0.0)</f>
        <v>0</v>
      </c>
      <c r="J479" s="185" t="str">
        <f>IFERROR(VLOOKUP(A479,Ativos!$A$1:$G2000,5,),"")</f>
        <v/>
      </c>
      <c r="K479" s="185" t="str">
        <f>IFERROR(VLOOKUP(A479,Ativos!A:H,8,),"")</f>
        <v/>
      </c>
      <c r="L479" s="186">
        <f t="shared" si="3"/>
        <v>0</v>
      </c>
    </row>
    <row r="480" ht="21.0" customHeight="1">
      <c r="A480" s="187"/>
      <c r="B480" s="187"/>
      <c r="C480" s="188"/>
      <c r="D480" s="135"/>
      <c r="E480" s="189"/>
      <c r="F480" s="182" t="str">
        <f t="shared" si="1"/>
        <v/>
      </c>
      <c r="G480" s="183">
        <f>IFERROR(__xludf.DUMMYFUNCTION("IFERROR(lookup(9999999999,FILTER('Operações-BR'!$M:$M,'Operações-BR'!$C:$C=A480,'Operações-BR'!$A:$A&lt;=C480)),0)"),0.0)</f>
        <v>0</v>
      </c>
      <c r="H480" s="184">
        <f t="shared" si="2"/>
        <v>0</v>
      </c>
      <c r="I480" s="184">
        <f>IFERROR(__xludf.DUMMYFUNCTION("IFERROR(lookup(9999999999,FILTER('Operações-BR'!Q:Q,'Operações-BR'!$C:$C=A480,'Operações-BR'!$A:$A&lt;=C480))/G480,0)"),0.0)</f>
        <v>0</v>
      </c>
      <c r="J480" s="185" t="str">
        <f>IFERROR(VLOOKUP(A480,Ativos!$A$1:$G2000,5,),"")</f>
        <v/>
      </c>
      <c r="K480" s="185" t="str">
        <f>IFERROR(VLOOKUP(A480,Ativos!A:H,8,),"")</f>
        <v/>
      </c>
      <c r="L480" s="186">
        <f t="shared" si="3"/>
        <v>0</v>
      </c>
    </row>
    <row r="481" ht="21.0" customHeight="1">
      <c r="A481" s="187"/>
      <c r="B481" s="187"/>
      <c r="C481" s="188"/>
      <c r="D481" s="135"/>
      <c r="E481" s="189"/>
      <c r="F481" s="182" t="str">
        <f t="shared" si="1"/>
        <v/>
      </c>
      <c r="G481" s="183">
        <f>IFERROR(__xludf.DUMMYFUNCTION("IFERROR(lookup(9999999999,FILTER('Operações-BR'!$M:$M,'Operações-BR'!$C:$C=A481,'Operações-BR'!$A:$A&lt;=C481)),0)"),0.0)</f>
        <v>0</v>
      </c>
      <c r="H481" s="184">
        <f t="shared" si="2"/>
        <v>0</v>
      </c>
      <c r="I481" s="184">
        <f>IFERROR(__xludf.DUMMYFUNCTION("IFERROR(lookup(9999999999,FILTER('Operações-BR'!Q:Q,'Operações-BR'!$C:$C=A481,'Operações-BR'!$A:$A&lt;=C481))/G481,0)"),0.0)</f>
        <v>0</v>
      </c>
      <c r="J481" s="185" t="str">
        <f>IFERROR(VLOOKUP(A481,Ativos!$A$1:$G2000,5,),"")</f>
        <v/>
      </c>
      <c r="K481" s="185" t="str">
        <f>IFERROR(VLOOKUP(A481,Ativos!A:H,8,),"")</f>
        <v/>
      </c>
      <c r="L481" s="186">
        <f t="shared" si="3"/>
        <v>0</v>
      </c>
    </row>
    <row r="482" ht="21.0" customHeight="1">
      <c r="A482" s="187"/>
      <c r="B482" s="187"/>
      <c r="C482" s="188"/>
      <c r="D482" s="135"/>
      <c r="E482" s="189"/>
      <c r="F482" s="182" t="str">
        <f t="shared" si="1"/>
        <v/>
      </c>
      <c r="G482" s="183">
        <f>IFERROR(__xludf.DUMMYFUNCTION("IFERROR(lookup(9999999999,FILTER('Operações-BR'!$M:$M,'Operações-BR'!$C:$C=A482,'Operações-BR'!$A:$A&lt;=C482)),0)"),0.0)</f>
        <v>0</v>
      </c>
      <c r="H482" s="184">
        <f t="shared" si="2"/>
        <v>0</v>
      </c>
      <c r="I482" s="184">
        <f>IFERROR(__xludf.DUMMYFUNCTION("IFERROR(lookup(9999999999,FILTER('Operações-BR'!Q:Q,'Operações-BR'!$C:$C=A482,'Operações-BR'!$A:$A&lt;=C482))/G482,0)"),0.0)</f>
        <v>0</v>
      </c>
      <c r="J482" s="185" t="str">
        <f>IFERROR(VLOOKUP(A482,Ativos!$A$1:$G2000,5,),"")</f>
        <v/>
      </c>
      <c r="K482" s="185" t="str">
        <f>IFERROR(VLOOKUP(A482,Ativos!A:H,8,),"")</f>
        <v/>
      </c>
      <c r="L482" s="186">
        <f t="shared" si="3"/>
        <v>0</v>
      </c>
    </row>
    <row r="483" ht="21.0" customHeight="1">
      <c r="A483" s="187"/>
      <c r="B483" s="187"/>
      <c r="C483" s="188"/>
      <c r="D483" s="135"/>
      <c r="E483" s="189"/>
      <c r="F483" s="182" t="str">
        <f t="shared" si="1"/>
        <v/>
      </c>
      <c r="G483" s="183">
        <f>IFERROR(__xludf.DUMMYFUNCTION("IFERROR(lookup(9999999999,FILTER('Operações-BR'!$M:$M,'Operações-BR'!$C:$C=A483,'Operações-BR'!$A:$A&lt;=C483)),0)"),0.0)</f>
        <v>0</v>
      </c>
      <c r="H483" s="184">
        <f t="shared" si="2"/>
        <v>0</v>
      </c>
      <c r="I483" s="184">
        <f>IFERROR(__xludf.DUMMYFUNCTION("IFERROR(lookup(9999999999,FILTER('Operações-BR'!Q:Q,'Operações-BR'!$C:$C=A483,'Operações-BR'!$A:$A&lt;=C483))/G483,0)"),0.0)</f>
        <v>0</v>
      </c>
      <c r="J483" s="185" t="str">
        <f>IFERROR(VLOOKUP(A483,Ativos!$A$1:$G2000,5,),"")</f>
        <v/>
      </c>
      <c r="K483" s="185" t="str">
        <f>IFERROR(VLOOKUP(A483,Ativos!A:H,8,),"")</f>
        <v/>
      </c>
      <c r="L483" s="186">
        <f t="shared" si="3"/>
        <v>0</v>
      </c>
    </row>
    <row r="484" ht="21.0" customHeight="1">
      <c r="A484" s="187"/>
      <c r="B484" s="187"/>
      <c r="C484" s="188"/>
      <c r="D484" s="135"/>
      <c r="E484" s="189"/>
      <c r="F484" s="182" t="str">
        <f t="shared" si="1"/>
        <v/>
      </c>
      <c r="G484" s="183">
        <f>IFERROR(__xludf.DUMMYFUNCTION("IFERROR(lookup(9999999999,FILTER('Operações-BR'!$M:$M,'Operações-BR'!$C:$C=A484,'Operações-BR'!$A:$A&lt;=C484)),0)"),0.0)</f>
        <v>0</v>
      </c>
      <c r="H484" s="184">
        <f t="shared" si="2"/>
        <v>0</v>
      </c>
      <c r="I484" s="184">
        <f>IFERROR(__xludf.DUMMYFUNCTION("IFERROR(lookup(9999999999,FILTER('Operações-BR'!Q:Q,'Operações-BR'!$C:$C=A484,'Operações-BR'!$A:$A&lt;=C484))/G484,0)"),0.0)</f>
        <v>0</v>
      </c>
      <c r="J484" s="185" t="str">
        <f>IFERROR(VLOOKUP(A484,Ativos!$A$1:$G2000,5,),"")</f>
        <v/>
      </c>
      <c r="K484" s="185" t="str">
        <f>IFERROR(VLOOKUP(A484,Ativos!A:H,8,),"")</f>
        <v/>
      </c>
      <c r="L484" s="186">
        <f t="shared" si="3"/>
        <v>0</v>
      </c>
    </row>
    <row r="485" ht="21.0" customHeight="1">
      <c r="A485" s="187"/>
      <c r="B485" s="187"/>
      <c r="C485" s="188"/>
      <c r="D485" s="135"/>
      <c r="E485" s="189"/>
      <c r="F485" s="182" t="str">
        <f t="shared" si="1"/>
        <v/>
      </c>
      <c r="G485" s="183">
        <f>IFERROR(__xludf.DUMMYFUNCTION("IFERROR(lookup(9999999999,FILTER('Operações-BR'!$M:$M,'Operações-BR'!$C:$C=A485,'Operações-BR'!$A:$A&lt;=C485)),0)"),0.0)</f>
        <v>0</v>
      </c>
      <c r="H485" s="184">
        <f t="shared" si="2"/>
        <v>0</v>
      </c>
      <c r="I485" s="184">
        <f>IFERROR(__xludf.DUMMYFUNCTION("IFERROR(lookup(9999999999,FILTER('Operações-BR'!Q:Q,'Operações-BR'!$C:$C=A485,'Operações-BR'!$A:$A&lt;=C485))/G485,0)"),0.0)</f>
        <v>0</v>
      </c>
      <c r="J485" s="185" t="str">
        <f>IFERROR(VLOOKUP(A485,Ativos!$A$1:$G2000,5,),"")</f>
        <v/>
      </c>
      <c r="K485" s="185" t="str">
        <f>IFERROR(VLOOKUP(A485,Ativos!A:H,8,),"")</f>
        <v/>
      </c>
      <c r="L485" s="186">
        <f t="shared" si="3"/>
        <v>0</v>
      </c>
    </row>
    <row r="486" ht="21.0" customHeight="1">
      <c r="A486" s="187"/>
      <c r="B486" s="187"/>
      <c r="C486" s="188"/>
      <c r="D486" s="135"/>
      <c r="E486" s="189"/>
      <c r="F486" s="182" t="str">
        <f t="shared" si="1"/>
        <v/>
      </c>
      <c r="G486" s="183">
        <f>IFERROR(__xludf.DUMMYFUNCTION("IFERROR(lookup(9999999999,FILTER('Operações-BR'!$M:$M,'Operações-BR'!$C:$C=A486,'Operações-BR'!$A:$A&lt;=C486)),0)"),0.0)</f>
        <v>0</v>
      </c>
      <c r="H486" s="184">
        <f t="shared" si="2"/>
        <v>0</v>
      </c>
      <c r="I486" s="184">
        <f>IFERROR(__xludf.DUMMYFUNCTION("IFERROR(lookup(9999999999,FILTER('Operações-BR'!Q:Q,'Operações-BR'!$C:$C=A486,'Operações-BR'!$A:$A&lt;=C486))/G486,0)"),0.0)</f>
        <v>0</v>
      </c>
      <c r="J486" s="185" t="str">
        <f>IFERROR(VLOOKUP(A486,Ativos!$A$1:$G2000,5,),"")</f>
        <v/>
      </c>
      <c r="K486" s="185" t="str">
        <f>IFERROR(VLOOKUP(A486,Ativos!A:H,8,),"")</f>
        <v/>
      </c>
      <c r="L486" s="186">
        <f t="shared" si="3"/>
        <v>0</v>
      </c>
    </row>
    <row r="487" ht="21.0" customHeight="1">
      <c r="A487" s="187"/>
      <c r="B487" s="187"/>
      <c r="C487" s="188"/>
      <c r="D487" s="135"/>
      <c r="E487" s="189"/>
      <c r="F487" s="182" t="str">
        <f t="shared" si="1"/>
        <v/>
      </c>
      <c r="G487" s="183">
        <f>IFERROR(__xludf.DUMMYFUNCTION("IFERROR(lookup(9999999999,FILTER('Operações-BR'!$M:$M,'Operações-BR'!$C:$C=A487,'Operações-BR'!$A:$A&lt;=C487)),0)"),0.0)</f>
        <v>0</v>
      </c>
      <c r="H487" s="184">
        <f t="shared" si="2"/>
        <v>0</v>
      </c>
      <c r="I487" s="184">
        <f>IFERROR(__xludf.DUMMYFUNCTION("IFERROR(lookup(9999999999,FILTER('Operações-BR'!Q:Q,'Operações-BR'!$C:$C=A487,'Operações-BR'!$A:$A&lt;=C487))/G487,0)"),0.0)</f>
        <v>0</v>
      </c>
      <c r="J487" s="185" t="str">
        <f>IFERROR(VLOOKUP(A487,Ativos!$A$1:$G2000,5,),"")</f>
        <v/>
      </c>
      <c r="K487" s="185" t="str">
        <f>IFERROR(VLOOKUP(A487,Ativos!A:H,8,),"")</f>
        <v/>
      </c>
      <c r="L487" s="186">
        <f t="shared" si="3"/>
        <v>0</v>
      </c>
    </row>
    <row r="488" ht="21.0" customHeight="1">
      <c r="A488" s="187"/>
      <c r="B488" s="187"/>
      <c r="C488" s="188"/>
      <c r="D488" s="135"/>
      <c r="E488" s="189"/>
      <c r="F488" s="182" t="str">
        <f t="shared" si="1"/>
        <v/>
      </c>
      <c r="G488" s="183">
        <f>IFERROR(__xludf.DUMMYFUNCTION("IFERROR(lookup(9999999999,FILTER('Operações-BR'!$M:$M,'Operações-BR'!$C:$C=A488,'Operações-BR'!$A:$A&lt;=C488)),0)"),0.0)</f>
        <v>0</v>
      </c>
      <c r="H488" s="184">
        <f t="shared" si="2"/>
        <v>0</v>
      </c>
      <c r="I488" s="184">
        <f>IFERROR(__xludf.DUMMYFUNCTION("IFERROR(lookup(9999999999,FILTER('Operações-BR'!Q:Q,'Operações-BR'!$C:$C=A488,'Operações-BR'!$A:$A&lt;=C488))/G488,0)"),0.0)</f>
        <v>0</v>
      </c>
      <c r="J488" s="185" t="str">
        <f>IFERROR(VLOOKUP(A488,Ativos!$A$1:$G2000,5,),"")</f>
        <v/>
      </c>
      <c r="K488" s="185" t="str">
        <f>IFERROR(VLOOKUP(A488,Ativos!A:H,8,),"")</f>
        <v/>
      </c>
      <c r="L488" s="186">
        <f t="shared" si="3"/>
        <v>0</v>
      </c>
    </row>
    <row r="489" ht="21.0" customHeight="1">
      <c r="A489" s="187"/>
      <c r="B489" s="187"/>
      <c r="C489" s="188"/>
      <c r="D489" s="135"/>
      <c r="E489" s="189"/>
      <c r="F489" s="182" t="str">
        <f t="shared" si="1"/>
        <v/>
      </c>
      <c r="G489" s="183">
        <f>IFERROR(__xludf.DUMMYFUNCTION("IFERROR(lookup(9999999999,FILTER('Operações-BR'!$M:$M,'Operações-BR'!$C:$C=A489,'Operações-BR'!$A:$A&lt;=C489)),0)"),0.0)</f>
        <v>0</v>
      </c>
      <c r="H489" s="184">
        <f t="shared" si="2"/>
        <v>0</v>
      </c>
      <c r="I489" s="184">
        <f>IFERROR(__xludf.DUMMYFUNCTION("IFERROR(lookup(9999999999,FILTER('Operações-BR'!Q:Q,'Operações-BR'!$C:$C=A489,'Operações-BR'!$A:$A&lt;=C489))/G489,0)"),0.0)</f>
        <v>0</v>
      </c>
      <c r="J489" s="185" t="str">
        <f>IFERROR(VLOOKUP(A489,Ativos!$A$1:$G2000,5,),"")</f>
        <v/>
      </c>
      <c r="K489" s="185" t="str">
        <f>IFERROR(VLOOKUP(A489,Ativos!A:H,8,),"")</f>
        <v/>
      </c>
      <c r="L489" s="186">
        <f t="shared" si="3"/>
        <v>0</v>
      </c>
    </row>
    <row r="490" ht="21.0" customHeight="1">
      <c r="A490" s="187"/>
      <c r="B490" s="187"/>
      <c r="C490" s="188"/>
      <c r="D490" s="135"/>
      <c r="E490" s="189"/>
      <c r="F490" s="182" t="str">
        <f t="shared" si="1"/>
        <v/>
      </c>
      <c r="G490" s="183">
        <f>IFERROR(__xludf.DUMMYFUNCTION("IFERROR(lookup(9999999999,FILTER('Operações-BR'!$M:$M,'Operações-BR'!$C:$C=A490,'Operações-BR'!$A:$A&lt;=C490)),0)"),0.0)</f>
        <v>0</v>
      </c>
      <c r="H490" s="184">
        <f t="shared" si="2"/>
        <v>0</v>
      </c>
      <c r="I490" s="184">
        <f>IFERROR(__xludf.DUMMYFUNCTION("IFERROR(lookup(9999999999,FILTER('Operações-BR'!Q:Q,'Operações-BR'!$C:$C=A490,'Operações-BR'!$A:$A&lt;=C490))/G490,0)"),0.0)</f>
        <v>0</v>
      </c>
      <c r="J490" s="185" t="str">
        <f>IFERROR(VLOOKUP(A490,Ativos!$A$1:$G2000,5,),"")</f>
        <v/>
      </c>
      <c r="K490" s="185" t="str">
        <f>IFERROR(VLOOKUP(A490,Ativos!A:H,8,),"")</f>
        <v/>
      </c>
      <c r="L490" s="186">
        <f t="shared" si="3"/>
        <v>0</v>
      </c>
    </row>
    <row r="491" ht="21.0" customHeight="1">
      <c r="A491" s="187"/>
      <c r="B491" s="187"/>
      <c r="C491" s="188"/>
      <c r="D491" s="135"/>
      <c r="E491" s="189"/>
      <c r="F491" s="182" t="str">
        <f t="shared" si="1"/>
        <v/>
      </c>
      <c r="G491" s="183">
        <f>IFERROR(__xludf.DUMMYFUNCTION("IFERROR(lookup(9999999999,FILTER('Operações-BR'!$M:$M,'Operações-BR'!$C:$C=A491,'Operações-BR'!$A:$A&lt;=C491)),0)"),0.0)</f>
        <v>0</v>
      </c>
      <c r="H491" s="184">
        <f t="shared" si="2"/>
        <v>0</v>
      </c>
      <c r="I491" s="184">
        <f>IFERROR(__xludf.DUMMYFUNCTION("IFERROR(lookup(9999999999,FILTER('Operações-BR'!Q:Q,'Operações-BR'!$C:$C=A491,'Operações-BR'!$A:$A&lt;=C491))/G491,0)"),0.0)</f>
        <v>0</v>
      </c>
      <c r="J491" s="185" t="str">
        <f>IFERROR(VLOOKUP(A491,Ativos!$A$1:$G2000,5,),"")</f>
        <v/>
      </c>
      <c r="K491" s="185" t="str">
        <f>IFERROR(VLOOKUP(A491,Ativos!A:H,8,),"")</f>
        <v/>
      </c>
      <c r="L491" s="186">
        <f t="shared" si="3"/>
        <v>0</v>
      </c>
    </row>
    <row r="492" ht="21.0" customHeight="1">
      <c r="A492" s="187"/>
      <c r="B492" s="187"/>
      <c r="C492" s="188"/>
      <c r="D492" s="135"/>
      <c r="E492" s="189"/>
      <c r="F492" s="182" t="str">
        <f t="shared" si="1"/>
        <v/>
      </c>
      <c r="G492" s="183">
        <f>IFERROR(__xludf.DUMMYFUNCTION("IFERROR(lookup(9999999999,FILTER('Operações-BR'!$M:$M,'Operações-BR'!$C:$C=A492,'Operações-BR'!$A:$A&lt;=C492)),0)"),0.0)</f>
        <v>0</v>
      </c>
      <c r="H492" s="184">
        <f t="shared" si="2"/>
        <v>0</v>
      </c>
      <c r="I492" s="184">
        <f>IFERROR(__xludf.DUMMYFUNCTION("IFERROR(lookup(9999999999,FILTER('Operações-BR'!Q:Q,'Operações-BR'!$C:$C=A492,'Operações-BR'!$A:$A&lt;=C492))/G492,0)"),0.0)</f>
        <v>0</v>
      </c>
      <c r="J492" s="185" t="str">
        <f>IFERROR(VLOOKUP(A492,Ativos!$A$1:$G2000,5,),"")</f>
        <v/>
      </c>
      <c r="K492" s="185" t="str">
        <f>IFERROR(VLOOKUP(A492,Ativos!A:H,8,),"")</f>
        <v/>
      </c>
      <c r="L492" s="186">
        <f t="shared" si="3"/>
        <v>0</v>
      </c>
    </row>
    <row r="493" ht="21.0" customHeight="1">
      <c r="A493" s="187"/>
      <c r="B493" s="187"/>
      <c r="C493" s="188"/>
      <c r="D493" s="135"/>
      <c r="E493" s="189"/>
      <c r="F493" s="182" t="str">
        <f t="shared" si="1"/>
        <v/>
      </c>
      <c r="G493" s="183">
        <f>IFERROR(__xludf.DUMMYFUNCTION("IFERROR(lookup(9999999999,FILTER('Operações-BR'!$M:$M,'Operações-BR'!$C:$C=A493,'Operações-BR'!$A:$A&lt;=C493)),0)"),0.0)</f>
        <v>0</v>
      </c>
      <c r="H493" s="184">
        <f t="shared" si="2"/>
        <v>0</v>
      </c>
      <c r="I493" s="184">
        <f>IFERROR(__xludf.DUMMYFUNCTION("IFERROR(lookup(9999999999,FILTER('Operações-BR'!Q:Q,'Operações-BR'!$C:$C=A493,'Operações-BR'!$A:$A&lt;=C493))/G493,0)"),0.0)</f>
        <v>0</v>
      </c>
      <c r="J493" s="185" t="str">
        <f>IFERROR(VLOOKUP(A493,Ativos!$A$1:$G2000,5,),"")</f>
        <v/>
      </c>
      <c r="K493" s="185" t="str">
        <f>IFERROR(VLOOKUP(A493,Ativos!A:H,8,),"")</f>
        <v/>
      </c>
      <c r="L493" s="186">
        <f t="shared" si="3"/>
        <v>0</v>
      </c>
    </row>
    <row r="494" ht="21.0" customHeight="1">
      <c r="A494" s="187"/>
      <c r="B494" s="187"/>
      <c r="C494" s="188"/>
      <c r="D494" s="135"/>
      <c r="E494" s="189"/>
      <c r="F494" s="182" t="str">
        <f t="shared" si="1"/>
        <v/>
      </c>
      <c r="G494" s="183">
        <f>IFERROR(__xludf.DUMMYFUNCTION("IFERROR(lookup(9999999999,FILTER('Operações-BR'!$M:$M,'Operações-BR'!$C:$C=A494,'Operações-BR'!$A:$A&lt;=C494)),0)"),0.0)</f>
        <v>0</v>
      </c>
      <c r="H494" s="184">
        <f t="shared" si="2"/>
        <v>0</v>
      </c>
      <c r="I494" s="184">
        <f>IFERROR(__xludf.DUMMYFUNCTION("IFERROR(lookup(9999999999,FILTER('Operações-BR'!Q:Q,'Operações-BR'!$C:$C=A494,'Operações-BR'!$A:$A&lt;=C494))/G494,0)"),0.0)</f>
        <v>0</v>
      </c>
      <c r="J494" s="185" t="str">
        <f>IFERROR(VLOOKUP(A494,Ativos!$A$1:$G2000,5,),"")</f>
        <v/>
      </c>
      <c r="K494" s="185" t="str">
        <f>IFERROR(VLOOKUP(A494,Ativos!A:H,8,),"")</f>
        <v/>
      </c>
      <c r="L494" s="186">
        <f t="shared" si="3"/>
        <v>0</v>
      </c>
    </row>
    <row r="495" ht="21.0" customHeight="1">
      <c r="A495" s="187"/>
      <c r="B495" s="187"/>
      <c r="C495" s="188"/>
      <c r="D495" s="135"/>
      <c r="E495" s="189"/>
      <c r="F495" s="182" t="str">
        <f t="shared" si="1"/>
        <v/>
      </c>
      <c r="G495" s="183">
        <f>IFERROR(__xludf.DUMMYFUNCTION("IFERROR(lookup(9999999999,FILTER('Operações-BR'!$M:$M,'Operações-BR'!$C:$C=A495,'Operações-BR'!$A:$A&lt;=C495)),0)"),0.0)</f>
        <v>0</v>
      </c>
      <c r="H495" s="184">
        <f t="shared" si="2"/>
        <v>0</v>
      </c>
      <c r="I495" s="184">
        <f>IFERROR(__xludf.DUMMYFUNCTION("IFERROR(lookup(9999999999,FILTER('Operações-BR'!Q:Q,'Operações-BR'!$C:$C=A495,'Operações-BR'!$A:$A&lt;=C495))/G495,0)"),0.0)</f>
        <v>0</v>
      </c>
      <c r="J495" s="185" t="str">
        <f>IFERROR(VLOOKUP(A495,Ativos!$A$1:$G2000,5,),"")</f>
        <v/>
      </c>
      <c r="K495" s="185" t="str">
        <f>IFERROR(VLOOKUP(A495,Ativos!A:H,8,),"")</f>
        <v/>
      </c>
      <c r="L495" s="186">
        <f t="shared" si="3"/>
        <v>0</v>
      </c>
    </row>
    <row r="496" ht="21.0" customHeight="1">
      <c r="A496" s="187"/>
      <c r="B496" s="187"/>
      <c r="C496" s="188"/>
      <c r="D496" s="135"/>
      <c r="E496" s="189"/>
      <c r="F496" s="182" t="str">
        <f t="shared" si="1"/>
        <v/>
      </c>
      <c r="G496" s="183">
        <f>IFERROR(__xludf.DUMMYFUNCTION("IFERROR(lookup(9999999999,FILTER('Operações-BR'!$M:$M,'Operações-BR'!$C:$C=A496,'Operações-BR'!$A:$A&lt;=C496)),0)"),0.0)</f>
        <v>0</v>
      </c>
      <c r="H496" s="184">
        <f t="shared" si="2"/>
        <v>0</v>
      </c>
      <c r="I496" s="184">
        <f>IFERROR(__xludf.DUMMYFUNCTION("IFERROR(lookup(9999999999,FILTER('Operações-BR'!Q:Q,'Operações-BR'!$C:$C=A496,'Operações-BR'!$A:$A&lt;=C496))/G496,0)"),0.0)</f>
        <v>0</v>
      </c>
      <c r="J496" s="185" t="str">
        <f>IFERROR(VLOOKUP(A496,Ativos!$A$1:$G2000,5,),"")</f>
        <v/>
      </c>
      <c r="K496" s="185" t="str">
        <f>IFERROR(VLOOKUP(A496,Ativos!A:H,8,),"")</f>
        <v/>
      </c>
      <c r="L496" s="186">
        <f t="shared" si="3"/>
        <v>0</v>
      </c>
    </row>
    <row r="497" ht="21.0" customHeight="1">
      <c r="A497" s="187"/>
      <c r="B497" s="187"/>
      <c r="C497" s="188"/>
      <c r="D497" s="135"/>
      <c r="E497" s="189"/>
      <c r="F497" s="182" t="str">
        <f t="shared" si="1"/>
        <v/>
      </c>
      <c r="G497" s="183">
        <f>IFERROR(__xludf.DUMMYFUNCTION("IFERROR(lookup(9999999999,FILTER('Operações-BR'!$M:$M,'Operações-BR'!$C:$C=A497,'Operações-BR'!$A:$A&lt;=C497)),0)"),0.0)</f>
        <v>0</v>
      </c>
      <c r="H497" s="184">
        <f t="shared" si="2"/>
        <v>0</v>
      </c>
      <c r="I497" s="184">
        <f>IFERROR(__xludf.DUMMYFUNCTION("IFERROR(lookup(9999999999,FILTER('Operações-BR'!Q:Q,'Operações-BR'!$C:$C=A497,'Operações-BR'!$A:$A&lt;=C497))/G497,0)"),0.0)</f>
        <v>0</v>
      </c>
      <c r="J497" s="185" t="str">
        <f>IFERROR(VLOOKUP(A497,Ativos!$A$1:$G2000,5,),"")</f>
        <v/>
      </c>
      <c r="K497" s="185" t="str">
        <f>IFERROR(VLOOKUP(A497,Ativos!A:H,8,),"")</f>
        <v/>
      </c>
      <c r="L497" s="186">
        <f t="shared" si="3"/>
        <v>0</v>
      </c>
    </row>
    <row r="498" ht="21.0" customHeight="1">
      <c r="A498" s="187"/>
      <c r="B498" s="187"/>
      <c r="C498" s="188"/>
      <c r="D498" s="135"/>
      <c r="E498" s="189"/>
      <c r="F498" s="182" t="str">
        <f t="shared" si="1"/>
        <v/>
      </c>
      <c r="G498" s="183">
        <f>IFERROR(__xludf.DUMMYFUNCTION("IFERROR(lookup(9999999999,FILTER('Operações-BR'!$M:$M,'Operações-BR'!$C:$C=A498,'Operações-BR'!$A:$A&lt;=C498)),0)"),0.0)</f>
        <v>0</v>
      </c>
      <c r="H498" s="184">
        <f t="shared" si="2"/>
        <v>0</v>
      </c>
      <c r="I498" s="184">
        <f>IFERROR(__xludf.DUMMYFUNCTION("IFERROR(lookup(9999999999,FILTER('Operações-BR'!Q:Q,'Operações-BR'!$C:$C=A498,'Operações-BR'!$A:$A&lt;=C498))/G498,0)"),0.0)</f>
        <v>0</v>
      </c>
      <c r="J498" s="185" t="str">
        <f>IFERROR(VLOOKUP(A498,Ativos!$A$1:$G2000,5,),"")</f>
        <v/>
      </c>
      <c r="K498" s="185" t="str">
        <f>IFERROR(VLOOKUP(A498,Ativos!A:H,8,),"")</f>
        <v/>
      </c>
      <c r="L498" s="186">
        <f t="shared" si="3"/>
        <v>0</v>
      </c>
    </row>
    <row r="499" ht="21.0" customHeight="1">
      <c r="A499" s="187"/>
      <c r="B499" s="187"/>
      <c r="C499" s="188"/>
      <c r="D499" s="135"/>
      <c r="E499" s="189"/>
      <c r="F499" s="182" t="str">
        <f t="shared" si="1"/>
        <v/>
      </c>
      <c r="G499" s="183">
        <f>IFERROR(__xludf.DUMMYFUNCTION("IFERROR(lookup(9999999999,FILTER('Operações-BR'!$M:$M,'Operações-BR'!$C:$C=A499,'Operações-BR'!$A:$A&lt;=C499)),0)"),0.0)</f>
        <v>0</v>
      </c>
      <c r="H499" s="184">
        <f t="shared" si="2"/>
        <v>0</v>
      </c>
      <c r="I499" s="184">
        <f>IFERROR(__xludf.DUMMYFUNCTION("IFERROR(lookup(9999999999,FILTER('Operações-BR'!Q:Q,'Operações-BR'!$C:$C=A499,'Operações-BR'!$A:$A&lt;=C499))/G499,0)"),0.0)</f>
        <v>0</v>
      </c>
      <c r="J499" s="185" t="str">
        <f>IFERROR(VLOOKUP(A499,Ativos!$A$1:$G2000,5,),"")</f>
        <v/>
      </c>
      <c r="K499" s="185" t="str">
        <f>IFERROR(VLOOKUP(A499,Ativos!A:H,8,),"")</f>
        <v/>
      </c>
      <c r="L499" s="186">
        <f t="shared" si="3"/>
        <v>0</v>
      </c>
    </row>
    <row r="500" ht="21.0" customHeight="1">
      <c r="A500" s="187"/>
      <c r="B500" s="187"/>
      <c r="C500" s="188"/>
      <c r="D500" s="135"/>
      <c r="E500" s="189"/>
      <c r="F500" s="182" t="str">
        <f t="shared" si="1"/>
        <v/>
      </c>
      <c r="G500" s="183">
        <f>IFERROR(__xludf.DUMMYFUNCTION("IFERROR(lookup(9999999999,FILTER('Operações-BR'!$M:$M,'Operações-BR'!$C:$C=A500,'Operações-BR'!$A:$A&lt;=C500)),0)"),0.0)</f>
        <v>0</v>
      </c>
      <c r="H500" s="184">
        <f t="shared" si="2"/>
        <v>0</v>
      </c>
      <c r="I500" s="184">
        <f>IFERROR(__xludf.DUMMYFUNCTION("IFERROR(lookup(9999999999,FILTER('Operações-BR'!Q:Q,'Operações-BR'!$C:$C=A500,'Operações-BR'!$A:$A&lt;=C500))/G500,0)"),0.0)</f>
        <v>0</v>
      </c>
      <c r="J500" s="185" t="str">
        <f>IFERROR(VLOOKUP(A500,Ativos!$A$1:$G2000,5,),"")</f>
        <v/>
      </c>
      <c r="K500" s="185" t="str">
        <f>IFERROR(VLOOKUP(A500,Ativos!A:H,8,),"")</f>
        <v/>
      </c>
      <c r="L500" s="186">
        <f t="shared" si="3"/>
        <v>0</v>
      </c>
    </row>
    <row r="501" ht="21.0" customHeight="1">
      <c r="A501" s="187"/>
      <c r="B501" s="187"/>
      <c r="C501" s="188"/>
      <c r="D501" s="135"/>
      <c r="E501" s="189"/>
      <c r="F501" s="182" t="str">
        <f t="shared" si="1"/>
        <v/>
      </c>
      <c r="G501" s="183">
        <f>IFERROR(__xludf.DUMMYFUNCTION("IFERROR(lookup(9999999999,FILTER('Operações-BR'!$M:$M,'Operações-BR'!$C:$C=A501,'Operações-BR'!$A:$A&lt;=C501)),0)"),0.0)</f>
        <v>0</v>
      </c>
      <c r="H501" s="184">
        <f t="shared" si="2"/>
        <v>0</v>
      </c>
      <c r="I501" s="184">
        <f>IFERROR(__xludf.DUMMYFUNCTION("IFERROR(lookup(9999999999,FILTER('Operações-BR'!Q:Q,'Operações-BR'!$C:$C=A501,'Operações-BR'!$A:$A&lt;=C501))/G501,0)"),0.0)</f>
        <v>0</v>
      </c>
      <c r="J501" s="185" t="str">
        <f>IFERROR(VLOOKUP(A501,Ativos!$A$1:$G2000,5,),"")</f>
        <v/>
      </c>
      <c r="K501" s="185" t="str">
        <f>IFERROR(VLOOKUP(A501,Ativos!A:H,8,),"")</f>
        <v/>
      </c>
      <c r="L501" s="186">
        <f t="shared" si="3"/>
        <v>0</v>
      </c>
    </row>
    <row r="502" ht="21.0" customHeight="1">
      <c r="A502" s="187"/>
      <c r="B502" s="187"/>
      <c r="C502" s="188"/>
      <c r="D502" s="135"/>
      <c r="E502" s="189"/>
      <c r="F502" s="182" t="str">
        <f t="shared" si="1"/>
        <v/>
      </c>
      <c r="G502" s="183">
        <f>IFERROR(__xludf.DUMMYFUNCTION("IFERROR(lookup(9999999999,FILTER('Operações-BR'!$M:$M,'Operações-BR'!$C:$C=A502,'Operações-BR'!$A:$A&lt;=C502)),0)"),0.0)</f>
        <v>0</v>
      </c>
      <c r="H502" s="184">
        <f t="shared" si="2"/>
        <v>0</v>
      </c>
      <c r="I502" s="184">
        <f>IFERROR(__xludf.DUMMYFUNCTION("IFERROR(lookup(9999999999,FILTER('Operações-BR'!Q:Q,'Operações-BR'!$C:$C=A502,'Operações-BR'!$A:$A&lt;=C502))/G502,0)"),0.0)</f>
        <v>0</v>
      </c>
      <c r="J502" s="185" t="str">
        <f>IFERROR(VLOOKUP(A502,Ativos!$A$1:$G2000,5,),"")</f>
        <v/>
      </c>
      <c r="K502" s="185" t="str">
        <f>IFERROR(VLOOKUP(A502,Ativos!A:H,8,),"")</f>
        <v/>
      </c>
      <c r="L502" s="186">
        <f t="shared" si="3"/>
        <v>0</v>
      </c>
    </row>
    <row r="503" ht="21.0" customHeight="1">
      <c r="A503" s="187"/>
      <c r="B503" s="187"/>
      <c r="C503" s="188"/>
      <c r="D503" s="135"/>
      <c r="E503" s="189"/>
      <c r="F503" s="182" t="str">
        <f t="shared" si="1"/>
        <v/>
      </c>
      <c r="G503" s="183">
        <f>IFERROR(__xludf.DUMMYFUNCTION("IFERROR(lookup(9999999999,FILTER('Operações-BR'!$M:$M,'Operações-BR'!$C:$C=A503,'Operações-BR'!$A:$A&lt;=C503)),0)"),0.0)</f>
        <v>0</v>
      </c>
      <c r="H503" s="184">
        <f t="shared" si="2"/>
        <v>0</v>
      </c>
      <c r="I503" s="184">
        <f>IFERROR(__xludf.DUMMYFUNCTION("IFERROR(lookup(9999999999,FILTER('Operações-BR'!Q:Q,'Operações-BR'!$C:$C=A503,'Operações-BR'!$A:$A&lt;=C503))/G503,0)"),0.0)</f>
        <v>0</v>
      </c>
      <c r="J503" s="185" t="str">
        <f>IFERROR(VLOOKUP(A503,Ativos!$A$1:$G2000,5,),"")</f>
        <v/>
      </c>
      <c r="K503" s="185" t="str">
        <f>IFERROR(VLOOKUP(A503,Ativos!A:H,8,),"")</f>
        <v/>
      </c>
      <c r="L503" s="186">
        <f t="shared" si="3"/>
        <v>0</v>
      </c>
    </row>
    <row r="504" ht="21.0" customHeight="1">
      <c r="A504" s="187"/>
      <c r="B504" s="187"/>
      <c r="C504" s="188"/>
      <c r="D504" s="135"/>
      <c r="E504" s="189"/>
      <c r="F504" s="182" t="str">
        <f t="shared" si="1"/>
        <v/>
      </c>
      <c r="G504" s="183">
        <f>IFERROR(__xludf.DUMMYFUNCTION("IFERROR(lookup(9999999999,FILTER('Operações-BR'!$M:$M,'Operações-BR'!$C:$C=A504,'Operações-BR'!$A:$A&lt;=C504)),0)"),0.0)</f>
        <v>0</v>
      </c>
      <c r="H504" s="184">
        <f t="shared" si="2"/>
        <v>0</v>
      </c>
      <c r="I504" s="184">
        <f>IFERROR(__xludf.DUMMYFUNCTION("IFERROR(lookup(9999999999,FILTER('Operações-BR'!Q:Q,'Operações-BR'!$C:$C=A504,'Operações-BR'!$A:$A&lt;=C504))/G504,0)"),0.0)</f>
        <v>0</v>
      </c>
      <c r="J504" s="185" t="str">
        <f>IFERROR(VLOOKUP(A504,Ativos!$A$1:$G2000,5,),"")</f>
        <v/>
      </c>
      <c r="K504" s="185" t="str">
        <f>IFERROR(VLOOKUP(A504,Ativos!A:H,8,),"")</f>
        <v/>
      </c>
      <c r="L504" s="186">
        <f t="shared" si="3"/>
        <v>0</v>
      </c>
    </row>
    <row r="505" ht="21.0" customHeight="1">
      <c r="A505" s="187"/>
      <c r="B505" s="187"/>
      <c r="C505" s="188"/>
      <c r="D505" s="135"/>
      <c r="E505" s="189"/>
      <c r="F505" s="182" t="str">
        <f t="shared" si="1"/>
        <v/>
      </c>
      <c r="G505" s="183">
        <f>IFERROR(__xludf.DUMMYFUNCTION("IFERROR(lookup(9999999999,FILTER('Operações-BR'!$M:$M,'Operações-BR'!$C:$C=A505,'Operações-BR'!$A:$A&lt;=C505)),0)"),0.0)</f>
        <v>0</v>
      </c>
      <c r="H505" s="184">
        <f t="shared" si="2"/>
        <v>0</v>
      </c>
      <c r="I505" s="184">
        <f>IFERROR(__xludf.DUMMYFUNCTION("IFERROR(lookup(9999999999,FILTER('Operações-BR'!Q:Q,'Operações-BR'!$C:$C=A505,'Operações-BR'!$A:$A&lt;=C505))/G505,0)"),0.0)</f>
        <v>0</v>
      </c>
      <c r="J505" s="185" t="str">
        <f>IFERROR(VLOOKUP(A505,Ativos!$A$1:$G2000,5,),"")</f>
        <v/>
      </c>
      <c r="K505" s="185" t="str">
        <f>IFERROR(VLOOKUP(A505,Ativos!A:H,8,),"")</f>
        <v/>
      </c>
      <c r="L505" s="186">
        <f t="shared" si="3"/>
        <v>0</v>
      </c>
    </row>
    <row r="506" ht="21.0" customHeight="1">
      <c r="A506" s="187"/>
      <c r="B506" s="187"/>
      <c r="C506" s="188"/>
      <c r="D506" s="135"/>
      <c r="E506" s="189"/>
      <c r="F506" s="182" t="str">
        <f t="shared" si="1"/>
        <v/>
      </c>
      <c r="G506" s="183">
        <f>IFERROR(__xludf.DUMMYFUNCTION("IFERROR(lookup(9999999999,FILTER('Operações-BR'!$M:$M,'Operações-BR'!$C:$C=A506,'Operações-BR'!$A:$A&lt;=C506)),0)"),0.0)</f>
        <v>0</v>
      </c>
      <c r="H506" s="184">
        <f t="shared" si="2"/>
        <v>0</v>
      </c>
      <c r="I506" s="184">
        <f>IFERROR(__xludf.DUMMYFUNCTION("IFERROR(lookup(9999999999,FILTER('Operações-BR'!Q:Q,'Operações-BR'!$C:$C=A506,'Operações-BR'!$A:$A&lt;=C506))/G506,0)"),0.0)</f>
        <v>0</v>
      </c>
      <c r="J506" s="185" t="str">
        <f>IFERROR(VLOOKUP(A506,Ativos!$A$1:$G2000,5,),"")</f>
        <v/>
      </c>
      <c r="K506" s="185" t="str">
        <f>IFERROR(VLOOKUP(A506,Ativos!A:H,8,),"")</f>
        <v/>
      </c>
      <c r="L506" s="186">
        <f t="shared" si="3"/>
        <v>0</v>
      </c>
    </row>
    <row r="507" ht="21.0" customHeight="1">
      <c r="A507" s="187"/>
      <c r="B507" s="187"/>
      <c r="C507" s="188"/>
      <c r="D507" s="135"/>
      <c r="E507" s="189"/>
      <c r="F507" s="182" t="str">
        <f t="shared" si="1"/>
        <v/>
      </c>
      <c r="G507" s="183">
        <f>IFERROR(__xludf.DUMMYFUNCTION("IFERROR(lookup(9999999999,FILTER('Operações-BR'!$M:$M,'Operações-BR'!$C:$C=A507,'Operações-BR'!$A:$A&lt;=C507)),0)"),0.0)</f>
        <v>0</v>
      </c>
      <c r="H507" s="184">
        <f t="shared" si="2"/>
        <v>0</v>
      </c>
      <c r="I507" s="184">
        <f>IFERROR(__xludf.DUMMYFUNCTION("IFERROR(lookup(9999999999,FILTER('Operações-BR'!Q:Q,'Operações-BR'!$C:$C=A507,'Operações-BR'!$A:$A&lt;=C507))/G507,0)"),0.0)</f>
        <v>0</v>
      </c>
      <c r="J507" s="185" t="str">
        <f>IFERROR(VLOOKUP(A507,Ativos!$A$1:$G2000,5,),"")</f>
        <v/>
      </c>
      <c r="K507" s="185" t="str">
        <f>IFERROR(VLOOKUP(A507,Ativos!A:H,8,),"")</f>
        <v/>
      </c>
      <c r="L507" s="186">
        <f t="shared" si="3"/>
        <v>0</v>
      </c>
    </row>
    <row r="508" ht="21.0" customHeight="1">
      <c r="A508" s="187"/>
      <c r="B508" s="187"/>
      <c r="C508" s="188"/>
      <c r="D508" s="135"/>
      <c r="E508" s="189"/>
      <c r="F508" s="182" t="str">
        <f t="shared" si="1"/>
        <v/>
      </c>
      <c r="G508" s="183">
        <f>IFERROR(__xludf.DUMMYFUNCTION("IFERROR(lookup(9999999999,FILTER('Operações-BR'!$M:$M,'Operações-BR'!$C:$C=A508,'Operações-BR'!$A:$A&lt;=C508)),0)"),0.0)</f>
        <v>0</v>
      </c>
      <c r="H508" s="184">
        <f t="shared" si="2"/>
        <v>0</v>
      </c>
      <c r="I508" s="184">
        <f>IFERROR(__xludf.DUMMYFUNCTION("IFERROR(lookup(9999999999,FILTER('Operações-BR'!Q:Q,'Operações-BR'!$C:$C=A508,'Operações-BR'!$A:$A&lt;=C508))/G508,0)"),0.0)</f>
        <v>0</v>
      </c>
      <c r="J508" s="185" t="str">
        <f>IFERROR(VLOOKUP(A508,Ativos!$A$1:$G2000,5,),"")</f>
        <v/>
      </c>
      <c r="K508" s="185" t="str">
        <f>IFERROR(VLOOKUP(A508,Ativos!A:H,8,),"")</f>
        <v/>
      </c>
      <c r="L508" s="186">
        <f t="shared" si="3"/>
        <v>0</v>
      </c>
    </row>
    <row r="509" ht="21.0" customHeight="1">
      <c r="A509" s="187"/>
      <c r="B509" s="187"/>
      <c r="C509" s="188"/>
      <c r="D509" s="135"/>
      <c r="E509" s="189"/>
      <c r="F509" s="182" t="str">
        <f t="shared" si="1"/>
        <v/>
      </c>
      <c r="G509" s="183">
        <f>IFERROR(__xludf.DUMMYFUNCTION("IFERROR(lookup(9999999999,FILTER('Operações-BR'!$M:$M,'Operações-BR'!$C:$C=A509,'Operações-BR'!$A:$A&lt;=C509)),0)"),0.0)</f>
        <v>0</v>
      </c>
      <c r="H509" s="184">
        <f t="shared" si="2"/>
        <v>0</v>
      </c>
      <c r="I509" s="184">
        <f>IFERROR(__xludf.DUMMYFUNCTION("IFERROR(lookup(9999999999,FILTER('Operações-BR'!Q:Q,'Operações-BR'!$C:$C=A509,'Operações-BR'!$A:$A&lt;=C509))/G509,0)"),0.0)</f>
        <v>0</v>
      </c>
      <c r="J509" s="185" t="str">
        <f>IFERROR(VLOOKUP(A509,Ativos!$A$1:$G2000,5,),"")</f>
        <v/>
      </c>
      <c r="K509" s="185" t="str">
        <f>IFERROR(VLOOKUP(A509,Ativos!A:H,8,),"")</f>
        <v/>
      </c>
      <c r="L509" s="186">
        <f t="shared" si="3"/>
        <v>0</v>
      </c>
    </row>
    <row r="510" ht="21.0" customHeight="1">
      <c r="A510" s="187"/>
      <c r="B510" s="187"/>
      <c r="C510" s="188"/>
      <c r="D510" s="135"/>
      <c r="E510" s="189"/>
      <c r="F510" s="182" t="str">
        <f t="shared" si="1"/>
        <v/>
      </c>
      <c r="G510" s="183">
        <f>IFERROR(__xludf.DUMMYFUNCTION("IFERROR(lookup(9999999999,FILTER('Operações-BR'!$M:$M,'Operações-BR'!$C:$C=A510,'Operações-BR'!$A:$A&lt;=C510)),0)"),0.0)</f>
        <v>0</v>
      </c>
      <c r="H510" s="184">
        <f t="shared" si="2"/>
        <v>0</v>
      </c>
      <c r="I510" s="184">
        <f>IFERROR(__xludf.DUMMYFUNCTION("IFERROR(lookup(9999999999,FILTER('Operações-BR'!Q:Q,'Operações-BR'!$C:$C=A510,'Operações-BR'!$A:$A&lt;=C510))/G510,0)"),0.0)</f>
        <v>0</v>
      </c>
      <c r="J510" s="185" t="str">
        <f>IFERROR(VLOOKUP(A510,Ativos!$A$1:$G2000,5,),"")</f>
        <v/>
      </c>
      <c r="K510" s="185" t="str">
        <f>IFERROR(VLOOKUP(A510,Ativos!A:H,8,),"")</f>
        <v/>
      </c>
      <c r="L510" s="186">
        <f t="shared" si="3"/>
        <v>0</v>
      </c>
    </row>
    <row r="511" ht="21.0" customHeight="1">
      <c r="A511" s="187"/>
      <c r="B511" s="187"/>
      <c r="C511" s="188"/>
      <c r="D511" s="135"/>
      <c r="E511" s="189"/>
      <c r="F511" s="182" t="str">
        <f t="shared" si="1"/>
        <v/>
      </c>
      <c r="G511" s="183">
        <f>IFERROR(__xludf.DUMMYFUNCTION("IFERROR(lookup(9999999999,FILTER('Operações-BR'!$M:$M,'Operações-BR'!$C:$C=A511,'Operações-BR'!$A:$A&lt;=C511)),0)"),0.0)</f>
        <v>0</v>
      </c>
      <c r="H511" s="184">
        <f t="shared" si="2"/>
        <v>0</v>
      </c>
      <c r="I511" s="184">
        <f>IFERROR(__xludf.DUMMYFUNCTION("IFERROR(lookup(9999999999,FILTER('Operações-BR'!Q:Q,'Operações-BR'!$C:$C=A511,'Operações-BR'!$A:$A&lt;=C511))/G511,0)"),0.0)</f>
        <v>0</v>
      </c>
      <c r="J511" s="185" t="str">
        <f>IFERROR(VLOOKUP(A511,Ativos!$A$1:$G2000,5,),"")</f>
        <v/>
      </c>
      <c r="K511" s="185" t="str">
        <f>IFERROR(VLOOKUP(A511,Ativos!A:H,8,),"")</f>
        <v/>
      </c>
      <c r="L511" s="186">
        <f t="shared" si="3"/>
        <v>0</v>
      </c>
    </row>
    <row r="512" ht="21.0" customHeight="1">
      <c r="A512" s="187"/>
      <c r="B512" s="187"/>
      <c r="C512" s="188"/>
      <c r="D512" s="135"/>
      <c r="E512" s="189"/>
      <c r="F512" s="182" t="str">
        <f t="shared" si="1"/>
        <v/>
      </c>
      <c r="G512" s="183">
        <f>IFERROR(__xludf.DUMMYFUNCTION("IFERROR(lookup(9999999999,FILTER('Operações-BR'!$M:$M,'Operações-BR'!$C:$C=A512,'Operações-BR'!$A:$A&lt;=C512)),0)"),0.0)</f>
        <v>0</v>
      </c>
      <c r="H512" s="184">
        <f t="shared" si="2"/>
        <v>0</v>
      </c>
      <c r="I512" s="184">
        <f>IFERROR(__xludf.DUMMYFUNCTION("IFERROR(lookup(9999999999,FILTER('Operações-BR'!Q:Q,'Operações-BR'!$C:$C=A512,'Operações-BR'!$A:$A&lt;=C512))/G512,0)"),0.0)</f>
        <v>0</v>
      </c>
      <c r="J512" s="185" t="str">
        <f>IFERROR(VLOOKUP(A512,Ativos!$A$1:$G2000,5,),"")</f>
        <v/>
      </c>
      <c r="K512" s="185" t="str">
        <f>IFERROR(VLOOKUP(A512,Ativos!A:H,8,),"")</f>
        <v/>
      </c>
      <c r="L512" s="186">
        <f t="shared" si="3"/>
        <v>0</v>
      </c>
    </row>
    <row r="513" ht="21.0" customHeight="1">
      <c r="A513" s="187"/>
      <c r="B513" s="187"/>
      <c r="C513" s="188"/>
      <c r="D513" s="135"/>
      <c r="E513" s="189"/>
      <c r="F513" s="182" t="str">
        <f t="shared" si="1"/>
        <v/>
      </c>
      <c r="G513" s="183">
        <f>IFERROR(__xludf.DUMMYFUNCTION("IFERROR(lookup(9999999999,FILTER('Operações-BR'!$M:$M,'Operações-BR'!$C:$C=A513,'Operações-BR'!$A:$A&lt;=C513)),0)"),0.0)</f>
        <v>0</v>
      </c>
      <c r="H513" s="184">
        <f t="shared" si="2"/>
        <v>0</v>
      </c>
      <c r="I513" s="184">
        <f>IFERROR(__xludf.DUMMYFUNCTION("IFERROR(lookup(9999999999,FILTER('Operações-BR'!Q:Q,'Operações-BR'!$C:$C=A513,'Operações-BR'!$A:$A&lt;=C513))/G513,0)"),0.0)</f>
        <v>0</v>
      </c>
      <c r="J513" s="185" t="str">
        <f>IFERROR(VLOOKUP(A513,Ativos!$A$1:$G2000,5,),"")</f>
        <v/>
      </c>
      <c r="K513" s="185" t="str">
        <f>IFERROR(VLOOKUP(A513,Ativos!A:H,8,),"")</f>
        <v/>
      </c>
      <c r="L513" s="186">
        <f t="shared" si="3"/>
        <v>0</v>
      </c>
    </row>
    <row r="514" ht="21.0" customHeight="1">
      <c r="A514" s="187"/>
      <c r="B514" s="187"/>
      <c r="C514" s="188"/>
      <c r="D514" s="135"/>
      <c r="E514" s="189"/>
      <c r="F514" s="182" t="str">
        <f t="shared" si="1"/>
        <v/>
      </c>
      <c r="G514" s="183">
        <f>IFERROR(__xludf.DUMMYFUNCTION("IFERROR(lookup(9999999999,FILTER('Operações-BR'!$M:$M,'Operações-BR'!$C:$C=A514,'Operações-BR'!$A:$A&lt;=C514)),0)"),0.0)</f>
        <v>0</v>
      </c>
      <c r="H514" s="184">
        <f t="shared" si="2"/>
        <v>0</v>
      </c>
      <c r="I514" s="184">
        <f>IFERROR(__xludf.DUMMYFUNCTION("IFERROR(lookup(9999999999,FILTER('Operações-BR'!Q:Q,'Operações-BR'!$C:$C=A514,'Operações-BR'!$A:$A&lt;=C514))/G514,0)"),0.0)</f>
        <v>0</v>
      </c>
      <c r="J514" s="185" t="str">
        <f>IFERROR(VLOOKUP(A514,Ativos!$A$1:$G2000,5,),"")</f>
        <v/>
      </c>
      <c r="K514" s="185" t="str">
        <f>IFERROR(VLOOKUP(A514,Ativos!A:H,8,),"")</f>
        <v/>
      </c>
      <c r="L514" s="186">
        <f t="shared" si="3"/>
        <v>0</v>
      </c>
    </row>
    <row r="515" ht="21.0" customHeight="1">
      <c r="A515" s="187"/>
      <c r="B515" s="187"/>
      <c r="C515" s="188"/>
      <c r="D515" s="135"/>
      <c r="E515" s="189"/>
      <c r="F515" s="182" t="str">
        <f t="shared" si="1"/>
        <v/>
      </c>
      <c r="G515" s="183">
        <f>IFERROR(__xludf.DUMMYFUNCTION("IFERROR(lookup(9999999999,FILTER('Operações-BR'!$M:$M,'Operações-BR'!$C:$C=A515,'Operações-BR'!$A:$A&lt;=C515)),0)"),0.0)</f>
        <v>0</v>
      </c>
      <c r="H515" s="184">
        <f t="shared" si="2"/>
        <v>0</v>
      </c>
      <c r="I515" s="184">
        <f>IFERROR(__xludf.DUMMYFUNCTION("IFERROR(lookup(9999999999,FILTER('Operações-BR'!Q:Q,'Operações-BR'!$C:$C=A515,'Operações-BR'!$A:$A&lt;=C515))/G515,0)"),0.0)</f>
        <v>0</v>
      </c>
      <c r="J515" s="185" t="str">
        <f>IFERROR(VLOOKUP(A515,Ativos!$A$1:$G2000,5,),"")</f>
        <v/>
      </c>
      <c r="K515" s="185" t="str">
        <f>IFERROR(VLOOKUP(A515,Ativos!A:H,8,),"")</f>
        <v/>
      </c>
      <c r="L515" s="186">
        <f t="shared" si="3"/>
        <v>0</v>
      </c>
    </row>
    <row r="516" ht="21.0" customHeight="1">
      <c r="A516" s="187"/>
      <c r="B516" s="187"/>
      <c r="C516" s="188"/>
      <c r="D516" s="135"/>
      <c r="E516" s="189"/>
      <c r="F516" s="182" t="str">
        <f t="shared" si="1"/>
        <v/>
      </c>
      <c r="G516" s="183">
        <f>IFERROR(__xludf.DUMMYFUNCTION("IFERROR(lookup(9999999999,FILTER('Operações-BR'!$M:$M,'Operações-BR'!$C:$C=A516,'Operações-BR'!$A:$A&lt;=C516)),0)"),0.0)</f>
        <v>0</v>
      </c>
      <c r="H516" s="184">
        <f t="shared" si="2"/>
        <v>0</v>
      </c>
      <c r="I516" s="184">
        <f>IFERROR(__xludf.DUMMYFUNCTION("IFERROR(lookup(9999999999,FILTER('Operações-BR'!Q:Q,'Operações-BR'!$C:$C=A516,'Operações-BR'!$A:$A&lt;=C516))/G516,0)"),0.0)</f>
        <v>0</v>
      </c>
      <c r="J516" s="185" t="str">
        <f>IFERROR(VLOOKUP(A516,Ativos!$A$1:$G2000,5,),"")</f>
        <v/>
      </c>
      <c r="K516" s="185" t="str">
        <f>IFERROR(VLOOKUP(A516,Ativos!A:H,8,),"")</f>
        <v/>
      </c>
      <c r="L516" s="186">
        <f t="shared" si="3"/>
        <v>0</v>
      </c>
    </row>
    <row r="517" ht="21.0" customHeight="1">
      <c r="A517" s="187"/>
      <c r="B517" s="187"/>
      <c r="C517" s="188"/>
      <c r="D517" s="135"/>
      <c r="E517" s="189"/>
      <c r="F517" s="182" t="str">
        <f t="shared" si="1"/>
        <v/>
      </c>
      <c r="G517" s="183">
        <f>IFERROR(__xludf.DUMMYFUNCTION("IFERROR(lookup(9999999999,FILTER('Operações-BR'!$M:$M,'Operações-BR'!$C:$C=A517,'Operações-BR'!$A:$A&lt;=C517)),0)"),0.0)</f>
        <v>0</v>
      </c>
      <c r="H517" s="184">
        <f t="shared" si="2"/>
        <v>0</v>
      </c>
      <c r="I517" s="184">
        <f>IFERROR(__xludf.DUMMYFUNCTION("IFERROR(lookup(9999999999,FILTER('Operações-BR'!Q:Q,'Operações-BR'!$C:$C=A517,'Operações-BR'!$A:$A&lt;=C517))/G517,0)"),0.0)</f>
        <v>0</v>
      </c>
      <c r="J517" s="185" t="str">
        <f>IFERROR(VLOOKUP(A517,Ativos!$A$1:$G2000,5,),"")</f>
        <v/>
      </c>
      <c r="K517" s="185" t="str">
        <f>IFERROR(VLOOKUP(A517,Ativos!A:H,8,),"")</f>
        <v/>
      </c>
      <c r="L517" s="186">
        <f t="shared" si="3"/>
        <v>0</v>
      </c>
    </row>
    <row r="518" ht="21.0" customHeight="1">
      <c r="A518" s="187"/>
      <c r="B518" s="187"/>
      <c r="C518" s="188"/>
      <c r="D518" s="135"/>
      <c r="E518" s="189"/>
      <c r="F518" s="182" t="str">
        <f t="shared" si="1"/>
        <v/>
      </c>
      <c r="G518" s="183">
        <f>IFERROR(__xludf.DUMMYFUNCTION("IFERROR(lookup(9999999999,FILTER('Operações-BR'!$M:$M,'Operações-BR'!$C:$C=A518,'Operações-BR'!$A:$A&lt;=C518)),0)"),0.0)</f>
        <v>0</v>
      </c>
      <c r="H518" s="184">
        <f t="shared" si="2"/>
        <v>0</v>
      </c>
      <c r="I518" s="184">
        <f>IFERROR(__xludf.DUMMYFUNCTION("IFERROR(lookup(9999999999,FILTER('Operações-BR'!Q:Q,'Operações-BR'!$C:$C=A518,'Operações-BR'!$A:$A&lt;=C518))/G518,0)"),0.0)</f>
        <v>0</v>
      </c>
      <c r="J518" s="185" t="str">
        <f>IFERROR(VLOOKUP(A518,Ativos!$A$1:$G2000,5,),"")</f>
        <v/>
      </c>
      <c r="K518" s="185" t="str">
        <f>IFERROR(VLOOKUP(A518,Ativos!A:H,8,),"")</f>
        <v/>
      </c>
      <c r="L518" s="186">
        <f t="shared" si="3"/>
        <v>0</v>
      </c>
    </row>
    <row r="519" ht="21.0" customHeight="1">
      <c r="A519" s="187"/>
      <c r="B519" s="187"/>
      <c r="C519" s="188"/>
      <c r="D519" s="135"/>
      <c r="E519" s="189"/>
      <c r="F519" s="182" t="str">
        <f t="shared" si="1"/>
        <v/>
      </c>
      <c r="G519" s="183">
        <f>IFERROR(__xludf.DUMMYFUNCTION("IFERROR(lookup(9999999999,FILTER('Operações-BR'!$M:$M,'Operações-BR'!$C:$C=A519,'Operações-BR'!$A:$A&lt;=C519)),0)"),0.0)</f>
        <v>0</v>
      </c>
      <c r="H519" s="184">
        <f t="shared" si="2"/>
        <v>0</v>
      </c>
      <c r="I519" s="184">
        <f>IFERROR(__xludf.DUMMYFUNCTION("IFERROR(lookup(9999999999,FILTER('Operações-BR'!Q:Q,'Operações-BR'!$C:$C=A519,'Operações-BR'!$A:$A&lt;=C519))/G519,0)"),0.0)</f>
        <v>0</v>
      </c>
      <c r="J519" s="185" t="str">
        <f>IFERROR(VLOOKUP(A519,Ativos!$A$1:$G2000,5,),"")</f>
        <v/>
      </c>
      <c r="K519" s="185" t="str">
        <f>IFERROR(VLOOKUP(A519,Ativos!A:H,8,),"")</f>
        <v/>
      </c>
      <c r="L519" s="186">
        <f t="shared" si="3"/>
        <v>0</v>
      </c>
    </row>
    <row r="520" ht="21.0" customHeight="1">
      <c r="A520" s="187"/>
      <c r="B520" s="187"/>
      <c r="C520" s="188"/>
      <c r="D520" s="135"/>
      <c r="E520" s="189"/>
      <c r="F520" s="182" t="str">
        <f t="shared" si="1"/>
        <v/>
      </c>
      <c r="G520" s="183">
        <f>IFERROR(__xludf.DUMMYFUNCTION("IFERROR(lookup(9999999999,FILTER('Operações-BR'!$M:$M,'Operações-BR'!$C:$C=A520,'Operações-BR'!$A:$A&lt;=C520)),0)"),0.0)</f>
        <v>0</v>
      </c>
      <c r="H520" s="184">
        <f t="shared" si="2"/>
        <v>0</v>
      </c>
      <c r="I520" s="184">
        <f>IFERROR(__xludf.DUMMYFUNCTION("IFERROR(lookup(9999999999,FILTER('Operações-BR'!Q:Q,'Operações-BR'!$C:$C=A520,'Operações-BR'!$A:$A&lt;=C520))/G520,0)"),0.0)</f>
        <v>0</v>
      </c>
      <c r="J520" s="185" t="str">
        <f>IFERROR(VLOOKUP(A520,Ativos!$A$1:$G2000,5,),"")</f>
        <v/>
      </c>
      <c r="K520" s="185" t="str">
        <f>IFERROR(VLOOKUP(A520,Ativos!A:H,8,),"")</f>
        <v/>
      </c>
      <c r="L520" s="186">
        <f t="shared" si="3"/>
        <v>0</v>
      </c>
    </row>
    <row r="521" ht="21.0" customHeight="1">
      <c r="A521" s="187"/>
      <c r="B521" s="187"/>
      <c r="C521" s="188"/>
      <c r="D521" s="135"/>
      <c r="E521" s="189"/>
      <c r="F521" s="182" t="str">
        <f t="shared" si="1"/>
        <v/>
      </c>
      <c r="G521" s="183">
        <f>IFERROR(__xludf.DUMMYFUNCTION("IFERROR(lookup(9999999999,FILTER('Operações-BR'!$M:$M,'Operações-BR'!$C:$C=A521,'Operações-BR'!$A:$A&lt;=C521)),0)"),0.0)</f>
        <v>0</v>
      </c>
      <c r="H521" s="184">
        <f t="shared" si="2"/>
        <v>0</v>
      </c>
      <c r="I521" s="184">
        <f>IFERROR(__xludf.DUMMYFUNCTION("IFERROR(lookup(9999999999,FILTER('Operações-BR'!Q:Q,'Operações-BR'!$C:$C=A521,'Operações-BR'!$A:$A&lt;=C521))/G521,0)"),0.0)</f>
        <v>0</v>
      </c>
      <c r="J521" s="185" t="str">
        <f>IFERROR(VLOOKUP(A521,Ativos!$A$1:$G2000,5,),"")</f>
        <v/>
      </c>
      <c r="K521" s="185" t="str">
        <f>IFERROR(VLOOKUP(A521,Ativos!A:H,8,),"")</f>
        <v/>
      </c>
      <c r="L521" s="186">
        <f t="shared" si="3"/>
        <v>0</v>
      </c>
    </row>
    <row r="522" ht="21.0" customHeight="1">
      <c r="A522" s="187"/>
      <c r="B522" s="187"/>
      <c r="C522" s="188"/>
      <c r="D522" s="135"/>
      <c r="E522" s="189"/>
      <c r="F522" s="182" t="str">
        <f t="shared" si="1"/>
        <v/>
      </c>
      <c r="G522" s="183">
        <f>IFERROR(__xludf.DUMMYFUNCTION("IFERROR(lookup(9999999999,FILTER('Operações-BR'!$M:$M,'Operações-BR'!$C:$C=A522,'Operações-BR'!$A:$A&lt;=C522)),0)"),0.0)</f>
        <v>0</v>
      </c>
      <c r="H522" s="184">
        <f t="shared" si="2"/>
        <v>0</v>
      </c>
      <c r="I522" s="184">
        <f>IFERROR(__xludf.DUMMYFUNCTION("IFERROR(lookup(9999999999,FILTER('Operações-BR'!Q:Q,'Operações-BR'!$C:$C=A522,'Operações-BR'!$A:$A&lt;=C522))/G522,0)"),0.0)</f>
        <v>0</v>
      </c>
      <c r="J522" s="185" t="str">
        <f>IFERROR(VLOOKUP(A522,Ativos!$A$1:$G2000,5,),"")</f>
        <v/>
      </c>
      <c r="K522" s="185" t="str">
        <f>IFERROR(VLOOKUP(A522,Ativos!A:H,8,),"")</f>
        <v/>
      </c>
      <c r="L522" s="186">
        <f t="shared" si="3"/>
        <v>0</v>
      </c>
    </row>
    <row r="523" ht="21.0" customHeight="1">
      <c r="A523" s="187"/>
      <c r="B523" s="187"/>
      <c r="C523" s="188"/>
      <c r="D523" s="135"/>
      <c r="E523" s="189"/>
      <c r="F523" s="182" t="str">
        <f t="shared" si="1"/>
        <v/>
      </c>
      <c r="G523" s="183">
        <f>IFERROR(__xludf.DUMMYFUNCTION("IFERROR(lookup(9999999999,FILTER('Operações-BR'!$M:$M,'Operações-BR'!$C:$C=A523,'Operações-BR'!$A:$A&lt;=C523)),0)"),0.0)</f>
        <v>0</v>
      </c>
      <c r="H523" s="184">
        <f t="shared" si="2"/>
        <v>0</v>
      </c>
      <c r="I523" s="184">
        <f>IFERROR(__xludf.DUMMYFUNCTION("IFERROR(lookup(9999999999,FILTER('Operações-BR'!Q:Q,'Operações-BR'!$C:$C=A523,'Operações-BR'!$A:$A&lt;=C523))/G523,0)"),0.0)</f>
        <v>0</v>
      </c>
      <c r="J523" s="185" t="str">
        <f>IFERROR(VLOOKUP(A523,Ativos!$A$1:$G2000,5,),"")</f>
        <v/>
      </c>
      <c r="K523" s="185" t="str">
        <f>IFERROR(VLOOKUP(A523,Ativos!A:H,8,),"")</f>
        <v/>
      </c>
      <c r="L523" s="186">
        <f t="shared" si="3"/>
        <v>0</v>
      </c>
    </row>
    <row r="524" ht="21.0" customHeight="1">
      <c r="A524" s="187"/>
      <c r="B524" s="187"/>
      <c r="C524" s="188"/>
      <c r="D524" s="135"/>
      <c r="E524" s="189"/>
      <c r="F524" s="182" t="str">
        <f t="shared" si="1"/>
        <v/>
      </c>
      <c r="G524" s="183">
        <f>IFERROR(__xludf.DUMMYFUNCTION("IFERROR(lookup(9999999999,FILTER('Operações-BR'!$M:$M,'Operações-BR'!$C:$C=A524,'Operações-BR'!$A:$A&lt;=C524)),0)"),0.0)</f>
        <v>0</v>
      </c>
      <c r="H524" s="184">
        <f t="shared" si="2"/>
        <v>0</v>
      </c>
      <c r="I524" s="184">
        <f>IFERROR(__xludf.DUMMYFUNCTION("IFERROR(lookup(9999999999,FILTER('Operações-BR'!Q:Q,'Operações-BR'!$C:$C=A524,'Operações-BR'!$A:$A&lt;=C524))/G524,0)"),0.0)</f>
        <v>0</v>
      </c>
      <c r="J524" s="185" t="str">
        <f>IFERROR(VLOOKUP(A524,Ativos!$A$1:$G2000,5,),"")</f>
        <v/>
      </c>
      <c r="K524" s="185" t="str">
        <f>IFERROR(VLOOKUP(A524,Ativos!A:H,8,),"")</f>
        <v/>
      </c>
      <c r="L524" s="186">
        <f t="shared" si="3"/>
        <v>0</v>
      </c>
    </row>
    <row r="525" ht="21.0" customHeight="1">
      <c r="A525" s="187"/>
      <c r="B525" s="187"/>
      <c r="C525" s="188"/>
      <c r="D525" s="135"/>
      <c r="E525" s="189"/>
      <c r="F525" s="182" t="str">
        <f t="shared" si="1"/>
        <v/>
      </c>
      <c r="G525" s="183">
        <f>IFERROR(__xludf.DUMMYFUNCTION("IFERROR(lookup(9999999999,FILTER('Operações-BR'!$M:$M,'Operações-BR'!$C:$C=A525,'Operações-BR'!$A:$A&lt;=C525)),0)"),0.0)</f>
        <v>0</v>
      </c>
      <c r="H525" s="184">
        <f t="shared" si="2"/>
        <v>0</v>
      </c>
      <c r="I525" s="184">
        <f>IFERROR(__xludf.DUMMYFUNCTION("IFERROR(lookup(9999999999,FILTER('Operações-BR'!Q:Q,'Operações-BR'!$C:$C=A525,'Operações-BR'!$A:$A&lt;=C525))/G525,0)"),0.0)</f>
        <v>0</v>
      </c>
      <c r="J525" s="185" t="str">
        <f>IFERROR(VLOOKUP(A525,Ativos!$A$1:$G2000,5,),"")</f>
        <v/>
      </c>
      <c r="K525" s="185" t="str">
        <f>IFERROR(VLOOKUP(A525,Ativos!A:H,8,),"")</f>
        <v/>
      </c>
      <c r="L525" s="186">
        <f t="shared" si="3"/>
        <v>0</v>
      </c>
    </row>
    <row r="526" ht="21.0" customHeight="1">
      <c r="A526" s="187"/>
      <c r="B526" s="187"/>
      <c r="C526" s="188"/>
      <c r="D526" s="135"/>
      <c r="E526" s="189"/>
      <c r="F526" s="182" t="str">
        <f t="shared" si="1"/>
        <v/>
      </c>
      <c r="G526" s="183">
        <f>IFERROR(__xludf.DUMMYFUNCTION("IFERROR(lookup(9999999999,FILTER('Operações-BR'!$M:$M,'Operações-BR'!$C:$C=A526,'Operações-BR'!$A:$A&lt;=C526)),0)"),0.0)</f>
        <v>0</v>
      </c>
      <c r="H526" s="184">
        <f t="shared" si="2"/>
        <v>0</v>
      </c>
      <c r="I526" s="184">
        <f>IFERROR(__xludf.DUMMYFUNCTION("IFERROR(lookup(9999999999,FILTER('Operações-BR'!Q:Q,'Operações-BR'!$C:$C=A526,'Operações-BR'!$A:$A&lt;=C526))/G526,0)"),0.0)</f>
        <v>0</v>
      </c>
      <c r="J526" s="185" t="str">
        <f>IFERROR(VLOOKUP(A526,Ativos!$A$1:$G2000,5,),"")</f>
        <v/>
      </c>
      <c r="K526" s="185" t="str">
        <f>IFERROR(VLOOKUP(A526,Ativos!A:H,8,),"")</f>
        <v/>
      </c>
      <c r="L526" s="186">
        <f t="shared" si="3"/>
        <v>0</v>
      </c>
    </row>
    <row r="527" ht="21.0" customHeight="1">
      <c r="A527" s="187"/>
      <c r="B527" s="187"/>
      <c r="C527" s="188"/>
      <c r="D527" s="135"/>
      <c r="E527" s="189"/>
      <c r="F527" s="182" t="str">
        <f t="shared" si="1"/>
        <v/>
      </c>
      <c r="G527" s="183">
        <f>IFERROR(__xludf.DUMMYFUNCTION("IFERROR(lookup(9999999999,FILTER('Operações-BR'!$M:$M,'Operações-BR'!$C:$C=A527,'Operações-BR'!$A:$A&lt;=C527)),0)"),0.0)</f>
        <v>0</v>
      </c>
      <c r="H527" s="184">
        <f t="shared" si="2"/>
        <v>0</v>
      </c>
      <c r="I527" s="184">
        <f>IFERROR(__xludf.DUMMYFUNCTION("IFERROR(lookup(9999999999,FILTER('Operações-BR'!Q:Q,'Operações-BR'!$C:$C=A527,'Operações-BR'!$A:$A&lt;=C527))/G527,0)"),0.0)</f>
        <v>0</v>
      </c>
      <c r="J527" s="185" t="str">
        <f>IFERROR(VLOOKUP(A527,Ativos!$A$1:$G2000,5,),"")</f>
        <v/>
      </c>
      <c r="K527" s="185" t="str">
        <f>IFERROR(VLOOKUP(A527,Ativos!A:H,8,),"")</f>
        <v/>
      </c>
      <c r="L527" s="186">
        <f t="shared" si="3"/>
        <v>0</v>
      </c>
    </row>
    <row r="528" ht="21.0" customHeight="1">
      <c r="A528" s="187"/>
      <c r="B528" s="187"/>
      <c r="C528" s="188"/>
      <c r="D528" s="135"/>
      <c r="E528" s="189"/>
      <c r="F528" s="182" t="str">
        <f t="shared" si="1"/>
        <v/>
      </c>
      <c r="G528" s="183">
        <f>IFERROR(__xludf.DUMMYFUNCTION("IFERROR(lookup(9999999999,FILTER('Operações-BR'!$M:$M,'Operações-BR'!$C:$C=A528,'Operações-BR'!$A:$A&lt;=C528)),0)"),0.0)</f>
        <v>0</v>
      </c>
      <c r="H528" s="184">
        <f t="shared" si="2"/>
        <v>0</v>
      </c>
      <c r="I528" s="184">
        <f>IFERROR(__xludf.DUMMYFUNCTION("IFERROR(lookup(9999999999,FILTER('Operações-BR'!Q:Q,'Operações-BR'!$C:$C=A528,'Operações-BR'!$A:$A&lt;=C528))/G528,0)"),0.0)</f>
        <v>0</v>
      </c>
      <c r="J528" s="185" t="str">
        <f>IFERROR(VLOOKUP(A528,Ativos!$A$1:$G2000,5,),"")</f>
        <v/>
      </c>
      <c r="K528" s="185" t="str">
        <f>IFERROR(VLOOKUP(A528,Ativos!A:H,8,),"")</f>
        <v/>
      </c>
      <c r="L528" s="186">
        <f t="shared" si="3"/>
        <v>0</v>
      </c>
    </row>
    <row r="529" ht="21.0" customHeight="1">
      <c r="A529" s="187"/>
      <c r="B529" s="187"/>
      <c r="C529" s="188"/>
      <c r="D529" s="135"/>
      <c r="E529" s="189"/>
      <c r="F529" s="182" t="str">
        <f t="shared" si="1"/>
        <v/>
      </c>
      <c r="G529" s="183">
        <f>IFERROR(__xludf.DUMMYFUNCTION("IFERROR(lookup(9999999999,FILTER('Operações-BR'!$M:$M,'Operações-BR'!$C:$C=A529,'Operações-BR'!$A:$A&lt;=C529)),0)"),0.0)</f>
        <v>0</v>
      </c>
      <c r="H529" s="184">
        <f t="shared" si="2"/>
        <v>0</v>
      </c>
      <c r="I529" s="184">
        <f>IFERROR(__xludf.DUMMYFUNCTION("IFERROR(lookup(9999999999,FILTER('Operações-BR'!Q:Q,'Operações-BR'!$C:$C=A529,'Operações-BR'!$A:$A&lt;=C529))/G529,0)"),0.0)</f>
        <v>0</v>
      </c>
      <c r="J529" s="185" t="str">
        <f>IFERROR(VLOOKUP(A529,Ativos!$A$1:$G2000,5,),"")</f>
        <v/>
      </c>
      <c r="K529" s="185" t="str">
        <f>IFERROR(VLOOKUP(A529,Ativos!A:H,8,),"")</f>
        <v/>
      </c>
      <c r="L529" s="186">
        <f t="shared" si="3"/>
        <v>0</v>
      </c>
    </row>
    <row r="530" ht="21.0" customHeight="1">
      <c r="A530" s="187"/>
      <c r="B530" s="187"/>
      <c r="C530" s="188"/>
      <c r="D530" s="135"/>
      <c r="E530" s="189"/>
      <c r="F530" s="182" t="str">
        <f t="shared" si="1"/>
        <v/>
      </c>
      <c r="G530" s="183">
        <f>IFERROR(__xludf.DUMMYFUNCTION("IFERROR(lookup(9999999999,FILTER('Operações-BR'!$M:$M,'Operações-BR'!$C:$C=A530,'Operações-BR'!$A:$A&lt;=C530)),0)"),0.0)</f>
        <v>0</v>
      </c>
      <c r="H530" s="184">
        <f t="shared" si="2"/>
        <v>0</v>
      </c>
      <c r="I530" s="184">
        <f>IFERROR(__xludf.DUMMYFUNCTION("IFERROR(lookup(9999999999,FILTER('Operações-BR'!Q:Q,'Operações-BR'!$C:$C=A530,'Operações-BR'!$A:$A&lt;=C530))/G530,0)"),0.0)</f>
        <v>0</v>
      </c>
      <c r="J530" s="185" t="str">
        <f>IFERROR(VLOOKUP(A530,Ativos!$A$1:$G2000,5,),"")</f>
        <v/>
      </c>
      <c r="K530" s="185" t="str">
        <f>IFERROR(VLOOKUP(A530,Ativos!A:H,8,),"")</f>
        <v/>
      </c>
      <c r="L530" s="186">
        <f t="shared" si="3"/>
        <v>0</v>
      </c>
    </row>
    <row r="531" ht="21.0" customHeight="1">
      <c r="A531" s="187"/>
      <c r="B531" s="187"/>
      <c r="C531" s="188"/>
      <c r="D531" s="135"/>
      <c r="E531" s="189"/>
      <c r="F531" s="182" t="str">
        <f t="shared" si="1"/>
        <v/>
      </c>
      <c r="G531" s="183">
        <f>IFERROR(__xludf.DUMMYFUNCTION("IFERROR(lookup(9999999999,FILTER('Operações-BR'!$M:$M,'Operações-BR'!$C:$C=A531,'Operações-BR'!$A:$A&lt;=C531)),0)"),0.0)</f>
        <v>0</v>
      </c>
      <c r="H531" s="184">
        <f t="shared" si="2"/>
        <v>0</v>
      </c>
      <c r="I531" s="184">
        <f>IFERROR(__xludf.DUMMYFUNCTION("IFERROR(lookup(9999999999,FILTER('Operações-BR'!Q:Q,'Operações-BR'!$C:$C=A531,'Operações-BR'!$A:$A&lt;=C531))/G531,0)"),0.0)</f>
        <v>0</v>
      </c>
      <c r="J531" s="185" t="str">
        <f>IFERROR(VLOOKUP(A531,Ativos!$A$1:$G2000,5,),"")</f>
        <v/>
      </c>
      <c r="K531" s="185" t="str">
        <f>IFERROR(VLOOKUP(A531,Ativos!A:H,8,),"")</f>
        <v/>
      </c>
      <c r="L531" s="186">
        <f t="shared" si="3"/>
        <v>0</v>
      </c>
    </row>
    <row r="532" ht="21.0" customHeight="1">
      <c r="A532" s="187"/>
      <c r="B532" s="187"/>
      <c r="C532" s="188"/>
      <c r="D532" s="135"/>
      <c r="E532" s="189"/>
      <c r="F532" s="182" t="str">
        <f t="shared" si="1"/>
        <v/>
      </c>
      <c r="G532" s="183">
        <f>IFERROR(__xludf.DUMMYFUNCTION("IFERROR(lookup(9999999999,FILTER('Operações-BR'!$M:$M,'Operações-BR'!$C:$C=A532,'Operações-BR'!$A:$A&lt;=C532)),0)"),0.0)</f>
        <v>0</v>
      </c>
      <c r="H532" s="184">
        <f t="shared" si="2"/>
        <v>0</v>
      </c>
      <c r="I532" s="184">
        <f>IFERROR(__xludf.DUMMYFUNCTION("IFERROR(lookup(9999999999,FILTER('Operações-BR'!Q:Q,'Operações-BR'!$C:$C=A532,'Operações-BR'!$A:$A&lt;=C532))/G532,0)"),0.0)</f>
        <v>0</v>
      </c>
      <c r="J532" s="185" t="str">
        <f>IFERROR(VLOOKUP(A532,Ativos!$A$1:$G2000,5,),"")</f>
        <v/>
      </c>
      <c r="K532" s="185" t="str">
        <f>IFERROR(VLOOKUP(A532,Ativos!A:H,8,),"")</f>
        <v/>
      </c>
      <c r="L532" s="186">
        <f t="shared" si="3"/>
        <v>0</v>
      </c>
    </row>
    <row r="533" ht="21.0" customHeight="1">
      <c r="A533" s="187"/>
      <c r="B533" s="187"/>
      <c r="C533" s="188"/>
      <c r="D533" s="135"/>
      <c r="E533" s="189"/>
      <c r="F533" s="182" t="str">
        <f t="shared" si="1"/>
        <v/>
      </c>
      <c r="G533" s="183">
        <f>IFERROR(__xludf.DUMMYFUNCTION("IFERROR(lookup(9999999999,FILTER('Operações-BR'!$M:$M,'Operações-BR'!$C:$C=A533,'Operações-BR'!$A:$A&lt;=C533)),0)"),0.0)</f>
        <v>0</v>
      </c>
      <c r="H533" s="184">
        <f t="shared" si="2"/>
        <v>0</v>
      </c>
      <c r="I533" s="184">
        <f>IFERROR(__xludf.DUMMYFUNCTION("IFERROR(lookup(9999999999,FILTER('Operações-BR'!Q:Q,'Operações-BR'!$C:$C=A533,'Operações-BR'!$A:$A&lt;=C533))/G533,0)"),0.0)</f>
        <v>0</v>
      </c>
      <c r="J533" s="185" t="str">
        <f>IFERROR(VLOOKUP(A533,Ativos!$A$1:$G2000,5,),"")</f>
        <v/>
      </c>
      <c r="K533" s="185" t="str">
        <f>IFERROR(VLOOKUP(A533,Ativos!A:H,8,),"")</f>
        <v/>
      </c>
      <c r="L533" s="186">
        <f t="shared" si="3"/>
        <v>0</v>
      </c>
    </row>
    <row r="534" ht="21.0" customHeight="1">
      <c r="A534" s="187"/>
      <c r="B534" s="187"/>
      <c r="C534" s="188"/>
      <c r="D534" s="135"/>
      <c r="E534" s="189"/>
      <c r="F534" s="182" t="str">
        <f t="shared" si="1"/>
        <v/>
      </c>
      <c r="G534" s="183">
        <f>IFERROR(__xludf.DUMMYFUNCTION("IFERROR(lookup(9999999999,FILTER('Operações-BR'!$M:$M,'Operações-BR'!$C:$C=A534,'Operações-BR'!$A:$A&lt;=C534)),0)"),0.0)</f>
        <v>0</v>
      </c>
      <c r="H534" s="184">
        <f t="shared" si="2"/>
        <v>0</v>
      </c>
      <c r="I534" s="184">
        <f>IFERROR(__xludf.DUMMYFUNCTION("IFERROR(lookup(9999999999,FILTER('Operações-BR'!Q:Q,'Operações-BR'!$C:$C=A534,'Operações-BR'!$A:$A&lt;=C534))/G534,0)"),0.0)</f>
        <v>0</v>
      </c>
      <c r="J534" s="185" t="str">
        <f>IFERROR(VLOOKUP(A534,Ativos!$A$1:$G2000,5,),"")</f>
        <v/>
      </c>
      <c r="K534" s="185" t="str">
        <f>IFERROR(VLOOKUP(A534,Ativos!A:H,8,),"")</f>
        <v/>
      </c>
      <c r="L534" s="186">
        <f t="shared" si="3"/>
        <v>0</v>
      </c>
    </row>
    <row r="535" ht="21.0" customHeight="1">
      <c r="A535" s="187"/>
      <c r="B535" s="187"/>
      <c r="C535" s="188"/>
      <c r="D535" s="135"/>
      <c r="E535" s="189"/>
      <c r="F535" s="182" t="str">
        <f t="shared" si="1"/>
        <v/>
      </c>
      <c r="G535" s="183">
        <f>IFERROR(__xludf.DUMMYFUNCTION("IFERROR(lookup(9999999999,FILTER('Operações-BR'!$M:$M,'Operações-BR'!$C:$C=A535,'Operações-BR'!$A:$A&lt;=C535)),0)"),0.0)</f>
        <v>0</v>
      </c>
      <c r="H535" s="184">
        <f t="shared" si="2"/>
        <v>0</v>
      </c>
      <c r="I535" s="184">
        <f>IFERROR(__xludf.DUMMYFUNCTION("IFERROR(lookup(9999999999,FILTER('Operações-BR'!Q:Q,'Operações-BR'!$C:$C=A535,'Operações-BR'!$A:$A&lt;=C535))/G535,0)"),0.0)</f>
        <v>0</v>
      </c>
      <c r="J535" s="185" t="str">
        <f>IFERROR(VLOOKUP(A535,Ativos!$A$1:$G2000,5,),"")</f>
        <v/>
      </c>
      <c r="K535" s="185" t="str">
        <f>IFERROR(VLOOKUP(A535,Ativos!A:H,8,),"")</f>
        <v/>
      </c>
      <c r="L535" s="186">
        <f t="shared" si="3"/>
        <v>0</v>
      </c>
    </row>
    <row r="536" ht="21.0" customHeight="1">
      <c r="A536" s="187"/>
      <c r="B536" s="187"/>
      <c r="C536" s="188"/>
      <c r="D536" s="135"/>
      <c r="E536" s="189"/>
      <c r="F536" s="182" t="str">
        <f t="shared" si="1"/>
        <v/>
      </c>
      <c r="G536" s="183">
        <f>IFERROR(__xludf.DUMMYFUNCTION("IFERROR(lookup(9999999999,FILTER('Operações-BR'!$M:$M,'Operações-BR'!$C:$C=A536,'Operações-BR'!$A:$A&lt;=C536)),0)"),0.0)</f>
        <v>0</v>
      </c>
      <c r="H536" s="184">
        <f t="shared" si="2"/>
        <v>0</v>
      </c>
      <c r="I536" s="184">
        <f>IFERROR(__xludf.DUMMYFUNCTION("IFERROR(lookup(9999999999,FILTER('Operações-BR'!Q:Q,'Operações-BR'!$C:$C=A536,'Operações-BR'!$A:$A&lt;=C536))/G536,0)"),0.0)</f>
        <v>0</v>
      </c>
      <c r="J536" s="185" t="str">
        <f>IFERROR(VLOOKUP(A536,Ativos!$A$1:$G2000,5,),"")</f>
        <v/>
      </c>
      <c r="K536" s="185" t="str">
        <f>IFERROR(VLOOKUP(A536,Ativos!A:H,8,),"")</f>
        <v/>
      </c>
      <c r="L536" s="186">
        <f t="shared" si="3"/>
        <v>0</v>
      </c>
    </row>
    <row r="537" ht="21.0" customHeight="1">
      <c r="A537" s="187"/>
      <c r="B537" s="187"/>
      <c r="C537" s="188"/>
      <c r="D537" s="135"/>
      <c r="E537" s="189"/>
      <c r="F537" s="182" t="str">
        <f t="shared" si="1"/>
        <v/>
      </c>
      <c r="G537" s="183">
        <f>IFERROR(__xludf.DUMMYFUNCTION("IFERROR(lookup(9999999999,FILTER('Operações-BR'!$M:$M,'Operações-BR'!$C:$C=A537,'Operações-BR'!$A:$A&lt;=C537)),0)"),0.0)</f>
        <v>0</v>
      </c>
      <c r="H537" s="184">
        <f t="shared" si="2"/>
        <v>0</v>
      </c>
      <c r="I537" s="184">
        <f>IFERROR(__xludf.DUMMYFUNCTION("IFERROR(lookup(9999999999,FILTER('Operações-BR'!Q:Q,'Operações-BR'!$C:$C=A537,'Operações-BR'!$A:$A&lt;=C537))/G537,0)"),0.0)</f>
        <v>0</v>
      </c>
      <c r="J537" s="185" t="str">
        <f>IFERROR(VLOOKUP(A537,Ativos!$A$1:$G2000,5,),"")</f>
        <v/>
      </c>
      <c r="K537" s="185" t="str">
        <f>IFERROR(VLOOKUP(A537,Ativos!A:H,8,),"")</f>
        <v/>
      </c>
      <c r="L537" s="186">
        <f t="shared" si="3"/>
        <v>0</v>
      </c>
    </row>
    <row r="538" ht="21.0" customHeight="1">
      <c r="A538" s="187"/>
      <c r="B538" s="187"/>
      <c r="C538" s="188"/>
      <c r="D538" s="135"/>
      <c r="E538" s="189"/>
      <c r="F538" s="182" t="str">
        <f t="shared" si="1"/>
        <v/>
      </c>
      <c r="G538" s="183">
        <f>IFERROR(__xludf.DUMMYFUNCTION("IFERROR(lookup(9999999999,FILTER('Operações-BR'!$M:$M,'Operações-BR'!$C:$C=A538,'Operações-BR'!$A:$A&lt;=C538)),0)"),0.0)</f>
        <v>0</v>
      </c>
      <c r="H538" s="184">
        <f t="shared" si="2"/>
        <v>0</v>
      </c>
      <c r="I538" s="184">
        <f>IFERROR(__xludf.DUMMYFUNCTION("IFERROR(lookup(9999999999,FILTER('Operações-BR'!Q:Q,'Operações-BR'!$C:$C=A538,'Operações-BR'!$A:$A&lt;=C538))/G538,0)"),0.0)</f>
        <v>0</v>
      </c>
      <c r="J538" s="185" t="str">
        <f>IFERROR(VLOOKUP(A538,Ativos!$A$1:$G2000,5,),"")</f>
        <v/>
      </c>
      <c r="K538" s="185" t="str">
        <f>IFERROR(VLOOKUP(A538,Ativos!A:H,8,),"")</f>
        <v/>
      </c>
      <c r="L538" s="186">
        <f t="shared" si="3"/>
        <v>0</v>
      </c>
    </row>
    <row r="539" ht="21.0" customHeight="1">
      <c r="A539" s="187"/>
      <c r="B539" s="187"/>
      <c r="C539" s="188"/>
      <c r="D539" s="135"/>
      <c r="E539" s="189"/>
      <c r="F539" s="182" t="str">
        <f t="shared" si="1"/>
        <v/>
      </c>
      <c r="G539" s="183">
        <f>IFERROR(__xludf.DUMMYFUNCTION("IFERROR(lookup(9999999999,FILTER('Operações-BR'!$M:$M,'Operações-BR'!$C:$C=A539,'Operações-BR'!$A:$A&lt;=C539)),0)"),0.0)</f>
        <v>0</v>
      </c>
      <c r="H539" s="184">
        <f t="shared" si="2"/>
        <v>0</v>
      </c>
      <c r="I539" s="184">
        <f>IFERROR(__xludf.DUMMYFUNCTION("IFERROR(lookup(9999999999,FILTER('Operações-BR'!Q:Q,'Operações-BR'!$C:$C=A539,'Operações-BR'!$A:$A&lt;=C539))/G539,0)"),0.0)</f>
        <v>0</v>
      </c>
      <c r="J539" s="185" t="str">
        <f>IFERROR(VLOOKUP(A539,Ativos!$A$1:$G2000,5,),"")</f>
        <v/>
      </c>
      <c r="K539" s="185" t="str">
        <f>IFERROR(VLOOKUP(A539,Ativos!A:H,8,),"")</f>
        <v/>
      </c>
      <c r="L539" s="186">
        <f t="shared" si="3"/>
        <v>0</v>
      </c>
    </row>
    <row r="540" ht="21.0" customHeight="1">
      <c r="A540" s="187"/>
      <c r="B540" s="187"/>
      <c r="C540" s="188"/>
      <c r="D540" s="135"/>
      <c r="E540" s="189"/>
      <c r="F540" s="182" t="str">
        <f t="shared" si="1"/>
        <v/>
      </c>
      <c r="G540" s="183">
        <f>IFERROR(__xludf.DUMMYFUNCTION("IFERROR(lookup(9999999999,FILTER('Operações-BR'!$M:$M,'Operações-BR'!$C:$C=A540,'Operações-BR'!$A:$A&lt;=C540)),0)"),0.0)</f>
        <v>0</v>
      </c>
      <c r="H540" s="184">
        <f t="shared" si="2"/>
        <v>0</v>
      </c>
      <c r="I540" s="184">
        <f>IFERROR(__xludf.DUMMYFUNCTION("IFERROR(lookup(9999999999,FILTER('Operações-BR'!Q:Q,'Operações-BR'!$C:$C=A540,'Operações-BR'!$A:$A&lt;=C540))/G540,0)"),0.0)</f>
        <v>0</v>
      </c>
      <c r="J540" s="185" t="str">
        <f>IFERROR(VLOOKUP(A540,Ativos!$A$1:$G2000,5,),"")</f>
        <v/>
      </c>
      <c r="K540" s="185" t="str">
        <f>IFERROR(VLOOKUP(A540,Ativos!A:H,8,),"")</f>
        <v/>
      </c>
      <c r="L540" s="186">
        <f t="shared" si="3"/>
        <v>0</v>
      </c>
    </row>
    <row r="541" ht="21.0" customHeight="1">
      <c r="A541" s="187"/>
      <c r="B541" s="187"/>
      <c r="C541" s="188"/>
      <c r="D541" s="135"/>
      <c r="E541" s="189"/>
      <c r="F541" s="182" t="str">
        <f t="shared" si="1"/>
        <v/>
      </c>
      <c r="G541" s="183">
        <f>IFERROR(__xludf.DUMMYFUNCTION("IFERROR(lookup(9999999999,FILTER('Operações-BR'!$M:$M,'Operações-BR'!$C:$C=A541,'Operações-BR'!$A:$A&lt;=C541)),0)"),0.0)</f>
        <v>0</v>
      </c>
      <c r="H541" s="184">
        <f t="shared" si="2"/>
        <v>0</v>
      </c>
      <c r="I541" s="184">
        <f>IFERROR(__xludf.DUMMYFUNCTION("IFERROR(lookup(9999999999,FILTER('Operações-BR'!Q:Q,'Operações-BR'!$C:$C=A541,'Operações-BR'!$A:$A&lt;=C541))/G541,0)"),0.0)</f>
        <v>0</v>
      </c>
      <c r="J541" s="185" t="str">
        <f>IFERROR(VLOOKUP(A541,Ativos!$A$1:$G2000,5,),"")</f>
        <v/>
      </c>
      <c r="K541" s="185" t="str">
        <f>IFERROR(VLOOKUP(A541,Ativos!A:H,8,),"")</f>
        <v/>
      </c>
      <c r="L541" s="186">
        <f t="shared" si="3"/>
        <v>0</v>
      </c>
    </row>
    <row r="542" ht="21.0" customHeight="1">
      <c r="A542" s="187"/>
      <c r="B542" s="187"/>
      <c r="C542" s="188"/>
      <c r="D542" s="135"/>
      <c r="E542" s="189"/>
      <c r="F542" s="182" t="str">
        <f t="shared" si="1"/>
        <v/>
      </c>
      <c r="G542" s="183">
        <f>IFERROR(__xludf.DUMMYFUNCTION("IFERROR(lookup(9999999999,FILTER('Operações-BR'!$M:$M,'Operações-BR'!$C:$C=A542,'Operações-BR'!$A:$A&lt;=C542)),0)"),0.0)</f>
        <v>0</v>
      </c>
      <c r="H542" s="184">
        <f t="shared" si="2"/>
        <v>0</v>
      </c>
      <c r="I542" s="184">
        <f>IFERROR(__xludf.DUMMYFUNCTION("IFERROR(lookup(9999999999,FILTER('Operações-BR'!Q:Q,'Operações-BR'!$C:$C=A542,'Operações-BR'!$A:$A&lt;=C542))/G542,0)"),0.0)</f>
        <v>0</v>
      </c>
      <c r="J542" s="185" t="str">
        <f>IFERROR(VLOOKUP(A542,Ativos!$A$1:$G2000,5,),"")</f>
        <v/>
      </c>
      <c r="K542" s="185" t="str">
        <f>IFERROR(VLOOKUP(A542,Ativos!A:H,8,),"")</f>
        <v/>
      </c>
      <c r="L542" s="186">
        <f t="shared" si="3"/>
        <v>0</v>
      </c>
    </row>
    <row r="543" ht="21.0" customHeight="1">
      <c r="A543" s="187"/>
      <c r="B543" s="187"/>
      <c r="C543" s="188"/>
      <c r="D543" s="135"/>
      <c r="E543" s="189"/>
      <c r="F543" s="182" t="str">
        <f t="shared" si="1"/>
        <v/>
      </c>
      <c r="G543" s="183">
        <f>IFERROR(__xludf.DUMMYFUNCTION("IFERROR(lookup(9999999999,FILTER('Operações-BR'!$M:$M,'Operações-BR'!$C:$C=A543,'Operações-BR'!$A:$A&lt;=C543)),0)"),0.0)</f>
        <v>0</v>
      </c>
      <c r="H543" s="184">
        <f t="shared" si="2"/>
        <v>0</v>
      </c>
      <c r="I543" s="184">
        <f>IFERROR(__xludf.DUMMYFUNCTION("IFERROR(lookup(9999999999,FILTER('Operações-BR'!Q:Q,'Operações-BR'!$C:$C=A543,'Operações-BR'!$A:$A&lt;=C543))/G543,0)"),0.0)</f>
        <v>0</v>
      </c>
      <c r="J543" s="185" t="str">
        <f>IFERROR(VLOOKUP(A543,Ativos!$A$1:$G2000,5,),"")</f>
        <v/>
      </c>
      <c r="K543" s="185" t="str">
        <f>IFERROR(VLOOKUP(A543,Ativos!A:H,8,),"")</f>
        <v/>
      </c>
      <c r="L543" s="186">
        <f t="shared" si="3"/>
        <v>0</v>
      </c>
    </row>
    <row r="544" ht="21.0" customHeight="1">
      <c r="A544" s="187"/>
      <c r="B544" s="187"/>
      <c r="C544" s="188"/>
      <c r="D544" s="135"/>
      <c r="E544" s="189"/>
      <c r="F544" s="182" t="str">
        <f t="shared" si="1"/>
        <v/>
      </c>
      <c r="G544" s="183">
        <f>IFERROR(__xludf.DUMMYFUNCTION("IFERROR(lookup(9999999999,FILTER('Operações-BR'!$M:$M,'Operações-BR'!$C:$C=A544,'Operações-BR'!$A:$A&lt;=C544)),0)"),0.0)</f>
        <v>0</v>
      </c>
      <c r="H544" s="184">
        <f t="shared" si="2"/>
        <v>0</v>
      </c>
      <c r="I544" s="184">
        <f>IFERROR(__xludf.DUMMYFUNCTION("IFERROR(lookup(9999999999,FILTER('Operações-BR'!Q:Q,'Operações-BR'!$C:$C=A544,'Operações-BR'!$A:$A&lt;=C544))/G544,0)"),0.0)</f>
        <v>0</v>
      </c>
      <c r="J544" s="185" t="str">
        <f>IFERROR(VLOOKUP(A544,Ativos!$A$1:$G2000,5,),"")</f>
        <v/>
      </c>
      <c r="K544" s="185" t="str">
        <f>IFERROR(VLOOKUP(A544,Ativos!A:H,8,),"")</f>
        <v/>
      </c>
      <c r="L544" s="186">
        <f t="shared" si="3"/>
        <v>0</v>
      </c>
    </row>
    <row r="545" ht="21.0" customHeight="1">
      <c r="A545" s="187"/>
      <c r="B545" s="187"/>
      <c r="C545" s="188"/>
      <c r="D545" s="135"/>
      <c r="E545" s="189"/>
      <c r="F545" s="182" t="str">
        <f t="shared" si="1"/>
        <v/>
      </c>
      <c r="G545" s="183">
        <f>IFERROR(__xludf.DUMMYFUNCTION("IFERROR(lookup(9999999999,FILTER('Operações-BR'!$M:$M,'Operações-BR'!$C:$C=A545,'Operações-BR'!$A:$A&lt;=C545)),0)"),0.0)</f>
        <v>0</v>
      </c>
      <c r="H545" s="184">
        <f t="shared" si="2"/>
        <v>0</v>
      </c>
      <c r="I545" s="184">
        <f>IFERROR(__xludf.DUMMYFUNCTION("IFERROR(lookup(9999999999,FILTER('Operações-BR'!Q:Q,'Operações-BR'!$C:$C=A545,'Operações-BR'!$A:$A&lt;=C545))/G545,0)"),0.0)</f>
        <v>0</v>
      </c>
      <c r="J545" s="185" t="str">
        <f>IFERROR(VLOOKUP(A545,Ativos!$A$1:$G2000,5,),"")</f>
        <v/>
      </c>
      <c r="K545" s="185" t="str">
        <f>IFERROR(VLOOKUP(A545,Ativos!A:H,8,),"")</f>
        <v/>
      </c>
      <c r="L545" s="186">
        <f t="shared" si="3"/>
        <v>0</v>
      </c>
    </row>
    <row r="546" ht="21.0" customHeight="1">
      <c r="A546" s="187"/>
      <c r="B546" s="187"/>
      <c r="C546" s="188"/>
      <c r="D546" s="135"/>
      <c r="E546" s="189"/>
      <c r="F546" s="182" t="str">
        <f t="shared" si="1"/>
        <v/>
      </c>
      <c r="G546" s="183">
        <f>IFERROR(__xludf.DUMMYFUNCTION("IFERROR(lookup(9999999999,FILTER('Operações-BR'!$M:$M,'Operações-BR'!$C:$C=A546,'Operações-BR'!$A:$A&lt;=C546)),0)"),0.0)</f>
        <v>0</v>
      </c>
      <c r="H546" s="184">
        <f t="shared" si="2"/>
        <v>0</v>
      </c>
      <c r="I546" s="184">
        <f>IFERROR(__xludf.DUMMYFUNCTION("IFERROR(lookup(9999999999,FILTER('Operações-BR'!Q:Q,'Operações-BR'!$C:$C=A546,'Operações-BR'!$A:$A&lt;=C546))/G546,0)"),0.0)</f>
        <v>0</v>
      </c>
      <c r="J546" s="185" t="str">
        <f>IFERROR(VLOOKUP(A546,Ativos!$A$1:$G2000,5,),"")</f>
        <v/>
      </c>
      <c r="K546" s="185" t="str">
        <f>IFERROR(VLOOKUP(A546,Ativos!A:H,8,),"")</f>
        <v/>
      </c>
      <c r="L546" s="186">
        <f t="shared" si="3"/>
        <v>0</v>
      </c>
    </row>
    <row r="547" ht="21.0" customHeight="1">
      <c r="A547" s="187"/>
      <c r="B547" s="187"/>
      <c r="C547" s="188"/>
      <c r="D547" s="135"/>
      <c r="E547" s="189"/>
      <c r="F547" s="182" t="str">
        <f t="shared" si="1"/>
        <v/>
      </c>
      <c r="G547" s="183">
        <f>IFERROR(__xludf.DUMMYFUNCTION("IFERROR(lookup(9999999999,FILTER('Operações-BR'!$M:$M,'Operações-BR'!$C:$C=A547,'Operações-BR'!$A:$A&lt;=C547)),0)"),0.0)</f>
        <v>0</v>
      </c>
      <c r="H547" s="184">
        <f t="shared" si="2"/>
        <v>0</v>
      </c>
      <c r="I547" s="184">
        <f>IFERROR(__xludf.DUMMYFUNCTION("IFERROR(lookup(9999999999,FILTER('Operações-BR'!Q:Q,'Operações-BR'!$C:$C=A547,'Operações-BR'!$A:$A&lt;=C547))/G547,0)"),0.0)</f>
        <v>0</v>
      </c>
      <c r="J547" s="185" t="str">
        <f>IFERROR(VLOOKUP(A547,Ativos!$A$1:$G2000,5,),"")</f>
        <v/>
      </c>
      <c r="K547" s="185" t="str">
        <f>IFERROR(VLOOKUP(A547,Ativos!A:H,8,),"")</f>
        <v/>
      </c>
      <c r="L547" s="186">
        <f t="shared" si="3"/>
        <v>0</v>
      </c>
    </row>
    <row r="548" ht="21.0" customHeight="1">
      <c r="A548" s="187"/>
      <c r="B548" s="187"/>
      <c r="C548" s="188"/>
      <c r="D548" s="135"/>
      <c r="E548" s="189"/>
      <c r="F548" s="182" t="str">
        <f t="shared" si="1"/>
        <v/>
      </c>
      <c r="G548" s="183">
        <f>IFERROR(__xludf.DUMMYFUNCTION("IFERROR(lookup(9999999999,FILTER('Operações-BR'!$M:$M,'Operações-BR'!$C:$C=A548,'Operações-BR'!$A:$A&lt;=C548)),0)"),0.0)</f>
        <v>0</v>
      </c>
      <c r="H548" s="184">
        <f t="shared" si="2"/>
        <v>0</v>
      </c>
      <c r="I548" s="184">
        <f>IFERROR(__xludf.DUMMYFUNCTION("IFERROR(lookup(9999999999,FILTER('Operações-BR'!Q:Q,'Operações-BR'!$C:$C=A548,'Operações-BR'!$A:$A&lt;=C548))/G548,0)"),0.0)</f>
        <v>0</v>
      </c>
      <c r="J548" s="185" t="str">
        <f>IFERROR(VLOOKUP(A548,Ativos!$A$1:$G2000,5,),"")</f>
        <v/>
      </c>
      <c r="K548" s="185" t="str">
        <f>IFERROR(VLOOKUP(A548,Ativos!A:H,8,),"")</f>
        <v/>
      </c>
      <c r="L548" s="186">
        <f t="shared" si="3"/>
        <v>0</v>
      </c>
    </row>
    <row r="549" ht="21.0" customHeight="1">
      <c r="A549" s="187"/>
      <c r="B549" s="187"/>
      <c r="C549" s="188"/>
      <c r="D549" s="135"/>
      <c r="E549" s="189"/>
      <c r="F549" s="182" t="str">
        <f t="shared" si="1"/>
        <v/>
      </c>
      <c r="G549" s="183">
        <f>IFERROR(__xludf.DUMMYFUNCTION("IFERROR(lookup(9999999999,FILTER('Operações-BR'!$M:$M,'Operações-BR'!$C:$C=A549,'Operações-BR'!$A:$A&lt;=C549)),0)"),0.0)</f>
        <v>0</v>
      </c>
      <c r="H549" s="184">
        <f t="shared" si="2"/>
        <v>0</v>
      </c>
      <c r="I549" s="184">
        <f>IFERROR(__xludf.DUMMYFUNCTION("IFERROR(lookup(9999999999,FILTER('Operações-BR'!Q:Q,'Operações-BR'!$C:$C=A549,'Operações-BR'!$A:$A&lt;=C549))/G549,0)"),0.0)</f>
        <v>0</v>
      </c>
      <c r="J549" s="185" t="str">
        <f>IFERROR(VLOOKUP(A549,Ativos!$A$1:$G2000,5,),"")</f>
        <v/>
      </c>
      <c r="K549" s="185" t="str">
        <f>IFERROR(VLOOKUP(A549,Ativos!A:H,8,),"")</f>
        <v/>
      </c>
      <c r="L549" s="186">
        <f t="shared" si="3"/>
        <v>0</v>
      </c>
    </row>
    <row r="550" ht="21.0" customHeight="1">
      <c r="A550" s="187"/>
      <c r="B550" s="187"/>
      <c r="C550" s="188"/>
      <c r="D550" s="135"/>
      <c r="E550" s="189"/>
      <c r="F550" s="182" t="str">
        <f t="shared" si="1"/>
        <v/>
      </c>
      <c r="G550" s="183">
        <f>IFERROR(__xludf.DUMMYFUNCTION("IFERROR(lookup(9999999999,FILTER('Operações-BR'!$M:$M,'Operações-BR'!$C:$C=A550,'Operações-BR'!$A:$A&lt;=C550)),0)"),0.0)</f>
        <v>0</v>
      </c>
      <c r="H550" s="184">
        <f t="shared" si="2"/>
        <v>0</v>
      </c>
      <c r="I550" s="184">
        <f>IFERROR(__xludf.DUMMYFUNCTION("IFERROR(lookup(9999999999,FILTER('Operações-BR'!Q:Q,'Operações-BR'!$C:$C=A550,'Operações-BR'!$A:$A&lt;=C550))/G550,0)"),0.0)</f>
        <v>0</v>
      </c>
      <c r="J550" s="185" t="str">
        <f>IFERROR(VLOOKUP(A550,Ativos!$A$1:$G2000,5,),"")</f>
        <v/>
      </c>
      <c r="K550" s="185" t="str">
        <f>IFERROR(VLOOKUP(A550,Ativos!A:H,8,),"")</f>
        <v/>
      </c>
      <c r="L550" s="186">
        <f t="shared" si="3"/>
        <v>0</v>
      </c>
    </row>
    <row r="551" ht="21.0" customHeight="1">
      <c r="A551" s="187"/>
      <c r="B551" s="187"/>
      <c r="C551" s="188"/>
      <c r="D551" s="135"/>
      <c r="E551" s="189"/>
      <c r="F551" s="182" t="str">
        <f t="shared" si="1"/>
        <v/>
      </c>
      <c r="G551" s="183">
        <f>IFERROR(__xludf.DUMMYFUNCTION("IFERROR(lookup(9999999999,FILTER('Operações-BR'!$M:$M,'Operações-BR'!$C:$C=A551,'Operações-BR'!$A:$A&lt;=C551)),0)"),0.0)</f>
        <v>0</v>
      </c>
      <c r="H551" s="184">
        <f t="shared" si="2"/>
        <v>0</v>
      </c>
      <c r="I551" s="184">
        <f>IFERROR(__xludf.DUMMYFUNCTION("IFERROR(lookup(9999999999,FILTER('Operações-BR'!Q:Q,'Operações-BR'!$C:$C=A551,'Operações-BR'!$A:$A&lt;=C551))/G551,0)"),0.0)</f>
        <v>0</v>
      </c>
      <c r="J551" s="185" t="str">
        <f>IFERROR(VLOOKUP(A551,Ativos!$A$1:$G2000,5,),"")</f>
        <v/>
      </c>
      <c r="K551" s="185" t="str">
        <f>IFERROR(VLOOKUP(A551,Ativos!A:H,8,),"")</f>
        <v/>
      </c>
      <c r="L551" s="186">
        <f t="shared" si="3"/>
        <v>0</v>
      </c>
    </row>
    <row r="552" ht="21.0" customHeight="1">
      <c r="A552" s="187"/>
      <c r="B552" s="187"/>
      <c r="C552" s="188"/>
      <c r="D552" s="135"/>
      <c r="E552" s="189"/>
      <c r="F552" s="182" t="str">
        <f t="shared" si="1"/>
        <v/>
      </c>
      <c r="G552" s="183">
        <f>IFERROR(__xludf.DUMMYFUNCTION("IFERROR(lookup(9999999999,FILTER('Operações-BR'!$M:$M,'Operações-BR'!$C:$C=A552,'Operações-BR'!$A:$A&lt;=C552)),0)"),0.0)</f>
        <v>0</v>
      </c>
      <c r="H552" s="184">
        <f t="shared" si="2"/>
        <v>0</v>
      </c>
      <c r="I552" s="184">
        <f>IFERROR(__xludf.DUMMYFUNCTION("IFERROR(lookup(9999999999,FILTER('Operações-BR'!Q:Q,'Operações-BR'!$C:$C=A552,'Operações-BR'!$A:$A&lt;=C552))/G552,0)"),0.0)</f>
        <v>0</v>
      </c>
      <c r="J552" s="185" t="str">
        <f>IFERROR(VLOOKUP(A552,Ativos!$A$1:$G2000,5,),"")</f>
        <v/>
      </c>
      <c r="K552" s="185" t="str">
        <f>IFERROR(VLOOKUP(A552,Ativos!A:H,8,),"")</f>
        <v/>
      </c>
      <c r="L552" s="186">
        <f t="shared" si="3"/>
        <v>0</v>
      </c>
    </row>
    <row r="553" ht="21.0" customHeight="1">
      <c r="A553" s="187"/>
      <c r="B553" s="187"/>
      <c r="C553" s="188"/>
      <c r="D553" s="135"/>
      <c r="E553" s="189"/>
      <c r="F553" s="182" t="str">
        <f t="shared" si="1"/>
        <v/>
      </c>
      <c r="G553" s="183">
        <f>IFERROR(__xludf.DUMMYFUNCTION("IFERROR(lookup(9999999999,FILTER('Operações-BR'!$M:$M,'Operações-BR'!$C:$C=A553,'Operações-BR'!$A:$A&lt;=C553)),0)"),0.0)</f>
        <v>0</v>
      </c>
      <c r="H553" s="184">
        <f t="shared" si="2"/>
        <v>0</v>
      </c>
      <c r="I553" s="184">
        <f>IFERROR(__xludf.DUMMYFUNCTION("IFERROR(lookup(9999999999,FILTER('Operações-BR'!Q:Q,'Operações-BR'!$C:$C=A553,'Operações-BR'!$A:$A&lt;=C553))/G553,0)"),0.0)</f>
        <v>0</v>
      </c>
      <c r="J553" s="185" t="str">
        <f>IFERROR(VLOOKUP(A553,Ativos!$A$1:$G2000,5,),"")</f>
        <v/>
      </c>
      <c r="K553" s="185" t="str">
        <f>IFERROR(VLOOKUP(A553,Ativos!A:H,8,),"")</f>
        <v/>
      </c>
      <c r="L553" s="186">
        <f t="shared" si="3"/>
        <v>0</v>
      </c>
    </row>
    <row r="554" ht="21.0" customHeight="1">
      <c r="A554" s="187"/>
      <c r="B554" s="187"/>
      <c r="C554" s="188"/>
      <c r="D554" s="135"/>
      <c r="E554" s="189"/>
      <c r="F554" s="182" t="str">
        <f t="shared" si="1"/>
        <v/>
      </c>
      <c r="G554" s="183">
        <f>IFERROR(__xludf.DUMMYFUNCTION("IFERROR(lookup(9999999999,FILTER('Operações-BR'!$M:$M,'Operações-BR'!$C:$C=A554,'Operações-BR'!$A:$A&lt;=C554)),0)"),0.0)</f>
        <v>0</v>
      </c>
      <c r="H554" s="184">
        <f t="shared" si="2"/>
        <v>0</v>
      </c>
      <c r="I554" s="184">
        <f>IFERROR(__xludf.DUMMYFUNCTION("IFERROR(lookup(9999999999,FILTER('Operações-BR'!Q:Q,'Operações-BR'!$C:$C=A554,'Operações-BR'!$A:$A&lt;=C554))/G554,0)"),0.0)</f>
        <v>0</v>
      </c>
      <c r="J554" s="185" t="str">
        <f>IFERROR(VLOOKUP(A554,Ativos!$A$1:$G2000,5,),"")</f>
        <v/>
      </c>
      <c r="K554" s="185" t="str">
        <f>IFERROR(VLOOKUP(A554,Ativos!A:H,8,),"")</f>
        <v/>
      </c>
      <c r="L554" s="186">
        <f t="shared" si="3"/>
        <v>0</v>
      </c>
    </row>
    <row r="555" ht="21.0" customHeight="1">
      <c r="A555" s="187"/>
      <c r="B555" s="187"/>
      <c r="C555" s="188"/>
      <c r="D555" s="135"/>
      <c r="E555" s="189"/>
      <c r="F555" s="182" t="str">
        <f t="shared" si="1"/>
        <v/>
      </c>
      <c r="G555" s="183">
        <f>IFERROR(__xludf.DUMMYFUNCTION("IFERROR(lookup(9999999999,FILTER('Operações-BR'!$M:$M,'Operações-BR'!$C:$C=A555,'Operações-BR'!$A:$A&lt;=C555)),0)"),0.0)</f>
        <v>0</v>
      </c>
      <c r="H555" s="184">
        <f t="shared" si="2"/>
        <v>0</v>
      </c>
      <c r="I555" s="184">
        <f>IFERROR(__xludf.DUMMYFUNCTION("IFERROR(lookup(9999999999,FILTER('Operações-BR'!Q:Q,'Operações-BR'!$C:$C=A555,'Operações-BR'!$A:$A&lt;=C555))/G555,0)"),0.0)</f>
        <v>0</v>
      </c>
      <c r="J555" s="185" t="str">
        <f>IFERROR(VLOOKUP(A555,Ativos!$A$1:$G2000,5,),"")</f>
        <v/>
      </c>
      <c r="K555" s="185" t="str">
        <f>IFERROR(VLOOKUP(A555,Ativos!A:H,8,),"")</f>
        <v/>
      </c>
      <c r="L555" s="186">
        <f t="shared" si="3"/>
        <v>0</v>
      </c>
    </row>
    <row r="556" ht="21.0" customHeight="1">
      <c r="A556" s="187"/>
      <c r="B556" s="187"/>
      <c r="C556" s="188"/>
      <c r="D556" s="135"/>
      <c r="E556" s="189"/>
      <c r="F556" s="182" t="str">
        <f t="shared" si="1"/>
        <v/>
      </c>
      <c r="G556" s="183">
        <f>IFERROR(__xludf.DUMMYFUNCTION("IFERROR(lookup(9999999999,FILTER('Operações-BR'!$M:$M,'Operações-BR'!$C:$C=A556,'Operações-BR'!$A:$A&lt;=C556)),0)"),0.0)</f>
        <v>0</v>
      </c>
      <c r="H556" s="184">
        <f t="shared" si="2"/>
        <v>0</v>
      </c>
      <c r="I556" s="184">
        <f>IFERROR(__xludf.DUMMYFUNCTION("IFERROR(lookup(9999999999,FILTER('Operações-BR'!Q:Q,'Operações-BR'!$C:$C=A556,'Operações-BR'!$A:$A&lt;=C556))/G556,0)"),0.0)</f>
        <v>0</v>
      </c>
      <c r="J556" s="185" t="str">
        <f>IFERROR(VLOOKUP(A556,Ativos!$A$1:$G2000,5,),"")</f>
        <v/>
      </c>
      <c r="K556" s="185" t="str">
        <f>IFERROR(VLOOKUP(A556,Ativos!A:H,8,),"")</f>
        <v/>
      </c>
      <c r="L556" s="186">
        <f t="shared" si="3"/>
        <v>0</v>
      </c>
    </row>
    <row r="557" ht="21.0" customHeight="1">
      <c r="A557" s="187"/>
      <c r="B557" s="187"/>
      <c r="C557" s="188"/>
      <c r="D557" s="135"/>
      <c r="E557" s="189"/>
      <c r="F557" s="182" t="str">
        <f t="shared" si="1"/>
        <v/>
      </c>
      <c r="G557" s="183">
        <f>IFERROR(__xludf.DUMMYFUNCTION("IFERROR(lookup(9999999999,FILTER('Operações-BR'!$M:$M,'Operações-BR'!$C:$C=A557,'Operações-BR'!$A:$A&lt;=C557)),0)"),0.0)</f>
        <v>0</v>
      </c>
      <c r="H557" s="184">
        <f t="shared" si="2"/>
        <v>0</v>
      </c>
      <c r="I557" s="184">
        <f>IFERROR(__xludf.DUMMYFUNCTION("IFERROR(lookup(9999999999,FILTER('Operações-BR'!Q:Q,'Operações-BR'!$C:$C=A557,'Operações-BR'!$A:$A&lt;=C557))/G557,0)"),0.0)</f>
        <v>0</v>
      </c>
      <c r="J557" s="185" t="str">
        <f>IFERROR(VLOOKUP(A557,Ativos!$A$1:$G2000,5,),"")</f>
        <v/>
      </c>
      <c r="K557" s="185" t="str">
        <f>IFERROR(VLOOKUP(A557,Ativos!A:H,8,),"")</f>
        <v/>
      </c>
      <c r="L557" s="186">
        <f t="shared" si="3"/>
        <v>0</v>
      </c>
    </row>
    <row r="558" ht="21.0" customHeight="1">
      <c r="A558" s="187"/>
      <c r="B558" s="187"/>
      <c r="C558" s="188"/>
      <c r="D558" s="135"/>
      <c r="E558" s="189"/>
      <c r="F558" s="182" t="str">
        <f t="shared" si="1"/>
        <v/>
      </c>
      <c r="G558" s="183">
        <f>IFERROR(__xludf.DUMMYFUNCTION("IFERROR(lookup(9999999999,FILTER('Operações-BR'!$M:$M,'Operações-BR'!$C:$C=A558,'Operações-BR'!$A:$A&lt;=C558)),0)"),0.0)</f>
        <v>0</v>
      </c>
      <c r="H558" s="184">
        <f t="shared" si="2"/>
        <v>0</v>
      </c>
      <c r="I558" s="184">
        <f>IFERROR(__xludf.DUMMYFUNCTION("IFERROR(lookup(9999999999,FILTER('Operações-BR'!Q:Q,'Operações-BR'!$C:$C=A558,'Operações-BR'!$A:$A&lt;=C558))/G558,0)"),0.0)</f>
        <v>0</v>
      </c>
      <c r="J558" s="185" t="str">
        <f>IFERROR(VLOOKUP(A558,Ativos!$A$1:$G2000,5,),"")</f>
        <v/>
      </c>
      <c r="K558" s="185" t="str">
        <f>IFERROR(VLOOKUP(A558,Ativos!A:H,8,),"")</f>
        <v/>
      </c>
      <c r="L558" s="186">
        <f t="shared" si="3"/>
        <v>0</v>
      </c>
    </row>
    <row r="559" ht="21.0" customHeight="1">
      <c r="A559" s="187"/>
      <c r="B559" s="187"/>
      <c r="C559" s="188"/>
      <c r="D559" s="135"/>
      <c r="E559" s="189"/>
      <c r="F559" s="182" t="str">
        <f t="shared" si="1"/>
        <v/>
      </c>
      <c r="G559" s="183">
        <f>IFERROR(__xludf.DUMMYFUNCTION("IFERROR(lookup(9999999999,FILTER('Operações-BR'!$M:$M,'Operações-BR'!$C:$C=A559,'Operações-BR'!$A:$A&lt;=C559)),0)"),0.0)</f>
        <v>0</v>
      </c>
      <c r="H559" s="184">
        <f t="shared" si="2"/>
        <v>0</v>
      </c>
      <c r="I559" s="184">
        <f>IFERROR(__xludf.DUMMYFUNCTION("IFERROR(lookup(9999999999,FILTER('Operações-BR'!Q:Q,'Operações-BR'!$C:$C=A559,'Operações-BR'!$A:$A&lt;=C559))/G559,0)"),0.0)</f>
        <v>0</v>
      </c>
      <c r="J559" s="185" t="str">
        <f>IFERROR(VLOOKUP(A559,Ativos!$A$1:$G2000,5,),"")</f>
        <v/>
      </c>
      <c r="K559" s="185" t="str">
        <f>IFERROR(VLOOKUP(A559,Ativos!A:H,8,),"")</f>
        <v/>
      </c>
      <c r="L559" s="186">
        <f t="shared" si="3"/>
        <v>0</v>
      </c>
    </row>
    <row r="560" ht="21.0" customHeight="1">
      <c r="A560" s="187"/>
      <c r="B560" s="187"/>
      <c r="C560" s="188"/>
      <c r="D560" s="135"/>
      <c r="E560" s="189"/>
      <c r="F560" s="182" t="str">
        <f t="shared" si="1"/>
        <v/>
      </c>
      <c r="G560" s="183">
        <f>IFERROR(__xludf.DUMMYFUNCTION("IFERROR(lookup(9999999999,FILTER('Operações-BR'!$M:$M,'Operações-BR'!$C:$C=A560,'Operações-BR'!$A:$A&lt;=C560)),0)"),0.0)</f>
        <v>0</v>
      </c>
      <c r="H560" s="184">
        <f t="shared" si="2"/>
        <v>0</v>
      </c>
      <c r="I560" s="184">
        <f>IFERROR(__xludf.DUMMYFUNCTION("IFERROR(lookup(9999999999,FILTER('Operações-BR'!Q:Q,'Operações-BR'!$C:$C=A560,'Operações-BR'!$A:$A&lt;=C560))/G560,0)"),0.0)</f>
        <v>0</v>
      </c>
      <c r="J560" s="185" t="str">
        <f>IFERROR(VLOOKUP(A560,Ativos!$A$1:$G2000,5,),"")</f>
        <v/>
      </c>
      <c r="K560" s="185" t="str">
        <f>IFERROR(VLOOKUP(A560,Ativos!A:H,8,),"")</f>
        <v/>
      </c>
      <c r="L560" s="186">
        <f t="shared" si="3"/>
        <v>0</v>
      </c>
    </row>
    <row r="561" ht="21.0" customHeight="1">
      <c r="A561" s="187"/>
      <c r="B561" s="187"/>
      <c r="C561" s="188"/>
      <c r="D561" s="135"/>
      <c r="E561" s="189"/>
      <c r="F561" s="182" t="str">
        <f t="shared" si="1"/>
        <v/>
      </c>
      <c r="G561" s="183">
        <f>IFERROR(__xludf.DUMMYFUNCTION("IFERROR(lookup(9999999999,FILTER('Operações-BR'!$M:$M,'Operações-BR'!$C:$C=A561,'Operações-BR'!$A:$A&lt;=C561)),0)"),0.0)</f>
        <v>0</v>
      </c>
      <c r="H561" s="184">
        <f t="shared" si="2"/>
        <v>0</v>
      </c>
      <c r="I561" s="184">
        <f>IFERROR(__xludf.DUMMYFUNCTION("IFERROR(lookup(9999999999,FILTER('Operações-BR'!Q:Q,'Operações-BR'!$C:$C=A561,'Operações-BR'!$A:$A&lt;=C561))/G561,0)"),0.0)</f>
        <v>0</v>
      </c>
      <c r="J561" s="185" t="str">
        <f>IFERROR(VLOOKUP(A561,Ativos!$A$1:$G2000,5,),"")</f>
        <v/>
      </c>
      <c r="K561" s="185" t="str">
        <f>IFERROR(VLOOKUP(A561,Ativos!A:H,8,),"")</f>
        <v/>
      </c>
      <c r="L561" s="186">
        <f t="shared" si="3"/>
        <v>0</v>
      </c>
    </row>
    <row r="562" ht="21.0" customHeight="1">
      <c r="A562" s="187"/>
      <c r="B562" s="187"/>
      <c r="C562" s="188"/>
      <c r="D562" s="135"/>
      <c r="E562" s="189"/>
      <c r="F562" s="182" t="str">
        <f t="shared" si="1"/>
        <v/>
      </c>
      <c r="G562" s="183">
        <f>IFERROR(__xludf.DUMMYFUNCTION("IFERROR(lookup(9999999999,FILTER('Operações-BR'!$M:$M,'Operações-BR'!$C:$C=A562,'Operações-BR'!$A:$A&lt;=C562)),0)"),0.0)</f>
        <v>0</v>
      </c>
      <c r="H562" s="184">
        <f t="shared" si="2"/>
        <v>0</v>
      </c>
      <c r="I562" s="184">
        <f>IFERROR(__xludf.DUMMYFUNCTION("IFERROR(lookup(9999999999,FILTER('Operações-BR'!Q:Q,'Operações-BR'!$C:$C=A562,'Operações-BR'!$A:$A&lt;=C562))/G562,0)"),0.0)</f>
        <v>0</v>
      </c>
      <c r="J562" s="185" t="str">
        <f>IFERROR(VLOOKUP(A562,Ativos!$A$1:$G2000,5,),"")</f>
        <v/>
      </c>
      <c r="K562" s="185" t="str">
        <f>IFERROR(VLOOKUP(A562,Ativos!A:H,8,),"")</f>
        <v/>
      </c>
      <c r="L562" s="186">
        <f t="shared" si="3"/>
        <v>0</v>
      </c>
    </row>
    <row r="563" ht="21.0" customHeight="1">
      <c r="A563" s="187"/>
      <c r="B563" s="187"/>
      <c r="C563" s="188"/>
      <c r="D563" s="135"/>
      <c r="E563" s="189"/>
      <c r="F563" s="182" t="str">
        <f t="shared" si="1"/>
        <v/>
      </c>
      <c r="G563" s="183">
        <f>IFERROR(__xludf.DUMMYFUNCTION("IFERROR(lookup(9999999999,FILTER('Operações-BR'!$M:$M,'Operações-BR'!$C:$C=A563,'Operações-BR'!$A:$A&lt;=C563)),0)"),0.0)</f>
        <v>0</v>
      </c>
      <c r="H563" s="184">
        <f t="shared" si="2"/>
        <v>0</v>
      </c>
      <c r="I563" s="184">
        <f>IFERROR(__xludf.DUMMYFUNCTION("IFERROR(lookup(9999999999,FILTER('Operações-BR'!Q:Q,'Operações-BR'!$C:$C=A563,'Operações-BR'!$A:$A&lt;=C563))/G563,0)"),0.0)</f>
        <v>0</v>
      </c>
      <c r="J563" s="185" t="str">
        <f>IFERROR(VLOOKUP(A563,Ativos!$A$1:$G2000,5,),"")</f>
        <v/>
      </c>
      <c r="K563" s="185" t="str">
        <f>IFERROR(VLOOKUP(A563,Ativos!A:H,8,),"")</f>
        <v/>
      </c>
      <c r="L563" s="186">
        <f t="shared" si="3"/>
        <v>0</v>
      </c>
    </row>
    <row r="564" ht="21.0" customHeight="1">
      <c r="A564" s="187"/>
      <c r="B564" s="187"/>
      <c r="C564" s="188"/>
      <c r="D564" s="135"/>
      <c r="E564" s="189"/>
      <c r="F564" s="182" t="str">
        <f t="shared" si="1"/>
        <v/>
      </c>
      <c r="G564" s="183">
        <f>IFERROR(__xludf.DUMMYFUNCTION("IFERROR(lookup(9999999999,FILTER('Operações-BR'!$M:$M,'Operações-BR'!$C:$C=A564,'Operações-BR'!$A:$A&lt;=C564)),0)"),0.0)</f>
        <v>0</v>
      </c>
      <c r="H564" s="184">
        <f t="shared" si="2"/>
        <v>0</v>
      </c>
      <c r="I564" s="184">
        <f>IFERROR(__xludf.DUMMYFUNCTION("IFERROR(lookup(9999999999,FILTER('Operações-BR'!Q:Q,'Operações-BR'!$C:$C=A564,'Operações-BR'!$A:$A&lt;=C564))/G564,0)"),0.0)</f>
        <v>0</v>
      </c>
      <c r="J564" s="185" t="str">
        <f>IFERROR(VLOOKUP(A564,Ativos!$A$1:$G2000,5,),"")</f>
        <v/>
      </c>
      <c r="K564" s="185" t="str">
        <f>IFERROR(VLOOKUP(A564,Ativos!A:H,8,),"")</f>
        <v/>
      </c>
      <c r="L564" s="186">
        <f t="shared" si="3"/>
        <v>0</v>
      </c>
    </row>
    <row r="565" ht="21.0" customHeight="1">
      <c r="A565" s="187"/>
      <c r="B565" s="187"/>
      <c r="C565" s="188"/>
      <c r="D565" s="135"/>
      <c r="E565" s="189"/>
      <c r="F565" s="182" t="str">
        <f t="shared" si="1"/>
        <v/>
      </c>
      <c r="G565" s="183">
        <f>IFERROR(__xludf.DUMMYFUNCTION("IFERROR(lookup(9999999999,FILTER('Operações-BR'!$M:$M,'Operações-BR'!$C:$C=A565,'Operações-BR'!$A:$A&lt;=C565)),0)"),0.0)</f>
        <v>0</v>
      </c>
      <c r="H565" s="184">
        <f t="shared" si="2"/>
        <v>0</v>
      </c>
      <c r="I565" s="184">
        <f>IFERROR(__xludf.DUMMYFUNCTION("IFERROR(lookup(9999999999,FILTER('Operações-BR'!Q:Q,'Operações-BR'!$C:$C=A565,'Operações-BR'!$A:$A&lt;=C565))/G565,0)"),0.0)</f>
        <v>0</v>
      </c>
      <c r="J565" s="185" t="str">
        <f>IFERROR(VLOOKUP(A565,Ativos!$A$1:$G2000,5,),"")</f>
        <v/>
      </c>
      <c r="K565" s="185" t="str">
        <f>IFERROR(VLOOKUP(A565,Ativos!A:H,8,),"")</f>
        <v/>
      </c>
      <c r="L565" s="186">
        <f t="shared" si="3"/>
        <v>0</v>
      </c>
    </row>
    <row r="566" ht="21.0" customHeight="1">
      <c r="A566" s="187"/>
      <c r="B566" s="187"/>
      <c r="C566" s="188"/>
      <c r="D566" s="135"/>
      <c r="E566" s="189"/>
      <c r="F566" s="182" t="str">
        <f t="shared" si="1"/>
        <v/>
      </c>
      <c r="G566" s="183">
        <f>IFERROR(__xludf.DUMMYFUNCTION("IFERROR(lookup(9999999999,FILTER('Operações-BR'!$M:$M,'Operações-BR'!$C:$C=A566,'Operações-BR'!$A:$A&lt;=C566)),0)"),0.0)</f>
        <v>0</v>
      </c>
      <c r="H566" s="184">
        <f t="shared" si="2"/>
        <v>0</v>
      </c>
      <c r="I566" s="184">
        <f>IFERROR(__xludf.DUMMYFUNCTION("IFERROR(lookup(9999999999,FILTER('Operações-BR'!Q:Q,'Operações-BR'!$C:$C=A566,'Operações-BR'!$A:$A&lt;=C566))/G566,0)"),0.0)</f>
        <v>0</v>
      </c>
      <c r="J566" s="185" t="str">
        <f>IFERROR(VLOOKUP(A566,Ativos!$A$1:$G2000,5,),"")</f>
        <v/>
      </c>
      <c r="K566" s="185" t="str">
        <f>IFERROR(VLOOKUP(A566,Ativos!A:H,8,),"")</f>
        <v/>
      </c>
      <c r="L566" s="186">
        <f t="shared" si="3"/>
        <v>0</v>
      </c>
    </row>
    <row r="567" ht="21.0" customHeight="1">
      <c r="A567" s="187"/>
      <c r="B567" s="187"/>
      <c r="C567" s="188"/>
      <c r="D567" s="135"/>
      <c r="E567" s="189"/>
      <c r="F567" s="182" t="str">
        <f t="shared" si="1"/>
        <v/>
      </c>
      <c r="G567" s="183">
        <f>IFERROR(__xludf.DUMMYFUNCTION("IFERROR(lookup(9999999999,FILTER('Operações-BR'!$M:$M,'Operações-BR'!$C:$C=A567,'Operações-BR'!$A:$A&lt;=C567)),0)"),0.0)</f>
        <v>0</v>
      </c>
      <c r="H567" s="184">
        <f t="shared" si="2"/>
        <v>0</v>
      </c>
      <c r="I567" s="184">
        <f>IFERROR(__xludf.DUMMYFUNCTION("IFERROR(lookup(9999999999,FILTER('Operações-BR'!Q:Q,'Operações-BR'!$C:$C=A567,'Operações-BR'!$A:$A&lt;=C567))/G567,0)"),0.0)</f>
        <v>0</v>
      </c>
      <c r="J567" s="185" t="str">
        <f>IFERROR(VLOOKUP(A567,Ativos!$A$1:$G2000,5,),"")</f>
        <v/>
      </c>
      <c r="K567" s="185" t="str">
        <f>IFERROR(VLOOKUP(A567,Ativos!A:H,8,),"")</f>
        <v/>
      </c>
      <c r="L567" s="186">
        <f t="shared" si="3"/>
        <v>0</v>
      </c>
    </row>
    <row r="568" ht="21.0" customHeight="1">
      <c r="A568" s="187"/>
      <c r="B568" s="187"/>
      <c r="C568" s="188"/>
      <c r="D568" s="135"/>
      <c r="E568" s="189"/>
      <c r="F568" s="182" t="str">
        <f t="shared" si="1"/>
        <v/>
      </c>
      <c r="G568" s="183">
        <f>IFERROR(__xludf.DUMMYFUNCTION("IFERROR(lookup(9999999999,FILTER('Operações-BR'!$M:$M,'Operações-BR'!$C:$C=A568,'Operações-BR'!$A:$A&lt;=C568)),0)"),0.0)</f>
        <v>0</v>
      </c>
      <c r="H568" s="184">
        <f t="shared" si="2"/>
        <v>0</v>
      </c>
      <c r="I568" s="184">
        <f>IFERROR(__xludf.DUMMYFUNCTION("IFERROR(lookup(9999999999,FILTER('Operações-BR'!Q:Q,'Operações-BR'!$C:$C=A568,'Operações-BR'!$A:$A&lt;=C568))/G568,0)"),0.0)</f>
        <v>0</v>
      </c>
      <c r="J568" s="185" t="str">
        <f>IFERROR(VLOOKUP(A568,Ativos!$A$1:$G2000,5,),"")</f>
        <v/>
      </c>
      <c r="K568" s="185" t="str">
        <f>IFERROR(VLOOKUP(A568,Ativos!A:H,8,),"")</f>
        <v/>
      </c>
      <c r="L568" s="186">
        <f t="shared" si="3"/>
        <v>0</v>
      </c>
    </row>
    <row r="569" ht="21.0" customHeight="1">
      <c r="A569" s="187"/>
      <c r="B569" s="187"/>
      <c r="C569" s="188"/>
      <c r="D569" s="135"/>
      <c r="E569" s="189"/>
      <c r="F569" s="182" t="str">
        <f t="shared" si="1"/>
        <v/>
      </c>
      <c r="G569" s="183">
        <f>IFERROR(__xludf.DUMMYFUNCTION("IFERROR(lookup(9999999999,FILTER('Operações-BR'!$M:$M,'Operações-BR'!$C:$C=A569,'Operações-BR'!$A:$A&lt;=C569)),0)"),0.0)</f>
        <v>0</v>
      </c>
      <c r="H569" s="184">
        <f t="shared" si="2"/>
        <v>0</v>
      </c>
      <c r="I569" s="184">
        <f>IFERROR(__xludf.DUMMYFUNCTION("IFERROR(lookup(9999999999,FILTER('Operações-BR'!Q:Q,'Operações-BR'!$C:$C=A569,'Operações-BR'!$A:$A&lt;=C569))/G569,0)"),0.0)</f>
        <v>0</v>
      </c>
      <c r="J569" s="185" t="str">
        <f>IFERROR(VLOOKUP(A569,Ativos!$A$1:$G2000,5,),"")</f>
        <v/>
      </c>
      <c r="K569" s="185" t="str">
        <f>IFERROR(VLOOKUP(A569,Ativos!A:H,8,),"")</f>
        <v/>
      </c>
      <c r="L569" s="186">
        <f t="shared" si="3"/>
        <v>0</v>
      </c>
    </row>
    <row r="570" ht="21.0" customHeight="1">
      <c r="A570" s="187"/>
      <c r="B570" s="187"/>
      <c r="C570" s="188"/>
      <c r="D570" s="135"/>
      <c r="E570" s="189"/>
      <c r="F570" s="182" t="str">
        <f t="shared" si="1"/>
        <v/>
      </c>
      <c r="G570" s="183">
        <f>IFERROR(__xludf.DUMMYFUNCTION("IFERROR(lookup(9999999999,FILTER('Operações-BR'!$M:$M,'Operações-BR'!$C:$C=A570,'Operações-BR'!$A:$A&lt;=C570)),0)"),0.0)</f>
        <v>0</v>
      </c>
      <c r="H570" s="184">
        <f t="shared" si="2"/>
        <v>0</v>
      </c>
      <c r="I570" s="184">
        <f>IFERROR(__xludf.DUMMYFUNCTION("IFERROR(lookup(9999999999,FILTER('Operações-BR'!Q:Q,'Operações-BR'!$C:$C=A570,'Operações-BR'!$A:$A&lt;=C570))/G570,0)"),0.0)</f>
        <v>0</v>
      </c>
      <c r="J570" s="185" t="str">
        <f>IFERROR(VLOOKUP(A570,Ativos!$A$1:$G2000,5,),"")</f>
        <v/>
      </c>
      <c r="K570" s="185" t="str">
        <f>IFERROR(VLOOKUP(A570,Ativos!A:H,8,),"")</f>
        <v/>
      </c>
      <c r="L570" s="186">
        <f t="shared" si="3"/>
        <v>0</v>
      </c>
    </row>
    <row r="571" ht="21.0" customHeight="1">
      <c r="A571" s="187"/>
      <c r="B571" s="187"/>
      <c r="C571" s="188"/>
      <c r="D571" s="135"/>
      <c r="E571" s="189"/>
      <c r="F571" s="182" t="str">
        <f t="shared" si="1"/>
        <v/>
      </c>
      <c r="G571" s="183">
        <f>IFERROR(__xludf.DUMMYFUNCTION("IFERROR(lookup(9999999999,FILTER('Operações-BR'!$M:$M,'Operações-BR'!$C:$C=A571,'Operações-BR'!$A:$A&lt;=C571)),0)"),0.0)</f>
        <v>0</v>
      </c>
      <c r="H571" s="184">
        <f t="shared" si="2"/>
        <v>0</v>
      </c>
      <c r="I571" s="184">
        <f>IFERROR(__xludf.DUMMYFUNCTION("IFERROR(lookup(9999999999,FILTER('Operações-BR'!Q:Q,'Operações-BR'!$C:$C=A571,'Operações-BR'!$A:$A&lt;=C571))/G571,0)"),0.0)</f>
        <v>0</v>
      </c>
      <c r="J571" s="185" t="str">
        <f>IFERROR(VLOOKUP(A571,Ativos!$A$1:$G2000,5,),"")</f>
        <v/>
      </c>
      <c r="K571" s="185" t="str">
        <f>IFERROR(VLOOKUP(A571,Ativos!A:H,8,),"")</f>
        <v/>
      </c>
      <c r="L571" s="186">
        <f t="shared" si="3"/>
        <v>0</v>
      </c>
    </row>
    <row r="572" ht="21.0" customHeight="1">
      <c r="A572" s="187"/>
      <c r="B572" s="187"/>
      <c r="C572" s="188"/>
      <c r="D572" s="135"/>
      <c r="E572" s="189"/>
      <c r="F572" s="182" t="str">
        <f t="shared" si="1"/>
        <v/>
      </c>
      <c r="G572" s="183">
        <f>IFERROR(__xludf.DUMMYFUNCTION("IFERROR(lookup(9999999999,FILTER('Operações-BR'!$M:$M,'Operações-BR'!$C:$C=A572,'Operações-BR'!$A:$A&lt;=C572)),0)"),0.0)</f>
        <v>0</v>
      </c>
      <c r="H572" s="184">
        <f t="shared" si="2"/>
        <v>0</v>
      </c>
      <c r="I572" s="184">
        <f>IFERROR(__xludf.DUMMYFUNCTION("IFERROR(lookup(9999999999,FILTER('Operações-BR'!Q:Q,'Operações-BR'!$C:$C=A572,'Operações-BR'!$A:$A&lt;=C572))/G572,0)"),0.0)</f>
        <v>0</v>
      </c>
      <c r="J572" s="185" t="str">
        <f>IFERROR(VLOOKUP(A572,Ativos!$A$1:$G2000,5,),"")</f>
        <v/>
      </c>
      <c r="K572" s="185" t="str">
        <f>IFERROR(VLOOKUP(A572,Ativos!A:H,8,),"")</f>
        <v/>
      </c>
      <c r="L572" s="186">
        <f t="shared" si="3"/>
        <v>0</v>
      </c>
    </row>
    <row r="573" ht="21.0" customHeight="1">
      <c r="A573" s="187"/>
      <c r="B573" s="187"/>
      <c r="C573" s="188"/>
      <c r="D573" s="135"/>
      <c r="E573" s="189"/>
      <c r="F573" s="182" t="str">
        <f t="shared" si="1"/>
        <v/>
      </c>
      <c r="G573" s="183">
        <f>IFERROR(__xludf.DUMMYFUNCTION("IFERROR(lookup(9999999999,FILTER('Operações-BR'!$M:$M,'Operações-BR'!$C:$C=A573,'Operações-BR'!$A:$A&lt;=C573)),0)"),0.0)</f>
        <v>0</v>
      </c>
      <c r="H573" s="184">
        <f t="shared" si="2"/>
        <v>0</v>
      </c>
      <c r="I573" s="184">
        <f>IFERROR(__xludf.DUMMYFUNCTION("IFERROR(lookup(9999999999,FILTER('Operações-BR'!Q:Q,'Operações-BR'!$C:$C=A573,'Operações-BR'!$A:$A&lt;=C573))/G573,0)"),0.0)</f>
        <v>0</v>
      </c>
      <c r="J573" s="185" t="str">
        <f>IFERROR(VLOOKUP(A573,Ativos!$A$1:$G2000,5,),"")</f>
        <v/>
      </c>
      <c r="K573" s="185" t="str">
        <f>IFERROR(VLOOKUP(A573,Ativos!A:H,8,),"")</f>
        <v/>
      </c>
      <c r="L573" s="186">
        <f t="shared" si="3"/>
        <v>0</v>
      </c>
    </row>
    <row r="574" ht="21.0" customHeight="1">
      <c r="A574" s="187"/>
      <c r="B574" s="187"/>
      <c r="C574" s="188"/>
      <c r="D574" s="135"/>
      <c r="E574" s="189"/>
      <c r="F574" s="182" t="str">
        <f t="shared" si="1"/>
        <v/>
      </c>
      <c r="G574" s="183">
        <f>IFERROR(__xludf.DUMMYFUNCTION("IFERROR(lookup(9999999999,FILTER('Operações-BR'!$M:$M,'Operações-BR'!$C:$C=A574,'Operações-BR'!$A:$A&lt;=C574)),0)"),0.0)</f>
        <v>0</v>
      </c>
      <c r="H574" s="184">
        <f t="shared" si="2"/>
        <v>0</v>
      </c>
      <c r="I574" s="184">
        <f>IFERROR(__xludf.DUMMYFUNCTION("IFERROR(lookup(9999999999,FILTER('Operações-BR'!Q:Q,'Operações-BR'!$C:$C=A574,'Operações-BR'!$A:$A&lt;=C574))/G574,0)"),0.0)</f>
        <v>0</v>
      </c>
      <c r="J574" s="185" t="str">
        <f>IFERROR(VLOOKUP(A574,Ativos!$A$1:$G2000,5,),"")</f>
        <v/>
      </c>
      <c r="K574" s="185" t="str">
        <f>IFERROR(VLOOKUP(A574,Ativos!A:H,8,),"")</f>
        <v/>
      </c>
      <c r="L574" s="186">
        <f t="shared" si="3"/>
        <v>0</v>
      </c>
    </row>
    <row r="575" ht="21.0" customHeight="1">
      <c r="A575" s="187"/>
      <c r="B575" s="187"/>
      <c r="C575" s="188"/>
      <c r="D575" s="135"/>
      <c r="E575" s="189"/>
      <c r="F575" s="182" t="str">
        <f t="shared" si="1"/>
        <v/>
      </c>
      <c r="G575" s="183">
        <f>IFERROR(__xludf.DUMMYFUNCTION("IFERROR(lookup(9999999999,FILTER('Operações-BR'!$M:$M,'Operações-BR'!$C:$C=A575,'Operações-BR'!$A:$A&lt;=C575)),0)"),0.0)</f>
        <v>0</v>
      </c>
      <c r="H575" s="184">
        <f t="shared" si="2"/>
        <v>0</v>
      </c>
      <c r="I575" s="184">
        <f>IFERROR(__xludf.DUMMYFUNCTION("IFERROR(lookup(9999999999,FILTER('Operações-BR'!Q:Q,'Operações-BR'!$C:$C=A575,'Operações-BR'!$A:$A&lt;=C575))/G575,0)"),0.0)</f>
        <v>0</v>
      </c>
      <c r="J575" s="185" t="str">
        <f>IFERROR(VLOOKUP(A575,Ativos!$A$1:$G2000,5,),"")</f>
        <v/>
      </c>
      <c r="K575" s="185" t="str">
        <f>IFERROR(VLOOKUP(A575,Ativos!A:H,8,),"")</f>
        <v/>
      </c>
      <c r="L575" s="186">
        <f t="shared" si="3"/>
        <v>0</v>
      </c>
    </row>
    <row r="576" ht="21.0" customHeight="1">
      <c r="A576" s="187"/>
      <c r="B576" s="187"/>
      <c r="C576" s="188"/>
      <c r="D576" s="135"/>
      <c r="E576" s="189"/>
      <c r="F576" s="182" t="str">
        <f t="shared" si="1"/>
        <v/>
      </c>
      <c r="G576" s="183">
        <f>IFERROR(__xludf.DUMMYFUNCTION("IFERROR(lookup(9999999999,FILTER('Operações-BR'!$M:$M,'Operações-BR'!$C:$C=A576,'Operações-BR'!$A:$A&lt;=C576)),0)"),0.0)</f>
        <v>0</v>
      </c>
      <c r="H576" s="184">
        <f t="shared" si="2"/>
        <v>0</v>
      </c>
      <c r="I576" s="184">
        <f>IFERROR(__xludf.DUMMYFUNCTION("IFERROR(lookup(9999999999,FILTER('Operações-BR'!Q:Q,'Operações-BR'!$C:$C=A576,'Operações-BR'!$A:$A&lt;=C576))/G576,0)"),0.0)</f>
        <v>0</v>
      </c>
      <c r="J576" s="185" t="str">
        <f>IFERROR(VLOOKUP(A576,Ativos!$A$1:$G2000,5,),"")</f>
        <v/>
      </c>
      <c r="K576" s="185" t="str">
        <f>IFERROR(VLOOKUP(A576,Ativos!A:H,8,),"")</f>
        <v/>
      </c>
      <c r="L576" s="186">
        <f t="shared" si="3"/>
        <v>0</v>
      </c>
    </row>
    <row r="577" ht="21.0" customHeight="1">
      <c r="A577" s="187"/>
      <c r="B577" s="187"/>
      <c r="C577" s="188"/>
      <c r="D577" s="135"/>
      <c r="E577" s="189"/>
      <c r="F577" s="182" t="str">
        <f t="shared" si="1"/>
        <v/>
      </c>
      <c r="G577" s="183">
        <f>IFERROR(__xludf.DUMMYFUNCTION("IFERROR(lookup(9999999999,FILTER('Operações-BR'!$M:$M,'Operações-BR'!$C:$C=A577,'Operações-BR'!$A:$A&lt;=C577)),0)"),0.0)</f>
        <v>0</v>
      </c>
      <c r="H577" s="184">
        <f t="shared" si="2"/>
        <v>0</v>
      </c>
      <c r="I577" s="184">
        <f>IFERROR(__xludf.DUMMYFUNCTION("IFERROR(lookup(9999999999,FILTER('Operações-BR'!Q:Q,'Operações-BR'!$C:$C=A577,'Operações-BR'!$A:$A&lt;=C577))/G577,0)"),0.0)</f>
        <v>0</v>
      </c>
      <c r="J577" s="185" t="str">
        <f>IFERROR(VLOOKUP(A577,Ativos!$A$1:$G2000,5,),"")</f>
        <v/>
      </c>
      <c r="K577" s="185" t="str">
        <f>IFERROR(VLOOKUP(A577,Ativos!A:H,8,),"")</f>
        <v/>
      </c>
      <c r="L577" s="186">
        <f t="shared" si="3"/>
        <v>0</v>
      </c>
    </row>
    <row r="578" ht="21.0" customHeight="1">
      <c r="A578" s="187"/>
      <c r="B578" s="187"/>
      <c r="C578" s="188"/>
      <c r="D578" s="135"/>
      <c r="E578" s="189"/>
      <c r="F578" s="182" t="str">
        <f t="shared" si="1"/>
        <v/>
      </c>
      <c r="G578" s="183">
        <f>IFERROR(__xludf.DUMMYFUNCTION("IFERROR(lookup(9999999999,FILTER('Operações-BR'!$M:$M,'Operações-BR'!$C:$C=A578,'Operações-BR'!$A:$A&lt;=C578)),0)"),0.0)</f>
        <v>0</v>
      </c>
      <c r="H578" s="184">
        <f t="shared" si="2"/>
        <v>0</v>
      </c>
      <c r="I578" s="184">
        <f>IFERROR(__xludf.DUMMYFUNCTION("IFERROR(lookup(9999999999,FILTER('Operações-BR'!Q:Q,'Operações-BR'!$C:$C=A578,'Operações-BR'!$A:$A&lt;=C578))/G578,0)"),0.0)</f>
        <v>0</v>
      </c>
      <c r="J578" s="185" t="str">
        <f>IFERROR(VLOOKUP(A578,Ativos!$A$1:$G2000,5,),"")</f>
        <v/>
      </c>
      <c r="K578" s="185" t="str">
        <f>IFERROR(VLOOKUP(A578,Ativos!A:H,8,),"")</f>
        <v/>
      </c>
      <c r="L578" s="186">
        <f t="shared" si="3"/>
        <v>0</v>
      </c>
    </row>
    <row r="579" ht="21.0" customHeight="1">
      <c r="A579" s="187"/>
      <c r="B579" s="187"/>
      <c r="C579" s="188"/>
      <c r="D579" s="135"/>
      <c r="E579" s="189"/>
      <c r="F579" s="182" t="str">
        <f t="shared" si="1"/>
        <v/>
      </c>
      <c r="G579" s="183">
        <f>IFERROR(__xludf.DUMMYFUNCTION("IFERROR(lookup(9999999999,FILTER('Operações-BR'!$M:$M,'Operações-BR'!$C:$C=A579,'Operações-BR'!$A:$A&lt;=C579)),0)"),0.0)</f>
        <v>0</v>
      </c>
      <c r="H579" s="184">
        <f t="shared" si="2"/>
        <v>0</v>
      </c>
      <c r="I579" s="184">
        <f>IFERROR(__xludf.DUMMYFUNCTION("IFERROR(lookup(9999999999,FILTER('Operações-BR'!Q:Q,'Operações-BR'!$C:$C=A579,'Operações-BR'!$A:$A&lt;=C579))/G579,0)"),0.0)</f>
        <v>0</v>
      </c>
      <c r="J579" s="185" t="str">
        <f>IFERROR(VLOOKUP(A579,Ativos!$A$1:$G2000,5,),"")</f>
        <v/>
      </c>
      <c r="K579" s="185" t="str">
        <f>IFERROR(VLOOKUP(A579,Ativos!A:H,8,),"")</f>
        <v/>
      </c>
      <c r="L579" s="186">
        <f t="shared" si="3"/>
        <v>0</v>
      </c>
    </row>
    <row r="580" ht="21.0" customHeight="1">
      <c r="A580" s="187"/>
      <c r="B580" s="187"/>
      <c r="C580" s="188"/>
      <c r="D580" s="135"/>
      <c r="E580" s="189"/>
      <c r="F580" s="182" t="str">
        <f t="shared" si="1"/>
        <v/>
      </c>
      <c r="G580" s="183">
        <f>IFERROR(__xludf.DUMMYFUNCTION("IFERROR(lookup(9999999999,FILTER('Operações-BR'!$M:$M,'Operações-BR'!$C:$C=A580,'Operações-BR'!$A:$A&lt;=C580)),0)"),0.0)</f>
        <v>0</v>
      </c>
      <c r="H580" s="184">
        <f t="shared" si="2"/>
        <v>0</v>
      </c>
      <c r="I580" s="184">
        <f>IFERROR(__xludf.DUMMYFUNCTION("IFERROR(lookup(9999999999,FILTER('Operações-BR'!Q:Q,'Operações-BR'!$C:$C=A580,'Operações-BR'!$A:$A&lt;=C580))/G580,0)"),0.0)</f>
        <v>0</v>
      </c>
      <c r="J580" s="185" t="str">
        <f>IFERROR(VLOOKUP(A580,Ativos!$A$1:$G2000,5,),"")</f>
        <v/>
      </c>
      <c r="K580" s="185" t="str">
        <f>IFERROR(VLOOKUP(A580,Ativos!A:H,8,),"")</f>
        <v/>
      </c>
      <c r="L580" s="186">
        <f t="shared" si="3"/>
        <v>0</v>
      </c>
    </row>
    <row r="581" ht="21.0" customHeight="1">
      <c r="A581" s="187"/>
      <c r="B581" s="187"/>
      <c r="C581" s="188"/>
      <c r="D581" s="135"/>
      <c r="E581" s="189"/>
      <c r="F581" s="182" t="str">
        <f t="shared" si="1"/>
        <v/>
      </c>
      <c r="G581" s="183">
        <f>IFERROR(__xludf.DUMMYFUNCTION("IFERROR(lookup(9999999999,FILTER('Operações-BR'!$M:$M,'Operações-BR'!$C:$C=A581,'Operações-BR'!$A:$A&lt;=C581)),0)"),0.0)</f>
        <v>0</v>
      </c>
      <c r="H581" s="184">
        <f t="shared" si="2"/>
        <v>0</v>
      </c>
      <c r="I581" s="184">
        <f>IFERROR(__xludf.DUMMYFUNCTION("IFERROR(lookup(9999999999,FILTER('Operações-BR'!Q:Q,'Operações-BR'!$C:$C=A581,'Operações-BR'!$A:$A&lt;=C581))/G581,0)"),0.0)</f>
        <v>0</v>
      </c>
      <c r="J581" s="185" t="str">
        <f>IFERROR(VLOOKUP(A581,Ativos!$A$1:$G2000,5,),"")</f>
        <v/>
      </c>
      <c r="K581" s="185" t="str">
        <f>IFERROR(VLOOKUP(A581,Ativos!A:H,8,),"")</f>
        <v/>
      </c>
      <c r="L581" s="186">
        <f t="shared" si="3"/>
        <v>0</v>
      </c>
    </row>
    <row r="582" ht="21.0" customHeight="1">
      <c r="A582" s="187"/>
      <c r="B582" s="187"/>
      <c r="C582" s="188"/>
      <c r="D582" s="135"/>
      <c r="E582" s="189"/>
      <c r="F582" s="182" t="str">
        <f t="shared" si="1"/>
        <v/>
      </c>
      <c r="G582" s="183">
        <f>IFERROR(__xludf.DUMMYFUNCTION("IFERROR(lookup(9999999999,FILTER('Operações-BR'!$M:$M,'Operações-BR'!$C:$C=A582,'Operações-BR'!$A:$A&lt;=C582)),0)"),0.0)</f>
        <v>0</v>
      </c>
      <c r="H582" s="184">
        <f t="shared" si="2"/>
        <v>0</v>
      </c>
      <c r="I582" s="184">
        <f>IFERROR(__xludf.DUMMYFUNCTION("IFERROR(lookup(9999999999,FILTER('Operações-BR'!Q:Q,'Operações-BR'!$C:$C=A582,'Operações-BR'!$A:$A&lt;=C582))/G582,0)"),0.0)</f>
        <v>0</v>
      </c>
      <c r="J582" s="185" t="str">
        <f>IFERROR(VLOOKUP(A582,Ativos!$A$1:$G2000,5,),"")</f>
        <v/>
      </c>
      <c r="K582" s="185" t="str">
        <f>IFERROR(VLOOKUP(A582,Ativos!A:H,8,),"")</f>
        <v/>
      </c>
      <c r="L582" s="186">
        <f t="shared" si="3"/>
        <v>0</v>
      </c>
    </row>
    <row r="583" ht="21.0" customHeight="1">
      <c r="A583" s="187"/>
      <c r="B583" s="187"/>
      <c r="C583" s="188"/>
      <c r="D583" s="135"/>
      <c r="E583" s="189"/>
      <c r="F583" s="182" t="str">
        <f t="shared" si="1"/>
        <v/>
      </c>
      <c r="G583" s="183">
        <f>IFERROR(__xludf.DUMMYFUNCTION("IFERROR(lookup(9999999999,FILTER('Operações-BR'!$M:$M,'Operações-BR'!$C:$C=A583,'Operações-BR'!$A:$A&lt;=C583)),0)"),0.0)</f>
        <v>0</v>
      </c>
      <c r="H583" s="184">
        <f t="shared" si="2"/>
        <v>0</v>
      </c>
      <c r="I583" s="184">
        <f>IFERROR(__xludf.DUMMYFUNCTION("IFERROR(lookup(9999999999,FILTER('Operações-BR'!Q:Q,'Operações-BR'!$C:$C=A583,'Operações-BR'!$A:$A&lt;=C583))/G583,0)"),0.0)</f>
        <v>0</v>
      </c>
      <c r="J583" s="185" t="str">
        <f>IFERROR(VLOOKUP(A583,Ativos!$A$1:$G2000,5,),"")</f>
        <v/>
      </c>
      <c r="K583" s="185" t="str">
        <f>IFERROR(VLOOKUP(A583,Ativos!A:H,8,),"")</f>
        <v/>
      </c>
      <c r="L583" s="186">
        <f t="shared" si="3"/>
        <v>0</v>
      </c>
    </row>
    <row r="584" ht="21.0" customHeight="1">
      <c r="A584" s="187"/>
      <c r="B584" s="187"/>
      <c r="C584" s="188"/>
      <c r="D584" s="135"/>
      <c r="E584" s="189"/>
      <c r="F584" s="182" t="str">
        <f t="shared" si="1"/>
        <v/>
      </c>
      <c r="G584" s="183">
        <f>IFERROR(__xludf.DUMMYFUNCTION("IFERROR(lookup(9999999999,FILTER('Operações-BR'!$M:$M,'Operações-BR'!$C:$C=A584,'Operações-BR'!$A:$A&lt;=C584)),0)"),0.0)</f>
        <v>0</v>
      </c>
      <c r="H584" s="184">
        <f t="shared" si="2"/>
        <v>0</v>
      </c>
      <c r="I584" s="184">
        <f>IFERROR(__xludf.DUMMYFUNCTION("IFERROR(lookup(9999999999,FILTER('Operações-BR'!Q:Q,'Operações-BR'!$C:$C=A584,'Operações-BR'!$A:$A&lt;=C584))/G584,0)"),0.0)</f>
        <v>0</v>
      </c>
      <c r="J584" s="185" t="str">
        <f>IFERROR(VLOOKUP(A584,Ativos!$A$1:$G2000,5,),"")</f>
        <v/>
      </c>
      <c r="K584" s="185" t="str">
        <f>IFERROR(VLOOKUP(A584,Ativos!A:H,8,),"")</f>
        <v/>
      </c>
      <c r="L584" s="186">
        <f t="shared" si="3"/>
        <v>0</v>
      </c>
    </row>
    <row r="585" ht="21.0" customHeight="1">
      <c r="A585" s="187"/>
      <c r="B585" s="187"/>
      <c r="C585" s="188"/>
      <c r="D585" s="135"/>
      <c r="E585" s="189"/>
      <c r="F585" s="182" t="str">
        <f t="shared" si="1"/>
        <v/>
      </c>
      <c r="G585" s="183">
        <f>IFERROR(__xludf.DUMMYFUNCTION("IFERROR(lookup(9999999999,FILTER('Operações-BR'!$M:$M,'Operações-BR'!$C:$C=A585,'Operações-BR'!$A:$A&lt;=C585)),0)"),0.0)</f>
        <v>0</v>
      </c>
      <c r="H585" s="184">
        <f t="shared" si="2"/>
        <v>0</v>
      </c>
      <c r="I585" s="184">
        <f>IFERROR(__xludf.DUMMYFUNCTION("IFERROR(lookup(9999999999,FILTER('Operações-BR'!Q:Q,'Operações-BR'!$C:$C=A585,'Operações-BR'!$A:$A&lt;=C585))/G585,0)"),0.0)</f>
        <v>0</v>
      </c>
      <c r="J585" s="185" t="str">
        <f>IFERROR(VLOOKUP(A585,Ativos!$A$1:$G2000,5,),"")</f>
        <v/>
      </c>
      <c r="K585" s="185" t="str">
        <f>IFERROR(VLOOKUP(A585,Ativos!A:H,8,),"")</f>
        <v/>
      </c>
      <c r="L585" s="186">
        <f t="shared" si="3"/>
        <v>0</v>
      </c>
    </row>
    <row r="586" ht="21.0" customHeight="1">
      <c r="A586" s="187"/>
      <c r="B586" s="187"/>
      <c r="C586" s="188"/>
      <c r="D586" s="135"/>
      <c r="E586" s="189"/>
      <c r="F586" s="182" t="str">
        <f t="shared" si="1"/>
        <v/>
      </c>
      <c r="G586" s="183">
        <f>IFERROR(__xludf.DUMMYFUNCTION("IFERROR(lookup(9999999999,FILTER('Operações-BR'!$M:$M,'Operações-BR'!$C:$C=A586,'Operações-BR'!$A:$A&lt;=C586)),0)"),0.0)</f>
        <v>0</v>
      </c>
      <c r="H586" s="184">
        <f t="shared" si="2"/>
        <v>0</v>
      </c>
      <c r="I586" s="184">
        <f>IFERROR(__xludf.DUMMYFUNCTION("IFERROR(lookup(9999999999,FILTER('Operações-BR'!Q:Q,'Operações-BR'!$C:$C=A586,'Operações-BR'!$A:$A&lt;=C586))/G586,0)"),0.0)</f>
        <v>0</v>
      </c>
      <c r="J586" s="185" t="str">
        <f>IFERROR(VLOOKUP(A586,Ativos!$A$1:$G2000,5,),"")</f>
        <v/>
      </c>
      <c r="K586" s="185" t="str">
        <f>IFERROR(VLOOKUP(A586,Ativos!A:H,8,),"")</f>
        <v/>
      </c>
      <c r="L586" s="186">
        <f t="shared" si="3"/>
        <v>0</v>
      </c>
    </row>
    <row r="587" ht="21.0" customHeight="1">
      <c r="A587" s="187"/>
      <c r="B587" s="187"/>
      <c r="C587" s="188"/>
      <c r="D587" s="135"/>
      <c r="E587" s="189"/>
      <c r="F587" s="182" t="str">
        <f t="shared" si="1"/>
        <v/>
      </c>
      <c r="G587" s="183">
        <f>IFERROR(__xludf.DUMMYFUNCTION("IFERROR(lookup(9999999999,FILTER('Operações-BR'!$M:$M,'Operações-BR'!$C:$C=A587,'Operações-BR'!$A:$A&lt;=C587)),0)"),0.0)</f>
        <v>0</v>
      </c>
      <c r="H587" s="184">
        <f t="shared" si="2"/>
        <v>0</v>
      </c>
      <c r="I587" s="184">
        <f>IFERROR(__xludf.DUMMYFUNCTION("IFERROR(lookup(9999999999,FILTER('Operações-BR'!Q:Q,'Operações-BR'!$C:$C=A587,'Operações-BR'!$A:$A&lt;=C587))/G587,0)"),0.0)</f>
        <v>0</v>
      </c>
      <c r="J587" s="185" t="str">
        <f>IFERROR(VLOOKUP(A587,Ativos!$A$1:$G2000,5,),"")</f>
        <v/>
      </c>
      <c r="K587" s="185" t="str">
        <f>IFERROR(VLOOKUP(A587,Ativos!A:H,8,),"")</f>
        <v/>
      </c>
      <c r="L587" s="186">
        <f t="shared" si="3"/>
        <v>0</v>
      </c>
    </row>
    <row r="588" ht="21.0" customHeight="1">
      <c r="A588" s="187"/>
      <c r="B588" s="187"/>
      <c r="C588" s="188"/>
      <c r="D588" s="135"/>
      <c r="E588" s="189"/>
      <c r="F588" s="182" t="str">
        <f t="shared" si="1"/>
        <v/>
      </c>
      <c r="G588" s="183">
        <f>IFERROR(__xludf.DUMMYFUNCTION("IFERROR(lookup(9999999999,FILTER('Operações-BR'!$M:$M,'Operações-BR'!$C:$C=A588,'Operações-BR'!$A:$A&lt;=C588)),0)"),0.0)</f>
        <v>0</v>
      </c>
      <c r="H588" s="184">
        <f t="shared" si="2"/>
        <v>0</v>
      </c>
      <c r="I588" s="184">
        <f>IFERROR(__xludf.DUMMYFUNCTION("IFERROR(lookup(9999999999,FILTER('Operações-BR'!Q:Q,'Operações-BR'!$C:$C=A588,'Operações-BR'!$A:$A&lt;=C588))/G588,0)"),0.0)</f>
        <v>0</v>
      </c>
      <c r="J588" s="185" t="str">
        <f>IFERROR(VLOOKUP(A588,Ativos!$A$1:$G2000,5,),"")</f>
        <v/>
      </c>
      <c r="K588" s="185" t="str">
        <f>IFERROR(VLOOKUP(A588,Ativos!A:H,8,),"")</f>
        <v/>
      </c>
      <c r="L588" s="186">
        <f t="shared" si="3"/>
        <v>0</v>
      </c>
    </row>
    <row r="589" ht="21.0" customHeight="1">
      <c r="A589" s="187"/>
      <c r="B589" s="187"/>
      <c r="C589" s="188"/>
      <c r="D589" s="135"/>
      <c r="E589" s="189"/>
      <c r="F589" s="182" t="str">
        <f t="shared" si="1"/>
        <v/>
      </c>
      <c r="G589" s="183">
        <f>IFERROR(__xludf.DUMMYFUNCTION("IFERROR(lookup(9999999999,FILTER('Operações-BR'!$M:$M,'Operações-BR'!$C:$C=A589,'Operações-BR'!$A:$A&lt;=C589)),0)"),0.0)</f>
        <v>0</v>
      </c>
      <c r="H589" s="184">
        <f t="shared" si="2"/>
        <v>0</v>
      </c>
      <c r="I589" s="184">
        <f>IFERROR(__xludf.DUMMYFUNCTION("IFERROR(lookup(9999999999,FILTER('Operações-BR'!Q:Q,'Operações-BR'!$C:$C=A589,'Operações-BR'!$A:$A&lt;=C589))/G589,0)"),0.0)</f>
        <v>0</v>
      </c>
      <c r="J589" s="185" t="str">
        <f>IFERROR(VLOOKUP(A589,Ativos!$A$1:$G2000,5,),"")</f>
        <v/>
      </c>
      <c r="K589" s="185" t="str">
        <f>IFERROR(VLOOKUP(A589,Ativos!A:H,8,),"")</f>
        <v/>
      </c>
      <c r="L589" s="186">
        <f t="shared" si="3"/>
        <v>0</v>
      </c>
    </row>
    <row r="590" ht="21.0" customHeight="1">
      <c r="A590" s="187"/>
      <c r="B590" s="187"/>
      <c r="C590" s="188"/>
      <c r="D590" s="135"/>
      <c r="E590" s="189"/>
      <c r="F590" s="182" t="str">
        <f t="shared" si="1"/>
        <v/>
      </c>
      <c r="G590" s="183">
        <f>IFERROR(__xludf.DUMMYFUNCTION("IFERROR(lookup(9999999999,FILTER('Operações-BR'!$M:$M,'Operações-BR'!$C:$C=A590,'Operações-BR'!$A:$A&lt;=C590)),0)"),0.0)</f>
        <v>0</v>
      </c>
      <c r="H590" s="184">
        <f t="shared" si="2"/>
        <v>0</v>
      </c>
      <c r="I590" s="184">
        <f>IFERROR(__xludf.DUMMYFUNCTION("IFERROR(lookup(9999999999,FILTER('Operações-BR'!Q:Q,'Operações-BR'!$C:$C=A590,'Operações-BR'!$A:$A&lt;=C590))/G590,0)"),0.0)</f>
        <v>0</v>
      </c>
      <c r="J590" s="185" t="str">
        <f>IFERROR(VLOOKUP(A590,Ativos!$A$1:$G2000,5,),"")</f>
        <v/>
      </c>
      <c r="K590" s="185" t="str">
        <f>IFERROR(VLOOKUP(A590,Ativos!A:H,8,),"")</f>
        <v/>
      </c>
      <c r="L590" s="186">
        <f t="shared" si="3"/>
        <v>0</v>
      </c>
    </row>
    <row r="591" ht="21.0" customHeight="1">
      <c r="A591" s="187"/>
      <c r="B591" s="187"/>
      <c r="C591" s="188"/>
      <c r="D591" s="135"/>
      <c r="E591" s="189"/>
      <c r="F591" s="182" t="str">
        <f t="shared" si="1"/>
        <v/>
      </c>
      <c r="G591" s="183">
        <f>IFERROR(__xludf.DUMMYFUNCTION("IFERROR(lookup(9999999999,FILTER('Operações-BR'!$M:$M,'Operações-BR'!$C:$C=A591,'Operações-BR'!$A:$A&lt;=C591)),0)"),0.0)</f>
        <v>0</v>
      </c>
      <c r="H591" s="184">
        <f t="shared" si="2"/>
        <v>0</v>
      </c>
      <c r="I591" s="184">
        <f>IFERROR(__xludf.DUMMYFUNCTION("IFERROR(lookup(9999999999,FILTER('Operações-BR'!Q:Q,'Operações-BR'!$C:$C=A591,'Operações-BR'!$A:$A&lt;=C591))/G591,0)"),0.0)</f>
        <v>0</v>
      </c>
      <c r="J591" s="185" t="str">
        <f>IFERROR(VLOOKUP(A591,Ativos!$A$1:$G2000,5,),"")</f>
        <v/>
      </c>
      <c r="K591" s="185" t="str">
        <f>IFERROR(VLOOKUP(A591,Ativos!A:H,8,),"")</f>
        <v/>
      </c>
      <c r="L591" s="186">
        <f t="shared" si="3"/>
        <v>0</v>
      </c>
    </row>
    <row r="592" ht="21.0" customHeight="1">
      <c r="A592" s="187"/>
      <c r="B592" s="187"/>
      <c r="C592" s="188"/>
      <c r="D592" s="135"/>
      <c r="E592" s="189"/>
      <c r="F592" s="182" t="str">
        <f t="shared" si="1"/>
        <v/>
      </c>
      <c r="G592" s="183">
        <f>IFERROR(__xludf.DUMMYFUNCTION("IFERROR(lookup(9999999999,FILTER('Operações-BR'!$M:$M,'Operações-BR'!$C:$C=A592,'Operações-BR'!$A:$A&lt;=C592)),0)"),0.0)</f>
        <v>0</v>
      </c>
      <c r="H592" s="184">
        <f t="shared" si="2"/>
        <v>0</v>
      </c>
      <c r="I592" s="184">
        <f>IFERROR(__xludf.DUMMYFUNCTION("IFERROR(lookup(9999999999,FILTER('Operações-BR'!Q:Q,'Operações-BR'!$C:$C=A592,'Operações-BR'!$A:$A&lt;=C592))/G592,0)"),0.0)</f>
        <v>0</v>
      </c>
      <c r="J592" s="185" t="str">
        <f>IFERROR(VLOOKUP(A592,Ativos!$A$1:$G2000,5,),"")</f>
        <v/>
      </c>
      <c r="K592" s="185" t="str">
        <f>IFERROR(VLOOKUP(A592,Ativos!A:H,8,),"")</f>
        <v/>
      </c>
      <c r="L592" s="186">
        <f t="shared" si="3"/>
        <v>0</v>
      </c>
    </row>
    <row r="593" ht="21.0" customHeight="1">
      <c r="A593" s="187"/>
      <c r="B593" s="187"/>
      <c r="C593" s="188"/>
      <c r="D593" s="135"/>
      <c r="E593" s="189"/>
      <c r="F593" s="182" t="str">
        <f t="shared" si="1"/>
        <v/>
      </c>
      <c r="G593" s="183">
        <f>IFERROR(__xludf.DUMMYFUNCTION("IFERROR(lookup(9999999999,FILTER('Operações-BR'!$M:$M,'Operações-BR'!$C:$C=A593,'Operações-BR'!$A:$A&lt;=C593)),0)"),0.0)</f>
        <v>0</v>
      </c>
      <c r="H593" s="184">
        <f t="shared" si="2"/>
        <v>0</v>
      </c>
      <c r="I593" s="184">
        <f>IFERROR(__xludf.DUMMYFUNCTION("IFERROR(lookup(9999999999,FILTER('Operações-BR'!Q:Q,'Operações-BR'!$C:$C=A593,'Operações-BR'!$A:$A&lt;=C593))/G593,0)"),0.0)</f>
        <v>0</v>
      </c>
      <c r="J593" s="185" t="str">
        <f>IFERROR(VLOOKUP(A593,Ativos!$A$1:$G2000,5,),"")</f>
        <v/>
      </c>
      <c r="K593" s="185" t="str">
        <f>IFERROR(VLOOKUP(A593,Ativos!A:H,8,),"")</f>
        <v/>
      </c>
      <c r="L593" s="186">
        <f t="shared" si="3"/>
        <v>0</v>
      </c>
    </row>
    <row r="594" ht="21.0" customHeight="1">
      <c r="A594" s="187"/>
      <c r="B594" s="187"/>
      <c r="C594" s="188"/>
      <c r="D594" s="135"/>
      <c r="E594" s="189"/>
      <c r="F594" s="182" t="str">
        <f t="shared" si="1"/>
        <v/>
      </c>
      <c r="G594" s="183">
        <f>IFERROR(__xludf.DUMMYFUNCTION("IFERROR(lookup(9999999999,FILTER('Operações-BR'!$M:$M,'Operações-BR'!$C:$C=A594,'Operações-BR'!$A:$A&lt;=C594)),0)"),0.0)</f>
        <v>0</v>
      </c>
      <c r="H594" s="184">
        <f t="shared" si="2"/>
        <v>0</v>
      </c>
      <c r="I594" s="184">
        <f>IFERROR(__xludf.DUMMYFUNCTION("IFERROR(lookup(9999999999,FILTER('Operações-BR'!Q:Q,'Operações-BR'!$C:$C=A594,'Operações-BR'!$A:$A&lt;=C594))/G594,0)"),0.0)</f>
        <v>0</v>
      </c>
      <c r="J594" s="185" t="str">
        <f>IFERROR(VLOOKUP(A594,Ativos!$A$1:$G2000,5,),"")</f>
        <v/>
      </c>
      <c r="K594" s="185" t="str">
        <f>IFERROR(VLOOKUP(A594,Ativos!A:H,8,),"")</f>
        <v/>
      </c>
      <c r="L594" s="186">
        <f t="shared" si="3"/>
        <v>0</v>
      </c>
    </row>
    <row r="595" ht="21.0" customHeight="1">
      <c r="A595" s="187"/>
      <c r="B595" s="187"/>
      <c r="C595" s="188"/>
      <c r="D595" s="135"/>
      <c r="E595" s="189"/>
      <c r="F595" s="182" t="str">
        <f t="shared" si="1"/>
        <v/>
      </c>
      <c r="G595" s="183">
        <f>IFERROR(__xludf.DUMMYFUNCTION("IFERROR(lookup(9999999999,FILTER('Operações-BR'!$M:$M,'Operações-BR'!$C:$C=A595,'Operações-BR'!$A:$A&lt;=C595)),0)"),0.0)</f>
        <v>0</v>
      </c>
      <c r="H595" s="184">
        <f t="shared" si="2"/>
        <v>0</v>
      </c>
      <c r="I595" s="184">
        <f>IFERROR(__xludf.DUMMYFUNCTION("IFERROR(lookup(9999999999,FILTER('Operações-BR'!Q:Q,'Operações-BR'!$C:$C=A595,'Operações-BR'!$A:$A&lt;=C595))/G595,0)"),0.0)</f>
        <v>0</v>
      </c>
      <c r="J595" s="185" t="str">
        <f>IFERROR(VLOOKUP(A595,Ativos!$A$1:$G2000,5,),"")</f>
        <v/>
      </c>
      <c r="K595" s="185" t="str">
        <f>IFERROR(VLOOKUP(A595,Ativos!A:H,8,),"")</f>
        <v/>
      </c>
      <c r="L595" s="186">
        <f t="shared" si="3"/>
        <v>0</v>
      </c>
    </row>
    <row r="596" ht="21.0" customHeight="1">
      <c r="A596" s="187"/>
      <c r="B596" s="187"/>
      <c r="C596" s="188"/>
      <c r="D596" s="135"/>
      <c r="E596" s="189"/>
      <c r="F596" s="182" t="str">
        <f t="shared" si="1"/>
        <v/>
      </c>
      <c r="G596" s="183">
        <f>IFERROR(__xludf.DUMMYFUNCTION("IFERROR(lookup(9999999999,FILTER('Operações-BR'!$M:$M,'Operações-BR'!$C:$C=A596,'Operações-BR'!$A:$A&lt;=C596)),0)"),0.0)</f>
        <v>0</v>
      </c>
      <c r="H596" s="184">
        <f t="shared" si="2"/>
        <v>0</v>
      </c>
      <c r="I596" s="184">
        <f>IFERROR(__xludf.DUMMYFUNCTION("IFERROR(lookup(9999999999,FILTER('Operações-BR'!Q:Q,'Operações-BR'!$C:$C=A596,'Operações-BR'!$A:$A&lt;=C596))/G596,0)"),0.0)</f>
        <v>0</v>
      </c>
      <c r="J596" s="185" t="str">
        <f>IFERROR(VLOOKUP(A596,Ativos!$A$1:$G2000,5,),"")</f>
        <v/>
      </c>
      <c r="K596" s="185" t="str">
        <f>IFERROR(VLOOKUP(A596,Ativos!A:H,8,),"")</f>
        <v/>
      </c>
      <c r="L596" s="186">
        <f t="shared" si="3"/>
        <v>0</v>
      </c>
    </row>
    <row r="597" ht="21.0" customHeight="1">
      <c r="A597" s="187"/>
      <c r="B597" s="187"/>
      <c r="C597" s="188"/>
      <c r="D597" s="135"/>
      <c r="E597" s="189"/>
      <c r="F597" s="182" t="str">
        <f t="shared" si="1"/>
        <v/>
      </c>
      <c r="G597" s="183">
        <f>IFERROR(__xludf.DUMMYFUNCTION("IFERROR(lookup(9999999999,FILTER('Operações-BR'!$M:$M,'Operações-BR'!$C:$C=A597,'Operações-BR'!$A:$A&lt;=C597)),0)"),0.0)</f>
        <v>0</v>
      </c>
      <c r="H597" s="184">
        <f t="shared" si="2"/>
        <v>0</v>
      </c>
      <c r="I597" s="184">
        <f>IFERROR(__xludf.DUMMYFUNCTION("IFERROR(lookup(9999999999,FILTER('Operações-BR'!Q:Q,'Operações-BR'!$C:$C=A597,'Operações-BR'!$A:$A&lt;=C597))/G597,0)"),0.0)</f>
        <v>0</v>
      </c>
      <c r="J597" s="185" t="str">
        <f>IFERROR(VLOOKUP(A597,Ativos!$A$1:$G2000,5,),"")</f>
        <v/>
      </c>
      <c r="K597" s="185" t="str">
        <f>IFERROR(VLOOKUP(A597,Ativos!A:H,8,),"")</f>
        <v/>
      </c>
      <c r="L597" s="186">
        <f t="shared" si="3"/>
        <v>0</v>
      </c>
    </row>
    <row r="598" ht="21.0" customHeight="1">
      <c r="A598" s="187"/>
      <c r="B598" s="187"/>
      <c r="C598" s="188"/>
      <c r="D598" s="135"/>
      <c r="E598" s="189"/>
      <c r="F598" s="182" t="str">
        <f t="shared" si="1"/>
        <v/>
      </c>
      <c r="G598" s="183">
        <f>IFERROR(__xludf.DUMMYFUNCTION("IFERROR(lookup(9999999999,FILTER('Operações-BR'!$M:$M,'Operações-BR'!$C:$C=A598,'Operações-BR'!$A:$A&lt;=C598)),0)"),0.0)</f>
        <v>0</v>
      </c>
      <c r="H598" s="184">
        <f t="shared" si="2"/>
        <v>0</v>
      </c>
      <c r="I598" s="184">
        <f>IFERROR(__xludf.DUMMYFUNCTION("IFERROR(lookup(9999999999,FILTER('Operações-BR'!Q:Q,'Operações-BR'!$C:$C=A598,'Operações-BR'!$A:$A&lt;=C598))/G598,0)"),0.0)</f>
        <v>0</v>
      </c>
      <c r="J598" s="185" t="str">
        <f>IFERROR(VLOOKUP(A598,Ativos!$A$1:$G2000,5,),"")</f>
        <v/>
      </c>
      <c r="K598" s="185" t="str">
        <f>IFERROR(VLOOKUP(A598,Ativos!A:H,8,),"")</f>
        <v/>
      </c>
      <c r="L598" s="186">
        <f t="shared" si="3"/>
        <v>0</v>
      </c>
    </row>
    <row r="599" ht="21.0" customHeight="1">
      <c r="A599" s="187"/>
      <c r="B599" s="187"/>
      <c r="C599" s="188"/>
      <c r="D599" s="135"/>
      <c r="E599" s="189"/>
      <c r="F599" s="182" t="str">
        <f t="shared" si="1"/>
        <v/>
      </c>
      <c r="G599" s="183">
        <f>IFERROR(__xludf.DUMMYFUNCTION("IFERROR(lookup(9999999999,FILTER('Operações-BR'!$M:$M,'Operações-BR'!$C:$C=A599,'Operações-BR'!$A:$A&lt;=C599)),0)"),0.0)</f>
        <v>0</v>
      </c>
      <c r="H599" s="184">
        <f t="shared" si="2"/>
        <v>0</v>
      </c>
      <c r="I599" s="184">
        <f>IFERROR(__xludf.DUMMYFUNCTION("IFERROR(lookup(9999999999,FILTER('Operações-BR'!Q:Q,'Operações-BR'!$C:$C=A599,'Operações-BR'!$A:$A&lt;=C599))/G599,0)"),0.0)</f>
        <v>0</v>
      </c>
      <c r="J599" s="185" t="str">
        <f>IFERROR(VLOOKUP(A599,Ativos!$A$1:$G2000,5,),"")</f>
        <v/>
      </c>
      <c r="K599" s="185" t="str">
        <f>IFERROR(VLOOKUP(A599,Ativos!A:H,8,),"")</f>
        <v/>
      </c>
      <c r="L599" s="186">
        <f t="shared" si="3"/>
        <v>0</v>
      </c>
    </row>
    <row r="600" ht="21.0" customHeight="1">
      <c r="A600" s="187"/>
      <c r="B600" s="187"/>
      <c r="C600" s="188"/>
      <c r="D600" s="135"/>
      <c r="E600" s="189"/>
      <c r="F600" s="182" t="str">
        <f t="shared" si="1"/>
        <v/>
      </c>
      <c r="G600" s="183">
        <f>IFERROR(__xludf.DUMMYFUNCTION("IFERROR(lookup(9999999999,FILTER('Operações-BR'!$M:$M,'Operações-BR'!$C:$C=A600,'Operações-BR'!$A:$A&lt;=C600)),0)"),0.0)</f>
        <v>0</v>
      </c>
      <c r="H600" s="184">
        <f t="shared" si="2"/>
        <v>0</v>
      </c>
      <c r="I600" s="184">
        <f>IFERROR(__xludf.DUMMYFUNCTION("IFERROR(lookup(9999999999,FILTER('Operações-BR'!Q:Q,'Operações-BR'!$C:$C=A600,'Operações-BR'!$A:$A&lt;=C600))/G600,0)"),0.0)</f>
        <v>0</v>
      </c>
      <c r="J600" s="185" t="str">
        <f>IFERROR(VLOOKUP(A600,Ativos!$A$1:$G2000,5,),"")</f>
        <v/>
      </c>
      <c r="K600" s="185" t="str">
        <f>IFERROR(VLOOKUP(A600,Ativos!A:H,8,),"")</f>
        <v/>
      </c>
      <c r="L600" s="186">
        <f t="shared" si="3"/>
        <v>0</v>
      </c>
    </row>
    <row r="601" ht="21.0" customHeight="1">
      <c r="A601" s="187"/>
      <c r="B601" s="187"/>
      <c r="C601" s="188"/>
      <c r="D601" s="135"/>
      <c r="E601" s="189"/>
      <c r="F601" s="182" t="str">
        <f t="shared" si="1"/>
        <v/>
      </c>
      <c r="G601" s="183">
        <f>IFERROR(__xludf.DUMMYFUNCTION("IFERROR(lookup(9999999999,FILTER('Operações-BR'!$M:$M,'Operações-BR'!$C:$C=A601,'Operações-BR'!$A:$A&lt;=C601)),0)"),0.0)</f>
        <v>0</v>
      </c>
      <c r="H601" s="184">
        <f t="shared" si="2"/>
        <v>0</v>
      </c>
      <c r="I601" s="184">
        <f>IFERROR(__xludf.DUMMYFUNCTION("IFERROR(lookup(9999999999,FILTER('Operações-BR'!Q:Q,'Operações-BR'!$C:$C=A601,'Operações-BR'!$A:$A&lt;=C601))/G601,0)"),0.0)</f>
        <v>0</v>
      </c>
      <c r="J601" s="185" t="str">
        <f>IFERROR(VLOOKUP(A601,Ativos!$A$1:$G2000,5,),"")</f>
        <v/>
      </c>
      <c r="K601" s="185" t="str">
        <f>IFERROR(VLOOKUP(A601,Ativos!A:H,8,),"")</f>
        <v/>
      </c>
      <c r="L601" s="186">
        <f t="shared" si="3"/>
        <v>0</v>
      </c>
    </row>
    <row r="602" ht="21.0" customHeight="1">
      <c r="A602" s="187"/>
      <c r="B602" s="187"/>
      <c r="C602" s="188"/>
      <c r="D602" s="135"/>
      <c r="E602" s="189"/>
      <c r="F602" s="182" t="str">
        <f t="shared" si="1"/>
        <v/>
      </c>
      <c r="G602" s="183">
        <f>IFERROR(__xludf.DUMMYFUNCTION("IFERROR(lookup(9999999999,FILTER('Operações-BR'!$M:$M,'Operações-BR'!$C:$C=A602,'Operações-BR'!$A:$A&lt;=C602)),0)"),0.0)</f>
        <v>0</v>
      </c>
      <c r="H602" s="184">
        <f t="shared" si="2"/>
        <v>0</v>
      </c>
      <c r="I602" s="184">
        <f>IFERROR(__xludf.DUMMYFUNCTION("IFERROR(lookup(9999999999,FILTER('Operações-BR'!Q:Q,'Operações-BR'!$C:$C=A602,'Operações-BR'!$A:$A&lt;=C602))/G602,0)"),0.0)</f>
        <v>0</v>
      </c>
      <c r="J602" s="185" t="str">
        <f>IFERROR(VLOOKUP(A602,Ativos!$A$1:$G2000,5,),"")</f>
        <v/>
      </c>
      <c r="K602" s="185" t="str">
        <f>IFERROR(VLOOKUP(A602,Ativos!A:H,8,),"")</f>
        <v/>
      </c>
      <c r="L602" s="186">
        <f t="shared" si="3"/>
        <v>0</v>
      </c>
    </row>
    <row r="603" ht="21.0" customHeight="1">
      <c r="A603" s="187"/>
      <c r="B603" s="187"/>
      <c r="C603" s="188"/>
      <c r="D603" s="135"/>
      <c r="E603" s="189"/>
      <c r="F603" s="182" t="str">
        <f t="shared" si="1"/>
        <v/>
      </c>
      <c r="G603" s="183">
        <f>IFERROR(__xludf.DUMMYFUNCTION("IFERROR(lookup(9999999999,FILTER('Operações-BR'!$M:$M,'Operações-BR'!$C:$C=A603,'Operações-BR'!$A:$A&lt;=C603)),0)"),0.0)</f>
        <v>0</v>
      </c>
      <c r="H603" s="184">
        <f t="shared" si="2"/>
        <v>0</v>
      </c>
      <c r="I603" s="184">
        <f>IFERROR(__xludf.DUMMYFUNCTION("IFERROR(lookup(9999999999,FILTER('Operações-BR'!Q:Q,'Operações-BR'!$C:$C=A603,'Operações-BR'!$A:$A&lt;=C603))/G603,0)"),0.0)</f>
        <v>0</v>
      </c>
      <c r="J603" s="185" t="str">
        <f>IFERROR(VLOOKUP(A603,Ativos!$A$1:$G2000,5,),"")</f>
        <v/>
      </c>
      <c r="K603" s="185" t="str">
        <f>IFERROR(VLOOKUP(A603,Ativos!A:H,8,),"")</f>
        <v/>
      </c>
      <c r="L603" s="186">
        <f t="shared" si="3"/>
        <v>0</v>
      </c>
    </row>
    <row r="604" ht="21.0" customHeight="1">
      <c r="A604" s="187"/>
      <c r="B604" s="187"/>
      <c r="C604" s="188"/>
      <c r="D604" s="135"/>
      <c r="E604" s="189"/>
      <c r="F604" s="182" t="str">
        <f t="shared" si="1"/>
        <v/>
      </c>
      <c r="G604" s="183">
        <f>IFERROR(__xludf.DUMMYFUNCTION("IFERROR(lookup(9999999999,FILTER('Operações-BR'!$M:$M,'Operações-BR'!$C:$C=A604,'Operações-BR'!$A:$A&lt;=C604)),0)"),0.0)</f>
        <v>0</v>
      </c>
      <c r="H604" s="184">
        <f t="shared" si="2"/>
        <v>0</v>
      </c>
      <c r="I604" s="184">
        <f>IFERROR(__xludf.DUMMYFUNCTION("IFERROR(lookup(9999999999,FILTER('Operações-BR'!Q:Q,'Operações-BR'!$C:$C=A604,'Operações-BR'!$A:$A&lt;=C604))/G604,0)"),0.0)</f>
        <v>0</v>
      </c>
      <c r="J604" s="185" t="str">
        <f>IFERROR(VLOOKUP(A604,Ativos!$A$1:$G2000,5,),"")</f>
        <v/>
      </c>
      <c r="K604" s="185" t="str">
        <f>IFERROR(VLOOKUP(A604,Ativos!A:H,8,),"")</f>
        <v/>
      </c>
      <c r="L604" s="186">
        <f t="shared" si="3"/>
        <v>0</v>
      </c>
    </row>
    <row r="605" ht="21.0" customHeight="1">
      <c r="A605" s="187"/>
      <c r="B605" s="187"/>
      <c r="C605" s="188"/>
      <c r="D605" s="135"/>
      <c r="E605" s="189"/>
      <c r="F605" s="182" t="str">
        <f t="shared" si="1"/>
        <v/>
      </c>
      <c r="G605" s="183">
        <f>IFERROR(__xludf.DUMMYFUNCTION("IFERROR(lookup(9999999999,FILTER('Operações-BR'!$M:$M,'Operações-BR'!$C:$C=A605,'Operações-BR'!$A:$A&lt;=C605)),0)"),0.0)</f>
        <v>0</v>
      </c>
      <c r="H605" s="184">
        <f t="shared" si="2"/>
        <v>0</v>
      </c>
      <c r="I605" s="184">
        <f>IFERROR(__xludf.DUMMYFUNCTION("IFERROR(lookup(9999999999,FILTER('Operações-BR'!Q:Q,'Operações-BR'!$C:$C=A605,'Operações-BR'!$A:$A&lt;=C605))/G605,0)"),0.0)</f>
        <v>0</v>
      </c>
      <c r="J605" s="185" t="str">
        <f>IFERROR(VLOOKUP(A605,Ativos!$A$1:$G2000,5,),"")</f>
        <v/>
      </c>
      <c r="K605" s="185" t="str">
        <f>IFERROR(VLOOKUP(A605,Ativos!A:H,8,),"")</f>
        <v/>
      </c>
      <c r="L605" s="186">
        <f t="shared" si="3"/>
        <v>0</v>
      </c>
    </row>
    <row r="606" ht="21.0" customHeight="1">
      <c r="A606" s="187"/>
      <c r="B606" s="187"/>
      <c r="C606" s="188"/>
      <c r="D606" s="135"/>
      <c r="E606" s="189"/>
      <c r="F606" s="182" t="str">
        <f t="shared" si="1"/>
        <v/>
      </c>
      <c r="G606" s="183">
        <f>IFERROR(__xludf.DUMMYFUNCTION("IFERROR(lookup(9999999999,FILTER('Operações-BR'!$M:$M,'Operações-BR'!$C:$C=A606,'Operações-BR'!$A:$A&lt;=C606)),0)"),0.0)</f>
        <v>0</v>
      </c>
      <c r="H606" s="184">
        <f t="shared" si="2"/>
        <v>0</v>
      </c>
      <c r="I606" s="184">
        <f>IFERROR(__xludf.DUMMYFUNCTION("IFERROR(lookup(9999999999,FILTER('Operações-BR'!Q:Q,'Operações-BR'!$C:$C=A606,'Operações-BR'!$A:$A&lt;=C606))/G606,0)"),0.0)</f>
        <v>0</v>
      </c>
      <c r="J606" s="185" t="str">
        <f>IFERROR(VLOOKUP(A606,Ativos!$A$1:$G2000,5,),"")</f>
        <v/>
      </c>
      <c r="K606" s="185" t="str">
        <f>IFERROR(VLOOKUP(A606,Ativos!A:H,8,),"")</f>
        <v/>
      </c>
      <c r="L606" s="186">
        <f t="shared" si="3"/>
        <v>0</v>
      </c>
    </row>
    <row r="607" ht="21.0" customHeight="1">
      <c r="A607" s="187"/>
      <c r="B607" s="187"/>
      <c r="C607" s="188"/>
      <c r="D607" s="135"/>
      <c r="E607" s="189"/>
      <c r="F607" s="182" t="str">
        <f t="shared" si="1"/>
        <v/>
      </c>
      <c r="G607" s="183">
        <f>IFERROR(__xludf.DUMMYFUNCTION("IFERROR(lookup(9999999999,FILTER('Operações-BR'!$M:$M,'Operações-BR'!$C:$C=A607,'Operações-BR'!$A:$A&lt;=C607)),0)"),0.0)</f>
        <v>0</v>
      </c>
      <c r="H607" s="184">
        <f t="shared" si="2"/>
        <v>0</v>
      </c>
      <c r="I607" s="184">
        <f>IFERROR(__xludf.DUMMYFUNCTION("IFERROR(lookup(9999999999,FILTER('Operações-BR'!Q:Q,'Operações-BR'!$C:$C=A607,'Operações-BR'!$A:$A&lt;=C607))/G607,0)"),0.0)</f>
        <v>0</v>
      </c>
      <c r="J607" s="185" t="str">
        <f>IFERROR(VLOOKUP(A607,Ativos!$A$1:$G2000,5,),"")</f>
        <v/>
      </c>
      <c r="K607" s="185" t="str">
        <f>IFERROR(VLOOKUP(A607,Ativos!A:H,8,),"")</f>
        <v/>
      </c>
      <c r="L607" s="186">
        <f t="shared" si="3"/>
        <v>0</v>
      </c>
    </row>
    <row r="608" ht="21.0" customHeight="1">
      <c r="A608" s="187"/>
      <c r="B608" s="187"/>
      <c r="C608" s="188"/>
      <c r="D608" s="135"/>
      <c r="E608" s="189"/>
      <c r="F608" s="182" t="str">
        <f t="shared" si="1"/>
        <v/>
      </c>
      <c r="G608" s="183">
        <f>IFERROR(__xludf.DUMMYFUNCTION("IFERROR(lookup(9999999999,FILTER('Operações-BR'!$M:$M,'Operações-BR'!$C:$C=A608,'Operações-BR'!$A:$A&lt;=C608)),0)"),0.0)</f>
        <v>0</v>
      </c>
      <c r="H608" s="184">
        <f t="shared" si="2"/>
        <v>0</v>
      </c>
      <c r="I608" s="184">
        <f>IFERROR(__xludf.DUMMYFUNCTION("IFERROR(lookup(9999999999,FILTER('Operações-BR'!Q:Q,'Operações-BR'!$C:$C=A608,'Operações-BR'!$A:$A&lt;=C608))/G608,0)"),0.0)</f>
        <v>0</v>
      </c>
      <c r="J608" s="185" t="str">
        <f>IFERROR(VLOOKUP(A608,Ativos!$A$1:$G2000,5,),"")</f>
        <v/>
      </c>
      <c r="K608" s="185" t="str">
        <f>IFERROR(VLOOKUP(A608,Ativos!A:H,8,),"")</f>
        <v/>
      </c>
      <c r="L608" s="186">
        <f t="shared" si="3"/>
        <v>0</v>
      </c>
    </row>
    <row r="609" ht="21.0" customHeight="1">
      <c r="A609" s="187"/>
      <c r="B609" s="187"/>
      <c r="C609" s="188"/>
      <c r="D609" s="135"/>
      <c r="E609" s="189"/>
      <c r="F609" s="182" t="str">
        <f t="shared" si="1"/>
        <v/>
      </c>
      <c r="G609" s="183">
        <f>IFERROR(__xludf.DUMMYFUNCTION("IFERROR(lookup(9999999999,FILTER('Operações-BR'!$M:$M,'Operações-BR'!$C:$C=A609,'Operações-BR'!$A:$A&lt;=C609)),0)"),0.0)</f>
        <v>0</v>
      </c>
      <c r="H609" s="184">
        <f t="shared" si="2"/>
        <v>0</v>
      </c>
      <c r="I609" s="184">
        <f>IFERROR(__xludf.DUMMYFUNCTION("IFERROR(lookup(9999999999,FILTER('Operações-BR'!Q:Q,'Operações-BR'!$C:$C=A609,'Operações-BR'!$A:$A&lt;=C609))/G609,0)"),0.0)</f>
        <v>0</v>
      </c>
      <c r="J609" s="185" t="str">
        <f>IFERROR(VLOOKUP(A609,Ativos!$A$1:$G2000,5,),"")</f>
        <v/>
      </c>
      <c r="K609" s="185" t="str">
        <f>IFERROR(VLOOKUP(A609,Ativos!A:H,8,),"")</f>
        <v/>
      </c>
      <c r="L609" s="186">
        <f t="shared" si="3"/>
        <v>0</v>
      </c>
    </row>
    <row r="610" ht="21.0" customHeight="1">
      <c r="A610" s="187"/>
      <c r="B610" s="187"/>
      <c r="C610" s="188"/>
      <c r="D610" s="135"/>
      <c r="E610" s="189"/>
      <c r="F610" s="182" t="str">
        <f t="shared" si="1"/>
        <v/>
      </c>
      <c r="G610" s="183">
        <f>IFERROR(__xludf.DUMMYFUNCTION("IFERROR(lookup(9999999999,FILTER('Operações-BR'!$M:$M,'Operações-BR'!$C:$C=A610,'Operações-BR'!$A:$A&lt;=C610)),0)"),0.0)</f>
        <v>0</v>
      </c>
      <c r="H610" s="184">
        <f t="shared" si="2"/>
        <v>0</v>
      </c>
      <c r="I610" s="184">
        <f>IFERROR(__xludf.DUMMYFUNCTION("IFERROR(lookup(9999999999,FILTER('Operações-BR'!Q:Q,'Operações-BR'!$C:$C=A610,'Operações-BR'!$A:$A&lt;=C610))/G610,0)"),0.0)</f>
        <v>0</v>
      </c>
      <c r="J610" s="185" t="str">
        <f>IFERROR(VLOOKUP(A610,Ativos!$A$1:$G2000,5,),"")</f>
        <v/>
      </c>
      <c r="K610" s="185" t="str">
        <f>IFERROR(VLOOKUP(A610,Ativos!A:H,8,),"")</f>
        <v/>
      </c>
      <c r="L610" s="186">
        <f t="shared" si="3"/>
        <v>0</v>
      </c>
    </row>
    <row r="611" ht="21.0" customHeight="1">
      <c r="A611" s="187"/>
      <c r="B611" s="187"/>
      <c r="C611" s="188"/>
      <c r="D611" s="135"/>
      <c r="E611" s="189"/>
      <c r="F611" s="182" t="str">
        <f t="shared" si="1"/>
        <v/>
      </c>
      <c r="G611" s="183">
        <f>IFERROR(__xludf.DUMMYFUNCTION("IFERROR(lookup(9999999999,FILTER('Operações-BR'!$M:$M,'Operações-BR'!$C:$C=A611,'Operações-BR'!$A:$A&lt;=C611)),0)"),0.0)</f>
        <v>0</v>
      </c>
      <c r="H611" s="184">
        <f t="shared" si="2"/>
        <v>0</v>
      </c>
      <c r="I611" s="184">
        <f>IFERROR(__xludf.DUMMYFUNCTION("IFERROR(lookup(9999999999,FILTER('Operações-BR'!Q:Q,'Operações-BR'!$C:$C=A611,'Operações-BR'!$A:$A&lt;=C611))/G611,0)"),0.0)</f>
        <v>0</v>
      </c>
      <c r="J611" s="185" t="str">
        <f>IFERROR(VLOOKUP(A611,Ativos!$A$1:$G2000,5,),"")</f>
        <v/>
      </c>
      <c r="K611" s="185" t="str">
        <f>IFERROR(VLOOKUP(A611,Ativos!A:H,8,),"")</f>
        <v/>
      </c>
      <c r="L611" s="186">
        <f t="shared" si="3"/>
        <v>0</v>
      </c>
    </row>
    <row r="612" ht="21.0" customHeight="1">
      <c r="A612" s="187"/>
      <c r="B612" s="187"/>
      <c r="C612" s="188"/>
      <c r="D612" s="135"/>
      <c r="E612" s="189"/>
      <c r="F612" s="182" t="str">
        <f t="shared" si="1"/>
        <v/>
      </c>
      <c r="G612" s="183">
        <f>IFERROR(__xludf.DUMMYFUNCTION("IFERROR(lookup(9999999999,FILTER('Operações-BR'!$M:$M,'Operações-BR'!$C:$C=A612,'Operações-BR'!$A:$A&lt;=C612)),0)"),0.0)</f>
        <v>0</v>
      </c>
      <c r="H612" s="184">
        <f t="shared" si="2"/>
        <v>0</v>
      </c>
      <c r="I612" s="184">
        <f>IFERROR(__xludf.DUMMYFUNCTION("IFERROR(lookup(9999999999,FILTER('Operações-BR'!Q:Q,'Operações-BR'!$C:$C=A612,'Operações-BR'!$A:$A&lt;=C612))/G612,0)"),0.0)</f>
        <v>0</v>
      </c>
      <c r="J612" s="185" t="str">
        <f>IFERROR(VLOOKUP(A612,Ativos!$A$1:$G2000,5,),"")</f>
        <v/>
      </c>
      <c r="K612" s="185" t="str">
        <f>IFERROR(VLOOKUP(A612,Ativos!A:H,8,),"")</f>
        <v/>
      </c>
      <c r="L612" s="186">
        <f t="shared" si="3"/>
        <v>0</v>
      </c>
    </row>
    <row r="613" ht="21.0" customHeight="1">
      <c r="A613" s="187"/>
      <c r="B613" s="187"/>
      <c r="C613" s="188"/>
      <c r="D613" s="135"/>
      <c r="E613" s="189"/>
      <c r="F613" s="182" t="str">
        <f t="shared" si="1"/>
        <v/>
      </c>
      <c r="G613" s="183">
        <f>IFERROR(__xludf.DUMMYFUNCTION("IFERROR(lookup(9999999999,FILTER('Operações-BR'!$M:$M,'Operações-BR'!$C:$C=A613,'Operações-BR'!$A:$A&lt;=C613)),0)"),0.0)</f>
        <v>0</v>
      </c>
      <c r="H613" s="184">
        <f t="shared" si="2"/>
        <v>0</v>
      </c>
      <c r="I613" s="184">
        <f>IFERROR(__xludf.DUMMYFUNCTION("IFERROR(lookup(9999999999,FILTER('Operações-BR'!Q:Q,'Operações-BR'!$C:$C=A613,'Operações-BR'!$A:$A&lt;=C613))/G613,0)"),0.0)</f>
        <v>0</v>
      </c>
      <c r="J613" s="185" t="str">
        <f>IFERROR(VLOOKUP(A613,Ativos!$A$1:$G2000,5,),"")</f>
        <v/>
      </c>
      <c r="K613" s="185" t="str">
        <f>IFERROR(VLOOKUP(A613,Ativos!A:H,8,),"")</f>
        <v/>
      </c>
      <c r="L613" s="186">
        <f t="shared" si="3"/>
        <v>0</v>
      </c>
    </row>
    <row r="614" ht="21.0" customHeight="1">
      <c r="A614" s="187"/>
      <c r="B614" s="187"/>
      <c r="C614" s="188"/>
      <c r="D614" s="135"/>
      <c r="E614" s="189"/>
      <c r="F614" s="182" t="str">
        <f t="shared" si="1"/>
        <v/>
      </c>
      <c r="G614" s="183">
        <f>IFERROR(__xludf.DUMMYFUNCTION("IFERROR(lookup(9999999999,FILTER('Operações-BR'!$M:$M,'Operações-BR'!$C:$C=A614,'Operações-BR'!$A:$A&lt;=C614)),0)"),0.0)</f>
        <v>0</v>
      </c>
      <c r="H614" s="184">
        <f t="shared" si="2"/>
        <v>0</v>
      </c>
      <c r="I614" s="184">
        <f>IFERROR(__xludf.DUMMYFUNCTION("IFERROR(lookup(9999999999,FILTER('Operações-BR'!Q:Q,'Operações-BR'!$C:$C=A614,'Operações-BR'!$A:$A&lt;=C614))/G614,0)"),0.0)</f>
        <v>0</v>
      </c>
      <c r="J614" s="185" t="str">
        <f>IFERROR(VLOOKUP(A614,Ativos!$A$1:$G2000,5,),"")</f>
        <v/>
      </c>
      <c r="K614" s="185" t="str">
        <f>IFERROR(VLOOKUP(A614,Ativos!A:H,8,),"")</f>
        <v/>
      </c>
      <c r="L614" s="186">
        <f t="shared" si="3"/>
        <v>0</v>
      </c>
    </row>
    <row r="615" ht="21.0" customHeight="1">
      <c r="A615" s="187"/>
      <c r="B615" s="187"/>
      <c r="C615" s="188"/>
      <c r="D615" s="135"/>
      <c r="E615" s="189"/>
      <c r="F615" s="182" t="str">
        <f t="shared" si="1"/>
        <v/>
      </c>
      <c r="G615" s="183">
        <f>IFERROR(__xludf.DUMMYFUNCTION("IFERROR(lookup(9999999999,FILTER('Operações-BR'!$M:$M,'Operações-BR'!$C:$C=A615,'Operações-BR'!$A:$A&lt;=C615)),0)"),0.0)</f>
        <v>0</v>
      </c>
      <c r="H615" s="184">
        <f t="shared" si="2"/>
        <v>0</v>
      </c>
      <c r="I615" s="184">
        <f>IFERROR(__xludf.DUMMYFUNCTION("IFERROR(lookup(9999999999,FILTER('Operações-BR'!Q:Q,'Operações-BR'!$C:$C=A615,'Operações-BR'!$A:$A&lt;=C615))/G615,0)"),0.0)</f>
        <v>0</v>
      </c>
      <c r="J615" s="185" t="str">
        <f>IFERROR(VLOOKUP(A615,Ativos!$A$1:$G2000,5,),"")</f>
        <v/>
      </c>
      <c r="K615" s="185" t="str">
        <f>IFERROR(VLOOKUP(A615,Ativos!A:H,8,),"")</f>
        <v/>
      </c>
      <c r="L615" s="186">
        <f t="shared" si="3"/>
        <v>0</v>
      </c>
    </row>
    <row r="616" ht="21.0" customHeight="1">
      <c r="A616" s="187"/>
      <c r="B616" s="187"/>
      <c r="C616" s="188"/>
      <c r="D616" s="135"/>
      <c r="E616" s="189"/>
      <c r="F616" s="182" t="str">
        <f t="shared" si="1"/>
        <v/>
      </c>
      <c r="G616" s="183">
        <f>IFERROR(__xludf.DUMMYFUNCTION("IFERROR(lookup(9999999999,FILTER('Operações-BR'!$M:$M,'Operações-BR'!$C:$C=A616,'Operações-BR'!$A:$A&lt;=C616)),0)"),0.0)</f>
        <v>0</v>
      </c>
      <c r="H616" s="184">
        <f t="shared" si="2"/>
        <v>0</v>
      </c>
      <c r="I616" s="184">
        <f>IFERROR(__xludf.DUMMYFUNCTION("IFERROR(lookup(9999999999,FILTER('Operações-BR'!Q:Q,'Operações-BR'!$C:$C=A616,'Operações-BR'!$A:$A&lt;=C616))/G616,0)"),0.0)</f>
        <v>0</v>
      </c>
      <c r="J616" s="185" t="str">
        <f>IFERROR(VLOOKUP(A616,Ativos!$A$1:$G2000,5,),"")</f>
        <v/>
      </c>
      <c r="K616" s="185" t="str">
        <f>IFERROR(VLOOKUP(A616,Ativos!A:H,8,),"")</f>
        <v/>
      </c>
      <c r="L616" s="186">
        <f t="shared" si="3"/>
        <v>0</v>
      </c>
    </row>
    <row r="617" ht="21.0" customHeight="1">
      <c r="A617" s="187"/>
      <c r="B617" s="187"/>
      <c r="C617" s="188"/>
      <c r="D617" s="135"/>
      <c r="E617" s="189"/>
      <c r="F617" s="182" t="str">
        <f t="shared" si="1"/>
        <v/>
      </c>
      <c r="G617" s="183">
        <f>IFERROR(__xludf.DUMMYFUNCTION("IFERROR(lookup(9999999999,FILTER('Operações-BR'!$M:$M,'Operações-BR'!$C:$C=A617,'Operações-BR'!$A:$A&lt;=C617)),0)"),0.0)</f>
        <v>0</v>
      </c>
      <c r="H617" s="184">
        <f t="shared" si="2"/>
        <v>0</v>
      </c>
      <c r="I617" s="184">
        <f>IFERROR(__xludf.DUMMYFUNCTION("IFERROR(lookup(9999999999,FILTER('Operações-BR'!Q:Q,'Operações-BR'!$C:$C=A617,'Operações-BR'!$A:$A&lt;=C617))/G617,0)"),0.0)</f>
        <v>0</v>
      </c>
      <c r="J617" s="185" t="str">
        <f>IFERROR(VLOOKUP(A617,Ativos!$A$1:$G2000,5,),"")</f>
        <v/>
      </c>
      <c r="K617" s="185" t="str">
        <f>IFERROR(VLOOKUP(A617,Ativos!A:H,8,),"")</f>
        <v/>
      </c>
      <c r="L617" s="186">
        <f t="shared" si="3"/>
        <v>0</v>
      </c>
    </row>
    <row r="618" ht="21.0" customHeight="1">
      <c r="A618" s="187"/>
      <c r="B618" s="187"/>
      <c r="C618" s="188"/>
      <c r="D618" s="135"/>
      <c r="E618" s="189"/>
      <c r="F618" s="182" t="str">
        <f t="shared" si="1"/>
        <v/>
      </c>
      <c r="G618" s="183">
        <f>IFERROR(__xludf.DUMMYFUNCTION("IFERROR(lookup(9999999999,FILTER('Operações-BR'!$M:$M,'Operações-BR'!$C:$C=A618,'Operações-BR'!$A:$A&lt;=C618)),0)"),0.0)</f>
        <v>0</v>
      </c>
      <c r="H618" s="184">
        <f t="shared" si="2"/>
        <v>0</v>
      </c>
      <c r="I618" s="184">
        <f>IFERROR(__xludf.DUMMYFUNCTION("IFERROR(lookup(9999999999,FILTER('Operações-BR'!Q:Q,'Operações-BR'!$C:$C=A618,'Operações-BR'!$A:$A&lt;=C618))/G618,0)"),0.0)</f>
        <v>0</v>
      </c>
      <c r="J618" s="185" t="str">
        <f>IFERROR(VLOOKUP(A618,Ativos!$A$1:$G2000,5,),"")</f>
        <v/>
      </c>
      <c r="K618" s="185" t="str">
        <f>IFERROR(VLOOKUP(A618,Ativos!A:H,8,),"")</f>
        <v/>
      </c>
      <c r="L618" s="186">
        <f t="shared" si="3"/>
        <v>0</v>
      </c>
    </row>
    <row r="619" ht="21.0" customHeight="1">
      <c r="A619" s="187"/>
      <c r="B619" s="187"/>
      <c r="C619" s="188"/>
      <c r="D619" s="135"/>
      <c r="E619" s="189"/>
      <c r="F619" s="182" t="str">
        <f t="shared" si="1"/>
        <v/>
      </c>
      <c r="G619" s="183">
        <f>IFERROR(__xludf.DUMMYFUNCTION("IFERROR(lookup(9999999999,FILTER('Operações-BR'!$M:$M,'Operações-BR'!$C:$C=A619,'Operações-BR'!$A:$A&lt;=C619)),0)"),0.0)</f>
        <v>0</v>
      </c>
      <c r="H619" s="184">
        <f t="shared" si="2"/>
        <v>0</v>
      </c>
      <c r="I619" s="184">
        <f>IFERROR(__xludf.DUMMYFUNCTION("IFERROR(lookup(9999999999,FILTER('Operações-BR'!Q:Q,'Operações-BR'!$C:$C=A619,'Operações-BR'!$A:$A&lt;=C619))/G619,0)"),0.0)</f>
        <v>0</v>
      </c>
      <c r="J619" s="185" t="str">
        <f>IFERROR(VLOOKUP(A619,Ativos!$A$1:$G2000,5,),"")</f>
        <v/>
      </c>
      <c r="K619" s="185" t="str">
        <f>IFERROR(VLOOKUP(A619,Ativos!A:H,8,),"")</f>
        <v/>
      </c>
      <c r="L619" s="186">
        <f t="shared" si="3"/>
        <v>0</v>
      </c>
    </row>
    <row r="620" ht="21.0" customHeight="1">
      <c r="A620" s="187"/>
      <c r="B620" s="187"/>
      <c r="C620" s="188"/>
      <c r="D620" s="135"/>
      <c r="E620" s="189"/>
      <c r="F620" s="182" t="str">
        <f t="shared" si="1"/>
        <v/>
      </c>
      <c r="G620" s="183">
        <f>IFERROR(__xludf.DUMMYFUNCTION("IFERROR(lookup(9999999999,FILTER('Operações-BR'!$M:$M,'Operações-BR'!$C:$C=A620,'Operações-BR'!$A:$A&lt;=C620)),0)"),0.0)</f>
        <v>0</v>
      </c>
      <c r="H620" s="184">
        <f t="shared" si="2"/>
        <v>0</v>
      </c>
      <c r="I620" s="184">
        <f>IFERROR(__xludf.DUMMYFUNCTION("IFERROR(lookup(9999999999,FILTER('Operações-BR'!Q:Q,'Operações-BR'!$C:$C=A620,'Operações-BR'!$A:$A&lt;=C620))/G620,0)"),0.0)</f>
        <v>0</v>
      </c>
      <c r="J620" s="185" t="str">
        <f>IFERROR(VLOOKUP(A620,Ativos!$A$1:$G2000,5,),"")</f>
        <v/>
      </c>
      <c r="K620" s="185" t="str">
        <f>IFERROR(VLOOKUP(A620,Ativos!A:H,8,),"")</f>
        <v/>
      </c>
      <c r="L620" s="186">
        <f t="shared" si="3"/>
        <v>0</v>
      </c>
    </row>
    <row r="621" ht="21.0" customHeight="1">
      <c r="A621" s="187"/>
      <c r="B621" s="187"/>
      <c r="C621" s="188"/>
      <c r="D621" s="135"/>
      <c r="E621" s="189"/>
      <c r="F621" s="182" t="str">
        <f t="shared" si="1"/>
        <v/>
      </c>
      <c r="G621" s="183">
        <f>IFERROR(__xludf.DUMMYFUNCTION("IFERROR(lookup(9999999999,FILTER('Operações-BR'!$M:$M,'Operações-BR'!$C:$C=A621,'Operações-BR'!$A:$A&lt;=C621)),0)"),0.0)</f>
        <v>0</v>
      </c>
      <c r="H621" s="184">
        <f t="shared" si="2"/>
        <v>0</v>
      </c>
      <c r="I621" s="184">
        <f>IFERROR(__xludf.DUMMYFUNCTION("IFERROR(lookup(9999999999,FILTER('Operações-BR'!Q:Q,'Operações-BR'!$C:$C=A621,'Operações-BR'!$A:$A&lt;=C621))/G621,0)"),0.0)</f>
        <v>0</v>
      </c>
      <c r="J621" s="185" t="str">
        <f>IFERROR(VLOOKUP(A621,Ativos!$A$1:$G2000,5,),"")</f>
        <v/>
      </c>
      <c r="K621" s="185" t="str">
        <f>IFERROR(VLOOKUP(A621,Ativos!A:H,8,),"")</f>
        <v/>
      </c>
      <c r="L621" s="186">
        <f t="shared" si="3"/>
        <v>0</v>
      </c>
    </row>
    <row r="622" ht="21.0" customHeight="1">
      <c r="A622" s="187"/>
      <c r="B622" s="187"/>
      <c r="C622" s="188"/>
      <c r="D622" s="135"/>
      <c r="E622" s="189"/>
      <c r="F622" s="182" t="str">
        <f t="shared" si="1"/>
        <v/>
      </c>
      <c r="G622" s="183">
        <f>IFERROR(__xludf.DUMMYFUNCTION("IFERROR(lookup(9999999999,FILTER('Operações-BR'!$M:$M,'Operações-BR'!$C:$C=A622,'Operações-BR'!$A:$A&lt;=C622)),0)"),0.0)</f>
        <v>0</v>
      </c>
      <c r="H622" s="184">
        <f t="shared" si="2"/>
        <v>0</v>
      </c>
      <c r="I622" s="184">
        <f>IFERROR(__xludf.DUMMYFUNCTION("IFERROR(lookup(9999999999,FILTER('Operações-BR'!Q:Q,'Operações-BR'!$C:$C=A622,'Operações-BR'!$A:$A&lt;=C622))/G622,0)"),0.0)</f>
        <v>0</v>
      </c>
      <c r="J622" s="185" t="str">
        <f>IFERROR(VLOOKUP(A622,Ativos!$A$1:$G2000,5,),"")</f>
        <v/>
      </c>
      <c r="K622" s="185" t="str">
        <f>IFERROR(VLOOKUP(A622,Ativos!A:H,8,),"")</f>
        <v/>
      </c>
      <c r="L622" s="186">
        <f t="shared" si="3"/>
        <v>0</v>
      </c>
    </row>
    <row r="623" ht="21.0" customHeight="1">
      <c r="A623" s="187"/>
      <c r="B623" s="187"/>
      <c r="C623" s="188"/>
      <c r="D623" s="135"/>
      <c r="E623" s="189"/>
      <c r="F623" s="182" t="str">
        <f t="shared" si="1"/>
        <v/>
      </c>
      <c r="G623" s="183">
        <f>IFERROR(__xludf.DUMMYFUNCTION("IFERROR(lookup(9999999999,FILTER('Operações-BR'!$M:$M,'Operações-BR'!$C:$C=A623,'Operações-BR'!$A:$A&lt;=C623)),0)"),0.0)</f>
        <v>0</v>
      </c>
      <c r="H623" s="184">
        <f t="shared" si="2"/>
        <v>0</v>
      </c>
      <c r="I623" s="184">
        <f>IFERROR(__xludf.DUMMYFUNCTION("IFERROR(lookup(9999999999,FILTER('Operações-BR'!Q:Q,'Operações-BR'!$C:$C=A623,'Operações-BR'!$A:$A&lt;=C623))/G623,0)"),0.0)</f>
        <v>0</v>
      </c>
      <c r="J623" s="185" t="str">
        <f>IFERROR(VLOOKUP(A623,Ativos!$A$1:$G2000,5,),"")</f>
        <v/>
      </c>
      <c r="K623" s="185" t="str">
        <f>IFERROR(VLOOKUP(A623,Ativos!A:H,8,),"")</f>
        <v/>
      </c>
      <c r="L623" s="186">
        <f t="shared" si="3"/>
        <v>0</v>
      </c>
    </row>
    <row r="624" ht="21.0" customHeight="1">
      <c r="A624" s="187"/>
      <c r="B624" s="187"/>
      <c r="C624" s="188"/>
      <c r="D624" s="135"/>
      <c r="E624" s="189"/>
      <c r="F624" s="182" t="str">
        <f t="shared" si="1"/>
        <v/>
      </c>
      <c r="G624" s="183">
        <f>IFERROR(__xludf.DUMMYFUNCTION("IFERROR(lookup(9999999999,FILTER('Operações-BR'!$M:$M,'Operações-BR'!$C:$C=A624,'Operações-BR'!$A:$A&lt;=C624)),0)"),0.0)</f>
        <v>0</v>
      </c>
      <c r="H624" s="184">
        <f t="shared" si="2"/>
        <v>0</v>
      </c>
      <c r="I624" s="184">
        <f>IFERROR(__xludf.DUMMYFUNCTION("IFERROR(lookup(9999999999,FILTER('Operações-BR'!Q:Q,'Operações-BR'!$C:$C=A624,'Operações-BR'!$A:$A&lt;=C624))/G624,0)"),0.0)</f>
        <v>0</v>
      </c>
      <c r="J624" s="185" t="str">
        <f>IFERROR(VLOOKUP(A624,Ativos!$A$1:$G2000,5,),"")</f>
        <v/>
      </c>
      <c r="K624" s="185" t="str">
        <f>IFERROR(VLOOKUP(A624,Ativos!A:H,8,),"")</f>
        <v/>
      </c>
      <c r="L624" s="186">
        <f t="shared" si="3"/>
        <v>0</v>
      </c>
    </row>
    <row r="625" ht="21.0" customHeight="1">
      <c r="A625" s="187"/>
      <c r="B625" s="187"/>
      <c r="C625" s="188"/>
      <c r="D625" s="135"/>
      <c r="E625" s="189"/>
      <c r="F625" s="182" t="str">
        <f t="shared" si="1"/>
        <v/>
      </c>
      <c r="G625" s="183">
        <f>IFERROR(__xludf.DUMMYFUNCTION("IFERROR(lookup(9999999999,FILTER('Operações-BR'!$M:$M,'Operações-BR'!$C:$C=A625,'Operações-BR'!$A:$A&lt;=C625)),0)"),0.0)</f>
        <v>0</v>
      </c>
      <c r="H625" s="184">
        <f t="shared" si="2"/>
        <v>0</v>
      </c>
      <c r="I625" s="184">
        <f>IFERROR(__xludf.DUMMYFUNCTION("IFERROR(lookup(9999999999,FILTER('Operações-BR'!Q:Q,'Operações-BR'!$C:$C=A625,'Operações-BR'!$A:$A&lt;=C625))/G625,0)"),0.0)</f>
        <v>0</v>
      </c>
      <c r="J625" s="185" t="str">
        <f>IFERROR(VLOOKUP(A625,Ativos!$A$1:$G2000,5,),"")</f>
        <v/>
      </c>
      <c r="K625" s="185" t="str">
        <f>IFERROR(VLOOKUP(A625,Ativos!A:H,8,),"")</f>
        <v/>
      </c>
      <c r="L625" s="186">
        <f t="shared" si="3"/>
        <v>0</v>
      </c>
    </row>
    <row r="626" ht="21.0" customHeight="1">
      <c r="A626" s="187"/>
      <c r="B626" s="187"/>
      <c r="C626" s="188"/>
      <c r="D626" s="135"/>
      <c r="E626" s="189"/>
      <c r="F626" s="182" t="str">
        <f t="shared" si="1"/>
        <v/>
      </c>
      <c r="G626" s="183">
        <f>IFERROR(__xludf.DUMMYFUNCTION("IFERROR(lookup(9999999999,FILTER('Operações-BR'!$M:$M,'Operações-BR'!$C:$C=A626,'Operações-BR'!$A:$A&lt;=C626)),0)"),0.0)</f>
        <v>0</v>
      </c>
      <c r="H626" s="184">
        <f t="shared" si="2"/>
        <v>0</v>
      </c>
      <c r="I626" s="184">
        <f>IFERROR(__xludf.DUMMYFUNCTION("IFERROR(lookup(9999999999,FILTER('Operações-BR'!Q:Q,'Operações-BR'!$C:$C=A626,'Operações-BR'!$A:$A&lt;=C626))/G626,0)"),0.0)</f>
        <v>0</v>
      </c>
      <c r="J626" s="185" t="str">
        <f>IFERROR(VLOOKUP(A626,Ativos!$A$1:$G2000,5,),"")</f>
        <v/>
      </c>
      <c r="K626" s="185" t="str">
        <f>IFERROR(VLOOKUP(A626,Ativos!A:H,8,),"")</f>
        <v/>
      </c>
      <c r="L626" s="186">
        <f t="shared" si="3"/>
        <v>0</v>
      </c>
    </row>
    <row r="627" ht="21.0" customHeight="1">
      <c r="A627" s="187"/>
      <c r="B627" s="187"/>
      <c r="C627" s="188"/>
      <c r="D627" s="135"/>
      <c r="E627" s="189"/>
      <c r="F627" s="182" t="str">
        <f t="shared" si="1"/>
        <v/>
      </c>
      <c r="G627" s="183">
        <f>IFERROR(__xludf.DUMMYFUNCTION("IFERROR(lookup(9999999999,FILTER('Operações-BR'!$M:$M,'Operações-BR'!$C:$C=A627,'Operações-BR'!$A:$A&lt;=C627)),0)"),0.0)</f>
        <v>0</v>
      </c>
      <c r="H627" s="184">
        <f t="shared" si="2"/>
        <v>0</v>
      </c>
      <c r="I627" s="184">
        <f>IFERROR(__xludf.DUMMYFUNCTION("IFERROR(lookup(9999999999,FILTER('Operações-BR'!Q:Q,'Operações-BR'!$C:$C=A627,'Operações-BR'!$A:$A&lt;=C627))/G627,0)"),0.0)</f>
        <v>0</v>
      </c>
      <c r="J627" s="185" t="str">
        <f>IFERROR(VLOOKUP(A627,Ativos!$A$1:$G2000,5,),"")</f>
        <v/>
      </c>
      <c r="K627" s="185" t="str">
        <f>IFERROR(VLOOKUP(A627,Ativos!A:H,8,),"")</f>
        <v/>
      </c>
      <c r="L627" s="186">
        <f t="shared" si="3"/>
        <v>0</v>
      </c>
    </row>
    <row r="628" ht="21.0" customHeight="1">
      <c r="A628" s="187"/>
      <c r="B628" s="187"/>
      <c r="C628" s="188"/>
      <c r="D628" s="135"/>
      <c r="E628" s="189"/>
      <c r="F628" s="182" t="str">
        <f t="shared" si="1"/>
        <v/>
      </c>
      <c r="G628" s="183">
        <f>IFERROR(__xludf.DUMMYFUNCTION("IFERROR(lookup(9999999999,FILTER('Operações-BR'!$M:$M,'Operações-BR'!$C:$C=A628,'Operações-BR'!$A:$A&lt;=C628)),0)"),0.0)</f>
        <v>0</v>
      </c>
      <c r="H628" s="184">
        <f t="shared" si="2"/>
        <v>0</v>
      </c>
      <c r="I628" s="184">
        <f>IFERROR(__xludf.DUMMYFUNCTION("IFERROR(lookup(9999999999,FILTER('Operações-BR'!Q:Q,'Operações-BR'!$C:$C=A628,'Operações-BR'!$A:$A&lt;=C628))/G628,0)"),0.0)</f>
        <v>0</v>
      </c>
      <c r="J628" s="185" t="str">
        <f>IFERROR(VLOOKUP(A628,Ativos!$A$1:$G2000,5,),"")</f>
        <v/>
      </c>
      <c r="K628" s="185" t="str">
        <f>IFERROR(VLOOKUP(A628,Ativos!A:H,8,),"")</f>
        <v/>
      </c>
      <c r="L628" s="186">
        <f t="shared" si="3"/>
        <v>0</v>
      </c>
    </row>
    <row r="629" ht="21.0" customHeight="1">
      <c r="A629" s="187"/>
      <c r="B629" s="187"/>
      <c r="C629" s="188"/>
      <c r="D629" s="135"/>
      <c r="E629" s="189"/>
      <c r="F629" s="182" t="str">
        <f t="shared" si="1"/>
        <v/>
      </c>
      <c r="G629" s="183">
        <f>IFERROR(__xludf.DUMMYFUNCTION("IFERROR(lookup(9999999999,FILTER('Operações-BR'!$M:$M,'Operações-BR'!$C:$C=A629,'Operações-BR'!$A:$A&lt;=C629)),0)"),0.0)</f>
        <v>0</v>
      </c>
      <c r="H629" s="184">
        <f t="shared" si="2"/>
        <v>0</v>
      </c>
      <c r="I629" s="184">
        <f>IFERROR(__xludf.DUMMYFUNCTION("IFERROR(lookup(9999999999,FILTER('Operações-BR'!Q:Q,'Operações-BR'!$C:$C=A629,'Operações-BR'!$A:$A&lt;=C629))/G629,0)"),0.0)</f>
        <v>0</v>
      </c>
      <c r="J629" s="185" t="str">
        <f>IFERROR(VLOOKUP(A629,Ativos!$A$1:$G2000,5,),"")</f>
        <v/>
      </c>
      <c r="K629" s="185" t="str">
        <f>IFERROR(VLOOKUP(A629,Ativos!A:H,8,),"")</f>
        <v/>
      </c>
      <c r="L629" s="186">
        <f t="shared" si="3"/>
        <v>0</v>
      </c>
    </row>
    <row r="630" ht="21.0" customHeight="1">
      <c r="A630" s="187"/>
      <c r="B630" s="187"/>
      <c r="C630" s="188"/>
      <c r="D630" s="135"/>
      <c r="E630" s="189"/>
      <c r="F630" s="182" t="str">
        <f t="shared" si="1"/>
        <v/>
      </c>
      <c r="G630" s="183">
        <f>IFERROR(__xludf.DUMMYFUNCTION("IFERROR(lookup(9999999999,FILTER('Operações-BR'!$M:$M,'Operações-BR'!$C:$C=A630,'Operações-BR'!$A:$A&lt;=C630)),0)"),0.0)</f>
        <v>0</v>
      </c>
      <c r="H630" s="184">
        <f t="shared" si="2"/>
        <v>0</v>
      </c>
      <c r="I630" s="184">
        <f>IFERROR(__xludf.DUMMYFUNCTION("IFERROR(lookup(9999999999,FILTER('Operações-BR'!Q:Q,'Operações-BR'!$C:$C=A630,'Operações-BR'!$A:$A&lt;=C630))/G630,0)"),0.0)</f>
        <v>0</v>
      </c>
      <c r="J630" s="185" t="str">
        <f>IFERROR(VLOOKUP(A630,Ativos!$A$1:$G2000,5,),"")</f>
        <v/>
      </c>
      <c r="K630" s="185" t="str">
        <f>IFERROR(VLOOKUP(A630,Ativos!A:H,8,),"")</f>
        <v/>
      </c>
      <c r="L630" s="186">
        <f t="shared" si="3"/>
        <v>0</v>
      </c>
    </row>
    <row r="631" ht="21.0" customHeight="1">
      <c r="A631" s="187"/>
      <c r="B631" s="187"/>
      <c r="C631" s="188"/>
      <c r="D631" s="135"/>
      <c r="E631" s="189"/>
      <c r="F631" s="182" t="str">
        <f t="shared" si="1"/>
        <v/>
      </c>
      <c r="G631" s="183">
        <f>IFERROR(__xludf.DUMMYFUNCTION("IFERROR(lookup(9999999999,FILTER('Operações-BR'!$M:$M,'Operações-BR'!$C:$C=A631,'Operações-BR'!$A:$A&lt;=C631)),0)"),0.0)</f>
        <v>0</v>
      </c>
      <c r="H631" s="184">
        <f t="shared" si="2"/>
        <v>0</v>
      </c>
      <c r="I631" s="184">
        <f>IFERROR(__xludf.DUMMYFUNCTION("IFERROR(lookup(9999999999,FILTER('Operações-BR'!Q:Q,'Operações-BR'!$C:$C=A631,'Operações-BR'!$A:$A&lt;=C631))/G631,0)"),0.0)</f>
        <v>0</v>
      </c>
      <c r="J631" s="185" t="str">
        <f>IFERROR(VLOOKUP(A631,Ativos!$A$1:$G2000,5,),"")</f>
        <v/>
      </c>
      <c r="K631" s="185" t="str">
        <f>IFERROR(VLOOKUP(A631,Ativos!A:H,8,),"")</f>
        <v/>
      </c>
      <c r="L631" s="186">
        <f t="shared" si="3"/>
        <v>0</v>
      </c>
    </row>
    <row r="632" ht="21.0" customHeight="1">
      <c r="A632" s="187"/>
      <c r="B632" s="187"/>
      <c r="C632" s="188"/>
      <c r="D632" s="135"/>
      <c r="E632" s="189"/>
      <c r="F632" s="182" t="str">
        <f t="shared" si="1"/>
        <v/>
      </c>
      <c r="G632" s="183">
        <f>IFERROR(__xludf.DUMMYFUNCTION("IFERROR(lookup(9999999999,FILTER('Operações-BR'!$M:$M,'Operações-BR'!$C:$C=A632,'Operações-BR'!$A:$A&lt;=C632)),0)"),0.0)</f>
        <v>0</v>
      </c>
      <c r="H632" s="184">
        <f t="shared" si="2"/>
        <v>0</v>
      </c>
      <c r="I632" s="184">
        <f>IFERROR(__xludf.DUMMYFUNCTION("IFERROR(lookup(9999999999,FILTER('Operações-BR'!Q:Q,'Operações-BR'!$C:$C=A632,'Operações-BR'!$A:$A&lt;=C632))/G632,0)"),0.0)</f>
        <v>0</v>
      </c>
      <c r="J632" s="185" t="str">
        <f>IFERROR(VLOOKUP(A632,Ativos!$A$1:$G2000,5,),"")</f>
        <v/>
      </c>
      <c r="K632" s="185" t="str">
        <f>IFERROR(VLOOKUP(A632,Ativos!A:H,8,),"")</f>
        <v/>
      </c>
      <c r="L632" s="186">
        <f t="shared" si="3"/>
        <v>0</v>
      </c>
    </row>
    <row r="633" ht="21.0" customHeight="1">
      <c r="A633" s="187"/>
      <c r="B633" s="187"/>
      <c r="C633" s="188"/>
      <c r="D633" s="135"/>
      <c r="E633" s="189"/>
      <c r="F633" s="182" t="str">
        <f t="shared" si="1"/>
        <v/>
      </c>
      <c r="G633" s="183">
        <f>IFERROR(__xludf.DUMMYFUNCTION("IFERROR(lookup(9999999999,FILTER('Operações-BR'!$M:$M,'Operações-BR'!$C:$C=A633,'Operações-BR'!$A:$A&lt;=C633)),0)"),0.0)</f>
        <v>0</v>
      </c>
      <c r="H633" s="184">
        <f t="shared" si="2"/>
        <v>0</v>
      </c>
      <c r="I633" s="184">
        <f>IFERROR(__xludf.DUMMYFUNCTION("IFERROR(lookup(9999999999,FILTER('Operações-BR'!Q:Q,'Operações-BR'!$C:$C=A633,'Operações-BR'!$A:$A&lt;=C633))/G633,0)"),0.0)</f>
        <v>0</v>
      </c>
      <c r="J633" s="185" t="str">
        <f>IFERROR(VLOOKUP(A633,Ativos!$A$1:$G2000,5,),"")</f>
        <v/>
      </c>
      <c r="K633" s="185" t="str">
        <f>IFERROR(VLOOKUP(A633,Ativos!A:H,8,),"")</f>
        <v/>
      </c>
      <c r="L633" s="186">
        <f t="shared" si="3"/>
        <v>0</v>
      </c>
    </row>
    <row r="634" ht="21.0" customHeight="1">
      <c r="A634" s="187"/>
      <c r="B634" s="187"/>
      <c r="C634" s="188"/>
      <c r="D634" s="135"/>
      <c r="E634" s="189"/>
      <c r="F634" s="182" t="str">
        <f t="shared" si="1"/>
        <v/>
      </c>
      <c r="G634" s="183">
        <f>IFERROR(__xludf.DUMMYFUNCTION("IFERROR(lookup(9999999999,FILTER('Operações-BR'!$M:$M,'Operações-BR'!$C:$C=A634,'Operações-BR'!$A:$A&lt;=C634)),0)"),0.0)</f>
        <v>0</v>
      </c>
      <c r="H634" s="184">
        <f t="shared" si="2"/>
        <v>0</v>
      </c>
      <c r="I634" s="184">
        <f>IFERROR(__xludf.DUMMYFUNCTION("IFERROR(lookup(9999999999,FILTER('Operações-BR'!Q:Q,'Operações-BR'!$C:$C=A634,'Operações-BR'!$A:$A&lt;=C634))/G634,0)"),0.0)</f>
        <v>0</v>
      </c>
      <c r="J634" s="185" t="str">
        <f>IFERROR(VLOOKUP(A634,Ativos!$A$1:$G2000,5,),"")</f>
        <v/>
      </c>
      <c r="K634" s="185" t="str">
        <f>IFERROR(VLOOKUP(A634,Ativos!A:H,8,),"")</f>
        <v/>
      </c>
      <c r="L634" s="186">
        <f t="shared" si="3"/>
        <v>0</v>
      </c>
    </row>
    <row r="635" ht="21.0" customHeight="1">
      <c r="A635" s="187"/>
      <c r="B635" s="187"/>
      <c r="C635" s="188"/>
      <c r="D635" s="135"/>
      <c r="E635" s="189"/>
      <c r="F635" s="182" t="str">
        <f t="shared" si="1"/>
        <v/>
      </c>
      <c r="G635" s="183">
        <f>IFERROR(__xludf.DUMMYFUNCTION("IFERROR(lookup(9999999999,FILTER('Operações-BR'!$M:$M,'Operações-BR'!$C:$C=A635,'Operações-BR'!$A:$A&lt;=C635)),0)"),0.0)</f>
        <v>0</v>
      </c>
      <c r="H635" s="184">
        <f t="shared" si="2"/>
        <v>0</v>
      </c>
      <c r="I635" s="184">
        <f>IFERROR(__xludf.DUMMYFUNCTION("IFERROR(lookup(9999999999,FILTER('Operações-BR'!Q:Q,'Operações-BR'!$C:$C=A635,'Operações-BR'!$A:$A&lt;=C635))/G635,0)"),0.0)</f>
        <v>0</v>
      </c>
      <c r="J635" s="185" t="str">
        <f>IFERROR(VLOOKUP(A635,Ativos!$A$1:$G2000,5,),"")</f>
        <v/>
      </c>
      <c r="K635" s="185" t="str">
        <f>IFERROR(VLOOKUP(A635,Ativos!A:H,8,),"")</f>
        <v/>
      </c>
      <c r="L635" s="186">
        <f t="shared" si="3"/>
        <v>0</v>
      </c>
    </row>
    <row r="636" ht="21.0" customHeight="1">
      <c r="A636" s="187"/>
      <c r="B636" s="187"/>
      <c r="C636" s="188"/>
      <c r="D636" s="135"/>
      <c r="E636" s="189"/>
      <c r="F636" s="182" t="str">
        <f t="shared" si="1"/>
        <v/>
      </c>
      <c r="G636" s="183">
        <f>IFERROR(__xludf.DUMMYFUNCTION("IFERROR(lookup(9999999999,FILTER('Operações-BR'!$M:$M,'Operações-BR'!$C:$C=A636,'Operações-BR'!$A:$A&lt;=C636)),0)"),0.0)</f>
        <v>0</v>
      </c>
      <c r="H636" s="184">
        <f t="shared" si="2"/>
        <v>0</v>
      </c>
      <c r="I636" s="184">
        <f>IFERROR(__xludf.DUMMYFUNCTION("IFERROR(lookup(9999999999,FILTER('Operações-BR'!Q:Q,'Operações-BR'!$C:$C=A636,'Operações-BR'!$A:$A&lt;=C636))/G636,0)"),0.0)</f>
        <v>0</v>
      </c>
      <c r="J636" s="185" t="str">
        <f>IFERROR(VLOOKUP(A636,Ativos!$A$1:$G2000,5,),"")</f>
        <v/>
      </c>
      <c r="K636" s="185" t="str">
        <f>IFERROR(VLOOKUP(A636,Ativos!A:H,8,),"")</f>
        <v/>
      </c>
      <c r="L636" s="186">
        <f t="shared" si="3"/>
        <v>0</v>
      </c>
    </row>
    <row r="637" ht="21.0" customHeight="1">
      <c r="A637" s="187"/>
      <c r="B637" s="187"/>
      <c r="C637" s="188"/>
      <c r="D637" s="135"/>
      <c r="E637" s="189"/>
      <c r="F637" s="182" t="str">
        <f t="shared" si="1"/>
        <v/>
      </c>
      <c r="G637" s="183">
        <f>IFERROR(__xludf.DUMMYFUNCTION("IFERROR(lookup(9999999999,FILTER('Operações-BR'!$M:$M,'Operações-BR'!$C:$C=A637,'Operações-BR'!$A:$A&lt;=C637)),0)"),0.0)</f>
        <v>0</v>
      </c>
      <c r="H637" s="184">
        <f t="shared" si="2"/>
        <v>0</v>
      </c>
      <c r="I637" s="184">
        <f>IFERROR(__xludf.DUMMYFUNCTION("IFERROR(lookup(9999999999,FILTER('Operações-BR'!Q:Q,'Operações-BR'!$C:$C=A637,'Operações-BR'!$A:$A&lt;=C637))/G637,0)"),0.0)</f>
        <v>0</v>
      </c>
      <c r="J637" s="185" t="str">
        <f>IFERROR(VLOOKUP(A637,Ativos!$A$1:$G2000,5,),"")</f>
        <v/>
      </c>
      <c r="K637" s="185" t="str">
        <f>IFERROR(VLOOKUP(A637,Ativos!A:H,8,),"")</f>
        <v/>
      </c>
      <c r="L637" s="186">
        <f t="shared" si="3"/>
        <v>0</v>
      </c>
    </row>
    <row r="638" ht="21.0" customHeight="1">
      <c r="A638" s="187"/>
      <c r="B638" s="187"/>
      <c r="C638" s="188"/>
      <c r="D638" s="135"/>
      <c r="E638" s="189"/>
      <c r="F638" s="182" t="str">
        <f t="shared" si="1"/>
        <v/>
      </c>
      <c r="G638" s="183">
        <f>IFERROR(__xludf.DUMMYFUNCTION("IFERROR(lookup(9999999999,FILTER('Operações-BR'!$M:$M,'Operações-BR'!$C:$C=A638,'Operações-BR'!$A:$A&lt;=C638)),0)"),0.0)</f>
        <v>0</v>
      </c>
      <c r="H638" s="184">
        <f t="shared" si="2"/>
        <v>0</v>
      </c>
      <c r="I638" s="184">
        <f>IFERROR(__xludf.DUMMYFUNCTION("IFERROR(lookup(9999999999,FILTER('Operações-BR'!Q:Q,'Operações-BR'!$C:$C=A638,'Operações-BR'!$A:$A&lt;=C638))/G638,0)"),0.0)</f>
        <v>0</v>
      </c>
      <c r="J638" s="185" t="str">
        <f>IFERROR(VLOOKUP(A638,Ativos!$A$1:$G2000,5,),"")</f>
        <v/>
      </c>
      <c r="K638" s="185" t="str">
        <f>IFERROR(VLOOKUP(A638,Ativos!A:H,8,),"")</f>
        <v/>
      </c>
      <c r="L638" s="186">
        <f t="shared" si="3"/>
        <v>0</v>
      </c>
    </row>
    <row r="639" ht="21.0" customHeight="1">
      <c r="A639" s="187"/>
      <c r="B639" s="187"/>
      <c r="C639" s="188"/>
      <c r="D639" s="135"/>
      <c r="E639" s="189"/>
      <c r="F639" s="182" t="str">
        <f t="shared" si="1"/>
        <v/>
      </c>
      <c r="G639" s="183">
        <f>IFERROR(__xludf.DUMMYFUNCTION("IFERROR(lookup(9999999999,FILTER('Operações-BR'!$M:$M,'Operações-BR'!$C:$C=A639,'Operações-BR'!$A:$A&lt;=C639)),0)"),0.0)</f>
        <v>0</v>
      </c>
      <c r="H639" s="184">
        <f t="shared" si="2"/>
        <v>0</v>
      </c>
      <c r="I639" s="184">
        <f>IFERROR(__xludf.DUMMYFUNCTION("IFERROR(lookup(9999999999,FILTER('Operações-BR'!Q:Q,'Operações-BR'!$C:$C=A639,'Operações-BR'!$A:$A&lt;=C639))/G639,0)"),0.0)</f>
        <v>0</v>
      </c>
      <c r="J639" s="185" t="str">
        <f>IFERROR(VLOOKUP(A639,Ativos!$A$1:$G2000,5,),"")</f>
        <v/>
      </c>
      <c r="K639" s="185" t="str">
        <f>IFERROR(VLOOKUP(A639,Ativos!A:H,8,),"")</f>
        <v/>
      </c>
      <c r="L639" s="186">
        <f t="shared" si="3"/>
        <v>0</v>
      </c>
    </row>
    <row r="640" ht="21.0" customHeight="1">
      <c r="A640" s="187"/>
      <c r="B640" s="187"/>
      <c r="C640" s="188"/>
      <c r="D640" s="135"/>
      <c r="E640" s="189"/>
      <c r="F640" s="182" t="str">
        <f t="shared" si="1"/>
        <v/>
      </c>
      <c r="G640" s="183">
        <f>IFERROR(__xludf.DUMMYFUNCTION("IFERROR(lookup(9999999999,FILTER('Operações-BR'!$M:$M,'Operações-BR'!$C:$C=A640,'Operações-BR'!$A:$A&lt;=C640)),0)"),0.0)</f>
        <v>0</v>
      </c>
      <c r="H640" s="184">
        <f t="shared" si="2"/>
        <v>0</v>
      </c>
      <c r="I640" s="184">
        <f>IFERROR(__xludf.DUMMYFUNCTION("IFERROR(lookup(9999999999,FILTER('Operações-BR'!Q:Q,'Operações-BR'!$C:$C=A640,'Operações-BR'!$A:$A&lt;=C640))/G640,0)"),0.0)</f>
        <v>0</v>
      </c>
      <c r="J640" s="185" t="str">
        <f>IFERROR(VLOOKUP(A640,Ativos!$A$1:$G2000,5,),"")</f>
        <v/>
      </c>
      <c r="K640" s="185" t="str">
        <f>IFERROR(VLOOKUP(A640,Ativos!A:H,8,),"")</f>
        <v/>
      </c>
      <c r="L640" s="186">
        <f t="shared" si="3"/>
        <v>0</v>
      </c>
    </row>
    <row r="641" ht="21.0" customHeight="1">
      <c r="A641" s="187"/>
      <c r="B641" s="187"/>
      <c r="C641" s="188"/>
      <c r="D641" s="135"/>
      <c r="E641" s="189"/>
      <c r="F641" s="182" t="str">
        <f t="shared" si="1"/>
        <v/>
      </c>
      <c r="G641" s="183">
        <f>IFERROR(__xludf.DUMMYFUNCTION("IFERROR(lookup(9999999999,FILTER('Operações-BR'!$M:$M,'Operações-BR'!$C:$C=A641,'Operações-BR'!$A:$A&lt;=C641)),0)"),0.0)</f>
        <v>0</v>
      </c>
      <c r="H641" s="184">
        <f t="shared" si="2"/>
        <v>0</v>
      </c>
      <c r="I641" s="184">
        <f>IFERROR(__xludf.DUMMYFUNCTION("IFERROR(lookup(9999999999,FILTER('Operações-BR'!Q:Q,'Operações-BR'!$C:$C=A641,'Operações-BR'!$A:$A&lt;=C641))/G641,0)"),0.0)</f>
        <v>0</v>
      </c>
      <c r="J641" s="185" t="str">
        <f>IFERROR(VLOOKUP(A641,Ativos!$A$1:$G2000,5,),"")</f>
        <v/>
      </c>
      <c r="K641" s="185" t="str">
        <f>IFERROR(VLOOKUP(A641,Ativos!A:H,8,),"")</f>
        <v/>
      </c>
      <c r="L641" s="186">
        <f t="shared" si="3"/>
        <v>0</v>
      </c>
    </row>
    <row r="642" ht="21.0" customHeight="1">
      <c r="A642" s="187"/>
      <c r="B642" s="187"/>
      <c r="C642" s="188"/>
      <c r="D642" s="135"/>
      <c r="E642" s="189"/>
      <c r="F642" s="182" t="str">
        <f t="shared" si="1"/>
        <v/>
      </c>
      <c r="G642" s="183">
        <f>IFERROR(__xludf.DUMMYFUNCTION("IFERROR(lookup(9999999999,FILTER('Operações-BR'!$M:$M,'Operações-BR'!$C:$C=A642,'Operações-BR'!$A:$A&lt;=C642)),0)"),0.0)</f>
        <v>0</v>
      </c>
      <c r="H642" s="184">
        <f t="shared" si="2"/>
        <v>0</v>
      </c>
      <c r="I642" s="184">
        <f>IFERROR(__xludf.DUMMYFUNCTION("IFERROR(lookup(9999999999,FILTER('Operações-BR'!Q:Q,'Operações-BR'!$C:$C=A642,'Operações-BR'!$A:$A&lt;=C642))/G642,0)"),0.0)</f>
        <v>0</v>
      </c>
      <c r="J642" s="185" t="str">
        <f>IFERROR(VLOOKUP(A642,Ativos!$A$1:$G2000,5,),"")</f>
        <v/>
      </c>
      <c r="K642" s="185" t="str">
        <f>IFERROR(VLOOKUP(A642,Ativos!A:H,8,),"")</f>
        <v/>
      </c>
      <c r="L642" s="186">
        <f t="shared" si="3"/>
        <v>0</v>
      </c>
    </row>
    <row r="643" ht="21.0" customHeight="1">
      <c r="A643" s="187"/>
      <c r="B643" s="187"/>
      <c r="C643" s="188"/>
      <c r="D643" s="135"/>
      <c r="E643" s="189"/>
      <c r="F643" s="182" t="str">
        <f t="shared" si="1"/>
        <v/>
      </c>
      <c r="G643" s="183">
        <f>IFERROR(__xludf.DUMMYFUNCTION("IFERROR(lookup(9999999999,FILTER('Operações-BR'!$M:$M,'Operações-BR'!$C:$C=A643,'Operações-BR'!$A:$A&lt;=C643)),0)"),0.0)</f>
        <v>0</v>
      </c>
      <c r="H643" s="184">
        <f t="shared" si="2"/>
        <v>0</v>
      </c>
      <c r="I643" s="184">
        <f>IFERROR(__xludf.DUMMYFUNCTION("IFERROR(lookup(9999999999,FILTER('Operações-BR'!Q:Q,'Operações-BR'!$C:$C=A643,'Operações-BR'!$A:$A&lt;=C643))/G643,0)"),0.0)</f>
        <v>0</v>
      </c>
      <c r="J643" s="185" t="str">
        <f>IFERROR(VLOOKUP(A643,Ativos!$A$1:$G2000,5,),"")</f>
        <v/>
      </c>
      <c r="K643" s="185" t="str">
        <f>IFERROR(VLOOKUP(A643,Ativos!A:H,8,),"")</f>
        <v/>
      </c>
      <c r="L643" s="186">
        <f t="shared" si="3"/>
        <v>0</v>
      </c>
    </row>
    <row r="644" ht="21.0" customHeight="1">
      <c r="A644" s="187"/>
      <c r="B644" s="187"/>
      <c r="C644" s="188"/>
      <c r="D644" s="135"/>
      <c r="E644" s="189"/>
      <c r="F644" s="182" t="str">
        <f t="shared" si="1"/>
        <v/>
      </c>
      <c r="G644" s="183">
        <f>IFERROR(__xludf.DUMMYFUNCTION("IFERROR(lookup(9999999999,FILTER('Operações-BR'!$M:$M,'Operações-BR'!$C:$C=A644,'Operações-BR'!$A:$A&lt;=C644)),0)"),0.0)</f>
        <v>0</v>
      </c>
      <c r="H644" s="184">
        <f t="shared" si="2"/>
        <v>0</v>
      </c>
      <c r="I644" s="184">
        <f>IFERROR(__xludf.DUMMYFUNCTION("IFERROR(lookup(9999999999,FILTER('Operações-BR'!Q:Q,'Operações-BR'!$C:$C=A644,'Operações-BR'!$A:$A&lt;=C644))/G644,0)"),0.0)</f>
        <v>0</v>
      </c>
      <c r="J644" s="185" t="str">
        <f>IFERROR(VLOOKUP(A644,Ativos!$A$1:$G2000,5,),"")</f>
        <v/>
      </c>
      <c r="K644" s="185" t="str">
        <f>IFERROR(VLOOKUP(A644,Ativos!A:H,8,),"")</f>
        <v/>
      </c>
      <c r="L644" s="186">
        <f t="shared" si="3"/>
        <v>0</v>
      </c>
    </row>
    <row r="645" ht="21.0" customHeight="1">
      <c r="A645" s="187"/>
      <c r="B645" s="187"/>
      <c r="C645" s="188"/>
      <c r="D645" s="135"/>
      <c r="E645" s="189"/>
      <c r="F645" s="182" t="str">
        <f t="shared" si="1"/>
        <v/>
      </c>
      <c r="G645" s="183">
        <f>IFERROR(__xludf.DUMMYFUNCTION("IFERROR(lookup(9999999999,FILTER('Operações-BR'!$M:$M,'Operações-BR'!$C:$C=A645,'Operações-BR'!$A:$A&lt;=C645)),0)"),0.0)</f>
        <v>0</v>
      </c>
      <c r="H645" s="184">
        <f t="shared" si="2"/>
        <v>0</v>
      </c>
      <c r="I645" s="184">
        <f>IFERROR(__xludf.DUMMYFUNCTION("IFERROR(lookup(9999999999,FILTER('Operações-BR'!Q:Q,'Operações-BR'!$C:$C=A645,'Operações-BR'!$A:$A&lt;=C645))/G645,0)"),0.0)</f>
        <v>0</v>
      </c>
      <c r="J645" s="185" t="str">
        <f>IFERROR(VLOOKUP(A645,Ativos!$A$1:$G2000,5,),"")</f>
        <v/>
      </c>
      <c r="K645" s="185" t="str">
        <f>IFERROR(VLOOKUP(A645,Ativos!A:H,8,),"")</f>
        <v/>
      </c>
      <c r="L645" s="186">
        <f t="shared" si="3"/>
        <v>0</v>
      </c>
    </row>
    <row r="646" ht="21.0" customHeight="1">
      <c r="A646" s="187"/>
      <c r="B646" s="187"/>
      <c r="C646" s="188"/>
      <c r="D646" s="135"/>
      <c r="E646" s="189"/>
      <c r="F646" s="182" t="str">
        <f t="shared" si="1"/>
        <v/>
      </c>
      <c r="G646" s="183">
        <f>IFERROR(__xludf.DUMMYFUNCTION("IFERROR(lookup(9999999999,FILTER('Operações-BR'!$M:$M,'Operações-BR'!$C:$C=A646,'Operações-BR'!$A:$A&lt;=C646)),0)"),0.0)</f>
        <v>0</v>
      </c>
      <c r="H646" s="184">
        <f t="shared" si="2"/>
        <v>0</v>
      </c>
      <c r="I646" s="184">
        <f>IFERROR(__xludf.DUMMYFUNCTION("IFERROR(lookup(9999999999,FILTER('Operações-BR'!Q:Q,'Operações-BR'!$C:$C=A646,'Operações-BR'!$A:$A&lt;=C646))/G646,0)"),0.0)</f>
        <v>0</v>
      </c>
      <c r="J646" s="185" t="str">
        <f>IFERROR(VLOOKUP(A646,Ativos!$A$1:$G2000,5,),"")</f>
        <v/>
      </c>
      <c r="K646" s="185" t="str">
        <f>IFERROR(VLOOKUP(A646,Ativos!A:H,8,),"")</f>
        <v/>
      </c>
      <c r="L646" s="186">
        <f t="shared" si="3"/>
        <v>0</v>
      </c>
    </row>
    <row r="647" ht="21.0" customHeight="1">
      <c r="A647" s="187"/>
      <c r="B647" s="187"/>
      <c r="C647" s="188"/>
      <c r="D647" s="135"/>
      <c r="E647" s="189"/>
      <c r="F647" s="182" t="str">
        <f t="shared" si="1"/>
        <v/>
      </c>
      <c r="G647" s="183">
        <f>IFERROR(__xludf.DUMMYFUNCTION("IFERROR(lookup(9999999999,FILTER('Operações-BR'!$M:$M,'Operações-BR'!$C:$C=A647,'Operações-BR'!$A:$A&lt;=C647)),0)"),0.0)</f>
        <v>0</v>
      </c>
      <c r="H647" s="184">
        <f t="shared" si="2"/>
        <v>0</v>
      </c>
      <c r="I647" s="184">
        <f>IFERROR(__xludf.DUMMYFUNCTION("IFERROR(lookup(9999999999,FILTER('Operações-BR'!Q:Q,'Operações-BR'!$C:$C=A647,'Operações-BR'!$A:$A&lt;=C647))/G647,0)"),0.0)</f>
        <v>0</v>
      </c>
      <c r="J647" s="185" t="str">
        <f>IFERROR(VLOOKUP(A647,Ativos!$A$1:$G2000,5,),"")</f>
        <v/>
      </c>
      <c r="K647" s="185" t="str">
        <f>IFERROR(VLOOKUP(A647,Ativos!A:H,8,),"")</f>
        <v/>
      </c>
      <c r="L647" s="186">
        <f t="shared" si="3"/>
        <v>0</v>
      </c>
    </row>
    <row r="648" ht="21.0" customHeight="1">
      <c r="A648" s="187"/>
      <c r="B648" s="187"/>
      <c r="C648" s="188"/>
      <c r="D648" s="135"/>
      <c r="E648" s="189"/>
      <c r="F648" s="182" t="str">
        <f t="shared" si="1"/>
        <v/>
      </c>
      <c r="G648" s="183">
        <f>IFERROR(__xludf.DUMMYFUNCTION("IFERROR(lookup(9999999999,FILTER('Operações-BR'!$M:$M,'Operações-BR'!$C:$C=A648,'Operações-BR'!$A:$A&lt;=C648)),0)"),0.0)</f>
        <v>0</v>
      </c>
      <c r="H648" s="184">
        <f t="shared" si="2"/>
        <v>0</v>
      </c>
      <c r="I648" s="184">
        <f>IFERROR(__xludf.DUMMYFUNCTION("IFERROR(lookup(9999999999,FILTER('Operações-BR'!Q:Q,'Operações-BR'!$C:$C=A648,'Operações-BR'!$A:$A&lt;=C648))/G648,0)"),0.0)</f>
        <v>0</v>
      </c>
      <c r="J648" s="185" t="str">
        <f>IFERROR(VLOOKUP(A648,Ativos!$A$1:$G2000,5,),"")</f>
        <v/>
      </c>
      <c r="K648" s="185" t="str">
        <f>IFERROR(VLOOKUP(A648,Ativos!A:H,8,),"")</f>
        <v/>
      </c>
      <c r="L648" s="186">
        <f t="shared" si="3"/>
        <v>0</v>
      </c>
    </row>
    <row r="649" ht="21.0" customHeight="1">
      <c r="A649" s="187"/>
      <c r="B649" s="187"/>
      <c r="C649" s="188"/>
      <c r="D649" s="135"/>
      <c r="E649" s="189"/>
      <c r="F649" s="182" t="str">
        <f t="shared" si="1"/>
        <v/>
      </c>
      <c r="G649" s="183">
        <f>IFERROR(__xludf.DUMMYFUNCTION("IFERROR(lookup(9999999999,FILTER('Operações-BR'!$M:$M,'Operações-BR'!$C:$C=A649,'Operações-BR'!$A:$A&lt;=C649)),0)"),0.0)</f>
        <v>0</v>
      </c>
      <c r="H649" s="184">
        <f t="shared" si="2"/>
        <v>0</v>
      </c>
      <c r="I649" s="184">
        <f>IFERROR(__xludf.DUMMYFUNCTION("IFERROR(lookup(9999999999,FILTER('Operações-BR'!Q:Q,'Operações-BR'!$C:$C=A649,'Operações-BR'!$A:$A&lt;=C649))/G649,0)"),0.0)</f>
        <v>0</v>
      </c>
      <c r="J649" s="185" t="str">
        <f>IFERROR(VLOOKUP(A649,Ativos!$A$1:$G2000,5,),"")</f>
        <v/>
      </c>
      <c r="K649" s="185" t="str">
        <f>IFERROR(VLOOKUP(A649,Ativos!A:H,8,),"")</f>
        <v/>
      </c>
      <c r="L649" s="186">
        <f t="shared" si="3"/>
        <v>0</v>
      </c>
    </row>
    <row r="650" ht="21.0" customHeight="1">
      <c r="A650" s="187"/>
      <c r="B650" s="187"/>
      <c r="C650" s="188"/>
      <c r="D650" s="135"/>
      <c r="E650" s="189"/>
      <c r="F650" s="182" t="str">
        <f t="shared" si="1"/>
        <v/>
      </c>
      <c r="G650" s="183">
        <f>IFERROR(__xludf.DUMMYFUNCTION("IFERROR(lookup(9999999999,FILTER('Operações-BR'!$M:$M,'Operações-BR'!$C:$C=A650,'Operações-BR'!$A:$A&lt;=C650)),0)"),0.0)</f>
        <v>0</v>
      </c>
      <c r="H650" s="184">
        <f t="shared" si="2"/>
        <v>0</v>
      </c>
      <c r="I650" s="184">
        <f>IFERROR(__xludf.DUMMYFUNCTION("IFERROR(lookup(9999999999,FILTER('Operações-BR'!Q:Q,'Operações-BR'!$C:$C=A650,'Operações-BR'!$A:$A&lt;=C650))/G650,0)"),0.0)</f>
        <v>0</v>
      </c>
      <c r="J650" s="185" t="str">
        <f>IFERROR(VLOOKUP(A650,Ativos!$A$1:$G2000,5,),"")</f>
        <v/>
      </c>
      <c r="K650" s="185" t="str">
        <f>IFERROR(VLOOKUP(A650,Ativos!A:H,8,),"")</f>
        <v/>
      </c>
      <c r="L650" s="186">
        <f t="shared" si="3"/>
        <v>0</v>
      </c>
    </row>
    <row r="651" ht="21.0" customHeight="1">
      <c r="A651" s="187"/>
      <c r="B651" s="187"/>
      <c r="C651" s="188"/>
      <c r="D651" s="135"/>
      <c r="E651" s="189"/>
      <c r="F651" s="182" t="str">
        <f t="shared" si="1"/>
        <v/>
      </c>
      <c r="G651" s="183">
        <f>IFERROR(__xludf.DUMMYFUNCTION("IFERROR(lookup(9999999999,FILTER('Operações-BR'!$M:$M,'Operações-BR'!$C:$C=A651,'Operações-BR'!$A:$A&lt;=C651)),0)"),0.0)</f>
        <v>0</v>
      </c>
      <c r="H651" s="184">
        <f t="shared" si="2"/>
        <v>0</v>
      </c>
      <c r="I651" s="184">
        <f>IFERROR(__xludf.DUMMYFUNCTION("IFERROR(lookup(9999999999,FILTER('Operações-BR'!Q:Q,'Operações-BR'!$C:$C=A651,'Operações-BR'!$A:$A&lt;=C651))/G651,0)"),0.0)</f>
        <v>0</v>
      </c>
      <c r="J651" s="185" t="str">
        <f>IFERROR(VLOOKUP(A651,Ativos!$A$1:$G2000,5,),"")</f>
        <v/>
      </c>
      <c r="K651" s="185" t="str">
        <f>IFERROR(VLOOKUP(A651,Ativos!A:H,8,),"")</f>
        <v/>
      </c>
      <c r="L651" s="186">
        <f t="shared" si="3"/>
        <v>0</v>
      </c>
    </row>
    <row r="652" ht="21.0" customHeight="1">
      <c r="A652" s="187"/>
      <c r="B652" s="187"/>
      <c r="C652" s="188"/>
      <c r="D652" s="135"/>
      <c r="E652" s="189"/>
      <c r="F652" s="182" t="str">
        <f t="shared" si="1"/>
        <v/>
      </c>
      <c r="G652" s="183">
        <f>IFERROR(__xludf.DUMMYFUNCTION("IFERROR(lookup(9999999999,FILTER('Operações-BR'!$M:$M,'Operações-BR'!$C:$C=A652,'Operações-BR'!$A:$A&lt;=C652)),0)"),0.0)</f>
        <v>0</v>
      </c>
      <c r="H652" s="184">
        <f t="shared" si="2"/>
        <v>0</v>
      </c>
      <c r="I652" s="184">
        <f>IFERROR(__xludf.DUMMYFUNCTION("IFERROR(lookup(9999999999,FILTER('Operações-BR'!Q:Q,'Operações-BR'!$C:$C=A652,'Operações-BR'!$A:$A&lt;=C652))/G652,0)"),0.0)</f>
        <v>0</v>
      </c>
      <c r="J652" s="185" t="str">
        <f>IFERROR(VLOOKUP(A652,Ativos!$A$1:$G2000,5,),"")</f>
        <v/>
      </c>
      <c r="K652" s="185" t="str">
        <f>IFERROR(VLOOKUP(A652,Ativos!A:H,8,),"")</f>
        <v/>
      </c>
      <c r="L652" s="186">
        <f t="shared" si="3"/>
        <v>0</v>
      </c>
    </row>
    <row r="653" ht="21.0" customHeight="1">
      <c r="A653" s="187"/>
      <c r="B653" s="187"/>
      <c r="C653" s="188"/>
      <c r="D653" s="135"/>
      <c r="E653" s="189"/>
      <c r="F653" s="182" t="str">
        <f t="shared" si="1"/>
        <v/>
      </c>
      <c r="G653" s="183">
        <f>IFERROR(__xludf.DUMMYFUNCTION("IFERROR(lookup(9999999999,FILTER('Operações-BR'!$M:$M,'Operações-BR'!$C:$C=A653,'Operações-BR'!$A:$A&lt;=C653)),0)"),0.0)</f>
        <v>0</v>
      </c>
      <c r="H653" s="184">
        <f t="shared" si="2"/>
        <v>0</v>
      </c>
      <c r="I653" s="184">
        <f>IFERROR(__xludf.DUMMYFUNCTION("IFERROR(lookup(9999999999,FILTER('Operações-BR'!Q:Q,'Operações-BR'!$C:$C=A653,'Operações-BR'!$A:$A&lt;=C653))/G653,0)"),0.0)</f>
        <v>0</v>
      </c>
      <c r="J653" s="185" t="str">
        <f>IFERROR(VLOOKUP(A653,Ativos!$A$1:$G2000,5,),"")</f>
        <v/>
      </c>
      <c r="K653" s="185" t="str">
        <f>IFERROR(VLOOKUP(A653,Ativos!A:H,8,),"")</f>
        <v/>
      </c>
      <c r="L653" s="186">
        <f t="shared" si="3"/>
        <v>0</v>
      </c>
    </row>
    <row r="654" ht="21.0" customHeight="1">
      <c r="A654" s="187"/>
      <c r="B654" s="187"/>
      <c r="C654" s="188"/>
      <c r="D654" s="135"/>
      <c r="E654" s="189"/>
      <c r="F654" s="182" t="str">
        <f t="shared" si="1"/>
        <v/>
      </c>
      <c r="G654" s="183">
        <f>IFERROR(__xludf.DUMMYFUNCTION("IFERROR(lookup(9999999999,FILTER('Operações-BR'!$M:$M,'Operações-BR'!$C:$C=A654,'Operações-BR'!$A:$A&lt;=C654)),0)"),0.0)</f>
        <v>0</v>
      </c>
      <c r="H654" s="184">
        <f t="shared" si="2"/>
        <v>0</v>
      </c>
      <c r="I654" s="184">
        <f>IFERROR(__xludf.DUMMYFUNCTION("IFERROR(lookup(9999999999,FILTER('Operações-BR'!Q:Q,'Operações-BR'!$C:$C=A654,'Operações-BR'!$A:$A&lt;=C654))/G654,0)"),0.0)</f>
        <v>0</v>
      </c>
      <c r="J654" s="185" t="str">
        <f>IFERROR(VLOOKUP(A654,Ativos!$A$1:$G2000,5,),"")</f>
        <v/>
      </c>
      <c r="K654" s="185" t="str">
        <f>IFERROR(VLOOKUP(A654,Ativos!A:H,8,),"")</f>
        <v/>
      </c>
      <c r="L654" s="186">
        <f t="shared" si="3"/>
        <v>0</v>
      </c>
    </row>
    <row r="655" ht="21.0" customHeight="1">
      <c r="A655" s="187"/>
      <c r="B655" s="187"/>
      <c r="C655" s="188"/>
      <c r="D655" s="135"/>
      <c r="E655" s="189"/>
      <c r="F655" s="182" t="str">
        <f t="shared" si="1"/>
        <v/>
      </c>
      <c r="G655" s="183">
        <f>IFERROR(__xludf.DUMMYFUNCTION("IFERROR(lookup(9999999999,FILTER('Operações-BR'!$M:$M,'Operações-BR'!$C:$C=A655,'Operações-BR'!$A:$A&lt;=C655)),0)"),0.0)</f>
        <v>0</v>
      </c>
      <c r="H655" s="184">
        <f t="shared" si="2"/>
        <v>0</v>
      </c>
      <c r="I655" s="184">
        <f>IFERROR(__xludf.DUMMYFUNCTION("IFERROR(lookup(9999999999,FILTER('Operações-BR'!Q:Q,'Operações-BR'!$C:$C=A655,'Operações-BR'!$A:$A&lt;=C655))/G655,0)"),0.0)</f>
        <v>0</v>
      </c>
      <c r="J655" s="185" t="str">
        <f>IFERROR(VLOOKUP(A655,Ativos!$A$1:$G2000,5,),"")</f>
        <v/>
      </c>
      <c r="K655" s="185" t="str">
        <f>IFERROR(VLOOKUP(A655,Ativos!A:H,8,),"")</f>
        <v/>
      </c>
      <c r="L655" s="186">
        <f t="shared" si="3"/>
        <v>0</v>
      </c>
    </row>
    <row r="656" ht="21.0" customHeight="1">
      <c r="A656" s="187"/>
      <c r="B656" s="187"/>
      <c r="C656" s="188"/>
      <c r="D656" s="135"/>
      <c r="E656" s="189"/>
      <c r="F656" s="182" t="str">
        <f t="shared" si="1"/>
        <v/>
      </c>
      <c r="G656" s="183">
        <f>IFERROR(__xludf.DUMMYFUNCTION("IFERROR(lookup(9999999999,FILTER('Operações-BR'!$M:$M,'Operações-BR'!$C:$C=A656,'Operações-BR'!$A:$A&lt;=C656)),0)"),0.0)</f>
        <v>0</v>
      </c>
      <c r="H656" s="184">
        <f t="shared" si="2"/>
        <v>0</v>
      </c>
      <c r="I656" s="184">
        <f>IFERROR(__xludf.DUMMYFUNCTION("IFERROR(lookup(9999999999,FILTER('Operações-BR'!Q:Q,'Operações-BR'!$C:$C=A656,'Operações-BR'!$A:$A&lt;=C656))/G656,0)"),0.0)</f>
        <v>0</v>
      </c>
      <c r="J656" s="185" t="str">
        <f>IFERROR(VLOOKUP(A656,Ativos!$A$1:$G2000,5,),"")</f>
        <v/>
      </c>
      <c r="K656" s="185" t="str">
        <f>IFERROR(VLOOKUP(A656,Ativos!A:H,8,),"")</f>
        <v/>
      </c>
      <c r="L656" s="186">
        <f t="shared" si="3"/>
        <v>0</v>
      </c>
    </row>
    <row r="657" ht="21.0" customHeight="1">
      <c r="A657" s="187"/>
      <c r="B657" s="187"/>
      <c r="C657" s="188"/>
      <c r="D657" s="135"/>
      <c r="E657" s="189"/>
      <c r="F657" s="182" t="str">
        <f t="shared" si="1"/>
        <v/>
      </c>
      <c r="G657" s="183">
        <f>IFERROR(__xludf.DUMMYFUNCTION("IFERROR(lookup(9999999999,FILTER('Operações-BR'!$M:$M,'Operações-BR'!$C:$C=A657,'Operações-BR'!$A:$A&lt;=C657)),0)"),0.0)</f>
        <v>0</v>
      </c>
      <c r="H657" s="184">
        <f t="shared" si="2"/>
        <v>0</v>
      </c>
      <c r="I657" s="184">
        <f>IFERROR(__xludf.DUMMYFUNCTION("IFERROR(lookup(9999999999,FILTER('Operações-BR'!Q:Q,'Operações-BR'!$C:$C=A657,'Operações-BR'!$A:$A&lt;=C657))/G657,0)"),0.0)</f>
        <v>0</v>
      </c>
      <c r="J657" s="185" t="str">
        <f>IFERROR(VLOOKUP(A657,Ativos!$A$1:$G2000,5,),"")</f>
        <v/>
      </c>
      <c r="K657" s="185" t="str">
        <f>IFERROR(VLOOKUP(A657,Ativos!A:H,8,),"")</f>
        <v/>
      </c>
      <c r="L657" s="186">
        <f t="shared" si="3"/>
        <v>0</v>
      </c>
    </row>
    <row r="658" ht="21.0" customHeight="1">
      <c r="A658" s="187"/>
      <c r="B658" s="187"/>
      <c r="C658" s="188"/>
      <c r="D658" s="135"/>
      <c r="E658" s="189"/>
      <c r="F658" s="182" t="str">
        <f t="shared" si="1"/>
        <v/>
      </c>
      <c r="G658" s="183">
        <f>IFERROR(__xludf.DUMMYFUNCTION("IFERROR(lookup(9999999999,FILTER('Operações-BR'!$M:$M,'Operações-BR'!$C:$C=A658,'Operações-BR'!$A:$A&lt;=C658)),0)"),0.0)</f>
        <v>0</v>
      </c>
      <c r="H658" s="184">
        <f t="shared" si="2"/>
        <v>0</v>
      </c>
      <c r="I658" s="184">
        <f>IFERROR(__xludf.DUMMYFUNCTION("IFERROR(lookup(9999999999,FILTER('Operações-BR'!Q:Q,'Operações-BR'!$C:$C=A658,'Operações-BR'!$A:$A&lt;=C658))/G658,0)"),0.0)</f>
        <v>0</v>
      </c>
      <c r="J658" s="185" t="str">
        <f>IFERROR(VLOOKUP(A658,Ativos!$A$1:$G2000,5,),"")</f>
        <v/>
      </c>
      <c r="K658" s="185" t="str">
        <f>IFERROR(VLOOKUP(A658,Ativos!A:H,8,),"")</f>
        <v/>
      </c>
      <c r="L658" s="186">
        <f t="shared" si="3"/>
        <v>0</v>
      </c>
    </row>
    <row r="659" ht="21.0" customHeight="1">
      <c r="A659" s="187"/>
      <c r="B659" s="187"/>
      <c r="C659" s="188"/>
      <c r="D659" s="135"/>
      <c r="E659" s="189"/>
      <c r="F659" s="182" t="str">
        <f t="shared" si="1"/>
        <v/>
      </c>
      <c r="G659" s="183">
        <f>IFERROR(__xludf.DUMMYFUNCTION("IFERROR(lookup(9999999999,FILTER('Operações-BR'!$M:$M,'Operações-BR'!$C:$C=A659,'Operações-BR'!$A:$A&lt;=C659)),0)"),0.0)</f>
        <v>0</v>
      </c>
      <c r="H659" s="184">
        <f t="shared" si="2"/>
        <v>0</v>
      </c>
      <c r="I659" s="184">
        <f>IFERROR(__xludf.DUMMYFUNCTION("IFERROR(lookup(9999999999,FILTER('Operações-BR'!Q:Q,'Operações-BR'!$C:$C=A659,'Operações-BR'!$A:$A&lt;=C659))/G659,0)"),0.0)</f>
        <v>0</v>
      </c>
      <c r="J659" s="185" t="str">
        <f>IFERROR(VLOOKUP(A659,Ativos!$A$1:$G2000,5,),"")</f>
        <v/>
      </c>
      <c r="K659" s="185" t="str">
        <f>IFERROR(VLOOKUP(A659,Ativos!A:H,8,),"")</f>
        <v/>
      </c>
      <c r="L659" s="186">
        <f t="shared" si="3"/>
        <v>0</v>
      </c>
    </row>
    <row r="660" ht="21.0" customHeight="1">
      <c r="A660" s="187"/>
      <c r="B660" s="187"/>
      <c r="C660" s="188"/>
      <c r="D660" s="135"/>
      <c r="E660" s="189"/>
      <c r="F660" s="182" t="str">
        <f t="shared" si="1"/>
        <v/>
      </c>
      <c r="G660" s="183">
        <f>IFERROR(__xludf.DUMMYFUNCTION("IFERROR(lookup(9999999999,FILTER('Operações-BR'!$M:$M,'Operações-BR'!$C:$C=A660,'Operações-BR'!$A:$A&lt;=C660)),0)"),0.0)</f>
        <v>0</v>
      </c>
      <c r="H660" s="184">
        <f t="shared" si="2"/>
        <v>0</v>
      </c>
      <c r="I660" s="184">
        <f>IFERROR(__xludf.DUMMYFUNCTION("IFERROR(lookup(9999999999,FILTER('Operações-BR'!Q:Q,'Operações-BR'!$C:$C=A660,'Operações-BR'!$A:$A&lt;=C660))/G660,0)"),0.0)</f>
        <v>0</v>
      </c>
      <c r="J660" s="185" t="str">
        <f>IFERROR(VLOOKUP(A660,Ativos!$A$1:$G2000,5,),"")</f>
        <v/>
      </c>
      <c r="K660" s="185" t="str">
        <f>IFERROR(VLOOKUP(A660,Ativos!A:H,8,),"")</f>
        <v/>
      </c>
      <c r="L660" s="186">
        <f t="shared" si="3"/>
        <v>0</v>
      </c>
    </row>
    <row r="661" ht="21.0" customHeight="1">
      <c r="A661" s="187"/>
      <c r="B661" s="187"/>
      <c r="C661" s="188"/>
      <c r="D661" s="135"/>
      <c r="E661" s="189"/>
      <c r="F661" s="182" t="str">
        <f t="shared" si="1"/>
        <v/>
      </c>
      <c r="G661" s="183">
        <f>IFERROR(__xludf.DUMMYFUNCTION("IFERROR(lookup(9999999999,FILTER('Operações-BR'!$M:$M,'Operações-BR'!$C:$C=A661,'Operações-BR'!$A:$A&lt;=C661)),0)"),0.0)</f>
        <v>0</v>
      </c>
      <c r="H661" s="184">
        <f t="shared" si="2"/>
        <v>0</v>
      </c>
      <c r="I661" s="184">
        <f>IFERROR(__xludf.DUMMYFUNCTION("IFERROR(lookup(9999999999,FILTER('Operações-BR'!Q:Q,'Operações-BR'!$C:$C=A661,'Operações-BR'!$A:$A&lt;=C661))/G661,0)"),0.0)</f>
        <v>0</v>
      </c>
      <c r="J661" s="185" t="str">
        <f>IFERROR(VLOOKUP(A661,Ativos!$A$1:$G2000,5,),"")</f>
        <v/>
      </c>
      <c r="K661" s="185" t="str">
        <f>IFERROR(VLOOKUP(A661,Ativos!A:H,8,),"")</f>
        <v/>
      </c>
      <c r="L661" s="186">
        <f t="shared" si="3"/>
        <v>0</v>
      </c>
    </row>
    <row r="662" ht="21.0" customHeight="1">
      <c r="A662" s="187"/>
      <c r="B662" s="187"/>
      <c r="C662" s="188"/>
      <c r="D662" s="135"/>
      <c r="E662" s="189"/>
      <c r="F662" s="182" t="str">
        <f t="shared" si="1"/>
        <v/>
      </c>
      <c r="G662" s="183">
        <f>IFERROR(__xludf.DUMMYFUNCTION("IFERROR(lookup(9999999999,FILTER('Operações-BR'!$M:$M,'Operações-BR'!$C:$C=A662,'Operações-BR'!$A:$A&lt;=C662)),0)"),0.0)</f>
        <v>0</v>
      </c>
      <c r="H662" s="184">
        <f t="shared" si="2"/>
        <v>0</v>
      </c>
      <c r="I662" s="184">
        <f>IFERROR(__xludf.DUMMYFUNCTION("IFERROR(lookup(9999999999,FILTER('Operações-BR'!Q:Q,'Operações-BR'!$C:$C=A662,'Operações-BR'!$A:$A&lt;=C662))/G662,0)"),0.0)</f>
        <v>0</v>
      </c>
      <c r="J662" s="185" t="str">
        <f>IFERROR(VLOOKUP(A662,Ativos!$A$1:$G2000,5,),"")</f>
        <v/>
      </c>
      <c r="K662" s="185" t="str">
        <f>IFERROR(VLOOKUP(A662,Ativos!A:H,8,),"")</f>
        <v/>
      </c>
      <c r="L662" s="186">
        <f t="shared" si="3"/>
        <v>0</v>
      </c>
    </row>
    <row r="663" ht="21.0" customHeight="1">
      <c r="A663" s="187"/>
      <c r="B663" s="187"/>
      <c r="C663" s="188"/>
      <c r="D663" s="135"/>
      <c r="E663" s="189"/>
      <c r="F663" s="182" t="str">
        <f t="shared" si="1"/>
        <v/>
      </c>
      <c r="G663" s="183">
        <f>IFERROR(__xludf.DUMMYFUNCTION("IFERROR(lookup(9999999999,FILTER('Operações-BR'!$M:$M,'Operações-BR'!$C:$C=A663,'Operações-BR'!$A:$A&lt;=C663)),0)"),0.0)</f>
        <v>0</v>
      </c>
      <c r="H663" s="184">
        <f t="shared" si="2"/>
        <v>0</v>
      </c>
      <c r="I663" s="184">
        <f>IFERROR(__xludf.DUMMYFUNCTION("IFERROR(lookup(9999999999,FILTER('Operações-BR'!Q:Q,'Operações-BR'!$C:$C=A663,'Operações-BR'!$A:$A&lt;=C663))/G663,0)"),0.0)</f>
        <v>0</v>
      </c>
      <c r="J663" s="185" t="str">
        <f>IFERROR(VLOOKUP(A663,Ativos!$A$1:$G2000,5,),"")</f>
        <v/>
      </c>
      <c r="K663" s="185" t="str">
        <f>IFERROR(VLOOKUP(A663,Ativos!A:H,8,),"")</f>
        <v/>
      </c>
      <c r="L663" s="186">
        <f t="shared" si="3"/>
        <v>0</v>
      </c>
    </row>
    <row r="664" ht="21.0" customHeight="1">
      <c r="A664" s="187"/>
      <c r="B664" s="187"/>
      <c r="C664" s="188"/>
      <c r="D664" s="135"/>
      <c r="E664" s="189"/>
      <c r="F664" s="182" t="str">
        <f t="shared" si="1"/>
        <v/>
      </c>
      <c r="G664" s="183">
        <f>IFERROR(__xludf.DUMMYFUNCTION("IFERROR(lookup(9999999999,FILTER('Operações-BR'!$M:$M,'Operações-BR'!$C:$C=A664,'Operações-BR'!$A:$A&lt;=C664)),0)"),0.0)</f>
        <v>0</v>
      </c>
      <c r="H664" s="184">
        <f t="shared" si="2"/>
        <v>0</v>
      </c>
      <c r="I664" s="184">
        <f>IFERROR(__xludf.DUMMYFUNCTION("IFERROR(lookup(9999999999,FILTER('Operações-BR'!Q:Q,'Operações-BR'!$C:$C=A664,'Operações-BR'!$A:$A&lt;=C664))/G664,0)"),0.0)</f>
        <v>0</v>
      </c>
      <c r="J664" s="185" t="str">
        <f>IFERROR(VLOOKUP(A664,Ativos!$A$1:$G2000,5,),"")</f>
        <v/>
      </c>
      <c r="K664" s="185" t="str">
        <f>IFERROR(VLOOKUP(A664,Ativos!A:H,8,),"")</f>
        <v/>
      </c>
      <c r="L664" s="186">
        <f t="shared" si="3"/>
        <v>0</v>
      </c>
    </row>
    <row r="665" ht="21.0" customHeight="1">
      <c r="A665" s="187"/>
      <c r="B665" s="187"/>
      <c r="C665" s="188"/>
      <c r="D665" s="135"/>
      <c r="E665" s="189"/>
      <c r="F665" s="182" t="str">
        <f t="shared" si="1"/>
        <v/>
      </c>
      <c r="G665" s="183">
        <f>IFERROR(__xludf.DUMMYFUNCTION("IFERROR(lookup(9999999999,FILTER('Operações-BR'!$M:$M,'Operações-BR'!$C:$C=A665,'Operações-BR'!$A:$A&lt;=C665)),0)"),0.0)</f>
        <v>0</v>
      </c>
      <c r="H665" s="184">
        <f t="shared" si="2"/>
        <v>0</v>
      </c>
      <c r="I665" s="184">
        <f>IFERROR(__xludf.DUMMYFUNCTION("IFERROR(lookup(9999999999,FILTER('Operações-BR'!Q:Q,'Operações-BR'!$C:$C=A665,'Operações-BR'!$A:$A&lt;=C665))/G665,0)"),0.0)</f>
        <v>0</v>
      </c>
      <c r="J665" s="185" t="str">
        <f>IFERROR(VLOOKUP(A665,Ativos!$A$1:$G2000,5,),"")</f>
        <v/>
      </c>
      <c r="K665" s="185" t="str">
        <f>IFERROR(VLOOKUP(A665,Ativos!A:H,8,),"")</f>
        <v/>
      </c>
      <c r="L665" s="186">
        <f t="shared" si="3"/>
        <v>0</v>
      </c>
    </row>
    <row r="666" ht="21.0" customHeight="1">
      <c r="A666" s="187"/>
      <c r="B666" s="187"/>
      <c r="C666" s="188"/>
      <c r="D666" s="135"/>
      <c r="E666" s="189"/>
      <c r="F666" s="182" t="str">
        <f t="shared" si="1"/>
        <v/>
      </c>
      <c r="G666" s="183">
        <f>IFERROR(__xludf.DUMMYFUNCTION("IFERROR(lookup(9999999999,FILTER('Operações-BR'!$M:$M,'Operações-BR'!$C:$C=A666,'Operações-BR'!$A:$A&lt;=C666)),0)"),0.0)</f>
        <v>0</v>
      </c>
      <c r="H666" s="184">
        <f t="shared" si="2"/>
        <v>0</v>
      </c>
      <c r="I666" s="184">
        <f>IFERROR(__xludf.DUMMYFUNCTION("IFERROR(lookup(9999999999,FILTER('Operações-BR'!Q:Q,'Operações-BR'!$C:$C=A666,'Operações-BR'!$A:$A&lt;=C666))/G666,0)"),0.0)</f>
        <v>0</v>
      </c>
      <c r="J666" s="185" t="str">
        <f>IFERROR(VLOOKUP(A666,Ativos!$A$1:$G2000,5,),"")</f>
        <v/>
      </c>
      <c r="K666" s="185" t="str">
        <f>IFERROR(VLOOKUP(A666,Ativos!A:H,8,),"")</f>
        <v/>
      </c>
      <c r="L666" s="186">
        <f t="shared" si="3"/>
        <v>0</v>
      </c>
    </row>
    <row r="667" ht="21.0" customHeight="1">
      <c r="A667" s="187"/>
      <c r="B667" s="187"/>
      <c r="C667" s="188"/>
      <c r="D667" s="135"/>
      <c r="E667" s="189"/>
      <c r="F667" s="182" t="str">
        <f t="shared" si="1"/>
        <v/>
      </c>
      <c r="G667" s="183">
        <f>IFERROR(__xludf.DUMMYFUNCTION("IFERROR(lookup(9999999999,FILTER('Operações-BR'!$M:$M,'Operações-BR'!$C:$C=A667,'Operações-BR'!$A:$A&lt;=C667)),0)"),0.0)</f>
        <v>0</v>
      </c>
      <c r="H667" s="184">
        <f t="shared" si="2"/>
        <v>0</v>
      </c>
      <c r="I667" s="184">
        <f>IFERROR(__xludf.DUMMYFUNCTION("IFERROR(lookup(9999999999,FILTER('Operações-BR'!Q:Q,'Operações-BR'!$C:$C=A667,'Operações-BR'!$A:$A&lt;=C667))/G667,0)"),0.0)</f>
        <v>0</v>
      </c>
      <c r="J667" s="185" t="str">
        <f>IFERROR(VLOOKUP(A667,Ativos!$A$1:$G2000,5,),"")</f>
        <v/>
      </c>
      <c r="K667" s="185" t="str">
        <f>IFERROR(VLOOKUP(A667,Ativos!A:H,8,),"")</f>
        <v/>
      </c>
      <c r="L667" s="186">
        <f t="shared" si="3"/>
        <v>0</v>
      </c>
    </row>
    <row r="668" ht="21.0" customHeight="1">
      <c r="A668" s="187"/>
      <c r="B668" s="187"/>
      <c r="C668" s="188"/>
      <c r="D668" s="135"/>
      <c r="E668" s="189"/>
      <c r="F668" s="182" t="str">
        <f t="shared" si="1"/>
        <v/>
      </c>
      <c r="G668" s="183">
        <f>IFERROR(__xludf.DUMMYFUNCTION("IFERROR(lookup(9999999999,FILTER('Operações-BR'!$M:$M,'Operações-BR'!$C:$C=A668,'Operações-BR'!$A:$A&lt;=C668)),0)"),0.0)</f>
        <v>0</v>
      </c>
      <c r="H668" s="184">
        <f t="shared" si="2"/>
        <v>0</v>
      </c>
      <c r="I668" s="184">
        <f>IFERROR(__xludf.DUMMYFUNCTION("IFERROR(lookup(9999999999,FILTER('Operações-BR'!Q:Q,'Operações-BR'!$C:$C=A668,'Operações-BR'!$A:$A&lt;=C668))/G668,0)"),0.0)</f>
        <v>0</v>
      </c>
      <c r="J668" s="185" t="str">
        <f>IFERROR(VLOOKUP(A668,Ativos!$A$1:$G2000,5,),"")</f>
        <v/>
      </c>
      <c r="K668" s="185" t="str">
        <f>IFERROR(VLOOKUP(A668,Ativos!A:H,8,),"")</f>
        <v/>
      </c>
      <c r="L668" s="186">
        <f t="shared" si="3"/>
        <v>0</v>
      </c>
    </row>
    <row r="669" ht="21.0" customHeight="1">
      <c r="A669" s="187"/>
      <c r="B669" s="187"/>
      <c r="C669" s="188"/>
      <c r="D669" s="135"/>
      <c r="E669" s="189"/>
      <c r="F669" s="182" t="str">
        <f t="shared" si="1"/>
        <v/>
      </c>
      <c r="G669" s="183">
        <f>IFERROR(__xludf.DUMMYFUNCTION("IFERROR(lookup(9999999999,FILTER('Operações-BR'!$M:$M,'Operações-BR'!$C:$C=A669,'Operações-BR'!$A:$A&lt;=C669)),0)"),0.0)</f>
        <v>0</v>
      </c>
      <c r="H669" s="184">
        <f t="shared" si="2"/>
        <v>0</v>
      </c>
      <c r="I669" s="184">
        <f>IFERROR(__xludf.DUMMYFUNCTION("IFERROR(lookup(9999999999,FILTER('Operações-BR'!Q:Q,'Operações-BR'!$C:$C=A669,'Operações-BR'!$A:$A&lt;=C669))/G669,0)"),0.0)</f>
        <v>0</v>
      </c>
      <c r="J669" s="185" t="str">
        <f>IFERROR(VLOOKUP(A669,Ativos!$A$1:$G2000,5,),"")</f>
        <v/>
      </c>
      <c r="K669" s="185" t="str">
        <f>IFERROR(VLOOKUP(A669,Ativos!A:H,8,),"")</f>
        <v/>
      </c>
      <c r="L669" s="186">
        <f t="shared" si="3"/>
        <v>0</v>
      </c>
    </row>
    <row r="670" ht="21.0" customHeight="1">
      <c r="A670" s="187"/>
      <c r="B670" s="187"/>
      <c r="C670" s="188"/>
      <c r="D670" s="135"/>
      <c r="E670" s="189"/>
      <c r="F670" s="182" t="str">
        <f t="shared" si="1"/>
        <v/>
      </c>
      <c r="G670" s="183">
        <f>IFERROR(__xludf.DUMMYFUNCTION("IFERROR(lookup(9999999999,FILTER('Operações-BR'!$M:$M,'Operações-BR'!$C:$C=A670,'Operações-BR'!$A:$A&lt;=C670)),0)"),0.0)</f>
        <v>0</v>
      </c>
      <c r="H670" s="184">
        <f t="shared" si="2"/>
        <v>0</v>
      </c>
      <c r="I670" s="184">
        <f>IFERROR(__xludf.DUMMYFUNCTION("IFERROR(lookup(9999999999,FILTER('Operações-BR'!Q:Q,'Operações-BR'!$C:$C=A670,'Operações-BR'!$A:$A&lt;=C670))/G670,0)"),0.0)</f>
        <v>0</v>
      </c>
      <c r="J670" s="185" t="str">
        <f>IFERROR(VLOOKUP(A670,Ativos!$A$1:$G2000,5,),"")</f>
        <v/>
      </c>
      <c r="K670" s="185" t="str">
        <f>IFERROR(VLOOKUP(A670,Ativos!A:H,8,),"")</f>
        <v/>
      </c>
      <c r="L670" s="186">
        <f t="shared" si="3"/>
        <v>0</v>
      </c>
    </row>
    <row r="671" ht="21.0" customHeight="1">
      <c r="A671" s="187"/>
      <c r="B671" s="187"/>
      <c r="C671" s="188"/>
      <c r="D671" s="135"/>
      <c r="E671" s="189"/>
      <c r="F671" s="182" t="str">
        <f t="shared" si="1"/>
        <v/>
      </c>
      <c r="G671" s="183">
        <f>IFERROR(__xludf.DUMMYFUNCTION("IFERROR(lookup(9999999999,FILTER('Operações-BR'!$M:$M,'Operações-BR'!$C:$C=A671,'Operações-BR'!$A:$A&lt;=C671)),0)"),0.0)</f>
        <v>0</v>
      </c>
      <c r="H671" s="184">
        <f t="shared" si="2"/>
        <v>0</v>
      </c>
      <c r="I671" s="184">
        <f>IFERROR(__xludf.DUMMYFUNCTION("IFERROR(lookup(9999999999,FILTER('Operações-BR'!Q:Q,'Operações-BR'!$C:$C=A671,'Operações-BR'!$A:$A&lt;=C671))/G671,0)"),0.0)</f>
        <v>0</v>
      </c>
      <c r="J671" s="185" t="str">
        <f>IFERROR(VLOOKUP(A671,Ativos!$A$1:$G2000,5,),"")</f>
        <v/>
      </c>
      <c r="K671" s="185" t="str">
        <f>IFERROR(VLOOKUP(A671,Ativos!A:H,8,),"")</f>
        <v/>
      </c>
      <c r="L671" s="186">
        <f t="shared" si="3"/>
        <v>0</v>
      </c>
    </row>
    <row r="672" ht="21.0" customHeight="1">
      <c r="A672" s="187"/>
      <c r="B672" s="187"/>
      <c r="C672" s="188"/>
      <c r="D672" s="135"/>
      <c r="E672" s="189"/>
      <c r="F672" s="182" t="str">
        <f t="shared" si="1"/>
        <v/>
      </c>
      <c r="G672" s="183">
        <f>IFERROR(__xludf.DUMMYFUNCTION("IFERROR(lookup(9999999999,FILTER('Operações-BR'!$M:$M,'Operações-BR'!$C:$C=A672,'Operações-BR'!$A:$A&lt;=C672)),0)"),0.0)</f>
        <v>0</v>
      </c>
      <c r="H672" s="184">
        <f t="shared" si="2"/>
        <v>0</v>
      </c>
      <c r="I672" s="184">
        <f>IFERROR(__xludf.DUMMYFUNCTION("IFERROR(lookup(9999999999,FILTER('Operações-BR'!Q:Q,'Operações-BR'!$C:$C=A672,'Operações-BR'!$A:$A&lt;=C672))/G672,0)"),0.0)</f>
        <v>0</v>
      </c>
      <c r="J672" s="185" t="str">
        <f>IFERROR(VLOOKUP(A672,Ativos!$A$1:$G2000,5,),"")</f>
        <v/>
      </c>
      <c r="K672" s="185" t="str">
        <f>IFERROR(VLOOKUP(A672,Ativos!A:H,8,),"")</f>
        <v/>
      </c>
      <c r="L672" s="186">
        <f t="shared" si="3"/>
        <v>0</v>
      </c>
    </row>
    <row r="673" ht="21.0" customHeight="1">
      <c r="A673" s="187"/>
      <c r="B673" s="187"/>
      <c r="C673" s="188"/>
      <c r="D673" s="135"/>
      <c r="E673" s="189"/>
      <c r="F673" s="182" t="str">
        <f t="shared" si="1"/>
        <v/>
      </c>
      <c r="G673" s="183">
        <f>IFERROR(__xludf.DUMMYFUNCTION("IFERROR(lookup(9999999999,FILTER('Operações-BR'!$M:$M,'Operações-BR'!$C:$C=A673,'Operações-BR'!$A:$A&lt;=C673)),0)"),0.0)</f>
        <v>0</v>
      </c>
      <c r="H673" s="184">
        <f t="shared" si="2"/>
        <v>0</v>
      </c>
      <c r="I673" s="184">
        <f>IFERROR(__xludf.DUMMYFUNCTION("IFERROR(lookup(9999999999,FILTER('Operações-BR'!Q:Q,'Operações-BR'!$C:$C=A673,'Operações-BR'!$A:$A&lt;=C673))/G673,0)"),0.0)</f>
        <v>0</v>
      </c>
      <c r="J673" s="185" t="str">
        <f>IFERROR(VLOOKUP(A673,Ativos!$A$1:$G2000,5,),"")</f>
        <v/>
      </c>
      <c r="K673" s="185" t="str">
        <f>IFERROR(VLOOKUP(A673,Ativos!A:H,8,),"")</f>
        <v/>
      </c>
      <c r="L673" s="186">
        <f t="shared" si="3"/>
        <v>0</v>
      </c>
    </row>
    <row r="674" ht="21.0" customHeight="1">
      <c r="A674" s="187"/>
      <c r="B674" s="187"/>
      <c r="C674" s="188"/>
      <c r="D674" s="135"/>
      <c r="E674" s="189"/>
      <c r="F674" s="182" t="str">
        <f t="shared" si="1"/>
        <v/>
      </c>
      <c r="G674" s="183">
        <f>IFERROR(__xludf.DUMMYFUNCTION("IFERROR(lookup(9999999999,FILTER('Operações-BR'!$M:$M,'Operações-BR'!$C:$C=A674,'Operações-BR'!$A:$A&lt;=C674)),0)"),0.0)</f>
        <v>0</v>
      </c>
      <c r="H674" s="184">
        <f t="shared" si="2"/>
        <v>0</v>
      </c>
      <c r="I674" s="184">
        <f>IFERROR(__xludf.DUMMYFUNCTION("IFERROR(lookup(9999999999,FILTER('Operações-BR'!Q:Q,'Operações-BR'!$C:$C=A674,'Operações-BR'!$A:$A&lt;=C674))/G674,0)"),0.0)</f>
        <v>0</v>
      </c>
      <c r="J674" s="185" t="str">
        <f>IFERROR(VLOOKUP(A674,Ativos!$A$1:$G2000,5,),"")</f>
        <v/>
      </c>
      <c r="K674" s="185" t="str">
        <f>IFERROR(VLOOKUP(A674,Ativos!A:H,8,),"")</f>
        <v/>
      </c>
      <c r="L674" s="186">
        <f t="shared" si="3"/>
        <v>0</v>
      </c>
    </row>
    <row r="675" ht="21.0" customHeight="1">
      <c r="A675" s="187"/>
      <c r="B675" s="187"/>
      <c r="C675" s="188"/>
      <c r="D675" s="135"/>
      <c r="E675" s="189"/>
      <c r="F675" s="182" t="str">
        <f t="shared" si="1"/>
        <v/>
      </c>
      <c r="G675" s="183">
        <f>IFERROR(__xludf.DUMMYFUNCTION("IFERROR(lookup(9999999999,FILTER('Operações-BR'!$M:$M,'Operações-BR'!$C:$C=A675,'Operações-BR'!$A:$A&lt;=C675)),0)"),0.0)</f>
        <v>0</v>
      </c>
      <c r="H675" s="184">
        <f t="shared" si="2"/>
        <v>0</v>
      </c>
      <c r="I675" s="184">
        <f>IFERROR(__xludf.DUMMYFUNCTION("IFERROR(lookup(9999999999,FILTER('Operações-BR'!Q:Q,'Operações-BR'!$C:$C=A675,'Operações-BR'!$A:$A&lt;=C675))/G675,0)"),0.0)</f>
        <v>0</v>
      </c>
      <c r="J675" s="185" t="str">
        <f>IFERROR(VLOOKUP(A675,Ativos!$A$1:$G2000,5,),"")</f>
        <v/>
      </c>
      <c r="K675" s="185" t="str">
        <f>IFERROR(VLOOKUP(A675,Ativos!A:H,8,),"")</f>
        <v/>
      </c>
      <c r="L675" s="186">
        <f t="shared" si="3"/>
        <v>0</v>
      </c>
    </row>
    <row r="676" ht="21.0" customHeight="1">
      <c r="A676" s="187"/>
      <c r="B676" s="187"/>
      <c r="C676" s="188"/>
      <c r="D676" s="135"/>
      <c r="E676" s="189"/>
      <c r="F676" s="182" t="str">
        <f t="shared" si="1"/>
        <v/>
      </c>
      <c r="G676" s="183">
        <f>IFERROR(__xludf.DUMMYFUNCTION("IFERROR(lookup(9999999999,FILTER('Operações-BR'!$M:$M,'Operações-BR'!$C:$C=A676,'Operações-BR'!$A:$A&lt;=C676)),0)"),0.0)</f>
        <v>0</v>
      </c>
      <c r="H676" s="184">
        <f t="shared" si="2"/>
        <v>0</v>
      </c>
      <c r="I676" s="184">
        <f>IFERROR(__xludf.DUMMYFUNCTION("IFERROR(lookup(9999999999,FILTER('Operações-BR'!Q:Q,'Operações-BR'!$C:$C=A676,'Operações-BR'!$A:$A&lt;=C676))/G676,0)"),0.0)</f>
        <v>0</v>
      </c>
      <c r="J676" s="185" t="str">
        <f>IFERROR(VLOOKUP(A676,Ativos!$A$1:$G2000,5,),"")</f>
        <v/>
      </c>
      <c r="K676" s="185" t="str">
        <f>IFERROR(VLOOKUP(A676,Ativos!A:H,8,),"")</f>
        <v/>
      </c>
      <c r="L676" s="186">
        <f t="shared" si="3"/>
        <v>0</v>
      </c>
    </row>
    <row r="677" ht="21.0" customHeight="1">
      <c r="A677" s="187"/>
      <c r="B677" s="187"/>
      <c r="C677" s="188"/>
      <c r="D677" s="135"/>
      <c r="E677" s="189"/>
      <c r="F677" s="182" t="str">
        <f t="shared" si="1"/>
        <v/>
      </c>
      <c r="G677" s="183">
        <f>IFERROR(__xludf.DUMMYFUNCTION("IFERROR(lookup(9999999999,FILTER('Operações-BR'!$M:$M,'Operações-BR'!$C:$C=A677,'Operações-BR'!$A:$A&lt;=C677)),0)"),0.0)</f>
        <v>0</v>
      </c>
      <c r="H677" s="184">
        <f t="shared" si="2"/>
        <v>0</v>
      </c>
      <c r="I677" s="184">
        <f>IFERROR(__xludf.DUMMYFUNCTION("IFERROR(lookup(9999999999,FILTER('Operações-BR'!Q:Q,'Operações-BR'!$C:$C=A677,'Operações-BR'!$A:$A&lt;=C677))/G677,0)"),0.0)</f>
        <v>0</v>
      </c>
      <c r="J677" s="185" t="str">
        <f>IFERROR(VLOOKUP(A677,Ativos!$A$1:$G2000,5,),"")</f>
        <v/>
      </c>
      <c r="K677" s="185" t="str">
        <f>IFERROR(VLOOKUP(A677,Ativos!A:H,8,),"")</f>
        <v/>
      </c>
      <c r="L677" s="186">
        <f t="shared" si="3"/>
        <v>0</v>
      </c>
    </row>
    <row r="678" ht="21.0" customHeight="1">
      <c r="A678" s="187"/>
      <c r="B678" s="187"/>
      <c r="C678" s="188"/>
      <c r="D678" s="135"/>
      <c r="E678" s="189"/>
      <c r="F678" s="182" t="str">
        <f t="shared" si="1"/>
        <v/>
      </c>
      <c r="G678" s="183">
        <f>IFERROR(__xludf.DUMMYFUNCTION("IFERROR(lookup(9999999999,FILTER('Operações-BR'!$M:$M,'Operações-BR'!$C:$C=A678,'Operações-BR'!$A:$A&lt;=C678)),0)"),0.0)</f>
        <v>0</v>
      </c>
      <c r="H678" s="184">
        <f t="shared" si="2"/>
        <v>0</v>
      </c>
      <c r="I678" s="184">
        <f>IFERROR(__xludf.DUMMYFUNCTION("IFERROR(lookup(9999999999,FILTER('Operações-BR'!Q:Q,'Operações-BR'!$C:$C=A678,'Operações-BR'!$A:$A&lt;=C678))/G678,0)"),0.0)</f>
        <v>0</v>
      </c>
      <c r="J678" s="185" t="str">
        <f>IFERROR(VLOOKUP(A678,Ativos!$A$1:$G2000,5,),"")</f>
        <v/>
      </c>
      <c r="K678" s="185" t="str">
        <f>IFERROR(VLOOKUP(A678,Ativos!A:H,8,),"")</f>
        <v/>
      </c>
      <c r="L678" s="186">
        <f t="shared" si="3"/>
        <v>0</v>
      </c>
    </row>
    <row r="679" ht="21.0" customHeight="1">
      <c r="A679" s="187"/>
      <c r="B679" s="187"/>
      <c r="C679" s="188"/>
      <c r="D679" s="135"/>
      <c r="E679" s="189"/>
      <c r="F679" s="182" t="str">
        <f t="shared" si="1"/>
        <v/>
      </c>
      <c r="G679" s="183">
        <f>IFERROR(__xludf.DUMMYFUNCTION("IFERROR(lookup(9999999999,FILTER('Operações-BR'!$M:$M,'Operações-BR'!$C:$C=A679,'Operações-BR'!$A:$A&lt;=C679)),0)"),0.0)</f>
        <v>0</v>
      </c>
      <c r="H679" s="184">
        <f t="shared" si="2"/>
        <v>0</v>
      </c>
      <c r="I679" s="184">
        <f>IFERROR(__xludf.DUMMYFUNCTION("IFERROR(lookup(9999999999,FILTER('Operações-BR'!Q:Q,'Operações-BR'!$C:$C=A679,'Operações-BR'!$A:$A&lt;=C679))/G679,0)"),0.0)</f>
        <v>0</v>
      </c>
      <c r="J679" s="185" t="str">
        <f>IFERROR(VLOOKUP(A679,Ativos!$A$1:$G2000,5,),"")</f>
        <v/>
      </c>
      <c r="K679" s="185" t="str">
        <f>IFERROR(VLOOKUP(A679,Ativos!A:H,8,),"")</f>
        <v/>
      </c>
      <c r="L679" s="186">
        <f t="shared" si="3"/>
        <v>0</v>
      </c>
    </row>
    <row r="680" ht="21.0" customHeight="1">
      <c r="A680" s="187"/>
      <c r="B680" s="187"/>
      <c r="C680" s="188"/>
      <c r="D680" s="135"/>
      <c r="E680" s="189"/>
      <c r="F680" s="182" t="str">
        <f t="shared" si="1"/>
        <v/>
      </c>
      <c r="G680" s="183">
        <f>IFERROR(__xludf.DUMMYFUNCTION("IFERROR(lookup(9999999999,FILTER('Operações-BR'!$M:$M,'Operações-BR'!$C:$C=A680,'Operações-BR'!$A:$A&lt;=C680)),0)"),0.0)</f>
        <v>0</v>
      </c>
      <c r="H680" s="184">
        <f t="shared" si="2"/>
        <v>0</v>
      </c>
      <c r="I680" s="184">
        <f>IFERROR(__xludf.DUMMYFUNCTION("IFERROR(lookup(9999999999,FILTER('Operações-BR'!Q:Q,'Operações-BR'!$C:$C=A680,'Operações-BR'!$A:$A&lt;=C680))/G680,0)"),0.0)</f>
        <v>0</v>
      </c>
      <c r="J680" s="185" t="str">
        <f>IFERROR(VLOOKUP(A680,Ativos!$A$1:$G2000,5,),"")</f>
        <v/>
      </c>
      <c r="K680" s="185" t="str">
        <f>IFERROR(VLOOKUP(A680,Ativos!A:H,8,),"")</f>
        <v/>
      </c>
      <c r="L680" s="186">
        <f t="shared" si="3"/>
        <v>0</v>
      </c>
    </row>
    <row r="681" ht="21.0" customHeight="1">
      <c r="A681" s="187"/>
      <c r="B681" s="187"/>
      <c r="C681" s="188"/>
      <c r="D681" s="135"/>
      <c r="E681" s="189"/>
      <c r="F681" s="182" t="str">
        <f t="shared" si="1"/>
        <v/>
      </c>
      <c r="G681" s="183">
        <f>IFERROR(__xludf.DUMMYFUNCTION("IFERROR(lookup(9999999999,FILTER('Operações-BR'!$M:$M,'Operações-BR'!$C:$C=A681,'Operações-BR'!$A:$A&lt;=C681)),0)"),0.0)</f>
        <v>0</v>
      </c>
      <c r="H681" s="184">
        <f t="shared" si="2"/>
        <v>0</v>
      </c>
      <c r="I681" s="184">
        <f>IFERROR(__xludf.DUMMYFUNCTION("IFERROR(lookup(9999999999,FILTER('Operações-BR'!Q:Q,'Operações-BR'!$C:$C=A681,'Operações-BR'!$A:$A&lt;=C681))/G681,0)"),0.0)</f>
        <v>0</v>
      </c>
      <c r="J681" s="185" t="str">
        <f>IFERROR(VLOOKUP(A681,Ativos!$A$1:$G2000,5,),"")</f>
        <v/>
      </c>
      <c r="K681" s="185" t="str">
        <f>IFERROR(VLOOKUP(A681,Ativos!A:H,8,),"")</f>
        <v/>
      </c>
      <c r="L681" s="186">
        <f t="shared" si="3"/>
        <v>0</v>
      </c>
    </row>
    <row r="682" ht="21.0" customHeight="1">
      <c r="A682" s="187"/>
      <c r="B682" s="187"/>
      <c r="C682" s="188"/>
      <c r="D682" s="135"/>
      <c r="E682" s="189"/>
      <c r="F682" s="182" t="str">
        <f t="shared" si="1"/>
        <v/>
      </c>
      <c r="G682" s="183">
        <f>IFERROR(__xludf.DUMMYFUNCTION("IFERROR(lookup(9999999999,FILTER('Operações-BR'!$M:$M,'Operações-BR'!$C:$C=A682,'Operações-BR'!$A:$A&lt;=C682)),0)"),0.0)</f>
        <v>0</v>
      </c>
      <c r="H682" s="184">
        <f t="shared" si="2"/>
        <v>0</v>
      </c>
      <c r="I682" s="184">
        <f>IFERROR(__xludf.DUMMYFUNCTION("IFERROR(lookup(9999999999,FILTER('Operações-BR'!Q:Q,'Operações-BR'!$C:$C=A682,'Operações-BR'!$A:$A&lt;=C682))/G682,0)"),0.0)</f>
        <v>0</v>
      </c>
      <c r="J682" s="185" t="str">
        <f>IFERROR(VLOOKUP(A682,Ativos!$A$1:$G2000,5,),"")</f>
        <v/>
      </c>
      <c r="K682" s="185" t="str">
        <f>IFERROR(VLOOKUP(A682,Ativos!A:H,8,),"")</f>
        <v/>
      </c>
      <c r="L682" s="186">
        <f t="shared" si="3"/>
        <v>0</v>
      </c>
    </row>
    <row r="683" ht="21.0" customHeight="1">
      <c r="A683" s="187"/>
      <c r="B683" s="187"/>
      <c r="C683" s="188"/>
      <c r="D683" s="135"/>
      <c r="E683" s="189"/>
      <c r="F683" s="182" t="str">
        <f t="shared" si="1"/>
        <v/>
      </c>
      <c r="G683" s="183">
        <f>IFERROR(__xludf.DUMMYFUNCTION("IFERROR(lookup(9999999999,FILTER('Operações-BR'!$M:$M,'Operações-BR'!$C:$C=A683,'Operações-BR'!$A:$A&lt;=C683)),0)"),0.0)</f>
        <v>0</v>
      </c>
      <c r="H683" s="184">
        <f t="shared" si="2"/>
        <v>0</v>
      </c>
      <c r="I683" s="184">
        <f>IFERROR(__xludf.DUMMYFUNCTION("IFERROR(lookup(9999999999,FILTER('Operações-BR'!Q:Q,'Operações-BR'!$C:$C=A683,'Operações-BR'!$A:$A&lt;=C683))/G683,0)"),0.0)</f>
        <v>0</v>
      </c>
      <c r="J683" s="185" t="str">
        <f>IFERROR(VLOOKUP(A683,Ativos!$A$1:$G2000,5,),"")</f>
        <v/>
      </c>
      <c r="K683" s="185" t="str">
        <f>IFERROR(VLOOKUP(A683,Ativos!A:H,8,),"")</f>
        <v/>
      </c>
      <c r="L683" s="186">
        <f t="shared" si="3"/>
        <v>0</v>
      </c>
    </row>
    <row r="684" ht="21.0" customHeight="1">
      <c r="A684" s="187"/>
      <c r="B684" s="187"/>
      <c r="C684" s="188"/>
      <c r="D684" s="135"/>
      <c r="E684" s="189"/>
      <c r="F684" s="182" t="str">
        <f t="shared" si="1"/>
        <v/>
      </c>
      <c r="G684" s="183">
        <f>IFERROR(__xludf.DUMMYFUNCTION("IFERROR(lookup(9999999999,FILTER('Operações-BR'!$M:$M,'Operações-BR'!$C:$C=A684,'Operações-BR'!$A:$A&lt;=C684)),0)"),0.0)</f>
        <v>0</v>
      </c>
      <c r="H684" s="184">
        <f t="shared" si="2"/>
        <v>0</v>
      </c>
      <c r="I684" s="184">
        <f>IFERROR(__xludf.DUMMYFUNCTION("IFERROR(lookup(9999999999,FILTER('Operações-BR'!Q:Q,'Operações-BR'!$C:$C=A684,'Operações-BR'!$A:$A&lt;=C684))/G684,0)"),0.0)</f>
        <v>0</v>
      </c>
      <c r="J684" s="185" t="str">
        <f>IFERROR(VLOOKUP(A684,Ativos!$A$1:$G2000,5,),"")</f>
        <v/>
      </c>
      <c r="K684" s="185" t="str">
        <f>IFERROR(VLOOKUP(A684,Ativos!A:H,8,),"")</f>
        <v/>
      </c>
      <c r="L684" s="186">
        <f t="shared" si="3"/>
        <v>0</v>
      </c>
    </row>
    <row r="685" ht="21.0" customHeight="1">
      <c r="A685" s="187"/>
      <c r="B685" s="187"/>
      <c r="C685" s="188"/>
      <c r="D685" s="135"/>
      <c r="E685" s="189"/>
      <c r="F685" s="182" t="str">
        <f t="shared" si="1"/>
        <v/>
      </c>
      <c r="G685" s="183">
        <f>IFERROR(__xludf.DUMMYFUNCTION("IFERROR(lookup(9999999999,FILTER('Operações-BR'!$M:$M,'Operações-BR'!$C:$C=A685,'Operações-BR'!$A:$A&lt;=C685)),0)"),0.0)</f>
        <v>0</v>
      </c>
      <c r="H685" s="184">
        <f t="shared" si="2"/>
        <v>0</v>
      </c>
      <c r="I685" s="184">
        <f>IFERROR(__xludf.DUMMYFUNCTION("IFERROR(lookup(9999999999,FILTER('Operações-BR'!Q:Q,'Operações-BR'!$C:$C=A685,'Operações-BR'!$A:$A&lt;=C685))/G685,0)"),0.0)</f>
        <v>0</v>
      </c>
      <c r="J685" s="185" t="str">
        <f>IFERROR(VLOOKUP(A685,Ativos!$A$1:$G2000,5,),"")</f>
        <v/>
      </c>
      <c r="K685" s="185" t="str">
        <f>IFERROR(VLOOKUP(A685,Ativos!A:H,8,),"")</f>
        <v/>
      </c>
      <c r="L685" s="186">
        <f t="shared" si="3"/>
        <v>0</v>
      </c>
    </row>
    <row r="686" ht="21.0" customHeight="1">
      <c r="A686" s="187"/>
      <c r="B686" s="187"/>
      <c r="C686" s="188"/>
      <c r="D686" s="135"/>
      <c r="E686" s="189"/>
      <c r="F686" s="182" t="str">
        <f t="shared" si="1"/>
        <v/>
      </c>
      <c r="G686" s="183">
        <f>IFERROR(__xludf.DUMMYFUNCTION("IFERROR(lookup(9999999999,FILTER('Operações-BR'!$M:$M,'Operações-BR'!$C:$C=A686,'Operações-BR'!$A:$A&lt;=C686)),0)"),0.0)</f>
        <v>0</v>
      </c>
      <c r="H686" s="184">
        <f t="shared" si="2"/>
        <v>0</v>
      </c>
      <c r="I686" s="184">
        <f>IFERROR(__xludf.DUMMYFUNCTION("IFERROR(lookup(9999999999,FILTER('Operações-BR'!Q:Q,'Operações-BR'!$C:$C=A686,'Operações-BR'!$A:$A&lt;=C686))/G686,0)"),0.0)</f>
        <v>0</v>
      </c>
      <c r="J686" s="185" t="str">
        <f>IFERROR(VLOOKUP(A686,Ativos!$A$1:$G2000,5,),"")</f>
        <v/>
      </c>
      <c r="K686" s="185" t="str">
        <f>IFERROR(VLOOKUP(A686,Ativos!A:H,8,),"")</f>
        <v/>
      </c>
      <c r="L686" s="186">
        <f t="shared" si="3"/>
        <v>0</v>
      </c>
    </row>
    <row r="687" ht="21.0" customHeight="1">
      <c r="A687" s="187"/>
      <c r="B687" s="187"/>
      <c r="C687" s="188"/>
      <c r="D687" s="135"/>
      <c r="E687" s="189"/>
      <c r="F687" s="182" t="str">
        <f t="shared" si="1"/>
        <v/>
      </c>
      <c r="G687" s="183">
        <f>IFERROR(__xludf.DUMMYFUNCTION("IFERROR(lookup(9999999999,FILTER('Operações-BR'!$M:$M,'Operações-BR'!$C:$C=A687,'Operações-BR'!$A:$A&lt;=C687)),0)"),0.0)</f>
        <v>0</v>
      </c>
      <c r="H687" s="184">
        <f t="shared" si="2"/>
        <v>0</v>
      </c>
      <c r="I687" s="184">
        <f>IFERROR(__xludf.DUMMYFUNCTION("IFERROR(lookup(9999999999,FILTER('Operações-BR'!Q:Q,'Operações-BR'!$C:$C=A687,'Operações-BR'!$A:$A&lt;=C687))/G687,0)"),0.0)</f>
        <v>0</v>
      </c>
      <c r="J687" s="185" t="str">
        <f>IFERROR(VLOOKUP(A687,Ativos!$A$1:$G2000,5,),"")</f>
        <v/>
      </c>
      <c r="K687" s="185" t="str">
        <f>IFERROR(VLOOKUP(A687,Ativos!A:H,8,),"")</f>
        <v/>
      </c>
      <c r="L687" s="186">
        <f t="shared" si="3"/>
        <v>0</v>
      </c>
    </row>
    <row r="688" ht="21.0" customHeight="1">
      <c r="A688" s="187"/>
      <c r="B688" s="187"/>
      <c r="C688" s="188"/>
      <c r="D688" s="135"/>
      <c r="E688" s="189"/>
      <c r="F688" s="182" t="str">
        <f t="shared" si="1"/>
        <v/>
      </c>
      <c r="G688" s="183">
        <f>IFERROR(__xludf.DUMMYFUNCTION("IFERROR(lookup(9999999999,FILTER('Operações-BR'!$M:$M,'Operações-BR'!$C:$C=A688,'Operações-BR'!$A:$A&lt;=C688)),0)"),0.0)</f>
        <v>0</v>
      </c>
      <c r="H688" s="184">
        <f t="shared" si="2"/>
        <v>0</v>
      </c>
      <c r="I688" s="184">
        <f>IFERROR(__xludf.DUMMYFUNCTION("IFERROR(lookup(9999999999,FILTER('Operações-BR'!Q:Q,'Operações-BR'!$C:$C=A688,'Operações-BR'!$A:$A&lt;=C688))/G688,0)"),0.0)</f>
        <v>0</v>
      </c>
      <c r="J688" s="185" t="str">
        <f>IFERROR(VLOOKUP(A688,Ativos!$A$1:$G2000,5,),"")</f>
        <v/>
      </c>
      <c r="K688" s="185" t="str">
        <f>IFERROR(VLOOKUP(A688,Ativos!A:H,8,),"")</f>
        <v/>
      </c>
      <c r="L688" s="186">
        <f t="shared" si="3"/>
        <v>0</v>
      </c>
    </row>
    <row r="689" ht="21.0" customHeight="1">
      <c r="A689" s="187"/>
      <c r="B689" s="187"/>
      <c r="C689" s="188"/>
      <c r="D689" s="135"/>
      <c r="E689" s="189"/>
      <c r="F689" s="182" t="str">
        <f t="shared" si="1"/>
        <v/>
      </c>
      <c r="G689" s="183">
        <f>IFERROR(__xludf.DUMMYFUNCTION("IFERROR(lookup(9999999999,FILTER('Operações-BR'!$M:$M,'Operações-BR'!$C:$C=A689,'Operações-BR'!$A:$A&lt;=C689)),0)"),0.0)</f>
        <v>0</v>
      </c>
      <c r="H689" s="184">
        <f t="shared" si="2"/>
        <v>0</v>
      </c>
      <c r="I689" s="184">
        <f>IFERROR(__xludf.DUMMYFUNCTION("IFERROR(lookup(9999999999,FILTER('Operações-BR'!Q:Q,'Operações-BR'!$C:$C=A689,'Operações-BR'!$A:$A&lt;=C689))/G689,0)"),0.0)</f>
        <v>0</v>
      </c>
      <c r="J689" s="185" t="str">
        <f>IFERROR(VLOOKUP(A689,Ativos!$A$1:$G2000,5,),"")</f>
        <v/>
      </c>
      <c r="K689" s="185" t="str">
        <f>IFERROR(VLOOKUP(A689,Ativos!A:H,8,),"")</f>
        <v/>
      </c>
      <c r="L689" s="186">
        <f t="shared" si="3"/>
        <v>0</v>
      </c>
    </row>
    <row r="690" ht="21.0" customHeight="1">
      <c r="A690" s="187"/>
      <c r="B690" s="187"/>
      <c r="C690" s="188"/>
      <c r="D690" s="135"/>
      <c r="E690" s="189"/>
      <c r="F690" s="182" t="str">
        <f t="shared" si="1"/>
        <v/>
      </c>
      <c r="G690" s="183">
        <f>IFERROR(__xludf.DUMMYFUNCTION("IFERROR(lookup(9999999999,FILTER('Operações-BR'!$M:$M,'Operações-BR'!$C:$C=A690,'Operações-BR'!$A:$A&lt;=C690)),0)"),0.0)</f>
        <v>0</v>
      </c>
      <c r="H690" s="184">
        <f t="shared" si="2"/>
        <v>0</v>
      </c>
      <c r="I690" s="184">
        <f>IFERROR(__xludf.DUMMYFUNCTION("IFERROR(lookup(9999999999,FILTER('Operações-BR'!Q:Q,'Operações-BR'!$C:$C=A690,'Operações-BR'!$A:$A&lt;=C690))/G690,0)"),0.0)</f>
        <v>0</v>
      </c>
      <c r="J690" s="185" t="str">
        <f>IFERROR(VLOOKUP(A690,Ativos!$A$1:$G2000,5,),"")</f>
        <v/>
      </c>
      <c r="K690" s="185" t="str">
        <f>IFERROR(VLOOKUP(A690,Ativos!A:H,8,),"")</f>
        <v/>
      </c>
      <c r="L690" s="186">
        <f t="shared" si="3"/>
        <v>0</v>
      </c>
    </row>
    <row r="691" ht="21.0" customHeight="1">
      <c r="A691" s="187"/>
      <c r="B691" s="187"/>
      <c r="C691" s="188"/>
      <c r="D691" s="135"/>
      <c r="E691" s="189"/>
      <c r="F691" s="182" t="str">
        <f t="shared" si="1"/>
        <v/>
      </c>
      <c r="G691" s="183">
        <f>IFERROR(__xludf.DUMMYFUNCTION("IFERROR(lookup(9999999999,FILTER('Operações-BR'!$M:$M,'Operações-BR'!$C:$C=A691,'Operações-BR'!$A:$A&lt;=C691)),0)"),0.0)</f>
        <v>0</v>
      </c>
      <c r="H691" s="184">
        <f t="shared" si="2"/>
        <v>0</v>
      </c>
      <c r="I691" s="184">
        <f>IFERROR(__xludf.DUMMYFUNCTION("IFERROR(lookup(9999999999,FILTER('Operações-BR'!Q:Q,'Operações-BR'!$C:$C=A691,'Operações-BR'!$A:$A&lt;=C691))/G691,0)"),0.0)</f>
        <v>0</v>
      </c>
      <c r="J691" s="185" t="str">
        <f>IFERROR(VLOOKUP(A691,Ativos!$A$1:$G2000,5,),"")</f>
        <v/>
      </c>
      <c r="K691" s="185" t="str">
        <f>IFERROR(VLOOKUP(A691,Ativos!A:H,8,),"")</f>
        <v/>
      </c>
      <c r="L691" s="186">
        <f t="shared" si="3"/>
        <v>0</v>
      </c>
    </row>
    <row r="692" ht="21.0" customHeight="1">
      <c r="A692" s="187"/>
      <c r="B692" s="187"/>
      <c r="C692" s="188"/>
      <c r="D692" s="135"/>
      <c r="E692" s="189"/>
      <c r="F692" s="182" t="str">
        <f t="shared" si="1"/>
        <v/>
      </c>
      <c r="G692" s="183">
        <f>IFERROR(__xludf.DUMMYFUNCTION("IFERROR(lookup(9999999999,FILTER('Operações-BR'!$M:$M,'Operações-BR'!$C:$C=A692,'Operações-BR'!$A:$A&lt;=C692)),0)"),0.0)</f>
        <v>0</v>
      </c>
      <c r="H692" s="184">
        <f t="shared" si="2"/>
        <v>0</v>
      </c>
      <c r="I692" s="184">
        <f>IFERROR(__xludf.DUMMYFUNCTION("IFERROR(lookup(9999999999,FILTER('Operações-BR'!Q:Q,'Operações-BR'!$C:$C=A692,'Operações-BR'!$A:$A&lt;=C692))/G692,0)"),0.0)</f>
        <v>0</v>
      </c>
      <c r="J692" s="185" t="str">
        <f>IFERROR(VLOOKUP(A692,Ativos!$A$1:$G2000,5,),"")</f>
        <v/>
      </c>
      <c r="K692" s="185" t="str">
        <f>IFERROR(VLOOKUP(A692,Ativos!A:H,8,),"")</f>
        <v/>
      </c>
      <c r="L692" s="186">
        <f t="shared" si="3"/>
        <v>0</v>
      </c>
    </row>
    <row r="693" ht="21.0" customHeight="1">
      <c r="A693" s="187"/>
      <c r="B693" s="187"/>
      <c r="C693" s="188"/>
      <c r="D693" s="135"/>
      <c r="E693" s="189"/>
      <c r="F693" s="182" t="str">
        <f t="shared" si="1"/>
        <v/>
      </c>
      <c r="G693" s="183">
        <f>IFERROR(__xludf.DUMMYFUNCTION("IFERROR(lookup(9999999999,FILTER('Operações-BR'!$M:$M,'Operações-BR'!$C:$C=A693,'Operações-BR'!$A:$A&lt;=C693)),0)"),0.0)</f>
        <v>0</v>
      </c>
      <c r="H693" s="184">
        <f t="shared" si="2"/>
        <v>0</v>
      </c>
      <c r="I693" s="184">
        <f>IFERROR(__xludf.DUMMYFUNCTION("IFERROR(lookup(9999999999,FILTER('Operações-BR'!Q:Q,'Operações-BR'!$C:$C=A693,'Operações-BR'!$A:$A&lt;=C693))/G693,0)"),0.0)</f>
        <v>0</v>
      </c>
      <c r="J693" s="185" t="str">
        <f>IFERROR(VLOOKUP(A693,Ativos!$A$1:$G2000,5,),"")</f>
        <v/>
      </c>
      <c r="K693" s="185" t="str">
        <f>IFERROR(VLOOKUP(A693,Ativos!A:H,8,),"")</f>
        <v/>
      </c>
      <c r="L693" s="186">
        <f t="shared" si="3"/>
        <v>0</v>
      </c>
    </row>
    <row r="694" ht="21.0" customHeight="1">
      <c r="A694" s="187"/>
      <c r="B694" s="187"/>
      <c r="C694" s="188"/>
      <c r="D694" s="135"/>
      <c r="E694" s="189"/>
      <c r="F694" s="182" t="str">
        <f t="shared" si="1"/>
        <v/>
      </c>
      <c r="G694" s="183">
        <f>IFERROR(__xludf.DUMMYFUNCTION("IFERROR(lookup(9999999999,FILTER('Operações-BR'!$M:$M,'Operações-BR'!$C:$C=A694,'Operações-BR'!$A:$A&lt;=C694)),0)"),0.0)</f>
        <v>0</v>
      </c>
      <c r="H694" s="184">
        <f t="shared" si="2"/>
        <v>0</v>
      </c>
      <c r="I694" s="184">
        <f>IFERROR(__xludf.DUMMYFUNCTION("IFERROR(lookup(9999999999,FILTER('Operações-BR'!Q:Q,'Operações-BR'!$C:$C=A694,'Operações-BR'!$A:$A&lt;=C694))/G694,0)"),0.0)</f>
        <v>0</v>
      </c>
      <c r="J694" s="185" t="str">
        <f>IFERROR(VLOOKUP(A694,Ativos!$A$1:$G2000,5,),"")</f>
        <v/>
      </c>
      <c r="K694" s="185" t="str">
        <f>IFERROR(VLOOKUP(A694,Ativos!A:H,8,),"")</f>
        <v/>
      </c>
      <c r="L694" s="186">
        <f t="shared" si="3"/>
        <v>0</v>
      </c>
    </row>
    <row r="695" ht="21.0" customHeight="1">
      <c r="A695" s="187"/>
      <c r="B695" s="187"/>
      <c r="C695" s="188"/>
      <c r="D695" s="135"/>
      <c r="E695" s="189"/>
      <c r="F695" s="182" t="str">
        <f t="shared" si="1"/>
        <v/>
      </c>
      <c r="G695" s="183">
        <f>IFERROR(__xludf.DUMMYFUNCTION("IFERROR(lookup(9999999999,FILTER('Operações-BR'!$M:$M,'Operações-BR'!$C:$C=A695,'Operações-BR'!$A:$A&lt;=C695)),0)"),0.0)</f>
        <v>0</v>
      </c>
      <c r="H695" s="184">
        <f t="shared" si="2"/>
        <v>0</v>
      </c>
      <c r="I695" s="184">
        <f>IFERROR(__xludf.DUMMYFUNCTION("IFERROR(lookup(9999999999,FILTER('Operações-BR'!Q:Q,'Operações-BR'!$C:$C=A695,'Operações-BR'!$A:$A&lt;=C695))/G695,0)"),0.0)</f>
        <v>0</v>
      </c>
      <c r="J695" s="185" t="str">
        <f>IFERROR(VLOOKUP(A695,Ativos!$A$1:$G2000,5,),"")</f>
        <v/>
      </c>
      <c r="K695" s="185" t="str">
        <f>IFERROR(VLOOKUP(A695,Ativos!A:H,8,),"")</f>
        <v/>
      </c>
      <c r="L695" s="186">
        <f t="shared" si="3"/>
        <v>0</v>
      </c>
    </row>
    <row r="696" ht="21.0" customHeight="1">
      <c r="A696" s="187"/>
      <c r="B696" s="187"/>
      <c r="C696" s="188"/>
      <c r="D696" s="135"/>
      <c r="E696" s="189"/>
      <c r="F696" s="182" t="str">
        <f t="shared" si="1"/>
        <v/>
      </c>
      <c r="G696" s="183">
        <f>IFERROR(__xludf.DUMMYFUNCTION("IFERROR(lookup(9999999999,FILTER('Operações-BR'!$M:$M,'Operações-BR'!$C:$C=A696,'Operações-BR'!$A:$A&lt;=C696)),0)"),0.0)</f>
        <v>0</v>
      </c>
      <c r="H696" s="184">
        <f t="shared" si="2"/>
        <v>0</v>
      </c>
      <c r="I696" s="184">
        <f>IFERROR(__xludf.DUMMYFUNCTION("IFERROR(lookup(9999999999,FILTER('Operações-BR'!Q:Q,'Operações-BR'!$C:$C=A696,'Operações-BR'!$A:$A&lt;=C696))/G696,0)"),0.0)</f>
        <v>0</v>
      </c>
      <c r="J696" s="185" t="str">
        <f>IFERROR(VLOOKUP(A696,Ativos!$A$1:$G2000,5,),"")</f>
        <v/>
      </c>
      <c r="K696" s="185" t="str">
        <f>IFERROR(VLOOKUP(A696,Ativos!A:H,8,),"")</f>
        <v/>
      </c>
      <c r="L696" s="186">
        <f t="shared" si="3"/>
        <v>0</v>
      </c>
    </row>
    <row r="697" ht="21.0" customHeight="1">
      <c r="A697" s="187"/>
      <c r="B697" s="187"/>
      <c r="C697" s="188"/>
      <c r="D697" s="135"/>
      <c r="E697" s="189"/>
      <c r="F697" s="182" t="str">
        <f t="shared" si="1"/>
        <v/>
      </c>
      <c r="G697" s="183">
        <f>IFERROR(__xludf.DUMMYFUNCTION("IFERROR(lookup(9999999999,FILTER('Operações-BR'!$M:$M,'Operações-BR'!$C:$C=A697,'Operações-BR'!$A:$A&lt;=C697)),0)"),0.0)</f>
        <v>0</v>
      </c>
      <c r="H697" s="184">
        <f t="shared" si="2"/>
        <v>0</v>
      </c>
      <c r="I697" s="184">
        <f>IFERROR(__xludf.DUMMYFUNCTION("IFERROR(lookup(9999999999,FILTER('Operações-BR'!Q:Q,'Operações-BR'!$C:$C=A697,'Operações-BR'!$A:$A&lt;=C697))/G697,0)"),0.0)</f>
        <v>0</v>
      </c>
      <c r="J697" s="185" t="str">
        <f>IFERROR(VLOOKUP(A697,Ativos!$A$1:$G2000,5,),"")</f>
        <v/>
      </c>
      <c r="K697" s="185" t="str">
        <f>IFERROR(VLOOKUP(A697,Ativos!A:H,8,),"")</f>
        <v/>
      </c>
      <c r="L697" s="186">
        <f t="shared" si="3"/>
        <v>0</v>
      </c>
    </row>
    <row r="698" ht="21.0" customHeight="1">
      <c r="A698" s="187"/>
      <c r="B698" s="187"/>
      <c r="C698" s="188"/>
      <c r="D698" s="135"/>
      <c r="E698" s="189"/>
      <c r="F698" s="182" t="str">
        <f t="shared" si="1"/>
        <v/>
      </c>
      <c r="G698" s="183">
        <f>IFERROR(__xludf.DUMMYFUNCTION("IFERROR(lookup(9999999999,FILTER('Operações-BR'!$M:$M,'Operações-BR'!$C:$C=A698,'Operações-BR'!$A:$A&lt;=C698)),0)"),0.0)</f>
        <v>0</v>
      </c>
      <c r="H698" s="184">
        <f t="shared" si="2"/>
        <v>0</v>
      </c>
      <c r="I698" s="184">
        <f>IFERROR(__xludf.DUMMYFUNCTION("IFERROR(lookup(9999999999,FILTER('Operações-BR'!Q:Q,'Operações-BR'!$C:$C=A698,'Operações-BR'!$A:$A&lt;=C698))/G698,0)"),0.0)</f>
        <v>0</v>
      </c>
      <c r="J698" s="185" t="str">
        <f>IFERROR(VLOOKUP(A698,Ativos!$A$1:$G2000,5,),"")</f>
        <v/>
      </c>
      <c r="K698" s="185" t="str">
        <f>IFERROR(VLOOKUP(A698,Ativos!A:H,8,),"")</f>
        <v/>
      </c>
      <c r="L698" s="186">
        <f t="shared" si="3"/>
        <v>0</v>
      </c>
    </row>
    <row r="699" ht="21.0" customHeight="1">
      <c r="A699" s="187"/>
      <c r="B699" s="187"/>
      <c r="C699" s="188"/>
      <c r="D699" s="135"/>
      <c r="E699" s="189"/>
      <c r="F699" s="182" t="str">
        <f t="shared" si="1"/>
        <v/>
      </c>
      <c r="G699" s="183">
        <f>IFERROR(__xludf.DUMMYFUNCTION("IFERROR(lookup(9999999999,FILTER('Operações-BR'!$M:$M,'Operações-BR'!$C:$C=A699,'Operações-BR'!$A:$A&lt;=C699)),0)"),0.0)</f>
        <v>0</v>
      </c>
      <c r="H699" s="184">
        <f t="shared" si="2"/>
        <v>0</v>
      </c>
      <c r="I699" s="184">
        <f>IFERROR(__xludf.DUMMYFUNCTION("IFERROR(lookup(9999999999,FILTER('Operações-BR'!Q:Q,'Operações-BR'!$C:$C=A699,'Operações-BR'!$A:$A&lt;=C699))/G699,0)"),0.0)</f>
        <v>0</v>
      </c>
      <c r="J699" s="185" t="str">
        <f>IFERROR(VLOOKUP(A699,Ativos!$A$1:$G2000,5,),"")</f>
        <v/>
      </c>
      <c r="K699" s="185" t="str">
        <f>IFERROR(VLOOKUP(A699,Ativos!A:H,8,),"")</f>
        <v/>
      </c>
      <c r="L699" s="186">
        <f t="shared" si="3"/>
        <v>0</v>
      </c>
    </row>
    <row r="700" ht="21.0" customHeight="1">
      <c r="A700" s="187"/>
      <c r="B700" s="187"/>
      <c r="C700" s="188"/>
      <c r="D700" s="135"/>
      <c r="E700" s="189"/>
      <c r="F700" s="182" t="str">
        <f t="shared" si="1"/>
        <v/>
      </c>
      <c r="G700" s="183">
        <f>IFERROR(__xludf.DUMMYFUNCTION("IFERROR(lookup(9999999999,FILTER('Operações-BR'!$M:$M,'Operações-BR'!$C:$C=A700,'Operações-BR'!$A:$A&lt;=C700)),0)"),0.0)</f>
        <v>0</v>
      </c>
      <c r="H700" s="184">
        <f t="shared" si="2"/>
        <v>0</v>
      </c>
      <c r="I700" s="184">
        <f>IFERROR(__xludf.DUMMYFUNCTION("IFERROR(lookup(9999999999,FILTER('Operações-BR'!Q:Q,'Operações-BR'!$C:$C=A700,'Operações-BR'!$A:$A&lt;=C700))/G700,0)"),0.0)</f>
        <v>0</v>
      </c>
      <c r="J700" s="185" t="str">
        <f>IFERROR(VLOOKUP(A700,Ativos!$A$1:$G2000,5,),"")</f>
        <v/>
      </c>
      <c r="K700" s="185" t="str">
        <f>IFERROR(VLOOKUP(A700,Ativos!A:H,8,),"")</f>
        <v/>
      </c>
      <c r="L700" s="186">
        <f t="shared" si="3"/>
        <v>0</v>
      </c>
    </row>
    <row r="701" ht="21.0" customHeight="1">
      <c r="A701" s="187"/>
      <c r="B701" s="187"/>
      <c r="C701" s="188"/>
      <c r="D701" s="135"/>
      <c r="E701" s="189"/>
      <c r="F701" s="182" t="str">
        <f t="shared" si="1"/>
        <v/>
      </c>
      <c r="G701" s="183">
        <f>IFERROR(__xludf.DUMMYFUNCTION("IFERROR(lookup(9999999999,FILTER('Operações-BR'!$M:$M,'Operações-BR'!$C:$C=A701,'Operações-BR'!$A:$A&lt;=C701)),0)"),0.0)</f>
        <v>0</v>
      </c>
      <c r="H701" s="184">
        <f t="shared" si="2"/>
        <v>0</v>
      </c>
      <c r="I701" s="184">
        <f>IFERROR(__xludf.DUMMYFUNCTION("IFERROR(lookup(9999999999,FILTER('Operações-BR'!Q:Q,'Operações-BR'!$C:$C=A701,'Operações-BR'!$A:$A&lt;=C701))/G701,0)"),0.0)</f>
        <v>0</v>
      </c>
      <c r="J701" s="185" t="str">
        <f>IFERROR(VLOOKUP(A701,Ativos!$A$1:$G2000,5,),"")</f>
        <v/>
      </c>
      <c r="K701" s="185" t="str">
        <f>IFERROR(VLOOKUP(A701,Ativos!A:H,8,),"")</f>
        <v/>
      </c>
      <c r="L701" s="186">
        <f t="shared" si="3"/>
        <v>0</v>
      </c>
    </row>
    <row r="702" ht="21.0" customHeight="1">
      <c r="A702" s="187"/>
      <c r="B702" s="187"/>
      <c r="C702" s="188"/>
      <c r="D702" s="135"/>
      <c r="E702" s="189"/>
      <c r="F702" s="182" t="str">
        <f t="shared" si="1"/>
        <v/>
      </c>
      <c r="G702" s="183">
        <f>IFERROR(__xludf.DUMMYFUNCTION("IFERROR(lookup(9999999999,FILTER('Operações-BR'!$M:$M,'Operações-BR'!$C:$C=A702,'Operações-BR'!$A:$A&lt;=C702)),0)"),0.0)</f>
        <v>0</v>
      </c>
      <c r="H702" s="184">
        <f t="shared" si="2"/>
        <v>0</v>
      </c>
      <c r="I702" s="184">
        <f>IFERROR(__xludf.DUMMYFUNCTION("IFERROR(lookup(9999999999,FILTER('Operações-BR'!Q:Q,'Operações-BR'!$C:$C=A702,'Operações-BR'!$A:$A&lt;=C702))/G702,0)"),0.0)</f>
        <v>0</v>
      </c>
      <c r="J702" s="185" t="str">
        <f>IFERROR(VLOOKUP(A702,Ativos!$A$1:$G2000,5,),"")</f>
        <v/>
      </c>
      <c r="K702" s="185" t="str">
        <f>IFERROR(VLOOKUP(A702,Ativos!A:H,8,),"")</f>
        <v/>
      </c>
      <c r="L702" s="186">
        <f t="shared" si="3"/>
        <v>0</v>
      </c>
    </row>
    <row r="703" ht="21.0" customHeight="1">
      <c r="A703" s="187"/>
      <c r="B703" s="187"/>
      <c r="C703" s="188"/>
      <c r="D703" s="135"/>
      <c r="E703" s="189"/>
      <c r="F703" s="182" t="str">
        <f t="shared" si="1"/>
        <v/>
      </c>
      <c r="G703" s="183">
        <f>IFERROR(__xludf.DUMMYFUNCTION("IFERROR(lookup(9999999999,FILTER('Operações-BR'!$M:$M,'Operações-BR'!$C:$C=A703,'Operações-BR'!$A:$A&lt;=C703)),0)"),0.0)</f>
        <v>0</v>
      </c>
      <c r="H703" s="184">
        <f t="shared" si="2"/>
        <v>0</v>
      </c>
      <c r="I703" s="184">
        <f>IFERROR(__xludf.DUMMYFUNCTION("IFERROR(lookup(9999999999,FILTER('Operações-BR'!Q:Q,'Operações-BR'!$C:$C=A703,'Operações-BR'!$A:$A&lt;=C703))/G703,0)"),0.0)</f>
        <v>0</v>
      </c>
      <c r="J703" s="185" t="str">
        <f>IFERROR(VLOOKUP(A703,Ativos!$A$1:$G2000,5,),"")</f>
        <v/>
      </c>
      <c r="K703" s="185" t="str">
        <f>IFERROR(VLOOKUP(A703,Ativos!A:H,8,),"")</f>
        <v/>
      </c>
      <c r="L703" s="186">
        <f t="shared" si="3"/>
        <v>0</v>
      </c>
    </row>
    <row r="704" ht="21.0" customHeight="1">
      <c r="A704" s="187"/>
      <c r="B704" s="187"/>
      <c r="C704" s="188"/>
      <c r="D704" s="135"/>
      <c r="E704" s="189"/>
      <c r="F704" s="182" t="str">
        <f t="shared" si="1"/>
        <v/>
      </c>
      <c r="G704" s="183">
        <f>IFERROR(__xludf.DUMMYFUNCTION("IFERROR(lookup(9999999999,FILTER('Operações-BR'!$M:$M,'Operações-BR'!$C:$C=A704,'Operações-BR'!$A:$A&lt;=C704)),0)"),0.0)</f>
        <v>0</v>
      </c>
      <c r="H704" s="184">
        <f t="shared" si="2"/>
        <v>0</v>
      </c>
      <c r="I704" s="184">
        <f>IFERROR(__xludf.DUMMYFUNCTION("IFERROR(lookup(9999999999,FILTER('Operações-BR'!Q:Q,'Operações-BR'!$C:$C=A704,'Operações-BR'!$A:$A&lt;=C704))/G704,0)"),0.0)</f>
        <v>0</v>
      </c>
      <c r="J704" s="185" t="str">
        <f>IFERROR(VLOOKUP(A704,Ativos!$A$1:$G2000,5,),"")</f>
        <v/>
      </c>
      <c r="K704" s="185" t="str">
        <f>IFERROR(VLOOKUP(A704,Ativos!A:H,8,),"")</f>
        <v/>
      </c>
      <c r="L704" s="186">
        <f t="shared" si="3"/>
        <v>0</v>
      </c>
    </row>
    <row r="705" ht="21.0" customHeight="1">
      <c r="A705" s="187"/>
      <c r="B705" s="187"/>
      <c r="C705" s="188"/>
      <c r="D705" s="135"/>
      <c r="E705" s="189"/>
      <c r="F705" s="182" t="str">
        <f t="shared" si="1"/>
        <v/>
      </c>
      <c r="G705" s="183">
        <f>IFERROR(__xludf.DUMMYFUNCTION("IFERROR(lookup(9999999999,FILTER('Operações-BR'!$M:$M,'Operações-BR'!$C:$C=A705,'Operações-BR'!$A:$A&lt;=C705)),0)"),0.0)</f>
        <v>0</v>
      </c>
      <c r="H705" s="184">
        <f t="shared" si="2"/>
        <v>0</v>
      </c>
      <c r="I705" s="184">
        <f>IFERROR(__xludf.DUMMYFUNCTION("IFERROR(lookup(9999999999,FILTER('Operações-BR'!Q:Q,'Operações-BR'!$C:$C=A705,'Operações-BR'!$A:$A&lt;=C705))/G705,0)"),0.0)</f>
        <v>0</v>
      </c>
      <c r="J705" s="185" t="str">
        <f>IFERROR(VLOOKUP(A705,Ativos!$A$1:$G2000,5,),"")</f>
        <v/>
      </c>
      <c r="K705" s="185" t="str">
        <f>IFERROR(VLOOKUP(A705,Ativos!A:H,8,),"")</f>
        <v/>
      </c>
      <c r="L705" s="186">
        <f t="shared" si="3"/>
        <v>0</v>
      </c>
    </row>
    <row r="706" ht="21.0" customHeight="1">
      <c r="A706" s="187"/>
      <c r="B706" s="187"/>
      <c r="C706" s="188"/>
      <c r="D706" s="135"/>
      <c r="E706" s="189"/>
      <c r="F706" s="182" t="str">
        <f t="shared" si="1"/>
        <v/>
      </c>
      <c r="G706" s="183">
        <f>IFERROR(__xludf.DUMMYFUNCTION("IFERROR(lookup(9999999999,FILTER('Operações-BR'!$M:$M,'Operações-BR'!$C:$C=A706,'Operações-BR'!$A:$A&lt;=C706)),0)"),0.0)</f>
        <v>0</v>
      </c>
      <c r="H706" s="184">
        <f t="shared" si="2"/>
        <v>0</v>
      </c>
      <c r="I706" s="184">
        <f>IFERROR(__xludf.DUMMYFUNCTION("IFERROR(lookup(9999999999,FILTER('Operações-BR'!Q:Q,'Operações-BR'!$C:$C=A706,'Operações-BR'!$A:$A&lt;=C706))/G706,0)"),0.0)</f>
        <v>0</v>
      </c>
      <c r="J706" s="185" t="str">
        <f>IFERROR(VLOOKUP(A706,Ativos!$A$1:$G2000,5,),"")</f>
        <v/>
      </c>
      <c r="K706" s="185" t="str">
        <f>IFERROR(VLOOKUP(A706,Ativos!A:H,8,),"")</f>
        <v/>
      </c>
      <c r="L706" s="186">
        <f t="shared" si="3"/>
        <v>0</v>
      </c>
    </row>
    <row r="707" ht="21.0" customHeight="1">
      <c r="A707" s="187"/>
      <c r="B707" s="187"/>
      <c r="C707" s="188"/>
      <c r="D707" s="135"/>
      <c r="E707" s="189"/>
      <c r="F707" s="182" t="str">
        <f t="shared" si="1"/>
        <v/>
      </c>
      <c r="G707" s="183">
        <f>IFERROR(__xludf.DUMMYFUNCTION("IFERROR(lookup(9999999999,FILTER('Operações-BR'!$M:$M,'Operações-BR'!$C:$C=A707,'Operações-BR'!$A:$A&lt;=C707)),0)"),0.0)</f>
        <v>0</v>
      </c>
      <c r="H707" s="184">
        <f t="shared" si="2"/>
        <v>0</v>
      </c>
      <c r="I707" s="184">
        <f>IFERROR(__xludf.DUMMYFUNCTION("IFERROR(lookup(9999999999,FILTER('Operações-BR'!Q:Q,'Operações-BR'!$C:$C=A707,'Operações-BR'!$A:$A&lt;=C707))/G707,0)"),0.0)</f>
        <v>0</v>
      </c>
      <c r="J707" s="185" t="str">
        <f>IFERROR(VLOOKUP(A707,Ativos!$A$1:$G2000,5,),"")</f>
        <v/>
      </c>
      <c r="K707" s="185" t="str">
        <f>IFERROR(VLOOKUP(A707,Ativos!A:H,8,),"")</f>
        <v/>
      </c>
      <c r="L707" s="186">
        <f t="shared" si="3"/>
        <v>0</v>
      </c>
    </row>
    <row r="708" ht="21.0" customHeight="1">
      <c r="A708" s="187"/>
      <c r="B708" s="187"/>
      <c r="C708" s="188"/>
      <c r="D708" s="135"/>
      <c r="E708" s="189"/>
      <c r="F708" s="182" t="str">
        <f t="shared" si="1"/>
        <v/>
      </c>
      <c r="G708" s="183">
        <f>IFERROR(__xludf.DUMMYFUNCTION("IFERROR(lookup(9999999999,FILTER('Operações-BR'!$M:$M,'Operações-BR'!$C:$C=A708,'Operações-BR'!$A:$A&lt;=C708)),0)"),0.0)</f>
        <v>0</v>
      </c>
      <c r="H708" s="184">
        <f t="shared" si="2"/>
        <v>0</v>
      </c>
      <c r="I708" s="184">
        <f>IFERROR(__xludf.DUMMYFUNCTION("IFERROR(lookup(9999999999,FILTER('Operações-BR'!Q:Q,'Operações-BR'!$C:$C=A708,'Operações-BR'!$A:$A&lt;=C708))/G708,0)"),0.0)</f>
        <v>0</v>
      </c>
      <c r="J708" s="185" t="str">
        <f>IFERROR(VLOOKUP(A708,Ativos!$A$1:$G2000,5,),"")</f>
        <v/>
      </c>
      <c r="K708" s="185" t="str">
        <f>IFERROR(VLOOKUP(A708,Ativos!A:H,8,),"")</f>
        <v/>
      </c>
      <c r="L708" s="186">
        <f t="shared" si="3"/>
        <v>0</v>
      </c>
    </row>
    <row r="709" ht="21.0" customHeight="1">
      <c r="A709" s="187"/>
      <c r="B709" s="187"/>
      <c r="C709" s="188"/>
      <c r="D709" s="135"/>
      <c r="E709" s="189"/>
      <c r="F709" s="182" t="str">
        <f t="shared" si="1"/>
        <v/>
      </c>
      <c r="G709" s="183">
        <f>IFERROR(__xludf.DUMMYFUNCTION("IFERROR(lookup(9999999999,FILTER('Operações-BR'!$M:$M,'Operações-BR'!$C:$C=A709,'Operações-BR'!$A:$A&lt;=C709)),0)"),0.0)</f>
        <v>0</v>
      </c>
      <c r="H709" s="184">
        <f t="shared" si="2"/>
        <v>0</v>
      </c>
      <c r="I709" s="184">
        <f>IFERROR(__xludf.DUMMYFUNCTION("IFERROR(lookup(9999999999,FILTER('Operações-BR'!Q:Q,'Operações-BR'!$C:$C=A709,'Operações-BR'!$A:$A&lt;=C709))/G709,0)"),0.0)</f>
        <v>0</v>
      </c>
      <c r="J709" s="185" t="str">
        <f>IFERROR(VLOOKUP(A709,Ativos!$A$1:$G2000,5,),"")</f>
        <v/>
      </c>
      <c r="K709" s="185" t="str">
        <f>IFERROR(VLOOKUP(A709,Ativos!A:H,8,),"")</f>
        <v/>
      </c>
      <c r="L709" s="186">
        <f t="shared" si="3"/>
        <v>0</v>
      </c>
    </row>
    <row r="710" ht="21.0" customHeight="1">
      <c r="A710" s="187"/>
      <c r="B710" s="187"/>
      <c r="C710" s="188"/>
      <c r="D710" s="135"/>
      <c r="E710" s="189"/>
      <c r="F710" s="182" t="str">
        <f t="shared" si="1"/>
        <v/>
      </c>
      <c r="G710" s="183">
        <f>IFERROR(__xludf.DUMMYFUNCTION("IFERROR(lookup(9999999999,FILTER('Operações-BR'!$M:$M,'Operações-BR'!$C:$C=A710,'Operações-BR'!$A:$A&lt;=C710)),0)"),0.0)</f>
        <v>0</v>
      </c>
      <c r="H710" s="184">
        <f t="shared" si="2"/>
        <v>0</v>
      </c>
      <c r="I710" s="184">
        <f>IFERROR(__xludf.DUMMYFUNCTION("IFERROR(lookup(9999999999,FILTER('Operações-BR'!Q:Q,'Operações-BR'!$C:$C=A710,'Operações-BR'!$A:$A&lt;=C710))/G710,0)"),0.0)</f>
        <v>0</v>
      </c>
      <c r="J710" s="185" t="str">
        <f>IFERROR(VLOOKUP(A710,Ativos!$A$1:$G2000,5,),"")</f>
        <v/>
      </c>
      <c r="K710" s="185" t="str">
        <f>IFERROR(VLOOKUP(A710,Ativos!A:H,8,),"")</f>
        <v/>
      </c>
      <c r="L710" s="186">
        <f t="shared" si="3"/>
        <v>0</v>
      </c>
    </row>
    <row r="711" ht="21.0" customHeight="1">
      <c r="A711" s="187"/>
      <c r="B711" s="187"/>
      <c r="C711" s="188"/>
      <c r="D711" s="135"/>
      <c r="E711" s="189"/>
      <c r="F711" s="182" t="str">
        <f t="shared" si="1"/>
        <v/>
      </c>
      <c r="G711" s="183">
        <f>IFERROR(__xludf.DUMMYFUNCTION("IFERROR(lookup(9999999999,FILTER('Operações-BR'!$M:$M,'Operações-BR'!$C:$C=A711,'Operações-BR'!$A:$A&lt;=C711)),0)"),0.0)</f>
        <v>0</v>
      </c>
      <c r="H711" s="184">
        <f t="shared" si="2"/>
        <v>0</v>
      </c>
      <c r="I711" s="184">
        <f>IFERROR(__xludf.DUMMYFUNCTION("IFERROR(lookup(9999999999,FILTER('Operações-BR'!Q:Q,'Operações-BR'!$C:$C=A711,'Operações-BR'!$A:$A&lt;=C711))/G711,0)"),0.0)</f>
        <v>0</v>
      </c>
      <c r="J711" s="185" t="str">
        <f>IFERROR(VLOOKUP(A711,Ativos!$A$1:$G2000,5,),"")</f>
        <v/>
      </c>
      <c r="K711" s="185" t="str">
        <f>IFERROR(VLOOKUP(A711,Ativos!A:H,8,),"")</f>
        <v/>
      </c>
      <c r="L711" s="186">
        <f t="shared" si="3"/>
        <v>0</v>
      </c>
    </row>
    <row r="712" ht="21.0" customHeight="1">
      <c r="A712" s="187"/>
      <c r="B712" s="187"/>
      <c r="C712" s="188"/>
      <c r="D712" s="135"/>
      <c r="E712" s="189"/>
      <c r="F712" s="182" t="str">
        <f t="shared" si="1"/>
        <v/>
      </c>
      <c r="G712" s="183">
        <f>IFERROR(__xludf.DUMMYFUNCTION("IFERROR(lookup(9999999999,FILTER('Operações-BR'!$M:$M,'Operações-BR'!$C:$C=A712,'Operações-BR'!$A:$A&lt;=C712)),0)"),0.0)</f>
        <v>0</v>
      </c>
      <c r="H712" s="184">
        <f t="shared" si="2"/>
        <v>0</v>
      </c>
      <c r="I712" s="184">
        <f>IFERROR(__xludf.DUMMYFUNCTION("IFERROR(lookup(9999999999,FILTER('Operações-BR'!Q:Q,'Operações-BR'!$C:$C=A712,'Operações-BR'!$A:$A&lt;=C712))/G712,0)"),0.0)</f>
        <v>0</v>
      </c>
      <c r="J712" s="185" t="str">
        <f>IFERROR(VLOOKUP(A712,Ativos!$A$1:$G2000,5,),"")</f>
        <v/>
      </c>
      <c r="K712" s="185" t="str">
        <f>IFERROR(VLOOKUP(A712,Ativos!A:H,8,),"")</f>
        <v/>
      </c>
      <c r="L712" s="186">
        <f t="shared" si="3"/>
        <v>0</v>
      </c>
    </row>
    <row r="713" ht="21.0" customHeight="1">
      <c r="A713" s="187"/>
      <c r="B713" s="187"/>
      <c r="C713" s="188"/>
      <c r="D713" s="135"/>
      <c r="E713" s="189"/>
      <c r="F713" s="182" t="str">
        <f t="shared" si="1"/>
        <v/>
      </c>
      <c r="G713" s="183">
        <f>IFERROR(__xludf.DUMMYFUNCTION("IFERROR(lookup(9999999999,FILTER('Operações-BR'!$M:$M,'Operações-BR'!$C:$C=A713,'Operações-BR'!$A:$A&lt;=C713)),0)"),0.0)</f>
        <v>0</v>
      </c>
      <c r="H713" s="184">
        <f t="shared" si="2"/>
        <v>0</v>
      </c>
      <c r="I713" s="184">
        <f>IFERROR(__xludf.DUMMYFUNCTION("IFERROR(lookup(9999999999,FILTER('Operações-BR'!Q:Q,'Operações-BR'!$C:$C=A713,'Operações-BR'!$A:$A&lt;=C713))/G713,0)"),0.0)</f>
        <v>0</v>
      </c>
      <c r="J713" s="185" t="str">
        <f>IFERROR(VLOOKUP(A713,Ativos!$A$1:$G2000,5,),"")</f>
        <v/>
      </c>
      <c r="K713" s="185" t="str">
        <f>IFERROR(VLOOKUP(A713,Ativos!A:H,8,),"")</f>
        <v/>
      </c>
      <c r="L713" s="186">
        <f t="shared" si="3"/>
        <v>0</v>
      </c>
    </row>
    <row r="714" ht="21.0" customHeight="1">
      <c r="A714" s="187"/>
      <c r="B714" s="187"/>
      <c r="C714" s="188"/>
      <c r="D714" s="135"/>
      <c r="E714" s="189"/>
      <c r="F714" s="182" t="str">
        <f t="shared" si="1"/>
        <v/>
      </c>
      <c r="G714" s="183">
        <f>IFERROR(__xludf.DUMMYFUNCTION("IFERROR(lookup(9999999999,FILTER('Operações-BR'!$M:$M,'Operações-BR'!$C:$C=A714,'Operações-BR'!$A:$A&lt;=C714)),0)"),0.0)</f>
        <v>0</v>
      </c>
      <c r="H714" s="184">
        <f t="shared" si="2"/>
        <v>0</v>
      </c>
      <c r="I714" s="184">
        <f>IFERROR(__xludf.DUMMYFUNCTION("IFERROR(lookup(9999999999,FILTER('Operações-BR'!Q:Q,'Operações-BR'!$C:$C=A714,'Operações-BR'!$A:$A&lt;=C714))/G714,0)"),0.0)</f>
        <v>0</v>
      </c>
      <c r="J714" s="185" t="str">
        <f>IFERROR(VLOOKUP(A714,Ativos!$A$1:$G2000,5,),"")</f>
        <v/>
      </c>
      <c r="K714" s="185" t="str">
        <f>IFERROR(VLOOKUP(A714,Ativos!A:H,8,),"")</f>
        <v/>
      </c>
      <c r="L714" s="186">
        <f t="shared" si="3"/>
        <v>0</v>
      </c>
    </row>
    <row r="715" ht="21.0" customHeight="1">
      <c r="A715" s="187"/>
      <c r="B715" s="187"/>
      <c r="C715" s="188"/>
      <c r="D715" s="135"/>
      <c r="E715" s="189"/>
      <c r="F715" s="182" t="str">
        <f t="shared" si="1"/>
        <v/>
      </c>
      <c r="G715" s="183">
        <f>IFERROR(__xludf.DUMMYFUNCTION("IFERROR(lookup(9999999999,FILTER('Operações-BR'!$M:$M,'Operações-BR'!$C:$C=A715,'Operações-BR'!$A:$A&lt;=C715)),0)"),0.0)</f>
        <v>0</v>
      </c>
      <c r="H715" s="184">
        <f t="shared" si="2"/>
        <v>0</v>
      </c>
      <c r="I715" s="184">
        <f>IFERROR(__xludf.DUMMYFUNCTION("IFERROR(lookup(9999999999,FILTER('Operações-BR'!Q:Q,'Operações-BR'!$C:$C=A715,'Operações-BR'!$A:$A&lt;=C715))/G715,0)"),0.0)</f>
        <v>0</v>
      </c>
      <c r="J715" s="185" t="str">
        <f>IFERROR(VLOOKUP(A715,Ativos!$A$1:$G2000,5,),"")</f>
        <v/>
      </c>
      <c r="K715" s="185" t="str">
        <f>IFERROR(VLOOKUP(A715,Ativos!A:H,8,),"")</f>
        <v/>
      </c>
      <c r="L715" s="186">
        <f t="shared" si="3"/>
        <v>0</v>
      </c>
    </row>
    <row r="716" ht="21.0" customHeight="1">
      <c r="A716" s="187"/>
      <c r="B716" s="187"/>
      <c r="C716" s="188"/>
      <c r="D716" s="135"/>
      <c r="E716" s="189"/>
      <c r="F716" s="182" t="str">
        <f t="shared" si="1"/>
        <v/>
      </c>
      <c r="G716" s="183">
        <f>IFERROR(__xludf.DUMMYFUNCTION("IFERROR(lookup(9999999999,FILTER('Operações-BR'!$M:$M,'Operações-BR'!$C:$C=A716,'Operações-BR'!$A:$A&lt;=C716)),0)"),0.0)</f>
        <v>0</v>
      </c>
      <c r="H716" s="184">
        <f t="shared" si="2"/>
        <v>0</v>
      </c>
      <c r="I716" s="184">
        <f>IFERROR(__xludf.DUMMYFUNCTION("IFERROR(lookup(9999999999,FILTER('Operações-BR'!Q:Q,'Operações-BR'!$C:$C=A716,'Operações-BR'!$A:$A&lt;=C716))/G716,0)"),0.0)</f>
        <v>0</v>
      </c>
      <c r="J716" s="185" t="str">
        <f>IFERROR(VLOOKUP(A716,Ativos!$A$1:$G2000,5,),"")</f>
        <v/>
      </c>
      <c r="K716" s="185" t="str">
        <f>IFERROR(VLOOKUP(A716,Ativos!A:H,8,),"")</f>
        <v/>
      </c>
      <c r="L716" s="186">
        <f t="shared" si="3"/>
        <v>0</v>
      </c>
    </row>
    <row r="717" ht="21.0" customHeight="1">
      <c r="A717" s="187"/>
      <c r="B717" s="187"/>
      <c r="C717" s="188"/>
      <c r="D717" s="135"/>
      <c r="E717" s="189"/>
      <c r="F717" s="182" t="str">
        <f t="shared" si="1"/>
        <v/>
      </c>
      <c r="G717" s="183">
        <f>IFERROR(__xludf.DUMMYFUNCTION("IFERROR(lookup(9999999999,FILTER('Operações-BR'!$M:$M,'Operações-BR'!$C:$C=A717,'Operações-BR'!$A:$A&lt;=C717)),0)"),0.0)</f>
        <v>0</v>
      </c>
      <c r="H717" s="184">
        <f t="shared" si="2"/>
        <v>0</v>
      </c>
      <c r="I717" s="184">
        <f>IFERROR(__xludf.DUMMYFUNCTION("IFERROR(lookup(9999999999,FILTER('Operações-BR'!Q:Q,'Operações-BR'!$C:$C=A717,'Operações-BR'!$A:$A&lt;=C717))/G717,0)"),0.0)</f>
        <v>0</v>
      </c>
      <c r="J717" s="185" t="str">
        <f>IFERROR(VLOOKUP(A717,Ativos!$A$1:$G2000,5,),"")</f>
        <v/>
      </c>
      <c r="K717" s="185" t="str">
        <f>IFERROR(VLOOKUP(A717,Ativos!A:H,8,),"")</f>
        <v/>
      </c>
      <c r="L717" s="186">
        <f t="shared" si="3"/>
        <v>0</v>
      </c>
    </row>
    <row r="718" ht="21.0" customHeight="1">
      <c r="A718" s="187"/>
      <c r="B718" s="187"/>
      <c r="C718" s="188"/>
      <c r="D718" s="135"/>
      <c r="E718" s="189"/>
      <c r="F718" s="182" t="str">
        <f t="shared" si="1"/>
        <v/>
      </c>
      <c r="G718" s="183">
        <f>IFERROR(__xludf.DUMMYFUNCTION("IFERROR(lookup(9999999999,FILTER('Operações-BR'!$M:$M,'Operações-BR'!$C:$C=A718,'Operações-BR'!$A:$A&lt;=C718)),0)"),0.0)</f>
        <v>0</v>
      </c>
      <c r="H718" s="184">
        <f t="shared" si="2"/>
        <v>0</v>
      </c>
      <c r="I718" s="184">
        <f>IFERROR(__xludf.DUMMYFUNCTION("IFERROR(lookup(9999999999,FILTER('Operações-BR'!Q:Q,'Operações-BR'!$C:$C=A718,'Operações-BR'!$A:$A&lt;=C718))/G718,0)"),0.0)</f>
        <v>0</v>
      </c>
      <c r="J718" s="185" t="str">
        <f>IFERROR(VLOOKUP(A718,Ativos!$A$1:$G2000,5,),"")</f>
        <v/>
      </c>
      <c r="K718" s="185" t="str">
        <f>IFERROR(VLOOKUP(A718,Ativos!A:H,8,),"")</f>
        <v/>
      </c>
      <c r="L718" s="186">
        <f t="shared" si="3"/>
        <v>0</v>
      </c>
    </row>
    <row r="719" ht="21.0" customHeight="1">
      <c r="A719" s="187"/>
      <c r="B719" s="187"/>
      <c r="C719" s="188"/>
      <c r="D719" s="135"/>
      <c r="E719" s="189"/>
      <c r="F719" s="182" t="str">
        <f t="shared" si="1"/>
        <v/>
      </c>
      <c r="G719" s="183">
        <f>IFERROR(__xludf.DUMMYFUNCTION("IFERROR(lookup(9999999999,FILTER('Operações-BR'!$M:$M,'Operações-BR'!$C:$C=A719,'Operações-BR'!$A:$A&lt;=C719)),0)"),0.0)</f>
        <v>0</v>
      </c>
      <c r="H719" s="184">
        <f t="shared" si="2"/>
        <v>0</v>
      </c>
      <c r="I719" s="184">
        <f>IFERROR(__xludf.DUMMYFUNCTION("IFERROR(lookup(9999999999,FILTER('Operações-BR'!Q:Q,'Operações-BR'!$C:$C=A719,'Operações-BR'!$A:$A&lt;=C719))/G719,0)"),0.0)</f>
        <v>0</v>
      </c>
      <c r="J719" s="185" t="str">
        <f>IFERROR(VLOOKUP(A719,Ativos!$A$1:$G2000,5,),"")</f>
        <v/>
      </c>
      <c r="K719" s="185" t="str">
        <f>IFERROR(VLOOKUP(A719,Ativos!A:H,8,),"")</f>
        <v/>
      </c>
      <c r="L719" s="186">
        <f t="shared" si="3"/>
        <v>0</v>
      </c>
    </row>
    <row r="720" ht="21.0" customHeight="1">
      <c r="A720" s="187"/>
      <c r="B720" s="187"/>
      <c r="C720" s="188"/>
      <c r="D720" s="135"/>
      <c r="E720" s="189"/>
      <c r="F720" s="182" t="str">
        <f t="shared" si="1"/>
        <v/>
      </c>
      <c r="G720" s="183">
        <f>IFERROR(__xludf.DUMMYFUNCTION("IFERROR(lookup(9999999999,FILTER('Operações-BR'!$M:$M,'Operações-BR'!$C:$C=A720,'Operações-BR'!$A:$A&lt;=C720)),0)"),0.0)</f>
        <v>0</v>
      </c>
      <c r="H720" s="184">
        <f t="shared" si="2"/>
        <v>0</v>
      </c>
      <c r="I720" s="184">
        <f>IFERROR(__xludf.DUMMYFUNCTION("IFERROR(lookup(9999999999,FILTER('Operações-BR'!Q:Q,'Operações-BR'!$C:$C=A720,'Operações-BR'!$A:$A&lt;=C720))/G720,0)"),0.0)</f>
        <v>0</v>
      </c>
      <c r="J720" s="185" t="str">
        <f>IFERROR(VLOOKUP(A720,Ativos!$A$1:$G2000,5,),"")</f>
        <v/>
      </c>
      <c r="K720" s="185" t="str">
        <f>IFERROR(VLOOKUP(A720,Ativos!A:H,8,),"")</f>
        <v/>
      </c>
      <c r="L720" s="186">
        <f t="shared" si="3"/>
        <v>0</v>
      </c>
    </row>
    <row r="721" ht="21.0" customHeight="1">
      <c r="A721" s="187"/>
      <c r="B721" s="187"/>
      <c r="C721" s="188"/>
      <c r="D721" s="135"/>
      <c r="E721" s="189"/>
      <c r="F721" s="182" t="str">
        <f t="shared" si="1"/>
        <v/>
      </c>
      <c r="G721" s="183">
        <f>IFERROR(__xludf.DUMMYFUNCTION("IFERROR(lookup(9999999999,FILTER('Operações-BR'!$M:$M,'Operações-BR'!$C:$C=A721,'Operações-BR'!$A:$A&lt;=C721)),0)"),0.0)</f>
        <v>0</v>
      </c>
      <c r="H721" s="184">
        <f t="shared" si="2"/>
        <v>0</v>
      </c>
      <c r="I721" s="184">
        <f>IFERROR(__xludf.DUMMYFUNCTION("IFERROR(lookup(9999999999,FILTER('Operações-BR'!Q:Q,'Operações-BR'!$C:$C=A721,'Operações-BR'!$A:$A&lt;=C721))/G721,0)"),0.0)</f>
        <v>0</v>
      </c>
      <c r="J721" s="185" t="str">
        <f>IFERROR(VLOOKUP(A721,Ativos!$A$1:$G2000,5,),"")</f>
        <v/>
      </c>
      <c r="K721" s="185" t="str">
        <f>IFERROR(VLOOKUP(A721,Ativos!A:H,8,),"")</f>
        <v/>
      </c>
      <c r="L721" s="186">
        <f t="shared" si="3"/>
        <v>0</v>
      </c>
    </row>
    <row r="722" ht="21.0" customHeight="1">
      <c r="A722" s="187"/>
      <c r="B722" s="187"/>
      <c r="C722" s="188"/>
      <c r="D722" s="135"/>
      <c r="E722" s="189"/>
      <c r="F722" s="182" t="str">
        <f t="shared" si="1"/>
        <v/>
      </c>
      <c r="G722" s="183">
        <f>IFERROR(__xludf.DUMMYFUNCTION("IFERROR(lookup(9999999999,FILTER('Operações-BR'!$M:$M,'Operações-BR'!$C:$C=A722,'Operações-BR'!$A:$A&lt;=C722)),0)"),0.0)</f>
        <v>0</v>
      </c>
      <c r="H722" s="184">
        <f t="shared" si="2"/>
        <v>0</v>
      </c>
      <c r="I722" s="184">
        <f>IFERROR(__xludf.DUMMYFUNCTION("IFERROR(lookup(9999999999,FILTER('Operações-BR'!Q:Q,'Operações-BR'!$C:$C=A722,'Operações-BR'!$A:$A&lt;=C722))/G722,0)"),0.0)</f>
        <v>0</v>
      </c>
      <c r="J722" s="185" t="str">
        <f>IFERROR(VLOOKUP(A722,Ativos!$A$1:$G2000,5,),"")</f>
        <v/>
      </c>
      <c r="K722" s="185" t="str">
        <f>IFERROR(VLOOKUP(A722,Ativos!A:H,8,),"")</f>
        <v/>
      </c>
      <c r="L722" s="186">
        <f t="shared" si="3"/>
        <v>0</v>
      </c>
    </row>
    <row r="723" ht="21.0" customHeight="1">
      <c r="A723" s="187"/>
      <c r="B723" s="187"/>
      <c r="C723" s="188"/>
      <c r="D723" s="135"/>
      <c r="E723" s="189"/>
      <c r="F723" s="182" t="str">
        <f t="shared" si="1"/>
        <v/>
      </c>
      <c r="G723" s="183">
        <f>IFERROR(__xludf.DUMMYFUNCTION("IFERROR(lookup(9999999999,FILTER('Operações-BR'!$M:$M,'Operações-BR'!$C:$C=A723,'Operações-BR'!$A:$A&lt;=C723)),0)"),0.0)</f>
        <v>0</v>
      </c>
      <c r="H723" s="184">
        <f t="shared" si="2"/>
        <v>0</v>
      </c>
      <c r="I723" s="184">
        <f>IFERROR(__xludf.DUMMYFUNCTION("IFERROR(lookup(9999999999,FILTER('Operações-BR'!Q:Q,'Operações-BR'!$C:$C=A723,'Operações-BR'!$A:$A&lt;=C723))/G723,0)"),0.0)</f>
        <v>0</v>
      </c>
      <c r="J723" s="185" t="str">
        <f>IFERROR(VLOOKUP(A723,Ativos!$A$1:$G2000,5,),"")</f>
        <v/>
      </c>
      <c r="K723" s="185" t="str">
        <f>IFERROR(VLOOKUP(A723,Ativos!A:H,8,),"")</f>
        <v/>
      </c>
      <c r="L723" s="186">
        <f t="shared" si="3"/>
        <v>0</v>
      </c>
    </row>
    <row r="724" ht="21.0" customHeight="1">
      <c r="A724" s="187"/>
      <c r="B724" s="187"/>
      <c r="C724" s="188"/>
      <c r="D724" s="135"/>
      <c r="E724" s="189"/>
      <c r="F724" s="182" t="str">
        <f t="shared" si="1"/>
        <v/>
      </c>
      <c r="G724" s="183">
        <f>IFERROR(__xludf.DUMMYFUNCTION("IFERROR(lookup(9999999999,FILTER('Operações-BR'!$M:$M,'Operações-BR'!$C:$C=A724,'Operações-BR'!$A:$A&lt;=C724)),0)"),0.0)</f>
        <v>0</v>
      </c>
      <c r="H724" s="184">
        <f t="shared" si="2"/>
        <v>0</v>
      </c>
      <c r="I724" s="184">
        <f>IFERROR(__xludf.DUMMYFUNCTION("IFERROR(lookup(9999999999,FILTER('Operações-BR'!Q:Q,'Operações-BR'!$C:$C=A724,'Operações-BR'!$A:$A&lt;=C724))/G724,0)"),0.0)</f>
        <v>0</v>
      </c>
      <c r="J724" s="185" t="str">
        <f>IFERROR(VLOOKUP(A724,Ativos!$A$1:$G2000,5,),"")</f>
        <v/>
      </c>
      <c r="K724" s="185" t="str">
        <f>IFERROR(VLOOKUP(A724,Ativos!A:H,8,),"")</f>
        <v/>
      </c>
      <c r="L724" s="186">
        <f t="shared" si="3"/>
        <v>0</v>
      </c>
    </row>
    <row r="725" ht="21.0" customHeight="1">
      <c r="A725" s="187"/>
      <c r="B725" s="187"/>
      <c r="C725" s="188"/>
      <c r="D725" s="135"/>
      <c r="E725" s="189"/>
      <c r="F725" s="182" t="str">
        <f t="shared" si="1"/>
        <v/>
      </c>
      <c r="G725" s="183">
        <f>IFERROR(__xludf.DUMMYFUNCTION("IFERROR(lookup(9999999999,FILTER('Operações-BR'!$M:$M,'Operações-BR'!$C:$C=A725,'Operações-BR'!$A:$A&lt;=C725)),0)"),0.0)</f>
        <v>0</v>
      </c>
      <c r="H725" s="184">
        <f t="shared" si="2"/>
        <v>0</v>
      </c>
      <c r="I725" s="184">
        <f>IFERROR(__xludf.DUMMYFUNCTION("IFERROR(lookup(9999999999,FILTER('Operações-BR'!Q:Q,'Operações-BR'!$C:$C=A725,'Operações-BR'!$A:$A&lt;=C725))/G725,0)"),0.0)</f>
        <v>0</v>
      </c>
      <c r="J725" s="185" t="str">
        <f>IFERROR(VLOOKUP(A725,Ativos!$A$1:$G2000,5,),"")</f>
        <v/>
      </c>
      <c r="K725" s="185" t="str">
        <f>IFERROR(VLOOKUP(A725,Ativos!A:H,8,),"")</f>
        <v/>
      </c>
      <c r="L725" s="186">
        <f t="shared" si="3"/>
        <v>0</v>
      </c>
    </row>
    <row r="726" ht="21.0" customHeight="1">
      <c r="A726" s="187"/>
      <c r="B726" s="187"/>
      <c r="C726" s="188"/>
      <c r="D726" s="135"/>
      <c r="E726" s="189"/>
      <c r="F726" s="182" t="str">
        <f t="shared" si="1"/>
        <v/>
      </c>
      <c r="G726" s="183">
        <f>IFERROR(__xludf.DUMMYFUNCTION("IFERROR(lookup(9999999999,FILTER('Operações-BR'!$M:$M,'Operações-BR'!$C:$C=A726,'Operações-BR'!$A:$A&lt;=C726)),0)"),0.0)</f>
        <v>0</v>
      </c>
      <c r="H726" s="184">
        <f t="shared" si="2"/>
        <v>0</v>
      </c>
      <c r="I726" s="184">
        <f>IFERROR(__xludf.DUMMYFUNCTION("IFERROR(lookup(9999999999,FILTER('Operações-BR'!Q:Q,'Operações-BR'!$C:$C=A726,'Operações-BR'!$A:$A&lt;=C726))/G726,0)"),0.0)</f>
        <v>0</v>
      </c>
      <c r="J726" s="185" t="str">
        <f>IFERROR(VLOOKUP(A726,Ativos!$A$1:$G2000,5,),"")</f>
        <v/>
      </c>
      <c r="K726" s="185" t="str">
        <f>IFERROR(VLOOKUP(A726,Ativos!A:H,8,),"")</f>
        <v/>
      </c>
      <c r="L726" s="186">
        <f t="shared" si="3"/>
        <v>0</v>
      </c>
    </row>
    <row r="727" ht="21.0" customHeight="1">
      <c r="A727" s="187"/>
      <c r="B727" s="187"/>
      <c r="C727" s="188"/>
      <c r="D727" s="135"/>
      <c r="E727" s="189"/>
      <c r="F727" s="182" t="str">
        <f t="shared" si="1"/>
        <v/>
      </c>
      <c r="G727" s="183">
        <f>IFERROR(__xludf.DUMMYFUNCTION("IFERROR(lookup(9999999999,FILTER('Operações-BR'!$M:$M,'Operações-BR'!$C:$C=A727,'Operações-BR'!$A:$A&lt;=C727)),0)"),0.0)</f>
        <v>0</v>
      </c>
      <c r="H727" s="184">
        <f t="shared" si="2"/>
        <v>0</v>
      </c>
      <c r="I727" s="184">
        <f>IFERROR(__xludf.DUMMYFUNCTION("IFERROR(lookup(9999999999,FILTER('Operações-BR'!Q:Q,'Operações-BR'!$C:$C=A727,'Operações-BR'!$A:$A&lt;=C727))/G727,0)"),0.0)</f>
        <v>0</v>
      </c>
      <c r="J727" s="185" t="str">
        <f>IFERROR(VLOOKUP(A727,Ativos!$A$1:$G2000,5,),"")</f>
        <v/>
      </c>
      <c r="K727" s="185" t="str">
        <f>IFERROR(VLOOKUP(A727,Ativos!A:H,8,),"")</f>
        <v/>
      </c>
      <c r="L727" s="186">
        <f t="shared" si="3"/>
        <v>0</v>
      </c>
    </row>
    <row r="728" ht="21.0" customHeight="1">
      <c r="A728" s="187"/>
      <c r="B728" s="187"/>
      <c r="C728" s="188"/>
      <c r="D728" s="135"/>
      <c r="E728" s="189"/>
      <c r="F728" s="182" t="str">
        <f t="shared" si="1"/>
        <v/>
      </c>
      <c r="G728" s="183">
        <f>IFERROR(__xludf.DUMMYFUNCTION("IFERROR(lookup(9999999999,FILTER('Operações-BR'!$M:$M,'Operações-BR'!$C:$C=A728,'Operações-BR'!$A:$A&lt;=C728)),0)"),0.0)</f>
        <v>0</v>
      </c>
      <c r="H728" s="184">
        <f t="shared" si="2"/>
        <v>0</v>
      </c>
      <c r="I728" s="184">
        <f>IFERROR(__xludf.DUMMYFUNCTION("IFERROR(lookup(9999999999,FILTER('Operações-BR'!Q:Q,'Operações-BR'!$C:$C=A728,'Operações-BR'!$A:$A&lt;=C728))/G728,0)"),0.0)</f>
        <v>0</v>
      </c>
      <c r="J728" s="185" t="str">
        <f>IFERROR(VLOOKUP(A728,Ativos!$A$1:$G2000,5,),"")</f>
        <v/>
      </c>
      <c r="K728" s="185" t="str">
        <f>IFERROR(VLOOKUP(A728,Ativos!A:H,8,),"")</f>
        <v/>
      </c>
      <c r="L728" s="186">
        <f t="shared" si="3"/>
        <v>0</v>
      </c>
    </row>
    <row r="729" ht="21.0" customHeight="1">
      <c r="A729" s="187"/>
      <c r="B729" s="187"/>
      <c r="C729" s="188"/>
      <c r="D729" s="135"/>
      <c r="E729" s="189"/>
      <c r="F729" s="182" t="str">
        <f t="shared" si="1"/>
        <v/>
      </c>
      <c r="G729" s="183">
        <f>IFERROR(__xludf.DUMMYFUNCTION("IFERROR(lookup(9999999999,FILTER('Operações-BR'!$M:$M,'Operações-BR'!$C:$C=A729,'Operações-BR'!$A:$A&lt;=C729)),0)"),0.0)</f>
        <v>0</v>
      </c>
      <c r="H729" s="184">
        <f t="shared" si="2"/>
        <v>0</v>
      </c>
      <c r="I729" s="184">
        <f>IFERROR(__xludf.DUMMYFUNCTION("IFERROR(lookup(9999999999,FILTER('Operações-BR'!Q:Q,'Operações-BR'!$C:$C=A729,'Operações-BR'!$A:$A&lt;=C729))/G729,0)"),0.0)</f>
        <v>0</v>
      </c>
      <c r="J729" s="185" t="str">
        <f>IFERROR(VLOOKUP(A729,Ativos!$A$1:$G2000,5,),"")</f>
        <v/>
      </c>
      <c r="K729" s="185" t="str">
        <f>IFERROR(VLOOKUP(A729,Ativos!A:H,8,),"")</f>
        <v/>
      </c>
      <c r="L729" s="186">
        <f t="shared" si="3"/>
        <v>0</v>
      </c>
    </row>
    <row r="730" ht="21.0" customHeight="1">
      <c r="A730" s="187"/>
      <c r="B730" s="187"/>
      <c r="C730" s="188"/>
      <c r="D730" s="135"/>
      <c r="E730" s="189"/>
      <c r="F730" s="182" t="str">
        <f t="shared" si="1"/>
        <v/>
      </c>
      <c r="G730" s="183">
        <f>IFERROR(__xludf.DUMMYFUNCTION("IFERROR(lookup(9999999999,FILTER('Operações-BR'!$M:$M,'Operações-BR'!$C:$C=A730,'Operações-BR'!$A:$A&lt;=C730)),0)"),0.0)</f>
        <v>0</v>
      </c>
      <c r="H730" s="184">
        <f t="shared" si="2"/>
        <v>0</v>
      </c>
      <c r="I730" s="184">
        <f>IFERROR(__xludf.DUMMYFUNCTION("IFERROR(lookup(9999999999,FILTER('Operações-BR'!Q:Q,'Operações-BR'!$C:$C=A730,'Operações-BR'!$A:$A&lt;=C730))/G730,0)"),0.0)</f>
        <v>0</v>
      </c>
      <c r="J730" s="185" t="str">
        <f>IFERROR(VLOOKUP(A730,Ativos!$A$1:$G2000,5,),"")</f>
        <v/>
      </c>
      <c r="K730" s="185" t="str">
        <f>IFERROR(VLOOKUP(A730,Ativos!A:H,8,),"")</f>
        <v/>
      </c>
      <c r="L730" s="186">
        <f t="shared" si="3"/>
        <v>0</v>
      </c>
    </row>
    <row r="731" ht="21.0" customHeight="1">
      <c r="A731" s="187"/>
      <c r="B731" s="187"/>
      <c r="C731" s="188"/>
      <c r="D731" s="135"/>
      <c r="E731" s="189"/>
      <c r="F731" s="182" t="str">
        <f t="shared" si="1"/>
        <v/>
      </c>
      <c r="G731" s="183">
        <f>IFERROR(__xludf.DUMMYFUNCTION("IFERROR(lookup(9999999999,FILTER('Operações-BR'!$M:$M,'Operações-BR'!$C:$C=A731,'Operações-BR'!$A:$A&lt;=C731)),0)"),0.0)</f>
        <v>0</v>
      </c>
      <c r="H731" s="184">
        <f t="shared" si="2"/>
        <v>0</v>
      </c>
      <c r="I731" s="184">
        <f>IFERROR(__xludf.DUMMYFUNCTION("IFERROR(lookup(9999999999,FILTER('Operações-BR'!Q:Q,'Operações-BR'!$C:$C=A731,'Operações-BR'!$A:$A&lt;=C731))/G731,0)"),0.0)</f>
        <v>0</v>
      </c>
      <c r="J731" s="185" t="str">
        <f>IFERROR(VLOOKUP(A731,Ativos!$A$1:$G2000,5,),"")</f>
        <v/>
      </c>
      <c r="K731" s="185" t="str">
        <f>IFERROR(VLOOKUP(A731,Ativos!A:H,8,),"")</f>
        <v/>
      </c>
      <c r="L731" s="186">
        <f t="shared" si="3"/>
        <v>0</v>
      </c>
    </row>
    <row r="732" ht="21.0" customHeight="1">
      <c r="A732" s="187"/>
      <c r="B732" s="187"/>
      <c r="C732" s="188"/>
      <c r="D732" s="135"/>
      <c r="E732" s="189"/>
      <c r="F732" s="182" t="str">
        <f t="shared" si="1"/>
        <v/>
      </c>
      <c r="G732" s="183">
        <f>IFERROR(__xludf.DUMMYFUNCTION("IFERROR(lookup(9999999999,FILTER('Operações-BR'!$M:$M,'Operações-BR'!$C:$C=A732,'Operações-BR'!$A:$A&lt;=C732)),0)"),0.0)</f>
        <v>0</v>
      </c>
      <c r="H732" s="184">
        <f t="shared" si="2"/>
        <v>0</v>
      </c>
      <c r="I732" s="184">
        <f>IFERROR(__xludf.DUMMYFUNCTION("IFERROR(lookup(9999999999,FILTER('Operações-BR'!Q:Q,'Operações-BR'!$C:$C=A732,'Operações-BR'!$A:$A&lt;=C732))/G732,0)"),0.0)</f>
        <v>0</v>
      </c>
      <c r="J732" s="185" t="str">
        <f>IFERROR(VLOOKUP(A732,Ativos!$A$1:$G2000,5,),"")</f>
        <v/>
      </c>
      <c r="K732" s="185" t="str">
        <f>IFERROR(VLOOKUP(A732,Ativos!A:H,8,),"")</f>
        <v/>
      </c>
      <c r="L732" s="186">
        <f t="shared" si="3"/>
        <v>0</v>
      </c>
    </row>
    <row r="733" ht="21.0" customHeight="1">
      <c r="A733" s="187"/>
      <c r="B733" s="187"/>
      <c r="C733" s="188"/>
      <c r="D733" s="135"/>
      <c r="E733" s="189"/>
      <c r="F733" s="182" t="str">
        <f t="shared" si="1"/>
        <v/>
      </c>
      <c r="G733" s="183">
        <f>IFERROR(__xludf.DUMMYFUNCTION("IFERROR(lookup(9999999999,FILTER('Operações-BR'!$M:$M,'Operações-BR'!$C:$C=A733,'Operações-BR'!$A:$A&lt;=C733)),0)"),0.0)</f>
        <v>0</v>
      </c>
      <c r="H733" s="184">
        <f t="shared" si="2"/>
        <v>0</v>
      </c>
      <c r="I733" s="184">
        <f>IFERROR(__xludf.DUMMYFUNCTION("IFERROR(lookup(9999999999,FILTER('Operações-BR'!Q:Q,'Operações-BR'!$C:$C=A733,'Operações-BR'!$A:$A&lt;=C733))/G733,0)"),0.0)</f>
        <v>0</v>
      </c>
      <c r="J733" s="185" t="str">
        <f>IFERROR(VLOOKUP(A733,Ativos!$A$1:$G2000,5,),"")</f>
        <v/>
      </c>
      <c r="K733" s="185" t="str">
        <f>IFERROR(VLOOKUP(A733,Ativos!A:H,8,),"")</f>
        <v/>
      </c>
      <c r="L733" s="186">
        <f t="shared" si="3"/>
        <v>0</v>
      </c>
    </row>
    <row r="734" ht="21.0" customHeight="1">
      <c r="A734" s="187"/>
      <c r="B734" s="187"/>
      <c r="C734" s="188"/>
      <c r="D734" s="135"/>
      <c r="E734" s="189"/>
      <c r="F734" s="182" t="str">
        <f t="shared" si="1"/>
        <v/>
      </c>
      <c r="G734" s="183">
        <f>IFERROR(__xludf.DUMMYFUNCTION("IFERROR(lookup(9999999999,FILTER('Operações-BR'!$M:$M,'Operações-BR'!$C:$C=A734,'Operações-BR'!$A:$A&lt;=C734)),0)"),0.0)</f>
        <v>0</v>
      </c>
      <c r="H734" s="184">
        <f t="shared" si="2"/>
        <v>0</v>
      </c>
      <c r="I734" s="184">
        <f>IFERROR(__xludf.DUMMYFUNCTION("IFERROR(lookup(9999999999,FILTER('Operações-BR'!Q:Q,'Operações-BR'!$C:$C=A734,'Operações-BR'!$A:$A&lt;=C734))/G734,0)"),0.0)</f>
        <v>0</v>
      </c>
      <c r="J734" s="185" t="str">
        <f>IFERROR(VLOOKUP(A734,Ativos!$A$1:$G2000,5,),"")</f>
        <v/>
      </c>
      <c r="K734" s="185" t="str">
        <f>IFERROR(VLOOKUP(A734,Ativos!A:H,8,),"")</f>
        <v/>
      </c>
      <c r="L734" s="186">
        <f t="shared" si="3"/>
        <v>0</v>
      </c>
    </row>
    <row r="735" ht="21.0" customHeight="1">
      <c r="A735" s="187"/>
      <c r="B735" s="187"/>
      <c r="C735" s="188"/>
      <c r="D735" s="135"/>
      <c r="E735" s="189"/>
      <c r="F735" s="182" t="str">
        <f t="shared" si="1"/>
        <v/>
      </c>
      <c r="G735" s="183">
        <f>IFERROR(__xludf.DUMMYFUNCTION("IFERROR(lookup(9999999999,FILTER('Operações-BR'!$M:$M,'Operações-BR'!$C:$C=A735,'Operações-BR'!$A:$A&lt;=C735)),0)"),0.0)</f>
        <v>0</v>
      </c>
      <c r="H735" s="184">
        <f t="shared" si="2"/>
        <v>0</v>
      </c>
      <c r="I735" s="184">
        <f>IFERROR(__xludf.DUMMYFUNCTION("IFERROR(lookup(9999999999,FILTER('Operações-BR'!Q:Q,'Operações-BR'!$C:$C=A735,'Operações-BR'!$A:$A&lt;=C735))/G735,0)"),0.0)</f>
        <v>0</v>
      </c>
      <c r="J735" s="185" t="str">
        <f>IFERROR(VLOOKUP(A735,Ativos!$A$1:$G2000,5,),"")</f>
        <v/>
      </c>
      <c r="K735" s="185" t="str">
        <f>IFERROR(VLOOKUP(A735,Ativos!A:H,8,),"")</f>
        <v/>
      </c>
      <c r="L735" s="186">
        <f t="shared" si="3"/>
        <v>0</v>
      </c>
    </row>
    <row r="736" ht="21.0" customHeight="1">
      <c r="A736" s="187"/>
      <c r="B736" s="187"/>
      <c r="C736" s="188"/>
      <c r="D736" s="135"/>
      <c r="E736" s="189"/>
      <c r="F736" s="182" t="str">
        <f t="shared" si="1"/>
        <v/>
      </c>
      <c r="G736" s="183">
        <f>IFERROR(__xludf.DUMMYFUNCTION("IFERROR(lookup(9999999999,FILTER('Operações-BR'!$M:$M,'Operações-BR'!$C:$C=A736,'Operações-BR'!$A:$A&lt;=C736)),0)"),0.0)</f>
        <v>0</v>
      </c>
      <c r="H736" s="184">
        <f t="shared" si="2"/>
        <v>0</v>
      </c>
      <c r="I736" s="184">
        <f>IFERROR(__xludf.DUMMYFUNCTION("IFERROR(lookup(9999999999,FILTER('Operações-BR'!Q:Q,'Operações-BR'!$C:$C=A736,'Operações-BR'!$A:$A&lt;=C736))/G736,0)"),0.0)</f>
        <v>0</v>
      </c>
      <c r="J736" s="185" t="str">
        <f>IFERROR(VLOOKUP(A736,Ativos!$A$1:$G2000,5,),"")</f>
        <v/>
      </c>
      <c r="K736" s="185" t="str">
        <f>IFERROR(VLOOKUP(A736,Ativos!A:H,8,),"")</f>
        <v/>
      </c>
      <c r="L736" s="186">
        <f t="shared" si="3"/>
        <v>0</v>
      </c>
    </row>
    <row r="737" ht="21.0" customHeight="1">
      <c r="A737" s="187"/>
      <c r="B737" s="187"/>
      <c r="C737" s="188"/>
      <c r="D737" s="135"/>
      <c r="E737" s="189"/>
      <c r="F737" s="182" t="str">
        <f t="shared" si="1"/>
        <v/>
      </c>
      <c r="G737" s="183">
        <f>IFERROR(__xludf.DUMMYFUNCTION("IFERROR(lookup(9999999999,FILTER('Operações-BR'!$M:$M,'Operações-BR'!$C:$C=A737,'Operações-BR'!$A:$A&lt;=C737)),0)"),0.0)</f>
        <v>0</v>
      </c>
      <c r="H737" s="184">
        <f t="shared" si="2"/>
        <v>0</v>
      </c>
      <c r="I737" s="184">
        <f>IFERROR(__xludf.DUMMYFUNCTION("IFERROR(lookup(9999999999,FILTER('Operações-BR'!Q:Q,'Operações-BR'!$C:$C=A737,'Operações-BR'!$A:$A&lt;=C737))/G737,0)"),0.0)</f>
        <v>0</v>
      </c>
      <c r="J737" s="185" t="str">
        <f>IFERROR(VLOOKUP(A737,Ativos!$A$1:$G2000,5,),"")</f>
        <v/>
      </c>
      <c r="K737" s="185" t="str">
        <f>IFERROR(VLOOKUP(A737,Ativos!A:H,8,),"")</f>
        <v/>
      </c>
      <c r="L737" s="186">
        <f t="shared" si="3"/>
        <v>0</v>
      </c>
    </row>
    <row r="738" ht="21.0" customHeight="1">
      <c r="A738" s="187"/>
      <c r="B738" s="187"/>
      <c r="C738" s="188"/>
      <c r="D738" s="135"/>
      <c r="E738" s="189"/>
      <c r="F738" s="182" t="str">
        <f t="shared" si="1"/>
        <v/>
      </c>
      <c r="G738" s="183">
        <f>IFERROR(__xludf.DUMMYFUNCTION("IFERROR(lookup(9999999999,FILTER('Operações-BR'!$M:$M,'Operações-BR'!$C:$C=A738,'Operações-BR'!$A:$A&lt;=C738)),0)"),0.0)</f>
        <v>0</v>
      </c>
      <c r="H738" s="184">
        <f t="shared" si="2"/>
        <v>0</v>
      </c>
      <c r="I738" s="184">
        <f>IFERROR(__xludf.DUMMYFUNCTION("IFERROR(lookup(9999999999,FILTER('Operações-BR'!Q:Q,'Operações-BR'!$C:$C=A738,'Operações-BR'!$A:$A&lt;=C738))/G738,0)"),0.0)</f>
        <v>0</v>
      </c>
      <c r="J738" s="185" t="str">
        <f>IFERROR(VLOOKUP(A738,Ativos!$A$1:$G2000,5,),"")</f>
        <v/>
      </c>
      <c r="K738" s="185" t="str">
        <f>IFERROR(VLOOKUP(A738,Ativos!A:H,8,),"")</f>
        <v/>
      </c>
      <c r="L738" s="186">
        <f t="shared" si="3"/>
        <v>0</v>
      </c>
    </row>
    <row r="739" ht="21.0" customHeight="1">
      <c r="A739" s="187"/>
      <c r="B739" s="187"/>
      <c r="C739" s="188"/>
      <c r="D739" s="135"/>
      <c r="E739" s="189"/>
      <c r="F739" s="182" t="str">
        <f t="shared" si="1"/>
        <v/>
      </c>
      <c r="G739" s="183">
        <f>IFERROR(__xludf.DUMMYFUNCTION("IFERROR(lookup(9999999999,FILTER('Operações-BR'!$M:$M,'Operações-BR'!$C:$C=A739,'Operações-BR'!$A:$A&lt;=C739)),0)"),0.0)</f>
        <v>0</v>
      </c>
      <c r="H739" s="184">
        <f t="shared" si="2"/>
        <v>0</v>
      </c>
      <c r="I739" s="184">
        <f>IFERROR(__xludf.DUMMYFUNCTION("IFERROR(lookup(9999999999,FILTER('Operações-BR'!Q:Q,'Operações-BR'!$C:$C=A739,'Operações-BR'!$A:$A&lt;=C739))/G739,0)"),0.0)</f>
        <v>0</v>
      </c>
      <c r="J739" s="185" t="str">
        <f>IFERROR(VLOOKUP(A739,Ativos!$A$1:$G2000,5,),"")</f>
        <v/>
      </c>
      <c r="K739" s="185" t="str">
        <f>IFERROR(VLOOKUP(A739,Ativos!A:H,8,),"")</f>
        <v/>
      </c>
      <c r="L739" s="186">
        <f t="shared" si="3"/>
        <v>0</v>
      </c>
    </row>
    <row r="740" ht="21.0" customHeight="1">
      <c r="A740" s="187"/>
      <c r="B740" s="187"/>
      <c r="C740" s="188"/>
      <c r="D740" s="135"/>
      <c r="E740" s="189"/>
      <c r="F740" s="182" t="str">
        <f t="shared" si="1"/>
        <v/>
      </c>
      <c r="G740" s="183">
        <f>IFERROR(__xludf.DUMMYFUNCTION("IFERROR(lookup(9999999999,FILTER('Operações-BR'!$M:$M,'Operações-BR'!$C:$C=A740,'Operações-BR'!$A:$A&lt;=C740)),0)"),0.0)</f>
        <v>0</v>
      </c>
      <c r="H740" s="184">
        <f t="shared" si="2"/>
        <v>0</v>
      </c>
      <c r="I740" s="184">
        <f>IFERROR(__xludf.DUMMYFUNCTION("IFERROR(lookup(9999999999,FILTER('Operações-BR'!Q:Q,'Operações-BR'!$C:$C=A740,'Operações-BR'!$A:$A&lt;=C740))/G740,0)"),0.0)</f>
        <v>0</v>
      </c>
      <c r="J740" s="185" t="str">
        <f>IFERROR(VLOOKUP(A740,Ativos!$A$1:$G2000,5,),"")</f>
        <v/>
      </c>
      <c r="K740" s="185" t="str">
        <f>IFERROR(VLOOKUP(A740,Ativos!A:H,8,),"")</f>
        <v/>
      </c>
      <c r="L740" s="186">
        <f t="shared" si="3"/>
        <v>0</v>
      </c>
    </row>
    <row r="741" ht="21.0" customHeight="1">
      <c r="A741" s="187"/>
      <c r="B741" s="187"/>
      <c r="C741" s="188"/>
      <c r="D741" s="135"/>
      <c r="E741" s="189"/>
      <c r="F741" s="182" t="str">
        <f t="shared" si="1"/>
        <v/>
      </c>
      <c r="G741" s="183">
        <f>IFERROR(__xludf.DUMMYFUNCTION("IFERROR(lookup(9999999999,FILTER('Operações-BR'!$M:$M,'Operações-BR'!$C:$C=A741,'Operações-BR'!$A:$A&lt;=C741)),0)"),0.0)</f>
        <v>0</v>
      </c>
      <c r="H741" s="184">
        <f t="shared" si="2"/>
        <v>0</v>
      </c>
      <c r="I741" s="184">
        <f>IFERROR(__xludf.DUMMYFUNCTION("IFERROR(lookup(9999999999,FILTER('Operações-BR'!Q:Q,'Operações-BR'!$C:$C=A741,'Operações-BR'!$A:$A&lt;=C741))/G741,0)"),0.0)</f>
        <v>0</v>
      </c>
      <c r="J741" s="185" t="str">
        <f>IFERROR(VLOOKUP(A741,Ativos!$A$1:$G2000,5,),"")</f>
        <v/>
      </c>
      <c r="K741" s="185" t="str">
        <f>IFERROR(VLOOKUP(A741,Ativos!A:H,8,),"")</f>
        <v/>
      </c>
      <c r="L741" s="186">
        <f t="shared" si="3"/>
        <v>0</v>
      </c>
    </row>
    <row r="742" ht="21.0" customHeight="1">
      <c r="A742" s="187"/>
      <c r="B742" s="187"/>
      <c r="C742" s="188"/>
      <c r="D742" s="135"/>
      <c r="E742" s="189"/>
      <c r="F742" s="182" t="str">
        <f t="shared" si="1"/>
        <v/>
      </c>
      <c r="G742" s="183">
        <f>IFERROR(__xludf.DUMMYFUNCTION("IFERROR(lookup(9999999999,FILTER('Operações-BR'!$M:$M,'Operações-BR'!$C:$C=A742,'Operações-BR'!$A:$A&lt;=C742)),0)"),0.0)</f>
        <v>0</v>
      </c>
      <c r="H742" s="184">
        <f t="shared" si="2"/>
        <v>0</v>
      </c>
      <c r="I742" s="184">
        <f>IFERROR(__xludf.DUMMYFUNCTION("IFERROR(lookup(9999999999,FILTER('Operações-BR'!Q:Q,'Operações-BR'!$C:$C=A742,'Operações-BR'!$A:$A&lt;=C742))/G742,0)"),0.0)</f>
        <v>0</v>
      </c>
      <c r="J742" s="185" t="str">
        <f>IFERROR(VLOOKUP(A742,Ativos!$A$1:$G2000,5,),"")</f>
        <v/>
      </c>
      <c r="K742" s="185" t="str">
        <f>IFERROR(VLOOKUP(A742,Ativos!A:H,8,),"")</f>
        <v/>
      </c>
      <c r="L742" s="186">
        <f t="shared" si="3"/>
        <v>0</v>
      </c>
    </row>
    <row r="743" ht="21.0" customHeight="1">
      <c r="A743" s="187"/>
      <c r="B743" s="187"/>
      <c r="C743" s="188"/>
      <c r="D743" s="135"/>
      <c r="E743" s="189"/>
      <c r="F743" s="182" t="str">
        <f t="shared" si="1"/>
        <v/>
      </c>
      <c r="G743" s="183">
        <f>IFERROR(__xludf.DUMMYFUNCTION("IFERROR(lookup(9999999999,FILTER('Operações-BR'!$M:$M,'Operações-BR'!$C:$C=A743,'Operações-BR'!$A:$A&lt;=C743)),0)"),0.0)</f>
        <v>0</v>
      </c>
      <c r="H743" s="184">
        <f t="shared" si="2"/>
        <v>0</v>
      </c>
      <c r="I743" s="184">
        <f>IFERROR(__xludf.DUMMYFUNCTION("IFERROR(lookup(9999999999,FILTER('Operações-BR'!Q:Q,'Operações-BR'!$C:$C=A743,'Operações-BR'!$A:$A&lt;=C743))/G743,0)"),0.0)</f>
        <v>0</v>
      </c>
      <c r="J743" s="185" t="str">
        <f>IFERROR(VLOOKUP(A743,Ativos!$A$1:$G2000,5,),"")</f>
        <v/>
      </c>
      <c r="K743" s="185" t="str">
        <f>IFERROR(VLOOKUP(A743,Ativos!A:H,8,),"")</f>
        <v/>
      </c>
      <c r="L743" s="186">
        <f t="shared" si="3"/>
        <v>0</v>
      </c>
    </row>
    <row r="744" ht="21.0" customHeight="1">
      <c r="A744" s="187"/>
      <c r="B744" s="187"/>
      <c r="C744" s="188"/>
      <c r="D744" s="135"/>
      <c r="E744" s="189"/>
      <c r="F744" s="182" t="str">
        <f t="shared" si="1"/>
        <v/>
      </c>
      <c r="G744" s="183">
        <f>IFERROR(__xludf.DUMMYFUNCTION("IFERROR(lookup(9999999999,FILTER('Operações-BR'!$M:$M,'Operações-BR'!$C:$C=A744,'Operações-BR'!$A:$A&lt;=C744)),0)"),0.0)</f>
        <v>0</v>
      </c>
      <c r="H744" s="184">
        <f t="shared" si="2"/>
        <v>0</v>
      </c>
      <c r="I744" s="184">
        <f>IFERROR(__xludf.DUMMYFUNCTION("IFERROR(lookup(9999999999,FILTER('Operações-BR'!Q:Q,'Operações-BR'!$C:$C=A744,'Operações-BR'!$A:$A&lt;=C744))/G744,0)"),0.0)</f>
        <v>0</v>
      </c>
      <c r="J744" s="185" t="str">
        <f>IFERROR(VLOOKUP(A744,Ativos!$A$1:$G2000,5,),"")</f>
        <v/>
      </c>
      <c r="K744" s="185" t="str">
        <f>IFERROR(VLOOKUP(A744,Ativos!A:H,8,),"")</f>
        <v/>
      </c>
      <c r="L744" s="186">
        <f t="shared" si="3"/>
        <v>0</v>
      </c>
    </row>
    <row r="745" ht="21.0" customHeight="1">
      <c r="A745" s="187"/>
      <c r="B745" s="187"/>
      <c r="C745" s="188"/>
      <c r="D745" s="135"/>
      <c r="E745" s="189"/>
      <c r="F745" s="182" t="str">
        <f t="shared" si="1"/>
        <v/>
      </c>
      <c r="G745" s="183">
        <f>IFERROR(__xludf.DUMMYFUNCTION("IFERROR(lookup(9999999999,FILTER('Operações-BR'!$M:$M,'Operações-BR'!$C:$C=A745,'Operações-BR'!$A:$A&lt;=C745)),0)"),0.0)</f>
        <v>0</v>
      </c>
      <c r="H745" s="184">
        <f t="shared" si="2"/>
        <v>0</v>
      </c>
      <c r="I745" s="184">
        <f>IFERROR(__xludf.DUMMYFUNCTION("IFERROR(lookup(9999999999,FILTER('Operações-BR'!Q:Q,'Operações-BR'!$C:$C=A745,'Operações-BR'!$A:$A&lt;=C745))/G745,0)"),0.0)</f>
        <v>0</v>
      </c>
      <c r="J745" s="185" t="str">
        <f>IFERROR(VLOOKUP(A745,Ativos!$A$1:$G2000,5,),"")</f>
        <v/>
      </c>
      <c r="K745" s="185" t="str">
        <f>IFERROR(VLOOKUP(A745,Ativos!A:H,8,),"")</f>
        <v/>
      </c>
      <c r="L745" s="186">
        <f t="shared" si="3"/>
        <v>0</v>
      </c>
    </row>
    <row r="746" ht="21.0" customHeight="1">
      <c r="A746" s="187"/>
      <c r="B746" s="187"/>
      <c r="C746" s="188"/>
      <c r="D746" s="135"/>
      <c r="E746" s="189"/>
      <c r="F746" s="182" t="str">
        <f t="shared" si="1"/>
        <v/>
      </c>
      <c r="G746" s="183">
        <f>IFERROR(__xludf.DUMMYFUNCTION("IFERROR(lookup(9999999999,FILTER('Operações-BR'!$M:$M,'Operações-BR'!$C:$C=A746,'Operações-BR'!$A:$A&lt;=C746)),0)"),0.0)</f>
        <v>0</v>
      </c>
      <c r="H746" s="184">
        <f t="shared" si="2"/>
        <v>0</v>
      </c>
      <c r="I746" s="184">
        <f>IFERROR(__xludf.DUMMYFUNCTION("IFERROR(lookup(9999999999,FILTER('Operações-BR'!Q:Q,'Operações-BR'!$C:$C=A746,'Operações-BR'!$A:$A&lt;=C746))/G746,0)"),0.0)</f>
        <v>0</v>
      </c>
      <c r="J746" s="185" t="str">
        <f>IFERROR(VLOOKUP(A746,Ativos!$A$1:$G2000,5,),"")</f>
        <v/>
      </c>
      <c r="K746" s="185" t="str">
        <f>IFERROR(VLOOKUP(A746,Ativos!A:H,8,),"")</f>
        <v/>
      </c>
      <c r="L746" s="186">
        <f t="shared" si="3"/>
        <v>0</v>
      </c>
    </row>
    <row r="747" ht="21.0" customHeight="1">
      <c r="A747" s="187"/>
      <c r="B747" s="187"/>
      <c r="C747" s="188"/>
      <c r="D747" s="135"/>
      <c r="E747" s="189"/>
      <c r="F747" s="182" t="str">
        <f t="shared" si="1"/>
        <v/>
      </c>
      <c r="G747" s="183">
        <f>IFERROR(__xludf.DUMMYFUNCTION("IFERROR(lookup(9999999999,FILTER('Operações-BR'!$M:$M,'Operações-BR'!$C:$C=A747,'Operações-BR'!$A:$A&lt;=C747)),0)"),0.0)</f>
        <v>0</v>
      </c>
      <c r="H747" s="184">
        <f t="shared" si="2"/>
        <v>0</v>
      </c>
      <c r="I747" s="184">
        <f>IFERROR(__xludf.DUMMYFUNCTION("IFERROR(lookup(9999999999,FILTER('Operações-BR'!Q:Q,'Operações-BR'!$C:$C=A747,'Operações-BR'!$A:$A&lt;=C747))/G747,0)"),0.0)</f>
        <v>0</v>
      </c>
      <c r="J747" s="185" t="str">
        <f>IFERROR(VLOOKUP(A747,Ativos!$A$1:$G2000,5,),"")</f>
        <v/>
      </c>
      <c r="K747" s="185" t="str">
        <f>IFERROR(VLOOKUP(A747,Ativos!A:H,8,),"")</f>
        <v/>
      </c>
      <c r="L747" s="186">
        <f t="shared" si="3"/>
        <v>0</v>
      </c>
    </row>
    <row r="748" ht="21.0" customHeight="1">
      <c r="A748" s="187"/>
      <c r="B748" s="187"/>
      <c r="C748" s="188"/>
      <c r="D748" s="135"/>
      <c r="E748" s="189"/>
      <c r="F748" s="182" t="str">
        <f t="shared" si="1"/>
        <v/>
      </c>
      <c r="G748" s="183">
        <f>IFERROR(__xludf.DUMMYFUNCTION("IFERROR(lookup(9999999999,FILTER('Operações-BR'!$M:$M,'Operações-BR'!$C:$C=A748,'Operações-BR'!$A:$A&lt;=C748)),0)"),0.0)</f>
        <v>0</v>
      </c>
      <c r="H748" s="184">
        <f t="shared" si="2"/>
        <v>0</v>
      </c>
      <c r="I748" s="184">
        <f>IFERROR(__xludf.DUMMYFUNCTION("IFERROR(lookup(9999999999,FILTER('Operações-BR'!Q:Q,'Operações-BR'!$C:$C=A748,'Operações-BR'!$A:$A&lt;=C748))/G748,0)"),0.0)</f>
        <v>0</v>
      </c>
      <c r="J748" s="185" t="str">
        <f>IFERROR(VLOOKUP(A748,Ativos!$A$1:$G2000,5,),"")</f>
        <v/>
      </c>
      <c r="K748" s="185" t="str">
        <f>IFERROR(VLOOKUP(A748,Ativos!A:H,8,),"")</f>
        <v/>
      </c>
      <c r="L748" s="186">
        <f t="shared" si="3"/>
        <v>0</v>
      </c>
    </row>
    <row r="749" ht="21.0" customHeight="1">
      <c r="A749" s="187"/>
      <c r="B749" s="187"/>
      <c r="C749" s="188"/>
      <c r="D749" s="135"/>
      <c r="E749" s="189"/>
      <c r="F749" s="182" t="str">
        <f t="shared" si="1"/>
        <v/>
      </c>
      <c r="G749" s="183">
        <f>IFERROR(__xludf.DUMMYFUNCTION("IFERROR(lookup(9999999999,FILTER('Operações-BR'!$M:$M,'Operações-BR'!$C:$C=A749,'Operações-BR'!$A:$A&lt;=C749)),0)"),0.0)</f>
        <v>0</v>
      </c>
      <c r="H749" s="184">
        <f t="shared" si="2"/>
        <v>0</v>
      </c>
      <c r="I749" s="184">
        <f>IFERROR(__xludf.DUMMYFUNCTION("IFERROR(lookup(9999999999,FILTER('Operações-BR'!Q:Q,'Operações-BR'!$C:$C=A749,'Operações-BR'!$A:$A&lt;=C749))/G749,0)"),0.0)</f>
        <v>0</v>
      </c>
      <c r="J749" s="185" t="str">
        <f>IFERROR(VLOOKUP(A749,Ativos!$A$1:$G2000,5,),"")</f>
        <v/>
      </c>
      <c r="K749" s="185" t="str">
        <f>IFERROR(VLOOKUP(A749,Ativos!A:H,8,),"")</f>
        <v/>
      </c>
      <c r="L749" s="186">
        <f t="shared" si="3"/>
        <v>0</v>
      </c>
    </row>
    <row r="750" ht="21.0" customHeight="1">
      <c r="A750" s="187"/>
      <c r="B750" s="187"/>
      <c r="C750" s="188"/>
      <c r="D750" s="135"/>
      <c r="E750" s="189"/>
      <c r="F750" s="182" t="str">
        <f t="shared" si="1"/>
        <v/>
      </c>
      <c r="G750" s="183">
        <f>IFERROR(__xludf.DUMMYFUNCTION("IFERROR(lookup(9999999999,FILTER('Operações-BR'!$M:$M,'Operações-BR'!$C:$C=A750,'Operações-BR'!$A:$A&lt;=C750)),0)"),0.0)</f>
        <v>0</v>
      </c>
      <c r="H750" s="184">
        <f t="shared" si="2"/>
        <v>0</v>
      </c>
      <c r="I750" s="184">
        <f>IFERROR(__xludf.DUMMYFUNCTION("IFERROR(lookup(9999999999,FILTER('Operações-BR'!Q:Q,'Operações-BR'!$C:$C=A750,'Operações-BR'!$A:$A&lt;=C750))/G750,0)"),0.0)</f>
        <v>0</v>
      </c>
      <c r="J750" s="185" t="str">
        <f>IFERROR(VLOOKUP(A750,Ativos!$A$1:$G2000,5,),"")</f>
        <v/>
      </c>
      <c r="K750" s="185" t="str">
        <f>IFERROR(VLOOKUP(A750,Ativos!A:H,8,),"")</f>
        <v/>
      </c>
      <c r="L750" s="186">
        <f t="shared" si="3"/>
        <v>0</v>
      </c>
    </row>
    <row r="751" ht="21.0" customHeight="1">
      <c r="A751" s="187"/>
      <c r="B751" s="187"/>
      <c r="C751" s="188"/>
      <c r="D751" s="135"/>
      <c r="E751" s="189"/>
      <c r="F751" s="182" t="str">
        <f t="shared" si="1"/>
        <v/>
      </c>
      <c r="G751" s="183">
        <f>IFERROR(__xludf.DUMMYFUNCTION("IFERROR(lookup(9999999999,FILTER('Operações-BR'!$M:$M,'Operações-BR'!$C:$C=A751,'Operações-BR'!$A:$A&lt;=C751)),0)"),0.0)</f>
        <v>0</v>
      </c>
      <c r="H751" s="184">
        <f t="shared" si="2"/>
        <v>0</v>
      </c>
      <c r="I751" s="184">
        <f>IFERROR(__xludf.DUMMYFUNCTION("IFERROR(lookup(9999999999,FILTER('Operações-BR'!Q:Q,'Operações-BR'!$C:$C=A751,'Operações-BR'!$A:$A&lt;=C751))/G751,0)"),0.0)</f>
        <v>0</v>
      </c>
      <c r="J751" s="185" t="str">
        <f>IFERROR(VLOOKUP(A751,Ativos!$A$1:$G2000,5,),"")</f>
        <v/>
      </c>
      <c r="K751" s="185" t="str">
        <f>IFERROR(VLOOKUP(A751,Ativos!A:H,8,),"")</f>
        <v/>
      </c>
      <c r="L751" s="186">
        <f t="shared" si="3"/>
        <v>0</v>
      </c>
    </row>
    <row r="752" ht="21.0" customHeight="1">
      <c r="A752" s="187"/>
      <c r="B752" s="187"/>
      <c r="C752" s="188"/>
      <c r="D752" s="135"/>
      <c r="E752" s="189"/>
      <c r="F752" s="182" t="str">
        <f t="shared" si="1"/>
        <v/>
      </c>
      <c r="G752" s="183">
        <f>IFERROR(__xludf.DUMMYFUNCTION("IFERROR(lookup(9999999999,FILTER('Operações-BR'!$M:$M,'Operações-BR'!$C:$C=A752,'Operações-BR'!$A:$A&lt;=C752)),0)"),0.0)</f>
        <v>0</v>
      </c>
      <c r="H752" s="184">
        <f t="shared" si="2"/>
        <v>0</v>
      </c>
      <c r="I752" s="184">
        <f>IFERROR(__xludf.DUMMYFUNCTION("IFERROR(lookup(9999999999,FILTER('Operações-BR'!Q:Q,'Operações-BR'!$C:$C=A752,'Operações-BR'!$A:$A&lt;=C752))/G752,0)"),0.0)</f>
        <v>0</v>
      </c>
      <c r="J752" s="185" t="str">
        <f>IFERROR(VLOOKUP(A752,Ativos!$A$1:$G2000,5,),"")</f>
        <v/>
      </c>
      <c r="K752" s="185" t="str">
        <f>IFERROR(VLOOKUP(A752,Ativos!A:H,8,),"")</f>
        <v/>
      </c>
      <c r="L752" s="186">
        <f t="shared" si="3"/>
        <v>0</v>
      </c>
    </row>
    <row r="753" ht="21.0" customHeight="1">
      <c r="A753" s="187"/>
      <c r="B753" s="187"/>
      <c r="C753" s="188"/>
      <c r="D753" s="135"/>
      <c r="E753" s="189"/>
      <c r="F753" s="182" t="str">
        <f t="shared" si="1"/>
        <v/>
      </c>
      <c r="G753" s="183">
        <f>IFERROR(__xludf.DUMMYFUNCTION("IFERROR(lookup(9999999999,FILTER('Operações-BR'!$M:$M,'Operações-BR'!$C:$C=A753,'Operações-BR'!$A:$A&lt;=C753)),0)"),0.0)</f>
        <v>0</v>
      </c>
      <c r="H753" s="184">
        <f t="shared" si="2"/>
        <v>0</v>
      </c>
      <c r="I753" s="184">
        <f>IFERROR(__xludf.DUMMYFUNCTION("IFERROR(lookup(9999999999,FILTER('Operações-BR'!Q:Q,'Operações-BR'!$C:$C=A753,'Operações-BR'!$A:$A&lt;=C753))/G753,0)"),0.0)</f>
        <v>0</v>
      </c>
      <c r="J753" s="185" t="str">
        <f>IFERROR(VLOOKUP(A753,Ativos!$A$1:$G2000,5,),"")</f>
        <v/>
      </c>
      <c r="K753" s="185" t="str">
        <f>IFERROR(VLOOKUP(A753,Ativos!A:H,8,),"")</f>
        <v/>
      </c>
      <c r="L753" s="186">
        <f t="shared" si="3"/>
        <v>0</v>
      </c>
    </row>
    <row r="754" ht="21.0" customHeight="1">
      <c r="A754" s="187"/>
      <c r="B754" s="187"/>
      <c r="C754" s="188"/>
      <c r="D754" s="135"/>
      <c r="E754" s="189"/>
      <c r="F754" s="182" t="str">
        <f t="shared" si="1"/>
        <v/>
      </c>
      <c r="G754" s="183">
        <f>IFERROR(__xludf.DUMMYFUNCTION("IFERROR(lookup(9999999999,FILTER('Operações-BR'!$M:$M,'Operações-BR'!$C:$C=A754,'Operações-BR'!$A:$A&lt;=C754)),0)"),0.0)</f>
        <v>0</v>
      </c>
      <c r="H754" s="184">
        <f t="shared" si="2"/>
        <v>0</v>
      </c>
      <c r="I754" s="184">
        <f>IFERROR(__xludf.DUMMYFUNCTION("IFERROR(lookup(9999999999,FILTER('Operações-BR'!Q:Q,'Operações-BR'!$C:$C=A754,'Operações-BR'!$A:$A&lt;=C754))/G754,0)"),0.0)</f>
        <v>0</v>
      </c>
      <c r="J754" s="185" t="str">
        <f>IFERROR(VLOOKUP(A754,Ativos!$A$1:$G2000,5,),"")</f>
        <v/>
      </c>
      <c r="K754" s="185" t="str">
        <f>IFERROR(VLOOKUP(A754,Ativos!A:H,8,),"")</f>
        <v/>
      </c>
      <c r="L754" s="186">
        <f t="shared" si="3"/>
        <v>0</v>
      </c>
    </row>
    <row r="755" ht="21.0" customHeight="1">
      <c r="A755" s="187"/>
      <c r="B755" s="187"/>
      <c r="C755" s="188"/>
      <c r="D755" s="135"/>
      <c r="E755" s="189"/>
      <c r="F755" s="182" t="str">
        <f t="shared" si="1"/>
        <v/>
      </c>
      <c r="G755" s="183">
        <f>IFERROR(__xludf.DUMMYFUNCTION("IFERROR(lookup(9999999999,FILTER('Operações-BR'!$M:$M,'Operações-BR'!$C:$C=A755,'Operações-BR'!$A:$A&lt;=C755)),0)"),0.0)</f>
        <v>0</v>
      </c>
      <c r="H755" s="184">
        <f t="shared" si="2"/>
        <v>0</v>
      </c>
      <c r="I755" s="184">
        <f>IFERROR(__xludf.DUMMYFUNCTION("IFERROR(lookup(9999999999,FILTER('Operações-BR'!Q:Q,'Operações-BR'!$C:$C=A755,'Operações-BR'!$A:$A&lt;=C755))/G755,0)"),0.0)</f>
        <v>0</v>
      </c>
      <c r="J755" s="185" t="str">
        <f>IFERROR(VLOOKUP(A755,Ativos!$A$1:$G2000,5,),"")</f>
        <v/>
      </c>
      <c r="K755" s="185" t="str">
        <f>IFERROR(VLOOKUP(A755,Ativos!A:H,8,),"")</f>
        <v/>
      </c>
      <c r="L755" s="186">
        <f t="shared" si="3"/>
        <v>0</v>
      </c>
    </row>
    <row r="756" ht="21.0" customHeight="1">
      <c r="A756" s="187"/>
      <c r="B756" s="187"/>
      <c r="C756" s="188"/>
      <c r="D756" s="135"/>
      <c r="E756" s="189"/>
      <c r="F756" s="182" t="str">
        <f t="shared" si="1"/>
        <v/>
      </c>
      <c r="G756" s="183">
        <f>IFERROR(__xludf.DUMMYFUNCTION("IFERROR(lookup(9999999999,FILTER('Operações-BR'!$M:$M,'Operações-BR'!$C:$C=A756,'Operações-BR'!$A:$A&lt;=C756)),0)"),0.0)</f>
        <v>0</v>
      </c>
      <c r="H756" s="184">
        <f t="shared" si="2"/>
        <v>0</v>
      </c>
      <c r="I756" s="184">
        <f>IFERROR(__xludf.DUMMYFUNCTION("IFERROR(lookup(9999999999,FILTER('Operações-BR'!Q:Q,'Operações-BR'!$C:$C=A756,'Operações-BR'!$A:$A&lt;=C756))/G756,0)"),0.0)</f>
        <v>0</v>
      </c>
      <c r="J756" s="185" t="str">
        <f>IFERROR(VLOOKUP(A756,Ativos!$A$1:$G2000,5,),"")</f>
        <v/>
      </c>
      <c r="K756" s="185" t="str">
        <f>IFERROR(VLOOKUP(A756,Ativos!A:H,8,),"")</f>
        <v/>
      </c>
      <c r="L756" s="186">
        <f t="shared" si="3"/>
        <v>0</v>
      </c>
    </row>
    <row r="757" ht="21.0" customHeight="1">
      <c r="A757" s="187"/>
      <c r="B757" s="187"/>
      <c r="C757" s="188"/>
      <c r="D757" s="135"/>
      <c r="E757" s="189"/>
      <c r="F757" s="182" t="str">
        <f t="shared" si="1"/>
        <v/>
      </c>
      <c r="G757" s="183">
        <f>IFERROR(__xludf.DUMMYFUNCTION("IFERROR(lookup(9999999999,FILTER('Operações-BR'!$M:$M,'Operações-BR'!$C:$C=A757,'Operações-BR'!$A:$A&lt;=C757)),0)"),0.0)</f>
        <v>0</v>
      </c>
      <c r="H757" s="184">
        <f t="shared" si="2"/>
        <v>0</v>
      </c>
      <c r="I757" s="184">
        <f>IFERROR(__xludf.DUMMYFUNCTION("IFERROR(lookup(9999999999,FILTER('Operações-BR'!Q:Q,'Operações-BR'!$C:$C=A757,'Operações-BR'!$A:$A&lt;=C757))/G757,0)"),0.0)</f>
        <v>0</v>
      </c>
      <c r="J757" s="185" t="str">
        <f>IFERROR(VLOOKUP(A757,Ativos!$A$1:$G2000,5,),"")</f>
        <v/>
      </c>
      <c r="K757" s="185" t="str">
        <f>IFERROR(VLOOKUP(A757,Ativos!A:H,8,),"")</f>
        <v/>
      </c>
      <c r="L757" s="186">
        <f t="shared" si="3"/>
        <v>0</v>
      </c>
    </row>
    <row r="758" ht="21.0" customHeight="1">
      <c r="A758" s="187"/>
      <c r="B758" s="187"/>
      <c r="C758" s="188"/>
      <c r="D758" s="135"/>
      <c r="E758" s="189"/>
      <c r="F758" s="182" t="str">
        <f t="shared" si="1"/>
        <v/>
      </c>
      <c r="G758" s="183">
        <f>IFERROR(__xludf.DUMMYFUNCTION("IFERROR(lookup(9999999999,FILTER('Operações-BR'!$M:$M,'Operações-BR'!$C:$C=A758,'Operações-BR'!$A:$A&lt;=C758)),0)"),0.0)</f>
        <v>0</v>
      </c>
      <c r="H758" s="184">
        <f t="shared" si="2"/>
        <v>0</v>
      </c>
      <c r="I758" s="184">
        <f>IFERROR(__xludf.DUMMYFUNCTION("IFERROR(lookup(9999999999,FILTER('Operações-BR'!Q:Q,'Operações-BR'!$C:$C=A758,'Operações-BR'!$A:$A&lt;=C758))/G758,0)"),0.0)</f>
        <v>0</v>
      </c>
      <c r="J758" s="185" t="str">
        <f>IFERROR(VLOOKUP(A758,Ativos!$A$1:$G2000,5,),"")</f>
        <v/>
      </c>
      <c r="K758" s="185" t="str">
        <f>IFERROR(VLOOKUP(A758,Ativos!A:H,8,),"")</f>
        <v/>
      </c>
      <c r="L758" s="186">
        <f t="shared" si="3"/>
        <v>0</v>
      </c>
    </row>
    <row r="759" ht="21.0" customHeight="1">
      <c r="A759" s="187"/>
      <c r="B759" s="187"/>
      <c r="C759" s="188"/>
      <c r="D759" s="135"/>
      <c r="E759" s="189"/>
      <c r="F759" s="182" t="str">
        <f t="shared" si="1"/>
        <v/>
      </c>
      <c r="G759" s="183">
        <f>IFERROR(__xludf.DUMMYFUNCTION("IFERROR(lookup(9999999999,FILTER('Operações-BR'!$M:$M,'Operações-BR'!$C:$C=A759,'Operações-BR'!$A:$A&lt;=C759)),0)"),0.0)</f>
        <v>0</v>
      </c>
      <c r="H759" s="184">
        <f t="shared" si="2"/>
        <v>0</v>
      </c>
      <c r="I759" s="184">
        <f>IFERROR(__xludf.DUMMYFUNCTION("IFERROR(lookup(9999999999,FILTER('Operações-BR'!Q:Q,'Operações-BR'!$C:$C=A759,'Operações-BR'!$A:$A&lt;=C759))/G759,0)"),0.0)</f>
        <v>0</v>
      </c>
      <c r="J759" s="185" t="str">
        <f>IFERROR(VLOOKUP(A759,Ativos!$A$1:$G2000,5,),"")</f>
        <v/>
      </c>
      <c r="K759" s="185" t="str">
        <f>IFERROR(VLOOKUP(A759,Ativos!A:H,8,),"")</f>
        <v/>
      </c>
      <c r="L759" s="186">
        <f t="shared" si="3"/>
        <v>0</v>
      </c>
    </row>
    <row r="760" ht="21.0" customHeight="1">
      <c r="A760" s="187"/>
      <c r="B760" s="187"/>
      <c r="C760" s="188"/>
      <c r="D760" s="135"/>
      <c r="E760" s="189"/>
      <c r="F760" s="182" t="str">
        <f t="shared" si="1"/>
        <v/>
      </c>
      <c r="G760" s="183">
        <f>IFERROR(__xludf.DUMMYFUNCTION("IFERROR(lookup(9999999999,FILTER('Operações-BR'!$M:$M,'Operações-BR'!$C:$C=A760,'Operações-BR'!$A:$A&lt;=C760)),0)"),0.0)</f>
        <v>0</v>
      </c>
      <c r="H760" s="184">
        <f t="shared" si="2"/>
        <v>0</v>
      </c>
      <c r="I760" s="184">
        <f>IFERROR(__xludf.DUMMYFUNCTION("IFERROR(lookup(9999999999,FILTER('Operações-BR'!Q:Q,'Operações-BR'!$C:$C=A760,'Operações-BR'!$A:$A&lt;=C760))/G760,0)"),0.0)</f>
        <v>0</v>
      </c>
      <c r="J760" s="185" t="str">
        <f>IFERROR(VLOOKUP(A760,Ativos!$A$1:$G2000,5,),"")</f>
        <v/>
      </c>
      <c r="K760" s="185" t="str">
        <f>IFERROR(VLOOKUP(A760,Ativos!A:H,8,),"")</f>
        <v/>
      </c>
      <c r="L760" s="186">
        <f t="shared" si="3"/>
        <v>0</v>
      </c>
    </row>
    <row r="761" ht="21.0" customHeight="1">
      <c r="A761" s="187"/>
      <c r="B761" s="187"/>
      <c r="C761" s="188"/>
      <c r="D761" s="135"/>
      <c r="E761" s="189"/>
      <c r="F761" s="182" t="str">
        <f t="shared" si="1"/>
        <v/>
      </c>
      <c r="G761" s="183">
        <f>IFERROR(__xludf.DUMMYFUNCTION("IFERROR(lookup(9999999999,FILTER('Operações-BR'!$M:$M,'Operações-BR'!$C:$C=A761,'Operações-BR'!$A:$A&lt;=C761)),0)"),0.0)</f>
        <v>0</v>
      </c>
      <c r="H761" s="184">
        <f t="shared" si="2"/>
        <v>0</v>
      </c>
      <c r="I761" s="184">
        <f>IFERROR(__xludf.DUMMYFUNCTION("IFERROR(lookup(9999999999,FILTER('Operações-BR'!Q:Q,'Operações-BR'!$C:$C=A761,'Operações-BR'!$A:$A&lt;=C761))/G761,0)"),0.0)</f>
        <v>0</v>
      </c>
      <c r="J761" s="185" t="str">
        <f>IFERROR(VLOOKUP(A761,Ativos!$A$1:$G2000,5,),"")</f>
        <v/>
      </c>
      <c r="K761" s="185" t="str">
        <f>IFERROR(VLOOKUP(A761,Ativos!A:H,8,),"")</f>
        <v/>
      </c>
      <c r="L761" s="186">
        <f t="shared" si="3"/>
        <v>0</v>
      </c>
    </row>
    <row r="762" ht="21.0" customHeight="1">
      <c r="A762" s="187"/>
      <c r="B762" s="187"/>
      <c r="C762" s="188"/>
      <c r="D762" s="135"/>
      <c r="E762" s="189"/>
      <c r="F762" s="182" t="str">
        <f t="shared" si="1"/>
        <v/>
      </c>
      <c r="G762" s="183">
        <f>IFERROR(__xludf.DUMMYFUNCTION("IFERROR(lookup(9999999999,FILTER('Operações-BR'!$M:$M,'Operações-BR'!$C:$C=A762,'Operações-BR'!$A:$A&lt;=C762)),0)"),0.0)</f>
        <v>0</v>
      </c>
      <c r="H762" s="184">
        <f t="shared" si="2"/>
        <v>0</v>
      </c>
      <c r="I762" s="184">
        <f>IFERROR(__xludf.DUMMYFUNCTION("IFERROR(lookup(9999999999,FILTER('Operações-BR'!Q:Q,'Operações-BR'!$C:$C=A762,'Operações-BR'!$A:$A&lt;=C762))/G762,0)"),0.0)</f>
        <v>0</v>
      </c>
      <c r="J762" s="185" t="str">
        <f>IFERROR(VLOOKUP(A762,Ativos!$A$1:$G2000,5,),"")</f>
        <v/>
      </c>
      <c r="K762" s="185" t="str">
        <f>IFERROR(VLOOKUP(A762,Ativos!A:H,8,),"")</f>
        <v/>
      </c>
      <c r="L762" s="186">
        <f t="shared" si="3"/>
        <v>0</v>
      </c>
    </row>
    <row r="763" ht="21.0" customHeight="1">
      <c r="A763" s="187"/>
      <c r="B763" s="187"/>
      <c r="C763" s="188"/>
      <c r="D763" s="135"/>
      <c r="E763" s="189"/>
      <c r="F763" s="182" t="str">
        <f t="shared" si="1"/>
        <v/>
      </c>
      <c r="G763" s="183">
        <f>IFERROR(__xludf.DUMMYFUNCTION("IFERROR(lookup(9999999999,FILTER('Operações-BR'!$M:$M,'Operações-BR'!$C:$C=A763,'Operações-BR'!$A:$A&lt;=C763)),0)"),0.0)</f>
        <v>0</v>
      </c>
      <c r="H763" s="184">
        <f t="shared" si="2"/>
        <v>0</v>
      </c>
      <c r="I763" s="184">
        <f>IFERROR(__xludf.DUMMYFUNCTION("IFERROR(lookup(9999999999,FILTER('Operações-BR'!Q:Q,'Operações-BR'!$C:$C=A763,'Operações-BR'!$A:$A&lt;=C763))/G763,0)"),0.0)</f>
        <v>0</v>
      </c>
      <c r="J763" s="185" t="str">
        <f>IFERROR(VLOOKUP(A763,Ativos!$A$1:$G2000,5,),"")</f>
        <v/>
      </c>
      <c r="K763" s="185" t="str">
        <f>IFERROR(VLOOKUP(A763,Ativos!A:H,8,),"")</f>
        <v/>
      </c>
      <c r="L763" s="186">
        <f t="shared" si="3"/>
        <v>0</v>
      </c>
    </row>
    <row r="764" ht="21.0" customHeight="1">
      <c r="A764" s="187"/>
      <c r="B764" s="187"/>
      <c r="C764" s="188"/>
      <c r="D764" s="135"/>
      <c r="E764" s="189"/>
      <c r="F764" s="182" t="str">
        <f t="shared" si="1"/>
        <v/>
      </c>
      <c r="G764" s="183">
        <f>IFERROR(__xludf.DUMMYFUNCTION("IFERROR(lookup(9999999999,FILTER('Operações-BR'!$M:$M,'Operações-BR'!$C:$C=A764,'Operações-BR'!$A:$A&lt;=C764)),0)"),0.0)</f>
        <v>0</v>
      </c>
      <c r="H764" s="184">
        <f t="shared" si="2"/>
        <v>0</v>
      </c>
      <c r="I764" s="184">
        <f>IFERROR(__xludf.DUMMYFUNCTION("IFERROR(lookup(9999999999,FILTER('Operações-BR'!Q:Q,'Operações-BR'!$C:$C=A764,'Operações-BR'!$A:$A&lt;=C764))/G764,0)"),0.0)</f>
        <v>0</v>
      </c>
      <c r="J764" s="185" t="str">
        <f>IFERROR(VLOOKUP(A764,Ativos!$A$1:$G2000,5,),"")</f>
        <v/>
      </c>
      <c r="K764" s="185" t="str">
        <f>IFERROR(VLOOKUP(A764,Ativos!A:H,8,),"")</f>
        <v/>
      </c>
      <c r="L764" s="186">
        <f t="shared" si="3"/>
        <v>0</v>
      </c>
    </row>
    <row r="765" ht="21.0" customHeight="1">
      <c r="A765" s="187"/>
      <c r="B765" s="187"/>
      <c r="C765" s="188"/>
      <c r="D765" s="135"/>
      <c r="E765" s="189"/>
      <c r="F765" s="182" t="str">
        <f t="shared" si="1"/>
        <v/>
      </c>
      <c r="G765" s="183">
        <f>IFERROR(__xludf.DUMMYFUNCTION("IFERROR(lookup(9999999999,FILTER('Operações-BR'!$M:$M,'Operações-BR'!$C:$C=A765,'Operações-BR'!$A:$A&lt;=C765)),0)"),0.0)</f>
        <v>0</v>
      </c>
      <c r="H765" s="184">
        <f t="shared" si="2"/>
        <v>0</v>
      </c>
      <c r="I765" s="184">
        <f>IFERROR(__xludf.DUMMYFUNCTION("IFERROR(lookup(9999999999,FILTER('Operações-BR'!Q:Q,'Operações-BR'!$C:$C=A765,'Operações-BR'!$A:$A&lt;=C765))/G765,0)"),0.0)</f>
        <v>0</v>
      </c>
      <c r="J765" s="185" t="str">
        <f>IFERROR(VLOOKUP(A765,Ativos!$A$1:$G2000,5,),"")</f>
        <v/>
      </c>
      <c r="K765" s="185" t="str">
        <f>IFERROR(VLOOKUP(A765,Ativos!A:H,8,),"")</f>
        <v/>
      </c>
      <c r="L765" s="186">
        <f t="shared" si="3"/>
        <v>0</v>
      </c>
    </row>
    <row r="766" ht="21.0" customHeight="1">
      <c r="A766" s="187"/>
      <c r="B766" s="187"/>
      <c r="C766" s="188"/>
      <c r="D766" s="135"/>
      <c r="E766" s="189"/>
      <c r="F766" s="182" t="str">
        <f t="shared" si="1"/>
        <v/>
      </c>
      <c r="G766" s="183">
        <f>IFERROR(__xludf.DUMMYFUNCTION("IFERROR(lookup(9999999999,FILTER('Operações-BR'!$M:$M,'Operações-BR'!$C:$C=A766,'Operações-BR'!$A:$A&lt;=C766)),0)"),0.0)</f>
        <v>0</v>
      </c>
      <c r="H766" s="184">
        <f t="shared" si="2"/>
        <v>0</v>
      </c>
      <c r="I766" s="184">
        <f>IFERROR(__xludf.DUMMYFUNCTION("IFERROR(lookup(9999999999,FILTER('Operações-BR'!Q:Q,'Operações-BR'!$C:$C=A766,'Operações-BR'!$A:$A&lt;=C766))/G766,0)"),0.0)</f>
        <v>0</v>
      </c>
      <c r="J766" s="185" t="str">
        <f>IFERROR(VLOOKUP(A766,Ativos!$A$1:$G2000,5,),"")</f>
        <v/>
      </c>
      <c r="K766" s="185" t="str">
        <f>IFERROR(VLOOKUP(A766,Ativos!A:H,8,),"")</f>
        <v/>
      </c>
      <c r="L766" s="186">
        <f t="shared" si="3"/>
        <v>0</v>
      </c>
    </row>
    <row r="767" ht="21.0" customHeight="1">
      <c r="A767" s="187"/>
      <c r="B767" s="187"/>
      <c r="C767" s="188"/>
      <c r="D767" s="135"/>
      <c r="E767" s="189"/>
      <c r="F767" s="182" t="str">
        <f t="shared" si="1"/>
        <v/>
      </c>
      <c r="G767" s="183">
        <f>IFERROR(__xludf.DUMMYFUNCTION("IFERROR(lookup(9999999999,FILTER('Operações-BR'!$M:$M,'Operações-BR'!$C:$C=A767,'Operações-BR'!$A:$A&lt;=C767)),0)"),0.0)</f>
        <v>0</v>
      </c>
      <c r="H767" s="184">
        <f t="shared" si="2"/>
        <v>0</v>
      </c>
      <c r="I767" s="184">
        <f>IFERROR(__xludf.DUMMYFUNCTION("IFERROR(lookup(9999999999,FILTER('Operações-BR'!Q:Q,'Operações-BR'!$C:$C=A767,'Operações-BR'!$A:$A&lt;=C767))/G767,0)"),0.0)</f>
        <v>0</v>
      </c>
      <c r="J767" s="185" t="str">
        <f>IFERROR(VLOOKUP(A767,Ativos!$A$1:$G2000,5,),"")</f>
        <v/>
      </c>
      <c r="K767" s="185" t="str">
        <f>IFERROR(VLOOKUP(A767,Ativos!A:H,8,),"")</f>
        <v/>
      </c>
      <c r="L767" s="186">
        <f t="shared" si="3"/>
        <v>0</v>
      </c>
    </row>
    <row r="768" ht="21.0" customHeight="1">
      <c r="A768" s="187"/>
      <c r="B768" s="187"/>
      <c r="C768" s="188"/>
      <c r="D768" s="135"/>
      <c r="E768" s="189"/>
      <c r="F768" s="182" t="str">
        <f t="shared" si="1"/>
        <v/>
      </c>
      <c r="G768" s="183">
        <f>IFERROR(__xludf.DUMMYFUNCTION("IFERROR(lookup(9999999999,FILTER('Operações-BR'!$M:$M,'Operações-BR'!$C:$C=A768,'Operações-BR'!$A:$A&lt;=C768)),0)"),0.0)</f>
        <v>0</v>
      </c>
      <c r="H768" s="184">
        <f t="shared" si="2"/>
        <v>0</v>
      </c>
      <c r="I768" s="184">
        <f>IFERROR(__xludf.DUMMYFUNCTION("IFERROR(lookup(9999999999,FILTER('Operações-BR'!Q:Q,'Operações-BR'!$C:$C=A768,'Operações-BR'!$A:$A&lt;=C768))/G768,0)"),0.0)</f>
        <v>0</v>
      </c>
      <c r="J768" s="185" t="str">
        <f>IFERROR(VLOOKUP(A768,Ativos!$A$1:$G2000,5,),"")</f>
        <v/>
      </c>
      <c r="K768" s="185" t="str">
        <f>IFERROR(VLOOKUP(A768,Ativos!A:H,8,),"")</f>
        <v/>
      </c>
      <c r="L768" s="186">
        <f t="shared" si="3"/>
        <v>0</v>
      </c>
    </row>
    <row r="769" ht="21.0" customHeight="1">
      <c r="A769" s="187"/>
      <c r="B769" s="187"/>
      <c r="C769" s="188"/>
      <c r="D769" s="135"/>
      <c r="E769" s="189"/>
      <c r="F769" s="182" t="str">
        <f t="shared" si="1"/>
        <v/>
      </c>
      <c r="G769" s="183">
        <f>IFERROR(__xludf.DUMMYFUNCTION("IFERROR(lookup(9999999999,FILTER('Operações-BR'!$M:$M,'Operações-BR'!$C:$C=A769,'Operações-BR'!$A:$A&lt;=C769)),0)"),0.0)</f>
        <v>0</v>
      </c>
      <c r="H769" s="184">
        <f t="shared" si="2"/>
        <v>0</v>
      </c>
      <c r="I769" s="184">
        <f>IFERROR(__xludf.DUMMYFUNCTION("IFERROR(lookup(9999999999,FILTER('Operações-BR'!Q:Q,'Operações-BR'!$C:$C=A769,'Operações-BR'!$A:$A&lt;=C769))/G769,0)"),0.0)</f>
        <v>0</v>
      </c>
      <c r="J769" s="185" t="str">
        <f>IFERROR(VLOOKUP(A769,Ativos!$A$1:$G2000,5,),"")</f>
        <v/>
      </c>
      <c r="K769" s="185" t="str">
        <f>IFERROR(VLOOKUP(A769,Ativos!A:H,8,),"")</f>
        <v/>
      </c>
      <c r="L769" s="186">
        <f t="shared" si="3"/>
        <v>0</v>
      </c>
    </row>
    <row r="770" ht="21.0" customHeight="1">
      <c r="A770" s="187"/>
      <c r="B770" s="187"/>
      <c r="C770" s="188"/>
      <c r="D770" s="135"/>
      <c r="E770" s="189"/>
      <c r="F770" s="182" t="str">
        <f t="shared" si="1"/>
        <v/>
      </c>
      <c r="G770" s="183">
        <f>IFERROR(__xludf.DUMMYFUNCTION("IFERROR(lookup(9999999999,FILTER('Operações-BR'!$M:$M,'Operações-BR'!$C:$C=A770,'Operações-BR'!$A:$A&lt;=C770)),0)"),0.0)</f>
        <v>0</v>
      </c>
      <c r="H770" s="184">
        <f t="shared" si="2"/>
        <v>0</v>
      </c>
      <c r="I770" s="184">
        <f>IFERROR(__xludf.DUMMYFUNCTION("IFERROR(lookup(9999999999,FILTER('Operações-BR'!Q:Q,'Operações-BR'!$C:$C=A770,'Operações-BR'!$A:$A&lt;=C770))/G770,0)"),0.0)</f>
        <v>0</v>
      </c>
      <c r="J770" s="185" t="str">
        <f>IFERROR(VLOOKUP(A770,Ativos!$A$1:$G2000,5,),"")</f>
        <v/>
      </c>
      <c r="K770" s="185" t="str">
        <f>IFERROR(VLOOKUP(A770,Ativos!A:H,8,),"")</f>
        <v/>
      </c>
      <c r="L770" s="186">
        <f t="shared" si="3"/>
        <v>0</v>
      </c>
    </row>
    <row r="771" ht="21.0" customHeight="1">
      <c r="A771" s="187"/>
      <c r="B771" s="187"/>
      <c r="C771" s="188"/>
      <c r="D771" s="135"/>
      <c r="E771" s="189"/>
      <c r="F771" s="182" t="str">
        <f t="shared" si="1"/>
        <v/>
      </c>
      <c r="G771" s="183">
        <f>IFERROR(__xludf.DUMMYFUNCTION("IFERROR(lookup(9999999999,FILTER('Operações-BR'!$M:$M,'Operações-BR'!$C:$C=A771,'Operações-BR'!$A:$A&lt;=C771)),0)"),0.0)</f>
        <v>0</v>
      </c>
      <c r="H771" s="184">
        <f t="shared" si="2"/>
        <v>0</v>
      </c>
      <c r="I771" s="184">
        <f>IFERROR(__xludf.DUMMYFUNCTION("IFERROR(lookup(9999999999,FILTER('Operações-BR'!Q:Q,'Operações-BR'!$C:$C=A771,'Operações-BR'!$A:$A&lt;=C771))/G771,0)"),0.0)</f>
        <v>0</v>
      </c>
      <c r="J771" s="185" t="str">
        <f>IFERROR(VLOOKUP(A771,Ativos!$A$1:$G2000,5,),"")</f>
        <v/>
      </c>
      <c r="K771" s="185" t="str">
        <f>IFERROR(VLOOKUP(A771,Ativos!A:H,8,),"")</f>
        <v/>
      </c>
      <c r="L771" s="186">
        <f t="shared" si="3"/>
        <v>0</v>
      </c>
    </row>
    <row r="772" ht="21.0" customHeight="1">
      <c r="A772" s="187"/>
      <c r="B772" s="187"/>
      <c r="C772" s="188"/>
      <c r="D772" s="135"/>
      <c r="E772" s="189"/>
      <c r="F772" s="182" t="str">
        <f t="shared" si="1"/>
        <v/>
      </c>
      <c r="G772" s="183">
        <f>IFERROR(__xludf.DUMMYFUNCTION("IFERROR(lookup(9999999999,FILTER('Operações-BR'!$M:$M,'Operações-BR'!$C:$C=A772,'Operações-BR'!$A:$A&lt;=C772)),0)"),0.0)</f>
        <v>0</v>
      </c>
      <c r="H772" s="184">
        <f t="shared" si="2"/>
        <v>0</v>
      </c>
      <c r="I772" s="184">
        <f>IFERROR(__xludf.DUMMYFUNCTION("IFERROR(lookup(9999999999,FILTER('Operações-BR'!Q:Q,'Operações-BR'!$C:$C=A772,'Operações-BR'!$A:$A&lt;=C772))/G772,0)"),0.0)</f>
        <v>0</v>
      </c>
      <c r="J772" s="185" t="str">
        <f>IFERROR(VLOOKUP(A772,Ativos!$A$1:$G2000,5,),"")</f>
        <v/>
      </c>
      <c r="K772" s="185" t="str">
        <f>IFERROR(VLOOKUP(A772,Ativos!A:H,8,),"")</f>
        <v/>
      </c>
      <c r="L772" s="186">
        <f t="shared" si="3"/>
        <v>0</v>
      </c>
    </row>
    <row r="773" ht="21.0" customHeight="1">
      <c r="A773" s="187"/>
      <c r="B773" s="187"/>
      <c r="C773" s="188"/>
      <c r="D773" s="135"/>
      <c r="E773" s="189"/>
      <c r="F773" s="182" t="str">
        <f t="shared" si="1"/>
        <v/>
      </c>
      <c r="G773" s="183">
        <f>IFERROR(__xludf.DUMMYFUNCTION("IFERROR(lookup(9999999999,FILTER('Operações-BR'!$M:$M,'Operações-BR'!$C:$C=A773,'Operações-BR'!$A:$A&lt;=C773)),0)"),0.0)</f>
        <v>0</v>
      </c>
      <c r="H773" s="184">
        <f t="shared" si="2"/>
        <v>0</v>
      </c>
      <c r="I773" s="184">
        <f>IFERROR(__xludf.DUMMYFUNCTION("IFERROR(lookup(9999999999,FILTER('Operações-BR'!Q:Q,'Operações-BR'!$C:$C=A773,'Operações-BR'!$A:$A&lt;=C773))/G773,0)"),0.0)</f>
        <v>0</v>
      </c>
      <c r="J773" s="185" t="str">
        <f>IFERROR(VLOOKUP(A773,Ativos!$A$1:$G2000,5,),"")</f>
        <v/>
      </c>
      <c r="K773" s="185" t="str">
        <f>IFERROR(VLOOKUP(A773,Ativos!A:H,8,),"")</f>
        <v/>
      </c>
      <c r="L773" s="186">
        <f t="shared" si="3"/>
        <v>0</v>
      </c>
    </row>
    <row r="774" ht="21.0" customHeight="1">
      <c r="A774" s="187"/>
      <c r="B774" s="187"/>
      <c r="C774" s="188"/>
      <c r="D774" s="135"/>
      <c r="E774" s="189"/>
      <c r="F774" s="182" t="str">
        <f t="shared" si="1"/>
        <v/>
      </c>
      <c r="G774" s="183">
        <f>IFERROR(__xludf.DUMMYFUNCTION("IFERROR(lookup(9999999999,FILTER('Operações-BR'!$M:$M,'Operações-BR'!$C:$C=A774,'Operações-BR'!$A:$A&lt;=C774)),0)"),0.0)</f>
        <v>0</v>
      </c>
      <c r="H774" s="184">
        <f t="shared" si="2"/>
        <v>0</v>
      </c>
      <c r="I774" s="184">
        <f>IFERROR(__xludf.DUMMYFUNCTION("IFERROR(lookup(9999999999,FILTER('Operações-BR'!Q:Q,'Operações-BR'!$C:$C=A774,'Operações-BR'!$A:$A&lt;=C774))/G774,0)"),0.0)</f>
        <v>0</v>
      </c>
      <c r="J774" s="185" t="str">
        <f>IFERROR(VLOOKUP(A774,Ativos!$A$1:$G2000,5,),"")</f>
        <v/>
      </c>
      <c r="K774" s="185" t="str">
        <f>IFERROR(VLOOKUP(A774,Ativos!A:H,8,),"")</f>
        <v/>
      </c>
      <c r="L774" s="186">
        <f t="shared" si="3"/>
        <v>0</v>
      </c>
    </row>
    <row r="775" ht="21.0" customHeight="1">
      <c r="A775" s="187"/>
      <c r="B775" s="187"/>
      <c r="C775" s="188"/>
      <c r="D775" s="135"/>
      <c r="E775" s="189"/>
      <c r="F775" s="182" t="str">
        <f t="shared" si="1"/>
        <v/>
      </c>
      <c r="G775" s="183">
        <f>IFERROR(__xludf.DUMMYFUNCTION("IFERROR(lookup(9999999999,FILTER('Operações-BR'!$M:$M,'Operações-BR'!$C:$C=A775,'Operações-BR'!$A:$A&lt;=C775)),0)"),0.0)</f>
        <v>0</v>
      </c>
      <c r="H775" s="184">
        <f t="shared" si="2"/>
        <v>0</v>
      </c>
      <c r="I775" s="184">
        <f>IFERROR(__xludf.DUMMYFUNCTION("IFERROR(lookup(9999999999,FILTER('Operações-BR'!Q:Q,'Operações-BR'!$C:$C=A775,'Operações-BR'!$A:$A&lt;=C775))/G775,0)"),0.0)</f>
        <v>0</v>
      </c>
      <c r="J775" s="185" t="str">
        <f>IFERROR(VLOOKUP(A775,Ativos!$A$1:$G2000,5,),"")</f>
        <v/>
      </c>
      <c r="K775" s="185" t="str">
        <f>IFERROR(VLOOKUP(A775,Ativos!A:H,8,),"")</f>
        <v/>
      </c>
      <c r="L775" s="186">
        <f t="shared" si="3"/>
        <v>0</v>
      </c>
    </row>
    <row r="776" ht="21.0" customHeight="1">
      <c r="A776" s="187"/>
      <c r="B776" s="187"/>
      <c r="C776" s="188"/>
      <c r="D776" s="135"/>
      <c r="E776" s="189"/>
      <c r="F776" s="182" t="str">
        <f t="shared" si="1"/>
        <v/>
      </c>
      <c r="G776" s="183">
        <f>IFERROR(__xludf.DUMMYFUNCTION("IFERROR(lookup(9999999999,FILTER('Operações-BR'!$M:$M,'Operações-BR'!$C:$C=A776,'Operações-BR'!$A:$A&lt;=C776)),0)"),0.0)</f>
        <v>0</v>
      </c>
      <c r="H776" s="184">
        <f t="shared" si="2"/>
        <v>0</v>
      </c>
      <c r="I776" s="184">
        <f>IFERROR(__xludf.DUMMYFUNCTION("IFERROR(lookup(9999999999,FILTER('Operações-BR'!Q:Q,'Operações-BR'!$C:$C=A776,'Operações-BR'!$A:$A&lt;=C776))/G776,0)"),0.0)</f>
        <v>0</v>
      </c>
      <c r="J776" s="185" t="str">
        <f>IFERROR(VLOOKUP(A776,Ativos!$A$1:$G2000,5,),"")</f>
        <v/>
      </c>
      <c r="K776" s="185" t="str">
        <f>IFERROR(VLOOKUP(A776,Ativos!A:H,8,),"")</f>
        <v/>
      </c>
      <c r="L776" s="186">
        <f t="shared" si="3"/>
        <v>0</v>
      </c>
    </row>
    <row r="777" ht="21.0" customHeight="1">
      <c r="A777" s="187"/>
      <c r="B777" s="187"/>
      <c r="C777" s="188"/>
      <c r="D777" s="135"/>
      <c r="E777" s="189"/>
      <c r="F777" s="182" t="str">
        <f t="shared" si="1"/>
        <v/>
      </c>
      <c r="G777" s="183">
        <f>IFERROR(__xludf.DUMMYFUNCTION("IFERROR(lookup(9999999999,FILTER('Operações-BR'!$M:$M,'Operações-BR'!$C:$C=A777,'Operações-BR'!$A:$A&lt;=C777)),0)"),0.0)</f>
        <v>0</v>
      </c>
      <c r="H777" s="184">
        <f t="shared" si="2"/>
        <v>0</v>
      </c>
      <c r="I777" s="184">
        <f>IFERROR(__xludf.DUMMYFUNCTION("IFERROR(lookup(9999999999,FILTER('Operações-BR'!Q:Q,'Operações-BR'!$C:$C=A777,'Operações-BR'!$A:$A&lt;=C777))/G777,0)"),0.0)</f>
        <v>0</v>
      </c>
      <c r="J777" s="185" t="str">
        <f>IFERROR(VLOOKUP(A777,Ativos!$A$1:$G2000,5,),"")</f>
        <v/>
      </c>
      <c r="K777" s="185" t="str">
        <f>IFERROR(VLOOKUP(A777,Ativos!A:H,8,),"")</f>
        <v/>
      </c>
      <c r="L777" s="186">
        <f t="shared" si="3"/>
        <v>0</v>
      </c>
    </row>
    <row r="778" ht="21.0" customHeight="1">
      <c r="A778" s="187"/>
      <c r="B778" s="187"/>
      <c r="C778" s="188"/>
      <c r="D778" s="135"/>
      <c r="E778" s="189"/>
      <c r="F778" s="182" t="str">
        <f t="shared" si="1"/>
        <v/>
      </c>
      <c r="G778" s="183">
        <f>IFERROR(__xludf.DUMMYFUNCTION("IFERROR(lookup(9999999999,FILTER('Operações-BR'!$M:$M,'Operações-BR'!$C:$C=A778,'Operações-BR'!$A:$A&lt;=C778)),0)"),0.0)</f>
        <v>0</v>
      </c>
      <c r="H778" s="184">
        <f t="shared" si="2"/>
        <v>0</v>
      </c>
      <c r="I778" s="184">
        <f>IFERROR(__xludf.DUMMYFUNCTION("IFERROR(lookup(9999999999,FILTER('Operações-BR'!Q:Q,'Operações-BR'!$C:$C=A778,'Operações-BR'!$A:$A&lt;=C778))/G778,0)"),0.0)</f>
        <v>0</v>
      </c>
      <c r="J778" s="185" t="str">
        <f>IFERROR(VLOOKUP(A778,Ativos!$A$1:$G2000,5,),"")</f>
        <v/>
      </c>
      <c r="K778" s="185" t="str">
        <f>IFERROR(VLOOKUP(A778,Ativos!A:H,8,),"")</f>
        <v/>
      </c>
      <c r="L778" s="186">
        <f t="shared" si="3"/>
        <v>0</v>
      </c>
    </row>
    <row r="779" ht="21.0" customHeight="1">
      <c r="A779" s="187"/>
      <c r="B779" s="187"/>
      <c r="C779" s="188"/>
      <c r="D779" s="135"/>
      <c r="E779" s="189"/>
      <c r="F779" s="182" t="str">
        <f t="shared" si="1"/>
        <v/>
      </c>
      <c r="G779" s="183">
        <f>IFERROR(__xludf.DUMMYFUNCTION("IFERROR(lookup(9999999999,FILTER('Operações-BR'!$M:$M,'Operações-BR'!$C:$C=A779,'Operações-BR'!$A:$A&lt;=C779)),0)"),0.0)</f>
        <v>0</v>
      </c>
      <c r="H779" s="184">
        <f t="shared" si="2"/>
        <v>0</v>
      </c>
      <c r="I779" s="184">
        <f>IFERROR(__xludf.DUMMYFUNCTION("IFERROR(lookup(9999999999,FILTER('Operações-BR'!Q:Q,'Operações-BR'!$C:$C=A779,'Operações-BR'!$A:$A&lt;=C779))/G779,0)"),0.0)</f>
        <v>0</v>
      </c>
      <c r="J779" s="185" t="str">
        <f>IFERROR(VLOOKUP(A779,Ativos!$A$1:$G2000,5,),"")</f>
        <v/>
      </c>
      <c r="K779" s="185" t="str">
        <f>IFERROR(VLOOKUP(A779,Ativos!A:H,8,),"")</f>
        <v/>
      </c>
      <c r="L779" s="186">
        <f t="shared" si="3"/>
        <v>0</v>
      </c>
    </row>
    <row r="780" ht="21.0" customHeight="1">
      <c r="A780" s="187"/>
      <c r="B780" s="187"/>
      <c r="C780" s="188"/>
      <c r="D780" s="135"/>
      <c r="E780" s="189"/>
      <c r="F780" s="182" t="str">
        <f t="shared" si="1"/>
        <v/>
      </c>
      <c r="G780" s="183">
        <f>IFERROR(__xludf.DUMMYFUNCTION("IFERROR(lookup(9999999999,FILTER('Operações-BR'!$M:$M,'Operações-BR'!$C:$C=A780,'Operações-BR'!$A:$A&lt;=C780)),0)"),0.0)</f>
        <v>0</v>
      </c>
      <c r="H780" s="184">
        <f t="shared" si="2"/>
        <v>0</v>
      </c>
      <c r="I780" s="184">
        <f>IFERROR(__xludf.DUMMYFUNCTION("IFERROR(lookup(9999999999,FILTER('Operações-BR'!Q:Q,'Operações-BR'!$C:$C=A780,'Operações-BR'!$A:$A&lt;=C780))/G780,0)"),0.0)</f>
        <v>0</v>
      </c>
      <c r="J780" s="185" t="str">
        <f>IFERROR(VLOOKUP(A780,Ativos!$A$1:$G2000,5,),"")</f>
        <v/>
      </c>
      <c r="K780" s="185" t="str">
        <f>IFERROR(VLOOKUP(A780,Ativos!A:H,8,),"")</f>
        <v/>
      </c>
      <c r="L780" s="186">
        <f t="shared" si="3"/>
        <v>0</v>
      </c>
    </row>
    <row r="781" ht="21.0" customHeight="1">
      <c r="A781" s="187"/>
      <c r="B781" s="187"/>
      <c r="C781" s="188"/>
      <c r="D781" s="135"/>
      <c r="E781" s="189"/>
      <c r="F781" s="182" t="str">
        <f t="shared" si="1"/>
        <v/>
      </c>
      <c r="G781" s="183">
        <f>IFERROR(__xludf.DUMMYFUNCTION("IFERROR(lookup(9999999999,FILTER('Operações-BR'!$M:$M,'Operações-BR'!$C:$C=A781,'Operações-BR'!$A:$A&lt;=C781)),0)"),0.0)</f>
        <v>0</v>
      </c>
      <c r="H781" s="184">
        <f t="shared" si="2"/>
        <v>0</v>
      </c>
      <c r="I781" s="184">
        <f>IFERROR(__xludf.DUMMYFUNCTION("IFERROR(lookup(9999999999,FILTER('Operações-BR'!Q:Q,'Operações-BR'!$C:$C=A781,'Operações-BR'!$A:$A&lt;=C781))/G781,0)"),0.0)</f>
        <v>0</v>
      </c>
      <c r="J781" s="185" t="str">
        <f>IFERROR(VLOOKUP(A781,Ativos!$A$1:$G2000,5,),"")</f>
        <v/>
      </c>
      <c r="K781" s="185" t="str">
        <f>IFERROR(VLOOKUP(A781,Ativos!A:H,8,),"")</f>
        <v/>
      </c>
      <c r="L781" s="186">
        <f t="shared" si="3"/>
        <v>0</v>
      </c>
    </row>
    <row r="782" ht="21.0" customHeight="1">
      <c r="A782" s="187"/>
      <c r="B782" s="187"/>
      <c r="C782" s="188"/>
      <c r="D782" s="135"/>
      <c r="E782" s="189"/>
      <c r="F782" s="182" t="str">
        <f t="shared" si="1"/>
        <v/>
      </c>
      <c r="G782" s="183">
        <f>IFERROR(__xludf.DUMMYFUNCTION("IFERROR(lookup(9999999999,FILTER('Operações-BR'!$M:$M,'Operações-BR'!$C:$C=A782,'Operações-BR'!$A:$A&lt;=C782)),0)"),0.0)</f>
        <v>0</v>
      </c>
      <c r="H782" s="184">
        <f t="shared" si="2"/>
        <v>0</v>
      </c>
      <c r="I782" s="184">
        <f>IFERROR(__xludf.DUMMYFUNCTION("IFERROR(lookup(9999999999,FILTER('Operações-BR'!Q:Q,'Operações-BR'!$C:$C=A782,'Operações-BR'!$A:$A&lt;=C782))/G782,0)"),0.0)</f>
        <v>0</v>
      </c>
      <c r="J782" s="185" t="str">
        <f>IFERROR(VLOOKUP(A782,Ativos!$A$1:$G2000,5,),"")</f>
        <v/>
      </c>
      <c r="K782" s="185" t="str">
        <f>IFERROR(VLOOKUP(A782,Ativos!A:H,8,),"")</f>
        <v/>
      </c>
      <c r="L782" s="186">
        <f t="shared" si="3"/>
        <v>0</v>
      </c>
    </row>
    <row r="783" ht="21.0" customHeight="1">
      <c r="A783" s="187"/>
      <c r="B783" s="187"/>
      <c r="C783" s="188"/>
      <c r="D783" s="135"/>
      <c r="E783" s="189"/>
      <c r="F783" s="182" t="str">
        <f t="shared" si="1"/>
        <v/>
      </c>
      <c r="G783" s="183">
        <f>IFERROR(__xludf.DUMMYFUNCTION("IFERROR(lookup(9999999999,FILTER('Operações-BR'!$M:$M,'Operações-BR'!$C:$C=A783,'Operações-BR'!$A:$A&lt;=C783)),0)"),0.0)</f>
        <v>0</v>
      </c>
      <c r="H783" s="184">
        <f t="shared" si="2"/>
        <v>0</v>
      </c>
      <c r="I783" s="184">
        <f>IFERROR(__xludf.DUMMYFUNCTION("IFERROR(lookup(9999999999,FILTER('Operações-BR'!Q:Q,'Operações-BR'!$C:$C=A783,'Operações-BR'!$A:$A&lt;=C783))/G783,0)"),0.0)</f>
        <v>0</v>
      </c>
      <c r="J783" s="185" t="str">
        <f>IFERROR(VLOOKUP(A783,Ativos!$A$1:$G2000,5,),"")</f>
        <v/>
      </c>
      <c r="K783" s="185" t="str">
        <f>IFERROR(VLOOKUP(A783,Ativos!A:H,8,),"")</f>
        <v/>
      </c>
      <c r="L783" s="186">
        <f t="shared" si="3"/>
        <v>0</v>
      </c>
    </row>
    <row r="784" ht="21.0" customHeight="1">
      <c r="A784" s="187"/>
      <c r="B784" s="187"/>
      <c r="C784" s="188"/>
      <c r="D784" s="135"/>
      <c r="E784" s="189"/>
      <c r="F784" s="182" t="str">
        <f t="shared" si="1"/>
        <v/>
      </c>
      <c r="G784" s="183">
        <f>IFERROR(__xludf.DUMMYFUNCTION("IFERROR(lookup(9999999999,FILTER('Operações-BR'!$M:$M,'Operações-BR'!$C:$C=A784,'Operações-BR'!$A:$A&lt;=C784)),0)"),0.0)</f>
        <v>0</v>
      </c>
      <c r="H784" s="184">
        <f t="shared" si="2"/>
        <v>0</v>
      </c>
      <c r="I784" s="184">
        <f>IFERROR(__xludf.DUMMYFUNCTION("IFERROR(lookup(9999999999,FILTER('Operações-BR'!Q:Q,'Operações-BR'!$C:$C=A784,'Operações-BR'!$A:$A&lt;=C784))/G784,0)"),0.0)</f>
        <v>0</v>
      </c>
      <c r="J784" s="185" t="str">
        <f>IFERROR(VLOOKUP(A784,Ativos!$A$1:$G2000,5,),"")</f>
        <v/>
      </c>
      <c r="K784" s="185" t="str">
        <f>IFERROR(VLOOKUP(A784,Ativos!A:H,8,),"")</f>
        <v/>
      </c>
      <c r="L784" s="186">
        <f t="shared" si="3"/>
        <v>0</v>
      </c>
    </row>
    <row r="785" ht="21.0" customHeight="1">
      <c r="A785" s="187"/>
      <c r="B785" s="187"/>
      <c r="C785" s="188"/>
      <c r="D785" s="135"/>
      <c r="E785" s="189"/>
      <c r="F785" s="182" t="str">
        <f t="shared" si="1"/>
        <v/>
      </c>
      <c r="G785" s="183">
        <f>IFERROR(__xludf.DUMMYFUNCTION("IFERROR(lookup(9999999999,FILTER('Operações-BR'!$M:$M,'Operações-BR'!$C:$C=A785,'Operações-BR'!$A:$A&lt;=C785)),0)"),0.0)</f>
        <v>0</v>
      </c>
      <c r="H785" s="184">
        <f t="shared" si="2"/>
        <v>0</v>
      </c>
      <c r="I785" s="184">
        <f>IFERROR(__xludf.DUMMYFUNCTION("IFERROR(lookup(9999999999,FILTER('Operações-BR'!Q:Q,'Operações-BR'!$C:$C=A785,'Operações-BR'!$A:$A&lt;=C785))/G785,0)"),0.0)</f>
        <v>0</v>
      </c>
      <c r="J785" s="185" t="str">
        <f>IFERROR(VLOOKUP(A785,Ativos!$A$1:$G2000,5,),"")</f>
        <v/>
      </c>
      <c r="K785" s="185" t="str">
        <f>IFERROR(VLOOKUP(A785,Ativos!A:H,8,),"")</f>
        <v/>
      </c>
      <c r="L785" s="186">
        <f t="shared" si="3"/>
        <v>0</v>
      </c>
    </row>
    <row r="786" ht="21.0" customHeight="1">
      <c r="A786" s="187"/>
      <c r="B786" s="187"/>
      <c r="C786" s="188"/>
      <c r="D786" s="135"/>
      <c r="E786" s="189"/>
      <c r="F786" s="182" t="str">
        <f t="shared" si="1"/>
        <v/>
      </c>
      <c r="G786" s="183">
        <f>IFERROR(__xludf.DUMMYFUNCTION("IFERROR(lookup(9999999999,FILTER('Operações-BR'!$M:$M,'Operações-BR'!$C:$C=A786,'Operações-BR'!$A:$A&lt;=C786)),0)"),0.0)</f>
        <v>0</v>
      </c>
      <c r="H786" s="184">
        <f t="shared" si="2"/>
        <v>0</v>
      </c>
      <c r="I786" s="184">
        <f>IFERROR(__xludf.DUMMYFUNCTION("IFERROR(lookup(9999999999,FILTER('Operações-BR'!Q:Q,'Operações-BR'!$C:$C=A786,'Operações-BR'!$A:$A&lt;=C786))/G786,0)"),0.0)</f>
        <v>0</v>
      </c>
      <c r="J786" s="185" t="str">
        <f>IFERROR(VLOOKUP(A786,Ativos!$A$1:$G2000,5,),"")</f>
        <v/>
      </c>
      <c r="K786" s="185" t="str">
        <f>IFERROR(VLOOKUP(A786,Ativos!A:H,8,),"")</f>
        <v/>
      </c>
      <c r="L786" s="186">
        <f t="shared" si="3"/>
        <v>0</v>
      </c>
    </row>
    <row r="787" ht="21.0" customHeight="1">
      <c r="A787" s="187"/>
      <c r="B787" s="187"/>
      <c r="C787" s="188"/>
      <c r="D787" s="135"/>
      <c r="E787" s="189"/>
      <c r="F787" s="182" t="str">
        <f t="shared" si="1"/>
        <v/>
      </c>
      <c r="G787" s="183">
        <f>IFERROR(__xludf.DUMMYFUNCTION("IFERROR(lookup(9999999999,FILTER('Operações-BR'!$M:$M,'Operações-BR'!$C:$C=A787,'Operações-BR'!$A:$A&lt;=C787)),0)"),0.0)</f>
        <v>0</v>
      </c>
      <c r="H787" s="184">
        <f t="shared" si="2"/>
        <v>0</v>
      </c>
      <c r="I787" s="184">
        <f>IFERROR(__xludf.DUMMYFUNCTION("IFERROR(lookup(9999999999,FILTER('Operações-BR'!Q:Q,'Operações-BR'!$C:$C=A787,'Operações-BR'!$A:$A&lt;=C787))/G787,0)"),0.0)</f>
        <v>0</v>
      </c>
      <c r="J787" s="185" t="str">
        <f>IFERROR(VLOOKUP(A787,Ativos!$A$1:$G2000,5,),"")</f>
        <v/>
      </c>
      <c r="K787" s="185" t="str">
        <f>IFERROR(VLOOKUP(A787,Ativos!A:H,8,),"")</f>
        <v/>
      </c>
      <c r="L787" s="186">
        <f t="shared" si="3"/>
        <v>0</v>
      </c>
    </row>
    <row r="788" ht="21.0" customHeight="1">
      <c r="A788" s="187"/>
      <c r="B788" s="187"/>
      <c r="C788" s="188"/>
      <c r="D788" s="135"/>
      <c r="E788" s="189"/>
      <c r="F788" s="182" t="str">
        <f t="shared" si="1"/>
        <v/>
      </c>
      <c r="G788" s="183">
        <f>IFERROR(__xludf.DUMMYFUNCTION("IFERROR(lookup(9999999999,FILTER('Operações-BR'!$M:$M,'Operações-BR'!$C:$C=A788,'Operações-BR'!$A:$A&lt;=C788)),0)"),0.0)</f>
        <v>0</v>
      </c>
      <c r="H788" s="184">
        <f t="shared" si="2"/>
        <v>0</v>
      </c>
      <c r="I788" s="184">
        <f>IFERROR(__xludf.DUMMYFUNCTION("IFERROR(lookup(9999999999,FILTER('Operações-BR'!Q:Q,'Operações-BR'!$C:$C=A788,'Operações-BR'!$A:$A&lt;=C788))/G788,0)"),0.0)</f>
        <v>0</v>
      </c>
      <c r="J788" s="185" t="str">
        <f>IFERROR(VLOOKUP(A788,Ativos!$A$1:$G2000,5,),"")</f>
        <v/>
      </c>
      <c r="K788" s="185" t="str">
        <f>IFERROR(VLOOKUP(A788,Ativos!A:H,8,),"")</f>
        <v/>
      </c>
      <c r="L788" s="186">
        <f t="shared" si="3"/>
        <v>0</v>
      </c>
    </row>
    <row r="789" ht="21.0" customHeight="1">
      <c r="A789" s="187"/>
      <c r="B789" s="187"/>
      <c r="C789" s="188"/>
      <c r="D789" s="135"/>
      <c r="E789" s="189"/>
      <c r="F789" s="182" t="str">
        <f t="shared" si="1"/>
        <v/>
      </c>
      <c r="G789" s="183">
        <f>IFERROR(__xludf.DUMMYFUNCTION("IFERROR(lookup(9999999999,FILTER('Operações-BR'!$M:$M,'Operações-BR'!$C:$C=A789,'Operações-BR'!$A:$A&lt;=C789)),0)"),0.0)</f>
        <v>0</v>
      </c>
      <c r="H789" s="184">
        <f t="shared" si="2"/>
        <v>0</v>
      </c>
      <c r="I789" s="184">
        <f>IFERROR(__xludf.DUMMYFUNCTION("IFERROR(lookup(9999999999,FILTER('Operações-BR'!Q:Q,'Operações-BR'!$C:$C=A789,'Operações-BR'!$A:$A&lt;=C789))/G789,0)"),0.0)</f>
        <v>0</v>
      </c>
      <c r="J789" s="185" t="str">
        <f>IFERROR(VLOOKUP(A789,Ativos!$A$1:$G2000,5,),"")</f>
        <v/>
      </c>
      <c r="K789" s="185" t="str">
        <f>IFERROR(VLOOKUP(A789,Ativos!A:H,8,),"")</f>
        <v/>
      </c>
      <c r="L789" s="186">
        <f t="shared" si="3"/>
        <v>0</v>
      </c>
    </row>
    <row r="790" ht="21.0" customHeight="1">
      <c r="A790" s="187"/>
      <c r="B790" s="187"/>
      <c r="C790" s="188"/>
      <c r="D790" s="135"/>
      <c r="E790" s="189"/>
      <c r="F790" s="182" t="str">
        <f t="shared" si="1"/>
        <v/>
      </c>
      <c r="G790" s="183">
        <f>IFERROR(__xludf.DUMMYFUNCTION("IFERROR(lookup(9999999999,FILTER('Operações-BR'!$M:$M,'Operações-BR'!$C:$C=A790,'Operações-BR'!$A:$A&lt;=C790)),0)"),0.0)</f>
        <v>0</v>
      </c>
      <c r="H790" s="184">
        <f t="shared" si="2"/>
        <v>0</v>
      </c>
      <c r="I790" s="184">
        <f>IFERROR(__xludf.DUMMYFUNCTION("IFERROR(lookup(9999999999,FILTER('Operações-BR'!Q:Q,'Operações-BR'!$C:$C=A790,'Operações-BR'!$A:$A&lt;=C790))/G790,0)"),0.0)</f>
        <v>0</v>
      </c>
      <c r="J790" s="185" t="str">
        <f>IFERROR(VLOOKUP(A790,Ativos!$A$1:$G2000,5,),"")</f>
        <v/>
      </c>
      <c r="K790" s="185" t="str">
        <f>IFERROR(VLOOKUP(A790,Ativos!A:H,8,),"")</f>
        <v/>
      </c>
      <c r="L790" s="186">
        <f t="shared" si="3"/>
        <v>0</v>
      </c>
    </row>
    <row r="791" ht="21.0" customHeight="1">
      <c r="A791" s="187"/>
      <c r="B791" s="187"/>
      <c r="C791" s="188"/>
      <c r="D791" s="135"/>
      <c r="E791" s="189"/>
      <c r="F791" s="182" t="str">
        <f t="shared" si="1"/>
        <v/>
      </c>
      <c r="G791" s="183">
        <f>IFERROR(__xludf.DUMMYFUNCTION("IFERROR(lookup(9999999999,FILTER('Operações-BR'!$M:$M,'Operações-BR'!$C:$C=A791,'Operações-BR'!$A:$A&lt;=C791)),0)"),0.0)</f>
        <v>0</v>
      </c>
      <c r="H791" s="184">
        <f t="shared" si="2"/>
        <v>0</v>
      </c>
      <c r="I791" s="184">
        <f>IFERROR(__xludf.DUMMYFUNCTION("IFERROR(lookup(9999999999,FILTER('Operações-BR'!Q:Q,'Operações-BR'!$C:$C=A791,'Operações-BR'!$A:$A&lt;=C791))/G791,0)"),0.0)</f>
        <v>0</v>
      </c>
      <c r="J791" s="185" t="str">
        <f>IFERROR(VLOOKUP(A791,Ativos!$A$1:$G2000,5,),"")</f>
        <v/>
      </c>
      <c r="K791" s="185" t="str">
        <f>IFERROR(VLOOKUP(A791,Ativos!A:H,8,),"")</f>
        <v/>
      </c>
      <c r="L791" s="186">
        <f t="shared" si="3"/>
        <v>0</v>
      </c>
    </row>
    <row r="792" ht="21.0" customHeight="1">
      <c r="A792" s="187"/>
      <c r="B792" s="187"/>
      <c r="C792" s="188"/>
      <c r="D792" s="135"/>
      <c r="E792" s="189"/>
      <c r="F792" s="182" t="str">
        <f t="shared" si="1"/>
        <v/>
      </c>
      <c r="G792" s="183">
        <f>IFERROR(__xludf.DUMMYFUNCTION("IFERROR(lookup(9999999999,FILTER('Operações-BR'!$M:$M,'Operações-BR'!$C:$C=A792,'Operações-BR'!$A:$A&lt;=C792)),0)"),0.0)</f>
        <v>0</v>
      </c>
      <c r="H792" s="184">
        <f t="shared" si="2"/>
        <v>0</v>
      </c>
      <c r="I792" s="184">
        <f>IFERROR(__xludf.DUMMYFUNCTION("IFERROR(lookup(9999999999,FILTER('Operações-BR'!Q:Q,'Operações-BR'!$C:$C=A792,'Operações-BR'!$A:$A&lt;=C792))/G792,0)"),0.0)</f>
        <v>0</v>
      </c>
      <c r="J792" s="185" t="str">
        <f>IFERROR(VLOOKUP(A792,Ativos!$A$1:$G2000,5,),"")</f>
        <v/>
      </c>
      <c r="K792" s="185" t="str">
        <f>IFERROR(VLOOKUP(A792,Ativos!A:H,8,),"")</f>
        <v/>
      </c>
      <c r="L792" s="186">
        <f t="shared" si="3"/>
        <v>0</v>
      </c>
    </row>
    <row r="793" ht="21.0" customHeight="1">
      <c r="A793" s="187"/>
      <c r="B793" s="187"/>
      <c r="C793" s="188"/>
      <c r="D793" s="135"/>
      <c r="E793" s="189"/>
      <c r="F793" s="182" t="str">
        <f t="shared" si="1"/>
        <v/>
      </c>
      <c r="G793" s="183">
        <f>IFERROR(__xludf.DUMMYFUNCTION("IFERROR(lookup(9999999999,FILTER('Operações-BR'!$M:$M,'Operações-BR'!$C:$C=A793,'Operações-BR'!$A:$A&lt;=C793)),0)"),0.0)</f>
        <v>0</v>
      </c>
      <c r="H793" s="184">
        <f t="shared" si="2"/>
        <v>0</v>
      </c>
      <c r="I793" s="184">
        <f>IFERROR(__xludf.DUMMYFUNCTION("IFERROR(lookup(9999999999,FILTER('Operações-BR'!Q:Q,'Operações-BR'!$C:$C=A793,'Operações-BR'!$A:$A&lt;=C793))/G793,0)"),0.0)</f>
        <v>0</v>
      </c>
      <c r="J793" s="185" t="str">
        <f>IFERROR(VLOOKUP(A793,Ativos!$A$1:$G2000,5,),"")</f>
        <v/>
      </c>
      <c r="K793" s="185" t="str">
        <f>IFERROR(VLOOKUP(A793,Ativos!A:H,8,),"")</f>
        <v/>
      </c>
      <c r="L793" s="186">
        <f t="shared" si="3"/>
        <v>0</v>
      </c>
    </row>
    <row r="794" ht="21.0" customHeight="1">
      <c r="A794" s="187"/>
      <c r="B794" s="187"/>
      <c r="C794" s="188"/>
      <c r="D794" s="135"/>
      <c r="E794" s="189"/>
      <c r="F794" s="182" t="str">
        <f t="shared" si="1"/>
        <v/>
      </c>
      <c r="G794" s="183">
        <f>IFERROR(__xludf.DUMMYFUNCTION("IFERROR(lookup(9999999999,FILTER('Operações-BR'!$M:$M,'Operações-BR'!$C:$C=A794,'Operações-BR'!$A:$A&lt;=C794)),0)"),0.0)</f>
        <v>0</v>
      </c>
      <c r="H794" s="184">
        <f t="shared" si="2"/>
        <v>0</v>
      </c>
      <c r="I794" s="184">
        <f>IFERROR(__xludf.DUMMYFUNCTION("IFERROR(lookup(9999999999,FILTER('Operações-BR'!Q:Q,'Operações-BR'!$C:$C=A794,'Operações-BR'!$A:$A&lt;=C794))/G794,0)"),0.0)</f>
        <v>0</v>
      </c>
      <c r="J794" s="185" t="str">
        <f>IFERROR(VLOOKUP(A794,Ativos!$A$1:$G2000,5,),"")</f>
        <v/>
      </c>
      <c r="K794" s="185" t="str">
        <f>IFERROR(VLOOKUP(A794,Ativos!A:H,8,),"")</f>
        <v/>
      </c>
      <c r="L794" s="186">
        <f t="shared" si="3"/>
        <v>0</v>
      </c>
    </row>
    <row r="795" ht="21.0" customHeight="1">
      <c r="A795" s="187"/>
      <c r="B795" s="187"/>
      <c r="C795" s="188"/>
      <c r="D795" s="135"/>
      <c r="E795" s="189"/>
      <c r="F795" s="182" t="str">
        <f t="shared" si="1"/>
        <v/>
      </c>
      <c r="G795" s="183">
        <f>IFERROR(__xludf.DUMMYFUNCTION("IFERROR(lookup(9999999999,FILTER('Operações-BR'!$M:$M,'Operações-BR'!$C:$C=A795,'Operações-BR'!$A:$A&lt;=C795)),0)"),0.0)</f>
        <v>0</v>
      </c>
      <c r="H795" s="184">
        <f t="shared" si="2"/>
        <v>0</v>
      </c>
      <c r="I795" s="184">
        <f>IFERROR(__xludf.DUMMYFUNCTION("IFERROR(lookup(9999999999,FILTER('Operações-BR'!Q:Q,'Operações-BR'!$C:$C=A795,'Operações-BR'!$A:$A&lt;=C795))/G795,0)"),0.0)</f>
        <v>0</v>
      </c>
      <c r="J795" s="185" t="str">
        <f>IFERROR(VLOOKUP(A795,Ativos!$A$1:$G2000,5,),"")</f>
        <v/>
      </c>
      <c r="K795" s="185" t="str">
        <f>IFERROR(VLOOKUP(A795,Ativos!A:H,8,),"")</f>
        <v/>
      </c>
      <c r="L795" s="186">
        <f t="shared" si="3"/>
        <v>0</v>
      </c>
    </row>
    <row r="796" ht="21.0" customHeight="1">
      <c r="A796" s="187"/>
      <c r="B796" s="187"/>
      <c r="C796" s="188"/>
      <c r="D796" s="135"/>
      <c r="E796" s="189"/>
      <c r="F796" s="182" t="str">
        <f t="shared" si="1"/>
        <v/>
      </c>
      <c r="G796" s="183">
        <f>IFERROR(__xludf.DUMMYFUNCTION("IFERROR(lookup(9999999999,FILTER('Operações-BR'!$M:$M,'Operações-BR'!$C:$C=A796,'Operações-BR'!$A:$A&lt;=C796)),0)"),0.0)</f>
        <v>0</v>
      </c>
      <c r="H796" s="184">
        <f t="shared" si="2"/>
        <v>0</v>
      </c>
      <c r="I796" s="184">
        <f>IFERROR(__xludf.DUMMYFUNCTION("IFERROR(lookup(9999999999,FILTER('Operações-BR'!Q:Q,'Operações-BR'!$C:$C=A796,'Operações-BR'!$A:$A&lt;=C796))/G796,0)"),0.0)</f>
        <v>0</v>
      </c>
      <c r="J796" s="185" t="str">
        <f>IFERROR(VLOOKUP(A796,Ativos!$A$1:$G2000,5,),"")</f>
        <v/>
      </c>
      <c r="K796" s="185" t="str">
        <f>IFERROR(VLOOKUP(A796,Ativos!A:H,8,),"")</f>
        <v/>
      </c>
      <c r="L796" s="186">
        <f t="shared" si="3"/>
        <v>0</v>
      </c>
    </row>
    <row r="797" ht="21.0" customHeight="1">
      <c r="A797" s="187"/>
      <c r="B797" s="187"/>
      <c r="C797" s="188"/>
      <c r="D797" s="135"/>
      <c r="E797" s="189"/>
      <c r="F797" s="182" t="str">
        <f t="shared" si="1"/>
        <v/>
      </c>
      <c r="G797" s="183">
        <f>IFERROR(__xludf.DUMMYFUNCTION("IFERROR(lookup(9999999999,FILTER('Operações-BR'!$M:$M,'Operações-BR'!$C:$C=A797,'Operações-BR'!$A:$A&lt;=C797)),0)"),0.0)</f>
        <v>0</v>
      </c>
      <c r="H797" s="184">
        <f t="shared" si="2"/>
        <v>0</v>
      </c>
      <c r="I797" s="184">
        <f>IFERROR(__xludf.DUMMYFUNCTION("IFERROR(lookup(9999999999,FILTER('Operações-BR'!Q:Q,'Operações-BR'!$C:$C=A797,'Operações-BR'!$A:$A&lt;=C797))/G797,0)"),0.0)</f>
        <v>0</v>
      </c>
      <c r="J797" s="185" t="str">
        <f>IFERROR(VLOOKUP(A797,Ativos!$A$1:$G2000,5,),"")</f>
        <v/>
      </c>
      <c r="K797" s="185" t="str">
        <f>IFERROR(VLOOKUP(A797,Ativos!A:H,8,),"")</f>
        <v/>
      </c>
      <c r="L797" s="186">
        <f t="shared" si="3"/>
        <v>0</v>
      </c>
    </row>
    <row r="798" ht="21.0" customHeight="1">
      <c r="A798" s="187"/>
      <c r="B798" s="187"/>
      <c r="C798" s="188"/>
      <c r="D798" s="135"/>
      <c r="E798" s="189"/>
      <c r="F798" s="182" t="str">
        <f t="shared" si="1"/>
        <v/>
      </c>
      <c r="G798" s="183">
        <f>IFERROR(__xludf.DUMMYFUNCTION("IFERROR(lookup(9999999999,FILTER('Operações-BR'!$M:$M,'Operações-BR'!$C:$C=A798,'Operações-BR'!$A:$A&lt;=C798)),0)"),0.0)</f>
        <v>0</v>
      </c>
      <c r="H798" s="184">
        <f t="shared" si="2"/>
        <v>0</v>
      </c>
      <c r="I798" s="184">
        <f>IFERROR(__xludf.DUMMYFUNCTION("IFERROR(lookup(9999999999,FILTER('Operações-BR'!Q:Q,'Operações-BR'!$C:$C=A798,'Operações-BR'!$A:$A&lt;=C798))/G798,0)"),0.0)</f>
        <v>0</v>
      </c>
      <c r="J798" s="185" t="str">
        <f>IFERROR(VLOOKUP(A798,Ativos!$A$1:$G2000,5,),"")</f>
        <v/>
      </c>
      <c r="K798" s="185" t="str">
        <f>IFERROR(VLOOKUP(A798,Ativos!A:H,8,),"")</f>
        <v/>
      </c>
      <c r="L798" s="186">
        <f t="shared" si="3"/>
        <v>0</v>
      </c>
    </row>
    <row r="799" ht="21.0" customHeight="1">
      <c r="A799" s="187"/>
      <c r="B799" s="187"/>
      <c r="C799" s="188"/>
      <c r="D799" s="135"/>
      <c r="E799" s="189"/>
      <c r="F799" s="182" t="str">
        <f t="shared" si="1"/>
        <v/>
      </c>
      <c r="G799" s="183">
        <f>IFERROR(__xludf.DUMMYFUNCTION("IFERROR(lookup(9999999999,FILTER('Operações-BR'!$M:$M,'Operações-BR'!$C:$C=A799,'Operações-BR'!$A:$A&lt;=C799)),0)"),0.0)</f>
        <v>0</v>
      </c>
      <c r="H799" s="184">
        <f t="shared" si="2"/>
        <v>0</v>
      </c>
      <c r="I799" s="184">
        <f>IFERROR(__xludf.DUMMYFUNCTION("IFERROR(lookup(9999999999,FILTER('Operações-BR'!Q:Q,'Operações-BR'!$C:$C=A799,'Operações-BR'!$A:$A&lt;=C799))/G799,0)"),0.0)</f>
        <v>0</v>
      </c>
      <c r="J799" s="185" t="str">
        <f>IFERROR(VLOOKUP(A799,Ativos!$A$1:$G2000,5,),"")</f>
        <v/>
      </c>
      <c r="K799" s="185" t="str">
        <f>IFERROR(VLOOKUP(A799,Ativos!A:H,8,),"")</f>
        <v/>
      </c>
      <c r="L799" s="186">
        <f t="shared" si="3"/>
        <v>0</v>
      </c>
    </row>
    <row r="800" ht="21.0" customHeight="1">
      <c r="A800" s="187"/>
      <c r="B800" s="187"/>
      <c r="C800" s="188"/>
      <c r="D800" s="135"/>
      <c r="E800" s="189"/>
      <c r="F800" s="182" t="str">
        <f t="shared" si="1"/>
        <v/>
      </c>
      <c r="G800" s="183">
        <f>IFERROR(__xludf.DUMMYFUNCTION("IFERROR(lookup(9999999999,FILTER('Operações-BR'!$M:$M,'Operações-BR'!$C:$C=A800,'Operações-BR'!$A:$A&lt;=C800)),0)"),0.0)</f>
        <v>0</v>
      </c>
      <c r="H800" s="184">
        <f t="shared" si="2"/>
        <v>0</v>
      </c>
      <c r="I800" s="184">
        <f>IFERROR(__xludf.DUMMYFUNCTION("IFERROR(lookup(9999999999,FILTER('Operações-BR'!Q:Q,'Operações-BR'!$C:$C=A800,'Operações-BR'!$A:$A&lt;=C800))/G800,0)"),0.0)</f>
        <v>0</v>
      </c>
      <c r="J800" s="185" t="str">
        <f>IFERROR(VLOOKUP(A800,Ativos!$A$1:$G2000,5,),"")</f>
        <v/>
      </c>
      <c r="K800" s="185" t="str">
        <f>IFERROR(VLOOKUP(A800,Ativos!A:H,8,),"")</f>
        <v/>
      </c>
      <c r="L800" s="186">
        <f t="shared" si="3"/>
        <v>0</v>
      </c>
    </row>
    <row r="801" ht="21.0" customHeight="1">
      <c r="A801" s="187"/>
      <c r="B801" s="187"/>
      <c r="C801" s="188"/>
      <c r="D801" s="135"/>
      <c r="E801" s="189"/>
      <c r="F801" s="182" t="str">
        <f t="shared" si="1"/>
        <v/>
      </c>
      <c r="G801" s="183">
        <f>IFERROR(__xludf.DUMMYFUNCTION("IFERROR(lookup(9999999999,FILTER('Operações-BR'!$M:$M,'Operações-BR'!$C:$C=A801,'Operações-BR'!$A:$A&lt;=C801)),0)"),0.0)</f>
        <v>0</v>
      </c>
      <c r="H801" s="184">
        <f t="shared" si="2"/>
        <v>0</v>
      </c>
      <c r="I801" s="184">
        <f>IFERROR(__xludf.DUMMYFUNCTION("IFERROR(lookup(9999999999,FILTER('Operações-BR'!Q:Q,'Operações-BR'!$C:$C=A801,'Operações-BR'!$A:$A&lt;=C801))/G801,0)"),0.0)</f>
        <v>0</v>
      </c>
      <c r="J801" s="185" t="str">
        <f>IFERROR(VLOOKUP(A801,Ativos!$A$1:$G2000,5,),"")</f>
        <v/>
      </c>
      <c r="K801" s="185" t="str">
        <f>IFERROR(VLOOKUP(A801,Ativos!A:H,8,),"")</f>
        <v/>
      </c>
      <c r="L801" s="186">
        <f t="shared" si="3"/>
        <v>0</v>
      </c>
    </row>
    <row r="802" ht="21.0" customHeight="1">
      <c r="A802" s="187"/>
      <c r="B802" s="187"/>
      <c r="C802" s="188"/>
      <c r="D802" s="135"/>
      <c r="E802" s="189"/>
      <c r="F802" s="182" t="str">
        <f t="shared" si="1"/>
        <v/>
      </c>
      <c r="G802" s="183">
        <f>IFERROR(__xludf.DUMMYFUNCTION("IFERROR(lookup(9999999999,FILTER('Operações-BR'!$M:$M,'Operações-BR'!$C:$C=A802,'Operações-BR'!$A:$A&lt;=C802)),0)"),0.0)</f>
        <v>0</v>
      </c>
      <c r="H802" s="184">
        <f t="shared" si="2"/>
        <v>0</v>
      </c>
      <c r="I802" s="184">
        <f>IFERROR(__xludf.DUMMYFUNCTION("IFERROR(lookup(9999999999,FILTER('Operações-BR'!Q:Q,'Operações-BR'!$C:$C=A802,'Operações-BR'!$A:$A&lt;=C802))/G802,0)"),0.0)</f>
        <v>0</v>
      </c>
      <c r="J802" s="185" t="str">
        <f>IFERROR(VLOOKUP(A802,Ativos!$A$1:$G2000,5,),"")</f>
        <v/>
      </c>
      <c r="K802" s="185" t="str">
        <f>IFERROR(VLOOKUP(A802,Ativos!A:H,8,),"")</f>
        <v/>
      </c>
      <c r="L802" s="186">
        <f t="shared" si="3"/>
        <v>0</v>
      </c>
    </row>
    <row r="803" ht="21.0" customHeight="1">
      <c r="A803" s="187"/>
      <c r="B803" s="187"/>
      <c r="C803" s="188"/>
      <c r="D803" s="135"/>
      <c r="E803" s="189"/>
      <c r="F803" s="182" t="str">
        <f t="shared" si="1"/>
        <v/>
      </c>
      <c r="G803" s="183">
        <f>IFERROR(__xludf.DUMMYFUNCTION("IFERROR(lookup(9999999999,FILTER('Operações-BR'!$M:$M,'Operações-BR'!$C:$C=A803,'Operações-BR'!$A:$A&lt;=C803)),0)"),0.0)</f>
        <v>0</v>
      </c>
      <c r="H803" s="184">
        <f t="shared" si="2"/>
        <v>0</v>
      </c>
      <c r="I803" s="184">
        <f>IFERROR(__xludf.DUMMYFUNCTION("IFERROR(lookup(9999999999,FILTER('Operações-BR'!Q:Q,'Operações-BR'!$C:$C=A803,'Operações-BR'!$A:$A&lt;=C803))/G803,0)"),0.0)</f>
        <v>0</v>
      </c>
      <c r="J803" s="185" t="str">
        <f>IFERROR(VLOOKUP(A803,Ativos!$A$1:$G2000,5,),"")</f>
        <v/>
      </c>
      <c r="K803" s="185" t="str">
        <f>IFERROR(VLOOKUP(A803,Ativos!A:H,8,),"")</f>
        <v/>
      </c>
      <c r="L803" s="186">
        <f t="shared" si="3"/>
        <v>0</v>
      </c>
    </row>
    <row r="804" ht="21.0" customHeight="1">
      <c r="A804" s="187"/>
      <c r="B804" s="187"/>
      <c r="C804" s="188"/>
      <c r="D804" s="135"/>
      <c r="E804" s="189"/>
      <c r="F804" s="182" t="str">
        <f t="shared" si="1"/>
        <v/>
      </c>
      <c r="G804" s="183">
        <f>IFERROR(__xludf.DUMMYFUNCTION("IFERROR(lookup(9999999999,FILTER('Operações-BR'!$M:$M,'Operações-BR'!$C:$C=A804,'Operações-BR'!$A:$A&lt;=C804)),0)"),0.0)</f>
        <v>0</v>
      </c>
      <c r="H804" s="184">
        <f t="shared" si="2"/>
        <v>0</v>
      </c>
      <c r="I804" s="184">
        <f>IFERROR(__xludf.DUMMYFUNCTION("IFERROR(lookup(9999999999,FILTER('Operações-BR'!Q:Q,'Operações-BR'!$C:$C=A804,'Operações-BR'!$A:$A&lt;=C804))/G804,0)"),0.0)</f>
        <v>0</v>
      </c>
      <c r="J804" s="185" t="str">
        <f>IFERROR(VLOOKUP(A804,Ativos!$A$1:$G2000,5,),"")</f>
        <v/>
      </c>
      <c r="K804" s="185" t="str">
        <f>IFERROR(VLOOKUP(A804,Ativos!A:H,8,),"")</f>
        <v/>
      </c>
      <c r="L804" s="186">
        <f t="shared" si="3"/>
        <v>0</v>
      </c>
    </row>
    <row r="805" ht="21.0" customHeight="1">
      <c r="A805" s="187"/>
      <c r="B805" s="187"/>
      <c r="C805" s="188"/>
      <c r="D805" s="135"/>
      <c r="E805" s="189"/>
      <c r="F805" s="182" t="str">
        <f t="shared" si="1"/>
        <v/>
      </c>
      <c r="G805" s="183">
        <f>IFERROR(__xludf.DUMMYFUNCTION("IFERROR(lookup(9999999999,FILTER('Operações-BR'!$M:$M,'Operações-BR'!$C:$C=A805,'Operações-BR'!$A:$A&lt;=C805)),0)"),0.0)</f>
        <v>0</v>
      </c>
      <c r="H805" s="184">
        <f t="shared" si="2"/>
        <v>0</v>
      </c>
      <c r="I805" s="184">
        <f>IFERROR(__xludf.DUMMYFUNCTION("IFERROR(lookup(9999999999,FILTER('Operações-BR'!Q:Q,'Operações-BR'!$C:$C=A805,'Operações-BR'!$A:$A&lt;=C805))/G805,0)"),0.0)</f>
        <v>0</v>
      </c>
      <c r="J805" s="185" t="str">
        <f>IFERROR(VLOOKUP(A805,Ativos!$A$1:$G2000,5,),"")</f>
        <v/>
      </c>
      <c r="K805" s="185" t="str">
        <f>IFERROR(VLOOKUP(A805,Ativos!A:H,8,),"")</f>
        <v/>
      </c>
      <c r="L805" s="186">
        <f t="shared" si="3"/>
        <v>0</v>
      </c>
    </row>
    <row r="806" ht="21.0" customHeight="1">
      <c r="A806" s="187"/>
      <c r="B806" s="187"/>
      <c r="C806" s="188"/>
      <c r="D806" s="135"/>
      <c r="E806" s="189"/>
      <c r="F806" s="182" t="str">
        <f t="shared" si="1"/>
        <v/>
      </c>
      <c r="G806" s="183">
        <f>IFERROR(__xludf.DUMMYFUNCTION("IFERROR(lookup(9999999999,FILTER('Operações-BR'!$M:$M,'Operações-BR'!$C:$C=A806,'Operações-BR'!$A:$A&lt;=C806)),0)"),0.0)</f>
        <v>0</v>
      </c>
      <c r="H806" s="184">
        <f t="shared" si="2"/>
        <v>0</v>
      </c>
      <c r="I806" s="184">
        <f>IFERROR(__xludf.DUMMYFUNCTION("IFERROR(lookup(9999999999,FILTER('Operações-BR'!Q:Q,'Operações-BR'!$C:$C=A806,'Operações-BR'!$A:$A&lt;=C806))/G806,0)"),0.0)</f>
        <v>0</v>
      </c>
      <c r="J806" s="185" t="str">
        <f>IFERROR(VLOOKUP(A806,Ativos!$A$1:$G2000,5,),"")</f>
        <v/>
      </c>
      <c r="K806" s="185" t="str">
        <f>IFERROR(VLOOKUP(A806,Ativos!A:H,8,),"")</f>
        <v/>
      </c>
      <c r="L806" s="186">
        <f t="shared" si="3"/>
        <v>0</v>
      </c>
    </row>
    <row r="807" ht="21.0" customHeight="1">
      <c r="A807" s="187"/>
      <c r="B807" s="187"/>
      <c r="C807" s="188"/>
      <c r="D807" s="135"/>
      <c r="E807" s="189"/>
      <c r="F807" s="182" t="str">
        <f t="shared" si="1"/>
        <v/>
      </c>
      <c r="G807" s="183">
        <f>IFERROR(__xludf.DUMMYFUNCTION("IFERROR(lookup(9999999999,FILTER('Operações-BR'!$M:$M,'Operações-BR'!$C:$C=A807,'Operações-BR'!$A:$A&lt;=C807)),0)"),0.0)</f>
        <v>0</v>
      </c>
      <c r="H807" s="184">
        <f t="shared" si="2"/>
        <v>0</v>
      </c>
      <c r="I807" s="184">
        <f>IFERROR(__xludf.DUMMYFUNCTION("IFERROR(lookup(9999999999,FILTER('Operações-BR'!Q:Q,'Operações-BR'!$C:$C=A807,'Operações-BR'!$A:$A&lt;=C807))/G807,0)"),0.0)</f>
        <v>0</v>
      </c>
      <c r="J807" s="185" t="str">
        <f>IFERROR(VLOOKUP(A807,Ativos!$A$1:$G2000,5,),"")</f>
        <v/>
      </c>
      <c r="K807" s="185" t="str">
        <f>IFERROR(VLOOKUP(A807,Ativos!A:H,8,),"")</f>
        <v/>
      </c>
      <c r="L807" s="186">
        <f t="shared" si="3"/>
        <v>0</v>
      </c>
    </row>
    <row r="808" ht="21.0" customHeight="1">
      <c r="A808" s="187"/>
      <c r="B808" s="187"/>
      <c r="C808" s="188"/>
      <c r="D808" s="135"/>
      <c r="E808" s="189"/>
      <c r="F808" s="182" t="str">
        <f t="shared" si="1"/>
        <v/>
      </c>
      <c r="G808" s="183">
        <f>IFERROR(__xludf.DUMMYFUNCTION("IFERROR(lookup(9999999999,FILTER('Operações-BR'!$M:$M,'Operações-BR'!$C:$C=A808,'Operações-BR'!$A:$A&lt;=C808)),0)"),0.0)</f>
        <v>0</v>
      </c>
      <c r="H808" s="184">
        <f t="shared" si="2"/>
        <v>0</v>
      </c>
      <c r="I808" s="184">
        <f>IFERROR(__xludf.DUMMYFUNCTION("IFERROR(lookup(9999999999,FILTER('Operações-BR'!Q:Q,'Operações-BR'!$C:$C=A808,'Operações-BR'!$A:$A&lt;=C808))/G808,0)"),0.0)</f>
        <v>0</v>
      </c>
      <c r="J808" s="185" t="str">
        <f>IFERROR(VLOOKUP(A808,Ativos!$A$1:$G2000,5,),"")</f>
        <v/>
      </c>
      <c r="K808" s="185" t="str">
        <f>IFERROR(VLOOKUP(A808,Ativos!A:H,8,),"")</f>
        <v/>
      </c>
      <c r="L808" s="186">
        <f t="shared" si="3"/>
        <v>0</v>
      </c>
    </row>
    <row r="809" ht="21.0" customHeight="1">
      <c r="A809" s="187"/>
      <c r="B809" s="187"/>
      <c r="C809" s="188"/>
      <c r="D809" s="135"/>
      <c r="E809" s="189"/>
      <c r="F809" s="182" t="str">
        <f t="shared" si="1"/>
        <v/>
      </c>
      <c r="G809" s="183">
        <f>IFERROR(__xludf.DUMMYFUNCTION("IFERROR(lookup(9999999999,FILTER('Operações-BR'!$M:$M,'Operações-BR'!$C:$C=A809,'Operações-BR'!$A:$A&lt;=C809)),0)"),0.0)</f>
        <v>0</v>
      </c>
      <c r="H809" s="184">
        <f t="shared" si="2"/>
        <v>0</v>
      </c>
      <c r="I809" s="184">
        <f>IFERROR(__xludf.DUMMYFUNCTION("IFERROR(lookup(9999999999,FILTER('Operações-BR'!Q:Q,'Operações-BR'!$C:$C=A809,'Operações-BR'!$A:$A&lt;=C809))/G809,0)"),0.0)</f>
        <v>0</v>
      </c>
      <c r="J809" s="185" t="str">
        <f>IFERROR(VLOOKUP(A809,Ativos!$A$1:$G2000,5,),"")</f>
        <v/>
      </c>
      <c r="K809" s="185" t="str">
        <f>IFERROR(VLOOKUP(A809,Ativos!A:H,8,),"")</f>
        <v/>
      </c>
      <c r="L809" s="186">
        <f t="shared" si="3"/>
        <v>0</v>
      </c>
    </row>
    <row r="810" ht="21.0" customHeight="1">
      <c r="A810" s="187"/>
      <c r="B810" s="187"/>
      <c r="C810" s="188"/>
      <c r="D810" s="135"/>
      <c r="E810" s="189"/>
      <c r="F810" s="182" t="str">
        <f t="shared" si="1"/>
        <v/>
      </c>
      <c r="G810" s="183">
        <f>IFERROR(__xludf.DUMMYFUNCTION("IFERROR(lookup(9999999999,FILTER('Operações-BR'!$M:$M,'Operações-BR'!$C:$C=A810,'Operações-BR'!$A:$A&lt;=C810)),0)"),0.0)</f>
        <v>0</v>
      </c>
      <c r="H810" s="184">
        <f t="shared" si="2"/>
        <v>0</v>
      </c>
      <c r="I810" s="184">
        <f>IFERROR(__xludf.DUMMYFUNCTION("IFERROR(lookup(9999999999,FILTER('Operações-BR'!Q:Q,'Operações-BR'!$C:$C=A810,'Operações-BR'!$A:$A&lt;=C810))/G810,0)"),0.0)</f>
        <v>0</v>
      </c>
      <c r="J810" s="185" t="str">
        <f>IFERROR(VLOOKUP(A810,Ativos!$A$1:$G2000,5,),"")</f>
        <v/>
      </c>
      <c r="K810" s="185" t="str">
        <f>IFERROR(VLOOKUP(A810,Ativos!A:H,8,),"")</f>
        <v/>
      </c>
      <c r="L810" s="186">
        <f t="shared" si="3"/>
        <v>0</v>
      </c>
    </row>
    <row r="811" ht="21.0" customHeight="1">
      <c r="A811" s="187"/>
      <c r="B811" s="187"/>
      <c r="C811" s="188"/>
      <c r="D811" s="135"/>
      <c r="E811" s="189"/>
      <c r="F811" s="182" t="str">
        <f t="shared" si="1"/>
        <v/>
      </c>
      <c r="G811" s="183">
        <f>IFERROR(__xludf.DUMMYFUNCTION("IFERROR(lookup(9999999999,FILTER('Operações-BR'!$M:$M,'Operações-BR'!$C:$C=A811,'Operações-BR'!$A:$A&lt;=C811)),0)"),0.0)</f>
        <v>0</v>
      </c>
      <c r="H811" s="184">
        <f t="shared" si="2"/>
        <v>0</v>
      </c>
      <c r="I811" s="184">
        <f>IFERROR(__xludf.DUMMYFUNCTION("IFERROR(lookup(9999999999,FILTER('Operações-BR'!Q:Q,'Operações-BR'!$C:$C=A811,'Operações-BR'!$A:$A&lt;=C811))/G811,0)"),0.0)</f>
        <v>0</v>
      </c>
      <c r="J811" s="185" t="str">
        <f>IFERROR(VLOOKUP(A811,Ativos!$A$1:$G2000,5,),"")</f>
        <v/>
      </c>
      <c r="K811" s="185" t="str">
        <f>IFERROR(VLOOKUP(A811,Ativos!A:H,8,),"")</f>
        <v/>
      </c>
      <c r="L811" s="186">
        <f t="shared" si="3"/>
        <v>0</v>
      </c>
    </row>
    <row r="812" ht="21.0" customHeight="1">
      <c r="A812" s="187"/>
      <c r="B812" s="187"/>
      <c r="C812" s="188"/>
      <c r="D812" s="135"/>
      <c r="E812" s="189"/>
      <c r="F812" s="182" t="str">
        <f t="shared" si="1"/>
        <v/>
      </c>
      <c r="G812" s="183">
        <f>IFERROR(__xludf.DUMMYFUNCTION("IFERROR(lookup(9999999999,FILTER('Operações-BR'!$M:$M,'Operações-BR'!$C:$C=A812,'Operações-BR'!$A:$A&lt;=C812)),0)"),0.0)</f>
        <v>0</v>
      </c>
      <c r="H812" s="184">
        <f t="shared" si="2"/>
        <v>0</v>
      </c>
      <c r="I812" s="184">
        <f>IFERROR(__xludf.DUMMYFUNCTION("IFERROR(lookup(9999999999,FILTER('Operações-BR'!Q:Q,'Operações-BR'!$C:$C=A812,'Operações-BR'!$A:$A&lt;=C812))/G812,0)"),0.0)</f>
        <v>0</v>
      </c>
      <c r="J812" s="185" t="str">
        <f>IFERROR(VLOOKUP(A812,Ativos!$A$1:$G2000,5,),"")</f>
        <v/>
      </c>
      <c r="K812" s="185" t="str">
        <f>IFERROR(VLOOKUP(A812,Ativos!A:H,8,),"")</f>
        <v/>
      </c>
      <c r="L812" s="186">
        <f t="shared" si="3"/>
        <v>0</v>
      </c>
    </row>
    <row r="813" ht="21.0" customHeight="1">
      <c r="A813" s="187"/>
      <c r="B813" s="187"/>
      <c r="C813" s="188"/>
      <c r="D813" s="135"/>
      <c r="E813" s="189"/>
      <c r="F813" s="182" t="str">
        <f t="shared" si="1"/>
        <v/>
      </c>
      <c r="G813" s="183">
        <f>IFERROR(__xludf.DUMMYFUNCTION("IFERROR(lookup(9999999999,FILTER('Operações-BR'!$M:$M,'Operações-BR'!$C:$C=A813,'Operações-BR'!$A:$A&lt;=C813)),0)"),0.0)</f>
        <v>0</v>
      </c>
      <c r="H813" s="184">
        <f t="shared" si="2"/>
        <v>0</v>
      </c>
      <c r="I813" s="184">
        <f>IFERROR(__xludf.DUMMYFUNCTION("IFERROR(lookup(9999999999,FILTER('Operações-BR'!Q:Q,'Operações-BR'!$C:$C=A813,'Operações-BR'!$A:$A&lt;=C813))/G813,0)"),0.0)</f>
        <v>0</v>
      </c>
      <c r="J813" s="185" t="str">
        <f>IFERROR(VLOOKUP(A813,Ativos!$A$1:$G2000,5,),"")</f>
        <v/>
      </c>
      <c r="K813" s="185" t="str">
        <f>IFERROR(VLOOKUP(A813,Ativos!A:H,8,),"")</f>
        <v/>
      </c>
      <c r="L813" s="186">
        <f t="shared" si="3"/>
        <v>0</v>
      </c>
    </row>
    <row r="814" ht="21.0" customHeight="1">
      <c r="A814" s="187"/>
      <c r="B814" s="187"/>
      <c r="C814" s="188"/>
      <c r="D814" s="135"/>
      <c r="E814" s="189"/>
      <c r="F814" s="182" t="str">
        <f t="shared" si="1"/>
        <v/>
      </c>
      <c r="G814" s="183">
        <f>IFERROR(__xludf.DUMMYFUNCTION("IFERROR(lookup(9999999999,FILTER('Operações-BR'!$M:$M,'Operações-BR'!$C:$C=A814,'Operações-BR'!$A:$A&lt;=C814)),0)"),0.0)</f>
        <v>0</v>
      </c>
      <c r="H814" s="184">
        <f t="shared" si="2"/>
        <v>0</v>
      </c>
      <c r="I814" s="184">
        <f>IFERROR(__xludf.DUMMYFUNCTION("IFERROR(lookup(9999999999,FILTER('Operações-BR'!Q:Q,'Operações-BR'!$C:$C=A814,'Operações-BR'!$A:$A&lt;=C814))/G814,0)"),0.0)</f>
        <v>0</v>
      </c>
      <c r="J814" s="185" t="str">
        <f>IFERROR(VLOOKUP(A814,Ativos!$A$1:$G2000,5,),"")</f>
        <v/>
      </c>
      <c r="K814" s="185" t="str">
        <f>IFERROR(VLOOKUP(A814,Ativos!A:H,8,),"")</f>
        <v/>
      </c>
      <c r="L814" s="186">
        <f t="shared" si="3"/>
        <v>0</v>
      </c>
    </row>
    <row r="815" ht="21.0" customHeight="1">
      <c r="A815" s="187"/>
      <c r="B815" s="187"/>
      <c r="C815" s="188"/>
      <c r="D815" s="135"/>
      <c r="E815" s="189"/>
      <c r="F815" s="182" t="str">
        <f t="shared" si="1"/>
        <v/>
      </c>
      <c r="G815" s="183">
        <f>IFERROR(__xludf.DUMMYFUNCTION("IFERROR(lookup(9999999999,FILTER('Operações-BR'!$M:$M,'Operações-BR'!$C:$C=A815,'Operações-BR'!$A:$A&lt;=C815)),0)"),0.0)</f>
        <v>0</v>
      </c>
      <c r="H815" s="184">
        <f t="shared" si="2"/>
        <v>0</v>
      </c>
      <c r="I815" s="184">
        <f>IFERROR(__xludf.DUMMYFUNCTION("IFERROR(lookup(9999999999,FILTER('Operações-BR'!Q:Q,'Operações-BR'!$C:$C=A815,'Operações-BR'!$A:$A&lt;=C815))/G815,0)"),0.0)</f>
        <v>0</v>
      </c>
      <c r="J815" s="185" t="str">
        <f>IFERROR(VLOOKUP(A815,Ativos!$A$1:$G2000,5,),"")</f>
        <v/>
      </c>
      <c r="K815" s="185" t="str">
        <f>IFERROR(VLOOKUP(A815,Ativos!A:H,8,),"")</f>
        <v/>
      </c>
      <c r="L815" s="186">
        <f t="shared" si="3"/>
        <v>0</v>
      </c>
    </row>
    <row r="816" ht="21.0" customHeight="1">
      <c r="A816" s="187"/>
      <c r="B816" s="187"/>
      <c r="C816" s="188"/>
      <c r="D816" s="135"/>
      <c r="E816" s="189"/>
      <c r="F816" s="182" t="str">
        <f t="shared" si="1"/>
        <v/>
      </c>
      <c r="G816" s="183">
        <f>IFERROR(__xludf.DUMMYFUNCTION("IFERROR(lookup(9999999999,FILTER('Operações-BR'!$M:$M,'Operações-BR'!$C:$C=A816,'Operações-BR'!$A:$A&lt;=C816)),0)"),0.0)</f>
        <v>0</v>
      </c>
      <c r="H816" s="184">
        <f t="shared" si="2"/>
        <v>0</v>
      </c>
      <c r="I816" s="184">
        <f>IFERROR(__xludf.DUMMYFUNCTION("IFERROR(lookup(9999999999,FILTER('Operações-BR'!Q:Q,'Operações-BR'!$C:$C=A816,'Operações-BR'!$A:$A&lt;=C816))/G816,0)"),0.0)</f>
        <v>0</v>
      </c>
      <c r="J816" s="185" t="str">
        <f>IFERROR(VLOOKUP(A816,Ativos!$A$1:$G2000,5,),"")</f>
        <v/>
      </c>
      <c r="K816" s="185" t="str">
        <f>IFERROR(VLOOKUP(A816,Ativos!A:H,8,),"")</f>
        <v/>
      </c>
      <c r="L816" s="186">
        <f t="shared" si="3"/>
        <v>0</v>
      </c>
    </row>
    <row r="817" ht="21.0" customHeight="1">
      <c r="A817" s="187"/>
      <c r="B817" s="187"/>
      <c r="C817" s="188"/>
      <c r="D817" s="135"/>
      <c r="E817" s="189"/>
      <c r="F817" s="182" t="str">
        <f t="shared" si="1"/>
        <v/>
      </c>
      <c r="G817" s="183">
        <f>IFERROR(__xludf.DUMMYFUNCTION("IFERROR(lookup(9999999999,FILTER('Operações-BR'!$M:$M,'Operações-BR'!$C:$C=A817,'Operações-BR'!$A:$A&lt;=C817)),0)"),0.0)</f>
        <v>0</v>
      </c>
      <c r="H817" s="184">
        <f t="shared" si="2"/>
        <v>0</v>
      </c>
      <c r="I817" s="184">
        <f>IFERROR(__xludf.DUMMYFUNCTION("IFERROR(lookup(9999999999,FILTER('Operações-BR'!Q:Q,'Operações-BR'!$C:$C=A817,'Operações-BR'!$A:$A&lt;=C817))/G817,0)"),0.0)</f>
        <v>0</v>
      </c>
      <c r="J817" s="185" t="str">
        <f>IFERROR(VLOOKUP(A817,Ativos!$A$1:$G2000,5,),"")</f>
        <v/>
      </c>
      <c r="K817" s="185" t="str">
        <f>IFERROR(VLOOKUP(A817,Ativos!A:H,8,),"")</f>
        <v/>
      </c>
      <c r="L817" s="186">
        <f t="shared" si="3"/>
        <v>0</v>
      </c>
    </row>
    <row r="818" ht="21.0" customHeight="1">
      <c r="A818" s="187"/>
      <c r="B818" s="187"/>
      <c r="C818" s="188"/>
      <c r="D818" s="135"/>
      <c r="E818" s="189"/>
      <c r="F818" s="182" t="str">
        <f t="shared" si="1"/>
        <v/>
      </c>
      <c r="G818" s="183">
        <f>IFERROR(__xludf.DUMMYFUNCTION("IFERROR(lookup(9999999999,FILTER('Operações-BR'!$M:$M,'Operações-BR'!$C:$C=A818,'Operações-BR'!$A:$A&lt;=C818)),0)"),0.0)</f>
        <v>0</v>
      </c>
      <c r="H818" s="184">
        <f t="shared" si="2"/>
        <v>0</v>
      </c>
      <c r="I818" s="184">
        <f>IFERROR(__xludf.DUMMYFUNCTION("IFERROR(lookup(9999999999,FILTER('Operações-BR'!Q:Q,'Operações-BR'!$C:$C=A818,'Operações-BR'!$A:$A&lt;=C818))/G818,0)"),0.0)</f>
        <v>0</v>
      </c>
      <c r="J818" s="185" t="str">
        <f>IFERROR(VLOOKUP(A818,Ativos!$A$1:$G2000,5,),"")</f>
        <v/>
      </c>
      <c r="K818" s="185" t="str">
        <f>IFERROR(VLOOKUP(A818,Ativos!A:H,8,),"")</f>
        <v/>
      </c>
      <c r="L818" s="186">
        <f t="shared" si="3"/>
        <v>0</v>
      </c>
    </row>
    <row r="819" ht="21.0" customHeight="1">
      <c r="A819" s="187"/>
      <c r="B819" s="187"/>
      <c r="C819" s="188"/>
      <c r="D819" s="135"/>
      <c r="E819" s="189"/>
      <c r="F819" s="182" t="str">
        <f t="shared" si="1"/>
        <v/>
      </c>
      <c r="G819" s="183">
        <f>IFERROR(__xludf.DUMMYFUNCTION("IFERROR(lookup(9999999999,FILTER('Operações-BR'!$M:$M,'Operações-BR'!$C:$C=A819,'Operações-BR'!$A:$A&lt;=C819)),0)"),0.0)</f>
        <v>0</v>
      </c>
      <c r="H819" s="184">
        <f t="shared" si="2"/>
        <v>0</v>
      </c>
      <c r="I819" s="184">
        <f>IFERROR(__xludf.DUMMYFUNCTION("IFERROR(lookup(9999999999,FILTER('Operações-BR'!Q:Q,'Operações-BR'!$C:$C=A819,'Operações-BR'!$A:$A&lt;=C819))/G819,0)"),0.0)</f>
        <v>0</v>
      </c>
      <c r="J819" s="185" t="str">
        <f>IFERROR(VLOOKUP(A819,Ativos!$A$1:$G2000,5,),"")</f>
        <v/>
      </c>
      <c r="K819" s="185" t="str">
        <f>IFERROR(VLOOKUP(A819,Ativos!A:H,8,),"")</f>
        <v/>
      </c>
      <c r="L819" s="186">
        <f t="shared" si="3"/>
        <v>0</v>
      </c>
    </row>
    <row r="820" ht="21.0" customHeight="1">
      <c r="A820" s="187"/>
      <c r="B820" s="187"/>
      <c r="C820" s="188"/>
      <c r="D820" s="135"/>
      <c r="E820" s="189"/>
      <c r="F820" s="182" t="str">
        <f t="shared" si="1"/>
        <v/>
      </c>
      <c r="G820" s="183">
        <f>IFERROR(__xludf.DUMMYFUNCTION("IFERROR(lookup(9999999999,FILTER('Operações-BR'!$M:$M,'Operações-BR'!$C:$C=A820,'Operações-BR'!$A:$A&lt;=C820)),0)"),0.0)</f>
        <v>0</v>
      </c>
      <c r="H820" s="184">
        <f t="shared" si="2"/>
        <v>0</v>
      </c>
      <c r="I820" s="184">
        <f>IFERROR(__xludf.DUMMYFUNCTION("IFERROR(lookup(9999999999,FILTER('Operações-BR'!Q:Q,'Operações-BR'!$C:$C=A820,'Operações-BR'!$A:$A&lt;=C820))/G820,0)"),0.0)</f>
        <v>0</v>
      </c>
      <c r="J820" s="185" t="str">
        <f>IFERROR(VLOOKUP(A820,Ativos!$A$1:$G2000,5,),"")</f>
        <v/>
      </c>
      <c r="K820" s="185" t="str">
        <f>IFERROR(VLOOKUP(A820,Ativos!A:H,8,),"")</f>
        <v/>
      </c>
      <c r="L820" s="186">
        <f t="shared" si="3"/>
        <v>0</v>
      </c>
    </row>
    <row r="821" ht="21.0" customHeight="1">
      <c r="A821" s="187"/>
      <c r="B821" s="187"/>
      <c r="C821" s="188"/>
      <c r="D821" s="135"/>
      <c r="E821" s="189"/>
      <c r="F821" s="182" t="str">
        <f t="shared" si="1"/>
        <v/>
      </c>
      <c r="G821" s="183">
        <f>IFERROR(__xludf.DUMMYFUNCTION("IFERROR(lookup(9999999999,FILTER('Operações-BR'!$M:$M,'Operações-BR'!$C:$C=A821,'Operações-BR'!$A:$A&lt;=C821)),0)"),0.0)</f>
        <v>0</v>
      </c>
      <c r="H821" s="184">
        <f t="shared" si="2"/>
        <v>0</v>
      </c>
      <c r="I821" s="184">
        <f>IFERROR(__xludf.DUMMYFUNCTION("IFERROR(lookup(9999999999,FILTER('Operações-BR'!Q:Q,'Operações-BR'!$C:$C=A821,'Operações-BR'!$A:$A&lt;=C821))/G821,0)"),0.0)</f>
        <v>0</v>
      </c>
      <c r="J821" s="185" t="str">
        <f>IFERROR(VLOOKUP(A821,Ativos!$A$1:$G2000,5,),"")</f>
        <v/>
      </c>
      <c r="K821" s="185" t="str">
        <f>IFERROR(VLOOKUP(A821,Ativos!A:H,8,),"")</f>
        <v/>
      </c>
      <c r="L821" s="186">
        <f t="shared" si="3"/>
        <v>0</v>
      </c>
    </row>
    <row r="822" ht="21.0" customHeight="1">
      <c r="A822" s="187"/>
      <c r="B822" s="187"/>
      <c r="C822" s="188"/>
      <c r="D822" s="135"/>
      <c r="E822" s="189"/>
      <c r="F822" s="182" t="str">
        <f t="shared" si="1"/>
        <v/>
      </c>
      <c r="G822" s="183">
        <f>IFERROR(__xludf.DUMMYFUNCTION("IFERROR(lookup(9999999999,FILTER('Operações-BR'!$M:$M,'Operações-BR'!$C:$C=A822,'Operações-BR'!$A:$A&lt;=C822)),0)"),0.0)</f>
        <v>0</v>
      </c>
      <c r="H822" s="184">
        <f t="shared" si="2"/>
        <v>0</v>
      </c>
      <c r="I822" s="184">
        <f>IFERROR(__xludf.DUMMYFUNCTION("IFERROR(lookup(9999999999,FILTER('Operações-BR'!Q:Q,'Operações-BR'!$C:$C=A822,'Operações-BR'!$A:$A&lt;=C822))/G822,0)"),0.0)</f>
        <v>0</v>
      </c>
      <c r="J822" s="185" t="str">
        <f>IFERROR(VLOOKUP(A822,Ativos!$A$1:$G2000,5,),"")</f>
        <v/>
      </c>
      <c r="K822" s="185" t="str">
        <f>IFERROR(VLOOKUP(A822,Ativos!A:H,8,),"")</f>
        <v/>
      </c>
      <c r="L822" s="186">
        <f t="shared" si="3"/>
        <v>0</v>
      </c>
    </row>
    <row r="823" ht="21.0" customHeight="1">
      <c r="A823" s="187"/>
      <c r="B823" s="187"/>
      <c r="C823" s="188"/>
      <c r="D823" s="135"/>
      <c r="E823" s="189"/>
      <c r="F823" s="182" t="str">
        <f t="shared" si="1"/>
        <v/>
      </c>
      <c r="G823" s="183">
        <f>IFERROR(__xludf.DUMMYFUNCTION("IFERROR(lookup(9999999999,FILTER('Operações-BR'!$M:$M,'Operações-BR'!$C:$C=A823,'Operações-BR'!$A:$A&lt;=C823)),0)"),0.0)</f>
        <v>0</v>
      </c>
      <c r="H823" s="184">
        <f t="shared" si="2"/>
        <v>0</v>
      </c>
      <c r="I823" s="184">
        <f>IFERROR(__xludf.DUMMYFUNCTION("IFERROR(lookup(9999999999,FILTER('Operações-BR'!Q:Q,'Operações-BR'!$C:$C=A823,'Operações-BR'!$A:$A&lt;=C823))/G823,0)"),0.0)</f>
        <v>0</v>
      </c>
      <c r="J823" s="185" t="str">
        <f>IFERROR(VLOOKUP(A823,Ativos!$A$1:$G2000,5,),"")</f>
        <v/>
      </c>
      <c r="K823" s="185" t="str">
        <f>IFERROR(VLOOKUP(A823,Ativos!A:H,8,),"")</f>
        <v/>
      </c>
      <c r="L823" s="186">
        <f t="shared" si="3"/>
        <v>0</v>
      </c>
    </row>
    <row r="824" ht="21.0" customHeight="1">
      <c r="A824" s="187"/>
      <c r="B824" s="187"/>
      <c r="C824" s="188"/>
      <c r="D824" s="135"/>
      <c r="E824" s="189"/>
      <c r="F824" s="182" t="str">
        <f t="shared" si="1"/>
        <v/>
      </c>
      <c r="G824" s="183">
        <f>IFERROR(__xludf.DUMMYFUNCTION("IFERROR(lookup(9999999999,FILTER('Operações-BR'!$M:$M,'Operações-BR'!$C:$C=A824,'Operações-BR'!$A:$A&lt;=C824)),0)"),0.0)</f>
        <v>0</v>
      </c>
      <c r="H824" s="184">
        <f t="shared" si="2"/>
        <v>0</v>
      </c>
      <c r="I824" s="184">
        <f>IFERROR(__xludf.DUMMYFUNCTION("IFERROR(lookup(9999999999,FILTER('Operações-BR'!Q:Q,'Operações-BR'!$C:$C=A824,'Operações-BR'!$A:$A&lt;=C824))/G824,0)"),0.0)</f>
        <v>0</v>
      </c>
      <c r="J824" s="185" t="str">
        <f>IFERROR(VLOOKUP(A824,Ativos!$A$1:$G2000,5,),"")</f>
        <v/>
      </c>
      <c r="K824" s="185" t="str">
        <f>IFERROR(VLOOKUP(A824,Ativos!A:H,8,),"")</f>
        <v/>
      </c>
      <c r="L824" s="186">
        <f t="shared" si="3"/>
        <v>0</v>
      </c>
    </row>
    <row r="825" ht="21.0" customHeight="1">
      <c r="A825" s="187"/>
      <c r="B825" s="187"/>
      <c r="C825" s="188"/>
      <c r="D825" s="135"/>
      <c r="E825" s="189"/>
      <c r="F825" s="182" t="str">
        <f t="shared" si="1"/>
        <v/>
      </c>
      <c r="G825" s="183">
        <f>IFERROR(__xludf.DUMMYFUNCTION("IFERROR(lookup(9999999999,FILTER('Operações-BR'!$M:$M,'Operações-BR'!$C:$C=A825,'Operações-BR'!$A:$A&lt;=C825)),0)"),0.0)</f>
        <v>0</v>
      </c>
      <c r="H825" s="184">
        <f t="shared" si="2"/>
        <v>0</v>
      </c>
      <c r="I825" s="184">
        <f>IFERROR(__xludf.DUMMYFUNCTION("IFERROR(lookup(9999999999,FILTER('Operações-BR'!Q:Q,'Operações-BR'!$C:$C=A825,'Operações-BR'!$A:$A&lt;=C825))/G825,0)"),0.0)</f>
        <v>0</v>
      </c>
      <c r="J825" s="185" t="str">
        <f>IFERROR(VLOOKUP(A825,Ativos!$A$1:$G2000,5,),"")</f>
        <v/>
      </c>
      <c r="K825" s="185" t="str">
        <f>IFERROR(VLOOKUP(A825,Ativos!A:H,8,),"")</f>
        <v/>
      </c>
      <c r="L825" s="186">
        <f t="shared" si="3"/>
        <v>0</v>
      </c>
    </row>
    <row r="826" ht="21.0" customHeight="1">
      <c r="A826" s="187"/>
      <c r="B826" s="187"/>
      <c r="C826" s="188"/>
      <c r="D826" s="135"/>
      <c r="E826" s="189"/>
      <c r="F826" s="182" t="str">
        <f t="shared" si="1"/>
        <v/>
      </c>
      <c r="G826" s="183">
        <f>IFERROR(__xludf.DUMMYFUNCTION("IFERROR(lookup(9999999999,FILTER('Operações-BR'!$M:$M,'Operações-BR'!$C:$C=A826,'Operações-BR'!$A:$A&lt;=C826)),0)"),0.0)</f>
        <v>0</v>
      </c>
      <c r="H826" s="184">
        <f t="shared" si="2"/>
        <v>0</v>
      </c>
      <c r="I826" s="184">
        <f>IFERROR(__xludf.DUMMYFUNCTION("IFERROR(lookup(9999999999,FILTER('Operações-BR'!Q:Q,'Operações-BR'!$C:$C=A826,'Operações-BR'!$A:$A&lt;=C826))/G826,0)"),0.0)</f>
        <v>0</v>
      </c>
      <c r="J826" s="185" t="str">
        <f>IFERROR(VLOOKUP(A826,Ativos!$A$1:$G2000,5,),"")</f>
        <v/>
      </c>
      <c r="K826" s="185" t="str">
        <f>IFERROR(VLOOKUP(A826,Ativos!A:H,8,),"")</f>
        <v/>
      </c>
      <c r="L826" s="186">
        <f t="shared" si="3"/>
        <v>0</v>
      </c>
    </row>
    <row r="827" ht="21.0" customHeight="1">
      <c r="A827" s="187"/>
      <c r="B827" s="187"/>
      <c r="C827" s="188"/>
      <c r="D827" s="135"/>
      <c r="E827" s="189"/>
      <c r="F827" s="182" t="str">
        <f t="shared" si="1"/>
        <v/>
      </c>
      <c r="G827" s="183">
        <f>IFERROR(__xludf.DUMMYFUNCTION("IFERROR(lookup(9999999999,FILTER('Operações-BR'!$M:$M,'Operações-BR'!$C:$C=A827,'Operações-BR'!$A:$A&lt;=C827)),0)"),0.0)</f>
        <v>0</v>
      </c>
      <c r="H827" s="184">
        <f t="shared" si="2"/>
        <v>0</v>
      </c>
      <c r="I827" s="184">
        <f>IFERROR(__xludf.DUMMYFUNCTION("IFERROR(lookup(9999999999,FILTER('Operações-BR'!Q:Q,'Operações-BR'!$C:$C=A827,'Operações-BR'!$A:$A&lt;=C827))/G827,0)"),0.0)</f>
        <v>0</v>
      </c>
      <c r="J827" s="185" t="str">
        <f>IFERROR(VLOOKUP(A827,Ativos!$A$1:$G2000,5,),"")</f>
        <v/>
      </c>
      <c r="K827" s="185" t="str">
        <f>IFERROR(VLOOKUP(A827,Ativos!A:H,8,),"")</f>
        <v/>
      </c>
      <c r="L827" s="186">
        <f t="shared" si="3"/>
        <v>0</v>
      </c>
    </row>
    <row r="828" ht="21.0" customHeight="1">
      <c r="A828" s="187"/>
      <c r="B828" s="187"/>
      <c r="C828" s="188"/>
      <c r="D828" s="135"/>
      <c r="E828" s="189"/>
      <c r="F828" s="182" t="str">
        <f t="shared" si="1"/>
        <v/>
      </c>
      <c r="G828" s="183">
        <f>IFERROR(__xludf.DUMMYFUNCTION("IFERROR(lookup(9999999999,FILTER('Operações-BR'!$M:$M,'Operações-BR'!$C:$C=A828,'Operações-BR'!$A:$A&lt;=C828)),0)"),0.0)</f>
        <v>0</v>
      </c>
      <c r="H828" s="184">
        <f t="shared" si="2"/>
        <v>0</v>
      </c>
      <c r="I828" s="184">
        <f>IFERROR(__xludf.DUMMYFUNCTION("IFERROR(lookup(9999999999,FILTER('Operações-BR'!Q:Q,'Operações-BR'!$C:$C=A828,'Operações-BR'!$A:$A&lt;=C828))/G828,0)"),0.0)</f>
        <v>0</v>
      </c>
      <c r="J828" s="185" t="str">
        <f>IFERROR(VLOOKUP(A828,Ativos!$A$1:$G2000,5,),"")</f>
        <v/>
      </c>
      <c r="K828" s="185" t="str">
        <f>IFERROR(VLOOKUP(A828,Ativos!A:H,8,),"")</f>
        <v/>
      </c>
      <c r="L828" s="186">
        <f t="shared" si="3"/>
        <v>0</v>
      </c>
    </row>
    <row r="829" ht="21.0" customHeight="1">
      <c r="A829" s="187"/>
      <c r="B829" s="187"/>
      <c r="C829" s="188"/>
      <c r="D829" s="135"/>
      <c r="E829" s="189"/>
      <c r="F829" s="182" t="str">
        <f t="shared" si="1"/>
        <v/>
      </c>
      <c r="G829" s="183">
        <f>IFERROR(__xludf.DUMMYFUNCTION("IFERROR(lookup(9999999999,FILTER('Operações-BR'!$M:$M,'Operações-BR'!$C:$C=A829,'Operações-BR'!$A:$A&lt;=C829)),0)"),0.0)</f>
        <v>0</v>
      </c>
      <c r="H829" s="184">
        <f t="shared" si="2"/>
        <v>0</v>
      </c>
      <c r="I829" s="184">
        <f>IFERROR(__xludf.DUMMYFUNCTION("IFERROR(lookup(9999999999,FILTER('Operações-BR'!Q:Q,'Operações-BR'!$C:$C=A829,'Operações-BR'!$A:$A&lt;=C829))/G829,0)"),0.0)</f>
        <v>0</v>
      </c>
      <c r="J829" s="185" t="str">
        <f>IFERROR(VLOOKUP(A829,Ativos!$A$1:$G2000,5,),"")</f>
        <v/>
      </c>
      <c r="K829" s="185" t="str">
        <f>IFERROR(VLOOKUP(A829,Ativos!A:H,8,),"")</f>
        <v/>
      </c>
      <c r="L829" s="186">
        <f t="shared" si="3"/>
        <v>0</v>
      </c>
    </row>
    <row r="830" ht="21.0" customHeight="1">
      <c r="A830" s="187"/>
      <c r="B830" s="187"/>
      <c r="C830" s="188"/>
      <c r="D830" s="135"/>
      <c r="E830" s="189"/>
      <c r="F830" s="182" t="str">
        <f t="shared" si="1"/>
        <v/>
      </c>
      <c r="G830" s="183">
        <f>IFERROR(__xludf.DUMMYFUNCTION("IFERROR(lookup(9999999999,FILTER('Operações-BR'!$M:$M,'Operações-BR'!$C:$C=A830,'Operações-BR'!$A:$A&lt;=C830)),0)"),0.0)</f>
        <v>0</v>
      </c>
      <c r="H830" s="184">
        <f t="shared" si="2"/>
        <v>0</v>
      </c>
      <c r="I830" s="184">
        <f>IFERROR(__xludf.DUMMYFUNCTION("IFERROR(lookup(9999999999,FILTER('Operações-BR'!Q:Q,'Operações-BR'!$C:$C=A830,'Operações-BR'!$A:$A&lt;=C830))/G830,0)"),0.0)</f>
        <v>0</v>
      </c>
      <c r="J830" s="185" t="str">
        <f>IFERROR(VLOOKUP(A830,Ativos!$A$1:$G2000,5,),"")</f>
        <v/>
      </c>
      <c r="K830" s="185" t="str">
        <f>IFERROR(VLOOKUP(A830,Ativos!A:H,8,),"")</f>
        <v/>
      </c>
      <c r="L830" s="186">
        <f t="shared" si="3"/>
        <v>0</v>
      </c>
    </row>
    <row r="831" ht="21.0" customHeight="1">
      <c r="A831" s="187"/>
      <c r="B831" s="187"/>
      <c r="C831" s="188"/>
      <c r="D831" s="135"/>
      <c r="E831" s="189"/>
      <c r="F831" s="182" t="str">
        <f t="shared" si="1"/>
        <v/>
      </c>
      <c r="G831" s="183">
        <f>IFERROR(__xludf.DUMMYFUNCTION("IFERROR(lookup(9999999999,FILTER('Operações-BR'!$M:$M,'Operações-BR'!$C:$C=A831,'Operações-BR'!$A:$A&lt;=C831)),0)"),0.0)</f>
        <v>0</v>
      </c>
      <c r="H831" s="184">
        <f t="shared" si="2"/>
        <v>0</v>
      </c>
      <c r="I831" s="184">
        <f>IFERROR(__xludf.DUMMYFUNCTION("IFERROR(lookup(9999999999,FILTER('Operações-BR'!Q:Q,'Operações-BR'!$C:$C=A831,'Operações-BR'!$A:$A&lt;=C831))/G831,0)"),0.0)</f>
        <v>0</v>
      </c>
      <c r="J831" s="185" t="str">
        <f>IFERROR(VLOOKUP(A831,Ativos!$A$1:$G2000,5,),"")</f>
        <v/>
      </c>
      <c r="K831" s="185" t="str">
        <f>IFERROR(VLOOKUP(A831,Ativos!A:H,8,),"")</f>
        <v/>
      </c>
      <c r="L831" s="186">
        <f t="shared" si="3"/>
        <v>0</v>
      </c>
    </row>
    <row r="832" ht="21.0" customHeight="1">
      <c r="A832" s="187"/>
      <c r="B832" s="187"/>
      <c r="C832" s="188"/>
      <c r="D832" s="135"/>
      <c r="E832" s="189"/>
      <c r="F832" s="182" t="str">
        <f t="shared" si="1"/>
        <v/>
      </c>
      <c r="G832" s="183">
        <f>IFERROR(__xludf.DUMMYFUNCTION("IFERROR(lookup(9999999999,FILTER('Operações-BR'!$M:$M,'Operações-BR'!$C:$C=A832,'Operações-BR'!$A:$A&lt;=C832)),0)"),0.0)</f>
        <v>0</v>
      </c>
      <c r="H832" s="184">
        <f t="shared" si="2"/>
        <v>0</v>
      </c>
      <c r="I832" s="184">
        <f>IFERROR(__xludf.DUMMYFUNCTION("IFERROR(lookup(9999999999,FILTER('Operações-BR'!Q:Q,'Operações-BR'!$C:$C=A832,'Operações-BR'!$A:$A&lt;=C832))/G832,0)"),0.0)</f>
        <v>0</v>
      </c>
      <c r="J832" s="185" t="str">
        <f>IFERROR(VLOOKUP(A832,Ativos!$A$1:$G2000,5,),"")</f>
        <v/>
      </c>
      <c r="K832" s="185" t="str">
        <f>IFERROR(VLOOKUP(A832,Ativos!A:H,8,),"")</f>
        <v/>
      </c>
      <c r="L832" s="186">
        <f t="shared" si="3"/>
        <v>0</v>
      </c>
    </row>
    <row r="833" ht="21.0" customHeight="1">
      <c r="A833" s="187"/>
      <c r="B833" s="187"/>
      <c r="C833" s="188"/>
      <c r="D833" s="135"/>
      <c r="E833" s="189"/>
      <c r="F833" s="182" t="str">
        <f t="shared" si="1"/>
        <v/>
      </c>
      <c r="G833" s="183">
        <f>IFERROR(__xludf.DUMMYFUNCTION("IFERROR(lookup(9999999999,FILTER('Operações-BR'!$M:$M,'Operações-BR'!$C:$C=A833,'Operações-BR'!$A:$A&lt;=C833)),0)"),0.0)</f>
        <v>0</v>
      </c>
      <c r="H833" s="184">
        <f t="shared" si="2"/>
        <v>0</v>
      </c>
      <c r="I833" s="184">
        <f>IFERROR(__xludf.DUMMYFUNCTION("IFERROR(lookup(9999999999,FILTER('Operações-BR'!Q:Q,'Operações-BR'!$C:$C=A833,'Operações-BR'!$A:$A&lt;=C833))/G833,0)"),0.0)</f>
        <v>0</v>
      </c>
      <c r="J833" s="185" t="str">
        <f>IFERROR(VLOOKUP(A833,Ativos!$A$1:$G2000,5,),"")</f>
        <v/>
      </c>
      <c r="K833" s="185" t="str">
        <f>IFERROR(VLOOKUP(A833,Ativos!A:H,8,),"")</f>
        <v/>
      </c>
      <c r="L833" s="186">
        <f t="shared" si="3"/>
        <v>0</v>
      </c>
    </row>
    <row r="834" ht="21.0" customHeight="1">
      <c r="A834" s="187"/>
      <c r="B834" s="187"/>
      <c r="C834" s="188"/>
      <c r="D834" s="135"/>
      <c r="E834" s="189"/>
      <c r="F834" s="182" t="str">
        <f t="shared" si="1"/>
        <v/>
      </c>
      <c r="G834" s="183">
        <f>IFERROR(__xludf.DUMMYFUNCTION("IFERROR(lookup(9999999999,FILTER('Operações-BR'!$M:$M,'Operações-BR'!$C:$C=A834,'Operações-BR'!$A:$A&lt;=C834)),0)"),0.0)</f>
        <v>0</v>
      </c>
      <c r="H834" s="184">
        <f t="shared" si="2"/>
        <v>0</v>
      </c>
      <c r="I834" s="184">
        <f>IFERROR(__xludf.DUMMYFUNCTION("IFERROR(lookup(9999999999,FILTER('Operações-BR'!Q:Q,'Operações-BR'!$C:$C=A834,'Operações-BR'!$A:$A&lt;=C834))/G834,0)"),0.0)</f>
        <v>0</v>
      </c>
      <c r="J834" s="185" t="str">
        <f>IFERROR(VLOOKUP(A834,Ativos!$A$1:$G2000,5,),"")</f>
        <v/>
      </c>
      <c r="K834" s="185" t="str">
        <f>IFERROR(VLOOKUP(A834,Ativos!A:H,8,),"")</f>
        <v/>
      </c>
      <c r="L834" s="186">
        <f t="shared" si="3"/>
        <v>0</v>
      </c>
    </row>
    <row r="835" ht="21.0" customHeight="1">
      <c r="A835" s="187"/>
      <c r="B835" s="187"/>
      <c r="C835" s="188"/>
      <c r="D835" s="135"/>
      <c r="E835" s="189"/>
      <c r="F835" s="182" t="str">
        <f t="shared" si="1"/>
        <v/>
      </c>
      <c r="G835" s="183">
        <f>IFERROR(__xludf.DUMMYFUNCTION("IFERROR(lookup(9999999999,FILTER('Operações-BR'!$M:$M,'Operações-BR'!$C:$C=A835,'Operações-BR'!$A:$A&lt;=C835)),0)"),0.0)</f>
        <v>0</v>
      </c>
      <c r="H835" s="184">
        <f t="shared" si="2"/>
        <v>0</v>
      </c>
      <c r="I835" s="184">
        <f>IFERROR(__xludf.DUMMYFUNCTION("IFERROR(lookup(9999999999,FILTER('Operações-BR'!Q:Q,'Operações-BR'!$C:$C=A835,'Operações-BR'!$A:$A&lt;=C835))/G835,0)"),0.0)</f>
        <v>0</v>
      </c>
      <c r="J835" s="185" t="str">
        <f>IFERROR(VLOOKUP(A835,Ativos!$A$1:$G2000,5,),"")</f>
        <v/>
      </c>
      <c r="K835" s="185" t="str">
        <f>IFERROR(VLOOKUP(A835,Ativos!A:H,8,),"")</f>
        <v/>
      </c>
      <c r="L835" s="186">
        <f t="shared" si="3"/>
        <v>0</v>
      </c>
    </row>
    <row r="836" ht="21.0" customHeight="1">
      <c r="A836" s="187"/>
      <c r="B836" s="187"/>
      <c r="C836" s="188"/>
      <c r="D836" s="135"/>
      <c r="E836" s="189"/>
      <c r="F836" s="182" t="str">
        <f t="shared" si="1"/>
        <v/>
      </c>
      <c r="G836" s="183">
        <f>IFERROR(__xludf.DUMMYFUNCTION("IFERROR(lookup(9999999999,FILTER('Operações-BR'!$M:$M,'Operações-BR'!$C:$C=A836,'Operações-BR'!$A:$A&lt;=C836)),0)"),0.0)</f>
        <v>0</v>
      </c>
      <c r="H836" s="184">
        <f t="shared" si="2"/>
        <v>0</v>
      </c>
      <c r="I836" s="184">
        <f>IFERROR(__xludf.DUMMYFUNCTION("IFERROR(lookup(9999999999,FILTER('Operações-BR'!Q:Q,'Operações-BR'!$C:$C=A836,'Operações-BR'!$A:$A&lt;=C836))/G836,0)"),0.0)</f>
        <v>0</v>
      </c>
      <c r="J836" s="185" t="str">
        <f>IFERROR(VLOOKUP(A836,Ativos!$A$1:$G2000,5,),"")</f>
        <v/>
      </c>
      <c r="K836" s="185" t="str">
        <f>IFERROR(VLOOKUP(A836,Ativos!A:H,8,),"")</f>
        <v/>
      </c>
      <c r="L836" s="186">
        <f t="shared" si="3"/>
        <v>0</v>
      </c>
    </row>
    <row r="837" ht="21.0" customHeight="1">
      <c r="A837" s="187"/>
      <c r="B837" s="187"/>
      <c r="C837" s="188"/>
      <c r="D837" s="135"/>
      <c r="E837" s="189"/>
      <c r="F837" s="182" t="str">
        <f t="shared" si="1"/>
        <v/>
      </c>
      <c r="G837" s="183">
        <f>IFERROR(__xludf.DUMMYFUNCTION("IFERROR(lookup(9999999999,FILTER('Operações-BR'!$M:$M,'Operações-BR'!$C:$C=A837,'Operações-BR'!$A:$A&lt;=C837)),0)"),0.0)</f>
        <v>0</v>
      </c>
      <c r="H837" s="184">
        <f t="shared" si="2"/>
        <v>0</v>
      </c>
      <c r="I837" s="184">
        <f>IFERROR(__xludf.DUMMYFUNCTION("IFERROR(lookup(9999999999,FILTER('Operações-BR'!Q:Q,'Operações-BR'!$C:$C=A837,'Operações-BR'!$A:$A&lt;=C837))/G837,0)"),0.0)</f>
        <v>0</v>
      </c>
      <c r="J837" s="185" t="str">
        <f>IFERROR(VLOOKUP(A837,Ativos!$A$1:$G2000,5,),"")</f>
        <v/>
      </c>
      <c r="K837" s="185" t="str">
        <f>IFERROR(VLOOKUP(A837,Ativos!A:H,8,),"")</f>
        <v/>
      </c>
      <c r="L837" s="186">
        <f t="shared" si="3"/>
        <v>0</v>
      </c>
    </row>
    <row r="838" ht="21.0" customHeight="1">
      <c r="A838" s="187"/>
      <c r="B838" s="187"/>
      <c r="C838" s="188"/>
      <c r="D838" s="135"/>
      <c r="E838" s="189"/>
      <c r="F838" s="182" t="str">
        <f t="shared" si="1"/>
        <v/>
      </c>
      <c r="G838" s="183">
        <f>IFERROR(__xludf.DUMMYFUNCTION("IFERROR(lookup(9999999999,FILTER('Operações-BR'!$M:$M,'Operações-BR'!$C:$C=A838,'Operações-BR'!$A:$A&lt;=C838)),0)"),0.0)</f>
        <v>0</v>
      </c>
      <c r="H838" s="184">
        <f t="shared" si="2"/>
        <v>0</v>
      </c>
      <c r="I838" s="184">
        <f>IFERROR(__xludf.DUMMYFUNCTION("IFERROR(lookup(9999999999,FILTER('Operações-BR'!Q:Q,'Operações-BR'!$C:$C=A838,'Operações-BR'!$A:$A&lt;=C838))/G838,0)"),0.0)</f>
        <v>0</v>
      </c>
      <c r="J838" s="185" t="str">
        <f>IFERROR(VLOOKUP(A838,Ativos!$A$1:$G2000,5,),"")</f>
        <v/>
      </c>
      <c r="K838" s="185" t="str">
        <f>IFERROR(VLOOKUP(A838,Ativos!A:H,8,),"")</f>
        <v/>
      </c>
      <c r="L838" s="186">
        <f t="shared" si="3"/>
        <v>0</v>
      </c>
    </row>
    <row r="839" ht="21.0" customHeight="1">
      <c r="A839" s="187"/>
      <c r="B839" s="187"/>
      <c r="C839" s="188"/>
      <c r="D839" s="135"/>
      <c r="E839" s="189"/>
      <c r="F839" s="182" t="str">
        <f t="shared" si="1"/>
        <v/>
      </c>
      <c r="G839" s="183">
        <f>IFERROR(__xludf.DUMMYFUNCTION("IFERROR(lookup(9999999999,FILTER('Operações-BR'!$M:$M,'Operações-BR'!$C:$C=A839,'Operações-BR'!$A:$A&lt;=C839)),0)"),0.0)</f>
        <v>0</v>
      </c>
      <c r="H839" s="184">
        <f t="shared" si="2"/>
        <v>0</v>
      </c>
      <c r="I839" s="184">
        <f>IFERROR(__xludf.DUMMYFUNCTION("IFERROR(lookup(9999999999,FILTER('Operações-BR'!Q:Q,'Operações-BR'!$C:$C=A839,'Operações-BR'!$A:$A&lt;=C839))/G839,0)"),0.0)</f>
        <v>0</v>
      </c>
      <c r="J839" s="185" t="str">
        <f>IFERROR(VLOOKUP(A839,Ativos!$A$1:$G2000,5,),"")</f>
        <v/>
      </c>
      <c r="K839" s="185" t="str">
        <f>IFERROR(VLOOKUP(A839,Ativos!A:H,8,),"")</f>
        <v/>
      </c>
      <c r="L839" s="186">
        <f t="shared" si="3"/>
        <v>0</v>
      </c>
    </row>
    <row r="840" ht="21.0" customHeight="1">
      <c r="A840" s="187"/>
      <c r="B840" s="187"/>
      <c r="C840" s="188"/>
      <c r="D840" s="135"/>
      <c r="E840" s="189"/>
      <c r="F840" s="182" t="str">
        <f t="shared" si="1"/>
        <v/>
      </c>
      <c r="G840" s="183">
        <f>IFERROR(__xludf.DUMMYFUNCTION("IFERROR(lookup(9999999999,FILTER('Operações-BR'!$M:$M,'Operações-BR'!$C:$C=A840,'Operações-BR'!$A:$A&lt;=C840)),0)"),0.0)</f>
        <v>0</v>
      </c>
      <c r="H840" s="184">
        <f t="shared" si="2"/>
        <v>0</v>
      </c>
      <c r="I840" s="184">
        <f>IFERROR(__xludf.DUMMYFUNCTION("IFERROR(lookup(9999999999,FILTER('Operações-BR'!Q:Q,'Operações-BR'!$C:$C=A840,'Operações-BR'!$A:$A&lt;=C840))/G840,0)"),0.0)</f>
        <v>0</v>
      </c>
      <c r="J840" s="185" t="str">
        <f>IFERROR(VLOOKUP(A840,Ativos!$A$1:$G2000,5,),"")</f>
        <v/>
      </c>
      <c r="K840" s="185" t="str">
        <f>IFERROR(VLOOKUP(A840,Ativos!A:H,8,),"")</f>
        <v/>
      </c>
      <c r="L840" s="186">
        <f t="shared" si="3"/>
        <v>0</v>
      </c>
    </row>
    <row r="841" ht="21.0" customHeight="1">
      <c r="A841" s="187"/>
      <c r="B841" s="187"/>
      <c r="C841" s="188"/>
      <c r="D841" s="135"/>
      <c r="E841" s="189"/>
      <c r="F841" s="182" t="str">
        <f t="shared" si="1"/>
        <v/>
      </c>
      <c r="G841" s="183">
        <f>IFERROR(__xludf.DUMMYFUNCTION("IFERROR(lookup(9999999999,FILTER('Operações-BR'!$M:$M,'Operações-BR'!$C:$C=A841,'Operações-BR'!$A:$A&lt;=C841)),0)"),0.0)</f>
        <v>0</v>
      </c>
      <c r="H841" s="184">
        <f t="shared" si="2"/>
        <v>0</v>
      </c>
      <c r="I841" s="184">
        <f>IFERROR(__xludf.DUMMYFUNCTION("IFERROR(lookup(9999999999,FILTER('Operações-BR'!Q:Q,'Operações-BR'!$C:$C=A841,'Operações-BR'!$A:$A&lt;=C841))/G841,0)"),0.0)</f>
        <v>0</v>
      </c>
      <c r="J841" s="185" t="str">
        <f>IFERROR(VLOOKUP(A841,Ativos!$A$1:$G2000,5,),"")</f>
        <v/>
      </c>
      <c r="K841" s="185" t="str">
        <f>IFERROR(VLOOKUP(A841,Ativos!A:H,8,),"")</f>
        <v/>
      </c>
      <c r="L841" s="186">
        <f t="shared" si="3"/>
        <v>0</v>
      </c>
    </row>
    <row r="842" ht="21.0" customHeight="1">
      <c r="A842" s="187"/>
      <c r="B842" s="187"/>
      <c r="C842" s="188"/>
      <c r="D842" s="135"/>
      <c r="E842" s="189"/>
      <c r="F842" s="182" t="str">
        <f t="shared" si="1"/>
        <v/>
      </c>
      <c r="G842" s="183">
        <f>IFERROR(__xludf.DUMMYFUNCTION("IFERROR(lookup(9999999999,FILTER('Operações-BR'!$M:$M,'Operações-BR'!$C:$C=A842,'Operações-BR'!$A:$A&lt;=C842)),0)"),0.0)</f>
        <v>0</v>
      </c>
      <c r="H842" s="184">
        <f t="shared" si="2"/>
        <v>0</v>
      </c>
      <c r="I842" s="184">
        <f>IFERROR(__xludf.DUMMYFUNCTION("IFERROR(lookup(9999999999,FILTER('Operações-BR'!Q:Q,'Operações-BR'!$C:$C=A842,'Operações-BR'!$A:$A&lt;=C842))/G842,0)"),0.0)</f>
        <v>0</v>
      </c>
      <c r="J842" s="185" t="str">
        <f>IFERROR(VLOOKUP(A842,Ativos!$A$1:$G2000,5,),"")</f>
        <v/>
      </c>
      <c r="K842" s="185" t="str">
        <f>IFERROR(VLOOKUP(A842,Ativos!A:H,8,),"")</f>
        <v/>
      </c>
      <c r="L842" s="186">
        <f t="shared" si="3"/>
        <v>0</v>
      </c>
    </row>
    <row r="843" ht="21.0" customHeight="1">
      <c r="A843" s="187"/>
      <c r="B843" s="187"/>
      <c r="C843" s="188"/>
      <c r="D843" s="135"/>
      <c r="E843" s="189"/>
      <c r="F843" s="182" t="str">
        <f t="shared" si="1"/>
        <v/>
      </c>
      <c r="G843" s="183">
        <f>IFERROR(__xludf.DUMMYFUNCTION("IFERROR(lookup(9999999999,FILTER('Operações-BR'!$M:$M,'Operações-BR'!$C:$C=A843,'Operações-BR'!$A:$A&lt;=C843)),0)"),0.0)</f>
        <v>0</v>
      </c>
      <c r="H843" s="184">
        <f t="shared" si="2"/>
        <v>0</v>
      </c>
      <c r="I843" s="184">
        <f>IFERROR(__xludf.DUMMYFUNCTION("IFERROR(lookup(9999999999,FILTER('Operações-BR'!Q:Q,'Operações-BR'!$C:$C=A843,'Operações-BR'!$A:$A&lt;=C843))/G843,0)"),0.0)</f>
        <v>0</v>
      </c>
      <c r="J843" s="185" t="str">
        <f>IFERROR(VLOOKUP(A843,Ativos!$A$1:$G2000,5,),"")</f>
        <v/>
      </c>
      <c r="K843" s="185" t="str">
        <f>IFERROR(VLOOKUP(A843,Ativos!A:H,8,),"")</f>
        <v/>
      </c>
      <c r="L843" s="186">
        <f t="shared" si="3"/>
        <v>0</v>
      </c>
    </row>
    <row r="844" ht="21.0" customHeight="1">
      <c r="A844" s="187"/>
      <c r="B844" s="187"/>
      <c r="C844" s="188"/>
      <c r="D844" s="135"/>
      <c r="E844" s="189"/>
      <c r="F844" s="182" t="str">
        <f t="shared" si="1"/>
        <v/>
      </c>
      <c r="G844" s="183">
        <f>IFERROR(__xludf.DUMMYFUNCTION("IFERROR(lookup(9999999999,FILTER('Operações-BR'!$M:$M,'Operações-BR'!$C:$C=A844,'Operações-BR'!$A:$A&lt;=C844)),0)"),0.0)</f>
        <v>0</v>
      </c>
      <c r="H844" s="184">
        <f t="shared" si="2"/>
        <v>0</v>
      </c>
      <c r="I844" s="184">
        <f>IFERROR(__xludf.DUMMYFUNCTION("IFERROR(lookup(9999999999,FILTER('Operações-BR'!Q:Q,'Operações-BR'!$C:$C=A844,'Operações-BR'!$A:$A&lt;=C844))/G844,0)"),0.0)</f>
        <v>0</v>
      </c>
      <c r="J844" s="185" t="str">
        <f>IFERROR(VLOOKUP(A844,Ativos!$A$1:$G2000,5,),"")</f>
        <v/>
      </c>
      <c r="K844" s="185" t="str">
        <f>IFERROR(VLOOKUP(A844,Ativos!A:H,8,),"")</f>
        <v/>
      </c>
      <c r="L844" s="186">
        <f t="shared" si="3"/>
        <v>0</v>
      </c>
    </row>
    <row r="845" ht="21.0" customHeight="1">
      <c r="A845" s="187"/>
      <c r="B845" s="187"/>
      <c r="C845" s="188"/>
      <c r="D845" s="135"/>
      <c r="E845" s="189"/>
      <c r="F845" s="182" t="str">
        <f t="shared" si="1"/>
        <v/>
      </c>
      <c r="G845" s="183">
        <f>IFERROR(__xludf.DUMMYFUNCTION("IFERROR(lookup(9999999999,FILTER('Operações-BR'!$M:$M,'Operações-BR'!$C:$C=A845,'Operações-BR'!$A:$A&lt;=C845)),0)"),0.0)</f>
        <v>0</v>
      </c>
      <c r="H845" s="184">
        <f t="shared" si="2"/>
        <v>0</v>
      </c>
      <c r="I845" s="184">
        <f>IFERROR(__xludf.DUMMYFUNCTION("IFERROR(lookup(9999999999,FILTER('Operações-BR'!Q:Q,'Operações-BR'!$C:$C=A845,'Operações-BR'!$A:$A&lt;=C845))/G845,0)"),0.0)</f>
        <v>0</v>
      </c>
      <c r="J845" s="185" t="str">
        <f>IFERROR(VLOOKUP(A845,Ativos!$A$1:$G2000,5,),"")</f>
        <v/>
      </c>
      <c r="K845" s="185" t="str">
        <f>IFERROR(VLOOKUP(A845,Ativos!A:H,8,),"")</f>
        <v/>
      </c>
      <c r="L845" s="186">
        <f t="shared" si="3"/>
        <v>0</v>
      </c>
    </row>
    <row r="846" ht="21.0" customHeight="1">
      <c r="A846" s="187"/>
      <c r="B846" s="187"/>
      <c r="C846" s="188"/>
      <c r="D846" s="135"/>
      <c r="E846" s="189"/>
      <c r="F846" s="182" t="str">
        <f t="shared" si="1"/>
        <v/>
      </c>
      <c r="G846" s="183">
        <f>IFERROR(__xludf.DUMMYFUNCTION("IFERROR(lookup(9999999999,FILTER('Operações-BR'!$M:$M,'Operações-BR'!$C:$C=A846,'Operações-BR'!$A:$A&lt;=C846)),0)"),0.0)</f>
        <v>0</v>
      </c>
      <c r="H846" s="184">
        <f t="shared" si="2"/>
        <v>0</v>
      </c>
      <c r="I846" s="184">
        <f>IFERROR(__xludf.DUMMYFUNCTION("IFERROR(lookup(9999999999,FILTER('Operações-BR'!Q:Q,'Operações-BR'!$C:$C=A846,'Operações-BR'!$A:$A&lt;=C846))/G846,0)"),0.0)</f>
        <v>0</v>
      </c>
      <c r="J846" s="185" t="str">
        <f>IFERROR(VLOOKUP(A846,Ativos!$A$1:$G2000,5,),"")</f>
        <v/>
      </c>
      <c r="K846" s="185" t="str">
        <f>IFERROR(VLOOKUP(A846,Ativos!A:H,8,),"")</f>
        <v/>
      </c>
      <c r="L846" s="186">
        <f t="shared" si="3"/>
        <v>0</v>
      </c>
    </row>
    <row r="847" ht="21.0" customHeight="1">
      <c r="A847" s="187"/>
      <c r="B847" s="187"/>
      <c r="C847" s="188"/>
      <c r="D847" s="135"/>
      <c r="E847" s="189"/>
      <c r="F847" s="182" t="str">
        <f t="shared" si="1"/>
        <v/>
      </c>
      <c r="G847" s="183">
        <f>IFERROR(__xludf.DUMMYFUNCTION("IFERROR(lookup(9999999999,FILTER('Operações-BR'!$M:$M,'Operações-BR'!$C:$C=A847,'Operações-BR'!$A:$A&lt;=C847)),0)"),0.0)</f>
        <v>0</v>
      </c>
      <c r="H847" s="184">
        <f t="shared" si="2"/>
        <v>0</v>
      </c>
      <c r="I847" s="184">
        <f>IFERROR(__xludf.DUMMYFUNCTION("IFERROR(lookup(9999999999,FILTER('Operações-BR'!Q:Q,'Operações-BR'!$C:$C=A847,'Operações-BR'!$A:$A&lt;=C847))/G847,0)"),0.0)</f>
        <v>0</v>
      </c>
      <c r="J847" s="185" t="str">
        <f>IFERROR(VLOOKUP(A847,Ativos!$A$1:$G2000,5,),"")</f>
        <v/>
      </c>
      <c r="K847" s="185" t="str">
        <f>IFERROR(VLOOKUP(A847,Ativos!A:H,8,),"")</f>
        <v/>
      </c>
      <c r="L847" s="186">
        <f t="shared" si="3"/>
        <v>0</v>
      </c>
    </row>
    <row r="848" ht="21.0" customHeight="1">
      <c r="A848" s="187"/>
      <c r="B848" s="187"/>
      <c r="C848" s="188"/>
      <c r="D848" s="135"/>
      <c r="E848" s="189"/>
      <c r="F848" s="182" t="str">
        <f t="shared" si="1"/>
        <v/>
      </c>
      <c r="G848" s="183">
        <f>IFERROR(__xludf.DUMMYFUNCTION("IFERROR(lookup(9999999999,FILTER('Operações-BR'!$M:$M,'Operações-BR'!$C:$C=A848,'Operações-BR'!$A:$A&lt;=C848)),0)"),0.0)</f>
        <v>0</v>
      </c>
      <c r="H848" s="184">
        <f t="shared" si="2"/>
        <v>0</v>
      </c>
      <c r="I848" s="184">
        <f>IFERROR(__xludf.DUMMYFUNCTION("IFERROR(lookup(9999999999,FILTER('Operações-BR'!Q:Q,'Operações-BR'!$C:$C=A848,'Operações-BR'!$A:$A&lt;=C848))/G848,0)"),0.0)</f>
        <v>0</v>
      </c>
      <c r="J848" s="185" t="str">
        <f>IFERROR(VLOOKUP(A848,Ativos!$A$1:$G2000,5,),"")</f>
        <v/>
      </c>
      <c r="K848" s="185" t="str">
        <f>IFERROR(VLOOKUP(A848,Ativos!A:H,8,),"")</f>
        <v/>
      </c>
      <c r="L848" s="186">
        <f t="shared" si="3"/>
        <v>0</v>
      </c>
    </row>
    <row r="849" ht="21.0" customHeight="1">
      <c r="A849" s="187"/>
      <c r="B849" s="187"/>
      <c r="C849" s="188"/>
      <c r="D849" s="135"/>
      <c r="E849" s="189"/>
      <c r="F849" s="182" t="str">
        <f t="shared" si="1"/>
        <v/>
      </c>
      <c r="G849" s="183">
        <f>IFERROR(__xludf.DUMMYFUNCTION("IFERROR(lookup(9999999999,FILTER('Operações-BR'!$M:$M,'Operações-BR'!$C:$C=A849,'Operações-BR'!$A:$A&lt;=C849)),0)"),0.0)</f>
        <v>0</v>
      </c>
      <c r="H849" s="184">
        <f t="shared" si="2"/>
        <v>0</v>
      </c>
      <c r="I849" s="184">
        <f>IFERROR(__xludf.DUMMYFUNCTION("IFERROR(lookup(9999999999,FILTER('Operações-BR'!Q:Q,'Operações-BR'!$C:$C=A849,'Operações-BR'!$A:$A&lt;=C849))/G849,0)"),0.0)</f>
        <v>0</v>
      </c>
      <c r="J849" s="185" t="str">
        <f>IFERROR(VLOOKUP(A849,Ativos!$A$1:$G2000,5,),"")</f>
        <v/>
      </c>
      <c r="K849" s="185" t="str">
        <f>IFERROR(VLOOKUP(A849,Ativos!A:H,8,),"")</f>
        <v/>
      </c>
      <c r="L849" s="186">
        <f t="shared" si="3"/>
        <v>0</v>
      </c>
    </row>
    <row r="850" ht="21.0" customHeight="1">
      <c r="A850" s="187"/>
      <c r="B850" s="187"/>
      <c r="C850" s="188"/>
      <c r="D850" s="135"/>
      <c r="E850" s="189"/>
      <c r="F850" s="182" t="str">
        <f t="shared" si="1"/>
        <v/>
      </c>
      <c r="G850" s="183">
        <f>IFERROR(__xludf.DUMMYFUNCTION("IFERROR(lookup(9999999999,FILTER('Operações-BR'!$M:$M,'Operações-BR'!$C:$C=A850,'Operações-BR'!$A:$A&lt;=C850)),0)"),0.0)</f>
        <v>0</v>
      </c>
      <c r="H850" s="184">
        <f t="shared" si="2"/>
        <v>0</v>
      </c>
      <c r="I850" s="184">
        <f>IFERROR(__xludf.DUMMYFUNCTION("IFERROR(lookup(9999999999,FILTER('Operações-BR'!Q:Q,'Operações-BR'!$C:$C=A850,'Operações-BR'!$A:$A&lt;=C850))/G850,0)"),0.0)</f>
        <v>0</v>
      </c>
      <c r="J850" s="185" t="str">
        <f>IFERROR(VLOOKUP(A850,Ativos!$A$1:$G2000,5,),"")</f>
        <v/>
      </c>
      <c r="K850" s="185" t="str">
        <f>IFERROR(VLOOKUP(A850,Ativos!A:H,8,),"")</f>
        <v/>
      </c>
      <c r="L850" s="186">
        <f t="shared" si="3"/>
        <v>0</v>
      </c>
    </row>
    <row r="851" ht="21.0" customHeight="1">
      <c r="A851" s="187"/>
      <c r="B851" s="187"/>
      <c r="C851" s="188"/>
      <c r="D851" s="135"/>
      <c r="E851" s="189"/>
      <c r="F851" s="182" t="str">
        <f t="shared" si="1"/>
        <v/>
      </c>
      <c r="G851" s="183">
        <f>IFERROR(__xludf.DUMMYFUNCTION("IFERROR(lookup(9999999999,FILTER('Operações-BR'!$M:$M,'Operações-BR'!$C:$C=A851,'Operações-BR'!$A:$A&lt;=C851)),0)"),0.0)</f>
        <v>0</v>
      </c>
      <c r="H851" s="184">
        <f t="shared" si="2"/>
        <v>0</v>
      </c>
      <c r="I851" s="184">
        <f>IFERROR(__xludf.DUMMYFUNCTION("IFERROR(lookup(9999999999,FILTER('Operações-BR'!Q:Q,'Operações-BR'!$C:$C=A851,'Operações-BR'!$A:$A&lt;=C851))/G851,0)"),0.0)</f>
        <v>0</v>
      </c>
      <c r="J851" s="185" t="str">
        <f>IFERROR(VLOOKUP(A851,Ativos!$A$1:$G2000,5,),"")</f>
        <v/>
      </c>
      <c r="K851" s="185" t="str">
        <f>IFERROR(VLOOKUP(A851,Ativos!A:H,8,),"")</f>
        <v/>
      </c>
      <c r="L851" s="186">
        <f t="shared" si="3"/>
        <v>0</v>
      </c>
    </row>
    <row r="852" ht="21.0" customHeight="1">
      <c r="A852" s="187"/>
      <c r="B852" s="187"/>
      <c r="C852" s="188"/>
      <c r="D852" s="135"/>
      <c r="E852" s="189"/>
      <c r="F852" s="182" t="str">
        <f t="shared" si="1"/>
        <v/>
      </c>
      <c r="G852" s="183">
        <f>IFERROR(__xludf.DUMMYFUNCTION("IFERROR(lookup(9999999999,FILTER('Operações-BR'!$M:$M,'Operações-BR'!$C:$C=A852,'Operações-BR'!$A:$A&lt;=C852)),0)"),0.0)</f>
        <v>0</v>
      </c>
      <c r="H852" s="184">
        <f t="shared" si="2"/>
        <v>0</v>
      </c>
      <c r="I852" s="184">
        <f>IFERROR(__xludf.DUMMYFUNCTION("IFERROR(lookup(9999999999,FILTER('Operações-BR'!Q:Q,'Operações-BR'!$C:$C=A852,'Operações-BR'!$A:$A&lt;=C852))/G852,0)"),0.0)</f>
        <v>0</v>
      </c>
      <c r="J852" s="185" t="str">
        <f>IFERROR(VLOOKUP(A852,Ativos!$A$1:$G2000,5,),"")</f>
        <v/>
      </c>
      <c r="K852" s="185" t="str">
        <f>IFERROR(VLOOKUP(A852,Ativos!A:H,8,),"")</f>
        <v/>
      </c>
      <c r="L852" s="186">
        <f t="shared" si="3"/>
        <v>0</v>
      </c>
    </row>
    <row r="853" ht="21.0" customHeight="1">
      <c r="A853" s="187"/>
      <c r="B853" s="187"/>
      <c r="C853" s="188"/>
      <c r="D853" s="135"/>
      <c r="E853" s="189"/>
      <c r="F853" s="182" t="str">
        <f t="shared" si="1"/>
        <v/>
      </c>
      <c r="G853" s="183">
        <f>IFERROR(__xludf.DUMMYFUNCTION("IFERROR(lookup(9999999999,FILTER('Operações-BR'!$M:$M,'Operações-BR'!$C:$C=A853,'Operações-BR'!$A:$A&lt;=C853)),0)"),0.0)</f>
        <v>0</v>
      </c>
      <c r="H853" s="184">
        <f t="shared" si="2"/>
        <v>0</v>
      </c>
      <c r="I853" s="184">
        <f>IFERROR(__xludf.DUMMYFUNCTION("IFERROR(lookup(9999999999,FILTER('Operações-BR'!Q:Q,'Operações-BR'!$C:$C=A853,'Operações-BR'!$A:$A&lt;=C853))/G853,0)"),0.0)</f>
        <v>0</v>
      </c>
      <c r="J853" s="185" t="str">
        <f>IFERROR(VLOOKUP(A853,Ativos!$A$1:$G2000,5,),"")</f>
        <v/>
      </c>
      <c r="K853" s="185" t="str">
        <f>IFERROR(VLOOKUP(A853,Ativos!A:H,8,),"")</f>
        <v/>
      </c>
      <c r="L853" s="186">
        <f t="shared" si="3"/>
        <v>0</v>
      </c>
    </row>
    <row r="854" ht="21.0" customHeight="1">
      <c r="A854" s="187"/>
      <c r="B854" s="187"/>
      <c r="C854" s="188"/>
      <c r="D854" s="135"/>
      <c r="E854" s="189"/>
      <c r="F854" s="182" t="str">
        <f t="shared" si="1"/>
        <v/>
      </c>
      <c r="G854" s="183">
        <f>IFERROR(__xludf.DUMMYFUNCTION("IFERROR(lookup(9999999999,FILTER('Operações-BR'!$M:$M,'Operações-BR'!$C:$C=A854,'Operações-BR'!$A:$A&lt;=C854)),0)"),0.0)</f>
        <v>0</v>
      </c>
      <c r="H854" s="184">
        <f t="shared" si="2"/>
        <v>0</v>
      </c>
      <c r="I854" s="184">
        <f>IFERROR(__xludf.DUMMYFUNCTION("IFERROR(lookup(9999999999,FILTER('Operações-BR'!Q:Q,'Operações-BR'!$C:$C=A854,'Operações-BR'!$A:$A&lt;=C854))/G854,0)"),0.0)</f>
        <v>0</v>
      </c>
      <c r="J854" s="185" t="str">
        <f>IFERROR(VLOOKUP(A854,Ativos!$A$1:$G2000,5,),"")</f>
        <v/>
      </c>
      <c r="K854" s="185" t="str">
        <f>IFERROR(VLOOKUP(A854,Ativos!A:H,8,),"")</f>
        <v/>
      </c>
      <c r="L854" s="186">
        <f t="shared" si="3"/>
        <v>0</v>
      </c>
    </row>
    <row r="855" ht="21.0" customHeight="1">
      <c r="A855" s="187"/>
      <c r="B855" s="187"/>
      <c r="C855" s="188"/>
      <c r="D855" s="135"/>
      <c r="E855" s="189"/>
      <c r="F855" s="182" t="str">
        <f t="shared" si="1"/>
        <v/>
      </c>
      <c r="G855" s="183">
        <f>IFERROR(__xludf.DUMMYFUNCTION("IFERROR(lookup(9999999999,FILTER('Operações-BR'!$M:$M,'Operações-BR'!$C:$C=A855,'Operações-BR'!$A:$A&lt;=C855)),0)"),0.0)</f>
        <v>0</v>
      </c>
      <c r="H855" s="184">
        <f t="shared" si="2"/>
        <v>0</v>
      </c>
      <c r="I855" s="184">
        <f>IFERROR(__xludf.DUMMYFUNCTION("IFERROR(lookup(9999999999,FILTER('Operações-BR'!Q:Q,'Operações-BR'!$C:$C=A855,'Operações-BR'!$A:$A&lt;=C855))/G855,0)"),0.0)</f>
        <v>0</v>
      </c>
      <c r="J855" s="185" t="str">
        <f>IFERROR(VLOOKUP(A855,Ativos!$A$1:$G2000,5,),"")</f>
        <v/>
      </c>
      <c r="K855" s="185" t="str">
        <f>IFERROR(VLOOKUP(A855,Ativos!A:H,8,),"")</f>
        <v/>
      </c>
      <c r="L855" s="186">
        <f t="shared" si="3"/>
        <v>0</v>
      </c>
    </row>
    <row r="856" ht="21.0" customHeight="1">
      <c r="A856" s="187"/>
      <c r="B856" s="187"/>
      <c r="C856" s="188"/>
      <c r="D856" s="135"/>
      <c r="E856" s="189"/>
      <c r="F856" s="182" t="str">
        <f t="shared" si="1"/>
        <v/>
      </c>
      <c r="G856" s="183">
        <f>IFERROR(__xludf.DUMMYFUNCTION("IFERROR(lookup(9999999999,FILTER('Operações-BR'!$M:$M,'Operações-BR'!$C:$C=A856,'Operações-BR'!$A:$A&lt;=C856)),0)"),0.0)</f>
        <v>0</v>
      </c>
      <c r="H856" s="184">
        <f t="shared" si="2"/>
        <v>0</v>
      </c>
      <c r="I856" s="184">
        <f>IFERROR(__xludf.DUMMYFUNCTION("IFERROR(lookup(9999999999,FILTER('Operações-BR'!Q:Q,'Operações-BR'!$C:$C=A856,'Operações-BR'!$A:$A&lt;=C856))/G856,0)"),0.0)</f>
        <v>0</v>
      </c>
      <c r="J856" s="185" t="str">
        <f>IFERROR(VLOOKUP(A856,Ativos!$A$1:$G2000,5,),"")</f>
        <v/>
      </c>
      <c r="K856" s="185" t="str">
        <f>IFERROR(VLOOKUP(A856,Ativos!A:H,8,),"")</f>
        <v/>
      </c>
      <c r="L856" s="186">
        <f t="shared" si="3"/>
        <v>0</v>
      </c>
    </row>
    <row r="857" ht="21.0" customHeight="1">
      <c r="A857" s="187"/>
      <c r="B857" s="187"/>
      <c r="C857" s="188"/>
      <c r="D857" s="135"/>
      <c r="E857" s="189"/>
      <c r="F857" s="182" t="str">
        <f t="shared" si="1"/>
        <v/>
      </c>
      <c r="G857" s="183">
        <f>IFERROR(__xludf.DUMMYFUNCTION("IFERROR(lookup(9999999999,FILTER('Operações-BR'!$M:$M,'Operações-BR'!$C:$C=A857,'Operações-BR'!$A:$A&lt;=C857)),0)"),0.0)</f>
        <v>0</v>
      </c>
      <c r="H857" s="184">
        <f t="shared" si="2"/>
        <v>0</v>
      </c>
      <c r="I857" s="184">
        <f>IFERROR(__xludf.DUMMYFUNCTION("IFERROR(lookup(9999999999,FILTER('Operações-BR'!Q:Q,'Operações-BR'!$C:$C=A857,'Operações-BR'!$A:$A&lt;=C857))/G857,0)"),0.0)</f>
        <v>0</v>
      </c>
      <c r="J857" s="185" t="str">
        <f>IFERROR(VLOOKUP(A857,Ativos!$A$1:$G2000,5,),"")</f>
        <v/>
      </c>
      <c r="K857" s="185" t="str">
        <f>IFERROR(VLOOKUP(A857,Ativos!A:H,8,),"")</f>
        <v/>
      </c>
      <c r="L857" s="186">
        <f t="shared" si="3"/>
        <v>0</v>
      </c>
    </row>
    <row r="858" ht="21.0" customHeight="1">
      <c r="A858" s="187"/>
      <c r="B858" s="187"/>
      <c r="C858" s="188"/>
      <c r="D858" s="135"/>
      <c r="E858" s="189"/>
      <c r="F858" s="182" t="str">
        <f t="shared" si="1"/>
        <v/>
      </c>
      <c r="G858" s="183">
        <f>IFERROR(__xludf.DUMMYFUNCTION("IFERROR(lookup(9999999999,FILTER('Operações-BR'!$M:$M,'Operações-BR'!$C:$C=A858,'Operações-BR'!$A:$A&lt;=C858)),0)"),0.0)</f>
        <v>0</v>
      </c>
      <c r="H858" s="184">
        <f t="shared" si="2"/>
        <v>0</v>
      </c>
      <c r="I858" s="184">
        <f>IFERROR(__xludf.DUMMYFUNCTION("IFERROR(lookup(9999999999,FILTER('Operações-BR'!Q:Q,'Operações-BR'!$C:$C=A858,'Operações-BR'!$A:$A&lt;=C858))/G858,0)"),0.0)</f>
        <v>0</v>
      </c>
      <c r="J858" s="185" t="str">
        <f>IFERROR(VLOOKUP(A858,Ativos!$A$1:$G2000,5,),"")</f>
        <v/>
      </c>
      <c r="K858" s="185" t="str">
        <f>IFERROR(VLOOKUP(A858,Ativos!A:H,8,),"")</f>
        <v/>
      </c>
      <c r="L858" s="186">
        <f t="shared" si="3"/>
        <v>0</v>
      </c>
    </row>
    <row r="859" ht="21.0" customHeight="1">
      <c r="A859" s="187"/>
      <c r="B859" s="187"/>
      <c r="C859" s="188"/>
      <c r="D859" s="135"/>
      <c r="E859" s="189"/>
      <c r="F859" s="182" t="str">
        <f t="shared" si="1"/>
        <v/>
      </c>
      <c r="G859" s="183">
        <f>IFERROR(__xludf.DUMMYFUNCTION("IFERROR(lookup(9999999999,FILTER('Operações-BR'!$M:$M,'Operações-BR'!$C:$C=A859,'Operações-BR'!$A:$A&lt;=C859)),0)"),0.0)</f>
        <v>0</v>
      </c>
      <c r="H859" s="184">
        <f t="shared" si="2"/>
        <v>0</v>
      </c>
      <c r="I859" s="184">
        <f>IFERROR(__xludf.DUMMYFUNCTION("IFERROR(lookup(9999999999,FILTER('Operações-BR'!Q:Q,'Operações-BR'!$C:$C=A859,'Operações-BR'!$A:$A&lt;=C859))/G859,0)"),0.0)</f>
        <v>0</v>
      </c>
      <c r="J859" s="185" t="str">
        <f>IFERROR(VLOOKUP(A859,Ativos!$A$1:$G2000,5,),"")</f>
        <v/>
      </c>
      <c r="K859" s="185" t="str">
        <f>IFERROR(VLOOKUP(A859,Ativos!A:H,8,),"")</f>
        <v/>
      </c>
      <c r="L859" s="186">
        <f t="shared" si="3"/>
        <v>0</v>
      </c>
    </row>
    <row r="860" ht="21.0" customHeight="1">
      <c r="A860" s="187"/>
      <c r="B860" s="187"/>
      <c r="C860" s="188"/>
      <c r="D860" s="135"/>
      <c r="E860" s="189"/>
      <c r="F860" s="182" t="str">
        <f t="shared" si="1"/>
        <v/>
      </c>
      <c r="G860" s="183">
        <f>IFERROR(__xludf.DUMMYFUNCTION("IFERROR(lookup(9999999999,FILTER('Operações-BR'!$M:$M,'Operações-BR'!$C:$C=A860,'Operações-BR'!$A:$A&lt;=C860)),0)"),0.0)</f>
        <v>0</v>
      </c>
      <c r="H860" s="184">
        <f t="shared" si="2"/>
        <v>0</v>
      </c>
      <c r="I860" s="184">
        <f>IFERROR(__xludf.DUMMYFUNCTION("IFERROR(lookup(9999999999,FILTER('Operações-BR'!Q:Q,'Operações-BR'!$C:$C=A860,'Operações-BR'!$A:$A&lt;=C860))/G860,0)"),0.0)</f>
        <v>0</v>
      </c>
      <c r="J860" s="185" t="str">
        <f>IFERROR(VLOOKUP(A860,Ativos!$A$1:$G2000,5,),"")</f>
        <v/>
      </c>
      <c r="K860" s="185" t="str">
        <f>IFERROR(VLOOKUP(A860,Ativos!A:H,8,),"")</f>
        <v/>
      </c>
      <c r="L860" s="186">
        <f t="shared" si="3"/>
        <v>0</v>
      </c>
    </row>
    <row r="861" ht="21.0" customHeight="1">
      <c r="A861" s="187"/>
      <c r="B861" s="187"/>
      <c r="C861" s="188"/>
      <c r="D861" s="135"/>
      <c r="E861" s="189"/>
      <c r="F861" s="182" t="str">
        <f t="shared" si="1"/>
        <v/>
      </c>
      <c r="G861" s="183">
        <f>IFERROR(__xludf.DUMMYFUNCTION("IFERROR(lookup(9999999999,FILTER('Operações-BR'!$M:$M,'Operações-BR'!$C:$C=A861,'Operações-BR'!$A:$A&lt;=C861)),0)"),0.0)</f>
        <v>0</v>
      </c>
      <c r="H861" s="184">
        <f t="shared" si="2"/>
        <v>0</v>
      </c>
      <c r="I861" s="184">
        <f>IFERROR(__xludf.DUMMYFUNCTION("IFERROR(lookup(9999999999,FILTER('Operações-BR'!Q:Q,'Operações-BR'!$C:$C=A861,'Operações-BR'!$A:$A&lt;=C861))/G861,0)"),0.0)</f>
        <v>0</v>
      </c>
      <c r="J861" s="185" t="str">
        <f>IFERROR(VLOOKUP(A861,Ativos!$A$1:$G2000,5,),"")</f>
        <v/>
      </c>
      <c r="K861" s="185" t="str">
        <f>IFERROR(VLOOKUP(A861,Ativos!A:H,8,),"")</f>
        <v/>
      </c>
      <c r="L861" s="186">
        <f t="shared" si="3"/>
        <v>0</v>
      </c>
    </row>
    <row r="862" ht="21.0" customHeight="1">
      <c r="A862" s="187"/>
      <c r="B862" s="187"/>
      <c r="C862" s="188"/>
      <c r="D862" s="135"/>
      <c r="E862" s="189"/>
      <c r="F862" s="182" t="str">
        <f t="shared" si="1"/>
        <v/>
      </c>
      <c r="G862" s="183">
        <f>IFERROR(__xludf.DUMMYFUNCTION("IFERROR(lookup(9999999999,FILTER('Operações-BR'!$M:$M,'Operações-BR'!$C:$C=A862,'Operações-BR'!$A:$A&lt;=C862)),0)"),0.0)</f>
        <v>0</v>
      </c>
      <c r="H862" s="184">
        <f t="shared" si="2"/>
        <v>0</v>
      </c>
      <c r="I862" s="184">
        <f>IFERROR(__xludf.DUMMYFUNCTION("IFERROR(lookup(9999999999,FILTER('Operações-BR'!Q:Q,'Operações-BR'!$C:$C=A862,'Operações-BR'!$A:$A&lt;=C862))/G862,0)"),0.0)</f>
        <v>0</v>
      </c>
      <c r="J862" s="185" t="str">
        <f>IFERROR(VLOOKUP(A862,Ativos!$A$1:$G2000,5,),"")</f>
        <v/>
      </c>
      <c r="K862" s="185" t="str">
        <f>IFERROR(VLOOKUP(A862,Ativos!A:H,8,),"")</f>
        <v/>
      </c>
      <c r="L862" s="186">
        <f t="shared" si="3"/>
        <v>0</v>
      </c>
    </row>
    <row r="863" ht="21.0" customHeight="1">
      <c r="A863" s="187"/>
      <c r="B863" s="187"/>
      <c r="C863" s="188"/>
      <c r="D863" s="135"/>
      <c r="E863" s="189"/>
      <c r="F863" s="182" t="str">
        <f t="shared" si="1"/>
        <v/>
      </c>
      <c r="G863" s="183">
        <f>IFERROR(__xludf.DUMMYFUNCTION("IFERROR(lookup(9999999999,FILTER('Operações-BR'!$M:$M,'Operações-BR'!$C:$C=A863,'Operações-BR'!$A:$A&lt;=C863)),0)"),0.0)</f>
        <v>0</v>
      </c>
      <c r="H863" s="184">
        <f t="shared" si="2"/>
        <v>0</v>
      </c>
      <c r="I863" s="184">
        <f>IFERROR(__xludf.DUMMYFUNCTION("IFERROR(lookup(9999999999,FILTER('Operações-BR'!Q:Q,'Operações-BR'!$C:$C=A863,'Operações-BR'!$A:$A&lt;=C863))/G863,0)"),0.0)</f>
        <v>0</v>
      </c>
      <c r="J863" s="185" t="str">
        <f>IFERROR(VLOOKUP(A863,Ativos!$A$1:$G2000,5,),"")</f>
        <v/>
      </c>
      <c r="K863" s="185" t="str">
        <f>IFERROR(VLOOKUP(A863,Ativos!A:H,8,),"")</f>
        <v/>
      </c>
      <c r="L863" s="186">
        <f t="shared" si="3"/>
        <v>0</v>
      </c>
    </row>
    <row r="864" ht="21.0" customHeight="1">
      <c r="A864" s="187"/>
      <c r="B864" s="187"/>
      <c r="C864" s="188"/>
      <c r="D864" s="135"/>
      <c r="E864" s="189"/>
      <c r="F864" s="182" t="str">
        <f t="shared" si="1"/>
        <v/>
      </c>
      <c r="G864" s="183">
        <f>IFERROR(__xludf.DUMMYFUNCTION("IFERROR(lookup(9999999999,FILTER('Operações-BR'!$M:$M,'Operações-BR'!$C:$C=A864,'Operações-BR'!$A:$A&lt;=C864)),0)"),0.0)</f>
        <v>0</v>
      </c>
      <c r="H864" s="184">
        <f t="shared" si="2"/>
        <v>0</v>
      </c>
      <c r="I864" s="184">
        <f>IFERROR(__xludf.DUMMYFUNCTION("IFERROR(lookup(9999999999,FILTER('Operações-BR'!Q:Q,'Operações-BR'!$C:$C=A864,'Operações-BR'!$A:$A&lt;=C864))/G864,0)"),0.0)</f>
        <v>0</v>
      </c>
      <c r="J864" s="185" t="str">
        <f>IFERROR(VLOOKUP(A864,Ativos!$A$1:$G2000,5,),"")</f>
        <v/>
      </c>
      <c r="K864" s="185" t="str">
        <f>IFERROR(VLOOKUP(A864,Ativos!A:H,8,),"")</f>
        <v/>
      </c>
      <c r="L864" s="186">
        <f t="shared" si="3"/>
        <v>0</v>
      </c>
    </row>
    <row r="865" ht="21.0" customHeight="1">
      <c r="A865" s="187"/>
      <c r="B865" s="187"/>
      <c r="C865" s="188"/>
      <c r="D865" s="135"/>
      <c r="E865" s="189"/>
      <c r="F865" s="182" t="str">
        <f t="shared" si="1"/>
        <v/>
      </c>
      <c r="G865" s="183">
        <f>IFERROR(__xludf.DUMMYFUNCTION("IFERROR(lookup(9999999999,FILTER('Operações-BR'!$M:$M,'Operações-BR'!$C:$C=A865,'Operações-BR'!$A:$A&lt;=C865)),0)"),0.0)</f>
        <v>0</v>
      </c>
      <c r="H865" s="184">
        <f t="shared" si="2"/>
        <v>0</v>
      </c>
      <c r="I865" s="184">
        <f>IFERROR(__xludf.DUMMYFUNCTION("IFERROR(lookup(9999999999,FILTER('Operações-BR'!Q:Q,'Operações-BR'!$C:$C=A865,'Operações-BR'!$A:$A&lt;=C865))/G865,0)"),0.0)</f>
        <v>0</v>
      </c>
      <c r="J865" s="185" t="str">
        <f>IFERROR(VLOOKUP(A865,Ativos!$A$1:$G2000,5,),"")</f>
        <v/>
      </c>
      <c r="K865" s="185" t="str">
        <f>IFERROR(VLOOKUP(A865,Ativos!A:H,8,),"")</f>
        <v/>
      </c>
      <c r="L865" s="186">
        <f t="shared" si="3"/>
        <v>0</v>
      </c>
    </row>
    <row r="866" ht="21.0" customHeight="1">
      <c r="A866" s="187"/>
      <c r="B866" s="187"/>
      <c r="C866" s="188"/>
      <c r="D866" s="135"/>
      <c r="E866" s="189"/>
      <c r="F866" s="182" t="str">
        <f t="shared" si="1"/>
        <v/>
      </c>
      <c r="G866" s="183">
        <f>IFERROR(__xludf.DUMMYFUNCTION("IFERROR(lookup(9999999999,FILTER('Operações-BR'!$M:$M,'Operações-BR'!$C:$C=A866,'Operações-BR'!$A:$A&lt;=C866)),0)"),0.0)</f>
        <v>0</v>
      </c>
      <c r="H866" s="184">
        <f t="shared" si="2"/>
        <v>0</v>
      </c>
      <c r="I866" s="184">
        <f>IFERROR(__xludf.DUMMYFUNCTION("IFERROR(lookup(9999999999,FILTER('Operações-BR'!Q:Q,'Operações-BR'!$C:$C=A866,'Operações-BR'!$A:$A&lt;=C866))/G866,0)"),0.0)</f>
        <v>0</v>
      </c>
      <c r="J866" s="185" t="str">
        <f>IFERROR(VLOOKUP(A866,Ativos!$A$1:$G2000,5,),"")</f>
        <v/>
      </c>
      <c r="K866" s="185" t="str">
        <f>IFERROR(VLOOKUP(A866,Ativos!A:H,8,),"")</f>
        <v/>
      </c>
      <c r="L866" s="186">
        <f t="shared" si="3"/>
        <v>0</v>
      </c>
    </row>
    <row r="867" ht="21.0" customHeight="1">
      <c r="A867" s="187"/>
      <c r="B867" s="187"/>
      <c r="C867" s="188"/>
      <c r="D867" s="135"/>
      <c r="E867" s="189"/>
      <c r="F867" s="182" t="str">
        <f t="shared" si="1"/>
        <v/>
      </c>
      <c r="G867" s="183">
        <f>IFERROR(__xludf.DUMMYFUNCTION("IFERROR(lookup(9999999999,FILTER('Operações-BR'!$M:$M,'Operações-BR'!$C:$C=A867,'Operações-BR'!$A:$A&lt;=C867)),0)"),0.0)</f>
        <v>0</v>
      </c>
      <c r="H867" s="184">
        <f t="shared" si="2"/>
        <v>0</v>
      </c>
      <c r="I867" s="184">
        <f>IFERROR(__xludf.DUMMYFUNCTION("IFERROR(lookup(9999999999,FILTER('Operações-BR'!Q:Q,'Operações-BR'!$C:$C=A867,'Operações-BR'!$A:$A&lt;=C867))/G867,0)"),0.0)</f>
        <v>0</v>
      </c>
      <c r="J867" s="185" t="str">
        <f>IFERROR(VLOOKUP(A867,Ativos!$A$1:$G2000,5,),"")</f>
        <v/>
      </c>
      <c r="K867" s="185" t="str">
        <f>IFERROR(VLOOKUP(A867,Ativos!A:H,8,),"")</f>
        <v/>
      </c>
      <c r="L867" s="186">
        <f t="shared" si="3"/>
        <v>0</v>
      </c>
    </row>
    <row r="868" ht="21.0" customHeight="1">
      <c r="A868" s="187"/>
      <c r="B868" s="187"/>
      <c r="C868" s="188"/>
      <c r="D868" s="135"/>
      <c r="E868" s="189"/>
      <c r="F868" s="182" t="str">
        <f t="shared" si="1"/>
        <v/>
      </c>
      <c r="G868" s="183">
        <f>IFERROR(__xludf.DUMMYFUNCTION("IFERROR(lookup(9999999999,FILTER('Operações-BR'!$M:$M,'Operações-BR'!$C:$C=A868,'Operações-BR'!$A:$A&lt;=C868)),0)"),0.0)</f>
        <v>0</v>
      </c>
      <c r="H868" s="184">
        <f t="shared" si="2"/>
        <v>0</v>
      </c>
      <c r="I868" s="184">
        <f>IFERROR(__xludf.DUMMYFUNCTION("IFERROR(lookup(9999999999,FILTER('Operações-BR'!Q:Q,'Operações-BR'!$C:$C=A868,'Operações-BR'!$A:$A&lt;=C868))/G868,0)"),0.0)</f>
        <v>0</v>
      </c>
      <c r="J868" s="185" t="str">
        <f>IFERROR(VLOOKUP(A868,Ativos!$A$1:$G2000,5,),"")</f>
        <v/>
      </c>
      <c r="K868" s="185" t="str">
        <f>IFERROR(VLOOKUP(A868,Ativos!A:H,8,),"")</f>
        <v/>
      </c>
      <c r="L868" s="186">
        <f t="shared" si="3"/>
        <v>0</v>
      </c>
    </row>
    <row r="869" ht="21.0" customHeight="1">
      <c r="A869" s="187"/>
      <c r="B869" s="187"/>
      <c r="C869" s="188"/>
      <c r="D869" s="135"/>
      <c r="E869" s="189"/>
      <c r="F869" s="182" t="str">
        <f t="shared" si="1"/>
        <v/>
      </c>
      <c r="G869" s="183">
        <f>IFERROR(__xludf.DUMMYFUNCTION("IFERROR(lookup(9999999999,FILTER('Operações-BR'!$M:$M,'Operações-BR'!$C:$C=A869,'Operações-BR'!$A:$A&lt;=C869)),0)"),0.0)</f>
        <v>0</v>
      </c>
      <c r="H869" s="184">
        <f t="shared" si="2"/>
        <v>0</v>
      </c>
      <c r="I869" s="184">
        <f>IFERROR(__xludf.DUMMYFUNCTION("IFERROR(lookup(9999999999,FILTER('Operações-BR'!Q:Q,'Operações-BR'!$C:$C=A869,'Operações-BR'!$A:$A&lt;=C869))/G869,0)"),0.0)</f>
        <v>0</v>
      </c>
      <c r="J869" s="185" t="str">
        <f>IFERROR(VLOOKUP(A869,Ativos!$A$1:$G2000,5,),"")</f>
        <v/>
      </c>
      <c r="K869" s="185" t="str">
        <f>IFERROR(VLOOKUP(A869,Ativos!A:H,8,),"")</f>
        <v/>
      </c>
      <c r="L869" s="186">
        <f t="shared" si="3"/>
        <v>0</v>
      </c>
    </row>
    <row r="870" ht="21.0" customHeight="1">
      <c r="A870" s="187"/>
      <c r="B870" s="187"/>
      <c r="C870" s="188"/>
      <c r="D870" s="135"/>
      <c r="E870" s="189"/>
      <c r="F870" s="182" t="str">
        <f t="shared" si="1"/>
        <v/>
      </c>
      <c r="G870" s="183">
        <f>IFERROR(__xludf.DUMMYFUNCTION("IFERROR(lookup(9999999999,FILTER('Operações-BR'!$M:$M,'Operações-BR'!$C:$C=A870,'Operações-BR'!$A:$A&lt;=C870)),0)"),0.0)</f>
        <v>0</v>
      </c>
      <c r="H870" s="184">
        <f t="shared" si="2"/>
        <v>0</v>
      </c>
      <c r="I870" s="184">
        <f>IFERROR(__xludf.DUMMYFUNCTION("IFERROR(lookup(9999999999,FILTER('Operações-BR'!Q:Q,'Operações-BR'!$C:$C=A870,'Operações-BR'!$A:$A&lt;=C870))/G870,0)"),0.0)</f>
        <v>0</v>
      </c>
      <c r="J870" s="185" t="str">
        <f>IFERROR(VLOOKUP(A870,Ativos!$A$1:$G2000,5,),"")</f>
        <v/>
      </c>
      <c r="K870" s="185" t="str">
        <f>IFERROR(VLOOKUP(A870,Ativos!A:H,8,),"")</f>
        <v/>
      </c>
      <c r="L870" s="186">
        <f t="shared" si="3"/>
        <v>0</v>
      </c>
    </row>
    <row r="871" ht="21.0" customHeight="1">
      <c r="A871" s="187"/>
      <c r="B871" s="187"/>
      <c r="C871" s="188"/>
      <c r="D871" s="135"/>
      <c r="E871" s="189"/>
      <c r="F871" s="182" t="str">
        <f t="shared" si="1"/>
        <v/>
      </c>
      <c r="G871" s="183">
        <f>IFERROR(__xludf.DUMMYFUNCTION("IFERROR(lookup(9999999999,FILTER('Operações-BR'!$M:$M,'Operações-BR'!$C:$C=A871,'Operações-BR'!$A:$A&lt;=C871)),0)"),0.0)</f>
        <v>0</v>
      </c>
      <c r="H871" s="184">
        <f t="shared" si="2"/>
        <v>0</v>
      </c>
      <c r="I871" s="184">
        <f>IFERROR(__xludf.DUMMYFUNCTION("IFERROR(lookup(9999999999,FILTER('Operações-BR'!Q:Q,'Operações-BR'!$C:$C=A871,'Operações-BR'!$A:$A&lt;=C871))/G871,0)"),0.0)</f>
        <v>0</v>
      </c>
      <c r="J871" s="185" t="str">
        <f>IFERROR(VLOOKUP(A871,Ativos!$A$1:$G2000,5,),"")</f>
        <v/>
      </c>
      <c r="K871" s="185" t="str">
        <f>IFERROR(VLOOKUP(A871,Ativos!A:H,8,),"")</f>
        <v/>
      </c>
      <c r="L871" s="186">
        <f t="shared" si="3"/>
        <v>0</v>
      </c>
    </row>
    <row r="872" ht="21.0" customHeight="1">
      <c r="A872" s="187"/>
      <c r="B872" s="187"/>
      <c r="C872" s="188"/>
      <c r="D872" s="135"/>
      <c r="E872" s="189"/>
      <c r="F872" s="182" t="str">
        <f t="shared" si="1"/>
        <v/>
      </c>
      <c r="G872" s="183">
        <f>IFERROR(__xludf.DUMMYFUNCTION("IFERROR(lookup(9999999999,FILTER('Operações-BR'!$M:$M,'Operações-BR'!$C:$C=A872,'Operações-BR'!$A:$A&lt;=C872)),0)"),0.0)</f>
        <v>0</v>
      </c>
      <c r="H872" s="184">
        <f t="shared" si="2"/>
        <v>0</v>
      </c>
      <c r="I872" s="184">
        <f>IFERROR(__xludf.DUMMYFUNCTION("IFERROR(lookup(9999999999,FILTER('Operações-BR'!Q:Q,'Operações-BR'!$C:$C=A872,'Operações-BR'!$A:$A&lt;=C872))/G872,0)"),0.0)</f>
        <v>0</v>
      </c>
      <c r="J872" s="185" t="str">
        <f>IFERROR(VLOOKUP(A872,Ativos!$A$1:$G2000,5,),"")</f>
        <v/>
      </c>
      <c r="K872" s="185" t="str">
        <f>IFERROR(VLOOKUP(A872,Ativos!A:H,8,),"")</f>
        <v/>
      </c>
      <c r="L872" s="186">
        <f t="shared" si="3"/>
        <v>0</v>
      </c>
    </row>
    <row r="873" ht="21.0" customHeight="1">
      <c r="A873" s="187"/>
      <c r="B873" s="187"/>
      <c r="C873" s="188"/>
      <c r="D873" s="135"/>
      <c r="E873" s="189"/>
      <c r="F873" s="182" t="str">
        <f t="shared" si="1"/>
        <v/>
      </c>
      <c r="G873" s="183">
        <f>IFERROR(__xludf.DUMMYFUNCTION("IFERROR(lookup(9999999999,FILTER('Operações-BR'!$M:$M,'Operações-BR'!$C:$C=A873,'Operações-BR'!$A:$A&lt;=C873)),0)"),0.0)</f>
        <v>0</v>
      </c>
      <c r="H873" s="184">
        <f t="shared" si="2"/>
        <v>0</v>
      </c>
      <c r="I873" s="184">
        <f>IFERROR(__xludf.DUMMYFUNCTION("IFERROR(lookup(9999999999,FILTER('Operações-BR'!Q:Q,'Operações-BR'!$C:$C=A873,'Operações-BR'!$A:$A&lt;=C873))/G873,0)"),0.0)</f>
        <v>0</v>
      </c>
      <c r="J873" s="185" t="str">
        <f>IFERROR(VLOOKUP(A873,Ativos!$A$1:$G2000,5,),"")</f>
        <v/>
      </c>
      <c r="K873" s="185" t="str">
        <f>IFERROR(VLOOKUP(A873,Ativos!A:H,8,),"")</f>
        <v/>
      </c>
      <c r="L873" s="186">
        <f t="shared" si="3"/>
        <v>0</v>
      </c>
    </row>
    <row r="874" ht="21.0" customHeight="1">
      <c r="A874" s="187"/>
      <c r="B874" s="187"/>
      <c r="C874" s="188"/>
      <c r="D874" s="135"/>
      <c r="E874" s="189"/>
      <c r="F874" s="182" t="str">
        <f t="shared" si="1"/>
        <v/>
      </c>
      <c r="G874" s="183">
        <f>IFERROR(__xludf.DUMMYFUNCTION("IFERROR(lookup(9999999999,FILTER('Operações-BR'!$M:$M,'Operações-BR'!$C:$C=A874,'Operações-BR'!$A:$A&lt;=C874)),0)"),0.0)</f>
        <v>0</v>
      </c>
      <c r="H874" s="184">
        <f t="shared" si="2"/>
        <v>0</v>
      </c>
      <c r="I874" s="184">
        <f>IFERROR(__xludf.DUMMYFUNCTION("IFERROR(lookup(9999999999,FILTER('Operações-BR'!Q:Q,'Operações-BR'!$C:$C=A874,'Operações-BR'!$A:$A&lt;=C874))/G874,0)"),0.0)</f>
        <v>0</v>
      </c>
      <c r="J874" s="185" t="str">
        <f>IFERROR(VLOOKUP(A874,Ativos!$A$1:$G2000,5,),"")</f>
        <v/>
      </c>
      <c r="K874" s="185" t="str">
        <f>IFERROR(VLOOKUP(A874,Ativos!A:H,8,),"")</f>
        <v/>
      </c>
      <c r="L874" s="186">
        <f t="shared" si="3"/>
        <v>0</v>
      </c>
    </row>
    <row r="875" ht="21.0" customHeight="1">
      <c r="A875" s="187"/>
      <c r="B875" s="187"/>
      <c r="C875" s="188"/>
      <c r="D875" s="135"/>
      <c r="E875" s="189"/>
      <c r="F875" s="182" t="str">
        <f t="shared" si="1"/>
        <v/>
      </c>
      <c r="G875" s="183">
        <f>IFERROR(__xludf.DUMMYFUNCTION("IFERROR(lookup(9999999999,FILTER('Operações-BR'!$M:$M,'Operações-BR'!$C:$C=A875,'Operações-BR'!$A:$A&lt;=C875)),0)"),0.0)</f>
        <v>0</v>
      </c>
      <c r="H875" s="184">
        <f t="shared" si="2"/>
        <v>0</v>
      </c>
      <c r="I875" s="184">
        <f>IFERROR(__xludf.DUMMYFUNCTION("IFERROR(lookup(9999999999,FILTER('Operações-BR'!Q:Q,'Operações-BR'!$C:$C=A875,'Operações-BR'!$A:$A&lt;=C875))/G875,0)"),0.0)</f>
        <v>0</v>
      </c>
      <c r="J875" s="185" t="str">
        <f>IFERROR(VLOOKUP(A875,Ativos!$A$1:$G2000,5,),"")</f>
        <v/>
      </c>
      <c r="K875" s="185" t="str">
        <f>IFERROR(VLOOKUP(A875,Ativos!A:H,8,),"")</f>
        <v/>
      </c>
      <c r="L875" s="186">
        <f t="shared" si="3"/>
        <v>0</v>
      </c>
    </row>
    <row r="876" ht="21.0" customHeight="1">
      <c r="A876" s="187"/>
      <c r="B876" s="187"/>
      <c r="C876" s="188"/>
      <c r="D876" s="135"/>
      <c r="E876" s="189"/>
      <c r="F876" s="182" t="str">
        <f t="shared" si="1"/>
        <v/>
      </c>
      <c r="G876" s="183">
        <f>IFERROR(__xludf.DUMMYFUNCTION("IFERROR(lookup(9999999999,FILTER('Operações-BR'!$M:$M,'Operações-BR'!$C:$C=A876,'Operações-BR'!$A:$A&lt;=C876)),0)"),0.0)</f>
        <v>0</v>
      </c>
      <c r="H876" s="184">
        <f t="shared" si="2"/>
        <v>0</v>
      </c>
      <c r="I876" s="184">
        <f>IFERROR(__xludf.DUMMYFUNCTION("IFERROR(lookup(9999999999,FILTER('Operações-BR'!Q:Q,'Operações-BR'!$C:$C=A876,'Operações-BR'!$A:$A&lt;=C876))/G876,0)"),0.0)</f>
        <v>0</v>
      </c>
      <c r="J876" s="185" t="str">
        <f>IFERROR(VLOOKUP(A876,Ativos!$A$1:$G2000,5,),"")</f>
        <v/>
      </c>
      <c r="K876" s="185" t="str">
        <f>IFERROR(VLOOKUP(A876,Ativos!A:H,8,),"")</f>
        <v/>
      </c>
      <c r="L876" s="186">
        <f t="shared" si="3"/>
        <v>0</v>
      </c>
    </row>
    <row r="877" ht="21.0" customHeight="1">
      <c r="A877" s="187"/>
      <c r="B877" s="187"/>
      <c r="C877" s="188"/>
      <c r="D877" s="135"/>
      <c r="E877" s="189"/>
      <c r="F877" s="182" t="str">
        <f t="shared" si="1"/>
        <v/>
      </c>
      <c r="G877" s="183">
        <f>IFERROR(__xludf.DUMMYFUNCTION("IFERROR(lookup(9999999999,FILTER('Operações-BR'!$M:$M,'Operações-BR'!$C:$C=A877,'Operações-BR'!$A:$A&lt;=C877)),0)"),0.0)</f>
        <v>0</v>
      </c>
      <c r="H877" s="184">
        <f t="shared" si="2"/>
        <v>0</v>
      </c>
      <c r="I877" s="184">
        <f>IFERROR(__xludf.DUMMYFUNCTION("IFERROR(lookup(9999999999,FILTER('Operações-BR'!Q:Q,'Operações-BR'!$C:$C=A877,'Operações-BR'!$A:$A&lt;=C877))/G877,0)"),0.0)</f>
        <v>0</v>
      </c>
      <c r="J877" s="185" t="str">
        <f>IFERROR(VLOOKUP(A877,Ativos!$A$1:$G2000,5,),"")</f>
        <v/>
      </c>
      <c r="K877" s="185" t="str">
        <f>IFERROR(VLOOKUP(A877,Ativos!A:H,8,),"")</f>
        <v/>
      </c>
      <c r="L877" s="186">
        <f t="shared" si="3"/>
        <v>0</v>
      </c>
    </row>
    <row r="878" ht="21.0" customHeight="1">
      <c r="A878" s="187"/>
      <c r="B878" s="187"/>
      <c r="C878" s="188"/>
      <c r="D878" s="135"/>
      <c r="E878" s="189"/>
      <c r="F878" s="182" t="str">
        <f t="shared" si="1"/>
        <v/>
      </c>
      <c r="G878" s="183">
        <f>IFERROR(__xludf.DUMMYFUNCTION("IFERROR(lookup(9999999999,FILTER('Operações-BR'!$M:$M,'Operações-BR'!$C:$C=A878,'Operações-BR'!$A:$A&lt;=C878)),0)"),0.0)</f>
        <v>0</v>
      </c>
      <c r="H878" s="184">
        <f t="shared" si="2"/>
        <v>0</v>
      </c>
      <c r="I878" s="184">
        <f>IFERROR(__xludf.DUMMYFUNCTION("IFERROR(lookup(9999999999,FILTER('Operações-BR'!Q:Q,'Operações-BR'!$C:$C=A878,'Operações-BR'!$A:$A&lt;=C878))/G878,0)"),0.0)</f>
        <v>0</v>
      </c>
      <c r="J878" s="185" t="str">
        <f>IFERROR(VLOOKUP(A878,Ativos!$A$1:$G2000,5,),"")</f>
        <v/>
      </c>
      <c r="K878" s="185" t="str">
        <f>IFERROR(VLOOKUP(A878,Ativos!A:H,8,),"")</f>
        <v/>
      </c>
      <c r="L878" s="186">
        <f t="shared" si="3"/>
        <v>0</v>
      </c>
    </row>
    <row r="879" ht="21.0" customHeight="1">
      <c r="A879" s="187"/>
      <c r="B879" s="187"/>
      <c r="C879" s="188"/>
      <c r="D879" s="135"/>
      <c r="E879" s="189"/>
      <c r="F879" s="182" t="str">
        <f t="shared" si="1"/>
        <v/>
      </c>
      <c r="G879" s="183">
        <f>IFERROR(__xludf.DUMMYFUNCTION("IFERROR(lookup(9999999999,FILTER('Operações-BR'!$M:$M,'Operações-BR'!$C:$C=A879,'Operações-BR'!$A:$A&lt;=C879)),0)"),0.0)</f>
        <v>0</v>
      </c>
      <c r="H879" s="184">
        <f t="shared" si="2"/>
        <v>0</v>
      </c>
      <c r="I879" s="184">
        <f>IFERROR(__xludf.DUMMYFUNCTION("IFERROR(lookup(9999999999,FILTER('Operações-BR'!Q:Q,'Operações-BR'!$C:$C=A879,'Operações-BR'!$A:$A&lt;=C879))/G879,0)"),0.0)</f>
        <v>0</v>
      </c>
      <c r="J879" s="185" t="str">
        <f>IFERROR(VLOOKUP(A879,Ativos!$A$1:$G2000,5,),"")</f>
        <v/>
      </c>
      <c r="K879" s="185" t="str">
        <f>IFERROR(VLOOKUP(A879,Ativos!A:H,8,),"")</f>
        <v/>
      </c>
      <c r="L879" s="186">
        <f t="shared" si="3"/>
        <v>0</v>
      </c>
    </row>
    <row r="880" ht="21.0" customHeight="1">
      <c r="A880" s="187"/>
      <c r="B880" s="187"/>
      <c r="C880" s="188"/>
      <c r="D880" s="135"/>
      <c r="E880" s="189"/>
      <c r="F880" s="182" t="str">
        <f t="shared" si="1"/>
        <v/>
      </c>
      <c r="G880" s="183">
        <f>IFERROR(__xludf.DUMMYFUNCTION("IFERROR(lookup(9999999999,FILTER('Operações-BR'!$M:$M,'Operações-BR'!$C:$C=A880,'Operações-BR'!$A:$A&lt;=C880)),0)"),0.0)</f>
        <v>0</v>
      </c>
      <c r="H880" s="184">
        <f t="shared" si="2"/>
        <v>0</v>
      </c>
      <c r="I880" s="184">
        <f>IFERROR(__xludf.DUMMYFUNCTION("IFERROR(lookup(9999999999,FILTER('Operações-BR'!Q:Q,'Operações-BR'!$C:$C=A880,'Operações-BR'!$A:$A&lt;=C880))/G880,0)"),0.0)</f>
        <v>0</v>
      </c>
      <c r="J880" s="185" t="str">
        <f>IFERROR(VLOOKUP(A880,Ativos!$A$1:$G2000,5,),"")</f>
        <v/>
      </c>
      <c r="K880" s="185" t="str">
        <f>IFERROR(VLOOKUP(A880,Ativos!A:H,8,),"")</f>
        <v/>
      </c>
      <c r="L880" s="186">
        <f t="shared" si="3"/>
        <v>0</v>
      </c>
    </row>
    <row r="881" ht="21.0" customHeight="1">
      <c r="A881" s="187"/>
      <c r="B881" s="187"/>
      <c r="C881" s="188"/>
      <c r="D881" s="135"/>
      <c r="E881" s="189"/>
      <c r="F881" s="182" t="str">
        <f t="shared" si="1"/>
        <v/>
      </c>
      <c r="G881" s="183">
        <f>IFERROR(__xludf.DUMMYFUNCTION("IFERROR(lookup(9999999999,FILTER('Operações-BR'!$M:$M,'Operações-BR'!$C:$C=A881,'Operações-BR'!$A:$A&lt;=C881)),0)"),0.0)</f>
        <v>0</v>
      </c>
      <c r="H881" s="184">
        <f t="shared" si="2"/>
        <v>0</v>
      </c>
      <c r="I881" s="184">
        <f>IFERROR(__xludf.DUMMYFUNCTION("IFERROR(lookup(9999999999,FILTER('Operações-BR'!Q:Q,'Operações-BR'!$C:$C=A881,'Operações-BR'!$A:$A&lt;=C881))/G881,0)"),0.0)</f>
        <v>0</v>
      </c>
      <c r="J881" s="185" t="str">
        <f>IFERROR(VLOOKUP(A881,Ativos!$A$1:$G2000,5,),"")</f>
        <v/>
      </c>
      <c r="K881" s="185" t="str">
        <f>IFERROR(VLOOKUP(A881,Ativos!A:H,8,),"")</f>
        <v/>
      </c>
      <c r="L881" s="186">
        <f t="shared" si="3"/>
        <v>0</v>
      </c>
    </row>
    <row r="882" ht="21.0" customHeight="1">
      <c r="A882" s="187"/>
      <c r="B882" s="187"/>
      <c r="C882" s="188"/>
      <c r="D882" s="135"/>
      <c r="E882" s="189"/>
      <c r="F882" s="182" t="str">
        <f t="shared" si="1"/>
        <v/>
      </c>
      <c r="G882" s="183">
        <f>IFERROR(__xludf.DUMMYFUNCTION("IFERROR(lookup(9999999999,FILTER('Operações-BR'!$M:$M,'Operações-BR'!$C:$C=A882,'Operações-BR'!$A:$A&lt;=C882)),0)"),0.0)</f>
        <v>0</v>
      </c>
      <c r="H882" s="184">
        <f t="shared" si="2"/>
        <v>0</v>
      </c>
      <c r="I882" s="184">
        <f>IFERROR(__xludf.DUMMYFUNCTION("IFERROR(lookup(9999999999,FILTER('Operações-BR'!Q:Q,'Operações-BR'!$C:$C=A882,'Operações-BR'!$A:$A&lt;=C882))/G882,0)"),0.0)</f>
        <v>0</v>
      </c>
      <c r="J882" s="185" t="str">
        <f>IFERROR(VLOOKUP(A882,Ativos!$A$1:$G2000,5,),"")</f>
        <v/>
      </c>
      <c r="K882" s="185" t="str">
        <f>IFERROR(VLOOKUP(A882,Ativos!A:H,8,),"")</f>
        <v/>
      </c>
      <c r="L882" s="186">
        <f t="shared" si="3"/>
        <v>0</v>
      </c>
    </row>
    <row r="883" ht="21.0" customHeight="1">
      <c r="A883" s="187"/>
      <c r="B883" s="187"/>
      <c r="C883" s="188"/>
      <c r="D883" s="135"/>
      <c r="E883" s="189"/>
      <c r="F883" s="182" t="str">
        <f t="shared" si="1"/>
        <v/>
      </c>
      <c r="G883" s="183">
        <f>IFERROR(__xludf.DUMMYFUNCTION("IFERROR(lookup(9999999999,FILTER('Operações-BR'!$M:$M,'Operações-BR'!$C:$C=A883,'Operações-BR'!$A:$A&lt;=C883)),0)"),0.0)</f>
        <v>0</v>
      </c>
      <c r="H883" s="184">
        <f t="shared" si="2"/>
        <v>0</v>
      </c>
      <c r="I883" s="184">
        <f>IFERROR(__xludf.DUMMYFUNCTION("IFERROR(lookup(9999999999,FILTER('Operações-BR'!Q:Q,'Operações-BR'!$C:$C=A883,'Operações-BR'!$A:$A&lt;=C883))/G883,0)"),0.0)</f>
        <v>0</v>
      </c>
      <c r="J883" s="185" t="str">
        <f>IFERROR(VLOOKUP(A883,Ativos!$A$1:$G2000,5,),"")</f>
        <v/>
      </c>
      <c r="K883" s="185" t="str">
        <f>IFERROR(VLOOKUP(A883,Ativos!A:H,8,),"")</f>
        <v/>
      </c>
      <c r="L883" s="186">
        <f t="shared" si="3"/>
        <v>0</v>
      </c>
    </row>
    <row r="884" ht="21.0" customHeight="1">
      <c r="A884" s="187"/>
      <c r="B884" s="187"/>
      <c r="C884" s="188"/>
      <c r="D884" s="135"/>
      <c r="E884" s="189"/>
      <c r="F884" s="182" t="str">
        <f t="shared" si="1"/>
        <v/>
      </c>
      <c r="G884" s="183">
        <f>IFERROR(__xludf.DUMMYFUNCTION("IFERROR(lookup(9999999999,FILTER('Operações-BR'!$M:$M,'Operações-BR'!$C:$C=A884,'Operações-BR'!$A:$A&lt;=C884)),0)"),0.0)</f>
        <v>0</v>
      </c>
      <c r="H884" s="184">
        <f t="shared" si="2"/>
        <v>0</v>
      </c>
      <c r="I884" s="184">
        <f>IFERROR(__xludf.DUMMYFUNCTION("IFERROR(lookup(9999999999,FILTER('Operações-BR'!Q:Q,'Operações-BR'!$C:$C=A884,'Operações-BR'!$A:$A&lt;=C884))/G884,0)"),0.0)</f>
        <v>0</v>
      </c>
      <c r="J884" s="185" t="str">
        <f>IFERROR(VLOOKUP(A884,Ativos!$A$1:$G2000,5,),"")</f>
        <v/>
      </c>
      <c r="K884" s="185" t="str">
        <f>IFERROR(VLOOKUP(A884,Ativos!A:H,8,),"")</f>
        <v/>
      </c>
      <c r="L884" s="186">
        <f t="shared" si="3"/>
        <v>0</v>
      </c>
    </row>
    <row r="885" ht="21.0" customHeight="1">
      <c r="A885" s="187"/>
      <c r="B885" s="187"/>
      <c r="C885" s="188"/>
      <c r="D885" s="135"/>
      <c r="E885" s="189"/>
      <c r="F885" s="182" t="str">
        <f t="shared" si="1"/>
        <v/>
      </c>
      <c r="G885" s="183">
        <f>IFERROR(__xludf.DUMMYFUNCTION("IFERROR(lookup(9999999999,FILTER('Operações-BR'!$M:$M,'Operações-BR'!$C:$C=A885,'Operações-BR'!$A:$A&lt;=C885)),0)"),0.0)</f>
        <v>0</v>
      </c>
      <c r="H885" s="184">
        <f t="shared" si="2"/>
        <v>0</v>
      </c>
      <c r="I885" s="184">
        <f>IFERROR(__xludf.DUMMYFUNCTION("IFERROR(lookup(9999999999,FILTER('Operações-BR'!Q:Q,'Operações-BR'!$C:$C=A885,'Operações-BR'!$A:$A&lt;=C885))/G885,0)"),0.0)</f>
        <v>0</v>
      </c>
      <c r="J885" s="185" t="str">
        <f>IFERROR(VLOOKUP(A885,Ativos!$A$1:$G2000,5,),"")</f>
        <v/>
      </c>
      <c r="K885" s="185" t="str">
        <f>IFERROR(VLOOKUP(A885,Ativos!A:H,8,),"")</f>
        <v/>
      </c>
      <c r="L885" s="186">
        <f t="shared" si="3"/>
        <v>0</v>
      </c>
    </row>
    <row r="886" ht="21.0" customHeight="1">
      <c r="A886" s="187"/>
      <c r="B886" s="187"/>
      <c r="C886" s="188"/>
      <c r="D886" s="135"/>
      <c r="E886" s="189"/>
      <c r="F886" s="182" t="str">
        <f t="shared" si="1"/>
        <v/>
      </c>
      <c r="G886" s="183">
        <f>IFERROR(__xludf.DUMMYFUNCTION("IFERROR(lookup(9999999999,FILTER('Operações-BR'!$M:$M,'Operações-BR'!$C:$C=A886,'Operações-BR'!$A:$A&lt;=C886)),0)"),0.0)</f>
        <v>0</v>
      </c>
      <c r="H886" s="184">
        <f t="shared" si="2"/>
        <v>0</v>
      </c>
      <c r="I886" s="184">
        <f>IFERROR(__xludf.DUMMYFUNCTION("IFERROR(lookup(9999999999,FILTER('Operações-BR'!Q:Q,'Operações-BR'!$C:$C=A886,'Operações-BR'!$A:$A&lt;=C886))/G886,0)"),0.0)</f>
        <v>0</v>
      </c>
      <c r="J886" s="185" t="str">
        <f>IFERROR(VLOOKUP(A886,Ativos!$A$1:$G2000,5,),"")</f>
        <v/>
      </c>
      <c r="K886" s="185" t="str">
        <f>IFERROR(VLOOKUP(A886,Ativos!A:H,8,),"")</f>
        <v/>
      </c>
      <c r="L886" s="186">
        <f t="shared" si="3"/>
        <v>0</v>
      </c>
    </row>
    <row r="887" ht="21.0" customHeight="1">
      <c r="A887" s="187"/>
      <c r="B887" s="187"/>
      <c r="C887" s="188"/>
      <c r="D887" s="135"/>
      <c r="E887" s="189"/>
      <c r="F887" s="182" t="str">
        <f t="shared" si="1"/>
        <v/>
      </c>
      <c r="G887" s="183">
        <f>IFERROR(__xludf.DUMMYFUNCTION("IFERROR(lookup(9999999999,FILTER('Operações-BR'!$M:$M,'Operações-BR'!$C:$C=A887,'Operações-BR'!$A:$A&lt;=C887)),0)"),0.0)</f>
        <v>0</v>
      </c>
      <c r="H887" s="184">
        <f t="shared" si="2"/>
        <v>0</v>
      </c>
      <c r="I887" s="184">
        <f>IFERROR(__xludf.DUMMYFUNCTION("IFERROR(lookup(9999999999,FILTER('Operações-BR'!Q:Q,'Operações-BR'!$C:$C=A887,'Operações-BR'!$A:$A&lt;=C887))/G887,0)"),0.0)</f>
        <v>0</v>
      </c>
      <c r="J887" s="185" t="str">
        <f>IFERROR(VLOOKUP(A887,Ativos!$A$1:$G2000,5,),"")</f>
        <v/>
      </c>
      <c r="K887" s="185" t="str">
        <f>IFERROR(VLOOKUP(A887,Ativos!A:H,8,),"")</f>
        <v/>
      </c>
      <c r="L887" s="186">
        <f t="shared" si="3"/>
        <v>0</v>
      </c>
    </row>
    <row r="888" ht="21.0" customHeight="1">
      <c r="A888" s="187"/>
      <c r="B888" s="187"/>
      <c r="C888" s="188"/>
      <c r="D888" s="135"/>
      <c r="E888" s="189"/>
      <c r="F888" s="182" t="str">
        <f t="shared" si="1"/>
        <v/>
      </c>
      <c r="G888" s="183">
        <f>IFERROR(__xludf.DUMMYFUNCTION("IFERROR(lookup(9999999999,FILTER('Operações-BR'!$M:$M,'Operações-BR'!$C:$C=A888,'Operações-BR'!$A:$A&lt;=C888)),0)"),0.0)</f>
        <v>0</v>
      </c>
      <c r="H888" s="184">
        <f t="shared" si="2"/>
        <v>0</v>
      </c>
      <c r="I888" s="184">
        <f>IFERROR(__xludf.DUMMYFUNCTION("IFERROR(lookup(9999999999,FILTER('Operações-BR'!Q:Q,'Operações-BR'!$C:$C=A888,'Operações-BR'!$A:$A&lt;=C888))/G888,0)"),0.0)</f>
        <v>0</v>
      </c>
      <c r="J888" s="185" t="str">
        <f>IFERROR(VLOOKUP(A888,Ativos!$A$1:$G2000,5,),"")</f>
        <v/>
      </c>
      <c r="K888" s="185" t="str">
        <f>IFERROR(VLOOKUP(A888,Ativos!A:H,8,),"")</f>
        <v/>
      </c>
      <c r="L888" s="186">
        <f t="shared" si="3"/>
        <v>0</v>
      </c>
    </row>
    <row r="889" ht="21.0" customHeight="1">
      <c r="A889" s="187"/>
      <c r="B889" s="187"/>
      <c r="C889" s="188"/>
      <c r="D889" s="135"/>
      <c r="E889" s="189"/>
      <c r="F889" s="182" t="str">
        <f t="shared" si="1"/>
        <v/>
      </c>
      <c r="G889" s="183">
        <f>IFERROR(__xludf.DUMMYFUNCTION("IFERROR(lookup(9999999999,FILTER('Operações-BR'!$M:$M,'Operações-BR'!$C:$C=A889,'Operações-BR'!$A:$A&lt;=C889)),0)"),0.0)</f>
        <v>0</v>
      </c>
      <c r="H889" s="184">
        <f t="shared" si="2"/>
        <v>0</v>
      </c>
      <c r="I889" s="184">
        <f>IFERROR(__xludf.DUMMYFUNCTION("IFERROR(lookup(9999999999,FILTER('Operações-BR'!Q:Q,'Operações-BR'!$C:$C=A889,'Operações-BR'!$A:$A&lt;=C889))/G889,0)"),0.0)</f>
        <v>0</v>
      </c>
      <c r="J889" s="185" t="str">
        <f>IFERROR(VLOOKUP(A889,Ativos!$A$1:$G2000,5,),"")</f>
        <v/>
      </c>
      <c r="K889" s="185" t="str">
        <f>IFERROR(VLOOKUP(A889,Ativos!A:H,8,),"")</f>
        <v/>
      </c>
      <c r="L889" s="186">
        <f t="shared" si="3"/>
        <v>0</v>
      </c>
    </row>
    <row r="890" ht="21.0" customHeight="1">
      <c r="A890" s="187"/>
      <c r="B890" s="187"/>
      <c r="C890" s="188"/>
      <c r="D890" s="135"/>
      <c r="E890" s="189"/>
      <c r="F890" s="182" t="str">
        <f t="shared" si="1"/>
        <v/>
      </c>
      <c r="G890" s="183">
        <f>IFERROR(__xludf.DUMMYFUNCTION("IFERROR(lookup(9999999999,FILTER('Operações-BR'!$M:$M,'Operações-BR'!$C:$C=A890,'Operações-BR'!$A:$A&lt;=C890)),0)"),0.0)</f>
        <v>0</v>
      </c>
      <c r="H890" s="184">
        <f t="shared" si="2"/>
        <v>0</v>
      </c>
      <c r="I890" s="184">
        <f>IFERROR(__xludf.DUMMYFUNCTION("IFERROR(lookup(9999999999,FILTER('Operações-BR'!Q:Q,'Operações-BR'!$C:$C=A890,'Operações-BR'!$A:$A&lt;=C890))/G890,0)"),0.0)</f>
        <v>0</v>
      </c>
      <c r="J890" s="185" t="str">
        <f>IFERROR(VLOOKUP(A890,Ativos!$A$1:$G2000,5,),"")</f>
        <v/>
      </c>
      <c r="K890" s="185" t="str">
        <f>IFERROR(VLOOKUP(A890,Ativos!A:H,8,),"")</f>
        <v/>
      </c>
      <c r="L890" s="186">
        <f t="shared" si="3"/>
        <v>0</v>
      </c>
    </row>
    <row r="891" ht="21.0" customHeight="1">
      <c r="A891" s="187"/>
      <c r="B891" s="187"/>
      <c r="C891" s="188"/>
      <c r="D891" s="135"/>
      <c r="E891" s="189"/>
      <c r="F891" s="182" t="str">
        <f t="shared" si="1"/>
        <v/>
      </c>
      <c r="G891" s="183">
        <f>IFERROR(__xludf.DUMMYFUNCTION("IFERROR(lookup(9999999999,FILTER('Operações-BR'!$M:$M,'Operações-BR'!$C:$C=A891,'Operações-BR'!$A:$A&lt;=C891)),0)"),0.0)</f>
        <v>0</v>
      </c>
      <c r="H891" s="184">
        <f t="shared" si="2"/>
        <v>0</v>
      </c>
      <c r="I891" s="184">
        <f>IFERROR(__xludf.DUMMYFUNCTION("IFERROR(lookup(9999999999,FILTER('Operações-BR'!Q:Q,'Operações-BR'!$C:$C=A891,'Operações-BR'!$A:$A&lt;=C891))/G891,0)"),0.0)</f>
        <v>0</v>
      </c>
      <c r="J891" s="185" t="str">
        <f>IFERROR(VLOOKUP(A891,Ativos!$A$1:$G2000,5,),"")</f>
        <v/>
      </c>
      <c r="K891" s="185" t="str">
        <f>IFERROR(VLOOKUP(A891,Ativos!A:H,8,),"")</f>
        <v/>
      </c>
      <c r="L891" s="186">
        <f t="shared" si="3"/>
        <v>0</v>
      </c>
    </row>
    <row r="892" ht="21.0" customHeight="1">
      <c r="A892" s="187"/>
      <c r="B892" s="187"/>
      <c r="C892" s="188"/>
      <c r="D892" s="135"/>
      <c r="E892" s="189"/>
      <c r="F892" s="182" t="str">
        <f t="shared" si="1"/>
        <v/>
      </c>
      <c r="G892" s="183">
        <f>IFERROR(__xludf.DUMMYFUNCTION("IFERROR(lookup(9999999999,FILTER('Operações-BR'!$M:$M,'Operações-BR'!$C:$C=A892,'Operações-BR'!$A:$A&lt;=C892)),0)"),0.0)</f>
        <v>0</v>
      </c>
      <c r="H892" s="184">
        <f t="shared" si="2"/>
        <v>0</v>
      </c>
      <c r="I892" s="184">
        <f>IFERROR(__xludf.DUMMYFUNCTION("IFERROR(lookup(9999999999,FILTER('Operações-BR'!Q:Q,'Operações-BR'!$C:$C=A892,'Operações-BR'!$A:$A&lt;=C892))/G892,0)"),0.0)</f>
        <v>0</v>
      </c>
      <c r="J892" s="185" t="str">
        <f>IFERROR(VLOOKUP(A892,Ativos!$A$1:$G2000,5,),"")</f>
        <v/>
      </c>
      <c r="K892" s="185" t="str">
        <f>IFERROR(VLOOKUP(A892,Ativos!A:H,8,),"")</f>
        <v/>
      </c>
      <c r="L892" s="186">
        <f t="shared" si="3"/>
        <v>0</v>
      </c>
    </row>
    <row r="893" ht="21.0" customHeight="1">
      <c r="A893" s="187"/>
      <c r="B893" s="187"/>
      <c r="C893" s="188"/>
      <c r="D893" s="135"/>
      <c r="E893" s="189"/>
      <c r="F893" s="182" t="str">
        <f t="shared" si="1"/>
        <v/>
      </c>
      <c r="G893" s="183">
        <f>IFERROR(__xludf.DUMMYFUNCTION("IFERROR(lookup(9999999999,FILTER('Operações-BR'!$M:$M,'Operações-BR'!$C:$C=A893,'Operações-BR'!$A:$A&lt;=C893)),0)"),0.0)</f>
        <v>0</v>
      </c>
      <c r="H893" s="184">
        <f t="shared" si="2"/>
        <v>0</v>
      </c>
      <c r="I893" s="184">
        <f>IFERROR(__xludf.DUMMYFUNCTION("IFERROR(lookup(9999999999,FILTER('Operações-BR'!Q:Q,'Operações-BR'!$C:$C=A893,'Operações-BR'!$A:$A&lt;=C893))/G893,0)"),0.0)</f>
        <v>0</v>
      </c>
      <c r="J893" s="185" t="str">
        <f>IFERROR(VLOOKUP(A893,Ativos!$A$1:$G2000,5,),"")</f>
        <v/>
      </c>
      <c r="K893" s="185" t="str">
        <f>IFERROR(VLOOKUP(A893,Ativos!A:H,8,),"")</f>
        <v/>
      </c>
      <c r="L893" s="186">
        <f t="shared" si="3"/>
        <v>0</v>
      </c>
    </row>
    <row r="894" ht="21.0" customHeight="1">
      <c r="A894" s="187"/>
      <c r="B894" s="187"/>
      <c r="C894" s="188"/>
      <c r="D894" s="135"/>
      <c r="E894" s="189"/>
      <c r="F894" s="182" t="str">
        <f t="shared" si="1"/>
        <v/>
      </c>
      <c r="G894" s="183">
        <f>IFERROR(__xludf.DUMMYFUNCTION("IFERROR(lookup(9999999999,FILTER('Operações-BR'!$M:$M,'Operações-BR'!$C:$C=A894,'Operações-BR'!$A:$A&lt;=C894)),0)"),0.0)</f>
        <v>0</v>
      </c>
      <c r="H894" s="184">
        <f t="shared" si="2"/>
        <v>0</v>
      </c>
      <c r="I894" s="184">
        <f>IFERROR(__xludf.DUMMYFUNCTION("IFERROR(lookup(9999999999,FILTER('Operações-BR'!Q:Q,'Operações-BR'!$C:$C=A894,'Operações-BR'!$A:$A&lt;=C894))/G894,0)"),0.0)</f>
        <v>0</v>
      </c>
      <c r="J894" s="185" t="str">
        <f>IFERROR(VLOOKUP(A894,Ativos!$A$1:$G2000,5,),"")</f>
        <v/>
      </c>
      <c r="K894" s="185" t="str">
        <f>IFERROR(VLOOKUP(A894,Ativos!A:H,8,),"")</f>
        <v/>
      </c>
      <c r="L894" s="186">
        <f t="shared" si="3"/>
        <v>0</v>
      </c>
    </row>
    <row r="895" ht="21.0" customHeight="1">
      <c r="A895" s="187"/>
      <c r="B895" s="187"/>
      <c r="C895" s="188"/>
      <c r="D895" s="135"/>
      <c r="E895" s="189"/>
      <c r="F895" s="182" t="str">
        <f t="shared" si="1"/>
        <v/>
      </c>
      <c r="G895" s="183">
        <f>IFERROR(__xludf.DUMMYFUNCTION("IFERROR(lookup(9999999999,FILTER('Operações-BR'!$M:$M,'Operações-BR'!$C:$C=A895,'Operações-BR'!$A:$A&lt;=C895)),0)"),0.0)</f>
        <v>0</v>
      </c>
      <c r="H895" s="184">
        <f t="shared" si="2"/>
        <v>0</v>
      </c>
      <c r="I895" s="184">
        <f>IFERROR(__xludf.DUMMYFUNCTION("IFERROR(lookup(9999999999,FILTER('Operações-BR'!Q:Q,'Operações-BR'!$C:$C=A895,'Operações-BR'!$A:$A&lt;=C895))/G895,0)"),0.0)</f>
        <v>0</v>
      </c>
      <c r="J895" s="185" t="str">
        <f>IFERROR(VLOOKUP(A895,Ativos!$A$1:$G2000,5,),"")</f>
        <v/>
      </c>
      <c r="K895" s="185" t="str">
        <f>IFERROR(VLOOKUP(A895,Ativos!A:H,8,),"")</f>
        <v/>
      </c>
      <c r="L895" s="186">
        <f t="shared" si="3"/>
        <v>0</v>
      </c>
    </row>
    <row r="896" ht="21.0" customHeight="1">
      <c r="A896" s="187"/>
      <c r="B896" s="187"/>
      <c r="C896" s="188"/>
      <c r="D896" s="135"/>
      <c r="E896" s="189"/>
      <c r="F896" s="182" t="str">
        <f t="shared" si="1"/>
        <v/>
      </c>
      <c r="G896" s="183">
        <f>IFERROR(__xludf.DUMMYFUNCTION("IFERROR(lookup(9999999999,FILTER('Operações-BR'!$M:$M,'Operações-BR'!$C:$C=A896,'Operações-BR'!$A:$A&lt;=C896)),0)"),0.0)</f>
        <v>0</v>
      </c>
      <c r="H896" s="184">
        <f t="shared" si="2"/>
        <v>0</v>
      </c>
      <c r="I896" s="184">
        <f>IFERROR(__xludf.DUMMYFUNCTION("IFERROR(lookup(9999999999,FILTER('Operações-BR'!Q:Q,'Operações-BR'!$C:$C=A896,'Operações-BR'!$A:$A&lt;=C896))/G896,0)"),0.0)</f>
        <v>0</v>
      </c>
      <c r="J896" s="185" t="str">
        <f>IFERROR(VLOOKUP(A896,Ativos!$A$1:$G2000,5,),"")</f>
        <v/>
      </c>
      <c r="K896" s="185" t="str">
        <f>IFERROR(VLOOKUP(A896,Ativos!A:H,8,),"")</f>
        <v/>
      </c>
      <c r="L896" s="186">
        <f t="shared" si="3"/>
        <v>0</v>
      </c>
    </row>
    <row r="897" ht="21.0" customHeight="1">
      <c r="A897" s="187"/>
      <c r="B897" s="187"/>
      <c r="C897" s="188"/>
      <c r="D897" s="135"/>
      <c r="E897" s="189"/>
      <c r="F897" s="182" t="str">
        <f t="shared" si="1"/>
        <v/>
      </c>
      <c r="G897" s="183">
        <f>IFERROR(__xludf.DUMMYFUNCTION("IFERROR(lookup(9999999999,FILTER('Operações-BR'!$M:$M,'Operações-BR'!$C:$C=A897,'Operações-BR'!$A:$A&lt;=C897)),0)"),0.0)</f>
        <v>0</v>
      </c>
      <c r="H897" s="184">
        <f t="shared" si="2"/>
        <v>0</v>
      </c>
      <c r="I897" s="184">
        <f>IFERROR(__xludf.DUMMYFUNCTION("IFERROR(lookup(9999999999,FILTER('Operações-BR'!Q:Q,'Operações-BR'!$C:$C=A897,'Operações-BR'!$A:$A&lt;=C897))/G897,0)"),0.0)</f>
        <v>0</v>
      </c>
      <c r="J897" s="185" t="str">
        <f>IFERROR(VLOOKUP(A897,Ativos!$A$1:$G2000,5,),"")</f>
        <v/>
      </c>
      <c r="K897" s="185" t="str">
        <f>IFERROR(VLOOKUP(A897,Ativos!A:H,8,),"")</f>
        <v/>
      </c>
      <c r="L897" s="186">
        <f t="shared" si="3"/>
        <v>0</v>
      </c>
    </row>
    <row r="898" ht="21.0" customHeight="1">
      <c r="A898" s="187"/>
      <c r="B898" s="187"/>
      <c r="C898" s="188"/>
      <c r="D898" s="135"/>
      <c r="E898" s="189"/>
      <c r="F898" s="182" t="str">
        <f t="shared" si="1"/>
        <v/>
      </c>
      <c r="G898" s="183">
        <f>IFERROR(__xludf.DUMMYFUNCTION("IFERROR(lookup(9999999999,FILTER('Operações-BR'!$M:$M,'Operações-BR'!$C:$C=A898,'Operações-BR'!$A:$A&lt;=C898)),0)"),0.0)</f>
        <v>0</v>
      </c>
      <c r="H898" s="184">
        <f t="shared" si="2"/>
        <v>0</v>
      </c>
      <c r="I898" s="184">
        <f>IFERROR(__xludf.DUMMYFUNCTION("IFERROR(lookup(9999999999,FILTER('Operações-BR'!Q:Q,'Operações-BR'!$C:$C=A898,'Operações-BR'!$A:$A&lt;=C898))/G898,0)"),0.0)</f>
        <v>0</v>
      </c>
      <c r="J898" s="185" t="str">
        <f>IFERROR(VLOOKUP(A898,Ativos!$A$1:$G2000,5,),"")</f>
        <v/>
      </c>
      <c r="K898" s="185" t="str">
        <f>IFERROR(VLOOKUP(A898,Ativos!A:H,8,),"")</f>
        <v/>
      </c>
      <c r="L898" s="186">
        <f t="shared" si="3"/>
        <v>0</v>
      </c>
    </row>
    <row r="899" ht="21.0" customHeight="1">
      <c r="A899" s="187"/>
      <c r="B899" s="187"/>
      <c r="C899" s="188"/>
      <c r="D899" s="135"/>
      <c r="E899" s="189"/>
      <c r="F899" s="182" t="str">
        <f t="shared" si="1"/>
        <v/>
      </c>
      <c r="G899" s="183">
        <f>IFERROR(__xludf.DUMMYFUNCTION("IFERROR(lookup(9999999999,FILTER('Operações-BR'!$M:$M,'Operações-BR'!$C:$C=A899,'Operações-BR'!$A:$A&lt;=C899)),0)"),0.0)</f>
        <v>0</v>
      </c>
      <c r="H899" s="184">
        <f t="shared" si="2"/>
        <v>0</v>
      </c>
      <c r="I899" s="184">
        <f>IFERROR(__xludf.DUMMYFUNCTION("IFERROR(lookup(9999999999,FILTER('Operações-BR'!Q:Q,'Operações-BR'!$C:$C=A899,'Operações-BR'!$A:$A&lt;=C899))/G899,0)"),0.0)</f>
        <v>0</v>
      </c>
      <c r="J899" s="185" t="str">
        <f>IFERROR(VLOOKUP(A899,Ativos!$A$1:$G2000,5,),"")</f>
        <v/>
      </c>
      <c r="K899" s="185" t="str">
        <f>IFERROR(VLOOKUP(A899,Ativos!A:H,8,),"")</f>
        <v/>
      </c>
      <c r="L899" s="186">
        <f t="shared" si="3"/>
        <v>0</v>
      </c>
    </row>
    <row r="900" ht="21.0" customHeight="1">
      <c r="A900" s="187"/>
      <c r="B900" s="187"/>
      <c r="C900" s="188"/>
      <c r="D900" s="135"/>
      <c r="E900" s="189"/>
      <c r="F900" s="182" t="str">
        <f t="shared" si="1"/>
        <v/>
      </c>
      <c r="G900" s="183">
        <f>IFERROR(__xludf.DUMMYFUNCTION("IFERROR(lookup(9999999999,FILTER('Operações-BR'!$M:$M,'Operações-BR'!$C:$C=A900,'Operações-BR'!$A:$A&lt;=C900)),0)"),0.0)</f>
        <v>0</v>
      </c>
      <c r="H900" s="184">
        <f t="shared" si="2"/>
        <v>0</v>
      </c>
      <c r="I900" s="184">
        <f>IFERROR(__xludf.DUMMYFUNCTION("IFERROR(lookup(9999999999,FILTER('Operações-BR'!Q:Q,'Operações-BR'!$C:$C=A900,'Operações-BR'!$A:$A&lt;=C900))/G900,0)"),0.0)</f>
        <v>0</v>
      </c>
      <c r="J900" s="185" t="str">
        <f>IFERROR(VLOOKUP(A900,Ativos!$A$1:$G2000,5,),"")</f>
        <v/>
      </c>
      <c r="K900" s="185" t="str">
        <f>IFERROR(VLOOKUP(A900,Ativos!A:H,8,),"")</f>
        <v/>
      </c>
      <c r="L900" s="186">
        <f t="shared" si="3"/>
        <v>0</v>
      </c>
    </row>
    <row r="901" ht="21.0" customHeight="1">
      <c r="A901" s="187"/>
      <c r="B901" s="187"/>
      <c r="C901" s="188"/>
      <c r="D901" s="135"/>
      <c r="E901" s="189"/>
      <c r="F901" s="182" t="str">
        <f t="shared" si="1"/>
        <v/>
      </c>
      <c r="G901" s="183">
        <f>IFERROR(__xludf.DUMMYFUNCTION("IFERROR(lookup(9999999999,FILTER('Operações-BR'!$M:$M,'Operações-BR'!$C:$C=A901,'Operações-BR'!$A:$A&lt;=C901)),0)"),0.0)</f>
        <v>0</v>
      </c>
      <c r="H901" s="184">
        <f t="shared" si="2"/>
        <v>0</v>
      </c>
      <c r="I901" s="184">
        <f>IFERROR(__xludf.DUMMYFUNCTION("IFERROR(lookup(9999999999,FILTER('Operações-BR'!Q:Q,'Operações-BR'!$C:$C=A901,'Operações-BR'!$A:$A&lt;=C901))/G901,0)"),0.0)</f>
        <v>0</v>
      </c>
      <c r="J901" s="185" t="str">
        <f>IFERROR(VLOOKUP(A901,Ativos!$A$1:$G2000,5,),"")</f>
        <v/>
      </c>
      <c r="K901" s="185" t="str">
        <f>IFERROR(VLOOKUP(A901,Ativos!A:H,8,),"")</f>
        <v/>
      </c>
      <c r="L901" s="186">
        <f t="shared" si="3"/>
        <v>0</v>
      </c>
    </row>
    <row r="902" ht="21.0" customHeight="1">
      <c r="A902" s="187"/>
      <c r="B902" s="187"/>
      <c r="C902" s="188"/>
      <c r="D902" s="135"/>
      <c r="E902" s="189"/>
      <c r="F902" s="182" t="str">
        <f t="shared" si="1"/>
        <v/>
      </c>
      <c r="G902" s="183">
        <f>IFERROR(__xludf.DUMMYFUNCTION("IFERROR(lookup(9999999999,FILTER('Operações-BR'!$M:$M,'Operações-BR'!$C:$C=A902,'Operações-BR'!$A:$A&lt;=C902)),0)"),0.0)</f>
        <v>0</v>
      </c>
      <c r="H902" s="184">
        <f t="shared" si="2"/>
        <v>0</v>
      </c>
      <c r="I902" s="184">
        <f>IFERROR(__xludf.DUMMYFUNCTION("IFERROR(lookup(9999999999,FILTER('Operações-BR'!Q:Q,'Operações-BR'!$C:$C=A902,'Operações-BR'!$A:$A&lt;=C902))/G902,0)"),0.0)</f>
        <v>0</v>
      </c>
      <c r="J902" s="185" t="str">
        <f>IFERROR(VLOOKUP(A902,Ativos!$A$1:$G2000,5,),"")</f>
        <v/>
      </c>
      <c r="K902" s="185" t="str">
        <f>IFERROR(VLOOKUP(A902,Ativos!A:H,8,),"")</f>
        <v/>
      </c>
      <c r="L902" s="186">
        <f t="shared" si="3"/>
        <v>0</v>
      </c>
    </row>
    <row r="903" ht="21.0" customHeight="1">
      <c r="A903" s="187"/>
      <c r="B903" s="187"/>
      <c r="C903" s="188"/>
      <c r="D903" s="135"/>
      <c r="E903" s="189"/>
      <c r="F903" s="182" t="str">
        <f t="shared" si="1"/>
        <v/>
      </c>
      <c r="G903" s="183">
        <f>IFERROR(__xludf.DUMMYFUNCTION("IFERROR(lookup(9999999999,FILTER('Operações-BR'!$M:$M,'Operações-BR'!$C:$C=A903,'Operações-BR'!$A:$A&lt;=C903)),0)"),0.0)</f>
        <v>0</v>
      </c>
      <c r="H903" s="184">
        <f t="shared" si="2"/>
        <v>0</v>
      </c>
      <c r="I903" s="184">
        <f>IFERROR(__xludf.DUMMYFUNCTION("IFERROR(lookup(9999999999,FILTER('Operações-BR'!Q:Q,'Operações-BR'!$C:$C=A903,'Operações-BR'!$A:$A&lt;=C903))/G903,0)"),0.0)</f>
        <v>0</v>
      </c>
      <c r="J903" s="185" t="str">
        <f>IFERROR(VLOOKUP(A903,Ativos!$A$1:$G2000,5,),"")</f>
        <v/>
      </c>
      <c r="K903" s="185" t="str">
        <f>IFERROR(VLOOKUP(A903,Ativos!A:H,8,),"")</f>
        <v/>
      </c>
      <c r="L903" s="186">
        <f t="shared" si="3"/>
        <v>0</v>
      </c>
    </row>
    <row r="904" ht="21.0" customHeight="1">
      <c r="A904" s="187"/>
      <c r="B904" s="187"/>
      <c r="C904" s="188"/>
      <c r="D904" s="135"/>
      <c r="E904" s="189"/>
      <c r="F904" s="182" t="str">
        <f t="shared" si="1"/>
        <v/>
      </c>
      <c r="G904" s="183">
        <f>IFERROR(__xludf.DUMMYFUNCTION("IFERROR(lookup(9999999999,FILTER('Operações-BR'!$M:$M,'Operações-BR'!$C:$C=A904,'Operações-BR'!$A:$A&lt;=C904)),0)"),0.0)</f>
        <v>0</v>
      </c>
      <c r="H904" s="184">
        <f t="shared" si="2"/>
        <v>0</v>
      </c>
      <c r="I904" s="184">
        <f>IFERROR(__xludf.DUMMYFUNCTION("IFERROR(lookup(9999999999,FILTER('Operações-BR'!Q:Q,'Operações-BR'!$C:$C=A904,'Operações-BR'!$A:$A&lt;=C904))/G904,0)"),0.0)</f>
        <v>0</v>
      </c>
      <c r="J904" s="185" t="str">
        <f>IFERROR(VLOOKUP(A904,Ativos!$A$1:$G2000,5,),"")</f>
        <v/>
      </c>
      <c r="K904" s="185" t="str">
        <f>IFERROR(VLOOKUP(A904,Ativos!A:H,8,),"")</f>
        <v/>
      </c>
      <c r="L904" s="186">
        <f t="shared" si="3"/>
        <v>0</v>
      </c>
    </row>
    <row r="905" ht="21.0" customHeight="1">
      <c r="A905" s="187"/>
      <c r="B905" s="187"/>
      <c r="C905" s="188"/>
      <c r="D905" s="135"/>
      <c r="E905" s="189"/>
      <c r="F905" s="182" t="str">
        <f t="shared" si="1"/>
        <v/>
      </c>
      <c r="G905" s="183">
        <f>IFERROR(__xludf.DUMMYFUNCTION("IFERROR(lookup(9999999999,FILTER('Operações-BR'!$M:$M,'Operações-BR'!$C:$C=A905,'Operações-BR'!$A:$A&lt;=C905)),0)"),0.0)</f>
        <v>0</v>
      </c>
      <c r="H905" s="184">
        <f t="shared" si="2"/>
        <v>0</v>
      </c>
      <c r="I905" s="184">
        <f>IFERROR(__xludf.DUMMYFUNCTION("IFERROR(lookup(9999999999,FILTER('Operações-BR'!Q:Q,'Operações-BR'!$C:$C=A905,'Operações-BR'!$A:$A&lt;=C905))/G905,0)"),0.0)</f>
        <v>0</v>
      </c>
      <c r="J905" s="185" t="str">
        <f>IFERROR(VLOOKUP(A905,Ativos!$A$1:$G2000,5,),"")</f>
        <v/>
      </c>
      <c r="K905" s="185" t="str">
        <f>IFERROR(VLOOKUP(A905,Ativos!A:H,8,),"")</f>
        <v/>
      </c>
      <c r="L905" s="186">
        <f t="shared" si="3"/>
        <v>0</v>
      </c>
    </row>
    <row r="906" ht="21.0" customHeight="1">
      <c r="A906" s="187"/>
      <c r="B906" s="187"/>
      <c r="C906" s="188"/>
      <c r="D906" s="135"/>
      <c r="E906" s="189"/>
      <c r="F906" s="182" t="str">
        <f t="shared" si="1"/>
        <v/>
      </c>
      <c r="G906" s="183">
        <f>IFERROR(__xludf.DUMMYFUNCTION("IFERROR(lookup(9999999999,FILTER('Operações-BR'!$M:$M,'Operações-BR'!$C:$C=A906,'Operações-BR'!$A:$A&lt;=C906)),0)"),0.0)</f>
        <v>0</v>
      </c>
      <c r="H906" s="184">
        <f t="shared" si="2"/>
        <v>0</v>
      </c>
      <c r="I906" s="184">
        <f>IFERROR(__xludf.DUMMYFUNCTION("IFERROR(lookup(9999999999,FILTER('Operações-BR'!Q:Q,'Operações-BR'!$C:$C=A906,'Operações-BR'!$A:$A&lt;=C906))/G906,0)"),0.0)</f>
        <v>0</v>
      </c>
      <c r="J906" s="185" t="str">
        <f>IFERROR(VLOOKUP(A906,Ativos!$A$1:$G2000,5,),"")</f>
        <v/>
      </c>
      <c r="K906" s="185" t="str">
        <f>IFERROR(VLOOKUP(A906,Ativos!A:H,8,),"")</f>
        <v/>
      </c>
      <c r="L906" s="186">
        <f t="shared" si="3"/>
        <v>0</v>
      </c>
    </row>
    <row r="907" ht="21.0" customHeight="1">
      <c r="A907" s="187"/>
      <c r="B907" s="187"/>
      <c r="C907" s="188"/>
      <c r="D907" s="135"/>
      <c r="E907" s="189"/>
      <c r="F907" s="182" t="str">
        <f t="shared" si="1"/>
        <v/>
      </c>
      <c r="G907" s="183">
        <f>IFERROR(__xludf.DUMMYFUNCTION("IFERROR(lookup(9999999999,FILTER('Operações-BR'!$M:$M,'Operações-BR'!$C:$C=A907,'Operações-BR'!$A:$A&lt;=C907)),0)"),0.0)</f>
        <v>0</v>
      </c>
      <c r="H907" s="184">
        <f t="shared" si="2"/>
        <v>0</v>
      </c>
      <c r="I907" s="184">
        <f>IFERROR(__xludf.DUMMYFUNCTION("IFERROR(lookup(9999999999,FILTER('Operações-BR'!Q:Q,'Operações-BR'!$C:$C=A907,'Operações-BR'!$A:$A&lt;=C907))/G907,0)"),0.0)</f>
        <v>0</v>
      </c>
      <c r="J907" s="185" t="str">
        <f>IFERROR(VLOOKUP(A907,Ativos!$A$1:$G2000,5,),"")</f>
        <v/>
      </c>
      <c r="K907" s="185" t="str">
        <f>IFERROR(VLOOKUP(A907,Ativos!A:H,8,),"")</f>
        <v/>
      </c>
      <c r="L907" s="186">
        <f t="shared" si="3"/>
        <v>0</v>
      </c>
    </row>
    <row r="908" ht="21.0" customHeight="1">
      <c r="A908" s="187"/>
      <c r="B908" s="187"/>
      <c r="C908" s="188"/>
      <c r="D908" s="135"/>
      <c r="E908" s="189"/>
      <c r="F908" s="182" t="str">
        <f t="shared" si="1"/>
        <v/>
      </c>
      <c r="G908" s="183">
        <f>IFERROR(__xludf.DUMMYFUNCTION("IFERROR(lookup(9999999999,FILTER('Operações-BR'!$M:$M,'Operações-BR'!$C:$C=A908,'Operações-BR'!$A:$A&lt;=C908)),0)"),0.0)</f>
        <v>0</v>
      </c>
      <c r="H908" s="184">
        <f t="shared" si="2"/>
        <v>0</v>
      </c>
      <c r="I908" s="184">
        <f>IFERROR(__xludf.DUMMYFUNCTION("IFERROR(lookup(9999999999,FILTER('Operações-BR'!Q:Q,'Operações-BR'!$C:$C=A908,'Operações-BR'!$A:$A&lt;=C908))/G908,0)"),0.0)</f>
        <v>0</v>
      </c>
      <c r="J908" s="185" t="str">
        <f>IFERROR(VLOOKUP(A908,Ativos!$A$1:$G2000,5,),"")</f>
        <v/>
      </c>
      <c r="K908" s="185" t="str">
        <f>IFERROR(VLOOKUP(A908,Ativos!A:H,8,),"")</f>
        <v/>
      </c>
      <c r="L908" s="186">
        <f t="shared" si="3"/>
        <v>0</v>
      </c>
    </row>
    <row r="909" ht="21.0" customHeight="1">
      <c r="A909" s="187"/>
      <c r="B909" s="187"/>
      <c r="C909" s="188"/>
      <c r="D909" s="135"/>
      <c r="E909" s="189"/>
      <c r="F909" s="182" t="str">
        <f t="shared" si="1"/>
        <v/>
      </c>
      <c r="G909" s="183">
        <f>IFERROR(__xludf.DUMMYFUNCTION("IFERROR(lookup(9999999999,FILTER('Operações-BR'!$M:$M,'Operações-BR'!$C:$C=A909,'Operações-BR'!$A:$A&lt;=C909)),0)"),0.0)</f>
        <v>0</v>
      </c>
      <c r="H909" s="184">
        <f t="shared" si="2"/>
        <v>0</v>
      </c>
      <c r="I909" s="184">
        <f>IFERROR(__xludf.DUMMYFUNCTION("IFERROR(lookup(9999999999,FILTER('Operações-BR'!Q:Q,'Operações-BR'!$C:$C=A909,'Operações-BR'!$A:$A&lt;=C909))/G909,0)"),0.0)</f>
        <v>0</v>
      </c>
      <c r="J909" s="185" t="str">
        <f>IFERROR(VLOOKUP(A909,Ativos!$A$1:$G2000,5,),"")</f>
        <v/>
      </c>
      <c r="K909" s="185" t="str">
        <f>IFERROR(VLOOKUP(A909,Ativos!A:H,8,),"")</f>
        <v/>
      </c>
      <c r="L909" s="186">
        <f t="shared" si="3"/>
        <v>0</v>
      </c>
    </row>
    <row r="910" ht="21.0" customHeight="1">
      <c r="A910" s="187"/>
      <c r="B910" s="187"/>
      <c r="C910" s="188"/>
      <c r="D910" s="135"/>
      <c r="E910" s="189"/>
      <c r="F910" s="182" t="str">
        <f t="shared" si="1"/>
        <v/>
      </c>
      <c r="G910" s="183">
        <f>IFERROR(__xludf.DUMMYFUNCTION("IFERROR(lookup(9999999999,FILTER('Operações-BR'!$M:$M,'Operações-BR'!$C:$C=A910,'Operações-BR'!$A:$A&lt;=C910)),0)"),0.0)</f>
        <v>0</v>
      </c>
      <c r="H910" s="184">
        <f t="shared" si="2"/>
        <v>0</v>
      </c>
      <c r="I910" s="184">
        <f>IFERROR(__xludf.DUMMYFUNCTION("IFERROR(lookup(9999999999,FILTER('Operações-BR'!Q:Q,'Operações-BR'!$C:$C=A910,'Operações-BR'!$A:$A&lt;=C910))/G910,0)"),0.0)</f>
        <v>0</v>
      </c>
      <c r="J910" s="185" t="str">
        <f>IFERROR(VLOOKUP(A910,Ativos!$A$1:$G2000,5,),"")</f>
        <v/>
      </c>
      <c r="K910" s="185" t="str">
        <f>IFERROR(VLOOKUP(A910,Ativos!A:H,8,),"")</f>
        <v/>
      </c>
      <c r="L910" s="186">
        <f t="shared" si="3"/>
        <v>0</v>
      </c>
    </row>
    <row r="911" ht="21.0" customHeight="1">
      <c r="A911" s="187"/>
      <c r="B911" s="187"/>
      <c r="C911" s="188"/>
      <c r="D911" s="135"/>
      <c r="E911" s="189"/>
      <c r="F911" s="182" t="str">
        <f t="shared" si="1"/>
        <v/>
      </c>
      <c r="G911" s="183">
        <f>IFERROR(__xludf.DUMMYFUNCTION("IFERROR(lookup(9999999999,FILTER('Operações-BR'!$M:$M,'Operações-BR'!$C:$C=A911,'Operações-BR'!$A:$A&lt;=C911)),0)"),0.0)</f>
        <v>0</v>
      </c>
      <c r="H911" s="184">
        <f t="shared" si="2"/>
        <v>0</v>
      </c>
      <c r="I911" s="184">
        <f>IFERROR(__xludf.DUMMYFUNCTION("IFERROR(lookup(9999999999,FILTER('Operações-BR'!Q:Q,'Operações-BR'!$C:$C=A911,'Operações-BR'!$A:$A&lt;=C911))/G911,0)"),0.0)</f>
        <v>0</v>
      </c>
      <c r="J911" s="185" t="str">
        <f>IFERROR(VLOOKUP(A911,Ativos!$A$1:$G2000,5,),"")</f>
        <v/>
      </c>
      <c r="K911" s="185" t="str">
        <f>IFERROR(VLOOKUP(A911,Ativos!A:H,8,),"")</f>
        <v/>
      </c>
      <c r="L911" s="186">
        <f t="shared" si="3"/>
        <v>0</v>
      </c>
    </row>
    <row r="912" ht="21.0" customHeight="1">
      <c r="A912" s="187"/>
      <c r="B912" s="187"/>
      <c r="C912" s="188"/>
      <c r="D912" s="135"/>
      <c r="E912" s="189"/>
      <c r="F912" s="182" t="str">
        <f t="shared" si="1"/>
        <v/>
      </c>
      <c r="G912" s="183">
        <f>IFERROR(__xludf.DUMMYFUNCTION("IFERROR(lookup(9999999999,FILTER('Operações-BR'!$M:$M,'Operações-BR'!$C:$C=A912,'Operações-BR'!$A:$A&lt;=C912)),0)"),0.0)</f>
        <v>0</v>
      </c>
      <c r="H912" s="184">
        <f t="shared" si="2"/>
        <v>0</v>
      </c>
      <c r="I912" s="184">
        <f>IFERROR(__xludf.DUMMYFUNCTION("IFERROR(lookup(9999999999,FILTER('Operações-BR'!Q:Q,'Operações-BR'!$C:$C=A912,'Operações-BR'!$A:$A&lt;=C912))/G912,0)"),0.0)</f>
        <v>0</v>
      </c>
      <c r="J912" s="185" t="str">
        <f>IFERROR(VLOOKUP(A912,Ativos!$A$1:$G2000,5,),"")</f>
        <v/>
      </c>
      <c r="K912" s="185" t="str">
        <f>IFERROR(VLOOKUP(A912,Ativos!A:H,8,),"")</f>
        <v/>
      </c>
      <c r="L912" s="186">
        <f t="shared" si="3"/>
        <v>0</v>
      </c>
    </row>
    <row r="913" ht="21.0" customHeight="1">
      <c r="A913" s="187"/>
      <c r="B913" s="187"/>
      <c r="C913" s="188"/>
      <c r="D913" s="135"/>
      <c r="E913" s="189"/>
      <c r="F913" s="182" t="str">
        <f t="shared" si="1"/>
        <v/>
      </c>
      <c r="G913" s="183">
        <f>IFERROR(__xludf.DUMMYFUNCTION("IFERROR(lookup(9999999999,FILTER('Operações-BR'!$M:$M,'Operações-BR'!$C:$C=A913,'Operações-BR'!$A:$A&lt;=C913)),0)"),0.0)</f>
        <v>0</v>
      </c>
      <c r="H913" s="184">
        <f t="shared" si="2"/>
        <v>0</v>
      </c>
      <c r="I913" s="184">
        <f>IFERROR(__xludf.DUMMYFUNCTION("IFERROR(lookup(9999999999,FILTER('Operações-BR'!Q:Q,'Operações-BR'!$C:$C=A913,'Operações-BR'!$A:$A&lt;=C913))/G913,0)"),0.0)</f>
        <v>0</v>
      </c>
      <c r="J913" s="185" t="str">
        <f>IFERROR(VLOOKUP(A913,Ativos!$A$1:$G2000,5,),"")</f>
        <v/>
      </c>
      <c r="K913" s="185" t="str">
        <f>IFERROR(VLOOKUP(A913,Ativos!A:H,8,),"")</f>
        <v/>
      </c>
      <c r="L913" s="186">
        <f t="shared" si="3"/>
        <v>0</v>
      </c>
    </row>
    <row r="914" ht="21.0" customHeight="1">
      <c r="A914" s="187"/>
      <c r="B914" s="187"/>
      <c r="C914" s="188"/>
      <c r="D914" s="135"/>
      <c r="E914" s="189"/>
      <c r="F914" s="182" t="str">
        <f t="shared" si="1"/>
        <v/>
      </c>
      <c r="G914" s="183">
        <f>IFERROR(__xludf.DUMMYFUNCTION("IFERROR(lookup(9999999999,FILTER('Operações-BR'!$M:$M,'Operações-BR'!$C:$C=A914,'Operações-BR'!$A:$A&lt;=C914)),0)"),0.0)</f>
        <v>0</v>
      </c>
      <c r="H914" s="184">
        <f t="shared" si="2"/>
        <v>0</v>
      </c>
      <c r="I914" s="184">
        <f>IFERROR(__xludf.DUMMYFUNCTION("IFERROR(lookup(9999999999,FILTER('Operações-BR'!Q:Q,'Operações-BR'!$C:$C=A914,'Operações-BR'!$A:$A&lt;=C914))/G914,0)"),0.0)</f>
        <v>0</v>
      </c>
      <c r="J914" s="185" t="str">
        <f>IFERROR(VLOOKUP(A914,Ativos!$A$1:$G2000,5,),"")</f>
        <v/>
      </c>
      <c r="K914" s="185" t="str">
        <f>IFERROR(VLOOKUP(A914,Ativos!A:H,8,),"")</f>
        <v/>
      </c>
      <c r="L914" s="186">
        <f t="shared" si="3"/>
        <v>0</v>
      </c>
    </row>
    <row r="915" ht="21.0" customHeight="1">
      <c r="A915" s="187"/>
      <c r="B915" s="187"/>
      <c r="C915" s="188"/>
      <c r="D915" s="135"/>
      <c r="E915" s="189"/>
      <c r="F915" s="182" t="str">
        <f t="shared" si="1"/>
        <v/>
      </c>
      <c r="G915" s="183">
        <f>IFERROR(__xludf.DUMMYFUNCTION("IFERROR(lookup(9999999999,FILTER('Operações-BR'!$M:$M,'Operações-BR'!$C:$C=A915,'Operações-BR'!$A:$A&lt;=C915)),0)"),0.0)</f>
        <v>0</v>
      </c>
      <c r="H915" s="184">
        <f t="shared" si="2"/>
        <v>0</v>
      </c>
      <c r="I915" s="184">
        <f>IFERROR(__xludf.DUMMYFUNCTION("IFERROR(lookup(9999999999,FILTER('Operações-BR'!Q:Q,'Operações-BR'!$C:$C=A915,'Operações-BR'!$A:$A&lt;=C915))/G915,0)"),0.0)</f>
        <v>0</v>
      </c>
      <c r="J915" s="185" t="str">
        <f>IFERROR(VLOOKUP(A915,Ativos!$A$1:$G2000,5,),"")</f>
        <v/>
      </c>
      <c r="K915" s="185" t="str">
        <f>IFERROR(VLOOKUP(A915,Ativos!A:H,8,),"")</f>
        <v/>
      </c>
      <c r="L915" s="186">
        <f t="shared" si="3"/>
        <v>0</v>
      </c>
    </row>
    <row r="916" ht="21.0" customHeight="1">
      <c r="A916" s="187"/>
      <c r="B916" s="187"/>
      <c r="C916" s="188"/>
      <c r="D916" s="135"/>
      <c r="E916" s="189"/>
      <c r="F916" s="182" t="str">
        <f t="shared" si="1"/>
        <v/>
      </c>
      <c r="G916" s="183">
        <f>IFERROR(__xludf.DUMMYFUNCTION("IFERROR(lookup(9999999999,FILTER('Operações-BR'!$M:$M,'Operações-BR'!$C:$C=A916,'Operações-BR'!$A:$A&lt;=C916)),0)"),0.0)</f>
        <v>0</v>
      </c>
      <c r="H916" s="184">
        <f t="shared" si="2"/>
        <v>0</v>
      </c>
      <c r="I916" s="184">
        <f>IFERROR(__xludf.DUMMYFUNCTION("IFERROR(lookup(9999999999,FILTER('Operações-BR'!Q:Q,'Operações-BR'!$C:$C=A916,'Operações-BR'!$A:$A&lt;=C916))/G916,0)"),0.0)</f>
        <v>0</v>
      </c>
      <c r="J916" s="185" t="str">
        <f>IFERROR(VLOOKUP(A916,Ativos!$A$1:$G2000,5,),"")</f>
        <v/>
      </c>
      <c r="K916" s="185" t="str">
        <f>IFERROR(VLOOKUP(A916,Ativos!A:H,8,),"")</f>
        <v/>
      </c>
      <c r="L916" s="186">
        <f t="shared" si="3"/>
        <v>0</v>
      </c>
    </row>
    <row r="917" ht="21.0" customHeight="1">
      <c r="A917" s="187"/>
      <c r="B917" s="187"/>
      <c r="C917" s="188"/>
      <c r="D917" s="135"/>
      <c r="E917" s="189"/>
      <c r="F917" s="182" t="str">
        <f t="shared" si="1"/>
        <v/>
      </c>
      <c r="G917" s="183">
        <f>IFERROR(__xludf.DUMMYFUNCTION("IFERROR(lookup(9999999999,FILTER('Operações-BR'!$M:$M,'Operações-BR'!$C:$C=A917,'Operações-BR'!$A:$A&lt;=C917)),0)"),0.0)</f>
        <v>0</v>
      </c>
      <c r="H917" s="184">
        <f t="shared" si="2"/>
        <v>0</v>
      </c>
      <c r="I917" s="184">
        <f>IFERROR(__xludf.DUMMYFUNCTION("IFERROR(lookup(9999999999,FILTER('Operações-BR'!Q:Q,'Operações-BR'!$C:$C=A917,'Operações-BR'!$A:$A&lt;=C917))/G917,0)"),0.0)</f>
        <v>0</v>
      </c>
      <c r="J917" s="185" t="str">
        <f>IFERROR(VLOOKUP(A917,Ativos!$A$1:$G2000,5,),"")</f>
        <v/>
      </c>
      <c r="K917" s="185" t="str">
        <f>IFERROR(VLOOKUP(A917,Ativos!A:H,8,),"")</f>
        <v/>
      </c>
      <c r="L917" s="186">
        <f t="shared" si="3"/>
        <v>0</v>
      </c>
    </row>
    <row r="918" ht="21.0" customHeight="1">
      <c r="A918" s="187"/>
      <c r="B918" s="187"/>
      <c r="C918" s="188"/>
      <c r="D918" s="135"/>
      <c r="E918" s="189"/>
      <c r="F918" s="182" t="str">
        <f t="shared" si="1"/>
        <v/>
      </c>
      <c r="G918" s="183">
        <f>IFERROR(__xludf.DUMMYFUNCTION("IFERROR(lookup(9999999999,FILTER('Operações-BR'!$M:$M,'Operações-BR'!$C:$C=A918,'Operações-BR'!$A:$A&lt;=C918)),0)"),0.0)</f>
        <v>0</v>
      </c>
      <c r="H918" s="184">
        <f t="shared" si="2"/>
        <v>0</v>
      </c>
      <c r="I918" s="184">
        <f>IFERROR(__xludf.DUMMYFUNCTION("IFERROR(lookup(9999999999,FILTER('Operações-BR'!Q:Q,'Operações-BR'!$C:$C=A918,'Operações-BR'!$A:$A&lt;=C918))/G918,0)"),0.0)</f>
        <v>0</v>
      </c>
      <c r="J918" s="185" t="str">
        <f>IFERROR(VLOOKUP(A918,Ativos!$A$1:$G2000,5,),"")</f>
        <v/>
      </c>
      <c r="K918" s="185" t="str">
        <f>IFERROR(VLOOKUP(A918,Ativos!A:H,8,),"")</f>
        <v/>
      </c>
      <c r="L918" s="186">
        <f t="shared" si="3"/>
        <v>0</v>
      </c>
    </row>
    <row r="919" ht="21.0" customHeight="1">
      <c r="A919" s="187"/>
      <c r="B919" s="187"/>
      <c r="C919" s="188"/>
      <c r="D919" s="135"/>
      <c r="E919" s="189"/>
      <c r="F919" s="182" t="str">
        <f t="shared" si="1"/>
        <v/>
      </c>
      <c r="G919" s="183">
        <f>IFERROR(__xludf.DUMMYFUNCTION("IFERROR(lookup(9999999999,FILTER('Operações-BR'!$M:$M,'Operações-BR'!$C:$C=A919,'Operações-BR'!$A:$A&lt;=C919)),0)"),0.0)</f>
        <v>0</v>
      </c>
      <c r="H919" s="184">
        <f t="shared" si="2"/>
        <v>0</v>
      </c>
      <c r="I919" s="184">
        <f>IFERROR(__xludf.DUMMYFUNCTION("IFERROR(lookup(9999999999,FILTER('Operações-BR'!Q:Q,'Operações-BR'!$C:$C=A919,'Operações-BR'!$A:$A&lt;=C919))/G919,0)"),0.0)</f>
        <v>0</v>
      </c>
      <c r="J919" s="185" t="str">
        <f>IFERROR(VLOOKUP(A919,Ativos!$A$1:$G2000,5,),"")</f>
        <v/>
      </c>
      <c r="K919" s="185" t="str">
        <f>IFERROR(VLOOKUP(A919,Ativos!A:H,8,),"")</f>
        <v/>
      </c>
      <c r="L919" s="186">
        <f t="shared" si="3"/>
        <v>0</v>
      </c>
    </row>
    <row r="920" ht="21.0" customHeight="1">
      <c r="A920" s="187"/>
      <c r="B920" s="187"/>
      <c r="C920" s="188"/>
      <c r="D920" s="135"/>
      <c r="E920" s="189"/>
      <c r="F920" s="182" t="str">
        <f t="shared" si="1"/>
        <v/>
      </c>
      <c r="G920" s="183">
        <f>IFERROR(__xludf.DUMMYFUNCTION("IFERROR(lookup(9999999999,FILTER('Operações-BR'!$M:$M,'Operações-BR'!$C:$C=A920,'Operações-BR'!$A:$A&lt;=C920)),0)"),0.0)</f>
        <v>0</v>
      </c>
      <c r="H920" s="184">
        <f t="shared" si="2"/>
        <v>0</v>
      </c>
      <c r="I920" s="184">
        <f>IFERROR(__xludf.DUMMYFUNCTION("IFERROR(lookup(9999999999,FILTER('Operações-BR'!Q:Q,'Operações-BR'!$C:$C=A920,'Operações-BR'!$A:$A&lt;=C920))/G920,0)"),0.0)</f>
        <v>0</v>
      </c>
      <c r="J920" s="185" t="str">
        <f>IFERROR(VLOOKUP(A920,Ativos!$A$1:$G2000,5,),"")</f>
        <v/>
      </c>
      <c r="K920" s="185" t="str">
        <f>IFERROR(VLOOKUP(A920,Ativos!A:H,8,),"")</f>
        <v/>
      </c>
      <c r="L920" s="186">
        <f t="shared" si="3"/>
        <v>0</v>
      </c>
    </row>
    <row r="921" ht="21.0" customHeight="1">
      <c r="A921" s="187"/>
      <c r="B921" s="187"/>
      <c r="C921" s="188"/>
      <c r="D921" s="135"/>
      <c r="E921" s="189"/>
      <c r="F921" s="182" t="str">
        <f t="shared" si="1"/>
        <v/>
      </c>
      <c r="G921" s="183">
        <f>IFERROR(__xludf.DUMMYFUNCTION("IFERROR(lookup(9999999999,FILTER('Operações-BR'!$M:$M,'Operações-BR'!$C:$C=A921,'Operações-BR'!$A:$A&lt;=C921)),0)"),0.0)</f>
        <v>0</v>
      </c>
      <c r="H921" s="184">
        <f t="shared" si="2"/>
        <v>0</v>
      </c>
      <c r="I921" s="184">
        <f>IFERROR(__xludf.DUMMYFUNCTION("IFERROR(lookup(9999999999,FILTER('Operações-BR'!Q:Q,'Operações-BR'!$C:$C=A921,'Operações-BR'!$A:$A&lt;=C921))/G921,0)"),0.0)</f>
        <v>0</v>
      </c>
      <c r="J921" s="185" t="str">
        <f>IFERROR(VLOOKUP(A921,Ativos!$A$1:$G2000,5,),"")</f>
        <v/>
      </c>
      <c r="K921" s="185" t="str">
        <f>IFERROR(VLOOKUP(A921,Ativos!A:H,8,),"")</f>
        <v/>
      </c>
      <c r="L921" s="186">
        <f t="shared" si="3"/>
        <v>0</v>
      </c>
    </row>
    <row r="922" ht="21.0" customHeight="1">
      <c r="A922" s="187"/>
      <c r="B922" s="187"/>
      <c r="C922" s="188"/>
      <c r="D922" s="135"/>
      <c r="E922" s="189"/>
      <c r="F922" s="182" t="str">
        <f t="shared" si="1"/>
        <v/>
      </c>
      <c r="G922" s="183">
        <f>IFERROR(__xludf.DUMMYFUNCTION("IFERROR(lookup(9999999999,FILTER('Operações-BR'!$M:$M,'Operações-BR'!$C:$C=A922,'Operações-BR'!$A:$A&lt;=C922)),0)"),0.0)</f>
        <v>0</v>
      </c>
      <c r="H922" s="184">
        <f t="shared" si="2"/>
        <v>0</v>
      </c>
      <c r="I922" s="184">
        <f>IFERROR(__xludf.DUMMYFUNCTION("IFERROR(lookup(9999999999,FILTER('Operações-BR'!Q:Q,'Operações-BR'!$C:$C=A922,'Operações-BR'!$A:$A&lt;=C922))/G922,0)"),0.0)</f>
        <v>0</v>
      </c>
      <c r="J922" s="185" t="str">
        <f>IFERROR(VLOOKUP(A922,Ativos!$A$1:$G2000,5,),"")</f>
        <v/>
      </c>
      <c r="K922" s="185" t="str">
        <f>IFERROR(VLOOKUP(A922,Ativos!A:H,8,),"")</f>
        <v/>
      </c>
      <c r="L922" s="186">
        <f t="shared" si="3"/>
        <v>0</v>
      </c>
    </row>
    <row r="923" ht="21.0" customHeight="1">
      <c r="A923" s="187"/>
      <c r="B923" s="187"/>
      <c r="C923" s="188"/>
      <c r="D923" s="135"/>
      <c r="E923" s="189"/>
      <c r="F923" s="182" t="str">
        <f t="shared" si="1"/>
        <v/>
      </c>
      <c r="G923" s="183">
        <f>IFERROR(__xludf.DUMMYFUNCTION("IFERROR(lookup(9999999999,FILTER('Operações-BR'!$M:$M,'Operações-BR'!$C:$C=A923,'Operações-BR'!$A:$A&lt;=C923)),0)"),0.0)</f>
        <v>0</v>
      </c>
      <c r="H923" s="184">
        <f t="shared" si="2"/>
        <v>0</v>
      </c>
      <c r="I923" s="184">
        <f>IFERROR(__xludf.DUMMYFUNCTION("IFERROR(lookup(9999999999,FILTER('Operações-BR'!Q:Q,'Operações-BR'!$C:$C=A923,'Operações-BR'!$A:$A&lt;=C923))/G923,0)"),0.0)</f>
        <v>0</v>
      </c>
      <c r="J923" s="185" t="str">
        <f>IFERROR(VLOOKUP(A923,Ativos!$A$1:$G2000,5,),"")</f>
        <v/>
      </c>
      <c r="K923" s="185" t="str">
        <f>IFERROR(VLOOKUP(A923,Ativos!A:H,8,),"")</f>
        <v/>
      </c>
      <c r="L923" s="186">
        <f t="shared" si="3"/>
        <v>0</v>
      </c>
    </row>
    <row r="924" ht="21.0" customHeight="1">
      <c r="A924" s="187"/>
      <c r="B924" s="187"/>
      <c r="C924" s="188"/>
      <c r="D924" s="135"/>
      <c r="E924" s="189"/>
      <c r="F924" s="182" t="str">
        <f t="shared" si="1"/>
        <v/>
      </c>
      <c r="G924" s="183">
        <f>IFERROR(__xludf.DUMMYFUNCTION("IFERROR(lookup(9999999999,FILTER('Operações-BR'!$M:$M,'Operações-BR'!$C:$C=A924,'Operações-BR'!$A:$A&lt;=C924)),0)"),0.0)</f>
        <v>0</v>
      </c>
      <c r="H924" s="184">
        <f t="shared" si="2"/>
        <v>0</v>
      </c>
      <c r="I924" s="184">
        <f>IFERROR(__xludf.DUMMYFUNCTION("IFERROR(lookup(9999999999,FILTER('Operações-BR'!Q:Q,'Operações-BR'!$C:$C=A924,'Operações-BR'!$A:$A&lt;=C924))/G924,0)"),0.0)</f>
        <v>0</v>
      </c>
      <c r="J924" s="185" t="str">
        <f>IFERROR(VLOOKUP(A924,Ativos!$A$1:$G2000,5,),"")</f>
        <v/>
      </c>
      <c r="K924" s="185" t="str">
        <f>IFERROR(VLOOKUP(A924,Ativos!A:H,8,),"")</f>
        <v/>
      </c>
      <c r="L924" s="186">
        <f t="shared" si="3"/>
        <v>0</v>
      </c>
    </row>
    <row r="925" ht="21.0" customHeight="1">
      <c r="A925" s="187"/>
      <c r="B925" s="187"/>
      <c r="C925" s="188"/>
      <c r="D925" s="135"/>
      <c r="E925" s="189"/>
      <c r="F925" s="182" t="str">
        <f t="shared" si="1"/>
        <v/>
      </c>
      <c r="G925" s="183">
        <f>IFERROR(__xludf.DUMMYFUNCTION("IFERROR(lookup(9999999999,FILTER('Operações-BR'!$M:$M,'Operações-BR'!$C:$C=A925,'Operações-BR'!$A:$A&lt;=C925)),0)"),0.0)</f>
        <v>0</v>
      </c>
      <c r="H925" s="184">
        <f t="shared" si="2"/>
        <v>0</v>
      </c>
      <c r="I925" s="184">
        <f>IFERROR(__xludf.DUMMYFUNCTION("IFERROR(lookup(9999999999,FILTER('Operações-BR'!Q:Q,'Operações-BR'!$C:$C=A925,'Operações-BR'!$A:$A&lt;=C925))/G925,0)"),0.0)</f>
        <v>0</v>
      </c>
      <c r="J925" s="185" t="str">
        <f>IFERROR(VLOOKUP(A925,Ativos!$A$1:$G2000,5,),"")</f>
        <v/>
      </c>
      <c r="K925" s="185" t="str">
        <f>IFERROR(VLOOKUP(A925,Ativos!A:H,8,),"")</f>
        <v/>
      </c>
      <c r="L925" s="186">
        <f t="shared" si="3"/>
        <v>0</v>
      </c>
    </row>
    <row r="926" ht="21.0" customHeight="1">
      <c r="A926" s="187"/>
      <c r="B926" s="187"/>
      <c r="C926" s="188"/>
      <c r="D926" s="135"/>
      <c r="E926" s="189"/>
      <c r="F926" s="182" t="str">
        <f t="shared" si="1"/>
        <v/>
      </c>
      <c r="G926" s="183">
        <f>IFERROR(__xludf.DUMMYFUNCTION("IFERROR(lookup(9999999999,FILTER('Operações-BR'!$M:$M,'Operações-BR'!$C:$C=A926,'Operações-BR'!$A:$A&lt;=C926)),0)"),0.0)</f>
        <v>0</v>
      </c>
      <c r="H926" s="184">
        <f t="shared" si="2"/>
        <v>0</v>
      </c>
      <c r="I926" s="184">
        <f>IFERROR(__xludf.DUMMYFUNCTION("IFERROR(lookup(9999999999,FILTER('Operações-BR'!Q:Q,'Operações-BR'!$C:$C=A926,'Operações-BR'!$A:$A&lt;=C926))/G926,0)"),0.0)</f>
        <v>0</v>
      </c>
      <c r="J926" s="185" t="str">
        <f>IFERROR(VLOOKUP(A926,Ativos!$A$1:$G2000,5,),"")</f>
        <v/>
      </c>
      <c r="K926" s="185" t="str">
        <f>IFERROR(VLOOKUP(A926,Ativos!A:H,8,),"")</f>
        <v/>
      </c>
      <c r="L926" s="186">
        <f t="shared" si="3"/>
        <v>0</v>
      </c>
    </row>
    <row r="927" ht="21.0" customHeight="1">
      <c r="A927" s="187"/>
      <c r="B927" s="187"/>
      <c r="C927" s="188"/>
      <c r="D927" s="135"/>
      <c r="E927" s="189"/>
      <c r="F927" s="182" t="str">
        <f t="shared" si="1"/>
        <v/>
      </c>
      <c r="G927" s="183">
        <f>IFERROR(__xludf.DUMMYFUNCTION("IFERROR(lookup(9999999999,FILTER('Operações-BR'!$M:$M,'Operações-BR'!$C:$C=A927,'Operações-BR'!$A:$A&lt;=C927)),0)"),0.0)</f>
        <v>0</v>
      </c>
      <c r="H927" s="184">
        <f t="shared" si="2"/>
        <v>0</v>
      </c>
      <c r="I927" s="184">
        <f>IFERROR(__xludf.DUMMYFUNCTION("IFERROR(lookup(9999999999,FILTER('Operações-BR'!Q:Q,'Operações-BR'!$C:$C=A927,'Operações-BR'!$A:$A&lt;=C927))/G927,0)"),0.0)</f>
        <v>0</v>
      </c>
      <c r="J927" s="185" t="str">
        <f>IFERROR(VLOOKUP(A927,Ativos!$A$1:$G2000,5,),"")</f>
        <v/>
      </c>
      <c r="K927" s="185" t="str">
        <f>IFERROR(VLOOKUP(A927,Ativos!A:H,8,),"")</f>
        <v/>
      </c>
      <c r="L927" s="186">
        <f t="shared" si="3"/>
        <v>0</v>
      </c>
    </row>
    <row r="928" ht="21.0" customHeight="1">
      <c r="A928" s="187"/>
      <c r="B928" s="187"/>
      <c r="C928" s="188"/>
      <c r="D928" s="135"/>
      <c r="E928" s="189"/>
      <c r="F928" s="182" t="str">
        <f t="shared" si="1"/>
        <v/>
      </c>
      <c r="G928" s="183">
        <f>IFERROR(__xludf.DUMMYFUNCTION("IFERROR(lookup(9999999999,FILTER('Operações-BR'!$M:$M,'Operações-BR'!$C:$C=A928,'Operações-BR'!$A:$A&lt;=C928)),0)"),0.0)</f>
        <v>0</v>
      </c>
      <c r="H928" s="184">
        <f t="shared" si="2"/>
        <v>0</v>
      </c>
      <c r="I928" s="184">
        <f>IFERROR(__xludf.DUMMYFUNCTION("IFERROR(lookup(9999999999,FILTER('Operações-BR'!Q:Q,'Operações-BR'!$C:$C=A928,'Operações-BR'!$A:$A&lt;=C928))/G928,0)"),0.0)</f>
        <v>0</v>
      </c>
      <c r="J928" s="185" t="str">
        <f>IFERROR(VLOOKUP(A928,Ativos!$A$1:$G2000,5,),"")</f>
        <v/>
      </c>
      <c r="K928" s="185" t="str">
        <f>IFERROR(VLOOKUP(A928,Ativos!A:H,8,),"")</f>
        <v/>
      </c>
      <c r="L928" s="186">
        <f t="shared" si="3"/>
        <v>0</v>
      </c>
    </row>
    <row r="929" ht="21.0" customHeight="1">
      <c r="A929" s="187"/>
      <c r="B929" s="187"/>
      <c r="C929" s="188"/>
      <c r="D929" s="135"/>
      <c r="E929" s="189"/>
      <c r="F929" s="182" t="str">
        <f t="shared" si="1"/>
        <v/>
      </c>
      <c r="G929" s="183">
        <f>IFERROR(__xludf.DUMMYFUNCTION("IFERROR(lookup(9999999999,FILTER('Operações-BR'!$M:$M,'Operações-BR'!$C:$C=A929,'Operações-BR'!$A:$A&lt;=C929)),0)"),0.0)</f>
        <v>0</v>
      </c>
      <c r="H929" s="184">
        <f t="shared" si="2"/>
        <v>0</v>
      </c>
      <c r="I929" s="184">
        <f>IFERROR(__xludf.DUMMYFUNCTION("IFERROR(lookup(9999999999,FILTER('Operações-BR'!Q:Q,'Operações-BR'!$C:$C=A929,'Operações-BR'!$A:$A&lt;=C929))/G929,0)"),0.0)</f>
        <v>0</v>
      </c>
      <c r="J929" s="185" t="str">
        <f>IFERROR(VLOOKUP(A929,Ativos!$A$1:$G2000,5,),"")</f>
        <v/>
      </c>
      <c r="K929" s="185" t="str">
        <f>IFERROR(VLOOKUP(A929,Ativos!A:H,8,),"")</f>
        <v/>
      </c>
      <c r="L929" s="186">
        <f t="shared" si="3"/>
        <v>0</v>
      </c>
    </row>
    <row r="930" ht="21.0" customHeight="1">
      <c r="A930" s="187"/>
      <c r="B930" s="187"/>
      <c r="C930" s="188"/>
      <c r="D930" s="135"/>
      <c r="E930" s="189"/>
      <c r="F930" s="182" t="str">
        <f t="shared" si="1"/>
        <v/>
      </c>
      <c r="G930" s="183">
        <f>IFERROR(__xludf.DUMMYFUNCTION("IFERROR(lookup(9999999999,FILTER('Operações-BR'!$M:$M,'Operações-BR'!$C:$C=A930,'Operações-BR'!$A:$A&lt;=C930)),0)"),0.0)</f>
        <v>0</v>
      </c>
      <c r="H930" s="184">
        <f t="shared" si="2"/>
        <v>0</v>
      </c>
      <c r="I930" s="184">
        <f>IFERROR(__xludf.DUMMYFUNCTION("IFERROR(lookup(9999999999,FILTER('Operações-BR'!Q:Q,'Operações-BR'!$C:$C=A930,'Operações-BR'!$A:$A&lt;=C930))/G930,0)"),0.0)</f>
        <v>0</v>
      </c>
      <c r="J930" s="185" t="str">
        <f>IFERROR(VLOOKUP(A930,Ativos!$A$1:$G2000,5,),"")</f>
        <v/>
      </c>
      <c r="K930" s="185" t="str">
        <f>IFERROR(VLOOKUP(A930,Ativos!A:H,8,),"")</f>
        <v/>
      </c>
      <c r="L930" s="186">
        <f t="shared" si="3"/>
        <v>0</v>
      </c>
    </row>
    <row r="931" ht="21.0" customHeight="1">
      <c r="A931" s="187"/>
      <c r="B931" s="187"/>
      <c r="C931" s="188"/>
      <c r="D931" s="135"/>
      <c r="E931" s="189"/>
      <c r="F931" s="182" t="str">
        <f t="shared" si="1"/>
        <v/>
      </c>
      <c r="G931" s="183">
        <f>IFERROR(__xludf.DUMMYFUNCTION("IFERROR(lookup(9999999999,FILTER('Operações-BR'!$M:$M,'Operações-BR'!$C:$C=A931,'Operações-BR'!$A:$A&lt;=C931)),0)"),0.0)</f>
        <v>0</v>
      </c>
      <c r="H931" s="184">
        <f t="shared" si="2"/>
        <v>0</v>
      </c>
      <c r="I931" s="184">
        <f>IFERROR(__xludf.DUMMYFUNCTION("IFERROR(lookup(9999999999,FILTER('Operações-BR'!Q:Q,'Operações-BR'!$C:$C=A931,'Operações-BR'!$A:$A&lt;=C931))/G931,0)"),0.0)</f>
        <v>0</v>
      </c>
      <c r="J931" s="185" t="str">
        <f>IFERROR(VLOOKUP(A931,Ativos!$A$1:$G2000,5,),"")</f>
        <v/>
      </c>
      <c r="K931" s="185" t="str">
        <f>IFERROR(VLOOKUP(A931,Ativos!A:H,8,),"")</f>
        <v/>
      </c>
      <c r="L931" s="186">
        <f t="shared" si="3"/>
        <v>0</v>
      </c>
    </row>
    <row r="932" ht="21.0" customHeight="1">
      <c r="A932" s="187"/>
      <c r="B932" s="187"/>
      <c r="C932" s="188"/>
      <c r="D932" s="135"/>
      <c r="E932" s="189"/>
      <c r="F932" s="182" t="str">
        <f t="shared" si="1"/>
        <v/>
      </c>
      <c r="G932" s="183">
        <f>IFERROR(__xludf.DUMMYFUNCTION("IFERROR(lookup(9999999999,FILTER('Operações-BR'!$M:$M,'Operações-BR'!$C:$C=A932,'Operações-BR'!$A:$A&lt;=C932)),0)"),0.0)</f>
        <v>0</v>
      </c>
      <c r="H932" s="184">
        <f t="shared" si="2"/>
        <v>0</v>
      </c>
      <c r="I932" s="184">
        <f>IFERROR(__xludf.DUMMYFUNCTION("IFERROR(lookup(9999999999,FILTER('Operações-BR'!Q:Q,'Operações-BR'!$C:$C=A932,'Operações-BR'!$A:$A&lt;=C932))/G932,0)"),0.0)</f>
        <v>0</v>
      </c>
      <c r="J932" s="185" t="str">
        <f>IFERROR(VLOOKUP(A932,Ativos!$A$1:$G2000,5,),"")</f>
        <v/>
      </c>
      <c r="K932" s="185" t="str">
        <f>IFERROR(VLOOKUP(A932,Ativos!A:H,8,),"")</f>
        <v/>
      </c>
      <c r="L932" s="186">
        <f t="shared" si="3"/>
        <v>0</v>
      </c>
    </row>
    <row r="933" ht="21.0" customHeight="1">
      <c r="A933" s="187"/>
      <c r="B933" s="187"/>
      <c r="C933" s="188"/>
      <c r="D933" s="135"/>
      <c r="E933" s="189"/>
      <c r="F933" s="182" t="str">
        <f t="shared" si="1"/>
        <v/>
      </c>
      <c r="G933" s="183">
        <f>IFERROR(__xludf.DUMMYFUNCTION("IFERROR(lookup(9999999999,FILTER('Operações-BR'!$M:$M,'Operações-BR'!$C:$C=A933,'Operações-BR'!$A:$A&lt;=C933)),0)"),0.0)</f>
        <v>0</v>
      </c>
      <c r="H933" s="184">
        <f t="shared" si="2"/>
        <v>0</v>
      </c>
      <c r="I933" s="184">
        <f>IFERROR(__xludf.DUMMYFUNCTION("IFERROR(lookup(9999999999,FILTER('Operações-BR'!Q:Q,'Operações-BR'!$C:$C=A933,'Operações-BR'!$A:$A&lt;=C933))/G933,0)"),0.0)</f>
        <v>0</v>
      </c>
      <c r="J933" s="185" t="str">
        <f>IFERROR(VLOOKUP(A933,Ativos!$A$1:$G2000,5,),"")</f>
        <v/>
      </c>
      <c r="K933" s="185" t="str">
        <f>IFERROR(VLOOKUP(A933,Ativos!A:H,8,),"")</f>
        <v/>
      </c>
      <c r="L933" s="186">
        <f t="shared" si="3"/>
        <v>0</v>
      </c>
    </row>
    <row r="934" ht="21.0" customHeight="1">
      <c r="A934" s="187"/>
      <c r="B934" s="187"/>
      <c r="C934" s="188"/>
      <c r="D934" s="135"/>
      <c r="E934" s="189"/>
      <c r="F934" s="182" t="str">
        <f t="shared" si="1"/>
        <v/>
      </c>
      <c r="G934" s="183">
        <f>IFERROR(__xludf.DUMMYFUNCTION("IFERROR(lookup(9999999999,FILTER('Operações-BR'!$M:$M,'Operações-BR'!$C:$C=A934,'Operações-BR'!$A:$A&lt;=C934)),0)"),0.0)</f>
        <v>0</v>
      </c>
      <c r="H934" s="184">
        <f t="shared" si="2"/>
        <v>0</v>
      </c>
      <c r="I934" s="184">
        <f>IFERROR(__xludf.DUMMYFUNCTION("IFERROR(lookup(9999999999,FILTER('Operações-BR'!Q:Q,'Operações-BR'!$C:$C=A934,'Operações-BR'!$A:$A&lt;=C934))/G934,0)"),0.0)</f>
        <v>0</v>
      </c>
      <c r="J934" s="185" t="str">
        <f>IFERROR(VLOOKUP(A934,Ativos!$A$1:$G2000,5,),"")</f>
        <v/>
      </c>
      <c r="K934" s="185" t="str">
        <f>IFERROR(VLOOKUP(A934,Ativos!A:H,8,),"")</f>
        <v/>
      </c>
      <c r="L934" s="186">
        <f t="shared" si="3"/>
        <v>0</v>
      </c>
    </row>
    <row r="935" ht="21.0" customHeight="1">
      <c r="A935" s="187"/>
      <c r="B935" s="187"/>
      <c r="C935" s="188"/>
      <c r="D935" s="135"/>
      <c r="E935" s="189"/>
      <c r="F935" s="182" t="str">
        <f t="shared" si="1"/>
        <v/>
      </c>
      <c r="G935" s="183">
        <f>IFERROR(__xludf.DUMMYFUNCTION("IFERROR(lookup(9999999999,FILTER('Operações-BR'!$M:$M,'Operações-BR'!$C:$C=A935,'Operações-BR'!$A:$A&lt;=C935)),0)"),0.0)</f>
        <v>0</v>
      </c>
      <c r="H935" s="184">
        <f t="shared" si="2"/>
        <v>0</v>
      </c>
      <c r="I935" s="184">
        <f>IFERROR(__xludf.DUMMYFUNCTION("IFERROR(lookup(9999999999,FILTER('Operações-BR'!Q:Q,'Operações-BR'!$C:$C=A935,'Operações-BR'!$A:$A&lt;=C935))/G935,0)"),0.0)</f>
        <v>0</v>
      </c>
      <c r="J935" s="185" t="str">
        <f>IFERROR(VLOOKUP(A935,Ativos!$A$1:$G2000,5,),"")</f>
        <v/>
      </c>
      <c r="K935" s="185" t="str">
        <f>IFERROR(VLOOKUP(A935,Ativos!A:H,8,),"")</f>
        <v/>
      </c>
      <c r="L935" s="186">
        <f t="shared" si="3"/>
        <v>0</v>
      </c>
    </row>
    <row r="936" ht="21.0" customHeight="1">
      <c r="A936" s="187"/>
      <c r="B936" s="187"/>
      <c r="C936" s="188"/>
      <c r="D936" s="135"/>
      <c r="E936" s="189"/>
      <c r="F936" s="182" t="str">
        <f t="shared" si="1"/>
        <v/>
      </c>
      <c r="G936" s="183">
        <f>IFERROR(__xludf.DUMMYFUNCTION("IFERROR(lookup(9999999999,FILTER('Operações-BR'!$M:$M,'Operações-BR'!$C:$C=A936,'Operações-BR'!$A:$A&lt;=C936)),0)"),0.0)</f>
        <v>0</v>
      </c>
      <c r="H936" s="184">
        <f t="shared" si="2"/>
        <v>0</v>
      </c>
      <c r="I936" s="184">
        <f>IFERROR(__xludf.DUMMYFUNCTION("IFERROR(lookup(9999999999,FILTER('Operações-BR'!Q:Q,'Operações-BR'!$C:$C=A936,'Operações-BR'!$A:$A&lt;=C936))/G936,0)"),0.0)</f>
        <v>0</v>
      </c>
      <c r="J936" s="185" t="str">
        <f>IFERROR(VLOOKUP(A936,Ativos!$A$1:$G2000,5,),"")</f>
        <v/>
      </c>
      <c r="K936" s="185" t="str">
        <f>IFERROR(VLOOKUP(A936,Ativos!A:H,8,),"")</f>
        <v/>
      </c>
      <c r="L936" s="186">
        <f t="shared" si="3"/>
        <v>0</v>
      </c>
    </row>
    <row r="937" ht="21.0" customHeight="1">
      <c r="A937" s="187"/>
      <c r="B937" s="187"/>
      <c r="C937" s="188"/>
      <c r="D937" s="135"/>
      <c r="E937" s="189"/>
      <c r="F937" s="182" t="str">
        <f t="shared" si="1"/>
        <v/>
      </c>
      <c r="G937" s="183">
        <f>IFERROR(__xludf.DUMMYFUNCTION("IFERROR(lookup(9999999999,FILTER('Operações-BR'!$M:$M,'Operações-BR'!$C:$C=A937,'Operações-BR'!$A:$A&lt;=C937)),0)"),0.0)</f>
        <v>0</v>
      </c>
      <c r="H937" s="184">
        <f t="shared" si="2"/>
        <v>0</v>
      </c>
      <c r="I937" s="184">
        <f>IFERROR(__xludf.DUMMYFUNCTION("IFERROR(lookup(9999999999,FILTER('Operações-BR'!Q:Q,'Operações-BR'!$C:$C=A937,'Operações-BR'!$A:$A&lt;=C937))/G937,0)"),0.0)</f>
        <v>0</v>
      </c>
      <c r="J937" s="185" t="str">
        <f>IFERROR(VLOOKUP(A937,Ativos!$A$1:$G2000,5,),"")</f>
        <v/>
      </c>
      <c r="K937" s="185" t="str">
        <f>IFERROR(VLOOKUP(A937,Ativos!A:H,8,),"")</f>
        <v/>
      </c>
      <c r="L937" s="186">
        <f t="shared" si="3"/>
        <v>0</v>
      </c>
    </row>
    <row r="938" ht="21.0" customHeight="1">
      <c r="A938" s="187"/>
      <c r="B938" s="187"/>
      <c r="C938" s="188"/>
      <c r="D938" s="135"/>
      <c r="E938" s="189"/>
      <c r="F938" s="182" t="str">
        <f t="shared" si="1"/>
        <v/>
      </c>
      <c r="G938" s="183">
        <f>IFERROR(__xludf.DUMMYFUNCTION("IFERROR(lookup(9999999999,FILTER('Operações-BR'!$M:$M,'Operações-BR'!$C:$C=A938,'Operações-BR'!$A:$A&lt;=C938)),0)"),0.0)</f>
        <v>0</v>
      </c>
      <c r="H938" s="184">
        <f t="shared" si="2"/>
        <v>0</v>
      </c>
      <c r="I938" s="184">
        <f>IFERROR(__xludf.DUMMYFUNCTION("IFERROR(lookup(9999999999,FILTER('Operações-BR'!Q:Q,'Operações-BR'!$C:$C=A938,'Operações-BR'!$A:$A&lt;=C938))/G938,0)"),0.0)</f>
        <v>0</v>
      </c>
      <c r="J938" s="185" t="str">
        <f>IFERROR(VLOOKUP(A938,Ativos!$A$1:$G2000,5,),"")</f>
        <v/>
      </c>
      <c r="K938" s="185" t="str">
        <f>IFERROR(VLOOKUP(A938,Ativos!A:H,8,),"")</f>
        <v/>
      </c>
      <c r="L938" s="186">
        <f t="shared" si="3"/>
        <v>0</v>
      </c>
    </row>
    <row r="939" ht="21.0" customHeight="1">
      <c r="A939" s="187"/>
      <c r="B939" s="187"/>
      <c r="C939" s="188"/>
      <c r="D939" s="135"/>
      <c r="E939" s="189"/>
      <c r="F939" s="182" t="str">
        <f t="shared" si="1"/>
        <v/>
      </c>
      <c r="G939" s="183">
        <f>IFERROR(__xludf.DUMMYFUNCTION("IFERROR(lookup(9999999999,FILTER('Operações-BR'!$M:$M,'Operações-BR'!$C:$C=A939,'Operações-BR'!$A:$A&lt;=C939)),0)"),0.0)</f>
        <v>0</v>
      </c>
      <c r="H939" s="184">
        <f t="shared" si="2"/>
        <v>0</v>
      </c>
      <c r="I939" s="184">
        <f>IFERROR(__xludf.DUMMYFUNCTION("IFERROR(lookup(9999999999,FILTER('Operações-BR'!Q:Q,'Operações-BR'!$C:$C=A939,'Operações-BR'!$A:$A&lt;=C939))/G939,0)"),0.0)</f>
        <v>0</v>
      </c>
      <c r="J939" s="185" t="str">
        <f>IFERROR(VLOOKUP(A939,Ativos!$A$1:$G2000,5,),"")</f>
        <v/>
      </c>
      <c r="K939" s="185" t="str">
        <f>IFERROR(VLOOKUP(A939,Ativos!A:H,8,),"")</f>
        <v/>
      </c>
      <c r="L939" s="186">
        <f t="shared" si="3"/>
        <v>0</v>
      </c>
    </row>
    <row r="940" ht="21.0" customHeight="1">
      <c r="A940" s="187"/>
      <c r="B940" s="187"/>
      <c r="C940" s="188"/>
      <c r="D940" s="135"/>
      <c r="E940" s="189"/>
      <c r="F940" s="182" t="str">
        <f t="shared" si="1"/>
        <v/>
      </c>
      <c r="G940" s="183">
        <f>IFERROR(__xludf.DUMMYFUNCTION("IFERROR(lookup(9999999999,FILTER('Operações-BR'!$M:$M,'Operações-BR'!$C:$C=A940,'Operações-BR'!$A:$A&lt;=C940)),0)"),0.0)</f>
        <v>0</v>
      </c>
      <c r="H940" s="184">
        <f t="shared" si="2"/>
        <v>0</v>
      </c>
      <c r="I940" s="184">
        <f>IFERROR(__xludf.DUMMYFUNCTION("IFERROR(lookup(9999999999,FILTER('Operações-BR'!Q:Q,'Operações-BR'!$C:$C=A940,'Operações-BR'!$A:$A&lt;=C940))/G940,0)"),0.0)</f>
        <v>0</v>
      </c>
      <c r="J940" s="185" t="str">
        <f>IFERROR(VLOOKUP(A940,Ativos!$A$1:$G2000,5,),"")</f>
        <v/>
      </c>
      <c r="K940" s="185" t="str">
        <f>IFERROR(VLOOKUP(A940,Ativos!A:H,8,),"")</f>
        <v/>
      </c>
      <c r="L940" s="186">
        <f t="shared" si="3"/>
        <v>0</v>
      </c>
    </row>
    <row r="941" ht="21.0" customHeight="1">
      <c r="A941" s="187"/>
      <c r="B941" s="187"/>
      <c r="C941" s="188"/>
      <c r="D941" s="135"/>
      <c r="E941" s="189"/>
      <c r="F941" s="182" t="str">
        <f t="shared" si="1"/>
        <v/>
      </c>
      <c r="G941" s="183">
        <f>IFERROR(__xludf.DUMMYFUNCTION("IFERROR(lookup(9999999999,FILTER('Operações-BR'!$M:$M,'Operações-BR'!$C:$C=A941,'Operações-BR'!$A:$A&lt;=C941)),0)"),0.0)</f>
        <v>0</v>
      </c>
      <c r="H941" s="184">
        <f t="shared" si="2"/>
        <v>0</v>
      </c>
      <c r="I941" s="184">
        <f>IFERROR(__xludf.DUMMYFUNCTION("IFERROR(lookup(9999999999,FILTER('Operações-BR'!Q:Q,'Operações-BR'!$C:$C=A941,'Operações-BR'!$A:$A&lt;=C941))/G941,0)"),0.0)</f>
        <v>0</v>
      </c>
      <c r="J941" s="185" t="str">
        <f>IFERROR(VLOOKUP(A941,Ativos!$A$1:$G2000,5,),"")</f>
        <v/>
      </c>
      <c r="K941" s="185" t="str">
        <f>IFERROR(VLOOKUP(A941,Ativos!A:H,8,),"")</f>
        <v/>
      </c>
      <c r="L941" s="186">
        <f t="shared" si="3"/>
        <v>0</v>
      </c>
    </row>
    <row r="942" ht="21.0" customHeight="1">
      <c r="A942" s="187"/>
      <c r="B942" s="187"/>
      <c r="C942" s="188"/>
      <c r="D942" s="135"/>
      <c r="E942" s="189"/>
      <c r="F942" s="182" t="str">
        <f t="shared" si="1"/>
        <v/>
      </c>
      <c r="G942" s="183">
        <f>IFERROR(__xludf.DUMMYFUNCTION("IFERROR(lookup(9999999999,FILTER('Operações-BR'!$M:$M,'Operações-BR'!$C:$C=A942,'Operações-BR'!$A:$A&lt;=C942)),0)"),0.0)</f>
        <v>0</v>
      </c>
      <c r="H942" s="184">
        <f t="shared" si="2"/>
        <v>0</v>
      </c>
      <c r="I942" s="184">
        <f>IFERROR(__xludf.DUMMYFUNCTION("IFERROR(lookup(9999999999,FILTER('Operações-BR'!Q:Q,'Operações-BR'!$C:$C=A942,'Operações-BR'!$A:$A&lt;=C942))/G942,0)"),0.0)</f>
        <v>0</v>
      </c>
      <c r="J942" s="185" t="str">
        <f>IFERROR(VLOOKUP(A942,Ativos!$A$1:$G2000,5,),"")</f>
        <v/>
      </c>
      <c r="K942" s="185" t="str">
        <f>IFERROR(VLOOKUP(A942,Ativos!A:H,8,),"")</f>
        <v/>
      </c>
      <c r="L942" s="186">
        <f t="shared" si="3"/>
        <v>0</v>
      </c>
    </row>
    <row r="943" ht="21.0" customHeight="1">
      <c r="A943" s="187"/>
      <c r="B943" s="187"/>
      <c r="C943" s="188"/>
      <c r="D943" s="135"/>
      <c r="E943" s="189"/>
      <c r="F943" s="182" t="str">
        <f t="shared" si="1"/>
        <v/>
      </c>
      <c r="G943" s="183">
        <f>IFERROR(__xludf.DUMMYFUNCTION("IFERROR(lookup(9999999999,FILTER('Operações-BR'!$M:$M,'Operações-BR'!$C:$C=A943,'Operações-BR'!$A:$A&lt;=C943)),0)"),0.0)</f>
        <v>0</v>
      </c>
      <c r="H943" s="184">
        <f t="shared" si="2"/>
        <v>0</v>
      </c>
      <c r="I943" s="184">
        <f>IFERROR(__xludf.DUMMYFUNCTION("IFERROR(lookup(9999999999,FILTER('Operações-BR'!Q:Q,'Operações-BR'!$C:$C=A943,'Operações-BR'!$A:$A&lt;=C943))/G943,0)"),0.0)</f>
        <v>0</v>
      </c>
      <c r="J943" s="185" t="str">
        <f>IFERROR(VLOOKUP(A943,Ativos!$A$1:$G2000,5,),"")</f>
        <v/>
      </c>
      <c r="K943" s="185" t="str">
        <f>IFERROR(VLOOKUP(A943,Ativos!A:H,8,),"")</f>
        <v/>
      </c>
      <c r="L943" s="186">
        <f t="shared" si="3"/>
        <v>0</v>
      </c>
    </row>
    <row r="944" ht="21.0" customHeight="1">
      <c r="A944" s="187"/>
      <c r="B944" s="187"/>
      <c r="C944" s="188"/>
      <c r="D944" s="135"/>
      <c r="E944" s="189"/>
      <c r="F944" s="182" t="str">
        <f t="shared" si="1"/>
        <v/>
      </c>
      <c r="G944" s="183">
        <f>IFERROR(__xludf.DUMMYFUNCTION("IFERROR(lookup(9999999999,FILTER('Operações-BR'!$M:$M,'Operações-BR'!$C:$C=A944,'Operações-BR'!$A:$A&lt;=C944)),0)"),0.0)</f>
        <v>0</v>
      </c>
      <c r="H944" s="184">
        <f t="shared" si="2"/>
        <v>0</v>
      </c>
      <c r="I944" s="184">
        <f>IFERROR(__xludf.DUMMYFUNCTION("IFERROR(lookup(9999999999,FILTER('Operações-BR'!Q:Q,'Operações-BR'!$C:$C=A944,'Operações-BR'!$A:$A&lt;=C944))/G944,0)"),0.0)</f>
        <v>0</v>
      </c>
      <c r="J944" s="185" t="str">
        <f>IFERROR(VLOOKUP(A944,Ativos!$A$1:$G2000,5,),"")</f>
        <v/>
      </c>
      <c r="K944" s="185" t="str">
        <f>IFERROR(VLOOKUP(A944,Ativos!A:H,8,),"")</f>
        <v/>
      </c>
      <c r="L944" s="186">
        <f t="shared" si="3"/>
        <v>0</v>
      </c>
    </row>
    <row r="945" ht="21.0" customHeight="1">
      <c r="A945" s="187"/>
      <c r="B945" s="187"/>
      <c r="C945" s="188"/>
      <c r="D945" s="135"/>
      <c r="E945" s="189"/>
      <c r="F945" s="182" t="str">
        <f t="shared" si="1"/>
        <v/>
      </c>
      <c r="G945" s="183">
        <f>IFERROR(__xludf.DUMMYFUNCTION("IFERROR(lookup(9999999999,FILTER('Operações-BR'!$M:$M,'Operações-BR'!$C:$C=A945,'Operações-BR'!$A:$A&lt;=C945)),0)"),0.0)</f>
        <v>0</v>
      </c>
      <c r="H945" s="184">
        <f t="shared" si="2"/>
        <v>0</v>
      </c>
      <c r="I945" s="184">
        <f>IFERROR(__xludf.DUMMYFUNCTION("IFERROR(lookup(9999999999,FILTER('Operações-BR'!Q:Q,'Operações-BR'!$C:$C=A945,'Operações-BR'!$A:$A&lt;=C945))/G945,0)"),0.0)</f>
        <v>0</v>
      </c>
      <c r="J945" s="185" t="str">
        <f>IFERROR(VLOOKUP(A945,Ativos!$A$1:$G2000,5,),"")</f>
        <v/>
      </c>
      <c r="K945" s="185" t="str">
        <f>IFERROR(VLOOKUP(A945,Ativos!A:H,8,),"")</f>
        <v/>
      </c>
      <c r="L945" s="186">
        <f t="shared" si="3"/>
        <v>0</v>
      </c>
    </row>
    <row r="946" ht="21.0" customHeight="1">
      <c r="A946" s="187"/>
      <c r="B946" s="187"/>
      <c r="C946" s="188"/>
      <c r="D946" s="135"/>
      <c r="E946" s="189"/>
      <c r="F946" s="182" t="str">
        <f t="shared" si="1"/>
        <v/>
      </c>
      <c r="G946" s="183">
        <f>IFERROR(__xludf.DUMMYFUNCTION("IFERROR(lookup(9999999999,FILTER('Operações-BR'!$M:$M,'Operações-BR'!$C:$C=A946,'Operações-BR'!$A:$A&lt;=C946)),0)"),0.0)</f>
        <v>0</v>
      </c>
      <c r="H946" s="184">
        <f t="shared" si="2"/>
        <v>0</v>
      </c>
      <c r="I946" s="184">
        <f>IFERROR(__xludf.DUMMYFUNCTION("IFERROR(lookup(9999999999,FILTER('Operações-BR'!Q:Q,'Operações-BR'!$C:$C=A946,'Operações-BR'!$A:$A&lt;=C946))/G946,0)"),0.0)</f>
        <v>0</v>
      </c>
      <c r="J946" s="185" t="str">
        <f>IFERROR(VLOOKUP(A946,Ativos!$A$1:$G2000,5,),"")</f>
        <v/>
      </c>
      <c r="K946" s="185" t="str">
        <f>IFERROR(VLOOKUP(A946,Ativos!A:H,8,),"")</f>
        <v/>
      </c>
      <c r="L946" s="186">
        <f t="shared" si="3"/>
        <v>0</v>
      </c>
    </row>
    <row r="947" ht="21.0" customHeight="1">
      <c r="A947" s="187"/>
      <c r="B947" s="187"/>
      <c r="C947" s="188"/>
      <c r="D947" s="135"/>
      <c r="E947" s="189"/>
      <c r="F947" s="182" t="str">
        <f t="shared" si="1"/>
        <v/>
      </c>
      <c r="G947" s="183">
        <f>IFERROR(__xludf.DUMMYFUNCTION("IFERROR(lookup(9999999999,FILTER('Operações-BR'!$M:$M,'Operações-BR'!$C:$C=A947,'Operações-BR'!$A:$A&lt;=C947)),0)"),0.0)</f>
        <v>0</v>
      </c>
      <c r="H947" s="184">
        <f t="shared" si="2"/>
        <v>0</v>
      </c>
      <c r="I947" s="184">
        <f>IFERROR(__xludf.DUMMYFUNCTION("IFERROR(lookup(9999999999,FILTER('Operações-BR'!Q:Q,'Operações-BR'!$C:$C=A947,'Operações-BR'!$A:$A&lt;=C947))/G947,0)"),0.0)</f>
        <v>0</v>
      </c>
      <c r="J947" s="185" t="str">
        <f>IFERROR(VLOOKUP(A947,Ativos!$A$1:$G2000,5,),"")</f>
        <v/>
      </c>
      <c r="K947" s="185" t="str">
        <f>IFERROR(VLOOKUP(A947,Ativos!A:H,8,),"")</f>
        <v/>
      </c>
      <c r="L947" s="186">
        <f t="shared" si="3"/>
        <v>0</v>
      </c>
    </row>
    <row r="948" ht="21.0" customHeight="1">
      <c r="A948" s="187"/>
      <c r="B948" s="187"/>
      <c r="C948" s="188"/>
      <c r="D948" s="135"/>
      <c r="E948" s="189"/>
      <c r="F948" s="182" t="str">
        <f t="shared" si="1"/>
        <v/>
      </c>
      <c r="G948" s="183">
        <f>IFERROR(__xludf.DUMMYFUNCTION("IFERROR(lookup(9999999999,FILTER('Operações-BR'!$M:$M,'Operações-BR'!$C:$C=A948,'Operações-BR'!$A:$A&lt;=C948)),0)"),0.0)</f>
        <v>0</v>
      </c>
      <c r="H948" s="184">
        <f t="shared" si="2"/>
        <v>0</v>
      </c>
      <c r="I948" s="184">
        <f>IFERROR(__xludf.DUMMYFUNCTION("IFERROR(lookup(9999999999,FILTER('Operações-BR'!Q:Q,'Operações-BR'!$C:$C=A948,'Operações-BR'!$A:$A&lt;=C948))/G948,0)"),0.0)</f>
        <v>0</v>
      </c>
      <c r="J948" s="185" t="str">
        <f>IFERROR(VLOOKUP(A948,Ativos!$A$1:$G2000,5,),"")</f>
        <v/>
      </c>
      <c r="K948" s="185" t="str">
        <f>IFERROR(VLOOKUP(A948,Ativos!A:H,8,),"")</f>
        <v/>
      </c>
      <c r="L948" s="186">
        <f t="shared" si="3"/>
        <v>0</v>
      </c>
    </row>
    <row r="949" ht="21.0" customHeight="1">
      <c r="A949" s="187"/>
      <c r="B949" s="187"/>
      <c r="C949" s="188"/>
      <c r="D949" s="135"/>
      <c r="E949" s="189"/>
      <c r="F949" s="182" t="str">
        <f t="shared" si="1"/>
        <v/>
      </c>
      <c r="G949" s="183">
        <f>IFERROR(__xludf.DUMMYFUNCTION("IFERROR(lookup(9999999999,FILTER('Operações-BR'!$M:$M,'Operações-BR'!$C:$C=A949,'Operações-BR'!$A:$A&lt;=C949)),0)"),0.0)</f>
        <v>0</v>
      </c>
      <c r="H949" s="184">
        <f t="shared" si="2"/>
        <v>0</v>
      </c>
      <c r="I949" s="184">
        <f>IFERROR(__xludf.DUMMYFUNCTION("IFERROR(lookup(9999999999,FILTER('Operações-BR'!Q:Q,'Operações-BR'!$C:$C=A949,'Operações-BR'!$A:$A&lt;=C949))/G949,0)"),0.0)</f>
        <v>0</v>
      </c>
      <c r="J949" s="185" t="str">
        <f>IFERROR(VLOOKUP(A949,Ativos!$A$1:$G2000,5,),"")</f>
        <v/>
      </c>
      <c r="K949" s="185" t="str">
        <f>IFERROR(VLOOKUP(A949,Ativos!A:H,8,),"")</f>
        <v/>
      </c>
      <c r="L949" s="186">
        <f t="shared" si="3"/>
        <v>0</v>
      </c>
    </row>
    <row r="950" ht="21.0" customHeight="1">
      <c r="A950" s="187"/>
      <c r="B950" s="187"/>
      <c r="C950" s="188"/>
      <c r="D950" s="135"/>
      <c r="E950" s="189"/>
      <c r="F950" s="182" t="str">
        <f t="shared" si="1"/>
        <v/>
      </c>
      <c r="G950" s="183">
        <f>IFERROR(__xludf.DUMMYFUNCTION("IFERROR(lookup(9999999999,FILTER('Operações-BR'!$M:$M,'Operações-BR'!$C:$C=A950,'Operações-BR'!$A:$A&lt;=C950)),0)"),0.0)</f>
        <v>0</v>
      </c>
      <c r="H950" s="184">
        <f t="shared" si="2"/>
        <v>0</v>
      </c>
      <c r="I950" s="184">
        <f>IFERROR(__xludf.DUMMYFUNCTION("IFERROR(lookup(9999999999,FILTER('Operações-BR'!Q:Q,'Operações-BR'!$C:$C=A950,'Operações-BR'!$A:$A&lt;=C950))/G950,0)"),0.0)</f>
        <v>0</v>
      </c>
      <c r="J950" s="185" t="str">
        <f>IFERROR(VLOOKUP(A950,Ativos!$A$1:$G2000,5,),"")</f>
        <v/>
      </c>
      <c r="K950" s="185" t="str">
        <f>IFERROR(VLOOKUP(A950,Ativos!A:H,8,),"")</f>
        <v/>
      </c>
      <c r="L950" s="186">
        <f t="shared" si="3"/>
        <v>0</v>
      </c>
    </row>
    <row r="951" ht="21.0" customHeight="1">
      <c r="A951" s="187"/>
      <c r="B951" s="187"/>
      <c r="C951" s="188"/>
      <c r="D951" s="135"/>
      <c r="E951" s="189"/>
      <c r="F951" s="182" t="str">
        <f t="shared" si="1"/>
        <v/>
      </c>
      <c r="G951" s="183">
        <f>IFERROR(__xludf.DUMMYFUNCTION("IFERROR(lookup(9999999999,FILTER('Operações-BR'!$M:$M,'Operações-BR'!$C:$C=A951,'Operações-BR'!$A:$A&lt;=C951)),0)"),0.0)</f>
        <v>0</v>
      </c>
      <c r="H951" s="184">
        <f t="shared" si="2"/>
        <v>0</v>
      </c>
      <c r="I951" s="184">
        <f>IFERROR(__xludf.DUMMYFUNCTION("IFERROR(lookup(9999999999,FILTER('Operações-BR'!Q:Q,'Operações-BR'!$C:$C=A951,'Operações-BR'!$A:$A&lt;=C951))/G951,0)"),0.0)</f>
        <v>0</v>
      </c>
      <c r="J951" s="185" t="str">
        <f>IFERROR(VLOOKUP(A951,Ativos!$A$1:$G2000,5,),"")</f>
        <v/>
      </c>
      <c r="K951" s="185" t="str">
        <f>IFERROR(VLOOKUP(A951,Ativos!A:H,8,),"")</f>
        <v/>
      </c>
      <c r="L951" s="186">
        <f t="shared" si="3"/>
        <v>0</v>
      </c>
    </row>
    <row r="952" ht="21.0" customHeight="1">
      <c r="A952" s="187"/>
      <c r="B952" s="187"/>
      <c r="C952" s="188"/>
      <c r="D952" s="135"/>
      <c r="E952" s="189"/>
      <c r="F952" s="182" t="str">
        <f t="shared" si="1"/>
        <v/>
      </c>
      <c r="G952" s="183">
        <f>IFERROR(__xludf.DUMMYFUNCTION("IFERROR(lookup(9999999999,FILTER('Operações-BR'!$M:$M,'Operações-BR'!$C:$C=A952,'Operações-BR'!$A:$A&lt;=C952)),0)"),0.0)</f>
        <v>0</v>
      </c>
      <c r="H952" s="184">
        <f t="shared" si="2"/>
        <v>0</v>
      </c>
      <c r="I952" s="184">
        <f>IFERROR(__xludf.DUMMYFUNCTION("IFERROR(lookup(9999999999,FILTER('Operações-BR'!Q:Q,'Operações-BR'!$C:$C=A952,'Operações-BR'!$A:$A&lt;=C952))/G952,0)"),0.0)</f>
        <v>0</v>
      </c>
      <c r="J952" s="185" t="str">
        <f>IFERROR(VLOOKUP(A952,Ativos!$A$1:$G2000,5,),"")</f>
        <v/>
      </c>
      <c r="K952" s="185" t="str">
        <f>IFERROR(VLOOKUP(A952,Ativos!A:H,8,),"")</f>
        <v/>
      </c>
      <c r="L952" s="186">
        <f t="shared" si="3"/>
        <v>0</v>
      </c>
    </row>
    <row r="953" ht="21.0" customHeight="1">
      <c r="A953" s="187"/>
      <c r="B953" s="187"/>
      <c r="C953" s="188"/>
      <c r="D953" s="135"/>
      <c r="E953" s="189"/>
      <c r="F953" s="182" t="str">
        <f t="shared" si="1"/>
        <v/>
      </c>
      <c r="G953" s="183">
        <f>IFERROR(__xludf.DUMMYFUNCTION("IFERROR(lookup(9999999999,FILTER('Operações-BR'!$M:$M,'Operações-BR'!$C:$C=A953,'Operações-BR'!$A:$A&lt;=C953)),0)"),0.0)</f>
        <v>0</v>
      </c>
      <c r="H953" s="184">
        <f t="shared" si="2"/>
        <v>0</v>
      </c>
      <c r="I953" s="184">
        <f>IFERROR(__xludf.DUMMYFUNCTION("IFERROR(lookup(9999999999,FILTER('Operações-BR'!Q:Q,'Operações-BR'!$C:$C=A953,'Operações-BR'!$A:$A&lt;=C953))/G953,0)"),0.0)</f>
        <v>0</v>
      </c>
      <c r="J953" s="185" t="str">
        <f>IFERROR(VLOOKUP(A953,Ativos!$A$1:$G2000,5,),"")</f>
        <v/>
      </c>
      <c r="K953" s="185" t="str">
        <f>IFERROR(VLOOKUP(A953,Ativos!A:H,8,),"")</f>
        <v/>
      </c>
      <c r="L953" s="186">
        <f t="shared" si="3"/>
        <v>0</v>
      </c>
    </row>
    <row r="954" ht="21.0" customHeight="1">
      <c r="A954" s="187"/>
      <c r="B954" s="187"/>
      <c r="C954" s="188"/>
      <c r="D954" s="135"/>
      <c r="E954" s="189"/>
      <c r="F954" s="182" t="str">
        <f t="shared" si="1"/>
        <v/>
      </c>
      <c r="G954" s="183">
        <f>IFERROR(__xludf.DUMMYFUNCTION("IFERROR(lookup(9999999999,FILTER('Operações-BR'!$M:$M,'Operações-BR'!$C:$C=A954,'Operações-BR'!$A:$A&lt;=C954)),0)"),0.0)</f>
        <v>0</v>
      </c>
      <c r="H954" s="184">
        <f t="shared" si="2"/>
        <v>0</v>
      </c>
      <c r="I954" s="184">
        <f>IFERROR(__xludf.DUMMYFUNCTION("IFERROR(lookup(9999999999,FILTER('Operações-BR'!Q:Q,'Operações-BR'!$C:$C=A954,'Operações-BR'!$A:$A&lt;=C954))/G954,0)"),0.0)</f>
        <v>0</v>
      </c>
      <c r="J954" s="185" t="str">
        <f>IFERROR(VLOOKUP(A954,Ativos!$A$1:$G2000,5,),"")</f>
        <v/>
      </c>
      <c r="K954" s="185" t="str">
        <f>IFERROR(VLOOKUP(A954,Ativos!A:H,8,),"")</f>
        <v/>
      </c>
      <c r="L954" s="186">
        <f t="shared" si="3"/>
        <v>0</v>
      </c>
    </row>
    <row r="955" ht="21.0" customHeight="1">
      <c r="A955" s="187"/>
      <c r="B955" s="187"/>
      <c r="C955" s="188"/>
      <c r="D955" s="135"/>
      <c r="E955" s="189"/>
      <c r="F955" s="182" t="str">
        <f t="shared" si="1"/>
        <v/>
      </c>
      <c r="G955" s="183">
        <f>IFERROR(__xludf.DUMMYFUNCTION("IFERROR(lookup(9999999999,FILTER('Operações-BR'!$M:$M,'Operações-BR'!$C:$C=A955,'Operações-BR'!$A:$A&lt;=C955)),0)"),0.0)</f>
        <v>0</v>
      </c>
      <c r="H955" s="184">
        <f t="shared" si="2"/>
        <v>0</v>
      </c>
      <c r="I955" s="184">
        <f>IFERROR(__xludf.DUMMYFUNCTION("IFERROR(lookup(9999999999,FILTER('Operações-BR'!Q:Q,'Operações-BR'!$C:$C=A955,'Operações-BR'!$A:$A&lt;=C955))/G955,0)"),0.0)</f>
        <v>0</v>
      </c>
      <c r="J955" s="185" t="str">
        <f>IFERROR(VLOOKUP(A955,Ativos!$A$1:$G2000,5,),"")</f>
        <v/>
      </c>
      <c r="K955" s="185" t="str">
        <f>IFERROR(VLOOKUP(A955,Ativos!A:H,8,),"")</f>
        <v/>
      </c>
      <c r="L955" s="186">
        <f t="shared" si="3"/>
        <v>0</v>
      </c>
    </row>
    <row r="956" ht="21.0" customHeight="1">
      <c r="A956" s="187"/>
      <c r="B956" s="187"/>
      <c r="C956" s="188"/>
      <c r="D956" s="135"/>
      <c r="E956" s="189"/>
      <c r="F956" s="182" t="str">
        <f t="shared" si="1"/>
        <v/>
      </c>
      <c r="G956" s="183">
        <f>IFERROR(__xludf.DUMMYFUNCTION("IFERROR(lookup(9999999999,FILTER('Operações-BR'!$M:$M,'Operações-BR'!$C:$C=A956,'Operações-BR'!$A:$A&lt;=C956)),0)"),0.0)</f>
        <v>0</v>
      </c>
      <c r="H956" s="184">
        <f t="shared" si="2"/>
        <v>0</v>
      </c>
      <c r="I956" s="184">
        <f>IFERROR(__xludf.DUMMYFUNCTION("IFERROR(lookup(9999999999,FILTER('Operações-BR'!Q:Q,'Operações-BR'!$C:$C=A956,'Operações-BR'!$A:$A&lt;=C956))/G956,0)"),0.0)</f>
        <v>0</v>
      </c>
      <c r="J956" s="185" t="str">
        <f>IFERROR(VLOOKUP(A956,Ativos!$A$1:$G2000,5,),"")</f>
        <v/>
      </c>
      <c r="K956" s="185" t="str">
        <f>IFERROR(VLOOKUP(A956,Ativos!A:H,8,),"")</f>
        <v/>
      </c>
      <c r="L956" s="186">
        <f t="shared" si="3"/>
        <v>0</v>
      </c>
    </row>
    <row r="957" ht="21.0" customHeight="1">
      <c r="A957" s="187"/>
      <c r="B957" s="187"/>
      <c r="C957" s="188"/>
      <c r="D957" s="135"/>
      <c r="E957" s="189"/>
      <c r="F957" s="182" t="str">
        <f t="shared" si="1"/>
        <v/>
      </c>
      <c r="G957" s="183">
        <f>IFERROR(__xludf.DUMMYFUNCTION("IFERROR(lookup(9999999999,FILTER('Operações-BR'!$M:$M,'Operações-BR'!$C:$C=A957,'Operações-BR'!$A:$A&lt;=C957)),0)"),0.0)</f>
        <v>0</v>
      </c>
      <c r="H957" s="184">
        <f t="shared" si="2"/>
        <v>0</v>
      </c>
      <c r="I957" s="184">
        <f>IFERROR(__xludf.DUMMYFUNCTION("IFERROR(lookup(9999999999,FILTER('Operações-BR'!Q:Q,'Operações-BR'!$C:$C=A957,'Operações-BR'!$A:$A&lt;=C957))/G957,0)"),0.0)</f>
        <v>0</v>
      </c>
      <c r="J957" s="185" t="str">
        <f>IFERROR(VLOOKUP(A957,Ativos!$A$1:$G2000,5,),"")</f>
        <v/>
      </c>
      <c r="K957" s="185" t="str">
        <f>IFERROR(VLOOKUP(A957,Ativos!A:H,8,),"")</f>
        <v/>
      </c>
      <c r="L957" s="186">
        <f t="shared" si="3"/>
        <v>0</v>
      </c>
    </row>
    <row r="958" ht="21.0" customHeight="1">
      <c r="A958" s="187"/>
      <c r="B958" s="187"/>
      <c r="C958" s="188"/>
      <c r="D958" s="135"/>
      <c r="E958" s="189"/>
      <c r="F958" s="182" t="str">
        <f t="shared" si="1"/>
        <v/>
      </c>
      <c r="G958" s="183">
        <f>IFERROR(__xludf.DUMMYFUNCTION("IFERROR(lookup(9999999999,FILTER('Operações-BR'!$M:$M,'Operações-BR'!$C:$C=A958,'Operações-BR'!$A:$A&lt;=C958)),0)"),0.0)</f>
        <v>0</v>
      </c>
      <c r="H958" s="184">
        <f t="shared" si="2"/>
        <v>0</v>
      </c>
      <c r="I958" s="184">
        <f>IFERROR(__xludf.DUMMYFUNCTION("IFERROR(lookup(9999999999,FILTER('Operações-BR'!Q:Q,'Operações-BR'!$C:$C=A958,'Operações-BR'!$A:$A&lt;=C958))/G958,0)"),0.0)</f>
        <v>0</v>
      </c>
      <c r="J958" s="185" t="str">
        <f>IFERROR(VLOOKUP(A958,Ativos!$A$1:$G2000,5,),"")</f>
        <v/>
      </c>
      <c r="K958" s="185" t="str">
        <f>IFERROR(VLOOKUP(A958,Ativos!A:H,8,),"")</f>
        <v/>
      </c>
      <c r="L958" s="186">
        <f t="shared" si="3"/>
        <v>0</v>
      </c>
    </row>
    <row r="959" ht="21.0" customHeight="1">
      <c r="A959" s="187"/>
      <c r="B959" s="187"/>
      <c r="C959" s="188"/>
      <c r="D959" s="135"/>
      <c r="E959" s="189"/>
      <c r="F959" s="182" t="str">
        <f t="shared" si="1"/>
        <v/>
      </c>
      <c r="G959" s="183">
        <f>IFERROR(__xludf.DUMMYFUNCTION("IFERROR(lookup(9999999999,FILTER('Operações-BR'!$M:$M,'Operações-BR'!$C:$C=A959,'Operações-BR'!$A:$A&lt;=C959)),0)"),0.0)</f>
        <v>0</v>
      </c>
      <c r="H959" s="184">
        <f t="shared" si="2"/>
        <v>0</v>
      </c>
      <c r="I959" s="184">
        <f>IFERROR(__xludf.DUMMYFUNCTION("IFERROR(lookup(9999999999,FILTER('Operações-BR'!Q:Q,'Operações-BR'!$C:$C=A959,'Operações-BR'!$A:$A&lt;=C959))/G959,0)"),0.0)</f>
        <v>0</v>
      </c>
      <c r="J959" s="185" t="str">
        <f>IFERROR(VLOOKUP(A959,Ativos!$A$1:$G2000,5,),"")</f>
        <v/>
      </c>
      <c r="K959" s="185" t="str">
        <f>IFERROR(VLOOKUP(A959,Ativos!A:H,8,),"")</f>
        <v/>
      </c>
      <c r="L959" s="186">
        <f t="shared" si="3"/>
        <v>0</v>
      </c>
    </row>
    <row r="960" ht="21.0" customHeight="1">
      <c r="A960" s="187"/>
      <c r="B960" s="187"/>
      <c r="C960" s="188"/>
      <c r="D960" s="135"/>
      <c r="E960" s="189"/>
      <c r="F960" s="182" t="str">
        <f t="shared" si="1"/>
        <v/>
      </c>
      <c r="G960" s="183">
        <f>IFERROR(__xludf.DUMMYFUNCTION("IFERROR(lookup(9999999999,FILTER('Operações-BR'!$M:$M,'Operações-BR'!$C:$C=A960,'Operações-BR'!$A:$A&lt;=C960)),0)"),0.0)</f>
        <v>0</v>
      </c>
      <c r="H960" s="184">
        <f t="shared" si="2"/>
        <v>0</v>
      </c>
      <c r="I960" s="184">
        <f>IFERROR(__xludf.DUMMYFUNCTION("IFERROR(lookup(9999999999,FILTER('Operações-BR'!Q:Q,'Operações-BR'!$C:$C=A960,'Operações-BR'!$A:$A&lt;=C960))/G960,0)"),0.0)</f>
        <v>0</v>
      </c>
      <c r="J960" s="185" t="str">
        <f>IFERROR(VLOOKUP(A960,Ativos!$A$1:$G2000,5,),"")</f>
        <v/>
      </c>
      <c r="K960" s="185" t="str">
        <f>IFERROR(VLOOKUP(A960,Ativos!A:H,8,),"")</f>
        <v/>
      </c>
      <c r="L960" s="186">
        <f t="shared" si="3"/>
        <v>0</v>
      </c>
    </row>
    <row r="961" ht="21.0" customHeight="1">
      <c r="A961" s="187"/>
      <c r="B961" s="187"/>
      <c r="C961" s="188"/>
      <c r="D961" s="135"/>
      <c r="E961" s="189"/>
      <c r="F961" s="182" t="str">
        <f t="shared" si="1"/>
        <v/>
      </c>
      <c r="G961" s="183">
        <f>IFERROR(__xludf.DUMMYFUNCTION("IFERROR(lookup(9999999999,FILTER('Operações-BR'!$M:$M,'Operações-BR'!$C:$C=A961,'Operações-BR'!$A:$A&lt;=C961)),0)"),0.0)</f>
        <v>0</v>
      </c>
      <c r="H961" s="184">
        <f t="shared" si="2"/>
        <v>0</v>
      </c>
      <c r="I961" s="184">
        <f>IFERROR(__xludf.DUMMYFUNCTION("IFERROR(lookup(9999999999,FILTER('Operações-BR'!Q:Q,'Operações-BR'!$C:$C=A961,'Operações-BR'!$A:$A&lt;=C961))/G961,0)"),0.0)</f>
        <v>0</v>
      </c>
      <c r="J961" s="185" t="str">
        <f>IFERROR(VLOOKUP(A961,Ativos!$A$1:$G2000,5,),"")</f>
        <v/>
      </c>
      <c r="K961" s="185" t="str">
        <f>IFERROR(VLOOKUP(A961,Ativos!A:H,8,),"")</f>
        <v/>
      </c>
      <c r="L961" s="186">
        <f t="shared" si="3"/>
        <v>0</v>
      </c>
    </row>
    <row r="962" ht="21.0" customHeight="1">
      <c r="A962" s="187"/>
      <c r="B962" s="187"/>
      <c r="C962" s="188"/>
      <c r="D962" s="135"/>
      <c r="E962" s="189"/>
      <c r="F962" s="182" t="str">
        <f t="shared" si="1"/>
        <v/>
      </c>
      <c r="G962" s="183">
        <f>IFERROR(__xludf.DUMMYFUNCTION("IFERROR(lookup(9999999999,FILTER('Operações-BR'!$M:$M,'Operações-BR'!$C:$C=A962,'Operações-BR'!$A:$A&lt;=C962)),0)"),0.0)</f>
        <v>0</v>
      </c>
      <c r="H962" s="184">
        <f t="shared" si="2"/>
        <v>0</v>
      </c>
      <c r="I962" s="184">
        <f>IFERROR(__xludf.DUMMYFUNCTION("IFERROR(lookup(9999999999,FILTER('Operações-BR'!Q:Q,'Operações-BR'!$C:$C=A962,'Operações-BR'!$A:$A&lt;=C962))/G962,0)"),0.0)</f>
        <v>0</v>
      </c>
      <c r="J962" s="185" t="str">
        <f>IFERROR(VLOOKUP(A962,Ativos!$A$1:$G2000,5,),"")</f>
        <v/>
      </c>
      <c r="K962" s="185" t="str">
        <f>IFERROR(VLOOKUP(A962,Ativos!A:H,8,),"")</f>
        <v/>
      </c>
      <c r="L962" s="186">
        <f t="shared" si="3"/>
        <v>0</v>
      </c>
    </row>
    <row r="963" ht="21.0" customHeight="1">
      <c r="A963" s="187"/>
      <c r="B963" s="187"/>
      <c r="C963" s="188"/>
      <c r="D963" s="135"/>
      <c r="E963" s="189"/>
      <c r="F963" s="182" t="str">
        <f t="shared" si="1"/>
        <v/>
      </c>
      <c r="G963" s="183">
        <f>IFERROR(__xludf.DUMMYFUNCTION("IFERROR(lookup(9999999999,FILTER('Operações-BR'!$M:$M,'Operações-BR'!$C:$C=A963,'Operações-BR'!$A:$A&lt;=C963)),0)"),0.0)</f>
        <v>0</v>
      </c>
      <c r="H963" s="184">
        <f t="shared" si="2"/>
        <v>0</v>
      </c>
      <c r="I963" s="184">
        <f>IFERROR(__xludf.DUMMYFUNCTION("IFERROR(lookup(9999999999,FILTER('Operações-BR'!Q:Q,'Operações-BR'!$C:$C=A963,'Operações-BR'!$A:$A&lt;=C963))/G963,0)"),0.0)</f>
        <v>0</v>
      </c>
      <c r="J963" s="185" t="str">
        <f>IFERROR(VLOOKUP(A963,Ativos!$A$1:$G2000,5,),"")</f>
        <v/>
      </c>
      <c r="K963" s="185" t="str">
        <f>IFERROR(VLOOKUP(A963,Ativos!A:H,8,),"")</f>
        <v/>
      </c>
      <c r="L963" s="186">
        <f t="shared" si="3"/>
        <v>0</v>
      </c>
    </row>
    <row r="964" ht="21.0" customHeight="1">
      <c r="A964" s="187"/>
      <c r="B964" s="187"/>
      <c r="C964" s="188"/>
      <c r="D964" s="135"/>
      <c r="E964" s="189"/>
      <c r="F964" s="182" t="str">
        <f t="shared" si="1"/>
        <v/>
      </c>
      <c r="G964" s="183">
        <f>IFERROR(__xludf.DUMMYFUNCTION("IFERROR(lookup(9999999999,FILTER('Operações-BR'!$M:$M,'Operações-BR'!$C:$C=A964,'Operações-BR'!$A:$A&lt;=C964)),0)"),0.0)</f>
        <v>0</v>
      </c>
      <c r="H964" s="184">
        <f t="shared" si="2"/>
        <v>0</v>
      </c>
      <c r="I964" s="184">
        <f>IFERROR(__xludf.DUMMYFUNCTION("IFERROR(lookup(9999999999,FILTER('Operações-BR'!Q:Q,'Operações-BR'!$C:$C=A964,'Operações-BR'!$A:$A&lt;=C964))/G964,0)"),0.0)</f>
        <v>0</v>
      </c>
      <c r="J964" s="185" t="str">
        <f>IFERROR(VLOOKUP(A964,Ativos!$A$1:$G2000,5,),"")</f>
        <v/>
      </c>
      <c r="K964" s="185" t="str">
        <f>IFERROR(VLOOKUP(A964,Ativos!A:H,8,),"")</f>
        <v/>
      </c>
      <c r="L964" s="186">
        <f t="shared" si="3"/>
        <v>0</v>
      </c>
    </row>
    <row r="965" ht="21.0" customHeight="1">
      <c r="A965" s="187"/>
      <c r="B965" s="187"/>
      <c r="C965" s="188"/>
      <c r="D965" s="135"/>
      <c r="E965" s="189"/>
      <c r="F965" s="182" t="str">
        <f t="shared" si="1"/>
        <v/>
      </c>
      <c r="G965" s="183">
        <f>IFERROR(__xludf.DUMMYFUNCTION("IFERROR(lookup(9999999999,FILTER('Operações-BR'!$M:$M,'Operações-BR'!$C:$C=A965,'Operações-BR'!$A:$A&lt;=C965)),0)"),0.0)</f>
        <v>0</v>
      </c>
      <c r="H965" s="184">
        <f t="shared" si="2"/>
        <v>0</v>
      </c>
      <c r="I965" s="184">
        <f>IFERROR(__xludf.DUMMYFUNCTION("IFERROR(lookup(9999999999,FILTER('Operações-BR'!Q:Q,'Operações-BR'!$C:$C=A965,'Operações-BR'!$A:$A&lt;=C965))/G965,0)"),0.0)</f>
        <v>0</v>
      </c>
      <c r="J965" s="185" t="str">
        <f>IFERROR(VLOOKUP(A965,Ativos!$A$1:$G2000,5,),"")</f>
        <v/>
      </c>
      <c r="K965" s="185" t="str">
        <f>IFERROR(VLOOKUP(A965,Ativos!A:H,8,),"")</f>
        <v/>
      </c>
      <c r="L965" s="186">
        <f t="shared" si="3"/>
        <v>0</v>
      </c>
    </row>
    <row r="966" ht="21.0" customHeight="1">
      <c r="A966" s="187"/>
      <c r="B966" s="187"/>
      <c r="C966" s="188"/>
      <c r="D966" s="135"/>
      <c r="E966" s="189"/>
      <c r="F966" s="182" t="str">
        <f t="shared" si="1"/>
        <v/>
      </c>
      <c r="G966" s="183">
        <f>IFERROR(__xludf.DUMMYFUNCTION("IFERROR(lookup(9999999999,FILTER('Operações-BR'!$M:$M,'Operações-BR'!$C:$C=A966,'Operações-BR'!$A:$A&lt;=C966)),0)"),0.0)</f>
        <v>0</v>
      </c>
      <c r="H966" s="184">
        <f t="shared" si="2"/>
        <v>0</v>
      </c>
      <c r="I966" s="184">
        <f>IFERROR(__xludf.DUMMYFUNCTION("IFERROR(lookup(9999999999,FILTER('Operações-BR'!Q:Q,'Operações-BR'!$C:$C=A966,'Operações-BR'!$A:$A&lt;=C966))/G966,0)"),0.0)</f>
        <v>0</v>
      </c>
      <c r="J966" s="185" t="str">
        <f>IFERROR(VLOOKUP(A966,Ativos!$A$1:$G2000,5,),"")</f>
        <v/>
      </c>
      <c r="K966" s="185" t="str">
        <f>IFERROR(VLOOKUP(A966,Ativos!A:H,8,),"")</f>
        <v/>
      </c>
      <c r="L966" s="186">
        <f t="shared" si="3"/>
        <v>0</v>
      </c>
    </row>
    <row r="967" ht="21.0" customHeight="1">
      <c r="A967" s="187"/>
      <c r="B967" s="187"/>
      <c r="C967" s="188"/>
      <c r="D967" s="135"/>
      <c r="E967" s="189"/>
      <c r="F967" s="182" t="str">
        <f t="shared" si="1"/>
        <v/>
      </c>
      <c r="G967" s="183">
        <f>IFERROR(__xludf.DUMMYFUNCTION("IFERROR(lookup(9999999999,FILTER('Operações-BR'!$M:$M,'Operações-BR'!$C:$C=A967,'Operações-BR'!$A:$A&lt;=C967)),0)"),0.0)</f>
        <v>0</v>
      </c>
      <c r="H967" s="184">
        <f t="shared" si="2"/>
        <v>0</v>
      </c>
      <c r="I967" s="184">
        <f>IFERROR(__xludf.DUMMYFUNCTION("IFERROR(lookup(9999999999,FILTER('Operações-BR'!Q:Q,'Operações-BR'!$C:$C=A967,'Operações-BR'!$A:$A&lt;=C967))/G967,0)"),0.0)</f>
        <v>0</v>
      </c>
      <c r="J967" s="185" t="str">
        <f>IFERROR(VLOOKUP(A967,Ativos!$A$1:$G2000,5,),"")</f>
        <v/>
      </c>
      <c r="K967" s="185" t="str">
        <f>IFERROR(VLOOKUP(A967,Ativos!A:H,8,),"")</f>
        <v/>
      </c>
      <c r="L967" s="186">
        <f t="shared" si="3"/>
        <v>0</v>
      </c>
    </row>
    <row r="968" ht="21.0" customHeight="1">
      <c r="A968" s="187"/>
      <c r="B968" s="187"/>
      <c r="C968" s="188"/>
      <c r="D968" s="135"/>
      <c r="E968" s="189"/>
      <c r="F968" s="182" t="str">
        <f t="shared" si="1"/>
        <v/>
      </c>
      <c r="G968" s="183">
        <f>IFERROR(__xludf.DUMMYFUNCTION("IFERROR(lookup(9999999999,FILTER('Operações-BR'!$M:$M,'Operações-BR'!$C:$C=A968,'Operações-BR'!$A:$A&lt;=C968)),0)"),0.0)</f>
        <v>0</v>
      </c>
      <c r="H968" s="184">
        <f t="shared" si="2"/>
        <v>0</v>
      </c>
      <c r="I968" s="184">
        <f>IFERROR(__xludf.DUMMYFUNCTION("IFERROR(lookup(9999999999,FILTER('Operações-BR'!Q:Q,'Operações-BR'!$C:$C=A968,'Operações-BR'!$A:$A&lt;=C968))/G968,0)"),0.0)</f>
        <v>0</v>
      </c>
      <c r="J968" s="185" t="str">
        <f>IFERROR(VLOOKUP(A968,Ativos!$A$1:$G2000,5,),"")</f>
        <v/>
      </c>
      <c r="K968" s="185" t="str">
        <f>IFERROR(VLOOKUP(A968,Ativos!A:H,8,),"")</f>
        <v/>
      </c>
      <c r="L968" s="186">
        <f t="shared" si="3"/>
        <v>0</v>
      </c>
    </row>
    <row r="969" ht="21.0" customHeight="1">
      <c r="A969" s="187"/>
      <c r="B969" s="187"/>
      <c r="C969" s="188"/>
      <c r="D969" s="135"/>
      <c r="E969" s="189"/>
      <c r="F969" s="182" t="str">
        <f t="shared" si="1"/>
        <v/>
      </c>
      <c r="G969" s="183">
        <f>IFERROR(__xludf.DUMMYFUNCTION("IFERROR(lookup(9999999999,FILTER('Operações-BR'!$M:$M,'Operações-BR'!$C:$C=A969,'Operações-BR'!$A:$A&lt;=C969)),0)"),0.0)</f>
        <v>0</v>
      </c>
      <c r="H969" s="184">
        <f t="shared" si="2"/>
        <v>0</v>
      </c>
      <c r="I969" s="184">
        <f>IFERROR(__xludf.DUMMYFUNCTION("IFERROR(lookup(9999999999,FILTER('Operações-BR'!Q:Q,'Operações-BR'!$C:$C=A969,'Operações-BR'!$A:$A&lt;=C969))/G969,0)"),0.0)</f>
        <v>0</v>
      </c>
      <c r="J969" s="185" t="str">
        <f>IFERROR(VLOOKUP(A969,Ativos!$A$1:$G2000,5,),"")</f>
        <v/>
      </c>
      <c r="K969" s="185" t="str">
        <f>IFERROR(VLOOKUP(A969,Ativos!A:H,8,),"")</f>
        <v/>
      </c>
      <c r="L969" s="186">
        <f t="shared" si="3"/>
        <v>0</v>
      </c>
    </row>
    <row r="970" ht="21.0" customHeight="1">
      <c r="A970" s="187"/>
      <c r="B970" s="187"/>
      <c r="C970" s="188"/>
      <c r="D970" s="135"/>
      <c r="E970" s="189"/>
      <c r="F970" s="182" t="str">
        <f t="shared" si="1"/>
        <v/>
      </c>
      <c r="G970" s="183">
        <f>IFERROR(__xludf.DUMMYFUNCTION("IFERROR(lookup(9999999999,FILTER('Operações-BR'!$M:$M,'Operações-BR'!$C:$C=A970,'Operações-BR'!$A:$A&lt;=C970)),0)"),0.0)</f>
        <v>0</v>
      </c>
      <c r="H970" s="184">
        <f t="shared" si="2"/>
        <v>0</v>
      </c>
      <c r="I970" s="184">
        <f>IFERROR(__xludf.DUMMYFUNCTION("IFERROR(lookup(9999999999,FILTER('Operações-BR'!Q:Q,'Operações-BR'!$C:$C=A970,'Operações-BR'!$A:$A&lt;=C970))/G970,0)"),0.0)</f>
        <v>0</v>
      </c>
      <c r="J970" s="185" t="str">
        <f>IFERROR(VLOOKUP(A970,Ativos!$A$1:$G2000,5,),"")</f>
        <v/>
      </c>
      <c r="K970" s="185" t="str">
        <f>IFERROR(VLOOKUP(A970,Ativos!A:H,8,),"")</f>
        <v/>
      </c>
      <c r="L970" s="186">
        <f t="shared" si="3"/>
        <v>0</v>
      </c>
    </row>
    <row r="971" ht="21.0" customHeight="1">
      <c r="A971" s="187"/>
      <c r="B971" s="187"/>
      <c r="C971" s="188"/>
      <c r="D971" s="135"/>
      <c r="E971" s="189"/>
      <c r="F971" s="182" t="str">
        <f t="shared" si="1"/>
        <v/>
      </c>
      <c r="G971" s="183">
        <f>IFERROR(__xludf.DUMMYFUNCTION("IFERROR(lookup(9999999999,FILTER('Operações-BR'!$M:$M,'Operações-BR'!$C:$C=A971,'Operações-BR'!$A:$A&lt;=C971)),0)"),0.0)</f>
        <v>0</v>
      </c>
      <c r="H971" s="184">
        <f t="shared" si="2"/>
        <v>0</v>
      </c>
      <c r="I971" s="184">
        <f>IFERROR(__xludf.DUMMYFUNCTION("IFERROR(lookup(9999999999,FILTER('Operações-BR'!Q:Q,'Operações-BR'!$C:$C=A971,'Operações-BR'!$A:$A&lt;=C971))/G971,0)"),0.0)</f>
        <v>0</v>
      </c>
      <c r="J971" s="185" t="str">
        <f>IFERROR(VLOOKUP(A971,Ativos!$A$1:$G2000,5,),"")</f>
        <v/>
      </c>
      <c r="K971" s="185" t="str">
        <f>IFERROR(VLOOKUP(A971,Ativos!A:H,8,),"")</f>
        <v/>
      </c>
      <c r="L971" s="186">
        <f t="shared" si="3"/>
        <v>0</v>
      </c>
    </row>
    <row r="972" ht="21.0" customHeight="1">
      <c r="A972" s="187"/>
      <c r="B972" s="187"/>
      <c r="C972" s="188"/>
      <c r="D972" s="135"/>
      <c r="E972" s="189"/>
      <c r="F972" s="182" t="str">
        <f t="shared" si="1"/>
        <v/>
      </c>
      <c r="G972" s="183">
        <f>IFERROR(__xludf.DUMMYFUNCTION("IFERROR(lookup(9999999999,FILTER('Operações-BR'!$M:$M,'Operações-BR'!$C:$C=A972,'Operações-BR'!$A:$A&lt;=C972)),0)"),0.0)</f>
        <v>0</v>
      </c>
      <c r="H972" s="184">
        <f t="shared" si="2"/>
        <v>0</v>
      </c>
      <c r="I972" s="184">
        <f>IFERROR(__xludf.DUMMYFUNCTION("IFERROR(lookup(9999999999,FILTER('Operações-BR'!Q:Q,'Operações-BR'!$C:$C=A972,'Operações-BR'!$A:$A&lt;=C972))/G972,0)"),0.0)</f>
        <v>0</v>
      </c>
      <c r="J972" s="185" t="str">
        <f>IFERROR(VLOOKUP(A972,Ativos!$A$1:$G2000,5,),"")</f>
        <v/>
      </c>
      <c r="K972" s="185" t="str">
        <f>IFERROR(VLOOKUP(A972,Ativos!A:H,8,),"")</f>
        <v/>
      </c>
      <c r="L972" s="186">
        <f t="shared" si="3"/>
        <v>0</v>
      </c>
    </row>
    <row r="973" ht="21.0" customHeight="1">
      <c r="A973" s="187"/>
      <c r="B973" s="187"/>
      <c r="C973" s="188"/>
      <c r="D973" s="135"/>
      <c r="E973" s="189"/>
      <c r="F973" s="182" t="str">
        <f t="shared" si="1"/>
        <v/>
      </c>
      <c r="G973" s="183">
        <f>IFERROR(__xludf.DUMMYFUNCTION("IFERROR(lookup(9999999999,FILTER('Operações-BR'!$M:$M,'Operações-BR'!$C:$C=A973,'Operações-BR'!$A:$A&lt;=C973)),0)"),0.0)</f>
        <v>0</v>
      </c>
      <c r="H973" s="184">
        <f t="shared" si="2"/>
        <v>0</v>
      </c>
      <c r="I973" s="184">
        <f>IFERROR(__xludf.DUMMYFUNCTION("IFERROR(lookup(9999999999,FILTER('Operações-BR'!Q:Q,'Operações-BR'!$C:$C=A973,'Operações-BR'!$A:$A&lt;=C973))/G973,0)"),0.0)</f>
        <v>0</v>
      </c>
      <c r="J973" s="185" t="str">
        <f>IFERROR(VLOOKUP(A973,Ativos!$A$1:$G2000,5,),"")</f>
        <v/>
      </c>
      <c r="K973" s="185" t="str">
        <f>IFERROR(VLOOKUP(A973,Ativos!A:H,8,),"")</f>
        <v/>
      </c>
      <c r="L973" s="186">
        <f t="shared" si="3"/>
        <v>0</v>
      </c>
    </row>
    <row r="974" ht="21.0" customHeight="1">
      <c r="A974" s="187"/>
      <c r="B974" s="187"/>
      <c r="C974" s="188"/>
      <c r="D974" s="135"/>
      <c r="E974" s="189"/>
      <c r="F974" s="182" t="str">
        <f t="shared" si="1"/>
        <v/>
      </c>
      <c r="G974" s="183">
        <f>IFERROR(__xludf.DUMMYFUNCTION("IFERROR(lookup(9999999999,FILTER('Operações-BR'!$M:$M,'Operações-BR'!$C:$C=A974,'Operações-BR'!$A:$A&lt;=C974)),0)"),0.0)</f>
        <v>0</v>
      </c>
      <c r="H974" s="184">
        <f t="shared" si="2"/>
        <v>0</v>
      </c>
      <c r="I974" s="184">
        <f>IFERROR(__xludf.DUMMYFUNCTION("IFERROR(lookup(9999999999,FILTER('Operações-BR'!Q:Q,'Operações-BR'!$C:$C=A974,'Operações-BR'!$A:$A&lt;=C974))/G974,0)"),0.0)</f>
        <v>0</v>
      </c>
      <c r="J974" s="185" t="str">
        <f>IFERROR(VLOOKUP(A974,Ativos!$A$1:$G2000,5,),"")</f>
        <v/>
      </c>
      <c r="K974" s="185" t="str">
        <f>IFERROR(VLOOKUP(A974,Ativos!A:H,8,),"")</f>
        <v/>
      </c>
      <c r="L974" s="186">
        <f t="shared" si="3"/>
        <v>0</v>
      </c>
    </row>
    <row r="975" ht="21.0" customHeight="1">
      <c r="A975" s="187"/>
      <c r="B975" s="187"/>
      <c r="C975" s="188"/>
      <c r="D975" s="135"/>
      <c r="E975" s="189"/>
      <c r="F975" s="182" t="str">
        <f t="shared" si="1"/>
        <v/>
      </c>
      <c r="G975" s="183">
        <f>IFERROR(__xludf.DUMMYFUNCTION("IFERROR(lookup(9999999999,FILTER('Operações-BR'!$M:$M,'Operações-BR'!$C:$C=A975,'Operações-BR'!$A:$A&lt;=C975)),0)"),0.0)</f>
        <v>0</v>
      </c>
      <c r="H975" s="184">
        <f t="shared" si="2"/>
        <v>0</v>
      </c>
      <c r="I975" s="184">
        <f>IFERROR(__xludf.DUMMYFUNCTION("IFERROR(lookup(9999999999,FILTER('Operações-BR'!Q:Q,'Operações-BR'!$C:$C=A975,'Operações-BR'!$A:$A&lt;=C975))/G975,0)"),0.0)</f>
        <v>0</v>
      </c>
      <c r="J975" s="185" t="str">
        <f>IFERROR(VLOOKUP(A975,Ativos!$A$1:$G2000,5,),"")</f>
        <v/>
      </c>
      <c r="K975" s="185" t="str">
        <f>IFERROR(VLOOKUP(A975,Ativos!A:H,8,),"")</f>
        <v/>
      </c>
      <c r="L975" s="186">
        <f t="shared" si="3"/>
        <v>0</v>
      </c>
    </row>
    <row r="976" ht="21.0" customHeight="1">
      <c r="A976" s="187"/>
      <c r="B976" s="187"/>
      <c r="C976" s="188"/>
      <c r="D976" s="135"/>
      <c r="E976" s="189"/>
      <c r="F976" s="182" t="str">
        <f t="shared" si="1"/>
        <v/>
      </c>
      <c r="G976" s="183">
        <f>IFERROR(__xludf.DUMMYFUNCTION("IFERROR(lookup(9999999999,FILTER('Operações-BR'!$M:$M,'Operações-BR'!$C:$C=A976,'Operações-BR'!$A:$A&lt;=C976)),0)"),0.0)</f>
        <v>0</v>
      </c>
      <c r="H976" s="184">
        <f t="shared" si="2"/>
        <v>0</v>
      </c>
      <c r="I976" s="184">
        <f>IFERROR(__xludf.DUMMYFUNCTION("IFERROR(lookup(9999999999,FILTER('Operações-BR'!Q:Q,'Operações-BR'!$C:$C=A976,'Operações-BR'!$A:$A&lt;=C976))/G976,0)"),0.0)</f>
        <v>0</v>
      </c>
      <c r="J976" s="185" t="str">
        <f>IFERROR(VLOOKUP(A976,Ativos!$A$1:$G2000,5,),"")</f>
        <v/>
      </c>
      <c r="K976" s="185" t="str">
        <f>IFERROR(VLOOKUP(A976,Ativos!A:H,8,),"")</f>
        <v/>
      </c>
      <c r="L976" s="186">
        <f t="shared" si="3"/>
        <v>0</v>
      </c>
    </row>
    <row r="977" ht="21.0" customHeight="1">
      <c r="A977" s="187"/>
      <c r="B977" s="187"/>
      <c r="C977" s="188"/>
      <c r="D977" s="135"/>
      <c r="E977" s="189"/>
      <c r="F977" s="182" t="str">
        <f t="shared" si="1"/>
        <v/>
      </c>
      <c r="G977" s="183">
        <f>IFERROR(__xludf.DUMMYFUNCTION("IFERROR(lookup(9999999999,FILTER('Operações-BR'!$M:$M,'Operações-BR'!$C:$C=A977,'Operações-BR'!$A:$A&lt;=C977)),0)"),0.0)</f>
        <v>0</v>
      </c>
      <c r="H977" s="184">
        <f t="shared" si="2"/>
        <v>0</v>
      </c>
      <c r="I977" s="184">
        <f>IFERROR(__xludf.DUMMYFUNCTION("IFERROR(lookup(9999999999,FILTER('Operações-BR'!Q:Q,'Operações-BR'!$C:$C=A977,'Operações-BR'!$A:$A&lt;=C977))/G977,0)"),0.0)</f>
        <v>0</v>
      </c>
      <c r="J977" s="185" t="str">
        <f>IFERROR(VLOOKUP(A977,Ativos!$A$1:$G2000,5,),"")</f>
        <v/>
      </c>
      <c r="K977" s="185" t="str">
        <f>IFERROR(VLOOKUP(A977,Ativos!A:H,8,),"")</f>
        <v/>
      </c>
      <c r="L977" s="186">
        <f t="shared" si="3"/>
        <v>0</v>
      </c>
    </row>
    <row r="978" ht="21.0" customHeight="1">
      <c r="A978" s="187"/>
      <c r="B978" s="187"/>
      <c r="C978" s="188"/>
      <c r="D978" s="135"/>
      <c r="E978" s="189"/>
      <c r="F978" s="182" t="str">
        <f t="shared" si="1"/>
        <v/>
      </c>
      <c r="G978" s="183">
        <f>IFERROR(__xludf.DUMMYFUNCTION("IFERROR(lookup(9999999999,FILTER('Operações-BR'!$M:$M,'Operações-BR'!$C:$C=A978,'Operações-BR'!$A:$A&lt;=C978)),0)"),0.0)</f>
        <v>0</v>
      </c>
      <c r="H978" s="184">
        <f t="shared" si="2"/>
        <v>0</v>
      </c>
      <c r="I978" s="184">
        <f>IFERROR(__xludf.DUMMYFUNCTION("IFERROR(lookup(9999999999,FILTER('Operações-BR'!Q:Q,'Operações-BR'!$C:$C=A978,'Operações-BR'!$A:$A&lt;=C978))/G978,0)"),0.0)</f>
        <v>0</v>
      </c>
      <c r="J978" s="185" t="str">
        <f>IFERROR(VLOOKUP(A978,Ativos!$A$1:$G2000,5,),"")</f>
        <v/>
      </c>
      <c r="K978" s="185" t="str">
        <f>IFERROR(VLOOKUP(A978,Ativos!A:H,8,),"")</f>
        <v/>
      </c>
      <c r="L978" s="186">
        <f t="shared" si="3"/>
        <v>0</v>
      </c>
    </row>
    <row r="979" ht="21.0" customHeight="1">
      <c r="A979" s="187"/>
      <c r="B979" s="187"/>
      <c r="C979" s="188"/>
      <c r="D979" s="135"/>
      <c r="E979" s="189"/>
      <c r="F979" s="182" t="str">
        <f t="shared" si="1"/>
        <v/>
      </c>
      <c r="G979" s="183">
        <f>IFERROR(__xludf.DUMMYFUNCTION("IFERROR(lookup(9999999999,FILTER('Operações-BR'!$M:$M,'Operações-BR'!$C:$C=A979,'Operações-BR'!$A:$A&lt;=C979)),0)"),0.0)</f>
        <v>0</v>
      </c>
      <c r="H979" s="184">
        <f t="shared" si="2"/>
        <v>0</v>
      </c>
      <c r="I979" s="184">
        <f>IFERROR(__xludf.DUMMYFUNCTION("IFERROR(lookup(9999999999,FILTER('Operações-BR'!Q:Q,'Operações-BR'!$C:$C=A979,'Operações-BR'!$A:$A&lt;=C979))/G979,0)"),0.0)</f>
        <v>0</v>
      </c>
      <c r="J979" s="185" t="str">
        <f>IFERROR(VLOOKUP(A979,Ativos!$A$1:$G2000,5,),"")</f>
        <v/>
      </c>
      <c r="K979" s="185" t="str">
        <f>IFERROR(VLOOKUP(A979,Ativos!A:H,8,),"")</f>
        <v/>
      </c>
      <c r="L979" s="186">
        <f t="shared" si="3"/>
        <v>0</v>
      </c>
    </row>
    <row r="980" ht="21.0" customHeight="1">
      <c r="A980" s="187"/>
      <c r="B980" s="187"/>
      <c r="C980" s="188"/>
      <c r="D980" s="135"/>
      <c r="E980" s="189"/>
      <c r="F980" s="182" t="str">
        <f t="shared" si="1"/>
        <v/>
      </c>
      <c r="G980" s="183">
        <f>IFERROR(__xludf.DUMMYFUNCTION("IFERROR(lookup(9999999999,FILTER('Operações-BR'!$M:$M,'Operações-BR'!$C:$C=A980,'Operações-BR'!$A:$A&lt;=C980)),0)"),0.0)</f>
        <v>0</v>
      </c>
      <c r="H980" s="184">
        <f t="shared" si="2"/>
        <v>0</v>
      </c>
      <c r="I980" s="184">
        <f>IFERROR(__xludf.DUMMYFUNCTION("IFERROR(lookup(9999999999,FILTER('Operações-BR'!Q:Q,'Operações-BR'!$C:$C=A980,'Operações-BR'!$A:$A&lt;=C980))/G980,0)"),0.0)</f>
        <v>0</v>
      </c>
      <c r="J980" s="185" t="str">
        <f>IFERROR(VLOOKUP(A980,Ativos!$A$1:$G2000,5,),"")</f>
        <v/>
      </c>
      <c r="K980" s="185" t="str">
        <f>IFERROR(VLOOKUP(A980,Ativos!A:H,8,),"")</f>
        <v/>
      </c>
      <c r="L980" s="186">
        <f t="shared" si="3"/>
        <v>0</v>
      </c>
    </row>
    <row r="981" ht="21.0" customHeight="1">
      <c r="A981" s="187"/>
      <c r="B981" s="187"/>
      <c r="C981" s="188"/>
      <c r="D981" s="135"/>
      <c r="E981" s="189"/>
      <c r="F981" s="182" t="str">
        <f t="shared" si="1"/>
        <v/>
      </c>
      <c r="G981" s="183">
        <f>IFERROR(__xludf.DUMMYFUNCTION("IFERROR(lookup(9999999999,FILTER('Operações-BR'!$M:$M,'Operações-BR'!$C:$C=A981,'Operações-BR'!$A:$A&lt;=C981)),0)"),0.0)</f>
        <v>0</v>
      </c>
      <c r="H981" s="184">
        <f t="shared" si="2"/>
        <v>0</v>
      </c>
      <c r="I981" s="184">
        <f>IFERROR(__xludf.DUMMYFUNCTION("IFERROR(lookup(9999999999,FILTER('Operações-BR'!Q:Q,'Operações-BR'!$C:$C=A981,'Operações-BR'!$A:$A&lt;=C981))/G981,0)"),0.0)</f>
        <v>0</v>
      </c>
      <c r="J981" s="185" t="str">
        <f>IFERROR(VLOOKUP(A981,Ativos!$A$1:$G2000,5,),"")</f>
        <v/>
      </c>
      <c r="K981" s="185" t="str">
        <f>IFERROR(VLOOKUP(A981,Ativos!A:H,8,),"")</f>
        <v/>
      </c>
      <c r="L981" s="186">
        <f t="shared" si="3"/>
        <v>0</v>
      </c>
    </row>
    <row r="982" ht="21.0" customHeight="1">
      <c r="A982" s="187"/>
      <c r="B982" s="187"/>
      <c r="C982" s="188"/>
      <c r="D982" s="135"/>
      <c r="E982" s="189"/>
      <c r="F982" s="182" t="str">
        <f t="shared" si="1"/>
        <v/>
      </c>
      <c r="G982" s="183">
        <f>IFERROR(__xludf.DUMMYFUNCTION("IFERROR(lookup(9999999999,FILTER('Operações-BR'!$M:$M,'Operações-BR'!$C:$C=A982,'Operações-BR'!$A:$A&lt;=C982)),0)"),0.0)</f>
        <v>0</v>
      </c>
      <c r="H982" s="184">
        <f t="shared" si="2"/>
        <v>0</v>
      </c>
      <c r="I982" s="184">
        <f>IFERROR(__xludf.DUMMYFUNCTION("IFERROR(lookup(9999999999,FILTER('Operações-BR'!Q:Q,'Operações-BR'!$C:$C=A982,'Operações-BR'!$A:$A&lt;=C982))/G982,0)"),0.0)</f>
        <v>0</v>
      </c>
      <c r="J982" s="185" t="str">
        <f>IFERROR(VLOOKUP(A982,Ativos!$A$1:$G2000,5,),"")</f>
        <v/>
      </c>
      <c r="K982" s="185" t="str">
        <f>IFERROR(VLOOKUP(A982,Ativos!A:H,8,),"")</f>
        <v/>
      </c>
      <c r="L982" s="186">
        <f t="shared" si="3"/>
        <v>0</v>
      </c>
    </row>
    <row r="983" ht="21.0" customHeight="1">
      <c r="A983" s="187"/>
      <c r="B983" s="187"/>
      <c r="C983" s="188"/>
      <c r="D983" s="135"/>
      <c r="E983" s="189"/>
      <c r="F983" s="182" t="str">
        <f t="shared" si="1"/>
        <v/>
      </c>
      <c r="G983" s="183">
        <f>IFERROR(__xludf.DUMMYFUNCTION("IFERROR(lookup(9999999999,FILTER('Operações-BR'!$M:$M,'Operações-BR'!$C:$C=A983,'Operações-BR'!$A:$A&lt;=C983)),0)"),0.0)</f>
        <v>0</v>
      </c>
      <c r="H983" s="184">
        <f t="shared" si="2"/>
        <v>0</v>
      </c>
      <c r="I983" s="184">
        <f>IFERROR(__xludf.DUMMYFUNCTION("IFERROR(lookup(9999999999,FILTER('Operações-BR'!Q:Q,'Operações-BR'!$C:$C=A983,'Operações-BR'!$A:$A&lt;=C983))/G983,0)"),0.0)</f>
        <v>0</v>
      </c>
      <c r="J983" s="185" t="str">
        <f>IFERROR(VLOOKUP(A983,Ativos!$A$1:$G2000,5,),"")</f>
        <v/>
      </c>
      <c r="K983" s="185" t="str">
        <f>IFERROR(VLOOKUP(A983,Ativos!A:H,8,),"")</f>
        <v/>
      </c>
      <c r="L983" s="186">
        <f t="shared" si="3"/>
        <v>0</v>
      </c>
    </row>
    <row r="984" ht="21.0" customHeight="1">
      <c r="A984" s="187"/>
      <c r="B984" s="187"/>
      <c r="C984" s="188"/>
      <c r="D984" s="135"/>
      <c r="E984" s="189"/>
      <c r="F984" s="182" t="str">
        <f t="shared" si="1"/>
        <v/>
      </c>
      <c r="G984" s="183">
        <f>IFERROR(__xludf.DUMMYFUNCTION("IFERROR(lookup(9999999999,FILTER('Operações-BR'!$M:$M,'Operações-BR'!$C:$C=A984,'Operações-BR'!$A:$A&lt;=C984)),0)"),0.0)</f>
        <v>0</v>
      </c>
      <c r="H984" s="184">
        <f t="shared" si="2"/>
        <v>0</v>
      </c>
      <c r="I984" s="184">
        <f>IFERROR(__xludf.DUMMYFUNCTION("IFERROR(lookup(9999999999,FILTER('Operações-BR'!Q:Q,'Operações-BR'!$C:$C=A984,'Operações-BR'!$A:$A&lt;=C984))/G984,0)"),0.0)</f>
        <v>0</v>
      </c>
      <c r="J984" s="185" t="str">
        <f>IFERROR(VLOOKUP(A984,Ativos!$A$1:$G2000,5,),"")</f>
        <v/>
      </c>
      <c r="K984" s="185" t="str">
        <f>IFERROR(VLOOKUP(A984,Ativos!A:H,8,),"")</f>
        <v/>
      </c>
      <c r="L984" s="186">
        <f t="shared" si="3"/>
        <v>0</v>
      </c>
    </row>
    <row r="985" ht="21.0" customHeight="1">
      <c r="A985" s="187"/>
      <c r="B985" s="187"/>
      <c r="C985" s="188"/>
      <c r="D985" s="135"/>
      <c r="E985" s="189"/>
      <c r="F985" s="182" t="str">
        <f t="shared" si="1"/>
        <v/>
      </c>
      <c r="G985" s="183">
        <f>IFERROR(__xludf.DUMMYFUNCTION("IFERROR(lookup(9999999999,FILTER('Operações-BR'!$M:$M,'Operações-BR'!$C:$C=A985,'Operações-BR'!$A:$A&lt;=C985)),0)"),0.0)</f>
        <v>0</v>
      </c>
      <c r="H985" s="184">
        <f t="shared" si="2"/>
        <v>0</v>
      </c>
      <c r="I985" s="184">
        <f>IFERROR(__xludf.DUMMYFUNCTION("IFERROR(lookup(9999999999,FILTER('Operações-BR'!Q:Q,'Operações-BR'!$C:$C=A985,'Operações-BR'!$A:$A&lt;=C985))/G985,0)"),0.0)</f>
        <v>0</v>
      </c>
      <c r="J985" s="185" t="str">
        <f>IFERROR(VLOOKUP(A985,Ativos!$A$1:$G2000,5,),"")</f>
        <v/>
      </c>
      <c r="K985" s="185" t="str">
        <f>IFERROR(VLOOKUP(A985,Ativos!A:H,8,),"")</f>
        <v/>
      </c>
      <c r="L985" s="186">
        <f t="shared" si="3"/>
        <v>0</v>
      </c>
    </row>
    <row r="986" ht="21.0" customHeight="1">
      <c r="A986" s="187"/>
      <c r="B986" s="187"/>
      <c r="C986" s="188"/>
      <c r="D986" s="135"/>
      <c r="E986" s="189"/>
      <c r="F986" s="182" t="str">
        <f t="shared" si="1"/>
        <v/>
      </c>
      <c r="G986" s="183">
        <f>IFERROR(__xludf.DUMMYFUNCTION("IFERROR(lookup(9999999999,FILTER('Operações-BR'!$M:$M,'Operações-BR'!$C:$C=A986,'Operações-BR'!$A:$A&lt;=C986)),0)"),0.0)</f>
        <v>0</v>
      </c>
      <c r="H986" s="184">
        <f t="shared" si="2"/>
        <v>0</v>
      </c>
      <c r="I986" s="184">
        <f>IFERROR(__xludf.DUMMYFUNCTION("IFERROR(lookup(9999999999,FILTER('Operações-BR'!Q:Q,'Operações-BR'!$C:$C=A986,'Operações-BR'!$A:$A&lt;=C986))/G986,0)"),0.0)</f>
        <v>0</v>
      </c>
      <c r="J986" s="185" t="str">
        <f>IFERROR(VLOOKUP(A986,Ativos!$A$1:$G2000,5,),"")</f>
        <v/>
      </c>
      <c r="K986" s="185" t="str">
        <f>IFERROR(VLOOKUP(A986,Ativos!A:H,8,),"")</f>
        <v/>
      </c>
      <c r="L986" s="186">
        <f t="shared" si="3"/>
        <v>0</v>
      </c>
    </row>
    <row r="987" ht="21.0" customHeight="1">
      <c r="A987" s="187"/>
      <c r="B987" s="187"/>
      <c r="C987" s="188"/>
      <c r="D987" s="135"/>
      <c r="E987" s="189"/>
      <c r="F987" s="182" t="str">
        <f t="shared" si="1"/>
        <v/>
      </c>
      <c r="G987" s="183">
        <f>IFERROR(__xludf.DUMMYFUNCTION("IFERROR(lookup(9999999999,FILTER('Operações-BR'!$M:$M,'Operações-BR'!$C:$C=A987,'Operações-BR'!$A:$A&lt;=C987)),0)"),0.0)</f>
        <v>0</v>
      </c>
      <c r="H987" s="184">
        <f t="shared" si="2"/>
        <v>0</v>
      </c>
      <c r="I987" s="184">
        <f>IFERROR(__xludf.DUMMYFUNCTION("IFERROR(lookup(9999999999,FILTER('Operações-BR'!Q:Q,'Operações-BR'!$C:$C=A987,'Operações-BR'!$A:$A&lt;=C987))/G987,0)"),0.0)</f>
        <v>0</v>
      </c>
      <c r="J987" s="185" t="str">
        <f>IFERROR(VLOOKUP(A987,Ativos!$A$1:$G2000,5,),"")</f>
        <v/>
      </c>
      <c r="K987" s="185" t="str">
        <f>IFERROR(VLOOKUP(A987,Ativos!A:H,8,),"")</f>
        <v/>
      </c>
      <c r="L987" s="186">
        <f t="shared" si="3"/>
        <v>0</v>
      </c>
    </row>
    <row r="988" ht="21.0" customHeight="1">
      <c r="A988" s="187"/>
      <c r="B988" s="187"/>
      <c r="C988" s="188"/>
      <c r="D988" s="135"/>
      <c r="E988" s="189"/>
      <c r="F988" s="182" t="str">
        <f t="shared" si="1"/>
        <v/>
      </c>
      <c r="G988" s="183">
        <f>IFERROR(__xludf.DUMMYFUNCTION("IFERROR(lookup(9999999999,FILTER('Operações-BR'!$M:$M,'Operações-BR'!$C:$C=A988,'Operações-BR'!$A:$A&lt;=C988)),0)"),0.0)</f>
        <v>0</v>
      </c>
      <c r="H988" s="184">
        <f t="shared" si="2"/>
        <v>0</v>
      </c>
      <c r="I988" s="184">
        <f>IFERROR(__xludf.DUMMYFUNCTION("IFERROR(lookup(9999999999,FILTER('Operações-BR'!Q:Q,'Operações-BR'!$C:$C=A988,'Operações-BR'!$A:$A&lt;=C988))/G988,0)"),0.0)</f>
        <v>0</v>
      </c>
      <c r="J988" s="185" t="str">
        <f>IFERROR(VLOOKUP(A988,Ativos!$A$1:$G2000,5,),"")</f>
        <v/>
      </c>
      <c r="K988" s="185" t="str">
        <f>IFERROR(VLOOKUP(A988,Ativos!A:H,8,),"")</f>
        <v/>
      </c>
      <c r="L988" s="186">
        <f t="shared" si="3"/>
        <v>0</v>
      </c>
    </row>
    <row r="989" ht="21.0" customHeight="1">
      <c r="A989" s="187"/>
      <c r="B989" s="187"/>
      <c r="C989" s="188"/>
      <c r="D989" s="135"/>
      <c r="E989" s="189"/>
      <c r="F989" s="182" t="str">
        <f t="shared" si="1"/>
        <v/>
      </c>
      <c r="G989" s="183">
        <f>IFERROR(__xludf.DUMMYFUNCTION("IFERROR(lookup(9999999999,FILTER('Operações-BR'!$M:$M,'Operações-BR'!$C:$C=A989,'Operações-BR'!$A:$A&lt;=C989)),0)"),0.0)</f>
        <v>0</v>
      </c>
      <c r="H989" s="184">
        <f t="shared" si="2"/>
        <v>0</v>
      </c>
      <c r="I989" s="184">
        <f>IFERROR(__xludf.DUMMYFUNCTION("IFERROR(lookup(9999999999,FILTER('Operações-BR'!Q:Q,'Operações-BR'!$C:$C=A989,'Operações-BR'!$A:$A&lt;=C989))/G989,0)"),0.0)</f>
        <v>0</v>
      </c>
      <c r="J989" s="185" t="str">
        <f>IFERROR(VLOOKUP(A989,Ativos!$A$1:$G2000,5,),"")</f>
        <v/>
      </c>
      <c r="K989" s="185" t="str">
        <f>IFERROR(VLOOKUP(A989,Ativos!A:H,8,),"")</f>
        <v/>
      </c>
      <c r="L989" s="186">
        <f t="shared" si="3"/>
        <v>0</v>
      </c>
    </row>
    <row r="990" ht="21.0" customHeight="1">
      <c r="A990" s="187"/>
      <c r="B990" s="187"/>
      <c r="C990" s="188"/>
      <c r="D990" s="135"/>
      <c r="E990" s="189"/>
      <c r="F990" s="182" t="str">
        <f t="shared" si="1"/>
        <v/>
      </c>
      <c r="G990" s="183">
        <f>IFERROR(__xludf.DUMMYFUNCTION("IFERROR(lookup(9999999999,FILTER('Operações-BR'!$M:$M,'Operações-BR'!$C:$C=A990,'Operações-BR'!$A:$A&lt;=C990)),0)"),0.0)</f>
        <v>0</v>
      </c>
      <c r="H990" s="184">
        <f t="shared" si="2"/>
        <v>0</v>
      </c>
      <c r="I990" s="184">
        <f>IFERROR(__xludf.DUMMYFUNCTION("IFERROR(lookup(9999999999,FILTER('Operações-BR'!Q:Q,'Operações-BR'!$C:$C=A990,'Operações-BR'!$A:$A&lt;=C990))/G990,0)"),0.0)</f>
        <v>0</v>
      </c>
      <c r="J990" s="185" t="str">
        <f>IFERROR(VLOOKUP(A990,Ativos!$A$1:$G2000,5,),"")</f>
        <v/>
      </c>
      <c r="K990" s="185" t="str">
        <f>IFERROR(VLOOKUP(A990,Ativos!A:H,8,),"")</f>
        <v/>
      </c>
      <c r="L990" s="186">
        <f t="shared" si="3"/>
        <v>0</v>
      </c>
    </row>
    <row r="991" ht="21.0" customHeight="1">
      <c r="A991" s="187"/>
      <c r="B991" s="187"/>
      <c r="C991" s="188"/>
      <c r="D991" s="135"/>
      <c r="E991" s="189"/>
      <c r="F991" s="182" t="str">
        <f t="shared" si="1"/>
        <v/>
      </c>
      <c r="G991" s="183">
        <f>IFERROR(__xludf.DUMMYFUNCTION("IFERROR(lookup(9999999999,FILTER('Operações-BR'!$M:$M,'Operações-BR'!$C:$C=A991,'Operações-BR'!$A:$A&lt;=C991)),0)"),0.0)</f>
        <v>0</v>
      </c>
      <c r="H991" s="184">
        <f t="shared" si="2"/>
        <v>0</v>
      </c>
      <c r="I991" s="184">
        <f>IFERROR(__xludf.DUMMYFUNCTION("IFERROR(lookup(9999999999,FILTER('Operações-BR'!Q:Q,'Operações-BR'!$C:$C=A991,'Operações-BR'!$A:$A&lt;=C991))/G991,0)"),0.0)</f>
        <v>0</v>
      </c>
      <c r="J991" s="185" t="str">
        <f>IFERROR(VLOOKUP(A991,Ativos!$A$1:$G2000,5,),"")</f>
        <v/>
      </c>
      <c r="K991" s="185" t="str">
        <f>IFERROR(VLOOKUP(A991,Ativos!A:H,8,),"")</f>
        <v/>
      </c>
      <c r="L991" s="186">
        <f t="shared" si="3"/>
        <v>0</v>
      </c>
    </row>
    <row r="992" ht="21.0" customHeight="1">
      <c r="A992" s="187"/>
      <c r="B992" s="187"/>
      <c r="C992" s="188"/>
      <c r="D992" s="135"/>
      <c r="E992" s="189"/>
      <c r="F992" s="182" t="str">
        <f t="shared" si="1"/>
        <v/>
      </c>
      <c r="G992" s="183">
        <f>IFERROR(__xludf.DUMMYFUNCTION("IFERROR(lookup(9999999999,FILTER('Operações-BR'!$M:$M,'Operações-BR'!$C:$C=A992,'Operações-BR'!$A:$A&lt;=C992)),0)"),0.0)</f>
        <v>0</v>
      </c>
      <c r="H992" s="184">
        <f t="shared" si="2"/>
        <v>0</v>
      </c>
      <c r="I992" s="184">
        <f>IFERROR(__xludf.DUMMYFUNCTION("IFERROR(lookup(9999999999,FILTER('Operações-BR'!Q:Q,'Operações-BR'!$C:$C=A992,'Operações-BR'!$A:$A&lt;=C992))/G992,0)"),0.0)</f>
        <v>0</v>
      </c>
      <c r="J992" s="185" t="str">
        <f>IFERROR(VLOOKUP(A992,Ativos!$A$1:$G2000,5,),"")</f>
        <v/>
      </c>
      <c r="K992" s="185" t="str">
        <f>IFERROR(VLOOKUP(A992,Ativos!A:H,8,),"")</f>
        <v/>
      </c>
      <c r="L992" s="186">
        <f t="shared" si="3"/>
        <v>0</v>
      </c>
    </row>
    <row r="993" ht="21.0" customHeight="1">
      <c r="A993" s="187"/>
      <c r="B993" s="187"/>
      <c r="C993" s="188"/>
      <c r="D993" s="135"/>
      <c r="E993" s="189"/>
      <c r="F993" s="182" t="str">
        <f t="shared" si="1"/>
        <v/>
      </c>
      <c r="G993" s="183">
        <f>IFERROR(__xludf.DUMMYFUNCTION("IFERROR(lookup(9999999999,FILTER('Operações-BR'!$M:$M,'Operações-BR'!$C:$C=A993,'Operações-BR'!$A:$A&lt;=C993)),0)"),0.0)</f>
        <v>0</v>
      </c>
      <c r="H993" s="184">
        <f t="shared" si="2"/>
        <v>0</v>
      </c>
      <c r="I993" s="184">
        <f>IFERROR(__xludf.DUMMYFUNCTION("IFERROR(lookup(9999999999,FILTER('Operações-BR'!Q:Q,'Operações-BR'!$C:$C=A993,'Operações-BR'!$A:$A&lt;=C993))/G993,0)"),0.0)</f>
        <v>0</v>
      </c>
      <c r="J993" s="185" t="str">
        <f>IFERROR(VLOOKUP(A993,Ativos!$A$1:$G2000,5,),"")</f>
        <v/>
      </c>
      <c r="K993" s="185" t="str">
        <f>IFERROR(VLOOKUP(A993,Ativos!A:H,8,),"")</f>
        <v/>
      </c>
      <c r="L993" s="186">
        <f t="shared" si="3"/>
        <v>0</v>
      </c>
    </row>
    <row r="994" ht="21.0" customHeight="1">
      <c r="A994" s="187"/>
      <c r="B994" s="187"/>
      <c r="C994" s="188"/>
      <c r="D994" s="135"/>
      <c r="E994" s="189"/>
      <c r="F994" s="182" t="str">
        <f t="shared" si="1"/>
        <v/>
      </c>
      <c r="G994" s="183">
        <f>IFERROR(__xludf.DUMMYFUNCTION("IFERROR(lookup(9999999999,FILTER('Operações-BR'!$M:$M,'Operações-BR'!$C:$C=A994,'Operações-BR'!$A:$A&lt;=C994)),0)"),0.0)</f>
        <v>0</v>
      </c>
      <c r="H994" s="184">
        <f t="shared" si="2"/>
        <v>0</v>
      </c>
      <c r="I994" s="184">
        <f>IFERROR(__xludf.DUMMYFUNCTION("IFERROR(lookup(9999999999,FILTER('Operações-BR'!Q:Q,'Operações-BR'!$C:$C=A994,'Operações-BR'!$A:$A&lt;=C994))/G994,0)"),0.0)</f>
        <v>0</v>
      </c>
      <c r="J994" s="185" t="str">
        <f>IFERROR(VLOOKUP(A994,Ativos!$A$1:$G2000,5,),"")</f>
        <v/>
      </c>
      <c r="K994" s="185" t="str">
        <f>IFERROR(VLOOKUP(A994,Ativos!A:H,8,),"")</f>
        <v/>
      </c>
      <c r="L994" s="186">
        <f t="shared" si="3"/>
        <v>0</v>
      </c>
    </row>
    <row r="995" ht="21.0" customHeight="1">
      <c r="A995" s="187"/>
      <c r="B995" s="187"/>
      <c r="C995" s="188"/>
      <c r="D995" s="135"/>
      <c r="E995" s="189"/>
      <c r="F995" s="182" t="str">
        <f t="shared" si="1"/>
        <v/>
      </c>
      <c r="G995" s="183">
        <f>IFERROR(__xludf.DUMMYFUNCTION("IFERROR(lookup(9999999999,FILTER('Operações-BR'!$M:$M,'Operações-BR'!$C:$C=A995,'Operações-BR'!$A:$A&lt;=C995)),0)"),0.0)</f>
        <v>0</v>
      </c>
      <c r="H995" s="184">
        <f t="shared" si="2"/>
        <v>0</v>
      </c>
      <c r="I995" s="184">
        <f>IFERROR(__xludf.DUMMYFUNCTION("IFERROR(lookup(9999999999,FILTER('Operações-BR'!Q:Q,'Operações-BR'!$C:$C=A995,'Operações-BR'!$A:$A&lt;=C995))/G995,0)"),0.0)</f>
        <v>0</v>
      </c>
      <c r="J995" s="185" t="str">
        <f>IFERROR(VLOOKUP(A995,Ativos!$A$1:$G2000,5,),"")</f>
        <v/>
      </c>
      <c r="K995" s="185" t="str">
        <f>IFERROR(VLOOKUP(A995,Ativos!A:H,8,),"")</f>
        <v/>
      </c>
      <c r="L995" s="186">
        <f t="shared" si="3"/>
        <v>0</v>
      </c>
    </row>
    <row r="996" ht="21.0" customHeight="1">
      <c r="A996" s="187"/>
      <c r="B996" s="187"/>
      <c r="C996" s="188"/>
      <c r="D996" s="135"/>
      <c r="E996" s="189"/>
      <c r="F996" s="182" t="str">
        <f t="shared" si="1"/>
        <v/>
      </c>
      <c r="G996" s="183">
        <f>IFERROR(__xludf.DUMMYFUNCTION("IFERROR(lookup(9999999999,FILTER('Operações-BR'!$M:$M,'Operações-BR'!$C:$C=A996,'Operações-BR'!$A:$A&lt;=C996)),0)"),0.0)</f>
        <v>0</v>
      </c>
      <c r="H996" s="184">
        <f t="shared" si="2"/>
        <v>0</v>
      </c>
      <c r="I996" s="184">
        <f>IFERROR(__xludf.DUMMYFUNCTION("IFERROR(lookup(9999999999,FILTER('Operações-BR'!Q:Q,'Operações-BR'!$C:$C=A996,'Operações-BR'!$A:$A&lt;=C996))/G996,0)"),0.0)</f>
        <v>0</v>
      </c>
      <c r="J996" s="185" t="str">
        <f>IFERROR(VLOOKUP(A996,Ativos!$A$1:$G2000,5,),"")</f>
        <v/>
      </c>
      <c r="K996" s="185" t="str">
        <f>IFERROR(VLOOKUP(A996,Ativos!A:H,8,),"")</f>
        <v/>
      </c>
      <c r="L996" s="186">
        <f t="shared" si="3"/>
        <v>0</v>
      </c>
    </row>
    <row r="997" ht="21.0" customHeight="1">
      <c r="A997" s="187"/>
      <c r="B997" s="187"/>
      <c r="C997" s="188"/>
      <c r="D997" s="135"/>
      <c r="E997" s="189"/>
      <c r="F997" s="182" t="str">
        <f t="shared" si="1"/>
        <v/>
      </c>
      <c r="G997" s="183">
        <f>IFERROR(__xludf.DUMMYFUNCTION("IFERROR(lookup(9999999999,FILTER('Operações-BR'!$M:$M,'Operações-BR'!$C:$C=A997,'Operações-BR'!$A:$A&lt;=C997)),0)"),0.0)</f>
        <v>0</v>
      </c>
      <c r="H997" s="184">
        <f t="shared" si="2"/>
        <v>0</v>
      </c>
      <c r="I997" s="184">
        <f>IFERROR(__xludf.DUMMYFUNCTION("IFERROR(lookup(9999999999,FILTER('Operações-BR'!Q:Q,'Operações-BR'!$C:$C=A997,'Operações-BR'!$A:$A&lt;=C997))/G997,0)"),0.0)</f>
        <v>0</v>
      </c>
      <c r="J997" s="185" t="str">
        <f>IFERROR(VLOOKUP(A997,Ativos!$A$1:$G2000,5,),"")</f>
        <v/>
      </c>
      <c r="K997" s="185" t="str">
        <f>IFERROR(VLOOKUP(A997,Ativos!A:H,8,),"")</f>
        <v/>
      </c>
      <c r="L997" s="186">
        <f t="shared" si="3"/>
        <v>0</v>
      </c>
    </row>
    <row r="998" ht="21.0" customHeight="1">
      <c r="A998" s="187"/>
      <c r="B998" s="187"/>
      <c r="C998" s="188"/>
      <c r="D998" s="135"/>
      <c r="E998" s="189"/>
      <c r="F998" s="182" t="str">
        <f t="shared" si="1"/>
        <v/>
      </c>
      <c r="G998" s="183">
        <f>IFERROR(__xludf.DUMMYFUNCTION("IFERROR(lookup(9999999999,FILTER('Operações-BR'!$M:$M,'Operações-BR'!$C:$C=A998,'Operações-BR'!$A:$A&lt;=C998)),0)"),0.0)</f>
        <v>0</v>
      </c>
      <c r="H998" s="184">
        <f t="shared" si="2"/>
        <v>0</v>
      </c>
      <c r="I998" s="184">
        <f>IFERROR(__xludf.DUMMYFUNCTION("IFERROR(lookup(9999999999,FILTER('Operações-BR'!Q:Q,'Operações-BR'!$C:$C=A998,'Operações-BR'!$A:$A&lt;=C998))/G998,0)"),0.0)</f>
        <v>0</v>
      </c>
      <c r="J998" s="185" t="str">
        <f>IFERROR(VLOOKUP(A998,Ativos!$A$1:$G2000,5,),"")</f>
        <v/>
      </c>
      <c r="K998" s="185" t="str">
        <f>IFERROR(VLOOKUP(A998,Ativos!A:H,8,),"")</f>
        <v/>
      </c>
      <c r="L998" s="186">
        <f t="shared" si="3"/>
        <v>0</v>
      </c>
    </row>
    <row r="999" ht="21.0" customHeight="1">
      <c r="A999" s="187"/>
      <c r="B999" s="187"/>
      <c r="C999" s="188"/>
      <c r="D999" s="135"/>
      <c r="E999" s="189"/>
      <c r="F999" s="182" t="str">
        <f t="shared" si="1"/>
        <v/>
      </c>
      <c r="G999" s="183">
        <f>IFERROR(__xludf.DUMMYFUNCTION("IFERROR(lookup(9999999999,FILTER('Operações-BR'!$M:$M,'Operações-BR'!$C:$C=A999,'Operações-BR'!$A:$A&lt;=C999)),0)"),0.0)</f>
        <v>0</v>
      </c>
      <c r="H999" s="184">
        <f t="shared" si="2"/>
        <v>0</v>
      </c>
      <c r="I999" s="184">
        <f>IFERROR(__xludf.DUMMYFUNCTION("IFERROR(lookup(9999999999,FILTER('Operações-BR'!Q:Q,'Operações-BR'!$C:$C=A999,'Operações-BR'!$A:$A&lt;=C999))/G999,0)"),0.0)</f>
        <v>0</v>
      </c>
      <c r="J999" s="185" t="str">
        <f>IFERROR(VLOOKUP(A999,Ativos!$A$1:$G2000,5,),"")</f>
        <v/>
      </c>
      <c r="K999" s="185" t="str">
        <f>IFERROR(VLOOKUP(A999,Ativos!A:H,8,),"")</f>
        <v/>
      </c>
      <c r="L999" s="186">
        <f t="shared" si="3"/>
        <v>0</v>
      </c>
    </row>
    <row r="1000" ht="21.0" customHeight="1">
      <c r="A1000" s="187"/>
      <c r="B1000" s="187"/>
      <c r="C1000" s="188"/>
      <c r="D1000" s="135"/>
      <c r="E1000" s="189"/>
      <c r="F1000" s="182" t="str">
        <f t="shared" si="1"/>
        <v/>
      </c>
      <c r="G1000" s="183">
        <f>IFERROR(__xludf.DUMMYFUNCTION("IFERROR(lookup(9999999999,FILTER('Operações-BR'!$M:$M,'Operações-BR'!$C:$C=A1000,'Operações-BR'!$A:$A&lt;=C1000)),0)"),0.0)</f>
        <v>0</v>
      </c>
      <c r="H1000" s="184">
        <f t="shared" si="2"/>
        <v>0</v>
      </c>
      <c r="I1000" s="184">
        <f>IFERROR(__xludf.DUMMYFUNCTION("IFERROR(lookup(9999999999,FILTER('Operações-BR'!Q:Q,'Operações-BR'!$C:$C=A1000,'Operações-BR'!$A:$A&lt;=C1000))/G1000,0)"),0.0)</f>
        <v>0</v>
      </c>
      <c r="J1000" s="185" t="str">
        <f>IFERROR(VLOOKUP(A1000,Ativos!$A$1:$G2000,5,),"")</f>
        <v/>
      </c>
      <c r="K1000" s="185" t="str">
        <f>IFERROR(VLOOKUP(A1000,Ativos!A:H,8,),"")</f>
        <v/>
      </c>
      <c r="L1000" s="186">
        <f t="shared" si="3"/>
        <v>0</v>
      </c>
    </row>
    <row r="1001" ht="21.0" customHeight="1">
      <c r="A1001" s="187"/>
      <c r="B1001" s="187"/>
      <c r="C1001" s="188"/>
      <c r="D1001" s="135"/>
      <c r="E1001" s="189"/>
      <c r="F1001" s="182" t="str">
        <f t="shared" si="1"/>
        <v/>
      </c>
      <c r="G1001" s="183">
        <f>IFERROR(__xludf.DUMMYFUNCTION("IFERROR(lookup(9999999999,FILTER('Operações-BR'!$M:$M,'Operações-BR'!$C:$C=A1001,'Operações-BR'!$A:$A&lt;=C1001)),0)"),0.0)</f>
        <v>0</v>
      </c>
      <c r="H1001" s="184">
        <f t="shared" si="2"/>
        <v>0</v>
      </c>
      <c r="I1001" s="184">
        <f>IFERROR(__xludf.DUMMYFUNCTION("IFERROR(lookup(9999999999,FILTER('Operações-BR'!Q:Q,'Operações-BR'!$C:$C=A1001,'Operações-BR'!$A:$A&lt;=C1001))/G1001,0)"),0.0)</f>
        <v>0</v>
      </c>
      <c r="J1001" s="185" t="str">
        <f>IFERROR(VLOOKUP(A1001,Ativos!$A$1:$G2000,5,),"")</f>
        <v/>
      </c>
      <c r="K1001" s="185" t="str">
        <f>IFERROR(VLOOKUP(A1001,Ativos!A:H,8,),"")</f>
        <v/>
      </c>
      <c r="L1001" s="186">
        <f t="shared" si="3"/>
        <v>0</v>
      </c>
    </row>
    <row r="1002" ht="21.0" customHeight="1">
      <c r="A1002" s="187"/>
      <c r="B1002" s="187"/>
      <c r="C1002" s="188"/>
      <c r="D1002" s="135"/>
      <c r="E1002" s="189"/>
      <c r="F1002" s="182" t="str">
        <f t="shared" si="1"/>
        <v/>
      </c>
      <c r="G1002" s="183">
        <f>IFERROR(__xludf.DUMMYFUNCTION("IFERROR(lookup(9999999999,FILTER('Operações-BR'!$M:$M,'Operações-BR'!$C:$C=A1002,'Operações-BR'!$A:$A&lt;=C1002)),0)"),0.0)</f>
        <v>0</v>
      </c>
      <c r="H1002" s="184">
        <f t="shared" si="2"/>
        <v>0</v>
      </c>
      <c r="I1002" s="184">
        <f>IFERROR(__xludf.DUMMYFUNCTION("IFERROR(lookup(9999999999,FILTER('Operações-BR'!Q:Q,'Operações-BR'!$C:$C=A1002,'Operações-BR'!$A:$A&lt;=C1002))/G1002,0)"),0.0)</f>
        <v>0</v>
      </c>
      <c r="J1002" s="185" t="str">
        <f>IFERROR(VLOOKUP(A1002,Ativos!$A$1:$G2000,5,),"")</f>
        <v/>
      </c>
      <c r="K1002" s="185" t="str">
        <f>IFERROR(VLOOKUP(A1002,Ativos!A:H,8,),"")</f>
        <v/>
      </c>
      <c r="L1002" s="186">
        <f t="shared" si="3"/>
        <v>0</v>
      </c>
    </row>
    <row r="1003" ht="21.0" customHeight="1">
      <c r="A1003" s="187"/>
      <c r="B1003" s="187"/>
      <c r="C1003" s="188"/>
      <c r="D1003" s="135"/>
      <c r="E1003" s="189"/>
      <c r="F1003" s="182" t="str">
        <f t="shared" si="1"/>
        <v/>
      </c>
      <c r="G1003" s="183">
        <f>IFERROR(__xludf.DUMMYFUNCTION("IFERROR(lookup(9999999999,FILTER('Operações-BR'!$M:$M,'Operações-BR'!$C:$C=A1003,'Operações-BR'!$A:$A&lt;=C1003)),0)"),0.0)</f>
        <v>0</v>
      </c>
      <c r="H1003" s="184">
        <f t="shared" si="2"/>
        <v>0</v>
      </c>
      <c r="I1003" s="184">
        <f>IFERROR(__xludf.DUMMYFUNCTION("IFERROR(lookup(9999999999,FILTER('Operações-BR'!Q:Q,'Operações-BR'!$C:$C=A1003,'Operações-BR'!$A:$A&lt;=C1003))/G1003,0)"),0.0)</f>
        <v>0</v>
      </c>
      <c r="J1003" s="185" t="str">
        <f>IFERROR(VLOOKUP(A1003,Ativos!$A$1:$G2000,5,),"")</f>
        <v/>
      </c>
      <c r="K1003" s="185" t="str">
        <f>IFERROR(VLOOKUP(A1003,Ativos!A:H,8,),"")</f>
        <v/>
      </c>
      <c r="L1003" s="186">
        <f t="shared" si="3"/>
        <v>0</v>
      </c>
    </row>
    <row r="1004" ht="21.0" customHeight="1">
      <c r="A1004" s="187"/>
      <c r="B1004" s="187"/>
      <c r="C1004" s="188"/>
      <c r="D1004" s="135"/>
      <c r="E1004" s="189"/>
      <c r="F1004" s="182" t="str">
        <f t="shared" si="1"/>
        <v/>
      </c>
      <c r="G1004" s="183">
        <f>IFERROR(__xludf.DUMMYFUNCTION("IFERROR(lookup(9999999999,FILTER('Operações-BR'!$M:$M,'Operações-BR'!$C:$C=A1004,'Operações-BR'!$A:$A&lt;=C1004)),0)"),0.0)</f>
        <v>0</v>
      </c>
      <c r="H1004" s="184">
        <f t="shared" si="2"/>
        <v>0</v>
      </c>
      <c r="I1004" s="184">
        <f>IFERROR(__xludf.DUMMYFUNCTION("IFERROR(lookup(9999999999,FILTER('Operações-BR'!Q:Q,'Operações-BR'!$C:$C=A1004,'Operações-BR'!$A:$A&lt;=C1004))/G1004,0)"),0.0)</f>
        <v>0</v>
      </c>
      <c r="J1004" s="185" t="str">
        <f>IFERROR(VLOOKUP(A1004,Ativos!$A$1:$G2000,5,),"")</f>
        <v/>
      </c>
      <c r="K1004" s="185" t="str">
        <f>IFERROR(VLOOKUP(A1004,Ativos!A:H,8,),"")</f>
        <v/>
      </c>
      <c r="L1004" s="186">
        <f t="shared" si="3"/>
        <v>0</v>
      </c>
    </row>
    <row r="1005" ht="21.0" customHeight="1">
      <c r="A1005" s="187"/>
      <c r="B1005" s="187"/>
      <c r="C1005" s="188"/>
      <c r="D1005" s="135"/>
      <c r="E1005" s="189"/>
      <c r="F1005" s="182" t="str">
        <f t="shared" si="1"/>
        <v/>
      </c>
      <c r="G1005" s="183">
        <f>IFERROR(__xludf.DUMMYFUNCTION("IFERROR(lookup(9999999999,FILTER('Operações-BR'!$M:$M,'Operações-BR'!$C:$C=A1005,'Operações-BR'!$A:$A&lt;=C1005)),0)"),0.0)</f>
        <v>0</v>
      </c>
      <c r="H1005" s="184">
        <f t="shared" si="2"/>
        <v>0</v>
      </c>
      <c r="I1005" s="184">
        <f>IFERROR(__xludf.DUMMYFUNCTION("IFERROR(lookup(9999999999,FILTER('Operações-BR'!Q:Q,'Operações-BR'!$C:$C=A1005,'Operações-BR'!$A:$A&lt;=C1005))/G1005,0)"),0.0)</f>
        <v>0</v>
      </c>
      <c r="J1005" s="185" t="str">
        <f>IFERROR(VLOOKUP(A1005,Ativos!$A$1:$G2000,5,),"")</f>
        <v/>
      </c>
      <c r="K1005" s="185" t="str">
        <f>IFERROR(VLOOKUP(A1005,Ativos!A:H,8,),"")</f>
        <v/>
      </c>
      <c r="L1005" s="186">
        <f t="shared" si="3"/>
        <v>0</v>
      </c>
    </row>
    <row r="1006" ht="21.0" customHeight="1">
      <c r="A1006" s="187"/>
      <c r="B1006" s="187"/>
      <c r="C1006" s="188"/>
      <c r="D1006" s="135"/>
      <c r="E1006" s="189"/>
      <c r="F1006" s="182" t="str">
        <f t="shared" si="1"/>
        <v/>
      </c>
      <c r="G1006" s="183">
        <f>IFERROR(__xludf.DUMMYFUNCTION("IFERROR(lookup(9999999999,FILTER('Operações-BR'!$M:$M,'Operações-BR'!$C:$C=A1006,'Operações-BR'!$A:$A&lt;=C1006)),0)"),0.0)</f>
        <v>0</v>
      </c>
      <c r="H1006" s="184">
        <f t="shared" si="2"/>
        <v>0</v>
      </c>
      <c r="I1006" s="184">
        <f>IFERROR(__xludf.DUMMYFUNCTION("IFERROR(lookup(9999999999,FILTER('Operações-BR'!Q:Q,'Operações-BR'!$C:$C=A1006,'Operações-BR'!$A:$A&lt;=C1006))/G1006,0)"),0.0)</f>
        <v>0</v>
      </c>
      <c r="J1006" s="185" t="str">
        <f>IFERROR(VLOOKUP(A1006,Ativos!$A$1:$G2000,5,),"")</f>
        <v/>
      </c>
      <c r="K1006" s="185" t="str">
        <f>IFERROR(VLOOKUP(A1006,Ativos!A:H,8,),"")</f>
        <v/>
      </c>
      <c r="L1006" s="186">
        <f t="shared" si="3"/>
        <v>0</v>
      </c>
    </row>
    <row r="1007" ht="21.0" customHeight="1">
      <c r="A1007" s="187"/>
      <c r="B1007" s="187"/>
      <c r="C1007" s="188"/>
      <c r="D1007" s="135"/>
      <c r="E1007" s="189"/>
      <c r="F1007" s="182" t="str">
        <f t="shared" si="1"/>
        <v/>
      </c>
      <c r="G1007" s="183">
        <f>IFERROR(__xludf.DUMMYFUNCTION("IFERROR(lookup(9999999999,FILTER('Operações-BR'!$M:$M,'Operações-BR'!$C:$C=A1007,'Operações-BR'!$A:$A&lt;=C1007)),0)"),0.0)</f>
        <v>0</v>
      </c>
      <c r="H1007" s="184">
        <f t="shared" si="2"/>
        <v>0</v>
      </c>
      <c r="I1007" s="184">
        <f>IFERROR(__xludf.DUMMYFUNCTION("IFERROR(lookup(9999999999,FILTER('Operações-BR'!Q:Q,'Operações-BR'!$C:$C=A1007,'Operações-BR'!$A:$A&lt;=C1007))/G1007,0)"),0.0)</f>
        <v>0</v>
      </c>
      <c r="J1007" s="185" t="str">
        <f>IFERROR(VLOOKUP(A1007,Ativos!$A$1:$G2000,5,),"")</f>
        <v/>
      </c>
      <c r="K1007" s="185" t="str">
        <f>IFERROR(VLOOKUP(A1007,Ativos!A:H,8,),"")</f>
        <v/>
      </c>
      <c r="L1007" s="186">
        <f t="shared" si="3"/>
        <v>0</v>
      </c>
    </row>
    <row r="1008" ht="21.0" customHeight="1">
      <c r="A1008" s="187"/>
      <c r="B1008" s="187"/>
      <c r="C1008" s="188"/>
      <c r="D1008" s="135"/>
      <c r="E1008" s="189"/>
      <c r="F1008" s="182" t="str">
        <f t="shared" si="1"/>
        <v/>
      </c>
      <c r="G1008" s="183">
        <f>IFERROR(__xludf.DUMMYFUNCTION("IFERROR(lookup(9999999999,FILTER('Operações-BR'!$M:$M,'Operações-BR'!$C:$C=A1008,'Operações-BR'!$A:$A&lt;=C1008)),0)"),0.0)</f>
        <v>0</v>
      </c>
      <c r="H1008" s="184">
        <f t="shared" si="2"/>
        <v>0</v>
      </c>
      <c r="I1008" s="184">
        <f>IFERROR(__xludf.DUMMYFUNCTION("IFERROR(lookup(9999999999,FILTER('Operações-BR'!Q:Q,'Operações-BR'!$C:$C=A1008,'Operações-BR'!$A:$A&lt;=C1008))/G1008,0)"),0.0)</f>
        <v>0</v>
      </c>
      <c r="J1008" s="185" t="str">
        <f>IFERROR(VLOOKUP(A1008,Ativos!$A$1:$G2000,5,),"")</f>
        <v/>
      </c>
      <c r="K1008" s="185" t="str">
        <f>IFERROR(VLOOKUP(A1008,Ativos!A:H,8,),"")</f>
        <v/>
      </c>
      <c r="L1008" s="186">
        <f t="shared" si="3"/>
        <v>0</v>
      </c>
    </row>
    <row r="1009" ht="21.0" customHeight="1">
      <c r="A1009" s="187"/>
      <c r="B1009" s="187"/>
      <c r="C1009" s="188"/>
      <c r="D1009" s="135"/>
      <c r="E1009" s="189"/>
      <c r="F1009" s="182" t="str">
        <f t="shared" si="1"/>
        <v/>
      </c>
      <c r="G1009" s="183">
        <f>IFERROR(__xludf.DUMMYFUNCTION("IFERROR(lookup(9999999999,FILTER('Operações-BR'!$M:$M,'Operações-BR'!$C:$C=A1009,'Operações-BR'!$A:$A&lt;=C1009)),0)"),0.0)</f>
        <v>0</v>
      </c>
      <c r="H1009" s="184">
        <f t="shared" si="2"/>
        <v>0</v>
      </c>
      <c r="I1009" s="184">
        <f>IFERROR(__xludf.DUMMYFUNCTION("IFERROR(lookup(9999999999,FILTER('Operações-BR'!Q:Q,'Operações-BR'!$C:$C=A1009,'Operações-BR'!$A:$A&lt;=C1009))/G1009,0)"),0.0)</f>
        <v>0</v>
      </c>
      <c r="J1009" s="185" t="str">
        <f>IFERROR(VLOOKUP(A1009,Ativos!$A$1:$G2000,5,),"")</f>
        <v/>
      </c>
      <c r="K1009" s="185" t="str">
        <f>IFERROR(VLOOKUP(A1009,Ativos!A:H,8,),"")</f>
        <v/>
      </c>
      <c r="L1009" s="186">
        <f t="shared" si="3"/>
        <v>0</v>
      </c>
    </row>
    <row r="1010" ht="21.0" customHeight="1">
      <c r="A1010" s="187"/>
      <c r="B1010" s="187"/>
      <c r="C1010" s="188"/>
      <c r="D1010" s="135"/>
      <c r="E1010" s="189"/>
      <c r="F1010" s="182" t="str">
        <f t="shared" si="1"/>
        <v/>
      </c>
      <c r="G1010" s="183">
        <f>IFERROR(__xludf.DUMMYFUNCTION("IFERROR(lookup(9999999999,FILTER('Operações-BR'!$M:$M,'Operações-BR'!$C:$C=A1010,'Operações-BR'!$A:$A&lt;=C1010)),0)"),0.0)</f>
        <v>0</v>
      </c>
      <c r="H1010" s="184">
        <f t="shared" si="2"/>
        <v>0</v>
      </c>
      <c r="I1010" s="184">
        <f>IFERROR(__xludf.DUMMYFUNCTION("IFERROR(lookup(9999999999,FILTER('Operações-BR'!Q:Q,'Operações-BR'!$C:$C=A1010,'Operações-BR'!$A:$A&lt;=C1010))/G1010,0)"),0.0)</f>
        <v>0</v>
      </c>
      <c r="J1010" s="185" t="str">
        <f>IFERROR(VLOOKUP(A1010,Ativos!$A$1:$G2000,5,),"")</f>
        <v/>
      </c>
      <c r="K1010" s="185" t="str">
        <f>IFERROR(VLOOKUP(A1010,Ativos!A:H,8,),"")</f>
        <v/>
      </c>
      <c r="L1010" s="186">
        <f t="shared" si="3"/>
        <v>0</v>
      </c>
    </row>
    <row r="1011" ht="21.0" customHeight="1">
      <c r="A1011" s="187"/>
      <c r="B1011" s="187"/>
      <c r="C1011" s="188"/>
      <c r="D1011" s="135"/>
      <c r="E1011" s="189"/>
      <c r="F1011" s="182" t="str">
        <f t="shared" si="1"/>
        <v/>
      </c>
      <c r="G1011" s="183">
        <f>IFERROR(__xludf.DUMMYFUNCTION("IFERROR(lookup(9999999999,FILTER('Operações-BR'!$M:$M,'Operações-BR'!$C:$C=A1011,'Operações-BR'!$A:$A&lt;=C1011)),0)"),0.0)</f>
        <v>0</v>
      </c>
      <c r="H1011" s="184">
        <f t="shared" si="2"/>
        <v>0</v>
      </c>
      <c r="I1011" s="184">
        <f>IFERROR(__xludf.DUMMYFUNCTION("IFERROR(lookup(9999999999,FILTER('Operações-BR'!Q:Q,'Operações-BR'!$C:$C=A1011,'Operações-BR'!$A:$A&lt;=C1011))/G1011,0)"),0.0)</f>
        <v>0</v>
      </c>
      <c r="J1011" s="185" t="str">
        <f>IFERROR(VLOOKUP(A1011,Ativos!$A$1:$G2000,5,),"")</f>
        <v/>
      </c>
      <c r="K1011" s="185" t="str">
        <f>IFERROR(VLOOKUP(A1011,Ativos!A:H,8,),"")</f>
        <v/>
      </c>
      <c r="L1011" s="186">
        <f t="shared" si="3"/>
        <v>0</v>
      </c>
    </row>
    <row r="1012" ht="21.0" customHeight="1">
      <c r="A1012" s="187"/>
      <c r="B1012" s="187"/>
      <c r="C1012" s="188"/>
      <c r="D1012" s="135"/>
      <c r="E1012" s="189"/>
      <c r="F1012" s="182" t="str">
        <f t="shared" si="1"/>
        <v/>
      </c>
      <c r="G1012" s="183">
        <f>IFERROR(__xludf.DUMMYFUNCTION("IFERROR(lookup(9999999999,FILTER('Operações-BR'!$M:$M,'Operações-BR'!$C:$C=A1012,'Operações-BR'!$A:$A&lt;=C1012)),0)"),0.0)</f>
        <v>0</v>
      </c>
      <c r="H1012" s="184">
        <f t="shared" si="2"/>
        <v>0</v>
      </c>
      <c r="I1012" s="184">
        <f>IFERROR(__xludf.DUMMYFUNCTION("IFERROR(lookup(9999999999,FILTER('Operações-BR'!Q:Q,'Operações-BR'!$C:$C=A1012,'Operações-BR'!$A:$A&lt;=C1012))/G1012,0)"),0.0)</f>
        <v>0</v>
      </c>
      <c r="J1012" s="185" t="str">
        <f>IFERROR(VLOOKUP(A1012,Ativos!$A$1:$G2000,5,),"")</f>
        <v/>
      </c>
      <c r="K1012" s="185" t="str">
        <f>IFERROR(VLOOKUP(A1012,Ativos!A:H,8,),"")</f>
        <v/>
      </c>
      <c r="L1012" s="186">
        <f t="shared" si="3"/>
        <v>0</v>
      </c>
    </row>
    <row r="1013" ht="21.0" customHeight="1">
      <c r="A1013" s="187"/>
      <c r="B1013" s="187"/>
      <c r="C1013" s="188"/>
      <c r="D1013" s="135"/>
      <c r="E1013" s="189"/>
      <c r="F1013" s="182" t="str">
        <f t="shared" si="1"/>
        <v/>
      </c>
      <c r="G1013" s="183">
        <f>IFERROR(__xludf.DUMMYFUNCTION("IFERROR(lookup(9999999999,FILTER('Operações-BR'!$M:$M,'Operações-BR'!$C:$C=A1013,'Operações-BR'!$A:$A&lt;=C1013)),0)"),0.0)</f>
        <v>0</v>
      </c>
      <c r="H1013" s="184">
        <f t="shared" si="2"/>
        <v>0</v>
      </c>
      <c r="I1013" s="184">
        <f>IFERROR(__xludf.DUMMYFUNCTION("IFERROR(lookup(9999999999,FILTER('Operações-BR'!Q:Q,'Operações-BR'!$C:$C=A1013,'Operações-BR'!$A:$A&lt;=C1013))/G1013,0)"),0.0)</f>
        <v>0</v>
      </c>
      <c r="J1013" s="185" t="str">
        <f>IFERROR(VLOOKUP(A1013,Ativos!$A$1:$G2000,5,),"")</f>
        <v/>
      </c>
      <c r="K1013" s="185" t="str">
        <f>IFERROR(VLOOKUP(A1013,Ativos!A:H,8,),"")</f>
        <v/>
      </c>
      <c r="L1013" s="186">
        <f t="shared" si="3"/>
        <v>0</v>
      </c>
    </row>
    <row r="1014" ht="21.0" customHeight="1">
      <c r="A1014" s="187"/>
      <c r="B1014" s="187"/>
      <c r="C1014" s="188"/>
      <c r="D1014" s="135"/>
      <c r="E1014" s="189"/>
      <c r="F1014" s="182" t="str">
        <f t="shared" si="1"/>
        <v/>
      </c>
      <c r="G1014" s="183">
        <f>IFERROR(__xludf.DUMMYFUNCTION("IFERROR(lookup(9999999999,FILTER('Operações-BR'!$M:$M,'Operações-BR'!$C:$C=A1014,'Operações-BR'!$A:$A&lt;=C1014)),0)"),0.0)</f>
        <v>0</v>
      </c>
      <c r="H1014" s="184">
        <f t="shared" si="2"/>
        <v>0</v>
      </c>
      <c r="I1014" s="184">
        <f>IFERROR(__xludf.DUMMYFUNCTION("IFERROR(lookup(9999999999,FILTER('Operações-BR'!Q:Q,'Operações-BR'!$C:$C=A1014,'Operações-BR'!$A:$A&lt;=C1014))/G1014,0)"),0.0)</f>
        <v>0</v>
      </c>
      <c r="J1014" s="185" t="str">
        <f>IFERROR(VLOOKUP(A1014,Ativos!$A$1:$G2000,5,),"")</f>
        <v/>
      </c>
      <c r="K1014" s="185" t="str">
        <f>IFERROR(VLOOKUP(A1014,Ativos!A:H,8,),"")</f>
        <v/>
      </c>
      <c r="L1014" s="186">
        <f t="shared" si="3"/>
        <v>0</v>
      </c>
    </row>
    <row r="1015" ht="21.0" customHeight="1">
      <c r="A1015" s="187"/>
      <c r="B1015" s="187"/>
      <c r="C1015" s="188"/>
      <c r="D1015" s="135"/>
      <c r="E1015" s="189"/>
      <c r="F1015" s="182" t="str">
        <f t="shared" si="1"/>
        <v/>
      </c>
      <c r="G1015" s="183">
        <f>IFERROR(__xludf.DUMMYFUNCTION("IFERROR(lookup(9999999999,FILTER('Operações-BR'!$M:$M,'Operações-BR'!$C:$C=A1015,'Operações-BR'!$A:$A&lt;=C1015)),0)"),0.0)</f>
        <v>0</v>
      </c>
      <c r="H1015" s="184">
        <f t="shared" si="2"/>
        <v>0</v>
      </c>
      <c r="I1015" s="184">
        <f>IFERROR(__xludf.DUMMYFUNCTION("IFERROR(lookup(9999999999,FILTER('Operações-BR'!Q:Q,'Operações-BR'!$C:$C=A1015,'Operações-BR'!$A:$A&lt;=C1015))/G1015,0)"),0.0)</f>
        <v>0</v>
      </c>
      <c r="J1015" s="185" t="str">
        <f>IFERROR(VLOOKUP(A1015,Ativos!$A$1:$G2000,5,),"")</f>
        <v/>
      </c>
      <c r="K1015" s="185" t="str">
        <f>IFERROR(VLOOKUP(A1015,Ativos!A:H,8,),"")</f>
        <v/>
      </c>
      <c r="L1015" s="186">
        <f t="shared" si="3"/>
        <v>0</v>
      </c>
    </row>
    <row r="1016" ht="21.0" customHeight="1">
      <c r="A1016" s="187"/>
      <c r="B1016" s="187"/>
      <c r="C1016" s="188"/>
      <c r="D1016" s="135"/>
      <c r="E1016" s="189"/>
      <c r="F1016" s="182" t="str">
        <f t="shared" si="1"/>
        <v/>
      </c>
      <c r="G1016" s="183">
        <f>IFERROR(__xludf.DUMMYFUNCTION("IFERROR(lookup(9999999999,FILTER('Operações-BR'!$M:$M,'Operações-BR'!$C:$C=A1016,'Operações-BR'!$A:$A&lt;=C1016)),0)"),0.0)</f>
        <v>0</v>
      </c>
      <c r="H1016" s="184">
        <f t="shared" si="2"/>
        <v>0</v>
      </c>
      <c r="I1016" s="184">
        <f>IFERROR(__xludf.DUMMYFUNCTION("IFERROR(lookup(9999999999,FILTER('Operações-BR'!Q:Q,'Operações-BR'!$C:$C=A1016,'Operações-BR'!$A:$A&lt;=C1016))/G1016,0)"),0.0)</f>
        <v>0</v>
      </c>
      <c r="J1016" s="185" t="str">
        <f>IFERROR(VLOOKUP(A1016,Ativos!$A$1:$G2000,5,),"")</f>
        <v/>
      </c>
      <c r="K1016" s="185" t="str">
        <f>IFERROR(VLOOKUP(A1016,Ativos!A:H,8,),"")</f>
        <v/>
      </c>
      <c r="L1016" s="186">
        <f t="shared" si="3"/>
        <v>0</v>
      </c>
    </row>
    <row r="1017" ht="21.0" customHeight="1">
      <c r="A1017" s="187"/>
      <c r="B1017" s="187"/>
      <c r="C1017" s="188"/>
      <c r="D1017" s="135"/>
      <c r="E1017" s="189"/>
      <c r="F1017" s="182" t="str">
        <f t="shared" si="1"/>
        <v/>
      </c>
      <c r="G1017" s="183">
        <f>IFERROR(__xludf.DUMMYFUNCTION("IFERROR(lookup(9999999999,FILTER('Operações-BR'!$M:$M,'Operações-BR'!$C:$C=A1017,'Operações-BR'!$A:$A&lt;=C1017)),0)"),0.0)</f>
        <v>0</v>
      </c>
      <c r="H1017" s="184">
        <f t="shared" si="2"/>
        <v>0</v>
      </c>
      <c r="I1017" s="184">
        <f>IFERROR(__xludf.DUMMYFUNCTION("IFERROR(lookup(9999999999,FILTER('Operações-BR'!Q:Q,'Operações-BR'!$C:$C=A1017,'Operações-BR'!$A:$A&lt;=C1017))/G1017,0)"),0.0)</f>
        <v>0</v>
      </c>
      <c r="J1017" s="185" t="str">
        <f>IFERROR(VLOOKUP(A1017,Ativos!$A$1:$G2000,5,),"")</f>
        <v/>
      </c>
      <c r="K1017" s="185" t="str">
        <f>IFERROR(VLOOKUP(A1017,Ativos!A:H,8,),"")</f>
        <v/>
      </c>
      <c r="L1017" s="186">
        <f t="shared" si="3"/>
        <v>0</v>
      </c>
    </row>
    <row r="1018" ht="21.0" customHeight="1">
      <c r="A1018" s="187"/>
      <c r="B1018" s="187"/>
      <c r="C1018" s="188"/>
      <c r="D1018" s="135"/>
      <c r="E1018" s="189"/>
      <c r="F1018" s="182" t="str">
        <f t="shared" si="1"/>
        <v/>
      </c>
      <c r="G1018" s="183">
        <f>IFERROR(__xludf.DUMMYFUNCTION("IFERROR(lookup(9999999999,FILTER('Operações-BR'!$M:$M,'Operações-BR'!$C:$C=A1018,'Operações-BR'!$A:$A&lt;=C1018)),0)"),0.0)</f>
        <v>0</v>
      </c>
      <c r="H1018" s="184">
        <f t="shared" si="2"/>
        <v>0</v>
      </c>
      <c r="I1018" s="184">
        <f>IFERROR(__xludf.DUMMYFUNCTION("IFERROR(lookup(9999999999,FILTER('Operações-BR'!Q:Q,'Operações-BR'!$C:$C=A1018,'Operações-BR'!$A:$A&lt;=C1018))/G1018,0)"),0.0)</f>
        <v>0</v>
      </c>
      <c r="J1018" s="185" t="str">
        <f>IFERROR(VLOOKUP(A1018,Ativos!$A$1:$G2000,5,),"")</f>
        <v/>
      </c>
      <c r="K1018" s="185" t="str">
        <f>IFERROR(VLOOKUP(A1018,Ativos!A:H,8,),"")</f>
        <v/>
      </c>
      <c r="L1018" s="186">
        <f t="shared" si="3"/>
        <v>0</v>
      </c>
    </row>
    <row r="1019" ht="21.0" customHeight="1">
      <c r="A1019" s="187"/>
      <c r="B1019" s="187"/>
      <c r="C1019" s="188"/>
      <c r="D1019" s="135"/>
      <c r="E1019" s="189"/>
      <c r="F1019" s="182" t="str">
        <f t="shared" si="1"/>
        <v/>
      </c>
      <c r="G1019" s="183">
        <f>IFERROR(__xludf.DUMMYFUNCTION("IFERROR(lookup(9999999999,FILTER('Operações-BR'!$M:$M,'Operações-BR'!$C:$C=A1019,'Operações-BR'!$A:$A&lt;=C1019)),0)"),0.0)</f>
        <v>0</v>
      </c>
      <c r="H1019" s="184">
        <f t="shared" si="2"/>
        <v>0</v>
      </c>
      <c r="I1019" s="184">
        <f>IFERROR(__xludf.DUMMYFUNCTION("IFERROR(lookup(9999999999,FILTER('Operações-BR'!Q:Q,'Operações-BR'!$C:$C=A1019,'Operações-BR'!$A:$A&lt;=C1019))/G1019,0)"),0.0)</f>
        <v>0</v>
      </c>
      <c r="J1019" s="185" t="str">
        <f>IFERROR(VLOOKUP(A1019,Ativos!$A$1:$G2000,5,),"")</f>
        <v/>
      </c>
      <c r="K1019" s="185" t="str">
        <f>IFERROR(VLOOKUP(A1019,Ativos!A:H,8,),"")</f>
        <v/>
      </c>
      <c r="L1019" s="186">
        <f t="shared" si="3"/>
        <v>0</v>
      </c>
    </row>
    <row r="1020" ht="21.0" customHeight="1">
      <c r="A1020" s="187"/>
      <c r="B1020" s="187"/>
      <c r="C1020" s="188"/>
      <c r="D1020" s="135"/>
      <c r="E1020" s="189"/>
      <c r="F1020" s="182" t="str">
        <f t="shared" si="1"/>
        <v/>
      </c>
      <c r="G1020" s="183">
        <f>IFERROR(__xludf.DUMMYFUNCTION("IFERROR(lookup(9999999999,FILTER('Operações-BR'!$M:$M,'Operações-BR'!$C:$C=A1020,'Operações-BR'!$A:$A&lt;=C1020)),0)"),0.0)</f>
        <v>0</v>
      </c>
      <c r="H1020" s="184">
        <f t="shared" si="2"/>
        <v>0</v>
      </c>
      <c r="I1020" s="184">
        <f>IFERROR(__xludf.DUMMYFUNCTION("IFERROR(lookup(9999999999,FILTER('Operações-BR'!Q:Q,'Operações-BR'!$C:$C=A1020,'Operações-BR'!$A:$A&lt;=C1020))/G1020,0)"),0.0)</f>
        <v>0</v>
      </c>
      <c r="J1020" s="185" t="str">
        <f>IFERROR(VLOOKUP(A1020,Ativos!$A$1:$G2000,5,),"")</f>
        <v/>
      </c>
      <c r="K1020" s="185" t="str">
        <f>IFERROR(VLOOKUP(A1020,Ativos!A:H,8,),"")</f>
        <v/>
      </c>
      <c r="L1020" s="186">
        <f t="shared" si="3"/>
        <v>0</v>
      </c>
    </row>
    <row r="1021" ht="21.0" customHeight="1">
      <c r="A1021" s="187"/>
      <c r="B1021" s="187"/>
      <c r="C1021" s="188"/>
      <c r="D1021" s="135"/>
      <c r="E1021" s="189"/>
      <c r="F1021" s="182" t="str">
        <f t="shared" si="1"/>
        <v/>
      </c>
      <c r="G1021" s="183">
        <f>IFERROR(__xludf.DUMMYFUNCTION("IFERROR(lookup(9999999999,FILTER('Operações-BR'!$M:$M,'Operações-BR'!$C:$C=A1021,'Operações-BR'!$A:$A&lt;=C1021)),0)"),0.0)</f>
        <v>0</v>
      </c>
      <c r="H1021" s="184">
        <f t="shared" si="2"/>
        <v>0</v>
      </c>
      <c r="I1021" s="184">
        <f>IFERROR(__xludf.DUMMYFUNCTION("IFERROR(lookup(9999999999,FILTER('Operações-BR'!Q:Q,'Operações-BR'!$C:$C=A1021,'Operações-BR'!$A:$A&lt;=C1021))/G1021,0)"),0.0)</f>
        <v>0</v>
      </c>
      <c r="J1021" s="185" t="str">
        <f>IFERROR(VLOOKUP(A1021,Ativos!$A$1:$G2000,5,),"")</f>
        <v/>
      </c>
      <c r="K1021" s="185" t="str">
        <f>IFERROR(VLOOKUP(A1021,Ativos!A:H,8,),"")</f>
        <v/>
      </c>
      <c r="L1021" s="186">
        <f t="shared" si="3"/>
        <v>0</v>
      </c>
    </row>
    <row r="1022" ht="21.0" customHeight="1">
      <c r="A1022" s="187"/>
      <c r="B1022" s="187"/>
      <c r="C1022" s="188"/>
      <c r="D1022" s="135"/>
      <c r="E1022" s="189"/>
      <c r="F1022" s="182" t="str">
        <f t="shared" si="1"/>
        <v/>
      </c>
      <c r="G1022" s="183">
        <f>IFERROR(__xludf.DUMMYFUNCTION("IFERROR(lookup(9999999999,FILTER('Operações-BR'!$M:$M,'Operações-BR'!$C:$C=A1022,'Operações-BR'!$A:$A&lt;=C1022)),0)"),0.0)</f>
        <v>0</v>
      </c>
      <c r="H1022" s="184">
        <f t="shared" si="2"/>
        <v>0</v>
      </c>
      <c r="I1022" s="184">
        <f>IFERROR(__xludf.DUMMYFUNCTION("IFERROR(lookup(9999999999,FILTER('Operações-BR'!Q:Q,'Operações-BR'!$C:$C=A1022,'Operações-BR'!$A:$A&lt;=C1022))/G1022,0)"),0.0)</f>
        <v>0</v>
      </c>
      <c r="J1022" s="185" t="str">
        <f>IFERROR(VLOOKUP(A1022,Ativos!$A$1:$G2000,5,),"")</f>
        <v/>
      </c>
      <c r="K1022" s="185" t="str">
        <f>IFERROR(VLOOKUP(A1022,Ativos!A:H,8,),"")</f>
        <v/>
      </c>
      <c r="L1022" s="186">
        <f t="shared" si="3"/>
        <v>0</v>
      </c>
    </row>
    <row r="1023" ht="21.0" customHeight="1">
      <c r="A1023" s="187"/>
      <c r="B1023" s="187"/>
      <c r="C1023" s="188"/>
      <c r="D1023" s="135"/>
      <c r="E1023" s="189"/>
      <c r="F1023" s="182" t="str">
        <f t="shared" si="1"/>
        <v/>
      </c>
      <c r="G1023" s="183">
        <f>IFERROR(__xludf.DUMMYFUNCTION("IFERROR(lookup(9999999999,FILTER('Operações-BR'!$M:$M,'Operações-BR'!$C:$C=A1023,'Operações-BR'!$A:$A&lt;=C1023)),0)"),0.0)</f>
        <v>0</v>
      </c>
      <c r="H1023" s="184">
        <f t="shared" si="2"/>
        <v>0</v>
      </c>
      <c r="I1023" s="184">
        <f>IFERROR(__xludf.DUMMYFUNCTION("IFERROR(lookup(9999999999,FILTER('Operações-BR'!Q:Q,'Operações-BR'!$C:$C=A1023,'Operações-BR'!$A:$A&lt;=C1023))/G1023,0)"),0.0)</f>
        <v>0</v>
      </c>
      <c r="J1023" s="185" t="str">
        <f>IFERROR(VLOOKUP(A1023,Ativos!$A$1:$G2000,5,),"")</f>
        <v/>
      </c>
      <c r="K1023" s="185" t="str">
        <f>IFERROR(VLOOKUP(A1023,Ativos!A:H,8,),"")</f>
        <v/>
      </c>
      <c r="L1023" s="186">
        <f t="shared" si="3"/>
        <v>0</v>
      </c>
    </row>
    <row r="1024" ht="21.0" customHeight="1">
      <c r="A1024" s="187"/>
      <c r="B1024" s="187"/>
      <c r="C1024" s="188"/>
      <c r="D1024" s="135"/>
      <c r="E1024" s="189"/>
      <c r="F1024" s="182" t="str">
        <f t="shared" si="1"/>
        <v/>
      </c>
      <c r="G1024" s="183">
        <f>IFERROR(__xludf.DUMMYFUNCTION("IFERROR(lookup(9999999999,FILTER('Operações-BR'!$M:$M,'Operações-BR'!$C:$C=A1024,'Operações-BR'!$A:$A&lt;=C1024)),0)"),0.0)</f>
        <v>0</v>
      </c>
      <c r="H1024" s="184">
        <f t="shared" si="2"/>
        <v>0</v>
      </c>
      <c r="I1024" s="184">
        <f>IFERROR(__xludf.DUMMYFUNCTION("IFERROR(lookup(9999999999,FILTER('Operações-BR'!Q:Q,'Operações-BR'!$C:$C=A1024,'Operações-BR'!$A:$A&lt;=C1024))/G1024,0)"),0.0)</f>
        <v>0</v>
      </c>
      <c r="J1024" s="185" t="str">
        <f>IFERROR(VLOOKUP(A1024,Ativos!$A$1:$G2000,5,),"")</f>
        <v/>
      </c>
      <c r="K1024" s="185" t="str">
        <f>IFERROR(VLOOKUP(A1024,Ativos!A:H,8,),"")</f>
        <v/>
      </c>
      <c r="L1024" s="186">
        <f t="shared" si="3"/>
        <v>0</v>
      </c>
    </row>
    <row r="1025" ht="21.0" customHeight="1">
      <c r="A1025" s="187"/>
      <c r="B1025" s="187"/>
      <c r="C1025" s="188"/>
      <c r="D1025" s="135"/>
      <c r="E1025" s="189"/>
      <c r="F1025" s="182" t="str">
        <f t="shared" si="1"/>
        <v/>
      </c>
      <c r="G1025" s="183">
        <f>IFERROR(__xludf.DUMMYFUNCTION("IFERROR(lookup(9999999999,FILTER('Operações-BR'!$M:$M,'Operações-BR'!$C:$C=A1025,'Operações-BR'!$A:$A&lt;=C1025)),0)"),0.0)</f>
        <v>0</v>
      </c>
      <c r="H1025" s="184">
        <f t="shared" si="2"/>
        <v>0</v>
      </c>
      <c r="I1025" s="184">
        <f>IFERROR(__xludf.DUMMYFUNCTION("IFERROR(lookup(9999999999,FILTER('Operações-BR'!Q:Q,'Operações-BR'!$C:$C=A1025,'Operações-BR'!$A:$A&lt;=C1025))/G1025,0)"),0.0)</f>
        <v>0</v>
      </c>
      <c r="J1025" s="185" t="str">
        <f>IFERROR(VLOOKUP(A1025,Ativos!$A$1:$G2000,5,),"")</f>
        <v/>
      </c>
      <c r="K1025" s="185" t="str">
        <f>IFERROR(VLOOKUP(A1025,Ativos!A:H,8,),"")</f>
        <v/>
      </c>
      <c r="L1025" s="186">
        <f t="shared" si="3"/>
        <v>0</v>
      </c>
    </row>
    <row r="1026" ht="21.0" customHeight="1">
      <c r="A1026" s="187"/>
      <c r="B1026" s="187"/>
      <c r="C1026" s="188"/>
      <c r="D1026" s="135"/>
      <c r="E1026" s="189"/>
      <c r="F1026" s="182" t="str">
        <f t="shared" si="1"/>
        <v/>
      </c>
      <c r="G1026" s="183">
        <f>IFERROR(__xludf.DUMMYFUNCTION("IFERROR(lookup(9999999999,FILTER('Operações-BR'!$M:$M,'Operações-BR'!$C:$C=A1026,'Operações-BR'!$A:$A&lt;=C1026)),0)"),0.0)</f>
        <v>0</v>
      </c>
      <c r="H1026" s="184">
        <f t="shared" si="2"/>
        <v>0</v>
      </c>
      <c r="I1026" s="184">
        <f>IFERROR(__xludf.DUMMYFUNCTION("IFERROR(lookup(9999999999,FILTER('Operações-BR'!Q:Q,'Operações-BR'!$C:$C=A1026,'Operações-BR'!$A:$A&lt;=C1026))/G1026,0)"),0.0)</f>
        <v>0</v>
      </c>
      <c r="J1026" s="185" t="str">
        <f>IFERROR(VLOOKUP(A1026,Ativos!$A$1:$G2000,5,),"")</f>
        <v/>
      </c>
      <c r="K1026" s="185" t="str">
        <f>IFERROR(VLOOKUP(A1026,Ativos!A:H,8,),"")</f>
        <v/>
      </c>
      <c r="L1026" s="186">
        <f t="shared" si="3"/>
        <v>0</v>
      </c>
    </row>
    <row r="1027" ht="21.0" customHeight="1">
      <c r="A1027" s="187"/>
      <c r="B1027" s="187"/>
      <c r="C1027" s="188"/>
      <c r="D1027" s="135"/>
      <c r="E1027" s="189"/>
      <c r="F1027" s="182" t="str">
        <f t="shared" si="1"/>
        <v/>
      </c>
      <c r="G1027" s="183">
        <f>IFERROR(__xludf.DUMMYFUNCTION("IFERROR(lookup(9999999999,FILTER('Operações-BR'!$M:$M,'Operações-BR'!$C:$C=A1027,'Operações-BR'!$A:$A&lt;=C1027)),0)"),0.0)</f>
        <v>0</v>
      </c>
      <c r="H1027" s="184">
        <f t="shared" si="2"/>
        <v>0</v>
      </c>
      <c r="I1027" s="184">
        <f>IFERROR(__xludf.DUMMYFUNCTION("IFERROR(lookup(9999999999,FILTER('Operações-BR'!Q:Q,'Operações-BR'!$C:$C=A1027,'Operações-BR'!$A:$A&lt;=C1027))/G1027,0)"),0.0)</f>
        <v>0</v>
      </c>
      <c r="J1027" s="185" t="str">
        <f>IFERROR(VLOOKUP(A1027,Ativos!$A$1:$G2000,5,),"")</f>
        <v/>
      </c>
      <c r="K1027" s="185" t="str">
        <f>IFERROR(VLOOKUP(A1027,Ativos!A:H,8,),"")</f>
        <v/>
      </c>
      <c r="L1027" s="186">
        <f t="shared" si="3"/>
        <v>0</v>
      </c>
    </row>
    <row r="1028" ht="21.0" customHeight="1">
      <c r="A1028" s="187"/>
      <c r="B1028" s="187"/>
      <c r="C1028" s="188"/>
      <c r="D1028" s="135"/>
      <c r="E1028" s="189"/>
      <c r="F1028" s="182" t="str">
        <f t="shared" si="1"/>
        <v/>
      </c>
      <c r="G1028" s="183">
        <f>IFERROR(__xludf.DUMMYFUNCTION("IFERROR(lookup(9999999999,FILTER('Operações-BR'!$M:$M,'Operações-BR'!$C:$C=A1028,'Operações-BR'!$A:$A&lt;=C1028)),0)"),0.0)</f>
        <v>0</v>
      </c>
      <c r="H1028" s="184">
        <f t="shared" si="2"/>
        <v>0</v>
      </c>
      <c r="I1028" s="184">
        <f>IFERROR(__xludf.DUMMYFUNCTION("IFERROR(lookup(9999999999,FILTER('Operações-BR'!Q:Q,'Operações-BR'!$C:$C=A1028,'Operações-BR'!$A:$A&lt;=C1028))/G1028,0)"),0.0)</f>
        <v>0</v>
      </c>
      <c r="J1028" s="185" t="str">
        <f>IFERROR(VLOOKUP(A1028,Ativos!$A$1:$G2000,5,),"")</f>
        <v/>
      </c>
      <c r="K1028" s="185" t="str">
        <f>IFERROR(VLOOKUP(A1028,Ativos!A:H,8,),"")</f>
        <v/>
      </c>
      <c r="L1028" s="186">
        <f t="shared" si="3"/>
        <v>0</v>
      </c>
    </row>
    <row r="1029" ht="21.0" customHeight="1">
      <c r="A1029" s="187"/>
      <c r="B1029" s="187"/>
      <c r="C1029" s="188"/>
      <c r="D1029" s="135"/>
      <c r="E1029" s="189"/>
      <c r="F1029" s="182" t="str">
        <f t="shared" si="1"/>
        <v/>
      </c>
      <c r="G1029" s="183">
        <f>IFERROR(__xludf.DUMMYFUNCTION("IFERROR(lookup(9999999999,FILTER('Operações-BR'!$M:$M,'Operações-BR'!$C:$C=A1029,'Operações-BR'!$A:$A&lt;=C1029)),0)"),0.0)</f>
        <v>0</v>
      </c>
      <c r="H1029" s="184">
        <f t="shared" si="2"/>
        <v>0</v>
      </c>
      <c r="I1029" s="184">
        <f>IFERROR(__xludf.DUMMYFUNCTION("IFERROR(lookup(9999999999,FILTER('Operações-BR'!Q:Q,'Operações-BR'!$C:$C=A1029,'Operações-BR'!$A:$A&lt;=C1029))/G1029,0)"),0.0)</f>
        <v>0</v>
      </c>
      <c r="J1029" s="185" t="str">
        <f>IFERROR(VLOOKUP(A1029,Ativos!$A$1:$G2000,5,),"")</f>
        <v/>
      </c>
      <c r="K1029" s="185" t="str">
        <f>IFERROR(VLOOKUP(A1029,Ativos!A:H,8,),"")</f>
        <v/>
      </c>
      <c r="L1029" s="186">
        <f t="shared" si="3"/>
        <v>0</v>
      </c>
    </row>
    <row r="1030" ht="21.0" customHeight="1">
      <c r="A1030" s="187"/>
      <c r="B1030" s="187"/>
      <c r="C1030" s="188"/>
      <c r="D1030" s="135"/>
      <c r="E1030" s="189"/>
      <c r="F1030" s="182" t="str">
        <f t="shared" si="1"/>
        <v/>
      </c>
      <c r="G1030" s="183">
        <f>IFERROR(__xludf.DUMMYFUNCTION("IFERROR(lookup(9999999999,FILTER('Operações-BR'!$M:$M,'Operações-BR'!$C:$C=A1030,'Operações-BR'!$A:$A&lt;=C1030)),0)"),0.0)</f>
        <v>0</v>
      </c>
      <c r="H1030" s="184">
        <f t="shared" si="2"/>
        <v>0</v>
      </c>
      <c r="I1030" s="184">
        <f>IFERROR(__xludf.DUMMYFUNCTION("IFERROR(lookup(9999999999,FILTER('Operações-BR'!Q:Q,'Operações-BR'!$C:$C=A1030,'Operações-BR'!$A:$A&lt;=C1030))/G1030,0)"),0.0)</f>
        <v>0</v>
      </c>
      <c r="J1030" s="185" t="str">
        <f>IFERROR(VLOOKUP(A1030,Ativos!$A$1:$G2000,5,),"")</f>
        <v/>
      </c>
      <c r="K1030" s="185" t="str">
        <f>IFERROR(VLOOKUP(A1030,Ativos!A:H,8,),"")</f>
        <v/>
      </c>
      <c r="L1030" s="186">
        <f t="shared" si="3"/>
        <v>0</v>
      </c>
    </row>
    <row r="1031" ht="21.0" customHeight="1">
      <c r="A1031" s="187"/>
      <c r="B1031" s="187"/>
      <c r="C1031" s="188"/>
      <c r="D1031" s="135"/>
      <c r="E1031" s="189"/>
      <c r="F1031" s="182" t="str">
        <f t="shared" si="1"/>
        <v/>
      </c>
      <c r="G1031" s="183">
        <f>IFERROR(__xludf.DUMMYFUNCTION("IFERROR(lookup(9999999999,FILTER('Operações-BR'!$M:$M,'Operações-BR'!$C:$C=A1031,'Operações-BR'!$A:$A&lt;=C1031)),0)"),0.0)</f>
        <v>0</v>
      </c>
      <c r="H1031" s="184">
        <f t="shared" si="2"/>
        <v>0</v>
      </c>
      <c r="I1031" s="184">
        <f>IFERROR(__xludf.DUMMYFUNCTION("IFERROR(lookup(9999999999,FILTER('Operações-BR'!Q:Q,'Operações-BR'!$C:$C=A1031,'Operações-BR'!$A:$A&lt;=C1031))/G1031,0)"),0.0)</f>
        <v>0</v>
      </c>
      <c r="J1031" s="185" t="str">
        <f>IFERROR(VLOOKUP(A1031,Ativos!$A$1:$G2000,5,),"")</f>
        <v/>
      </c>
      <c r="K1031" s="185" t="str">
        <f>IFERROR(VLOOKUP(A1031,Ativos!A:H,8,),"")</f>
        <v/>
      </c>
      <c r="L1031" s="186">
        <f t="shared" si="3"/>
        <v>0</v>
      </c>
    </row>
    <row r="1032" ht="21.0" customHeight="1">
      <c r="A1032" s="187"/>
      <c r="B1032" s="187"/>
      <c r="C1032" s="188"/>
      <c r="D1032" s="135"/>
      <c r="E1032" s="189"/>
      <c r="F1032" s="182" t="str">
        <f t="shared" si="1"/>
        <v/>
      </c>
      <c r="G1032" s="183">
        <f>IFERROR(__xludf.DUMMYFUNCTION("IFERROR(lookup(9999999999,FILTER('Operações-BR'!$M:$M,'Operações-BR'!$C:$C=A1032,'Operações-BR'!$A:$A&lt;=C1032)),0)"),0.0)</f>
        <v>0</v>
      </c>
      <c r="H1032" s="184">
        <f t="shared" si="2"/>
        <v>0</v>
      </c>
      <c r="I1032" s="184">
        <f>IFERROR(__xludf.DUMMYFUNCTION("IFERROR(lookup(9999999999,FILTER('Operações-BR'!Q:Q,'Operações-BR'!$C:$C=A1032,'Operações-BR'!$A:$A&lt;=C1032))/G1032,0)"),0.0)</f>
        <v>0</v>
      </c>
      <c r="J1032" s="185" t="str">
        <f>IFERROR(VLOOKUP(A1032,Ativos!$A$1:$G2000,5,),"")</f>
        <v/>
      </c>
      <c r="K1032" s="185" t="str">
        <f>IFERROR(VLOOKUP(A1032,Ativos!A:H,8,),"")</f>
        <v/>
      </c>
      <c r="L1032" s="186">
        <f t="shared" si="3"/>
        <v>0</v>
      </c>
    </row>
    <row r="1033" ht="21.0" customHeight="1">
      <c r="A1033" s="187"/>
      <c r="B1033" s="187"/>
      <c r="C1033" s="188"/>
      <c r="D1033" s="135"/>
      <c r="E1033" s="189"/>
      <c r="F1033" s="182" t="str">
        <f t="shared" si="1"/>
        <v/>
      </c>
      <c r="G1033" s="183">
        <f>IFERROR(__xludf.DUMMYFUNCTION("IFERROR(lookup(9999999999,FILTER('Operações-BR'!$M:$M,'Operações-BR'!$C:$C=A1033,'Operações-BR'!$A:$A&lt;=C1033)),0)"),0.0)</f>
        <v>0</v>
      </c>
      <c r="H1033" s="184">
        <f t="shared" si="2"/>
        <v>0</v>
      </c>
      <c r="I1033" s="184">
        <f>IFERROR(__xludf.DUMMYFUNCTION("IFERROR(lookup(9999999999,FILTER('Operações-BR'!Q:Q,'Operações-BR'!$C:$C=A1033,'Operações-BR'!$A:$A&lt;=C1033))/G1033,0)"),0.0)</f>
        <v>0</v>
      </c>
      <c r="J1033" s="185" t="str">
        <f>IFERROR(VLOOKUP(A1033,Ativos!$A$1:$G2000,5,),"")</f>
        <v/>
      </c>
      <c r="K1033" s="185" t="str">
        <f>IFERROR(VLOOKUP(A1033,Ativos!A:H,8,),"")</f>
        <v/>
      </c>
      <c r="L1033" s="186">
        <f t="shared" si="3"/>
        <v>0</v>
      </c>
    </row>
    <row r="1034" ht="21.0" customHeight="1">
      <c r="A1034" s="187"/>
      <c r="B1034" s="187"/>
      <c r="C1034" s="188"/>
      <c r="D1034" s="135"/>
      <c r="E1034" s="189"/>
      <c r="F1034" s="182" t="str">
        <f t="shared" si="1"/>
        <v/>
      </c>
      <c r="G1034" s="183">
        <f>IFERROR(__xludf.DUMMYFUNCTION("IFERROR(lookup(9999999999,FILTER('Operações-BR'!$M:$M,'Operações-BR'!$C:$C=A1034,'Operações-BR'!$A:$A&lt;=C1034)),0)"),0.0)</f>
        <v>0</v>
      </c>
      <c r="H1034" s="184">
        <f t="shared" si="2"/>
        <v>0</v>
      </c>
      <c r="I1034" s="184">
        <f>IFERROR(__xludf.DUMMYFUNCTION("IFERROR(lookup(9999999999,FILTER('Operações-BR'!Q:Q,'Operações-BR'!$C:$C=A1034,'Operações-BR'!$A:$A&lt;=C1034))/G1034,0)"),0.0)</f>
        <v>0</v>
      </c>
      <c r="J1034" s="185" t="str">
        <f>IFERROR(VLOOKUP(A1034,Ativos!$A$1:$G2000,5,),"")</f>
        <v/>
      </c>
      <c r="K1034" s="185" t="str">
        <f>IFERROR(VLOOKUP(A1034,Ativos!A:H,8,),"")</f>
        <v/>
      </c>
      <c r="L1034" s="186">
        <f t="shared" si="3"/>
        <v>0</v>
      </c>
    </row>
    <row r="1035" ht="21.0" customHeight="1">
      <c r="A1035" s="187"/>
      <c r="B1035" s="187"/>
      <c r="C1035" s="188"/>
      <c r="D1035" s="135"/>
      <c r="E1035" s="189"/>
      <c r="F1035" s="182" t="str">
        <f t="shared" si="1"/>
        <v/>
      </c>
      <c r="G1035" s="183">
        <f>IFERROR(__xludf.DUMMYFUNCTION("IFERROR(lookup(9999999999,FILTER('Operações-BR'!$M:$M,'Operações-BR'!$C:$C=A1035,'Operações-BR'!$A:$A&lt;=C1035)),0)"),0.0)</f>
        <v>0</v>
      </c>
      <c r="H1035" s="184">
        <f t="shared" si="2"/>
        <v>0</v>
      </c>
      <c r="I1035" s="184">
        <f>IFERROR(__xludf.DUMMYFUNCTION("IFERROR(lookup(9999999999,FILTER('Operações-BR'!Q:Q,'Operações-BR'!$C:$C=A1035,'Operações-BR'!$A:$A&lt;=C1035))/G1035,0)"),0.0)</f>
        <v>0</v>
      </c>
      <c r="J1035" s="185" t="str">
        <f>IFERROR(VLOOKUP(A1035,Ativos!$A$1:$G2000,5,),"")</f>
        <v/>
      </c>
      <c r="K1035" s="185" t="str">
        <f>IFERROR(VLOOKUP(A1035,Ativos!A:H,8,),"")</f>
        <v/>
      </c>
      <c r="L1035" s="186">
        <f t="shared" si="3"/>
        <v>0</v>
      </c>
    </row>
    <row r="1036" ht="21.0" customHeight="1">
      <c r="A1036" s="187"/>
      <c r="B1036" s="187"/>
      <c r="C1036" s="188"/>
      <c r="D1036" s="135"/>
      <c r="E1036" s="189"/>
      <c r="F1036" s="182" t="str">
        <f t="shared" si="1"/>
        <v/>
      </c>
      <c r="G1036" s="183">
        <f>IFERROR(__xludf.DUMMYFUNCTION("IFERROR(lookup(9999999999,FILTER('Operações-BR'!$M:$M,'Operações-BR'!$C:$C=A1036,'Operações-BR'!$A:$A&lt;=C1036)),0)"),0.0)</f>
        <v>0</v>
      </c>
      <c r="H1036" s="184">
        <f t="shared" si="2"/>
        <v>0</v>
      </c>
      <c r="I1036" s="184">
        <f>IFERROR(__xludf.DUMMYFUNCTION("IFERROR(lookup(9999999999,FILTER('Operações-BR'!Q:Q,'Operações-BR'!$C:$C=A1036,'Operações-BR'!$A:$A&lt;=C1036))/G1036,0)"),0.0)</f>
        <v>0</v>
      </c>
      <c r="J1036" s="185" t="str">
        <f>IFERROR(VLOOKUP(A1036,Ativos!$A$1:$G2000,5,),"")</f>
        <v/>
      </c>
      <c r="K1036" s="185" t="str">
        <f>IFERROR(VLOOKUP(A1036,Ativos!A:H,8,),"")</f>
        <v/>
      </c>
      <c r="L1036" s="186">
        <f t="shared" si="3"/>
        <v>0</v>
      </c>
    </row>
    <row r="1037" ht="21.0" customHeight="1">
      <c r="A1037" s="187"/>
      <c r="B1037" s="187"/>
      <c r="C1037" s="188"/>
      <c r="D1037" s="135"/>
      <c r="E1037" s="189"/>
      <c r="F1037" s="182" t="str">
        <f t="shared" si="1"/>
        <v/>
      </c>
      <c r="G1037" s="183">
        <f>IFERROR(__xludf.DUMMYFUNCTION("IFERROR(lookup(9999999999,FILTER('Operações-BR'!$M:$M,'Operações-BR'!$C:$C=A1037,'Operações-BR'!$A:$A&lt;=C1037)),0)"),0.0)</f>
        <v>0</v>
      </c>
      <c r="H1037" s="184">
        <f t="shared" si="2"/>
        <v>0</v>
      </c>
      <c r="I1037" s="184">
        <f>IFERROR(__xludf.DUMMYFUNCTION("IFERROR(lookup(9999999999,FILTER('Operações-BR'!Q:Q,'Operações-BR'!$C:$C=A1037,'Operações-BR'!$A:$A&lt;=C1037))/G1037,0)"),0.0)</f>
        <v>0</v>
      </c>
      <c r="J1037" s="185" t="str">
        <f>IFERROR(VLOOKUP(A1037,Ativos!$A$1:$G2000,5,),"")</f>
        <v/>
      </c>
      <c r="K1037" s="185" t="str">
        <f>IFERROR(VLOOKUP(A1037,Ativos!A:H,8,),"")</f>
        <v/>
      </c>
      <c r="L1037" s="186">
        <f t="shared" si="3"/>
        <v>0</v>
      </c>
    </row>
    <row r="1038" ht="21.0" customHeight="1">
      <c r="A1038" s="187"/>
      <c r="B1038" s="187"/>
      <c r="C1038" s="188"/>
      <c r="D1038" s="135"/>
      <c r="E1038" s="189"/>
      <c r="F1038" s="182" t="str">
        <f t="shared" si="1"/>
        <v/>
      </c>
      <c r="G1038" s="183">
        <f>IFERROR(__xludf.DUMMYFUNCTION("IFERROR(lookup(9999999999,FILTER('Operações-BR'!$M:$M,'Operações-BR'!$C:$C=A1038,'Operações-BR'!$A:$A&lt;=C1038)),0)"),0.0)</f>
        <v>0</v>
      </c>
      <c r="H1038" s="184">
        <f t="shared" si="2"/>
        <v>0</v>
      </c>
      <c r="I1038" s="184">
        <f>IFERROR(__xludf.DUMMYFUNCTION("IFERROR(lookup(9999999999,FILTER('Operações-BR'!Q:Q,'Operações-BR'!$C:$C=A1038,'Operações-BR'!$A:$A&lt;=C1038))/G1038,0)"),0.0)</f>
        <v>0</v>
      </c>
      <c r="J1038" s="185" t="str">
        <f>IFERROR(VLOOKUP(A1038,Ativos!$A$1:$G2000,5,),"")</f>
        <v/>
      </c>
      <c r="K1038" s="185" t="str">
        <f>IFERROR(VLOOKUP(A1038,Ativos!A:H,8,),"")</f>
        <v/>
      </c>
      <c r="L1038" s="186">
        <f t="shared" si="3"/>
        <v>0</v>
      </c>
    </row>
    <row r="1039" ht="21.0" customHeight="1">
      <c r="A1039" s="187"/>
      <c r="B1039" s="187"/>
      <c r="C1039" s="188"/>
      <c r="D1039" s="135"/>
      <c r="E1039" s="189"/>
      <c r="F1039" s="182" t="str">
        <f t="shared" si="1"/>
        <v/>
      </c>
      <c r="G1039" s="183">
        <f>IFERROR(__xludf.DUMMYFUNCTION("IFERROR(lookup(9999999999,FILTER('Operações-BR'!$M:$M,'Operações-BR'!$C:$C=A1039,'Operações-BR'!$A:$A&lt;=C1039)),0)"),0.0)</f>
        <v>0</v>
      </c>
      <c r="H1039" s="184">
        <f t="shared" si="2"/>
        <v>0</v>
      </c>
      <c r="I1039" s="184">
        <f>IFERROR(__xludf.DUMMYFUNCTION("IFERROR(lookup(9999999999,FILTER('Operações-BR'!Q:Q,'Operações-BR'!$C:$C=A1039,'Operações-BR'!$A:$A&lt;=C1039))/G1039,0)"),0.0)</f>
        <v>0</v>
      </c>
      <c r="J1039" s="185" t="str">
        <f>IFERROR(VLOOKUP(A1039,Ativos!$A$1:$G2000,5,),"")</f>
        <v/>
      </c>
      <c r="K1039" s="185" t="str">
        <f>IFERROR(VLOOKUP(A1039,Ativos!A:H,8,),"")</f>
        <v/>
      </c>
      <c r="L1039" s="186">
        <f t="shared" si="3"/>
        <v>0</v>
      </c>
    </row>
    <row r="1040" ht="21.0" customHeight="1">
      <c r="A1040" s="187"/>
      <c r="B1040" s="187"/>
      <c r="C1040" s="188"/>
      <c r="D1040" s="135"/>
      <c r="E1040" s="189"/>
      <c r="F1040" s="182" t="str">
        <f t="shared" si="1"/>
        <v/>
      </c>
      <c r="G1040" s="183">
        <f>IFERROR(__xludf.DUMMYFUNCTION("IFERROR(lookup(9999999999,FILTER('Operações-BR'!$M:$M,'Operações-BR'!$C:$C=A1040,'Operações-BR'!$A:$A&lt;=C1040)),0)"),0.0)</f>
        <v>0</v>
      </c>
      <c r="H1040" s="184">
        <f t="shared" si="2"/>
        <v>0</v>
      </c>
      <c r="I1040" s="184">
        <f>IFERROR(__xludf.DUMMYFUNCTION("IFERROR(lookup(9999999999,FILTER('Operações-BR'!Q:Q,'Operações-BR'!$C:$C=A1040,'Operações-BR'!$A:$A&lt;=C1040))/G1040,0)"),0.0)</f>
        <v>0</v>
      </c>
      <c r="J1040" s="185" t="str">
        <f>IFERROR(VLOOKUP(A1040,Ativos!$A$1:$G2000,5,),"")</f>
        <v/>
      </c>
      <c r="K1040" s="185" t="str">
        <f>IFERROR(VLOOKUP(A1040,Ativos!A:H,8,),"")</f>
        <v/>
      </c>
      <c r="L1040" s="186">
        <f t="shared" si="3"/>
        <v>0</v>
      </c>
    </row>
    <row r="1041" ht="21.0" customHeight="1">
      <c r="A1041" s="187"/>
      <c r="B1041" s="187"/>
      <c r="C1041" s="188"/>
      <c r="D1041" s="135"/>
      <c r="E1041" s="189"/>
      <c r="F1041" s="182" t="str">
        <f t="shared" si="1"/>
        <v/>
      </c>
      <c r="G1041" s="183">
        <f>IFERROR(__xludf.DUMMYFUNCTION("IFERROR(lookup(9999999999,FILTER('Operações-BR'!$M:$M,'Operações-BR'!$C:$C=A1041,'Operações-BR'!$A:$A&lt;=C1041)),0)"),0.0)</f>
        <v>0</v>
      </c>
      <c r="H1041" s="184">
        <f t="shared" si="2"/>
        <v>0</v>
      </c>
      <c r="I1041" s="184">
        <f>IFERROR(__xludf.DUMMYFUNCTION("IFERROR(lookup(9999999999,FILTER('Operações-BR'!Q:Q,'Operações-BR'!$C:$C=A1041,'Operações-BR'!$A:$A&lt;=C1041))/G1041,0)"),0.0)</f>
        <v>0</v>
      </c>
      <c r="J1041" s="185" t="str">
        <f>IFERROR(VLOOKUP(A1041,Ativos!$A$1:$G2000,5,),"")</f>
        <v/>
      </c>
      <c r="K1041" s="185" t="str">
        <f>IFERROR(VLOOKUP(A1041,Ativos!A:H,8,),"")</f>
        <v/>
      </c>
      <c r="L1041" s="186">
        <f t="shared" si="3"/>
        <v>0</v>
      </c>
    </row>
    <row r="1042" ht="21.0" customHeight="1">
      <c r="A1042" s="187"/>
      <c r="B1042" s="187"/>
      <c r="C1042" s="188"/>
      <c r="D1042" s="135"/>
      <c r="E1042" s="189"/>
      <c r="F1042" s="182" t="str">
        <f t="shared" si="1"/>
        <v/>
      </c>
      <c r="G1042" s="183">
        <f>IFERROR(__xludf.DUMMYFUNCTION("IFERROR(lookup(9999999999,FILTER('Operações-BR'!$M:$M,'Operações-BR'!$C:$C=A1042,'Operações-BR'!$A:$A&lt;=C1042)),0)"),0.0)</f>
        <v>0</v>
      </c>
      <c r="H1042" s="184">
        <f t="shared" si="2"/>
        <v>0</v>
      </c>
      <c r="I1042" s="184">
        <f>IFERROR(__xludf.DUMMYFUNCTION("IFERROR(lookup(9999999999,FILTER('Operações-BR'!Q:Q,'Operações-BR'!$C:$C=A1042,'Operações-BR'!$A:$A&lt;=C1042))/G1042,0)"),0.0)</f>
        <v>0</v>
      </c>
      <c r="J1042" s="185" t="str">
        <f>IFERROR(VLOOKUP(A1042,Ativos!$A$1:$G2000,5,),"")</f>
        <v/>
      </c>
      <c r="K1042" s="185" t="str">
        <f>IFERROR(VLOOKUP(A1042,Ativos!A:H,8,),"")</f>
        <v/>
      </c>
      <c r="L1042" s="186">
        <f t="shared" si="3"/>
        <v>0</v>
      </c>
    </row>
    <row r="1043" ht="21.0" customHeight="1">
      <c r="A1043" s="187"/>
      <c r="B1043" s="187"/>
      <c r="C1043" s="188"/>
      <c r="D1043" s="135"/>
      <c r="E1043" s="189"/>
      <c r="F1043" s="182" t="str">
        <f t="shared" si="1"/>
        <v/>
      </c>
      <c r="G1043" s="183">
        <f>IFERROR(__xludf.DUMMYFUNCTION("IFERROR(lookup(9999999999,FILTER('Operações-BR'!$M:$M,'Operações-BR'!$C:$C=A1043,'Operações-BR'!$A:$A&lt;=C1043)),0)"),0.0)</f>
        <v>0</v>
      </c>
      <c r="H1043" s="184">
        <f t="shared" si="2"/>
        <v>0</v>
      </c>
      <c r="I1043" s="184">
        <f>IFERROR(__xludf.DUMMYFUNCTION("IFERROR(lookup(9999999999,FILTER('Operações-BR'!Q:Q,'Operações-BR'!$C:$C=A1043,'Operações-BR'!$A:$A&lt;=C1043))/G1043,0)"),0.0)</f>
        <v>0</v>
      </c>
      <c r="J1043" s="185" t="str">
        <f>IFERROR(VLOOKUP(A1043,Ativos!$A$1:$G2000,5,),"")</f>
        <v/>
      </c>
      <c r="K1043" s="185" t="str">
        <f>IFERROR(VLOOKUP(A1043,Ativos!A:H,8,),"")</f>
        <v/>
      </c>
      <c r="L1043" s="186">
        <f t="shared" si="3"/>
        <v>0</v>
      </c>
    </row>
    <row r="1044" ht="21.0" customHeight="1">
      <c r="A1044" s="187"/>
      <c r="B1044" s="187"/>
      <c r="C1044" s="188"/>
      <c r="D1044" s="135"/>
      <c r="E1044" s="189"/>
      <c r="F1044" s="182" t="str">
        <f t="shared" si="1"/>
        <v/>
      </c>
      <c r="G1044" s="183">
        <f>IFERROR(__xludf.DUMMYFUNCTION("IFERROR(lookup(9999999999,FILTER('Operações-BR'!$M:$M,'Operações-BR'!$C:$C=A1044,'Operações-BR'!$A:$A&lt;=C1044)),0)"),0.0)</f>
        <v>0</v>
      </c>
      <c r="H1044" s="184">
        <f t="shared" si="2"/>
        <v>0</v>
      </c>
      <c r="I1044" s="184">
        <f>IFERROR(__xludf.DUMMYFUNCTION("IFERROR(lookup(9999999999,FILTER('Operações-BR'!Q:Q,'Operações-BR'!$C:$C=A1044,'Operações-BR'!$A:$A&lt;=C1044))/G1044,0)"),0.0)</f>
        <v>0</v>
      </c>
      <c r="J1044" s="185" t="str">
        <f>IFERROR(VLOOKUP(A1044,Ativos!$A$1:$G2000,5,),"")</f>
        <v/>
      </c>
      <c r="K1044" s="185" t="str">
        <f>IFERROR(VLOOKUP(A1044,Ativos!A:H,8,),"")</f>
        <v/>
      </c>
      <c r="L1044" s="186">
        <f t="shared" si="3"/>
        <v>0</v>
      </c>
    </row>
    <row r="1045" ht="21.0" customHeight="1">
      <c r="A1045" s="187"/>
      <c r="B1045" s="187"/>
      <c r="C1045" s="188"/>
      <c r="D1045" s="135"/>
      <c r="E1045" s="189"/>
      <c r="F1045" s="182" t="str">
        <f t="shared" si="1"/>
        <v/>
      </c>
      <c r="G1045" s="183">
        <f>IFERROR(__xludf.DUMMYFUNCTION("IFERROR(lookup(9999999999,FILTER('Operações-BR'!$M:$M,'Operações-BR'!$C:$C=A1045,'Operações-BR'!$A:$A&lt;=C1045)),0)"),0.0)</f>
        <v>0</v>
      </c>
      <c r="H1045" s="184">
        <f t="shared" si="2"/>
        <v>0</v>
      </c>
      <c r="I1045" s="184">
        <f>IFERROR(__xludf.DUMMYFUNCTION("IFERROR(lookup(9999999999,FILTER('Operações-BR'!Q:Q,'Operações-BR'!$C:$C=A1045,'Operações-BR'!$A:$A&lt;=C1045))/G1045,0)"),0.0)</f>
        <v>0</v>
      </c>
      <c r="J1045" s="185" t="str">
        <f>IFERROR(VLOOKUP(A1045,Ativos!$A$1:$G2000,5,),"")</f>
        <v/>
      </c>
      <c r="K1045" s="185" t="str">
        <f>IFERROR(VLOOKUP(A1045,Ativos!A:H,8,),"")</f>
        <v/>
      </c>
      <c r="L1045" s="186">
        <f t="shared" si="3"/>
        <v>0</v>
      </c>
    </row>
    <row r="1046" ht="21.0" customHeight="1">
      <c r="A1046" s="187"/>
      <c r="B1046" s="187"/>
      <c r="C1046" s="188"/>
      <c r="D1046" s="135"/>
      <c r="E1046" s="189"/>
      <c r="F1046" s="182" t="str">
        <f t="shared" si="1"/>
        <v/>
      </c>
      <c r="G1046" s="183">
        <f>IFERROR(__xludf.DUMMYFUNCTION("IFERROR(lookup(9999999999,FILTER('Operações-BR'!$M:$M,'Operações-BR'!$C:$C=A1046,'Operações-BR'!$A:$A&lt;=C1046)),0)"),0.0)</f>
        <v>0</v>
      </c>
      <c r="H1046" s="184">
        <f t="shared" si="2"/>
        <v>0</v>
      </c>
      <c r="I1046" s="184">
        <f>IFERROR(__xludf.DUMMYFUNCTION("IFERROR(lookup(9999999999,FILTER('Operações-BR'!Q:Q,'Operações-BR'!$C:$C=A1046,'Operações-BR'!$A:$A&lt;=C1046))/G1046,0)"),0.0)</f>
        <v>0</v>
      </c>
      <c r="J1046" s="185" t="str">
        <f>IFERROR(VLOOKUP(A1046,Ativos!$A$1:$G2000,5,),"")</f>
        <v/>
      </c>
      <c r="K1046" s="185" t="str">
        <f>IFERROR(VLOOKUP(A1046,Ativos!A:H,8,),"")</f>
        <v/>
      </c>
      <c r="L1046" s="186">
        <f t="shared" si="3"/>
        <v>0</v>
      </c>
    </row>
    <row r="1047" ht="21.0" customHeight="1">
      <c r="A1047" s="187"/>
      <c r="B1047" s="187"/>
      <c r="C1047" s="188"/>
      <c r="D1047" s="135"/>
      <c r="E1047" s="189"/>
      <c r="F1047" s="182" t="str">
        <f t="shared" si="1"/>
        <v/>
      </c>
      <c r="G1047" s="183">
        <f>IFERROR(__xludf.DUMMYFUNCTION("IFERROR(lookup(9999999999,FILTER('Operações-BR'!$M:$M,'Operações-BR'!$C:$C=A1047,'Operações-BR'!$A:$A&lt;=C1047)),0)"),0.0)</f>
        <v>0</v>
      </c>
      <c r="H1047" s="184">
        <f t="shared" si="2"/>
        <v>0</v>
      </c>
      <c r="I1047" s="184">
        <f>IFERROR(__xludf.DUMMYFUNCTION("IFERROR(lookup(9999999999,FILTER('Operações-BR'!Q:Q,'Operações-BR'!$C:$C=A1047,'Operações-BR'!$A:$A&lt;=C1047))/G1047,0)"),0.0)</f>
        <v>0</v>
      </c>
      <c r="J1047" s="185" t="str">
        <f>IFERROR(VLOOKUP(A1047,Ativos!$A$1:$G2000,5,),"")</f>
        <v/>
      </c>
      <c r="K1047" s="185" t="str">
        <f>IFERROR(VLOOKUP(A1047,Ativos!A:H,8,),"")</f>
        <v/>
      </c>
      <c r="L1047" s="186">
        <f t="shared" si="3"/>
        <v>0</v>
      </c>
    </row>
    <row r="1048" ht="21.0" customHeight="1">
      <c r="A1048" s="187"/>
      <c r="B1048" s="187"/>
      <c r="C1048" s="188"/>
      <c r="D1048" s="135"/>
      <c r="E1048" s="189"/>
      <c r="F1048" s="182" t="str">
        <f t="shared" si="1"/>
        <v/>
      </c>
      <c r="G1048" s="183">
        <f>IFERROR(__xludf.DUMMYFUNCTION("IFERROR(lookup(9999999999,FILTER('Operações-BR'!$M:$M,'Operações-BR'!$C:$C=A1048,'Operações-BR'!$A:$A&lt;=C1048)),0)"),0.0)</f>
        <v>0</v>
      </c>
      <c r="H1048" s="184">
        <f t="shared" si="2"/>
        <v>0</v>
      </c>
      <c r="I1048" s="184">
        <f>IFERROR(__xludf.DUMMYFUNCTION("IFERROR(lookup(9999999999,FILTER('Operações-BR'!Q:Q,'Operações-BR'!$C:$C=A1048,'Operações-BR'!$A:$A&lt;=C1048))/G1048,0)"),0.0)</f>
        <v>0</v>
      </c>
      <c r="J1048" s="185" t="str">
        <f>IFERROR(VLOOKUP(A1048,Ativos!$A$1:$G2000,5,),"")</f>
        <v/>
      </c>
      <c r="K1048" s="185" t="str">
        <f>IFERROR(VLOOKUP(A1048,Ativos!A:H,8,),"")</f>
        <v/>
      </c>
      <c r="L1048" s="186">
        <f t="shared" si="3"/>
        <v>0</v>
      </c>
    </row>
    <row r="1049" ht="21.0" customHeight="1">
      <c r="A1049" s="187"/>
      <c r="B1049" s="187"/>
      <c r="C1049" s="188"/>
      <c r="D1049" s="135"/>
      <c r="E1049" s="189"/>
      <c r="F1049" s="182" t="str">
        <f t="shared" si="1"/>
        <v/>
      </c>
      <c r="G1049" s="183">
        <f>IFERROR(__xludf.DUMMYFUNCTION("IFERROR(lookup(9999999999,FILTER('Operações-BR'!$M:$M,'Operações-BR'!$C:$C=A1049,'Operações-BR'!$A:$A&lt;=C1049)),0)"),0.0)</f>
        <v>0</v>
      </c>
      <c r="H1049" s="184">
        <f t="shared" si="2"/>
        <v>0</v>
      </c>
      <c r="I1049" s="184">
        <f>IFERROR(__xludf.DUMMYFUNCTION("IFERROR(lookup(9999999999,FILTER('Operações-BR'!Q:Q,'Operações-BR'!$C:$C=A1049,'Operações-BR'!$A:$A&lt;=C1049))/G1049,0)"),0.0)</f>
        <v>0</v>
      </c>
      <c r="J1049" s="185" t="str">
        <f>IFERROR(VLOOKUP(A1049,Ativos!$A$1:$G2000,5,),"")</f>
        <v/>
      </c>
      <c r="K1049" s="185" t="str">
        <f>IFERROR(VLOOKUP(A1049,Ativos!A:H,8,),"")</f>
        <v/>
      </c>
      <c r="L1049" s="186">
        <f t="shared" si="3"/>
        <v>0</v>
      </c>
    </row>
    <row r="1050" ht="21.0" customHeight="1">
      <c r="A1050" s="187"/>
      <c r="B1050" s="187"/>
      <c r="C1050" s="188"/>
      <c r="D1050" s="135"/>
      <c r="E1050" s="189"/>
      <c r="F1050" s="182" t="str">
        <f t="shared" si="1"/>
        <v/>
      </c>
      <c r="G1050" s="183">
        <f>IFERROR(__xludf.DUMMYFUNCTION("IFERROR(lookup(9999999999,FILTER('Operações-BR'!$M:$M,'Operações-BR'!$C:$C=A1050,'Operações-BR'!$A:$A&lt;=C1050)),0)"),0.0)</f>
        <v>0</v>
      </c>
      <c r="H1050" s="184">
        <f t="shared" si="2"/>
        <v>0</v>
      </c>
      <c r="I1050" s="184">
        <f>IFERROR(__xludf.DUMMYFUNCTION("IFERROR(lookup(9999999999,FILTER('Operações-BR'!Q:Q,'Operações-BR'!$C:$C=A1050,'Operações-BR'!$A:$A&lt;=C1050))/G1050,0)"),0.0)</f>
        <v>0</v>
      </c>
      <c r="J1050" s="185" t="str">
        <f>IFERROR(VLOOKUP(A1050,Ativos!$A$1:$G2000,5,),"")</f>
        <v/>
      </c>
      <c r="K1050" s="185" t="str">
        <f>IFERROR(VLOOKUP(A1050,Ativos!A:H,8,),"")</f>
        <v/>
      </c>
      <c r="L1050" s="186">
        <f t="shared" si="3"/>
        <v>0</v>
      </c>
    </row>
    <row r="1051" ht="21.0" customHeight="1">
      <c r="A1051" s="187"/>
      <c r="B1051" s="187"/>
      <c r="C1051" s="188"/>
      <c r="D1051" s="135"/>
      <c r="E1051" s="189"/>
      <c r="F1051" s="182" t="str">
        <f t="shared" si="1"/>
        <v/>
      </c>
      <c r="G1051" s="183">
        <f>IFERROR(__xludf.DUMMYFUNCTION("IFERROR(lookup(9999999999,FILTER('Operações-BR'!$M:$M,'Operações-BR'!$C:$C=A1051,'Operações-BR'!$A:$A&lt;=C1051)),0)"),0.0)</f>
        <v>0</v>
      </c>
      <c r="H1051" s="184">
        <f t="shared" si="2"/>
        <v>0</v>
      </c>
      <c r="I1051" s="184">
        <f>IFERROR(__xludf.DUMMYFUNCTION("IFERROR(lookup(9999999999,FILTER('Operações-BR'!Q:Q,'Operações-BR'!$C:$C=A1051,'Operações-BR'!$A:$A&lt;=C1051))/G1051,0)"),0.0)</f>
        <v>0</v>
      </c>
      <c r="J1051" s="185" t="str">
        <f>IFERROR(VLOOKUP(A1051,Ativos!$A$1:$G2000,5,),"")</f>
        <v/>
      </c>
      <c r="K1051" s="185" t="str">
        <f>IFERROR(VLOOKUP(A1051,Ativos!A:H,8,),"")</f>
        <v/>
      </c>
      <c r="L1051" s="186">
        <f t="shared" si="3"/>
        <v>0</v>
      </c>
    </row>
    <row r="1052" ht="21.0" customHeight="1">
      <c r="A1052" s="187"/>
      <c r="B1052" s="187"/>
      <c r="C1052" s="188"/>
      <c r="D1052" s="135"/>
      <c r="E1052" s="189"/>
      <c r="F1052" s="182" t="str">
        <f t="shared" si="1"/>
        <v/>
      </c>
      <c r="G1052" s="183">
        <f>IFERROR(__xludf.DUMMYFUNCTION("IFERROR(lookup(9999999999,FILTER('Operações-BR'!$M:$M,'Operações-BR'!$C:$C=A1052,'Operações-BR'!$A:$A&lt;=C1052)),0)"),0.0)</f>
        <v>0</v>
      </c>
      <c r="H1052" s="184">
        <f t="shared" si="2"/>
        <v>0</v>
      </c>
      <c r="I1052" s="184">
        <f>IFERROR(__xludf.DUMMYFUNCTION("IFERROR(lookup(9999999999,FILTER('Operações-BR'!Q:Q,'Operações-BR'!$C:$C=A1052,'Operações-BR'!$A:$A&lt;=C1052))/G1052,0)"),0.0)</f>
        <v>0</v>
      </c>
      <c r="J1052" s="185" t="str">
        <f>IFERROR(VLOOKUP(A1052,Ativos!$A$1:$G2000,5,),"")</f>
        <v/>
      </c>
      <c r="K1052" s="185" t="str">
        <f>IFERROR(VLOOKUP(A1052,Ativos!A:H,8,),"")</f>
        <v/>
      </c>
      <c r="L1052" s="186">
        <f t="shared" si="3"/>
        <v>0</v>
      </c>
    </row>
    <row r="1053" ht="21.0" customHeight="1">
      <c r="A1053" s="187"/>
      <c r="B1053" s="187"/>
      <c r="C1053" s="188"/>
      <c r="D1053" s="135"/>
      <c r="E1053" s="189"/>
      <c r="F1053" s="182" t="str">
        <f t="shared" si="1"/>
        <v/>
      </c>
      <c r="G1053" s="183">
        <f>IFERROR(__xludf.DUMMYFUNCTION("IFERROR(lookup(9999999999,FILTER('Operações-BR'!$M:$M,'Operações-BR'!$C:$C=A1053,'Operações-BR'!$A:$A&lt;=C1053)),0)"),0.0)</f>
        <v>0</v>
      </c>
      <c r="H1053" s="184">
        <f t="shared" si="2"/>
        <v>0</v>
      </c>
      <c r="I1053" s="184">
        <f>IFERROR(__xludf.DUMMYFUNCTION("IFERROR(lookup(9999999999,FILTER('Operações-BR'!Q:Q,'Operações-BR'!$C:$C=A1053,'Operações-BR'!$A:$A&lt;=C1053))/G1053,0)"),0.0)</f>
        <v>0</v>
      </c>
      <c r="J1053" s="185" t="str">
        <f>IFERROR(VLOOKUP(A1053,Ativos!$A$1:$G2000,5,),"")</f>
        <v/>
      </c>
      <c r="K1053" s="185" t="str">
        <f>IFERROR(VLOOKUP(A1053,Ativos!A:H,8,),"")</f>
        <v/>
      </c>
      <c r="L1053" s="186">
        <f t="shared" si="3"/>
        <v>0</v>
      </c>
    </row>
    <row r="1054" ht="21.0" customHeight="1">
      <c r="A1054" s="187"/>
      <c r="B1054" s="187"/>
      <c r="C1054" s="188"/>
      <c r="D1054" s="135"/>
      <c r="E1054" s="189"/>
      <c r="F1054" s="182" t="str">
        <f t="shared" si="1"/>
        <v/>
      </c>
      <c r="G1054" s="183">
        <f>IFERROR(__xludf.DUMMYFUNCTION("IFERROR(lookup(9999999999,FILTER('Operações-BR'!$M:$M,'Operações-BR'!$C:$C=A1054,'Operações-BR'!$A:$A&lt;=C1054)),0)"),0.0)</f>
        <v>0</v>
      </c>
      <c r="H1054" s="184">
        <f t="shared" si="2"/>
        <v>0</v>
      </c>
      <c r="I1054" s="184">
        <f>IFERROR(__xludf.DUMMYFUNCTION("IFERROR(lookup(9999999999,FILTER('Operações-BR'!Q:Q,'Operações-BR'!$C:$C=A1054,'Operações-BR'!$A:$A&lt;=C1054))/G1054,0)"),0.0)</f>
        <v>0</v>
      </c>
      <c r="J1054" s="185" t="str">
        <f>IFERROR(VLOOKUP(A1054,Ativos!$A$1:$G2000,5,),"")</f>
        <v/>
      </c>
      <c r="K1054" s="185" t="str">
        <f>IFERROR(VLOOKUP(A1054,Ativos!A:H,8,),"")</f>
        <v/>
      </c>
      <c r="L1054" s="186">
        <f t="shared" si="3"/>
        <v>0</v>
      </c>
    </row>
    <row r="1055" ht="21.0" customHeight="1">
      <c r="A1055" s="187"/>
      <c r="B1055" s="187"/>
      <c r="C1055" s="188"/>
      <c r="D1055" s="135"/>
      <c r="E1055" s="189"/>
      <c r="F1055" s="182" t="str">
        <f t="shared" si="1"/>
        <v/>
      </c>
      <c r="G1055" s="183">
        <f>IFERROR(__xludf.DUMMYFUNCTION("IFERROR(lookup(9999999999,FILTER('Operações-BR'!$M:$M,'Operações-BR'!$C:$C=A1055,'Operações-BR'!$A:$A&lt;=C1055)),0)"),0.0)</f>
        <v>0</v>
      </c>
      <c r="H1055" s="184">
        <f t="shared" si="2"/>
        <v>0</v>
      </c>
      <c r="I1055" s="184">
        <f>IFERROR(__xludf.DUMMYFUNCTION("IFERROR(lookup(9999999999,FILTER('Operações-BR'!Q:Q,'Operações-BR'!$C:$C=A1055,'Operações-BR'!$A:$A&lt;=C1055))/G1055,0)"),0.0)</f>
        <v>0</v>
      </c>
      <c r="J1055" s="185" t="str">
        <f>IFERROR(VLOOKUP(A1055,Ativos!$A$1:$G2000,5,),"")</f>
        <v/>
      </c>
      <c r="K1055" s="185" t="str">
        <f>IFERROR(VLOOKUP(A1055,Ativos!A:H,8,),"")</f>
        <v/>
      </c>
      <c r="L1055" s="186">
        <f t="shared" si="3"/>
        <v>0</v>
      </c>
    </row>
    <row r="1056" ht="21.0" customHeight="1">
      <c r="A1056" s="187"/>
      <c r="B1056" s="187"/>
      <c r="C1056" s="188"/>
      <c r="D1056" s="135"/>
      <c r="E1056" s="189"/>
      <c r="F1056" s="182" t="str">
        <f t="shared" si="1"/>
        <v/>
      </c>
      <c r="G1056" s="183">
        <f>IFERROR(__xludf.DUMMYFUNCTION("IFERROR(lookup(9999999999,FILTER('Operações-BR'!$M:$M,'Operações-BR'!$C:$C=A1056,'Operações-BR'!$A:$A&lt;=C1056)),0)"),0.0)</f>
        <v>0</v>
      </c>
      <c r="H1056" s="184">
        <f t="shared" si="2"/>
        <v>0</v>
      </c>
      <c r="I1056" s="184">
        <f>IFERROR(__xludf.DUMMYFUNCTION("IFERROR(lookup(9999999999,FILTER('Operações-BR'!Q:Q,'Operações-BR'!$C:$C=A1056,'Operações-BR'!$A:$A&lt;=C1056))/G1056,0)"),0.0)</f>
        <v>0</v>
      </c>
      <c r="J1056" s="185" t="str">
        <f>IFERROR(VLOOKUP(A1056,Ativos!$A$1:$G2000,5,),"")</f>
        <v/>
      </c>
      <c r="K1056" s="185" t="str">
        <f>IFERROR(VLOOKUP(A1056,Ativos!A:H,8,),"")</f>
        <v/>
      </c>
      <c r="L1056" s="186">
        <f t="shared" si="3"/>
        <v>0</v>
      </c>
    </row>
    <row r="1057" ht="21.0" customHeight="1">
      <c r="A1057" s="187"/>
      <c r="B1057" s="187"/>
      <c r="C1057" s="188"/>
      <c r="D1057" s="135"/>
      <c r="E1057" s="189"/>
      <c r="F1057" s="182" t="str">
        <f t="shared" si="1"/>
        <v/>
      </c>
      <c r="G1057" s="183">
        <f>IFERROR(__xludf.DUMMYFUNCTION("IFERROR(lookup(9999999999,FILTER('Operações-BR'!$M:$M,'Operações-BR'!$C:$C=A1057,'Operações-BR'!$A:$A&lt;=C1057)),0)"),0.0)</f>
        <v>0</v>
      </c>
      <c r="H1057" s="184">
        <f t="shared" si="2"/>
        <v>0</v>
      </c>
      <c r="I1057" s="184">
        <f>IFERROR(__xludf.DUMMYFUNCTION("IFERROR(lookup(9999999999,FILTER('Operações-BR'!Q:Q,'Operações-BR'!$C:$C=A1057,'Operações-BR'!$A:$A&lt;=C1057))/G1057,0)"),0.0)</f>
        <v>0</v>
      </c>
      <c r="J1057" s="185" t="str">
        <f>IFERROR(VLOOKUP(A1057,Ativos!$A$1:$G2000,5,),"")</f>
        <v/>
      </c>
      <c r="K1057" s="185" t="str">
        <f>IFERROR(VLOOKUP(A1057,Ativos!A:H,8,),"")</f>
        <v/>
      </c>
      <c r="L1057" s="186">
        <f t="shared" si="3"/>
        <v>0</v>
      </c>
    </row>
    <row r="1058" ht="21.0" customHeight="1">
      <c r="A1058" s="187"/>
      <c r="B1058" s="187"/>
      <c r="C1058" s="188"/>
      <c r="D1058" s="135"/>
      <c r="E1058" s="189"/>
      <c r="F1058" s="182" t="str">
        <f t="shared" si="1"/>
        <v/>
      </c>
      <c r="G1058" s="183">
        <f>IFERROR(__xludf.DUMMYFUNCTION("IFERROR(lookup(9999999999,FILTER('Operações-BR'!$M:$M,'Operações-BR'!$C:$C=A1058,'Operações-BR'!$A:$A&lt;=C1058)),0)"),0.0)</f>
        <v>0</v>
      </c>
      <c r="H1058" s="184">
        <f t="shared" si="2"/>
        <v>0</v>
      </c>
      <c r="I1058" s="184">
        <f>IFERROR(__xludf.DUMMYFUNCTION("IFERROR(lookup(9999999999,FILTER('Operações-BR'!Q:Q,'Operações-BR'!$C:$C=A1058,'Operações-BR'!$A:$A&lt;=C1058))/G1058,0)"),0.0)</f>
        <v>0</v>
      </c>
      <c r="J1058" s="185" t="str">
        <f>IFERROR(VLOOKUP(A1058,Ativos!$A$1:$G2000,5,),"")</f>
        <v/>
      </c>
      <c r="K1058" s="185" t="str">
        <f>IFERROR(VLOOKUP(A1058,Ativos!A:H,8,),"")</f>
        <v/>
      </c>
      <c r="L1058" s="186">
        <f t="shared" si="3"/>
        <v>0</v>
      </c>
    </row>
    <row r="1059" ht="21.0" customHeight="1">
      <c r="A1059" s="187"/>
      <c r="B1059" s="187"/>
      <c r="C1059" s="188"/>
      <c r="D1059" s="135"/>
      <c r="E1059" s="189"/>
      <c r="F1059" s="182" t="str">
        <f t="shared" si="1"/>
        <v/>
      </c>
      <c r="G1059" s="183">
        <f>IFERROR(__xludf.DUMMYFUNCTION("IFERROR(lookup(9999999999,FILTER('Operações-BR'!$M:$M,'Operações-BR'!$C:$C=A1059,'Operações-BR'!$A:$A&lt;=C1059)),0)"),0.0)</f>
        <v>0</v>
      </c>
      <c r="H1059" s="184">
        <f t="shared" si="2"/>
        <v>0</v>
      </c>
      <c r="I1059" s="184">
        <f>IFERROR(__xludf.DUMMYFUNCTION("IFERROR(lookup(9999999999,FILTER('Operações-BR'!Q:Q,'Operações-BR'!$C:$C=A1059,'Operações-BR'!$A:$A&lt;=C1059))/G1059,0)"),0.0)</f>
        <v>0</v>
      </c>
      <c r="J1059" s="185" t="str">
        <f>IFERROR(VLOOKUP(A1059,Ativos!$A$1:$G2000,5,),"")</f>
        <v/>
      </c>
      <c r="K1059" s="185" t="str">
        <f>IFERROR(VLOOKUP(A1059,Ativos!A:H,8,),"")</f>
        <v/>
      </c>
      <c r="L1059" s="186">
        <f t="shared" si="3"/>
        <v>0</v>
      </c>
    </row>
    <row r="1060" ht="21.0" customHeight="1">
      <c r="A1060" s="187"/>
      <c r="B1060" s="187"/>
      <c r="C1060" s="188"/>
      <c r="D1060" s="135"/>
      <c r="E1060" s="189"/>
      <c r="F1060" s="182" t="str">
        <f t="shared" si="1"/>
        <v/>
      </c>
      <c r="G1060" s="183">
        <f>IFERROR(__xludf.DUMMYFUNCTION("IFERROR(lookup(9999999999,FILTER('Operações-BR'!$M:$M,'Operações-BR'!$C:$C=A1060,'Operações-BR'!$A:$A&lt;=C1060)),0)"),0.0)</f>
        <v>0</v>
      </c>
      <c r="H1060" s="184">
        <f t="shared" si="2"/>
        <v>0</v>
      </c>
      <c r="I1060" s="184">
        <f>IFERROR(__xludf.DUMMYFUNCTION("IFERROR(lookup(9999999999,FILTER('Operações-BR'!Q:Q,'Operações-BR'!$C:$C=A1060,'Operações-BR'!$A:$A&lt;=C1060))/G1060,0)"),0.0)</f>
        <v>0</v>
      </c>
      <c r="J1060" s="185" t="str">
        <f>IFERROR(VLOOKUP(A1060,Ativos!$A$1:$G2000,5,),"")</f>
        <v/>
      </c>
      <c r="K1060" s="185" t="str">
        <f>IFERROR(VLOOKUP(A1060,Ativos!A:H,8,),"")</f>
        <v/>
      </c>
      <c r="L1060" s="186">
        <f t="shared" si="3"/>
        <v>0</v>
      </c>
    </row>
    <row r="1061" ht="21.0" customHeight="1">
      <c r="A1061" s="187"/>
      <c r="B1061" s="187"/>
      <c r="C1061" s="188"/>
      <c r="D1061" s="135"/>
      <c r="E1061" s="189"/>
      <c r="F1061" s="182" t="str">
        <f t="shared" si="1"/>
        <v/>
      </c>
      <c r="G1061" s="183">
        <f>IFERROR(__xludf.DUMMYFUNCTION("IFERROR(lookup(9999999999,FILTER('Operações-BR'!$M:$M,'Operações-BR'!$C:$C=A1061,'Operações-BR'!$A:$A&lt;=C1061)),0)"),0.0)</f>
        <v>0</v>
      </c>
      <c r="H1061" s="184">
        <f t="shared" si="2"/>
        <v>0</v>
      </c>
      <c r="I1061" s="184">
        <f>IFERROR(__xludf.DUMMYFUNCTION("IFERROR(lookup(9999999999,FILTER('Operações-BR'!Q:Q,'Operações-BR'!$C:$C=A1061,'Operações-BR'!$A:$A&lt;=C1061))/G1061,0)"),0.0)</f>
        <v>0</v>
      </c>
      <c r="J1061" s="185" t="str">
        <f>IFERROR(VLOOKUP(A1061,Ativos!$A$1:$G2000,5,),"")</f>
        <v/>
      </c>
      <c r="K1061" s="185" t="str">
        <f>IFERROR(VLOOKUP(A1061,Ativos!A:H,8,),"")</f>
        <v/>
      </c>
      <c r="L1061" s="186">
        <f t="shared" si="3"/>
        <v>0</v>
      </c>
    </row>
    <row r="1062" ht="21.0" customHeight="1">
      <c r="A1062" s="187"/>
      <c r="B1062" s="187"/>
      <c r="C1062" s="188"/>
      <c r="D1062" s="135"/>
      <c r="E1062" s="189"/>
      <c r="F1062" s="182" t="str">
        <f t="shared" si="1"/>
        <v/>
      </c>
      <c r="G1062" s="183">
        <f>IFERROR(__xludf.DUMMYFUNCTION("IFERROR(lookup(9999999999,FILTER('Operações-BR'!$M:$M,'Operações-BR'!$C:$C=A1062,'Operações-BR'!$A:$A&lt;=C1062)),0)"),0.0)</f>
        <v>0</v>
      </c>
      <c r="H1062" s="184">
        <f t="shared" si="2"/>
        <v>0</v>
      </c>
      <c r="I1062" s="184">
        <f>IFERROR(__xludf.DUMMYFUNCTION("IFERROR(lookup(9999999999,FILTER('Operações-BR'!Q:Q,'Operações-BR'!$C:$C=A1062,'Operações-BR'!$A:$A&lt;=C1062))/G1062,0)"),0.0)</f>
        <v>0</v>
      </c>
      <c r="J1062" s="185" t="str">
        <f>IFERROR(VLOOKUP(A1062,Ativos!$A$1:$G2000,5,),"")</f>
        <v/>
      </c>
      <c r="K1062" s="185" t="str">
        <f>IFERROR(VLOOKUP(A1062,Ativos!A:H,8,),"")</f>
        <v/>
      </c>
      <c r="L1062" s="186">
        <f t="shared" si="3"/>
        <v>0</v>
      </c>
    </row>
    <row r="1063" ht="21.0" customHeight="1">
      <c r="A1063" s="187"/>
      <c r="B1063" s="187"/>
      <c r="C1063" s="188"/>
      <c r="D1063" s="135"/>
      <c r="E1063" s="189"/>
      <c r="F1063" s="182" t="str">
        <f t="shared" si="1"/>
        <v/>
      </c>
      <c r="G1063" s="183">
        <f>IFERROR(__xludf.DUMMYFUNCTION("IFERROR(lookup(9999999999,FILTER('Operações-BR'!$M:$M,'Operações-BR'!$C:$C=A1063,'Operações-BR'!$A:$A&lt;=C1063)),0)"),0.0)</f>
        <v>0</v>
      </c>
      <c r="H1063" s="184">
        <f t="shared" si="2"/>
        <v>0</v>
      </c>
      <c r="I1063" s="184">
        <f>IFERROR(__xludf.DUMMYFUNCTION("IFERROR(lookup(9999999999,FILTER('Operações-BR'!Q:Q,'Operações-BR'!$C:$C=A1063,'Operações-BR'!$A:$A&lt;=C1063))/G1063,0)"),0.0)</f>
        <v>0</v>
      </c>
      <c r="J1063" s="185" t="str">
        <f>IFERROR(VLOOKUP(A1063,Ativos!$A$1:$G2000,5,),"")</f>
        <v/>
      </c>
      <c r="K1063" s="185" t="str">
        <f>IFERROR(VLOOKUP(A1063,Ativos!A:H,8,),"")</f>
        <v/>
      </c>
      <c r="L1063" s="186">
        <f t="shared" si="3"/>
        <v>0</v>
      </c>
    </row>
    <row r="1064" ht="21.0" customHeight="1">
      <c r="A1064" s="187"/>
      <c r="B1064" s="187"/>
      <c r="C1064" s="188"/>
      <c r="D1064" s="135"/>
      <c r="E1064" s="189"/>
      <c r="F1064" s="182" t="str">
        <f t="shared" si="1"/>
        <v/>
      </c>
      <c r="G1064" s="183">
        <f>IFERROR(__xludf.DUMMYFUNCTION("IFERROR(lookup(9999999999,FILTER('Operações-BR'!$M:$M,'Operações-BR'!$C:$C=A1064,'Operações-BR'!$A:$A&lt;=C1064)),0)"),0.0)</f>
        <v>0</v>
      </c>
      <c r="H1064" s="184">
        <f t="shared" si="2"/>
        <v>0</v>
      </c>
      <c r="I1064" s="184">
        <f>IFERROR(__xludf.DUMMYFUNCTION("IFERROR(lookup(9999999999,FILTER('Operações-BR'!Q:Q,'Operações-BR'!$C:$C=A1064,'Operações-BR'!$A:$A&lt;=C1064))/G1064,0)"),0.0)</f>
        <v>0</v>
      </c>
      <c r="J1064" s="185" t="str">
        <f>IFERROR(VLOOKUP(A1064,Ativos!$A$1:$G2000,5,),"")</f>
        <v/>
      </c>
      <c r="K1064" s="185" t="str">
        <f>IFERROR(VLOOKUP(A1064,Ativos!A:H,8,),"")</f>
        <v/>
      </c>
      <c r="L1064" s="186">
        <f t="shared" si="3"/>
        <v>0</v>
      </c>
    </row>
    <row r="1065" ht="21.0" customHeight="1">
      <c r="A1065" s="187"/>
      <c r="B1065" s="187"/>
      <c r="C1065" s="188"/>
      <c r="D1065" s="135"/>
      <c r="E1065" s="189"/>
      <c r="F1065" s="182" t="str">
        <f t="shared" si="1"/>
        <v/>
      </c>
      <c r="G1065" s="183">
        <f>IFERROR(__xludf.DUMMYFUNCTION("IFERROR(lookup(9999999999,FILTER('Operações-BR'!$M:$M,'Operações-BR'!$C:$C=A1065,'Operações-BR'!$A:$A&lt;=C1065)),0)"),0.0)</f>
        <v>0</v>
      </c>
      <c r="H1065" s="184">
        <f t="shared" si="2"/>
        <v>0</v>
      </c>
      <c r="I1065" s="184">
        <f>IFERROR(__xludf.DUMMYFUNCTION("IFERROR(lookup(9999999999,FILTER('Operações-BR'!Q:Q,'Operações-BR'!$C:$C=A1065,'Operações-BR'!$A:$A&lt;=C1065))/G1065,0)"),0.0)</f>
        <v>0</v>
      </c>
      <c r="J1065" s="185" t="str">
        <f>IFERROR(VLOOKUP(A1065,Ativos!$A$1:$G2000,5,),"")</f>
        <v/>
      </c>
      <c r="K1065" s="185" t="str">
        <f>IFERROR(VLOOKUP(A1065,Ativos!A:H,8,),"")</f>
        <v/>
      </c>
      <c r="L1065" s="186">
        <f t="shared" si="3"/>
        <v>0</v>
      </c>
    </row>
    <row r="1066" ht="21.0" customHeight="1">
      <c r="A1066" s="187"/>
      <c r="B1066" s="187"/>
      <c r="C1066" s="188"/>
      <c r="D1066" s="135"/>
      <c r="E1066" s="189"/>
      <c r="F1066" s="182" t="str">
        <f t="shared" si="1"/>
        <v/>
      </c>
      <c r="G1066" s="183">
        <f>IFERROR(__xludf.DUMMYFUNCTION("IFERROR(lookup(9999999999,FILTER('Operações-BR'!$M:$M,'Operações-BR'!$C:$C=A1066,'Operações-BR'!$A:$A&lt;=C1066)),0)"),0.0)</f>
        <v>0</v>
      </c>
      <c r="H1066" s="184">
        <f t="shared" si="2"/>
        <v>0</v>
      </c>
      <c r="I1066" s="184">
        <f>IFERROR(__xludf.DUMMYFUNCTION("IFERROR(lookup(9999999999,FILTER('Operações-BR'!Q:Q,'Operações-BR'!$C:$C=A1066,'Operações-BR'!$A:$A&lt;=C1066))/G1066,0)"),0.0)</f>
        <v>0</v>
      </c>
      <c r="J1066" s="185" t="str">
        <f>IFERROR(VLOOKUP(A1066,Ativos!$A$1:$G2000,5,),"")</f>
        <v/>
      </c>
      <c r="K1066" s="185" t="str">
        <f>IFERROR(VLOOKUP(A1066,Ativos!A:H,8,),"")</f>
        <v/>
      </c>
      <c r="L1066" s="186">
        <f t="shared" si="3"/>
        <v>0</v>
      </c>
    </row>
    <row r="1067" ht="21.0" customHeight="1">
      <c r="A1067" s="187"/>
      <c r="B1067" s="187"/>
      <c r="C1067" s="188"/>
      <c r="D1067" s="135"/>
      <c r="E1067" s="189"/>
      <c r="F1067" s="182" t="str">
        <f t="shared" si="1"/>
        <v/>
      </c>
      <c r="G1067" s="183">
        <f>IFERROR(__xludf.DUMMYFUNCTION("IFERROR(lookup(9999999999,FILTER('Operações-BR'!$M:$M,'Operações-BR'!$C:$C=A1067,'Operações-BR'!$A:$A&lt;=C1067)),0)"),0.0)</f>
        <v>0</v>
      </c>
      <c r="H1067" s="184">
        <f t="shared" si="2"/>
        <v>0</v>
      </c>
      <c r="I1067" s="184">
        <f>IFERROR(__xludf.DUMMYFUNCTION("IFERROR(lookup(9999999999,FILTER('Operações-BR'!Q:Q,'Operações-BR'!$C:$C=A1067,'Operações-BR'!$A:$A&lt;=C1067))/G1067,0)"),0.0)</f>
        <v>0</v>
      </c>
      <c r="J1067" s="185" t="str">
        <f>IFERROR(VLOOKUP(A1067,Ativos!$A$1:$G2000,5,),"")</f>
        <v/>
      </c>
      <c r="K1067" s="185" t="str">
        <f>IFERROR(VLOOKUP(A1067,Ativos!A:H,8,),"")</f>
        <v/>
      </c>
      <c r="L1067" s="186">
        <f t="shared" si="3"/>
        <v>0</v>
      </c>
    </row>
    <row r="1068" ht="21.0" customHeight="1">
      <c r="A1068" s="187"/>
      <c r="B1068" s="187"/>
      <c r="C1068" s="188"/>
      <c r="D1068" s="135"/>
      <c r="E1068" s="189"/>
      <c r="F1068" s="182" t="str">
        <f t="shared" si="1"/>
        <v/>
      </c>
      <c r="G1068" s="183">
        <f>IFERROR(__xludf.DUMMYFUNCTION("IFERROR(lookup(9999999999,FILTER('Operações-BR'!$M:$M,'Operações-BR'!$C:$C=A1068,'Operações-BR'!$A:$A&lt;=C1068)),0)"),0.0)</f>
        <v>0</v>
      </c>
      <c r="H1068" s="184">
        <f t="shared" si="2"/>
        <v>0</v>
      </c>
      <c r="I1068" s="184">
        <f>IFERROR(__xludf.DUMMYFUNCTION("IFERROR(lookup(9999999999,FILTER('Operações-BR'!Q:Q,'Operações-BR'!$C:$C=A1068,'Operações-BR'!$A:$A&lt;=C1068))/G1068,0)"),0.0)</f>
        <v>0</v>
      </c>
      <c r="J1068" s="185" t="str">
        <f>IFERROR(VLOOKUP(A1068,Ativos!$A$1:$G2000,5,),"")</f>
        <v/>
      </c>
      <c r="K1068" s="185" t="str">
        <f>IFERROR(VLOOKUP(A1068,Ativos!A:H,8,),"")</f>
        <v/>
      </c>
      <c r="L1068" s="186">
        <f t="shared" si="3"/>
        <v>0</v>
      </c>
    </row>
    <row r="1069" ht="21.0" customHeight="1">
      <c r="A1069" s="187"/>
      <c r="B1069" s="187"/>
      <c r="C1069" s="188"/>
      <c r="D1069" s="135"/>
      <c r="E1069" s="189"/>
      <c r="F1069" s="182" t="str">
        <f t="shared" si="1"/>
        <v/>
      </c>
      <c r="G1069" s="183">
        <f>IFERROR(__xludf.DUMMYFUNCTION("IFERROR(lookup(9999999999,FILTER('Operações-BR'!$M:$M,'Operações-BR'!$C:$C=A1069,'Operações-BR'!$A:$A&lt;=C1069)),0)"),0.0)</f>
        <v>0</v>
      </c>
      <c r="H1069" s="184">
        <f t="shared" si="2"/>
        <v>0</v>
      </c>
      <c r="I1069" s="184">
        <f>IFERROR(__xludf.DUMMYFUNCTION("IFERROR(lookup(9999999999,FILTER('Operações-BR'!Q:Q,'Operações-BR'!$C:$C=A1069,'Operações-BR'!$A:$A&lt;=C1069))/G1069,0)"),0.0)</f>
        <v>0</v>
      </c>
      <c r="J1069" s="185" t="str">
        <f>IFERROR(VLOOKUP(A1069,Ativos!$A$1:$G2000,5,),"")</f>
        <v/>
      </c>
      <c r="K1069" s="185" t="str">
        <f>IFERROR(VLOOKUP(A1069,Ativos!A:H,8,),"")</f>
        <v/>
      </c>
      <c r="L1069" s="186">
        <f t="shared" si="3"/>
        <v>0</v>
      </c>
    </row>
    <row r="1070" ht="21.0" customHeight="1">
      <c r="A1070" s="187"/>
      <c r="B1070" s="187"/>
      <c r="C1070" s="188"/>
      <c r="D1070" s="135"/>
      <c r="E1070" s="189"/>
      <c r="F1070" s="182" t="str">
        <f t="shared" si="1"/>
        <v/>
      </c>
      <c r="G1070" s="183">
        <f>IFERROR(__xludf.DUMMYFUNCTION("IFERROR(lookup(9999999999,FILTER('Operações-BR'!$M:$M,'Operações-BR'!$C:$C=A1070,'Operações-BR'!$A:$A&lt;=C1070)),0)"),0.0)</f>
        <v>0</v>
      </c>
      <c r="H1070" s="184">
        <f t="shared" si="2"/>
        <v>0</v>
      </c>
      <c r="I1070" s="184">
        <f>IFERROR(__xludf.DUMMYFUNCTION("IFERROR(lookup(9999999999,FILTER('Operações-BR'!Q:Q,'Operações-BR'!$C:$C=A1070,'Operações-BR'!$A:$A&lt;=C1070))/G1070,0)"),0.0)</f>
        <v>0</v>
      </c>
      <c r="J1070" s="185" t="str">
        <f>IFERROR(VLOOKUP(A1070,Ativos!$A$1:$G2000,5,),"")</f>
        <v/>
      </c>
      <c r="K1070" s="185" t="str">
        <f>IFERROR(VLOOKUP(A1070,Ativos!A:H,8,),"")</f>
        <v/>
      </c>
      <c r="L1070" s="186">
        <f t="shared" si="3"/>
        <v>0</v>
      </c>
    </row>
    <row r="1071" ht="21.0" customHeight="1">
      <c r="A1071" s="187"/>
      <c r="B1071" s="187"/>
      <c r="C1071" s="188"/>
      <c r="D1071" s="135"/>
      <c r="E1071" s="189"/>
      <c r="F1071" s="182" t="str">
        <f t="shared" si="1"/>
        <v/>
      </c>
      <c r="G1071" s="183">
        <f>IFERROR(__xludf.DUMMYFUNCTION("IFERROR(lookup(9999999999,FILTER('Operações-BR'!$M:$M,'Operações-BR'!$C:$C=A1071,'Operações-BR'!$A:$A&lt;=C1071)),0)"),0.0)</f>
        <v>0</v>
      </c>
      <c r="H1071" s="184">
        <f t="shared" si="2"/>
        <v>0</v>
      </c>
      <c r="I1071" s="184">
        <f>IFERROR(__xludf.DUMMYFUNCTION("IFERROR(lookup(9999999999,FILTER('Operações-BR'!Q:Q,'Operações-BR'!$C:$C=A1071,'Operações-BR'!$A:$A&lt;=C1071))/G1071,0)"),0.0)</f>
        <v>0</v>
      </c>
      <c r="J1071" s="185" t="str">
        <f>IFERROR(VLOOKUP(A1071,Ativos!$A$1:$G2000,5,),"")</f>
        <v/>
      </c>
      <c r="K1071" s="185" t="str">
        <f>IFERROR(VLOOKUP(A1071,Ativos!A:H,8,),"")</f>
        <v/>
      </c>
      <c r="L1071" s="186">
        <f t="shared" si="3"/>
        <v>0</v>
      </c>
    </row>
    <row r="1072" ht="21.0" customHeight="1">
      <c r="A1072" s="187"/>
      <c r="B1072" s="187"/>
      <c r="C1072" s="188"/>
      <c r="D1072" s="135"/>
      <c r="E1072" s="189"/>
      <c r="F1072" s="182" t="str">
        <f t="shared" si="1"/>
        <v/>
      </c>
      <c r="G1072" s="183">
        <f>IFERROR(__xludf.DUMMYFUNCTION("IFERROR(lookup(9999999999,FILTER('Operações-BR'!$M:$M,'Operações-BR'!$C:$C=A1072,'Operações-BR'!$A:$A&lt;=C1072)),0)"),0.0)</f>
        <v>0</v>
      </c>
      <c r="H1072" s="184">
        <f t="shared" si="2"/>
        <v>0</v>
      </c>
      <c r="I1072" s="184">
        <f>IFERROR(__xludf.DUMMYFUNCTION("IFERROR(lookup(9999999999,FILTER('Operações-BR'!Q:Q,'Operações-BR'!$C:$C=A1072,'Operações-BR'!$A:$A&lt;=C1072))/G1072,0)"),0.0)</f>
        <v>0</v>
      </c>
      <c r="J1072" s="185" t="str">
        <f>IFERROR(VLOOKUP(A1072,Ativos!$A$1:$G2000,5,),"")</f>
        <v/>
      </c>
      <c r="K1072" s="185" t="str">
        <f>IFERROR(VLOOKUP(A1072,Ativos!A:H,8,),"")</f>
        <v/>
      </c>
      <c r="L1072" s="186">
        <f t="shared" si="3"/>
        <v>0</v>
      </c>
    </row>
    <row r="1073" ht="21.0" customHeight="1">
      <c r="A1073" s="187"/>
      <c r="B1073" s="187"/>
      <c r="C1073" s="188"/>
      <c r="D1073" s="135"/>
      <c r="E1073" s="189"/>
      <c r="F1073" s="182" t="str">
        <f t="shared" si="1"/>
        <v/>
      </c>
      <c r="G1073" s="183">
        <f>IFERROR(__xludf.DUMMYFUNCTION("IFERROR(lookup(9999999999,FILTER('Operações-BR'!$M:$M,'Operações-BR'!$C:$C=A1073,'Operações-BR'!$A:$A&lt;=C1073)),0)"),0.0)</f>
        <v>0</v>
      </c>
      <c r="H1073" s="184">
        <f t="shared" si="2"/>
        <v>0</v>
      </c>
      <c r="I1073" s="184">
        <f>IFERROR(__xludf.DUMMYFUNCTION("IFERROR(lookup(9999999999,FILTER('Operações-BR'!Q:Q,'Operações-BR'!$C:$C=A1073,'Operações-BR'!$A:$A&lt;=C1073))/G1073,0)"),0.0)</f>
        <v>0</v>
      </c>
      <c r="J1073" s="185" t="str">
        <f>IFERROR(VLOOKUP(A1073,Ativos!$A$1:$G2000,5,),"")</f>
        <v/>
      </c>
      <c r="K1073" s="185" t="str">
        <f>IFERROR(VLOOKUP(A1073,Ativos!A:H,8,),"")</f>
        <v/>
      </c>
      <c r="L1073" s="186">
        <f t="shared" si="3"/>
        <v>0</v>
      </c>
    </row>
    <row r="1074" ht="21.0" customHeight="1">
      <c r="A1074" s="187"/>
      <c r="B1074" s="187"/>
      <c r="C1074" s="188"/>
      <c r="D1074" s="135"/>
      <c r="E1074" s="189"/>
      <c r="F1074" s="182" t="str">
        <f t="shared" si="1"/>
        <v/>
      </c>
      <c r="G1074" s="183">
        <f>IFERROR(__xludf.DUMMYFUNCTION("IFERROR(lookup(9999999999,FILTER('Operações-BR'!$M:$M,'Operações-BR'!$C:$C=A1074,'Operações-BR'!$A:$A&lt;=C1074)),0)"),0.0)</f>
        <v>0</v>
      </c>
      <c r="H1074" s="184">
        <f t="shared" si="2"/>
        <v>0</v>
      </c>
      <c r="I1074" s="184">
        <f>IFERROR(__xludf.DUMMYFUNCTION("IFERROR(lookup(9999999999,FILTER('Operações-BR'!Q:Q,'Operações-BR'!$C:$C=A1074,'Operações-BR'!$A:$A&lt;=C1074))/G1074,0)"),0.0)</f>
        <v>0</v>
      </c>
      <c r="J1074" s="185" t="str">
        <f>IFERROR(VLOOKUP(A1074,Ativos!$A$1:$G2000,5,),"")</f>
        <v/>
      </c>
      <c r="K1074" s="185" t="str">
        <f>IFERROR(VLOOKUP(A1074,Ativos!A:H,8,),"")</f>
        <v/>
      </c>
      <c r="L1074" s="186">
        <f t="shared" si="3"/>
        <v>0</v>
      </c>
    </row>
    <row r="1075" ht="21.0" customHeight="1">
      <c r="A1075" s="187"/>
      <c r="B1075" s="187"/>
      <c r="C1075" s="188"/>
      <c r="D1075" s="135"/>
      <c r="E1075" s="189"/>
      <c r="F1075" s="182" t="str">
        <f t="shared" si="1"/>
        <v/>
      </c>
      <c r="G1075" s="183">
        <f>IFERROR(__xludf.DUMMYFUNCTION("IFERROR(lookup(9999999999,FILTER('Operações-BR'!$M:$M,'Operações-BR'!$C:$C=A1075,'Operações-BR'!$A:$A&lt;=C1075)),0)"),0.0)</f>
        <v>0</v>
      </c>
      <c r="H1075" s="184">
        <f t="shared" si="2"/>
        <v>0</v>
      </c>
      <c r="I1075" s="184">
        <f>IFERROR(__xludf.DUMMYFUNCTION("IFERROR(lookup(9999999999,FILTER('Operações-BR'!Q:Q,'Operações-BR'!$C:$C=A1075,'Operações-BR'!$A:$A&lt;=C1075))/G1075,0)"),0.0)</f>
        <v>0</v>
      </c>
      <c r="J1075" s="185" t="str">
        <f>IFERROR(VLOOKUP(A1075,Ativos!$A$1:$G2000,5,),"")</f>
        <v/>
      </c>
      <c r="K1075" s="185" t="str">
        <f>IFERROR(VLOOKUP(A1075,Ativos!A:H,8,),"")</f>
        <v/>
      </c>
      <c r="L1075" s="186">
        <f t="shared" si="3"/>
        <v>0</v>
      </c>
    </row>
    <row r="1076" ht="21.0" customHeight="1">
      <c r="A1076" s="187"/>
      <c r="B1076" s="187"/>
      <c r="C1076" s="188"/>
      <c r="D1076" s="135"/>
      <c r="E1076" s="189"/>
      <c r="F1076" s="182" t="str">
        <f t="shared" si="1"/>
        <v/>
      </c>
      <c r="G1076" s="183">
        <f>IFERROR(__xludf.DUMMYFUNCTION("IFERROR(lookup(9999999999,FILTER('Operações-BR'!$M:$M,'Operações-BR'!$C:$C=A1076,'Operações-BR'!$A:$A&lt;=C1076)),0)"),0.0)</f>
        <v>0</v>
      </c>
      <c r="H1076" s="184">
        <f t="shared" si="2"/>
        <v>0</v>
      </c>
      <c r="I1076" s="184">
        <f>IFERROR(__xludf.DUMMYFUNCTION("IFERROR(lookup(9999999999,FILTER('Operações-BR'!Q:Q,'Operações-BR'!$C:$C=A1076,'Operações-BR'!$A:$A&lt;=C1076))/G1076,0)"),0.0)</f>
        <v>0</v>
      </c>
      <c r="J1076" s="185" t="str">
        <f>IFERROR(VLOOKUP(A1076,Ativos!$A$1:$G2000,5,),"")</f>
        <v/>
      </c>
      <c r="K1076" s="185" t="str">
        <f>IFERROR(VLOOKUP(A1076,Ativos!A:H,8,),"")</f>
        <v/>
      </c>
      <c r="L1076" s="186">
        <f t="shared" si="3"/>
        <v>0</v>
      </c>
    </row>
    <row r="1077" ht="21.0" customHeight="1">
      <c r="A1077" s="187"/>
      <c r="B1077" s="187"/>
      <c r="C1077" s="188"/>
      <c r="D1077" s="135"/>
      <c r="E1077" s="189"/>
      <c r="F1077" s="182" t="str">
        <f t="shared" si="1"/>
        <v/>
      </c>
      <c r="G1077" s="183">
        <f>IFERROR(__xludf.DUMMYFUNCTION("IFERROR(lookup(9999999999,FILTER('Operações-BR'!$M:$M,'Operações-BR'!$C:$C=A1077,'Operações-BR'!$A:$A&lt;=C1077)),0)"),0.0)</f>
        <v>0</v>
      </c>
      <c r="H1077" s="184">
        <f t="shared" si="2"/>
        <v>0</v>
      </c>
      <c r="I1077" s="184">
        <f>IFERROR(__xludf.DUMMYFUNCTION("IFERROR(lookup(9999999999,FILTER('Operações-BR'!Q:Q,'Operações-BR'!$C:$C=A1077,'Operações-BR'!$A:$A&lt;=C1077))/G1077,0)"),0.0)</f>
        <v>0</v>
      </c>
      <c r="J1077" s="185" t="str">
        <f>IFERROR(VLOOKUP(A1077,Ativos!$A$1:$G2000,5,),"")</f>
        <v/>
      </c>
      <c r="K1077" s="185" t="str">
        <f>IFERROR(VLOOKUP(A1077,Ativos!A:H,8,),"")</f>
        <v/>
      </c>
      <c r="L1077" s="186">
        <f t="shared" si="3"/>
        <v>0</v>
      </c>
    </row>
    <row r="1078" ht="21.0" customHeight="1">
      <c r="A1078" s="187"/>
      <c r="B1078" s="187"/>
      <c r="C1078" s="188"/>
      <c r="D1078" s="135"/>
      <c r="E1078" s="189"/>
      <c r="F1078" s="182" t="str">
        <f t="shared" si="1"/>
        <v/>
      </c>
      <c r="G1078" s="183">
        <f>IFERROR(__xludf.DUMMYFUNCTION("IFERROR(lookup(9999999999,FILTER('Operações-BR'!$M:$M,'Operações-BR'!$C:$C=A1078,'Operações-BR'!$A:$A&lt;=C1078)),0)"),0.0)</f>
        <v>0</v>
      </c>
      <c r="H1078" s="184">
        <f t="shared" si="2"/>
        <v>0</v>
      </c>
      <c r="I1078" s="184">
        <f>IFERROR(__xludf.DUMMYFUNCTION("IFERROR(lookup(9999999999,FILTER('Operações-BR'!Q:Q,'Operações-BR'!$C:$C=A1078,'Operações-BR'!$A:$A&lt;=C1078))/G1078,0)"),0.0)</f>
        <v>0</v>
      </c>
      <c r="J1078" s="185" t="str">
        <f>IFERROR(VLOOKUP(A1078,Ativos!$A$1:$G2000,5,),"")</f>
        <v/>
      </c>
      <c r="K1078" s="185" t="str">
        <f>IFERROR(VLOOKUP(A1078,Ativos!A:H,8,),"")</f>
        <v/>
      </c>
      <c r="L1078" s="186">
        <f t="shared" si="3"/>
        <v>0</v>
      </c>
    </row>
    <row r="1079" ht="21.0" customHeight="1">
      <c r="A1079" s="187"/>
      <c r="B1079" s="187"/>
      <c r="C1079" s="188"/>
      <c r="D1079" s="135"/>
      <c r="E1079" s="189"/>
      <c r="F1079" s="182" t="str">
        <f t="shared" si="1"/>
        <v/>
      </c>
      <c r="G1079" s="183">
        <f>IFERROR(__xludf.DUMMYFUNCTION("IFERROR(lookup(9999999999,FILTER('Operações-BR'!$M:$M,'Operações-BR'!$C:$C=A1079,'Operações-BR'!$A:$A&lt;=C1079)),0)"),0.0)</f>
        <v>0</v>
      </c>
      <c r="H1079" s="184">
        <f t="shared" si="2"/>
        <v>0</v>
      </c>
      <c r="I1079" s="184">
        <f>IFERROR(__xludf.DUMMYFUNCTION("IFERROR(lookup(9999999999,FILTER('Operações-BR'!Q:Q,'Operações-BR'!$C:$C=A1079,'Operações-BR'!$A:$A&lt;=C1079))/G1079,0)"),0.0)</f>
        <v>0</v>
      </c>
      <c r="J1079" s="185" t="str">
        <f>IFERROR(VLOOKUP(A1079,Ativos!$A$1:$G2000,5,),"")</f>
        <v/>
      </c>
      <c r="K1079" s="185" t="str">
        <f>IFERROR(VLOOKUP(A1079,Ativos!A:H,8,),"")</f>
        <v/>
      </c>
      <c r="L1079" s="186">
        <f t="shared" si="3"/>
        <v>0</v>
      </c>
    </row>
    <row r="1080" ht="21.0" customHeight="1">
      <c r="A1080" s="187"/>
      <c r="B1080" s="187"/>
      <c r="C1080" s="188"/>
      <c r="D1080" s="135"/>
      <c r="E1080" s="189"/>
      <c r="F1080" s="182" t="str">
        <f t="shared" si="1"/>
        <v/>
      </c>
      <c r="G1080" s="183">
        <f>IFERROR(__xludf.DUMMYFUNCTION("IFERROR(lookup(9999999999,FILTER('Operações-BR'!$M:$M,'Operações-BR'!$C:$C=A1080,'Operações-BR'!$A:$A&lt;=C1080)),0)"),0.0)</f>
        <v>0</v>
      </c>
      <c r="H1080" s="184">
        <f t="shared" si="2"/>
        <v>0</v>
      </c>
      <c r="I1080" s="184">
        <f>IFERROR(__xludf.DUMMYFUNCTION("IFERROR(lookup(9999999999,FILTER('Operações-BR'!Q:Q,'Operações-BR'!$C:$C=A1080,'Operações-BR'!$A:$A&lt;=C1080))/G1080,0)"),0.0)</f>
        <v>0</v>
      </c>
      <c r="J1080" s="185" t="str">
        <f>IFERROR(VLOOKUP(A1080,Ativos!$A$1:$G2000,5,),"")</f>
        <v/>
      </c>
      <c r="K1080" s="185" t="str">
        <f>IFERROR(VLOOKUP(A1080,Ativos!A:H,8,),"")</f>
        <v/>
      </c>
      <c r="L1080" s="186">
        <f t="shared" si="3"/>
        <v>0</v>
      </c>
    </row>
    <row r="1081" ht="21.0" customHeight="1">
      <c r="A1081" s="187"/>
      <c r="B1081" s="187"/>
      <c r="C1081" s="188"/>
      <c r="D1081" s="135"/>
      <c r="E1081" s="189"/>
      <c r="F1081" s="182" t="str">
        <f t="shared" si="1"/>
        <v/>
      </c>
      <c r="G1081" s="183">
        <f>IFERROR(__xludf.DUMMYFUNCTION("IFERROR(lookup(9999999999,FILTER('Operações-BR'!$M:$M,'Operações-BR'!$C:$C=A1081,'Operações-BR'!$A:$A&lt;=C1081)),0)"),0.0)</f>
        <v>0</v>
      </c>
      <c r="H1081" s="184">
        <f t="shared" si="2"/>
        <v>0</v>
      </c>
      <c r="I1081" s="184">
        <f>IFERROR(__xludf.DUMMYFUNCTION("IFERROR(lookup(9999999999,FILTER('Operações-BR'!Q:Q,'Operações-BR'!$C:$C=A1081,'Operações-BR'!$A:$A&lt;=C1081))/G1081,0)"),0.0)</f>
        <v>0</v>
      </c>
      <c r="J1081" s="185" t="str">
        <f>IFERROR(VLOOKUP(A1081,Ativos!$A$1:$G2000,5,),"")</f>
        <v/>
      </c>
      <c r="K1081" s="185" t="str">
        <f>IFERROR(VLOOKUP(A1081,Ativos!A:H,8,),"")</f>
        <v/>
      </c>
      <c r="L1081" s="186">
        <f t="shared" si="3"/>
        <v>0</v>
      </c>
    </row>
    <row r="1082" ht="21.0" customHeight="1">
      <c r="A1082" s="187"/>
      <c r="B1082" s="187"/>
      <c r="C1082" s="188"/>
      <c r="D1082" s="135"/>
      <c r="E1082" s="189"/>
      <c r="F1082" s="182" t="str">
        <f t="shared" si="1"/>
        <v/>
      </c>
      <c r="G1082" s="183">
        <f>IFERROR(__xludf.DUMMYFUNCTION("IFERROR(lookup(9999999999,FILTER('Operações-BR'!$M:$M,'Operações-BR'!$C:$C=A1082,'Operações-BR'!$A:$A&lt;=C1082)),0)"),0.0)</f>
        <v>0</v>
      </c>
      <c r="H1082" s="184">
        <f t="shared" si="2"/>
        <v>0</v>
      </c>
      <c r="I1082" s="184">
        <f>IFERROR(__xludf.DUMMYFUNCTION("IFERROR(lookup(9999999999,FILTER('Operações-BR'!Q:Q,'Operações-BR'!$C:$C=A1082,'Operações-BR'!$A:$A&lt;=C1082))/G1082,0)"),0.0)</f>
        <v>0</v>
      </c>
      <c r="J1082" s="185" t="str">
        <f>IFERROR(VLOOKUP(A1082,Ativos!$A$1:$G2000,5,),"")</f>
        <v/>
      </c>
      <c r="K1082" s="185" t="str">
        <f>IFERROR(VLOOKUP(A1082,Ativos!A:H,8,),"")</f>
        <v/>
      </c>
      <c r="L1082" s="186">
        <f t="shared" si="3"/>
        <v>0</v>
      </c>
    </row>
    <row r="1083" ht="21.0" customHeight="1">
      <c r="A1083" s="187"/>
      <c r="B1083" s="187"/>
      <c r="C1083" s="188"/>
      <c r="D1083" s="135"/>
      <c r="E1083" s="189"/>
      <c r="F1083" s="182" t="str">
        <f t="shared" si="1"/>
        <v/>
      </c>
      <c r="G1083" s="183">
        <f>IFERROR(__xludf.DUMMYFUNCTION("IFERROR(lookup(9999999999,FILTER('Operações-BR'!$M:$M,'Operações-BR'!$C:$C=A1083,'Operações-BR'!$A:$A&lt;=C1083)),0)"),0.0)</f>
        <v>0</v>
      </c>
      <c r="H1083" s="184">
        <f t="shared" si="2"/>
        <v>0</v>
      </c>
      <c r="I1083" s="184">
        <f>IFERROR(__xludf.DUMMYFUNCTION("IFERROR(lookup(9999999999,FILTER('Operações-BR'!Q:Q,'Operações-BR'!$C:$C=A1083,'Operações-BR'!$A:$A&lt;=C1083))/G1083,0)"),0.0)</f>
        <v>0</v>
      </c>
      <c r="J1083" s="185" t="str">
        <f>IFERROR(VLOOKUP(A1083,Ativos!$A$1:$G2000,5,),"")</f>
        <v/>
      </c>
      <c r="K1083" s="185" t="str">
        <f>IFERROR(VLOOKUP(A1083,Ativos!A:H,8,),"")</f>
        <v/>
      </c>
      <c r="L1083" s="186">
        <f t="shared" si="3"/>
        <v>0</v>
      </c>
    </row>
    <row r="1084" ht="21.0" customHeight="1">
      <c r="A1084" s="187"/>
      <c r="B1084" s="187"/>
      <c r="C1084" s="188"/>
      <c r="D1084" s="135"/>
      <c r="E1084" s="189"/>
      <c r="F1084" s="182" t="str">
        <f t="shared" si="1"/>
        <v/>
      </c>
      <c r="G1084" s="183">
        <f>IFERROR(__xludf.DUMMYFUNCTION("IFERROR(lookup(9999999999,FILTER('Operações-BR'!$M:$M,'Operações-BR'!$C:$C=A1084,'Operações-BR'!$A:$A&lt;=C1084)),0)"),0.0)</f>
        <v>0</v>
      </c>
      <c r="H1084" s="184">
        <f t="shared" si="2"/>
        <v>0</v>
      </c>
      <c r="I1084" s="184">
        <f>IFERROR(__xludf.DUMMYFUNCTION("IFERROR(lookup(9999999999,FILTER('Operações-BR'!Q:Q,'Operações-BR'!$C:$C=A1084,'Operações-BR'!$A:$A&lt;=C1084))/G1084,0)"),0.0)</f>
        <v>0</v>
      </c>
      <c r="J1084" s="185" t="str">
        <f>IFERROR(VLOOKUP(A1084,Ativos!$A$1:$G2000,5,),"")</f>
        <v/>
      </c>
      <c r="K1084" s="185" t="str">
        <f>IFERROR(VLOOKUP(A1084,Ativos!A:H,8,),"")</f>
        <v/>
      </c>
      <c r="L1084" s="186">
        <f t="shared" si="3"/>
        <v>0</v>
      </c>
    </row>
    <row r="1085" ht="21.0" customHeight="1">
      <c r="A1085" s="187"/>
      <c r="B1085" s="187"/>
      <c r="C1085" s="188"/>
      <c r="D1085" s="135"/>
      <c r="E1085" s="189"/>
      <c r="F1085" s="182" t="str">
        <f t="shared" si="1"/>
        <v/>
      </c>
      <c r="G1085" s="183">
        <f>IFERROR(__xludf.DUMMYFUNCTION("IFERROR(lookup(9999999999,FILTER('Operações-BR'!$M:$M,'Operações-BR'!$C:$C=A1085,'Operações-BR'!$A:$A&lt;=C1085)),0)"),0.0)</f>
        <v>0</v>
      </c>
      <c r="H1085" s="184">
        <f t="shared" si="2"/>
        <v>0</v>
      </c>
      <c r="I1085" s="184">
        <f>IFERROR(__xludf.DUMMYFUNCTION("IFERROR(lookup(9999999999,FILTER('Operações-BR'!Q:Q,'Operações-BR'!$C:$C=A1085,'Operações-BR'!$A:$A&lt;=C1085))/G1085,0)"),0.0)</f>
        <v>0</v>
      </c>
      <c r="J1085" s="185" t="str">
        <f>IFERROR(VLOOKUP(A1085,Ativos!$A$1:$G2000,5,),"")</f>
        <v/>
      </c>
      <c r="K1085" s="185" t="str">
        <f>IFERROR(VLOOKUP(A1085,Ativos!A:H,8,),"")</f>
        <v/>
      </c>
      <c r="L1085" s="186">
        <f t="shared" si="3"/>
        <v>0</v>
      </c>
    </row>
    <row r="1086" ht="21.0" customHeight="1">
      <c r="A1086" s="187"/>
      <c r="B1086" s="187"/>
      <c r="C1086" s="188"/>
      <c r="D1086" s="135"/>
      <c r="E1086" s="189"/>
      <c r="F1086" s="182" t="str">
        <f t="shared" si="1"/>
        <v/>
      </c>
      <c r="G1086" s="183">
        <f>IFERROR(__xludf.DUMMYFUNCTION("IFERROR(lookup(9999999999,FILTER('Operações-BR'!$M:$M,'Operações-BR'!$C:$C=A1086,'Operações-BR'!$A:$A&lt;=C1086)),0)"),0.0)</f>
        <v>0</v>
      </c>
      <c r="H1086" s="184">
        <f t="shared" si="2"/>
        <v>0</v>
      </c>
      <c r="I1086" s="184">
        <f>IFERROR(__xludf.DUMMYFUNCTION("IFERROR(lookup(9999999999,FILTER('Operações-BR'!Q:Q,'Operações-BR'!$C:$C=A1086,'Operações-BR'!$A:$A&lt;=C1086))/G1086,0)"),0.0)</f>
        <v>0</v>
      </c>
      <c r="J1086" s="185" t="str">
        <f>IFERROR(VLOOKUP(A1086,Ativos!$A$1:$G2000,5,),"")</f>
        <v/>
      </c>
      <c r="K1086" s="185" t="str">
        <f>IFERROR(VLOOKUP(A1086,Ativos!A:H,8,),"")</f>
        <v/>
      </c>
      <c r="L1086" s="186">
        <f t="shared" si="3"/>
        <v>0</v>
      </c>
    </row>
    <row r="1087" ht="21.0" customHeight="1">
      <c r="A1087" s="187"/>
      <c r="B1087" s="187"/>
      <c r="C1087" s="188"/>
      <c r="D1087" s="135"/>
      <c r="E1087" s="189"/>
      <c r="F1087" s="182" t="str">
        <f t="shared" si="1"/>
        <v/>
      </c>
      <c r="G1087" s="183">
        <f>IFERROR(__xludf.DUMMYFUNCTION("IFERROR(lookup(9999999999,FILTER('Operações-BR'!$M:$M,'Operações-BR'!$C:$C=A1087,'Operações-BR'!$A:$A&lt;=C1087)),0)"),0.0)</f>
        <v>0</v>
      </c>
      <c r="H1087" s="184">
        <f t="shared" si="2"/>
        <v>0</v>
      </c>
      <c r="I1087" s="184">
        <f>IFERROR(__xludf.DUMMYFUNCTION("IFERROR(lookup(9999999999,FILTER('Operações-BR'!Q:Q,'Operações-BR'!$C:$C=A1087,'Operações-BR'!$A:$A&lt;=C1087))/G1087,0)"),0.0)</f>
        <v>0</v>
      </c>
      <c r="J1087" s="185" t="str">
        <f>IFERROR(VLOOKUP(A1087,Ativos!$A$1:$G2000,5,),"")</f>
        <v/>
      </c>
      <c r="K1087" s="185" t="str">
        <f>IFERROR(VLOOKUP(A1087,Ativos!A:H,8,),"")</f>
        <v/>
      </c>
      <c r="L1087" s="186">
        <f t="shared" si="3"/>
        <v>0</v>
      </c>
    </row>
    <row r="1088" ht="21.0" customHeight="1">
      <c r="A1088" s="187"/>
      <c r="B1088" s="187"/>
      <c r="C1088" s="188"/>
      <c r="D1088" s="135"/>
      <c r="E1088" s="189"/>
      <c r="F1088" s="182" t="str">
        <f t="shared" si="1"/>
        <v/>
      </c>
      <c r="G1088" s="183">
        <f>IFERROR(__xludf.DUMMYFUNCTION("IFERROR(lookup(9999999999,FILTER('Operações-BR'!$M:$M,'Operações-BR'!$C:$C=A1088,'Operações-BR'!$A:$A&lt;=C1088)),0)"),0.0)</f>
        <v>0</v>
      </c>
      <c r="H1088" s="184">
        <f t="shared" si="2"/>
        <v>0</v>
      </c>
      <c r="I1088" s="184">
        <f>IFERROR(__xludf.DUMMYFUNCTION("IFERROR(lookup(9999999999,FILTER('Operações-BR'!Q:Q,'Operações-BR'!$C:$C=A1088,'Operações-BR'!$A:$A&lt;=C1088))/G1088,0)"),0.0)</f>
        <v>0</v>
      </c>
      <c r="J1088" s="185" t="str">
        <f>IFERROR(VLOOKUP(A1088,Ativos!$A$1:$G2000,5,),"")</f>
        <v/>
      </c>
      <c r="K1088" s="185" t="str">
        <f>IFERROR(VLOOKUP(A1088,Ativos!A:H,8,),"")</f>
        <v/>
      </c>
      <c r="L1088" s="186">
        <f t="shared" si="3"/>
        <v>0</v>
      </c>
    </row>
    <row r="1089" ht="21.0" customHeight="1">
      <c r="A1089" s="187"/>
      <c r="B1089" s="187"/>
      <c r="C1089" s="188"/>
      <c r="D1089" s="135"/>
      <c r="E1089" s="189"/>
      <c r="F1089" s="182" t="str">
        <f t="shared" si="1"/>
        <v/>
      </c>
      <c r="G1089" s="183">
        <f>IFERROR(__xludf.DUMMYFUNCTION("IFERROR(lookup(9999999999,FILTER('Operações-BR'!$M:$M,'Operações-BR'!$C:$C=A1089,'Operações-BR'!$A:$A&lt;=C1089)),0)"),0.0)</f>
        <v>0</v>
      </c>
      <c r="H1089" s="184">
        <f t="shared" si="2"/>
        <v>0</v>
      </c>
      <c r="I1089" s="184">
        <f>IFERROR(__xludf.DUMMYFUNCTION("IFERROR(lookup(9999999999,FILTER('Operações-BR'!Q:Q,'Operações-BR'!$C:$C=A1089,'Operações-BR'!$A:$A&lt;=C1089))/G1089,0)"),0.0)</f>
        <v>0</v>
      </c>
      <c r="J1089" s="185" t="str">
        <f>IFERROR(VLOOKUP(A1089,Ativos!$A$1:$G2000,5,),"")</f>
        <v/>
      </c>
      <c r="K1089" s="185" t="str">
        <f>IFERROR(VLOOKUP(A1089,Ativos!A:H,8,),"")</f>
        <v/>
      </c>
      <c r="L1089" s="186">
        <f t="shared" si="3"/>
        <v>0</v>
      </c>
    </row>
    <row r="1090" ht="21.0" customHeight="1">
      <c r="A1090" s="187"/>
      <c r="B1090" s="187"/>
      <c r="C1090" s="188"/>
      <c r="D1090" s="135"/>
      <c r="E1090" s="189"/>
      <c r="F1090" s="182" t="str">
        <f t="shared" si="1"/>
        <v/>
      </c>
      <c r="G1090" s="183">
        <f>IFERROR(__xludf.DUMMYFUNCTION("IFERROR(lookup(9999999999,FILTER('Operações-BR'!$M:$M,'Operações-BR'!$C:$C=A1090,'Operações-BR'!$A:$A&lt;=C1090)),0)"),0.0)</f>
        <v>0</v>
      </c>
      <c r="H1090" s="184">
        <f t="shared" si="2"/>
        <v>0</v>
      </c>
      <c r="I1090" s="184">
        <f>IFERROR(__xludf.DUMMYFUNCTION("IFERROR(lookup(9999999999,FILTER('Operações-BR'!Q:Q,'Operações-BR'!$C:$C=A1090,'Operações-BR'!$A:$A&lt;=C1090))/G1090,0)"),0.0)</f>
        <v>0</v>
      </c>
      <c r="J1090" s="185" t="str">
        <f>IFERROR(VLOOKUP(A1090,Ativos!$A$1:$G2000,5,),"")</f>
        <v/>
      </c>
      <c r="K1090" s="185" t="str">
        <f>IFERROR(VLOOKUP(A1090,Ativos!A:H,8,),"")</f>
        <v/>
      </c>
      <c r="L1090" s="186">
        <f t="shared" si="3"/>
        <v>0</v>
      </c>
    </row>
    <row r="1091" ht="21.0" customHeight="1">
      <c r="A1091" s="187"/>
      <c r="B1091" s="187"/>
      <c r="C1091" s="188"/>
      <c r="D1091" s="135"/>
      <c r="E1091" s="189"/>
      <c r="F1091" s="182" t="str">
        <f t="shared" si="1"/>
        <v/>
      </c>
      <c r="G1091" s="183">
        <f>IFERROR(__xludf.DUMMYFUNCTION("IFERROR(lookup(9999999999,FILTER('Operações-BR'!$M:$M,'Operações-BR'!$C:$C=A1091,'Operações-BR'!$A:$A&lt;=C1091)),0)"),0.0)</f>
        <v>0</v>
      </c>
      <c r="H1091" s="184">
        <f t="shared" si="2"/>
        <v>0</v>
      </c>
      <c r="I1091" s="184">
        <f>IFERROR(__xludf.DUMMYFUNCTION("IFERROR(lookup(9999999999,FILTER('Operações-BR'!Q:Q,'Operações-BR'!$C:$C=A1091,'Operações-BR'!$A:$A&lt;=C1091))/G1091,0)"),0.0)</f>
        <v>0</v>
      </c>
      <c r="J1091" s="185" t="str">
        <f>IFERROR(VLOOKUP(A1091,Ativos!$A$1:$G2000,5,),"")</f>
        <v/>
      </c>
      <c r="K1091" s="185" t="str">
        <f>IFERROR(VLOOKUP(A1091,Ativos!A:H,8,),"")</f>
        <v/>
      </c>
      <c r="L1091" s="186">
        <f t="shared" si="3"/>
        <v>0</v>
      </c>
    </row>
    <row r="1092" ht="21.0" customHeight="1">
      <c r="A1092" s="187"/>
      <c r="B1092" s="187"/>
      <c r="C1092" s="188"/>
      <c r="D1092" s="135"/>
      <c r="E1092" s="189"/>
      <c r="F1092" s="182" t="str">
        <f t="shared" si="1"/>
        <v/>
      </c>
      <c r="G1092" s="183">
        <f>IFERROR(__xludf.DUMMYFUNCTION("IFERROR(lookup(9999999999,FILTER('Operações-BR'!$M:$M,'Operações-BR'!$C:$C=A1092,'Operações-BR'!$A:$A&lt;=C1092)),0)"),0.0)</f>
        <v>0</v>
      </c>
      <c r="H1092" s="184">
        <f t="shared" si="2"/>
        <v>0</v>
      </c>
      <c r="I1092" s="184">
        <f>IFERROR(__xludf.DUMMYFUNCTION("IFERROR(lookup(9999999999,FILTER('Operações-BR'!Q:Q,'Operações-BR'!$C:$C=A1092,'Operações-BR'!$A:$A&lt;=C1092))/G1092,0)"),0.0)</f>
        <v>0</v>
      </c>
      <c r="J1092" s="185" t="str">
        <f>IFERROR(VLOOKUP(A1092,Ativos!$A$1:$G2000,5,),"")</f>
        <v/>
      </c>
      <c r="K1092" s="185" t="str">
        <f>IFERROR(VLOOKUP(A1092,Ativos!A:H,8,),"")</f>
        <v/>
      </c>
      <c r="L1092" s="186">
        <f t="shared" si="3"/>
        <v>0</v>
      </c>
    </row>
    <row r="1093" ht="21.0" customHeight="1">
      <c r="A1093" s="187"/>
      <c r="B1093" s="187"/>
      <c r="C1093" s="188"/>
      <c r="D1093" s="135"/>
      <c r="E1093" s="189"/>
      <c r="F1093" s="182" t="str">
        <f t="shared" si="1"/>
        <v/>
      </c>
      <c r="G1093" s="183">
        <f>IFERROR(__xludf.DUMMYFUNCTION("IFERROR(lookup(9999999999,FILTER('Operações-BR'!$M:$M,'Operações-BR'!$C:$C=A1093,'Operações-BR'!$A:$A&lt;=C1093)),0)"),0.0)</f>
        <v>0</v>
      </c>
      <c r="H1093" s="184">
        <f t="shared" si="2"/>
        <v>0</v>
      </c>
      <c r="I1093" s="184">
        <f>IFERROR(__xludf.DUMMYFUNCTION("IFERROR(lookup(9999999999,FILTER('Operações-BR'!Q:Q,'Operações-BR'!$C:$C=A1093,'Operações-BR'!$A:$A&lt;=C1093))/G1093,0)"),0.0)</f>
        <v>0</v>
      </c>
      <c r="J1093" s="185" t="str">
        <f>IFERROR(VLOOKUP(A1093,Ativos!$A$1:$G2000,5,),"")</f>
        <v/>
      </c>
      <c r="K1093" s="185" t="str">
        <f>IFERROR(VLOOKUP(A1093,Ativos!A:H,8,),"")</f>
        <v/>
      </c>
      <c r="L1093" s="186">
        <f t="shared" si="3"/>
        <v>0</v>
      </c>
    </row>
    <row r="1094" ht="21.0" customHeight="1">
      <c r="A1094" s="187"/>
      <c r="B1094" s="187"/>
      <c r="C1094" s="188"/>
      <c r="D1094" s="135"/>
      <c r="E1094" s="189"/>
      <c r="F1094" s="182" t="str">
        <f t="shared" si="1"/>
        <v/>
      </c>
      <c r="G1094" s="183">
        <f>IFERROR(__xludf.DUMMYFUNCTION("IFERROR(lookup(9999999999,FILTER('Operações-BR'!$M:$M,'Operações-BR'!$C:$C=A1094,'Operações-BR'!$A:$A&lt;=C1094)),0)"),0.0)</f>
        <v>0</v>
      </c>
      <c r="H1094" s="184">
        <f t="shared" si="2"/>
        <v>0</v>
      </c>
      <c r="I1094" s="184">
        <f>IFERROR(__xludf.DUMMYFUNCTION("IFERROR(lookup(9999999999,FILTER('Operações-BR'!Q:Q,'Operações-BR'!$C:$C=A1094,'Operações-BR'!$A:$A&lt;=C1094))/G1094,0)"),0.0)</f>
        <v>0</v>
      </c>
      <c r="J1094" s="185" t="str">
        <f>IFERROR(VLOOKUP(A1094,Ativos!$A$1:$G2000,5,),"")</f>
        <v/>
      </c>
      <c r="K1094" s="185" t="str">
        <f>IFERROR(VLOOKUP(A1094,Ativos!A:H,8,),"")</f>
        <v/>
      </c>
      <c r="L1094" s="186">
        <f t="shared" si="3"/>
        <v>0</v>
      </c>
    </row>
    <row r="1095" ht="21.0" customHeight="1">
      <c r="A1095" s="187"/>
      <c r="B1095" s="187"/>
      <c r="C1095" s="188"/>
      <c r="D1095" s="135"/>
      <c r="E1095" s="189"/>
      <c r="F1095" s="182" t="str">
        <f t="shared" si="1"/>
        <v/>
      </c>
      <c r="G1095" s="183">
        <f>IFERROR(__xludf.DUMMYFUNCTION("IFERROR(lookup(9999999999,FILTER('Operações-BR'!$M:$M,'Operações-BR'!$C:$C=A1095,'Operações-BR'!$A:$A&lt;=C1095)),0)"),0.0)</f>
        <v>0</v>
      </c>
      <c r="H1095" s="184">
        <f t="shared" si="2"/>
        <v>0</v>
      </c>
      <c r="I1095" s="184">
        <f>IFERROR(__xludf.DUMMYFUNCTION("IFERROR(lookup(9999999999,FILTER('Operações-BR'!Q:Q,'Operações-BR'!$C:$C=A1095,'Operações-BR'!$A:$A&lt;=C1095))/G1095,0)"),0.0)</f>
        <v>0</v>
      </c>
      <c r="J1095" s="185" t="str">
        <f>IFERROR(VLOOKUP(A1095,Ativos!$A$1:$G2000,5,),"")</f>
        <v/>
      </c>
      <c r="K1095" s="185" t="str">
        <f>IFERROR(VLOOKUP(A1095,Ativos!A:H,8,),"")</f>
        <v/>
      </c>
      <c r="L1095" s="186">
        <f t="shared" si="3"/>
        <v>0</v>
      </c>
    </row>
    <row r="1096" ht="21.0" customHeight="1">
      <c r="A1096" s="187"/>
      <c r="B1096" s="187"/>
      <c r="C1096" s="188"/>
      <c r="D1096" s="135"/>
      <c r="E1096" s="189"/>
      <c r="F1096" s="182" t="str">
        <f t="shared" si="1"/>
        <v/>
      </c>
      <c r="G1096" s="183">
        <f>IFERROR(__xludf.DUMMYFUNCTION("IFERROR(lookup(9999999999,FILTER('Operações-BR'!$M:$M,'Operações-BR'!$C:$C=A1096,'Operações-BR'!$A:$A&lt;=C1096)),0)"),0.0)</f>
        <v>0</v>
      </c>
      <c r="H1096" s="184">
        <f t="shared" si="2"/>
        <v>0</v>
      </c>
      <c r="I1096" s="184">
        <f>IFERROR(__xludf.DUMMYFUNCTION("IFERROR(lookup(9999999999,FILTER('Operações-BR'!Q:Q,'Operações-BR'!$C:$C=A1096,'Operações-BR'!$A:$A&lt;=C1096))/G1096,0)"),0.0)</f>
        <v>0</v>
      </c>
      <c r="J1096" s="185" t="str">
        <f>IFERROR(VLOOKUP(A1096,Ativos!$A$1:$G2000,5,),"")</f>
        <v/>
      </c>
      <c r="K1096" s="185" t="str">
        <f>IFERROR(VLOOKUP(A1096,Ativos!A:H,8,),"")</f>
        <v/>
      </c>
      <c r="L1096" s="186">
        <f t="shared" si="3"/>
        <v>0</v>
      </c>
    </row>
    <row r="1097" ht="21.0" customHeight="1">
      <c r="A1097" s="187"/>
      <c r="B1097" s="187"/>
      <c r="C1097" s="188"/>
      <c r="D1097" s="135"/>
      <c r="E1097" s="189"/>
      <c r="F1097" s="182" t="str">
        <f t="shared" si="1"/>
        <v/>
      </c>
      <c r="G1097" s="183">
        <f>IFERROR(__xludf.DUMMYFUNCTION("IFERROR(lookup(9999999999,FILTER('Operações-BR'!$M:$M,'Operações-BR'!$C:$C=A1097,'Operações-BR'!$A:$A&lt;=C1097)),0)"),0.0)</f>
        <v>0</v>
      </c>
      <c r="H1097" s="184">
        <f t="shared" si="2"/>
        <v>0</v>
      </c>
      <c r="I1097" s="184">
        <f>IFERROR(__xludf.DUMMYFUNCTION("IFERROR(lookup(9999999999,FILTER('Operações-BR'!Q:Q,'Operações-BR'!$C:$C=A1097,'Operações-BR'!$A:$A&lt;=C1097))/G1097,0)"),0.0)</f>
        <v>0</v>
      </c>
      <c r="J1097" s="185" t="str">
        <f>IFERROR(VLOOKUP(A1097,Ativos!$A$1:$G2000,5,),"")</f>
        <v/>
      </c>
      <c r="K1097" s="185" t="str">
        <f>IFERROR(VLOOKUP(A1097,Ativos!A:H,8,),"")</f>
        <v/>
      </c>
      <c r="L1097" s="186">
        <f t="shared" si="3"/>
        <v>0</v>
      </c>
    </row>
    <row r="1098" ht="21.0" customHeight="1">
      <c r="A1098" s="187"/>
      <c r="B1098" s="187"/>
      <c r="C1098" s="188"/>
      <c r="D1098" s="135"/>
      <c r="E1098" s="189"/>
      <c r="F1098" s="182" t="str">
        <f t="shared" si="1"/>
        <v/>
      </c>
      <c r="G1098" s="183">
        <f>IFERROR(__xludf.DUMMYFUNCTION("IFERROR(lookup(9999999999,FILTER('Operações-BR'!$M:$M,'Operações-BR'!$C:$C=A1098,'Operações-BR'!$A:$A&lt;=C1098)),0)"),0.0)</f>
        <v>0</v>
      </c>
      <c r="H1098" s="184">
        <f t="shared" si="2"/>
        <v>0</v>
      </c>
      <c r="I1098" s="184">
        <f>IFERROR(__xludf.DUMMYFUNCTION("IFERROR(lookup(9999999999,FILTER('Operações-BR'!Q:Q,'Operações-BR'!$C:$C=A1098,'Operações-BR'!$A:$A&lt;=C1098))/G1098,0)"),0.0)</f>
        <v>0</v>
      </c>
      <c r="J1098" s="185" t="str">
        <f>IFERROR(VLOOKUP(A1098,Ativos!$A$1:$G2000,5,),"")</f>
        <v/>
      </c>
      <c r="K1098" s="185" t="str">
        <f>IFERROR(VLOOKUP(A1098,Ativos!A:H,8,),"")</f>
        <v/>
      </c>
      <c r="L1098" s="186">
        <f t="shared" si="3"/>
        <v>0</v>
      </c>
    </row>
    <row r="1099" ht="21.0" customHeight="1">
      <c r="A1099" s="187"/>
      <c r="B1099" s="187"/>
      <c r="C1099" s="188"/>
      <c r="D1099" s="135"/>
      <c r="E1099" s="189"/>
      <c r="F1099" s="182" t="str">
        <f t="shared" si="1"/>
        <v/>
      </c>
      <c r="G1099" s="183">
        <f>IFERROR(__xludf.DUMMYFUNCTION("IFERROR(lookup(9999999999,FILTER('Operações-BR'!$M:$M,'Operações-BR'!$C:$C=A1099,'Operações-BR'!$A:$A&lt;=C1099)),0)"),0.0)</f>
        <v>0</v>
      </c>
      <c r="H1099" s="184">
        <f t="shared" si="2"/>
        <v>0</v>
      </c>
      <c r="I1099" s="184">
        <f>IFERROR(__xludf.DUMMYFUNCTION("IFERROR(lookup(9999999999,FILTER('Operações-BR'!Q:Q,'Operações-BR'!$C:$C=A1099,'Operações-BR'!$A:$A&lt;=C1099))/G1099,0)"),0.0)</f>
        <v>0</v>
      </c>
      <c r="J1099" s="185" t="str">
        <f>IFERROR(VLOOKUP(A1099,Ativos!$A$1:$G2000,5,),"")</f>
        <v/>
      </c>
      <c r="K1099" s="185" t="str">
        <f>IFERROR(VLOOKUP(A1099,Ativos!A:H,8,),"")</f>
        <v/>
      </c>
      <c r="L1099" s="186">
        <f t="shared" si="3"/>
        <v>0</v>
      </c>
    </row>
    <row r="1100" ht="21.0" customHeight="1">
      <c r="A1100" s="187"/>
      <c r="B1100" s="187"/>
      <c r="C1100" s="188"/>
      <c r="D1100" s="135"/>
      <c r="E1100" s="189"/>
      <c r="F1100" s="182" t="str">
        <f t="shared" si="1"/>
        <v/>
      </c>
      <c r="G1100" s="183">
        <f>IFERROR(__xludf.DUMMYFUNCTION("IFERROR(lookup(9999999999,FILTER('Operações-BR'!$M:$M,'Operações-BR'!$C:$C=A1100,'Operações-BR'!$A:$A&lt;=C1100)),0)"),0.0)</f>
        <v>0</v>
      </c>
      <c r="H1100" s="184">
        <f t="shared" si="2"/>
        <v>0</v>
      </c>
      <c r="I1100" s="184">
        <f>IFERROR(__xludf.DUMMYFUNCTION("IFERROR(lookup(9999999999,FILTER('Operações-BR'!Q:Q,'Operações-BR'!$C:$C=A1100,'Operações-BR'!$A:$A&lt;=C1100))/G1100,0)"),0.0)</f>
        <v>0</v>
      </c>
      <c r="J1100" s="185" t="str">
        <f>IFERROR(VLOOKUP(A1100,Ativos!$A$1:$G2000,5,),"")</f>
        <v/>
      </c>
      <c r="K1100" s="185" t="str">
        <f>IFERROR(VLOOKUP(A1100,Ativos!A:H,8,),"")</f>
        <v/>
      </c>
      <c r="L1100" s="186">
        <f t="shared" si="3"/>
        <v>0</v>
      </c>
    </row>
    <row r="1101" ht="21.0" customHeight="1">
      <c r="A1101" s="187"/>
      <c r="B1101" s="187"/>
      <c r="C1101" s="188"/>
      <c r="D1101" s="135"/>
      <c r="E1101" s="189"/>
      <c r="F1101" s="182" t="str">
        <f t="shared" si="1"/>
        <v/>
      </c>
      <c r="G1101" s="183">
        <f>IFERROR(__xludf.DUMMYFUNCTION("IFERROR(lookup(9999999999,FILTER('Operações-BR'!$M:$M,'Operações-BR'!$C:$C=A1101,'Operações-BR'!$A:$A&lt;=C1101)),0)"),0.0)</f>
        <v>0</v>
      </c>
      <c r="H1101" s="184">
        <f t="shared" si="2"/>
        <v>0</v>
      </c>
      <c r="I1101" s="184">
        <f>IFERROR(__xludf.DUMMYFUNCTION("IFERROR(lookup(9999999999,FILTER('Operações-BR'!Q:Q,'Operações-BR'!$C:$C=A1101,'Operações-BR'!$A:$A&lt;=C1101))/G1101,0)"),0.0)</f>
        <v>0</v>
      </c>
      <c r="J1101" s="185" t="str">
        <f>IFERROR(VLOOKUP(A1101,Ativos!$A$1:$G2000,5,),"")</f>
        <v/>
      </c>
      <c r="K1101" s="185" t="str">
        <f>IFERROR(VLOOKUP(A1101,Ativos!A:H,8,),"")</f>
        <v/>
      </c>
      <c r="L1101" s="186">
        <f t="shared" si="3"/>
        <v>0</v>
      </c>
    </row>
    <row r="1102" ht="21.0" customHeight="1">
      <c r="A1102" s="187"/>
      <c r="B1102" s="187"/>
      <c r="C1102" s="188"/>
      <c r="D1102" s="135"/>
      <c r="E1102" s="189"/>
      <c r="F1102" s="182" t="str">
        <f t="shared" si="1"/>
        <v/>
      </c>
      <c r="G1102" s="183">
        <f>IFERROR(__xludf.DUMMYFUNCTION("IFERROR(lookup(9999999999,FILTER('Operações-BR'!$M:$M,'Operações-BR'!$C:$C=A1102,'Operações-BR'!$A:$A&lt;=C1102)),0)"),0.0)</f>
        <v>0</v>
      </c>
      <c r="H1102" s="184">
        <f t="shared" si="2"/>
        <v>0</v>
      </c>
      <c r="I1102" s="184">
        <f>IFERROR(__xludf.DUMMYFUNCTION("IFERROR(lookup(9999999999,FILTER('Operações-BR'!Q:Q,'Operações-BR'!$C:$C=A1102,'Operações-BR'!$A:$A&lt;=C1102))/G1102,0)"),0.0)</f>
        <v>0</v>
      </c>
      <c r="J1102" s="185" t="str">
        <f>IFERROR(VLOOKUP(A1102,Ativos!$A$1:$G2000,5,),"")</f>
        <v/>
      </c>
      <c r="K1102" s="185" t="str">
        <f>IFERROR(VLOOKUP(A1102,Ativos!A:H,8,),"")</f>
        <v/>
      </c>
      <c r="L1102" s="186">
        <f t="shared" si="3"/>
        <v>0</v>
      </c>
    </row>
    <row r="1103" ht="21.0" customHeight="1">
      <c r="A1103" s="187"/>
      <c r="B1103" s="187"/>
      <c r="C1103" s="188"/>
      <c r="D1103" s="135"/>
      <c r="E1103" s="189"/>
      <c r="F1103" s="182" t="str">
        <f t="shared" si="1"/>
        <v/>
      </c>
      <c r="G1103" s="183">
        <f>IFERROR(__xludf.DUMMYFUNCTION("IFERROR(lookup(9999999999,FILTER('Operações-BR'!$M:$M,'Operações-BR'!$C:$C=A1103,'Operações-BR'!$A:$A&lt;=C1103)),0)"),0.0)</f>
        <v>0</v>
      </c>
      <c r="H1103" s="184">
        <f t="shared" si="2"/>
        <v>0</v>
      </c>
      <c r="I1103" s="184">
        <f>IFERROR(__xludf.DUMMYFUNCTION("IFERROR(lookup(9999999999,FILTER('Operações-BR'!Q:Q,'Operações-BR'!$C:$C=A1103,'Operações-BR'!$A:$A&lt;=C1103))/G1103,0)"),0.0)</f>
        <v>0</v>
      </c>
      <c r="J1103" s="185" t="str">
        <f>IFERROR(VLOOKUP(A1103,Ativos!$A$1:$G2000,5,),"")</f>
        <v/>
      </c>
      <c r="K1103" s="185" t="str">
        <f>IFERROR(VLOOKUP(A1103,Ativos!A:H,8,),"")</f>
        <v/>
      </c>
      <c r="L1103" s="186">
        <f t="shared" si="3"/>
        <v>0</v>
      </c>
    </row>
    <row r="1104" ht="21.0" customHeight="1">
      <c r="A1104" s="187"/>
      <c r="B1104" s="187"/>
      <c r="C1104" s="188"/>
      <c r="D1104" s="135"/>
      <c r="E1104" s="189"/>
      <c r="F1104" s="182" t="str">
        <f t="shared" si="1"/>
        <v/>
      </c>
      <c r="G1104" s="183">
        <f>IFERROR(__xludf.DUMMYFUNCTION("IFERROR(lookup(9999999999,FILTER('Operações-BR'!$M:$M,'Operações-BR'!$C:$C=A1104,'Operações-BR'!$A:$A&lt;=C1104)),0)"),0.0)</f>
        <v>0</v>
      </c>
      <c r="H1104" s="184">
        <f t="shared" si="2"/>
        <v>0</v>
      </c>
      <c r="I1104" s="184">
        <f>IFERROR(__xludf.DUMMYFUNCTION("IFERROR(lookup(9999999999,FILTER('Operações-BR'!Q:Q,'Operações-BR'!$C:$C=A1104,'Operações-BR'!$A:$A&lt;=C1104))/G1104,0)"),0.0)</f>
        <v>0</v>
      </c>
      <c r="J1104" s="185" t="str">
        <f>IFERROR(VLOOKUP(A1104,Ativos!$A$1:$G2000,5,),"")</f>
        <v/>
      </c>
      <c r="K1104" s="185" t="str">
        <f>IFERROR(VLOOKUP(A1104,Ativos!A:H,8,),"")</f>
        <v/>
      </c>
      <c r="L1104" s="186">
        <f t="shared" si="3"/>
        <v>0</v>
      </c>
    </row>
    <row r="1105" ht="21.0" customHeight="1">
      <c r="A1105" s="187"/>
      <c r="B1105" s="187"/>
      <c r="C1105" s="188"/>
      <c r="D1105" s="135"/>
      <c r="E1105" s="189"/>
      <c r="F1105" s="182" t="str">
        <f t="shared" si="1"/>
        <v/>
      </c>
      <c r="G1105" s="183">
        <f>IFERROR(__xludf.DUMMYFUNCTION("IFERROR(lookup(9999999999,FILTER('Operações-BR'!$M:$M,'Operações-BR'!$C:$C=A1105,'Operações-BR'!$A:$A&lt;=C1105)),0)"),0.0)</f>
        <v>0</v>
      </c>
      <c r="H1105" s="184">
        <f t="shared" si="2"/>
        <v>0</v>
      </c>
      <c r="I1105" s="184">
        <f>IFERROR(__xludf.DUMMYFUNCTION("IFERROR(lookup(9999999999,FILTER('Operações-BR'!Q:Q,'Operações-BR'!$C:$C=A1105,'Operações-BR'!$A:$A&lt;=C1105))/G1105,0)"),0.0)</f>
        <v>0</v>
      </c>
      <c r="J1105" s="185" t="str">
        <f>IFERROR(VLOOKUP(A1105,Ativos!$A$1:$G2000,5,),"")</f>
        <v/>
      </c>
      <c r="K1105" s="185" t="str">
        <f>IFERROR(VLOOKUP(A1105,Ativos!A:H,8,),"")</f>
        <v/>
      </c>
      <c r="L1105" s="186">
        <f t="shared" si="3"/>
        <v>0</v>
      </c>
    </row>
    <row r="1106" ht="21.0" customHeight="1">
      <c r="A1106" s="187"/>
      <c r="B1106" s="187"/>
      <c r="C1106" s="188"/>
      <c r="D1106" s="135"/>
      <c r="E1106" s="189"/>
      <c r="F1106" s="182" t="str">
        <f t="shared" si="1"/>
        <v/>
      </c>
      <c r="G1106" s="183">
        <f>IFERROR(__xludf.DUMMYFUNCTION("IFERROR(lookup(9999999999,FILTER('Operações-BR'!$M:$M,'Operações-BR'!$C:$C=A1106,'Operações-BR'!$A:$A&lt;=C1106)),0)"),0.0)</f>
        <v>0</v>
      </c>
      <c r="H1106" s="184">
        <f t="shared" si="2"/>
        <v>0</v>
      </c>
      <c r="I1106" s="184">
        <f>IFERROR(__xludf.DUMMYFUNCTION("IFERROR(lookup(9999999999,FILTER('Operações-BR'!Q:Q,'Operações-BR'!$C:$C=A1106,'Operações-BR'!$A:$A&lt;=C1106))/G1106,0)"),0.0)</f>
        <v>0</v>
      </c>
      <c r="J1106" s="185" t="str">
        <f>IFERROR(VLOOKUP(A1106,Ativos!$A$1:$G2000,5,),"")</f>
        <v/>
      </c>
      <c r="K1106" s="185" t="str">
        <f>IFERROR(VLOOKUP(A1106,Ativos!A:H,8,),"")</f>
        <v/>
      </c>
      <c r="L1106" s="186">
        <f t="shared" si="3"/>
        <v>0</v>
      </c>
    </row>
    <row r="1107" ht="21.0" customHeight="1">
      <c r="A1107" s="187"/>
      <c r="B1107" s="187"/>
      <c r="C1107" s="188"/>
      <c r="D1107" s="135"/>
      <c r="E1107" s="189"/>
      <c r="F1107" s="182" t="str">
        <f t="shared" si="1"/>
        <v/>
      </c>
      <c r="G1107" s="183">
        <f>IFERROR(__xludf.DUMMYFUNCTION("IFERROR(lookup(9999999999,FILTER('Operações-BR'!$M:$M,'Operações-BR'!$C:$C=A1107,'Operações-BR'!$A:$A&lt;=C1107)),0)"),0.0)</f>
        <v>0</v>
      </c>
      <c r="H1107" s="184">
        <f t="shared" si="2"/>
        <v>0</v>
      </c>
      <c r="I1107" s="184">
        <f>IFERROR(__xludf.DUMMYFUNCTION("IFERROR(lookup(9999999999,FILTER('Operações-BR'!Q:Q,'Operações-BR'!$C:$C=A1107,'Operações-BR'!$A:$A&lt;=C1107))/G1107,0)"),0.0)</f>
        <v>0</v>
      </c>
      <c r="J1107" s="185" t="str">
        <f>IFERROR(VLOOKUP(A1107,Ativos!$A$1:$G2000,5,),"")</f>
        <v/>
      </c>
      <c r="K1107" s="185" t="str">
        <f>IFERROR(VLOOKUP(A1107,Ativos!A:H,8,),"")</f>
        <v/>
      </c>
      <c r="L1107" s="186">
        <f t="shared" si="3"/>
        <v>0</v>
      </c>
    </row>
    <row r="1108" ht="21.0" customHeight="1">
      <c r="A1108" s="187"/>
      <c r="B1108" s="187"/>
      <c r="C1108" s="188"/>
      <c r="D1108" s="135"/>
      <c r="E1108" s="189"/>
      <c r="F1108" s="182" t="str">
        <f t="shared" si="1"/>
        <v/>
      </c>
      <c r="G1108" s="183">
        <f>IFERROR(__xludf.DUMMYFUNCTION("IFERROR(lookup(9999999999,FILTER('Operações-BR'!$M:$M,'Operações-BR'!$C:$C=A1108,'Operações-BR'!$A:$A&lt;=C1108)),0)"),0.0)</f>
        <v>0</v>
      </c>
      <c r="H1108" s="184">
        <f t="shared" si="2"/>
        <v>0</v>
      </c>
      <c r="I1108" s="184">
        <f>IFERROR(__xludf.DUMMYFUNCTION("IFERROR(lookup(9999999999,FILTER('Operações-BR'!Q:Q,'Operações-BR'!$C:$C=A1108,'Operações-BR'!$A:$A&lt;=C1108))/G1108,0)"),0.0)</f>
        <v>0</v>
      </c>
      <c r="J1108" s="185" t="str">
        <f>IFERROR(VLOOKUP(A1108,Ativos!$A$1:$G2000,5,),"")</f>
        <v/>
      </c>
      <c r="K1108" s="185" t="str">
        <f>IFERROR(VLOOKUP(A1108,Ativos!A:H,8,),"")</f>
        <v/>
      </c>
      <c r="L1108" s="186">
        <f t="shared" si="3"/>
        <v>0</v>
      </c>
    </row>
    <row r="1109" ht="21.0" customHeight="1">
      <c r="A1109" s="187"/>
      <c r="B1109" s="187"/>
      <c r="C1109" s="188"/>
      <c r="D1109" s="135"/>
      <c r="E1109" s="189"/>
      <c r="F1109" s="182" t="str">
        <f t="shared" si="1"/>
        <v/>
      </c>
      <c r="G1109" s="183">
        <f>IFERROR(__xludf.DUMMYFUNCTION("IFERROR(lookup(9999999999,FILTER('Operações-BR'!$M:$M,'Operações-BR'!$C:$C=A1109,'Operações-BR'!$A:$A&lt;=C1109)),0)"),0.0)</f>
        <v>0</v>
      </c>
      <c r="H1109" s="184">
        <f t="shared" si="2"/>
        <v>0</v>
      </c>
      <c r="I1109" s="184">
        <f>IFERROR(__xludf.DUMMYFUNCTION("IFERROR(lookup(9999999999,FILTER('Operações-BR'!Q:Q,'Operações-BR'!$C:$C=A1109,'Operações-BR'!$A:$A&lt;=C1109))/G1109,0)"),0.0)</f>
        <v>0</v>
      </c>
      <c r="J1109" s="185" t="str">
        <f>IFERROR(VLOOKUP(A1109,Ativos!$A$1:$G2000,5,),"")</f>
        <v/>
      </c>
      <c r="K1109" s="185" t="str">
        <f>IFERROR(VLOOKUP(A1109,Ativos!A:H,8,),"")</f>
        <v/>
      </c>
      <c r="L1109" s="186">
        <f t="shared" si="3"/>
        <v>0</v>
      </c>
    </row>
    <row r="1110" ht="21.0" customHeight="1">
      <c r="A1110" s="187"/>
      <c r="B1110" s="187"/>
      <c r="C1110" s="188"/>
      <c r="D1110" s="135"/>
      <c r="E1110" s="189"/>
      <c r="F1110" s="182" t="str">
        <f t="shared" si="1"/>
        <v/>
      </c>
      <c r="G1110" s="183">
        <f>IFERROR(__xludf.DUMMYFUNCTION("IFERROR(lookup(9999999999,FILTER('Operações-BR'!$M:$M,'Operações-BR'!$C:$C=A1110,'Operações-BR'!$A:$A&lt;=C1110)),0)"),0.0)</f>
        <v>0</v>
      </c>
      <c r="H1110" s="184">
        <f t="shared" si="2"/>
        <v>0</v>
      </c>
      <c r="I1110" s="184">
        <f>IFERROR(__xludf.DUMMYFUNCTION("IFERROR(lookup(9999999999,FILTER('Operações-BR'!Q:Q,'Operações-BR'!$C:$C=A1110,'Operações-BR'!$A:$A&lt;=C1110))/G1110,0)"),0.0)</f>
        <v>0</v>
      </c>
      <c r="J1110" s="185" t="str">
        <f>IFERROR(VLOOKUP(A1110,Ativos!$A$1:$G2000,5,),"")</f>
        <v/>
      </c>
      <c r="K1110" s="185" t="str">
        <f>IFERROR(VLOOKUP(A1110,Ativos!A:H,8,),"")</f>
        <v/>
      </c>
      <c r="L1110" s="186">
        <f t="shared" si="3"/>
        <v>0</v>
      </c>
    </row>
    <row r="1111" ht="21.0" customHeight="1">
      <c r="A1111" s="187"/>
      <c r="B1111" s="187"/>
      <c r="C1111" s="188"/>
      <c r="D1111" s="135"/>
      <c r="E1111" s="189"/>
      <c r="F1111" s="182" t="str">
        <f t="shared" si="1"/>
        <v/>
      </c>
      <c r="G1111" s="183">
        <f>IFERROR(__xludf.DUMMYFUNCTION("IFERROR(lookup(9999999999,FILTER('Operações-BR'!$M:$M,'Operações-BR'!$C:$C=A1111,'Operações-BR'!$A:$A&lt;=C1111)),0)"),0.0)</f>
        <v>0</v>
      </c>
      <c r="H1111" s="184">
        <f t="shared" si="2"/>
        <v>0</v>
      </c>
      <c r="I1111" s="184">
        <f>IFERROR(__xludf.DUMMYFUNCTION("IFERROR(lookup(9999999999,FILTER('Operações-BR'!Q:Q,'Operações-BR'!$C:$C=A1111,'Operações-BR'!$A:$A&lt;=C1111))/G1111,0)"),0.0)</f>
        <v>0</v>
      </c>
      <c r="J1111" s="185" t="str">
        <f>IFERROR(VLOOKUP(A1111,Ativos!$A$1:$G2000,5,),"")</f>
        <v/>
      </c>
      <c r="K1111" s="185" t="str">
        <f>IFERROR(VLOOKUP(A1111,Ativos!A:H,8,),"")</f>
        <v/>
      </c>
      <c r="L1111" s="186">
        <f t="shared" si="3"/>
        <v>0</v>
      </c>
    </row>
    <row r="1112" ht="21.0" customHeight="1">
      <c r="A1112" s="187"/>
      <c r="B1112" s="187"/>
      <c r="C1112" s="188"/>
      <c r="D1112" s="135"/>
      <c r="E1112" s="189"/>
      <c r="F1112" s="182" t="str">
        <f t="shared" si="1"/>
        <v/>
      </c>
      <c r="G1112" s="183">
        <f>IFERROR(__xludf.DUMMYFUNCTION("IFERROR(lookup(9999999999,FILTER('Operações-BR'!$M:$M,'Operações-BR'!$C:$C=A1112,'Operações-BR'!$A:$A&lt;=C1112)),0)"),0.0)</f>
        <v>0</v>
      </c>
      <c r="H1112" s="184">
        <f t="shared" si="2"/>
        <v>0</v>
      </c>
      <c r="I1112" s="184">
        <f>IFERROR(__xludf.DUMMYFUNCTION("IFERROR(lookup(9999999999,FILTER('Operações-BR'!Q:Q,'Operações-BR'!$C:$C=A1112,'Operações-BR'!$A:$A&lt;=C1112))/G1112,0)"),0.0)</f>
        <v>0</v>
      </c>
      <c r="J1112" s="185" t="str">
        <f>IFERROR(VLOOKUP(A1112,Ativos!$A$1:$G2000,5,),"")</f>
        <v/>
      </c>
      <c r="K1112" s="185" t="str">
        <f>IFERROR(VLOOKUP(A1112,Ativos!A:H,8,),"")</f>
        <v/>
      </c>
      <c r="L1112" s="186">
        <f t="shared" si="3"/>
        <v>0</v>
      </c>
    </row>
    <row r="1113" ht="21.0" customHeight="1">
      <c r="A1113" s="187"/>
      <c r="B1113" s="187"/>
      <c r="C1113" s="188"/>
      <c r="D1113" s="135"/>
      <c r="E1113" s="189"/>
      <c r="F1113" s="182" t="str">
        <f t="shared" si="1"/>
        <v/>
      </c>
      <c r="G1113" s="183">
        <f>IFERROR(__xludf.DUMMYFUNCTION("IFERROR(lookup(9999999999,FILTER('Operações-BR'!$M:$M,'Operações-BR'!$C:$C=A1113,'Operações-BR'!$A:$A&lt;=C1113)),0)"),0.0)</f>
        <v>0</v>
      </c>
      <c r="H1113" s="184">
        <f t="shared" si="2"/>
        <v>0</v>
      </c>
      <c r="I1113" s="184">
        <f>IFERROR(__xludf.DUMMYFUNCTION("IFERROR(lookup(9999999999,FILTER('Operações-BR'!Q:Q,'Operações-BR'!$C:$C=A1113,'Operações-BR'!$A:$A&lt;=C1113))/G1113,0)"),0.0)</f>
        <v>0</v>
      </c>
      <c r="J1113" s="185" t="str">
        <f>IFERROR(VLOOKUP(A1113,Ativos!$A$1:$G2000,5,),"")</f>
        <v/>
      </c>
      <c r="K1113" s="185" t="str">
        <f>IFERROR(VLOOKUP(A1113,Ativos!A:H,8,),"")</f>
        <v/>
      </c>
      <c r="L1113" s="186">
        <f t="shared" si="3"/>
        <v>0</v>
      </c>
    </row>
    <row r="1114" ht="21.0" customHeight="1">
      <c r="A1114" s="187"/>
      <c r="B1114" s="187"/>
      <c r="C1114" s="188"/>
      <c r="D1114" s="135"/>
      <c r="E1114" s="189"/>
      <c r="F1114" s="182" t="str">
        <f t="shared" si="1"/>
        <v/>
      </c>
      <c r="G1114" s="183">
        <f>IFERROR(__xludf.DUMMYFUNCTION("IFERROR(lookup(9999999999,FILTER('Operações-BR'!$M:$M,'Operações-BR'!$C:$C=A1114,'Operações-BR'!$A:$A&lt;=C1114)),0)"),0.0)</f>
        <v>0</v>
      </c>
      <c r="H1114" s="184">
        <f t="shared" si="2"/>
        <v>0</v>
      </c>
      <c r="I1114" s="184">
        <f>IFERROR(__xludf.DUMMYFUNCTION("IFERROR(lookup(9999999999,FILTER('Operações-BR'!Q:Q,'Operações-BR'!$C:$C=A1114,'Operações-BR'!$A:$A&lt;=C1114))/G1114,0)"),0.0)</f>
        <v>0</v>
      </c>
      <c r="J1114" s="185" t="str">
        <f>IFERROR(VLOOKUP(A1114,Ativos!$A$1:$G2000,5,),"")</f>
        <v/>
      </c>
      <c r="K1114" s="185" t="str">
        <f>IFERROR(VLOOKUP(A1114,Ativos!A:H,8,),"")</f>
        <v/>
      </c>
      <c r="L1114" s="186">
        <f t="shared" si="3"/>
        <v>0</v>
      </c>
    </row>
    <row r="1115" ht="21.0" customHeight="1">
      <c r="A1115" s="187"/>
      <c r="B1115" s="187"/>
      <c r="C1115" s="188"/>
      <c r="D1115" s="135"/>
      <c r="E1115" s="189"/>
      <c r="F1115" s="182" t="str">
        <f t="shared" si="1"/>
        <v/>
      </c>
      <c r="G1115" s="183">
        <f>IFERROR(__xludf.DUMMYFUNCTION("IFERROR(lookup(9999999999,FILTER('Operações-BR'!$M:$M,'Operações-BR'!$C:$C=A1115,'Operações-BR'!$A:$A&lt;=C1115)),0)"),0.0)</f>
        <v>0</v>
      </c>
      <c r="H1115" s="184">
        <f t="shared" si="2"/>
        <v>0</v>
      </c>
      <c r="I1115" s="184">
        <f>IFERROR(__xludf.DUMMYFUNCTION("IFERROR(lookup(9999999999,FILTER('Operações-BR'!Q:Q,'Operações-BR'!$C:$C=A1115,'Operações-BR'!$A:$A&lt;=C1115))/G1115,0)"),0.0)</f>
        <v>0</v>
      </c>
      <c r="J1115" s="185" t="str">
        <f>IFERROR(VLOOKUP(A1115,Ativos!$A$1:$G2000,5,),"")</f>
        <v/>
      </c>
      <c r="K1115" s="185" t="str">
        <f>IFERROR(VLOOKUP(A1115,Ativos!A:H,8,),"")</f>
        <v/>
      </c>
      <c r="L1115" s="186">
        <f t="shared" si="3"/>
        <v>0</v>
      </c>
    </row>
    <row r="1116" ht="21.0" customHeight="1">
      <c r="A1116" s="187"/>
      <c r="B1116" s="187"/>
      <c r="C1116" s="188"/>
      <c r="D1116" s="135"/>
      <c r="E1116" s="189"/>
      <c r="F1116" s="182" t="str">
        <f t="shared" si="1"/>
        <v/>
      </c>
      <c r="G1116" s="183">
        <f>IFERROR(__xludf.DUMMYFUNCTION("IFERROR(lookup(9999999999,FILTER('Operações-BR'!$M:$M,'Operações-BR'!$C:$C=A1116,'Operações-BR'!$A:$A&lt;=C1116)),0)"),0.0)</f>
        <v>0</v>
      </c>
      <c r="H1116" s="184">
        <f t="shared" si="2"/>
        <v>0</v>
      </c>
      <c r="I1116" s="184">
        <f>IFERROR(__xludf.DUMMYFUNCTION("IFERROR(lookup(9999999999,FILTER('Operações-BR'!Q:Q,'Operações-BR'!$C:$C=A1116,'Operações-BR'!$A:$A&lt;=C1116))/G1116,0)"),0.0)</f>
        <v>0</v>
      </c>
      <c r="J1116" s="185" t="str">
        <f>IFERROR(VLOOKUP(A1116,Ativos!$A$1:$G2000,5,),"")</f>
        <v/>
      </c>
      <c r="K1116" s="185" t="str">
        <f>IFERROR(VLOOKUP(A1116,Ativos!A:H,8,),"")</f>
        <v/>
      </c>
      <c r="L1116" s="186">
        <f t="shared" si="3"/>
        <v>0</v>
      </c>
    </row>
    <row r="1117" ht="21.0" customHeight="1">
      <c r="A1117" s="187"/>
      <c r="B1117" s="187"/>
      <c r="C1117" s="188"/>
      <c r="D1117" s="135"/>
      <c r="E1117" s="189"/>
      <c r="F1117" s="182" t="str">
        <f t="shared" si="1"/>
        <v/>
      </c>
      <c r="G1117" s="183">
        <f>IFERROR(__xludf.DUMMYFUNCTION("IFERROR(lookup(9999999999,FILTER('Operações-BR'!$M:$M,'Operações-BR'!$C:$C=A1117,'Operações-BR'!$A:$A&lt;=C1117)),0)"),0.0)</f>
        <v>0</v>
      </c>
      <c r="H1117" s="184">
        <f t="shared" si="2"/>
        <v>0</v>
      </c>
      <c r="I1117" s="184">
        <f>IFERROR(__xludf.DUMMYFUNCTION("IFERROR(lookup(9999999999,FILTER('Operações-BR'!Q:Q,'Operações-BR'!$C:$C=A1117,'Operações-BR'!$A:$A&lt;=C1117))/G1117,0)"),0.0)</f>
        <v>0</v>
      </c>
      <c r="J1117" s="185" t="str">
        <f>IFERROR(VLOOKUP(A1117,Ativos!$A$1:$G2000,5,),"")</f>
        <v/>
      </c>
      <c r="K1117" s="185" t="str">
        <f>IFERROR(VLOOKUP(A1117,Ativos!A:H,8,),"")</f>
        <v/>
      </c>
      <c r="L1117" s="186">
        <f t="shared" si="3"/>
        <v>0</v>
      </c>
    </row>
    <row r="1118" ht="21.0" customHeight="1">
      <c r="A1118" s="187"/>
      <c r="B1118" s="187"/>
      <c r="C1118" s="188"/>
      <c r="D1118" s="135"/>
      <c r="E1118" s="189"/>
      <c r="F1118" s="182" t="str">
        <f t="shared" si="1"/>
        <v/>
      </c>
      <c r="G1118" s="183">
        <f>IFERROR(__xludf.DUMMYFUNCTION("IFERROR(lookup(9999999999,FILTER('Operações-BR'!$M:$M,'Operações-BR'!$C:$C=A1118,'Operações-BR'!$A:$A&lt;=C1118)),0)"),0.0)</f>
        <v>0</v>
      </c>
      <c r="H1118" s="184">
        <f t="shared" si="2"/>
        <v>0</v>
      </c>
      <c r="I1118" s="184">
        <f>IFERROR(__xludf.DUMMYFUNCTION("IFERROR(lookup(9999999999,FILTER('Operações-BR'!Q:Q,'Operações-BR'!$C:$C=A1118,'Operações-BR'!$A:$A&lt;=C1118))/G1118,0)"),0.0)</f>
        <v>0</v>
      </c>
      <c r="J1118" s="185" t="str">
        <f>IFERROR(VLOOKUP(A1118,Ativos!$A$1:$G2000,5,),"")</f>
        <v/>
      </c>
      <c r="K1118" s="185" t="str">
        <f>IFERROR(VLOOKUP(A1118,Ativos!A:H,8,),"")</f>
        <v/>
      </c>
      <c r="L1118" s="186">
        <f t="shared" si="3"/>
        <v>0</v>
      </c>
    </row>
    <row r="1119" ht="21.0" customHeight="1">
      <c r="A1119" s="187"/>
      <c r="B1119" s="187"/>
      <c r="C1119" s="188"/>
      <c r="D1119" s="135"/>
      <c r="E1119" s="189"/>
      <c r="F1119" s="182" t="str">
        <f t="shared" si="1"/>
        <v/>
      </c>
      <c r="G1119" s="183">
        <f>IFERROR(__xludf.DUMMYFUNCTION("IFERROR(lookup(9999999999,FILTER('Operações-BR'!$M:$M,'Operações-BR'!$C:$C=A1119,'Operações-BR'!$A:$A&lt;=C1119)),0)"),0.0)</f>
        <v>0</v>
      </c>
      <c r="H1119" s="184">
        <f t="shared" si="2"/>
        <v>0</v>
      </c>
      <c r="I1119" s="184">
        <f>IFERROR(__xludf.DUMMYFUNCTION("IFERROR(lookup(9999999999,FILTER('Operações-BR'!Q:Q,'Operações-BR'!$C:$C=A1119,'Operações-BR'!$A:$A&lt;=C1119))/G1119,0)"),0.0)</f>
        <v>0</v>
      </c>
      <c r="J1119" s="185" t="str">
        <f>IFERROR(VLOOKUP(A1119,Ativos!$A$1:$G2000,5,),"")</f>
        <v/>
      </c>
      <c r="K1119" s="185" t="str">
        <f>IFERROR(VLOOKUP(A1119,Ativos!A:H,8,),"")</f>
        <v/>
      </c>
      <c r="L1119" s="186">
        <f t="shared" si="3"/>
        <v>0</v>
      </c>
    </row>
    <row r="1120" ht="21.0" customHeight="1">
      <c r="A1120" s="187"/>
      <c r="B1120" s="187"/>
      <c r="C1120" s="188"/>
      <c r="D1120" s="135"/>
      <c r="E1120" s="189"/>
      <c r="F1120" s="182" t="str">
        <f t="shared" si="1"/>
        <v/>
      </c>
      <c r="G1120" s="183">
        <f>IFERROR(__xludf.DUMMYFUNCTION("IFERROR(lookup(9999999999,FILTER('Operações-BR'!$M:$M,'Operações-BR'!$C:$C=A1120,'Operações-BR'!$A:$A&lt;=C1120)),0)"),0.0)</f>
        <v>0</v>
      </c>
      <c r="H1120" s="184">
        <f t="shared" si="2"/>
        <v>0</v>
      </c>
      <c r="I1120" s="184">
        <f>IFERROR(__xludf.DUMMYFUNCTION("IFERROR(lookup(9999999999,FILTER('Operações-BR'!Q:Q,'Operações-BR'!$C:$C=A1120,'Operações-BR'!$A:$A&lt;=C1120))/G1120,0)"),0.0)</f>
        <v>0</v>
      </c>
      <c r="J1120" s="185" t="str">
        <f>IFERROR(VLOOKUP(A1120,Ativos!$A$1:$G2000,5,),"")</f>
        <v/>
      </c>
      <c r="K1120" s="185" t="str">
        <f>IFERROR(VLOOKUP(A1120,Ativos!A:H,8,),"")</f>
        <v/>
      </c>
      <c r="L1120" s="186">
        <f t="shared" si="3"/>
        <v>0</v>
      </c>
    </row>
    <row r="1121" ht="21.0" customHeight="1">
      <c r="A1121" s="187"/>
      <c r="B1121" s="187"/>
      <c r="C1121" s="188"/>
      <c r="D1121" s="135"/>
      <c r="E1121" s="189"/>
      <c r="F1121" s="182" t="str">
        <f t="shared" si="1"/>
        <v/>
      </c>
      <c r="G1121" s="183">
        <f>IFERROR(__xludf.DUMMYFUNCTION("IFERROR(lookup(9999999999,FILTER('Operações-BR'!$M:$M,'Operações-BR'!$C:$C=A1121,'Operações-BR'!$A:$A&lt;=C1121)),0)"),0.0)</f>
        <v>0</v>
      </c>
      <c r="H1121" s="184">
        <f t="shared" si="2"/>
        <v>0</v>
      </c>
      <c r="I1121" s="184">
        <f>IFERROR(__xludf.DUMMYFUNCTION("IFERROR(lookup(9999999999,FILTER('Operações-BR'!Q:Q,'Operações-BR'!$C:$C=A1121,'Operações-BR'!$A:$A&lt;=C1121))/G1121,0)"),0.0)</f>
        <v>0</v>
      </c>
      <c r="J1121" s="185" t="str">
        <f>IFERROR(VLOOKUP(A1121,Ativos!$A$1:$G2000,5,),"")</f>
        <v/>
      </c>
      <c r="K1121" s="185" t="str">
        <f>IFERROR(VLOOKUP(A1121,Ativos!A:H,8,),"")</f>
        <v/>
      </c>
      <c r="L1121" s="186">
        <f t="shared" si="3"/>
        <v>0</v>
      </c>
    </row>
    <row r="1122" ht="21.0" customHeight="1">
      <c r="A1122" s="187"/>
      <c r="B1122" s="187"/>
      <c r="C1122" s="188"/>
      <c r="D1122" s="135"/>
      <c r="E1122" s="189"/>
      <c r="F1122" s="182" t="str">
        <f t="shared" si="1"/>
        <v/>
      </c>
      <c r="G1122" s="183">
        <f>IFERROR(__xludf.DUMMYFUNCTION("IFERROR(lookup(9999999999,FILTER('Operações-BR'!$M:$M,'Operações-BR'!$C:$C=A1122,'Operações-BR'!$A:$A&lt;=C1122)),0)"),0.0)</f>
        <v>0</v>
      </c>
      <c r="H1122" s="184">
        <f t="shared" si="2"/>
        <v>0</v>
      </c>
      <c r="I1122" s="184">
        <f>IFERROR(__xludf.DUMMYFUNCTION("IFERROR(lookup(9999999999,FILTER('Operações-BR'!Q:Q,'Operações-BR'!$C:$C=A1122,'Operações-BR'!$A:$A&lt;=C1122))/G1122,0)"),0.0)</f>
        <v>0</v>
      </c>
      <c r="J1122" s="185" t="str">
        <f>IFERROR(VLOOKUP(A1122,Ativos!$A$1:$G2000,5,),"")</f>
        <v/>
      </c>
      <c r="K1122" s="185" t="str">
        <f>IFERROR(VLOOKUP(A1122,Ativos!A:H,8,),"")</f>
        <v/>
      </c>
      <c r="L1122" s="186">
        <f t="shared" si="3"/>
        <v>0</v>
      </c>
    </row>
    <row r="1123" ht="21.0" customHeight="1">
      <c r="A1123" s="187"/>
      <c r="B1123" s="187"/>
      <c r="C1123" s="188"/>
      <c r="D1123" s="135"/>
      <c r="E1123" s="189"/>
      <c r="F1123" s="182" t="str">
        <f t="shared" si="1"/>
        <v/>
      </c>
      <c r="G1123" s="183">
        <f>IFERROR(__xludf.DUMMYFUNCTION("IFERROR(lookup(9999999999,FILTER('Operações-BR'!$M:$M,'Operações-BR'!$C:$C=A1123,'Operações-BR'!$A:$A&lt;=C1123)),0)"),0.0)</f>
        <v>0</v>
      </c>
      <c r="H1123" s="184">
        <f t="shared" si="2"/>
        <v>0</v>
      </c>
      <c r="I1123" s="184">
        <f>IFERROR(__xludf.DUMMYFUNCTION("IFERROR(lookup(9999999999,FILTER('Operações-BR'!Q:Q,'Operações-BR'!$C:$C=A1123,'Operações-BR'!$A:$A&lt;=C1123))/G1123,0)"),0.0)</f>
        <v>0</v>
      </c>
      <c r="J1123" s="185" t="str">
        <f>IFERROR(VLOOKUP(A1123,Ativos!$A$1:$G2000,5,),"")</f>
        <v/>
      </c>
      <c r="K1123" s="185" t="str">
        <f>IFERROR(VLOOKUP(A1123,Ativos!A:H,8,),"")</f>
        <v/>
      </c>
      <c r="L1123" s="186">
        <f t="shared" si="3"/>
        <v>0</v>
      </c>
    </row>
    <row r="1124" ht="21.0" customHeight="1">
      <c r="A1124" s="187"/>
      <c r="B1124" s="187"/>
      <c r="C1124" s="188"/>
      <c r="D1124" s="135"/>
      <c r="E1124" s="189"/>
      <c r="F1124" s="182" t="str">
        <f t="shared" si="1"/>
        <v/>
      </c>
      <c r="G1124" s="183">
        <f>IFERROR(__xludf.DUMMYFUNCTION("IFERROR(lookup(9999999999,FILTER('Operações-BR'!$M:$M,'Operações-BR'!$C:$C=A1124,'Operações-BR'!$A:$A&lt;=C1124)),0)"),0.0)</f>
        <v>0</v>
      </c>
      <c r="H1124" s="184">
        <f t="shared" si="2"/>
        <v>0</v>
      </c>
      <c r="I1124" s="184">
        <f>IFERROR(__xludf.DUMMYFUNCTION("IFERROR(lookup(9999999999,FILTER('Operações-BR'!Q:Q,'Operações-BR'!$C:$C=A1124,'Operações-BR'!$A:$A&lt;=C1124))/G1124,0)"),0.0)</f>
        <v>0</v>
      </c>
      <c r="J1124" s="185" t="str">
        <f>IFERROR(VLOOKUP(A1124,Ativos!$A$1:$G2000,5,),"")</f>
        <v/>
      </c>
      <c r="K1124" s="185" t="str">
        <f>IFERROR(VLOOKUP(A1124,Ativos!A:H,8,),"")</f>
        <v/>
      </c>
      <c r="L1124" s="186">
        <f t="shared" si="3"/>
        <v>0</v>
      </c>
    </row>
    <row r="1125" ht="21.0" customHeight="1">
      <c r="A1125" s="187"/>
      <c r="B1125" s="187"/>
      <c r="C1125" s="188"/>
      <c r="D1125" s="135"/>
      <c r="E1125" s="189"/>
      <c r="F1125" s="182" t="str">
        <f t="shared" si="1"/>
        <v/>
      </c>
      <c r="G1125" s="183">
        <f>IFERROR(__xludf.DUMMYFUNCTION("IFERROR(lookup(9999999999,FILTER('Operações-BR'!$M:$M,'Operações-BR'!$C:$C=A1125,'Operações-BR'!$A:$A&lt;=C1125)),0)"),0.0)</f>
        <v>0</v>
      </c>
      <c r="H1125" s="184">
        <f t="shared" si="2"/>
        <v>0</v>
      </c>
      <c r="I1125" s="184">
        <f>IFERROR(__xludf.DUMMYFUNCTION("IFERROR(lookup(9999999999,FILTER('Operações-BR'!Q:Q,'Operações-BR'!$C:$C=A1125,'Operações-BR'!$A:$A&lt;=C1125))/G1125,0)"),0.0)</f>
        <v>0</v>
      </c>
      <c r="J1125" s="185" t="str">
        <f>IFERROR(VLOOKUP(A1125,Ativos!$A$1:$G2000,5,),"")</f>
        <v/>
      </c>
      <c r="K1125" s="185" t="str">
        <f>IFERROR(VLOOKUP(A1125,Ativos!A:H,8,),"")</f>
        <v/>
      </c>
      <c r="L1125" s="186">
        <f t="shared" si="3"/>
        <v>0</v>
      </c>
    </row>
    <row r="1126" ht="21.0" customHeight="1">
      <c r="A1126" s="187"/>
      <c r="B1126" s="187"/>
      <c r="C1126" s="188"/>
      <c r="D1126" s="135"/>
      <c r="E1126" s="189"/>
      <c r="F1126" s="182" t="str">
        <f t="shared" si="1"/>
        <v/>
      </c>
      <c r="G1126" s="183">
        <f>IFERROR(__xludf.DUMMYFUNCTION("IFERROR(lookup(9999999999,FILTER('Operações-BR'!$M:$M,'Operações-BR'!$C:$C=A1126,'Operações-BR'!$A:$A&lt;=C1126)),0)"),0.0)</f>
        <v>0</v>
      </c>
      <c r="H1126" s="184">
        <f t="shared" si="2"/>
        <v>0</v>
      </c>
      <c r="I1126" s="184">
        <f>IFERROR(__xludf.DUMMYFUNCTION("IFERROR(lookup(9999999999,FILTER('Operações-BR'!Q:Q,'Operações-BR'!$C:$C=A1126,'Operações-BR'!$A:$A&lt;=C1126))/G1126,0)"),0.0)</f>
        <v>0</v>
      </c>
      <c r="J1126" s="185" t="str">
        <f>IFERROR(VLOOKUP(A1126,Ativos!$A$1:$G2000,5,),"")</f>
        <v/>
      </c>
      <c r="K1126" s="185" t="str">
        <f>IFERROR(VLOOKUP(A1126,Ativos!A:H,8,),"")</f>
        <v/>
      </c>
      <c r="L1126" s="186">
        <f t="shared" si="3"/>
        <v>0</v>
      </c>
    </row>
    <row r="1127" ht="21.0" customHeight="1">
      <c r="A1127" s="187"/>
      <c r="B1127" s="187"/>
      <c r="C1127" s="188"/>
      <c r="D1127" s="135"/>
      <c r="E1127" s="189"/>
      <c r="F1127" s="182" t="str">
        <f t="shared" si="1"/>
        <v/>
      </c>
      <c r="G1127" s="183">
        <f>IFERROR(__xludf.DUMMYFUNCTION("IFERROR(lookup(9999999999,FILTER('Operações-BR'!$M:$M,'Operações-BR'!$C:$C=A1127,'Operações-BR'!$A:$A&lt;=C1127)),0)"),0.0)</f>
        <v>0</v>
      </c>
      <c r="H1127" s="184">
        <f t="shared" si="2"/>
        <v>0</v>
      </c>
      <c r="I1127" s="184">
        <f>IFERROR(__xludf.DUMMYFUNCTION("IFERROR(lookup(9999999999,FILTER('Operações-BR'!Q:Q,'Operações-BR'!$C:$C=A1127,'Operações-BR'!$A:$A&lt;=C1127))/G1127,0)"),0.0)</f>
        <v>0</v>
      </c>
      <c r="J1127" s="185" t="str">
        <f>IFERROR(VLOOKUP(A1127,Ativos!$A$1:$G2000,5,),"")</f>
        <v/>
      </c>
      <c r="K1127" s="185" t="str">
        <f>IFERROR(VLOOKUP(A1127,Ativos!A:H,8,),"")</f>
        <v/>
      </c>
      <c r="L1127" s="186">
        <f t="shared" si="3"/>
        <v>0</v>
      </c>
    </row>
    <row r="1128" ht="21.0" customHeight="1">
      <c r="A1128" s="187"/>
      <c r="B1128" s="187"/>
      <c r="C1128" s="188"/>
      <c r="D1128" s="135"/>
      <c r="E1128" s="189"/>
      <c r="F1128" s="182" t="str">
        <f t="shared" si="1"/>
        <v/>
      </c>
      <c r="G1128" s="183">
        <f>IFERROR(__xludf.DUMMYFUNCTION("IFERROR(lookup(9999999999,FILTER('Operações-BR'!$M:$M,'Operações-BR'!$C:$C=A1128,'Operações-BR'!$A:$A&lt;=C1128)),0)"),0.0)</f>
        <v>0</v>
      </c>
      <c r="H1128" s="184">
        <f t="shared" si="2"/>
        <v>0</v>
      </c>
      <c r="I1128" s="184">
        <f>IFERROR(__xludf.DUMMYFUNCTION("IFERROR(lookup(9999999999,FILTER('Operações-BR'!Q:Q,'Operações-BR'!$C:$C=A1128,'Operações-BR'!$A:$A&lt;=C1128))/G1128,0)"),0.0)</f>
        <v>0</v>
      </c>
      <c r="J1128" s="185" t="str">
        <f>IFERROR(VLOOKUP(A1128,Ativos!$A$1:$G2000,5,),"")</f>
        <v/>
      </c>
      <c r="K1128" s="185" t="str">
        <f>IFERROR(VLOOKUP(A1128,Ativos!A:H,8,),"")</f>
        <v/>
      </c>
      <c r="L1128" s="186">
        <f t="shared" si="3"/>
        <v>0</v>
      </c>
    </row>
    <row r="1129" ht="21.0" customHeight="1">
      <c r="A1129" s="187"/>
      <c r="B1129" s="187"/>
      <c r="C1129" s="188"/>
      <c r="D1129" s="135"/>
      <c r="E1129" s="189"/>
      <c r="F1129" s="182" t="str">
        <f t="shared" si="1"/>
        <v/>
      </c>
      <c r="G1129" s="183">
        <f>IFERROR(__xludf.DUMMYFUNCTION("IFERROR(lookup(9999999999,FILTER('Operações-BR'!$M:$M,'Operações-BR'!$C:$C=A1129,'Operações-BR'!$A:$A&lt;=C1129)),0)"),0.0)</f>
        <v>0</v>
      </c>
      <c r="H1129" s="184">
        <f t="shared" si="2"/>
        <v>0</v>
      </c>
      <c r="I1129" s="184">
        <f>IFERROR(__xludf.DUMMYFUNCTION("IFERROR(lookup(9999999999,FILTER('Operações-BR'!Q:Q,'Operações-BR'!$C:$C=A1129,'Operações-BR'!$A:$A&lt;=C1129))/G1129,0)"),0.0)</f>
        <v>0</v>
      </c>
      <c r="J1129" s="185" t="str">
        <f>IFERROR(VLOOKUP(A1129,Ativos!$A$1:$G2000,5,),"")</f>
        <v/>
      </c>
      <c r="K1129" s="185" t="str">
        <f>IFERROR(VLOOKUP(A1129,Ativos!A:H,8,),"")</f>
        <v/>
      </c>
      <c r="L1129" s="186">
        <f t="shared" si="3"/>
        <v>0</v>
      </c>
    </row>
    <row r="1130" ht="21.0" customHeight="1">
      <c r="A1130" s="187"/>
      <c r="B1130" s="187"/>
      <c r="C1130" s="188"/>
      <c r="D1130" s="135"/>
      <c r="E1130" s="189"/>
      <c r="F1130" s="182" t="str">
        <f t="shared" si="1"/>
        <v/>
      </c>
      <c r="G1130" s="183">
        <f>IFERROR(__xludf.DUMMYFUNCTION("IFERROR(lookup(9999999999,FILTER('Operações-BR'!$M:$M,'Operações-BR'!$C:$C=A1130,'Operações-BR'!$A:$A&lt;=C1130)),0)"),0.0)</f>
        <v>0</v>
      </c>
      <c r="H1130" s="184">
        <f t="shared" si="2"/>
        <v>0</v>
      </c>
      <c r="I1130" s="184">
        <f>IFERROR(__xludf.DUMMYFUNCTION("IFERROR(lookup(9999999999,FILTER('Operações-BR'!Q:Q,'Operações-BR'!$C:$C=A1130,'Operações-BR'!$A:$A&lt;=C1130))/G1130,0)"),0.0)</f>
        <v>0</v>
      </c>
      <c r="J1130" s="185" t="str">
        <f>IFERROR(VLOOKUP(A1130,Ativos!$A$1:$G2000,5,),"")</f>
        <v/>
      </c>
      <c r="K1130" s="185" t="str">
        <f>IFERROR(VLOOKUP(A1130,Ativos!A:H,8,),"")</f>
        <v/>
      </c>
      <c r="L1130" s="186">
        <f t="shared" si="3"/>
        <v>0</v>
      </c>
    </row>
    <row r="1131" ht="21.0" customHeight="1">
      <c r="A1131" s="187"/>
      <c r="B1131" s="187"/>
      <c r="C1131" s="188"/>
      <c r="D1131" s="135"/>
      <c r="E1131" s="189"/>
      <c r="F1131" s="182" t="str">
        <f t="shared" si="1"/>
        <v/>
      </c>
      <c r="G1131" s="183">
        <f>IFERROR(__xludf.DUMMYFUNCTION("IFERROR(lookup(9999999999,FILTER('Operações-BR'!$M:$M,'Operações-BR'!$C:$C=A1131,'Operações-BR'!$A:$A&lt;=C1131)),0)"),0.0)</f>
        <v>0</v>
      </c>
      <c r="H1131" s="184">
        <f t="shared" si="2"/>
        <v>0</v>
      </c>
      <c r="I1131" s="184">
        <f>IFERROR(__xludf.DUMMYFUNCTION("IFERROR(lookup(9999999999,FILTER('Operações-BR'!Q:Q,'Operações-BR'!$C:$C=A1131,'Operações-BR'!$A:$A&lt;=C1131))/G1131,0)"),0.0)</f>
        <v>0</v>
      </c>
      <c r="J1131" s="185" t="str">
        <f>IFERROR(VLOOKUP(A1131,Ativos!$A$1:$G2000,5,),"")</f>
        <v/>
      </c>
      <c r="K1131" s="185" t="str">
        <f>IFERROR(VLOOKUP(A1131,Ativos!A:H,8,),"")</f>
        <v/>
      </c>
      <c r="L1131" s="186">
        <f t="shared" si="3"/>
        <v>0</v>
      </c>
    </row>
    <row r="1132" ht="21.0" customHeight="1">
      <c r="A1132" s="187"/>
      <c r="B1132" s="187"/>
      <c r="C1132" s="188"/>
      <c r="D1132" s="135"/>
      <c r="E1132" s="189"/>
      <c r="F1132" s="182" t="str">
        <f t="shared" si="1"/>
        <v/>
      </c>
      <c r="G1132" s="183">
        <f>IFERROR(__xludf.DUMMYFUNCTION("IFERROR(lookup(9999999999,FILTER('Operações-BR'!$M:$M,'Operações-BR'!$C:$C=A1132,'Operações-BR'!$A:$A&lt;=C1132)),0)"),0.0)</f>
        <v>0</v>
      </c>
      <c r="H1132" s="184">
        <f t="shared" si="2"/>
        <v>0</v>
      </c>
      <c r="I1132" s="184">
        <f>IFERROR(__xludf.DUMMYFUNCTION("IFERROR(lookup(9999999999,FILTER('Operações-BR'!Q:Q,'Operações-BR'!$C:$C=A1132,'Operações-BR'!$A:$A&lt;=C1132))/G1132,0)"),0.0)</f>
        <v>0</v>
      </c>
      <c r="J1132" s="185" t="str">
        <f>IFERROR(VLOOKUP(A1132,Ativos!$A$1:$G2000,5,),"")</f>
        <v/>
      </c>
      <c r="K1132" s="185" t="str">
        <f>IFERROR(VLOOKUP(A1132,Ativos!A:H,8,),"")</f>
        <v/>
      </c>
      <c r="L1132" s="186">
        <f t="shared" si="3"/>
        <v>0</v>
      </c>
    </row>
    <row r="1133" ht="21.0" customHeight="1">
      <c r="A1133" s="187"/>
      <c r="B1133" s="187"/>
      <c r="C1133" s="188"/>
      <c r="D1133" s="135"/>
      <c r="E1133" s="189"/>
      <c r="F1133" s="182" t="str">
        <f t="shared" si="1"/>
        <v/>
      </c>
      <c r="G1133" s="183">
        <f>IFERROR(__xludf.DUMMYFUNCTION("IFERROR(lookup(9999999999,FILTER('Operações-BR'!$M:$M,'Operações-BR'!$C:$C=A1133,'Operações-BR'!$A:$A&lt;=C1133)),0)"),0.0)</f>
        <v>0</v>
      </c>
      <c r="H1133" s="184">
        <f t="shared" si="2"/>
        <v>0</v>
      </c>
      <c r="I1133" s="184">
        <f>IFERROR(__xludf.DUMMYFUNCTION("IFERROR(lookup(9999999999,FILTER('Operações-BR'!Q:Q,'Operações-BR'!$C:$C=A1133,'Operações-BR'!$A:$A&lt;=C1133))/G1133,0)"),0.0)</f>
        <v>0</v>
      </c>
      <c r="J1133" s="185" t="str">
        <f>IFERROR(VLOOKUP(A1133,Ativos!$A$1:$G2000,5,),"")</f>
        <v/>
      </c>
      <c r="K1133" s="185" t="str">
        <f>IFERROR(VLOOKUP(A1133,Ativos!A:H,8,),"")</f>
        <v/>
      </c>
      <c r="L1133" s="186">
        <f t="shared" si="3"/>
        <v>0</v>
      </c>
    </row>
    <row r="1134" ht="21.0" customHeight="1">
      <c r="A1134" s="187"/>
      <c r="B1134" s="187"/>
      <c r="C1134" s="188"/>
      <c r="D1134" s="135"/>
      <c r="E1134" s="189"/>
      <c r="F1134" s="182" t="str">
        <f t="shared" si="1"/>
        <v/>
      </c>
      <c r="G1134" s="183">
        <f>IFERROR(__xludf.DUMMYFUNCTION("IFERROR(lookup(9999999999,FILTER('Operações-BR'!$M:$M,'Operações-BR'!$C:$C=A1134,'Operações-BR'!$A:$A&lt;=C1134)),0)"),0.0)</f>
        <v>0</v>
      </c>
      <c r="H1134" s="184">
        <f t="shared" si="2"/>
        <v>0</v>
      </c>
      <c r="I1134" s="184">
        <f>IFERROR(__xludf.DUMMYFUNCTION("IFERROR(lookup(9999999999,FILTER('Operações-BR'!Q:Q,'Operações-BR'!$C:$C=A1134,'Operações-BR'!$A:$A&lt;=C1134))/G1134,0)"),0.0)</f>
        <v>0</v>
      </c>
      <c r="J1134" s="185" t="str">
        <f>IFERROR(VLOOKUP(A1134,Ativos!$A$1:$G2000,5,),"")</f>
        <v/>
      </c>
      <c r="K1134" s="185" t="str">
        <f>IFERROR(VLOOKUP(A1134,Ativos!A:H,8,),"")</f>
        <v/>
      </c>
      <c r="L1134" s="186">
        <f t="shared" si="3"/>
        <v>0</v>
      </c>
    </row>
    <row r="1135" ht="21.0" customHeight="1">
      <c r="A1135" s="187"/>
      <c r="B1135" s="187"/>
      <c r="C1135" s="188"/>
      <c r="D1135" s="135"/>
      <c r="E1135" s="189"/>
      <c r="F1135" s="182" t="str">
        <f t="shared" si="1"/>
        <v/>
      </c>
      <c r="G1135" s="183">
        <f>IFERROR(__xludf.DUMMYFUNCTION("IFERROR(lookup(9999999999,FILTER('Operações-BR'!$M:$M,'Operações-BR'!$C:$C=A1135,'Operações-BR'!$A:$A&lt;=C1135)),0)"),0.0)</f>
        <v>0</v>
      </c>
      <c r="H1135" s="184">
        <f t="shared" si="2"/>
        <v>0</v>
      </c>
      <c r="I1135" s="184">
        <f>IFERROR(__xludf.DUMMYFUNCTION("IFERROR(lookup(9999999999,FILTER('Operações-BR'!Q:Q,'Operações-BR'!$C:$C=A1135,'Operações-BR'!$A:$A&lt;=C1135))/G1135,0)"),0.0)</f>
        <v>0</v>
      </c>
      <c r="J1135" s="185" t="str">
        <f>IFERROR(VLOOKUP(A1135,Ativos!$A$1:$G2000,5,),"")</f>
        <v/>
      </c>
      <c r="K1135" s="185" t="str">
        <f>IFERROR(VLOOKUP(A1135,Ativos!A:H,8,),"")</f>
        <v/>
      </c>
      <c r="L1135" s="186">
        <f t="shared" si="3"/>
        <v>0</v>
      </c>
    </row>
    <row r="1136" ht="21.0" customHeight="1">
      <c r="A1136" s="187"/>
      <c r="B1136" s="187"/>
      <c r="C1136" s="188"/>
      <c r="D1136" s="135"/>
      <c r="E1136" s="189"/>
      <c r="F1136" s="182" t="str">
        <f t="shared" si="1"/>
        <v/>
      </c>
      <c r="G1136" s="183">
        <f>IFERROR(__xludf.DUMMYFUNCTION("IFERROR(lookup(9999999999,FILTER('Operações-BR'!$M:$M,'Operações-BR'!$C:$C=A1136,'Operações-BR'!$A:$A&lt;=C1136)),0)"),0.0)</f>
        <v>0</v>
      </c>
      <c r="H1136" s="184">
        <f t="shared" si="2"/>
        <v>0</v>
      </c>
      <c r="I1136" s="184">
        <f>IFERROR(__xludf.DUMMYFUNCTION("IFERROR(lookup(9999999999,FILTER('Operações-BR'!Q:Q,'Operações-BR'!$C:$C=A1136,'Operações-BR'!$A:$A&lt;=C1136))/G1136,0)"),0.0)</f>
        <v>0</v>
      </c>
      <c r="J1136" s="185" t="str">
        <f>IFERROR(VLOOKUP(A1136,Ativos!$A$1:$G2000,5,),"")</f>
        <v/>
      </c>
      <c r="K1136" s="185" t="str">
        <f>IFERROR(VLOOKUP(A1136,Ativos!A:H,8,),"")</f>
        <v/>
      </c>
      <c r="L1136" s="186">
        <f t="shared" si="3"/>
        <v>0</v>
      </c>
    </row>
    <row r="1137" ht="21.0" customHeight="1">
      <c r="A1137" s="187"/>
      <c r="B1137" s="187"/>
      <c r="C1137" s="188"/>
      <c r="D1137" s="135"/>
      <c r="E1137" s="189"/>
      <c r="F1137" s="182" t="str">
        <f t="shared" si="1"/>
        <v/>
      </c>
      <c r="G1137" s="183">
        <f>IFERROR(__xludf.DUMMYFUNCTION("IFERROR(lookup(9999999999,FILTER('Operações-BR'!$M:$M,'Operações-BR'!$C:$C=A1137,'Operações-BR'!$A:$A&lt;=C1137)),0)"),0.0)</f>
        <v>0</v>
      </c>
      <c r="H1137" s="184">
        <f t="shared" si="2"/>
        <v>0</v>
      </c>
      <c r="I1137" s="184">
        <f>IFERROR(__xludf.DUMMYFUNCTION("IFERROR(lookup(9999999999,FILTER('Operações-BR'!Q:Q,'Operações-BR'!$C:$C=A1137,'Operações-BR'!$A:$A&lt;=C1137))/G1137,0)"),0.0)</f>
        <v>0</v>
      </c>
      <c r="J1137" s="185" t="str">
        <f>IFERROR(VLOOKUP(A1137,Ativos!$A$1:$G2000,5,),"")</f>
        <v/>
      </c>
      <c r="K1137" s="185" t="str">
        <f>IFERROR(VLOOKUP(A1137,Ativos!A:H,8,),"")</f>
        <v/>
      </c>
      <c r="L1137" s="186">
        <f t="shared" si="3"/>
        <v>0</v>
      </c>
    </row>
    <row r="1138" ht="21.0" customHeight="1">
      <c r="A1138" s="187"/>
      <c r="B1138" s="187"/>
      <c r="C1138" s="188"/>
      <c r="D1138" s="135"/>
      <c r="E1138" s="189"/>
      <c r="F1138" s="182" t="str">
        <f t="shared" si="1"/>
        <v/>
      </c>
      <c r="G1138" s="183">
        <f>IFERROR(__xludf.DUMMYFUNCTION("IFERROR(lookup(9999999999,FILTER('Operações-BR'!$M:$M,'Operações-BR'!$C:$C=A1138,'Operações-BR'!$A:$A&lt;=C1138)),0)"),0.0)</f>
        <v>0</v>
      </c>
      <c r="H1138" s="184">
        <f t="shared" si="2"/>
        <v>0</v>
      </c>
      <c r="I1138" s="184">
        <f>IFERROR(__xludf.DUMMYFUNCTION("IFERROR(lookup(9999999999,FILTER('Operações-BR'!Q:Q,'Operações-BR'!$C:$C=A1138,'Operações-BR'!$A:$A&lt;=C1138))/G1138,0)"),0.0)</f>
        <v>0</v>
      </c>
      <c r="J1138" s="185" t="str">
        <f>IFERROR(VLOOKUP(A1138,Ativos!$A$1:$G2000,5,),"")</f>
        <v/>
      </c>
      <c r="K1138" s="185" t="str">
        <f>IFERROR(VLOOKUP(A1138,Ativos!A:H,8,),"")</f>
        <v/>
      </c>
      <c r="L1138" s="186">
        <f t="shared" si="3"/>
        <v>0</v>
      </c>
    </row>
    <row r="1139" ht="21.0" customHeight="1">
      <c r="A1139" s="187"/>
      <c r="B1139" s="187"/>
      <c r="C1139" s="188"/>
      <c r="D1139" s="135"/>
      <c r="E1139" s="189"/>
      <c r="F1139" s="182" t="str">
        <f t="shared" si="1"/>
        <v/>
      </c>
      <c r="G1139" s="183">
        <f>IFERROR(__xludf.DUMMYFUNCTION("IFERROR(lookup(9999999999,FILTER('Operações-BR'!$M:$M,'Operações-BR'!$C:$C=A1139,'Operações-BR'!$A:$A&lt;=C1139)),0)"),0.0)</f>
        <v>0</v>
      </c>
      <c r="H1139" s="184">
        <f t="shared" si="2"/>
        <v>0</v>
      </c>
      <c r="I1139" s="184">
        <f>IFERROR(__xludf.DUMMYFUNCTION("IFERROR(lookup(9999999999,FILTER('Operações-BR'!Q:Q,'Operações-BR'!$C:$C=A1139,'Operações-BR'!$A:$A&lt;=C1139))/G1139,0)"),0.0)</f>
        <v>0</v>
      </c>
      <c r="J1139" s="185" t="str">
        <f>IFERROR(VLOOKUP(A1139,Ativos!$A$1:$G2000,5,),"")</f>
        <v/>
      </c>
      <c r="K1139" s="185" t="str">
        <f>IFERROR(VLOOKUP(A1139,Ativos!A:H,8,),"")</f>
        <v/>
      </c>
      <c r="L1139" s="186">
        <f t="shared" si="3"/>
        <v>0</v>
      </c>
    </row>
    <row r="1140" ht="21.0" customHeight="1">
      <c r="A1140" s="187"/>
      <c r="B1140" s="187"/>
      <c r="C1140" s="188"/>
      <c r="D1140" s="135"/>
      <c r="E1140" s="189"/>
      <c r="F1140" s="182" t="str">
        <f t="shared" si="1"/>
        <v/>
      </c>
      <c r="G1140" s="183">
        <f>IFERROR(__xludf.DUMMYFUNCTION("IFERROR(lookup(9999999999,FILTER('Operações-BR'!$M:$M,'Operações-BR'!$C:$C=A1140,'Operações-BR'!$A:$A&lt;=C1140)),0)"),0.0)</f>
        <v>0</v>
      </c>
      <c r="H1140" s="184">
        <f t="shared" si="2"/>
        <v>0</v>
      </c>
      <c r="I1140" s="184">
        <f>IFERROR(__xludf.DUMMYFUNCTION("IFERROR(lookup(9999999999,FILTER('Operações-BR'!Q:Q,'Operações-BR'!$C:$C=A1140,'Operações-BR'!$A:$A&lt;=C1140))/G1140,0)"),0.0)</f>
        <v>0</v>
      </c>
      <c r="J1140" s="185" t="str">
        <f>IFERROR(VLOOKUP(A1140,Ativos!$A$1:$G2000,5,),"")</f>
        <v/>
      </c>
      <c r="K1140" s="185" t="str">
        <f>IFERROR(VLOOKUP(A1140,Ativos!A:H,8,),"")</f>
        <v/>
      </c>
      <c r="L1140" s="186">
        <f t="shared" si="3"/>
        <v>0</v>
      </c>
    </row>
    <row r="1141" ht="21.0" customHeight="1">
      <c r="A1141" s="187"/>
      <c r="B1141" s="187"/>
      <c r="C1141" s="188"/>
      <c r="D1141" s="135"/>
      <c r="E1141" s="189"/>
      <c r="F1141" s="182" t="str">
        <f t="shared" si="1"/>
        <v/>
      </c>
      <c r="G1141" s="183">
        <f>IFERROR(__xludf.DUMMYFUNCTION("IFERROR(lookup(9999999999,FILTER('Operações-BR'!$M:$M,'Operações-BR'!$C:$C=A1141,'Operações-BR'!$A:$A&lt;=C1141)),0)"),0.0)</f>
        <v>0</v>
      </c>
      <c r="H1141" s="184">
        <f t="shared" si="2"/>
        <v>0</v>
      </c>
      <c r="I1141" s="184">
        <f>IFERROR(__xludf.DUMMYFUNCTION("IFERROR(lookup(9999999999,FILTER('Operações-BR'!Q:Q,'Operações-BR'!$C:$C=A1141,'Operações-BR'!$A:$A&lt;=C1141))/G1141,0)"),0.0)</f>
        <v>0</v>
      </c>
      <c r="J1141" s="185" t="str">
        <f>IFERROR(VLOOKUP(A1141,Ativos!$A$1:$G2000,5,),"")</f>
        <v/>
      </c>
      <c r="K1141" s="185" t="str">
        <f>IFERROR(VLOOKUP(A1141,Ativos!A:H,8,),"")</f>
        <v/>
      </c>
      <c r="L1141" s="186">
        <f t="shared" si="3"/>
        <v>0</v>
      </c>
    </row>
    <row r="1142" ht="21.0" customHeight="1">
      <c r="A1142" s="187"/>
      <c r="B1142" s="187"/>
      <c r="C1142" s="188"/>
      <c r="D1142" s="135"/>
      <c r="E1142" s="189"/>
      <c r="F1142" s="182" t="str">
        <f t="shared" si="1"/>
        <v/>
      </c>
      <c r="G1142" s="183">
        <f>IFERROR(__xludf.DUMMYFUNCTION("IFERROR(lookup(9999999999,FILTER('Operações-BR'!$M:$M,'Operações-BR'!$C:$C=A1142,'Operações-BR'!$A:$A&lt;=C1142)),0)"),0.0)</f>
        <v>0</v>
      </c>
      <c r="H1142" s="184">
        <f t="shared" si="2"/>
        <v>0</v>
      </c>
      <c r="I1142" s="184">
        <f>IFERROR(__xludf.DUMMYFUNCTION("IFERROR(lookup(9999999999,FILTER('Operações-BR'!Q:Q,'Operações-BR'!$C:$C=A1142,'Operações-BR'!$A:$A&lt;=C1142))/G1142,0)"),0.0)</f>
        <v>0</v>
      </c>
      <c r="J1142" s="185" t="str">
        <f>IFERROR(VLOOKUP(A1142,Ativos!$A$1:$G2000,5,),"")</f>
        <v/>
      </c>
      <c r="K1142" s="185" t="str">
        <f>IFERROR(VLOOKUP(A1142,Ativos!A:H,8,),"")</f>
        <v/>
      </c>
      <c r="L1142" s="186">
        <f t="shared" si="3"/>
        <v>0</v>
      </c>
    </row>
    <row r="1143" ht="21.0" customHeight="1">
      <c r="A1143" s="187"/>
      <c r="B1143" s="187"/>
      <c r="C1143" s="188"/>
      <c r="D1143" s="135"/>
      <c r="E1143" s="189"/>
      <c r="F1143" s="182" t="str">
        <f t="shared" si="1"/>
        <v/>
      </c>
      <c r="G1143" s="183">
        <f>IFERROR(__xludf.DUMMYFUNCTION("IFERROR(lookup(9999999999,FILTER('Operações-BR'!$M:$M,'Operações-BR'!$C:$C=A1143,'Operações-BR'!$A:$A&lt;=C1143)),0)"),0.0)</f>
        <v>0</v>
      </c>
      <c r="H1143" s="184">
        <f t="shared" si="2"/>
        <v>0</v>
      </c>
      <c r="I1143" s="184">
        <f>IFERROR(__xludf.DUMMYFUNCTION("IFERROR(lookup(9999999999,FILTER('Operações-BR'!Q:Q,'Operações-BR'!$C:$C=A1143,'Operações-BR'!$A:$A&lt;=C1143))/G1143,0)"),0.0)</f>
        <v>0</v>
      </c>
      <c r="J1143" s="185" t="str">
        <f>IFERROR(VLOOKUP(A1143,Ativos!$A$1:$G2000,5,),"")</f>
        <v/>
      </c>
      <c r="K1143" s="185" t="str">
        <f>IFERROR(VLOOKUP(A1143,Ativos!A:H,8,),"")</f>
        <v/>
      </c>
      <c r="L1143" s="186">
        <f t="shared" si="3"/>
        <v>0</v>
      </c>
    </row>
    <row r="1144" ht="21.0" customHeight="1">
      <c r="A1144" s="187"/>
      <c r="B1144" s="187"/>
      <c r="C1144" s="188"/>
      <c r="D1144" s="135"/>
      <c r="E1144" s="189"/>
      <c r="F1144" s="182" t="str">
        <f t="shared" si="1"/>
        <v/>
      </c>
      <c r="G1144" s="183">
        <f>IFERROR(__xludf.DUMMYFUNCTION("IFERROR(lookup(9999999999,FILTER('Operações-BR'!$M:$M,'Operações-BR'!$C:$C=A1144,'Operações-BR'!$A:$A&lt;=C1144)),0)"),0.0)</f>
        <v>0</v>
      </c>
      <c r="H1144" s="184">
        <f t="shared" si="2"/>
        <v>0</v>
      </c>
      <c r="I1144" s="184">
        <f>IFERROR(__xludf.DUMMYFUNCTION("IFERROR(lookup(9999999999,FILTER('Operações-BR'!Q:Q,'Operações-BR'!$C:$C=A1144,'Operações-BR'!$A:$A&lt;=C1144))/G1144,0)"),0.0)</f>
        <v>0</v>
      </c>
      <c r="J1144" s="185" t="str">
        <f>IFERROR(VLOOKUP(A1144,Ativos!$A$1:$G2000,5,),"")</f>
        <v/>
      </c>
      <c r="K1144" s="185" t="str">
        <f>IFERROR(VLOOKUP(A1144,Ativos!A:H,8,),"")</f>
        <v/>
      </c>
      <c r="L1144" s="186">
        <f t="shared" si="3"/>
        <v>0</v>
      </c>
    </row>
    <row r="1145" ht="21.0" customHeight="1">
      <c r="A1145" s="187"/>
      <c r="B1145" s="187"/>
      <c r="C1145" s="188"/>
      <c r="D1145" s="135"/>
      <c r="E1145" s="189"/>
      <c r="F1145" s="182" t="str">
        <f t="shared" si="1"/>
        <v/>
      </c>
      <c r="G1145" s="183">
        <f>IFERROR(__xludf.DUMMYFUNCTION("IFERROR(lookup(9999999999,FILTER('Operações-BR'!$M:$M,'Operações-BR'!$C:$C=A1145,'Operações-BR'!$A:$A&lt;=C1145)),0)"),0.0)</f>
        <v>0</v>
      </c>
      <c r="H1145" s="184">
        <f t="shared" si="2"/>
        <v>0</v>
      </c>
      <c r="I1145" s="184">
        <f>IFERROR(__xludf.DUMMYFUNCTION("IFERROR(lookup(9999999999,FILTER('Operações-BR'!Q:Q,'Operações-BR'!$C:$C=A1145,'Operações-BR'!$A:$A&lt;=C1145))/G1145,0)"),0.0)</f>
        <v>0</v>
      </c>
      <c r="J1145" s="185" t="str">
        <f>IFERROR(VLOOKUP(A1145,Ativos!$A$1:$G2000,5,),"")</f>
        <v/>
      </c>
      <c r="K1145" s="185" t="str">
        <f>IFERROR(VLOOKUP(A1145,Ativos!A:H,8,),"")</f>
        <v/>
      </c>
      <c r="L1145" s="186">
        <f t="shared" si="3"/>
        <v>0</v>
      </c>
    </row>
    <row r="1146" ht="21.0" customHeight="1">
      <c r="A1146" s="187"/>
      <c r="B1146" s="187"/>
      <c r="C1146" s="188"/>
      <c r="D1146" s="135"/>
      <c r="E1146" s="189"/>
      <c r="F1146" s="182" t="str">
        <f t="shared" si="1"/>
        <v/>
      </c>
      <c r="G1146" s="183">
        <f>IFERROR(__xludf.DUMMYFUNCTION("IFERROR(lookup(9999999999,FILTER('Operações-BR'!$M:$M,'Operações-BR'!$C:$C=A1146,'Operações-BR'!$A:$A&lt;=C1146)),0)"),0.0)</f>
        <v>0</v>
      </c>
      <c r="H1146" s="184">
        <f t="shared" si="2"/>
        <v>0</v>
      </c>
      <c r="I1146" s="184">
        <f>IFERROR(__xludf.DUMMYFUNCTION("IFERROR(lookup(9999999999,FILTER('Operações-BR'!Q:Q,'Operações-BR'!$C:$C=A1146,'Operações-BR'!$A:$A&lt;=C1146))/G1146,0)"),0.0)</f>
        <v>0</v>
      </c>
      <c r="J1146" s="185" t="str">
        <f>IFERROR(VLOOKUP(A1146,Ativos!$A$1:$G2000,5,),"")</f>
        <v/>
      </c>
      <c r="K1146" s="185" t="str">
        <f>IFERROR(VLOOKUP(A1146,Ativos!A:H,8,),"")</f>
        <v/>
      </c>
      <c r="L1146" s="186">
        <f t="shared" si="3"/>
        <v>0</v>
      </c>
    </row>
    <row r="1147" ht="21.0" customHeight="1">
      <c r="A1147" s="187"/>
      <c r="B1147" s="187"/>
      <c r="C1147" s="188"/>
      <c r="D1147" s="135"/>
      <c r="E1147" s="189"/>
      <c r="F1147" s="182" t="str">
        <f t="shared" si="1"/>
        <v/>
      </c>
      <c r="G1147" s="183">
        <f>IFERROR(__xludf.DUMMYFUNCTION("IFERROR(lookup(9999999999,FILTER('Operações-BR'!$M:$M,'Operações-BR'!$C:$C=A1147,'Operações-BR'!$A:$A&lt;=C1147)),0)"),0.0)</f>
        <v>0</v>
      </c>
      <c r="H1147" s="184">
        <f t="shared" si="2"/>
        <v>0</v>
      </c>
      <c r="I1147" s="184">
        <f>IFERROR(__xludf.DUMMYFUNCTION("IFERROR(lookup(9999999999,FILTER('Operações-BR'!Q:Q,'Operações-BR'!$C:$C=A1147,'Operações-BR'!$A:$A&lt;=C1147))/G1147,0)"),0.0)</f>
        <v>0</v>
      </c>
      <c r="J1147" s="185" t="str">
        <f>IFERROR(VLOOKUP(A1147,Ativos!$A$1:$G2000,5,),"")</f>
        <v/>
      </c>
      <c r="K1147" s="185" t="str">
        <f>IFERROR(VLOOKUP(A1147,Ativos!A:H,8,),"")</f>
        <v/>
      </c>
      <c r="L1147" s="186">
        <f t="shared" si="3"/>
        <v>0</v>
      </c>
    </row>
    <row r="1148" ht="21.0" customHeight="1">
      <c r="A1148" s="187"/>
      <c r="B1148" s="187"/>
      <c r="C1148" s="188"/>
      <c r="D1148" s="135"/>
      <c r="E1148" s="189"/>
      <c r="F1148" s="182" t="str">
        <f t="shared" si="1"/>
        <v/>
      </c>
      <c r="G1148" s="183">
        <f>IFERROR(__xludf.DUMMYFUNCTION("IFERROR(lookup(9999999999,FILTER('Operações-BR'!$M:$M,'Operações-BR'!$C:$C=A1148,'Operações-BR'!$A:$A&lt;=C1148)),0)"),0.0)</f>
        <v>0</v>
      </c>
      <c r="H1148" s="184">
        <f t="shared" si="2"/>
        <v>0</v>
      </c>
      <c r="I1148" s="184">
        <f>IFERROR(__xludf.DUMMYFUNCTION("IFERROR(lookup(9999999999,FILTER('Operações-BR'!Q:Q,'Operações-BR'!$C:$C=A1148,'Operações-BR'!$A:$A&lt;=C1148))/G1148,0)"),0.0)</f>
        <v>0</v>
      </c>
      <c r="J1148" s="185" t="str">
        <f>IFERROR(VLOOKUP(A1148,Ativos!$A$1:$G2000,5,),"")</f>
        <v/>
      </c>
      <c r="K1148" s="185" t="str">
        <f>IFERROR(VLOOKUP(A1148,Ativos!A:H,8,),"")</f>
        <v/>
      </c>
      <c r="L1148" s="186">
        <f t="shared" si="3"/>
        <v>0</v>
      </c>
    </row>
    <row r="1149" ht="21.0" customHeight="1">
      <c r="A1149" s="187"/>
      <c r="B1149" s="187"/>
      <c r="C1149" s="188"/>
      <c r="D1149" s="135"/>
      <c r="E1149" s="189"/>
      <c r="F1149" s="182" t="str">
        <f t="shared" si="1"/>
        <v/>
      </c>
      <c r="G1149" s="183">
        <f>IFERROR(__xludf.DUMMYFUNCTION("IFERROR(lookup(9999999999,FILTER('Operações-BR'!$M:$M,'Operações-BR'!$C:$C=A1149,'Operações-BR'!$A:$A&lt;=C1149)),0)"),0.0)</f>
        <v>0</v>
      </c>
      <c r="H1149" s="184">
        <f t="shared" si="2"/>
        <v>0</v>
      </c>
      <c r="I1149" s="184">
        <f>IFERROR(__xludf.DUMMYFUNCTION("IFERROR(lookup(9999999999,FILTER('Operações-BR'!Q:Q,'Operações-BR'!$C:$C=A1149,'Operações-BR'!$A:$A&lt;=C1149))/G1149,0)"),0.0)</f>
        <v>0</v>
      </c>
      <c r="J1149" s="185" t="str">
        <f>IFERROR(VLOOKUP(A1149,Ativos!$A$1:$G2000,5,),"")</f>
        <v/>
      </c>
      <c r="K1149" s="185" t="str">
        <f>IFERROR(VLOOKUP(A1149,Ativos!A:H,8,),"")</f>
        <v/>
      </c>
      <c r="L1149" s="186">
        <f t="shared" si="3"/>
        <v>0</v>
      </c>
    </row>
    <row r="1150" ht="21.0" customHeight="1">
      <c r="A1150" s="187"/>
      <c r="B1150" s="187"/>
      <c r="C1150" s="188"/>
      <c r="D1150" s="135"/>
      <c r="E1150" s="189"/>
      <c r="F1150" s="182" t="str">
        <f t="shared" si="1"/>
        <v/>
      </c>
      <c r="G1150" s="183">
        <f>IFERROR(__xludf.DUMMYFUNCTION("IFERROR(lookup(9999999999,FILTER('Operações-BR'!$M:$M,'Operações-BR'!$C:$C=A1150,'Operações-BR'!$A:$A&lt;=C1150)),0)"),0.0)</f>
        <v>0</v>
      </c>
      <c r="H1150" s="184">
        <f t="shared" si="2"/>
        <v>0</v>
      </c>
      <c r="I1150" s="184">
        <f>IFERROR(__xludf.DUMMYFUNCTION("IFERROR(lookup(9999999999,FILTER('Operações-BR'!Q:Q,'Operações-BR'!$C:$C=A1150,'Operações-BR'!$A:$A&lt;=C1150))/G1150,0)"),0.0)</f>
        <v>0</v>
      </c>
      <c r="J1150" s="185" t="str">
        <f>IFERROR(VLOOKUP(A1150,Ativos!$A$1:$G2000,5,),"")</f>
        <v/>
      </c>
      <c r="K1150" s="185" t="str">
        <f>IFERROR(VLOOKUP(A1150,Ativos!A:H,8,),"")</f>
        <v/>
      </c>
      <c r="L1150" s="186">
        <f t="shared" si="3"/>
        <v>0</v>
      </c>
    </row>
    <row r="1151" ht="21.0" customHeight="1">
      <c r="A1151" s="187"/>
      <c r="B1151" s="187"/>
      <c r="C1151" s="188"/>
      <c r="D1151" s="135"/>
      <c r="E1151" s="189"/>
      <c r="F1151" s="182" t="str">
        <f t="shared" si="1"/>
        <v/>
      </c>
      <c r="G1151" s="183">
        <f>IFERROR(__xludf.DUMMYFUNCTION("IFERROR(lookup(9999999999,FILTER('Operações-BR'!$M:$M,'Operações-BR'!$C:$C=A1151,'Operações-BR'!$A:$A&lt;=C1151)),0)"),0.0)</f>
        <v>0</v>
      </c>
      <c r="H1151" s="184">
        <f t="shared" si="2"/>
        <v>0</v>
      </c>
      <c r="I1151" s="184">
        <f>IFERROR(__xludf.DUMMYFUNCTION("IFERROR(lookup(9999999999,FILTER('Operações-BR'!Q:Q,'Operações-BR'!$C:$C=A1151,'Operações-BR'!$A:$A&lt;=C1151))/G1151,0)"),0.0)</f>
        <v>0</v>
      </c>
      <c r="J1151" s="185" t="str">
        <f>IFERROR(VLOOKUP(A1151,Ativos!$A$1:$G2000,5,),"")</f>
        <v/>
      </c>
      <c r="K1151" s="185" t="str">
        <f>IFERROR(VLOOKUP(A1151,Ativos!A:H,8,),"")</f>
        <v/>
      </c>
      <c r="L1151" s="186">
        <f t="shared" si="3"/>
        <v>0</v>
      </c>
    </row>
    <row r="1152" ht="21.0" customHeight="1">
      <c r="A1152" s="187"/>
      <c r="B1152" s="187"/>
      <c r="C1152" s="188"/>
      <c r="D1152" s="135"/>
      <c r="E1152" s="189"/>
      <c r="F1152" s="182" t="str">
        <f t="shared" si="1"/>
        <v/>
      </c>
      <c r="G1152" s="183">
        <f>IFERROR(__xludf.DUMMYFUNCTION("IFERROR(lookup(9999999999,FILTER('Operações-BR'!$M:$M,'Operações-BR'!$C:$C=A1152,'Operações-BR'!$A:$A&lt;=C1152)),0)"),0.0)</f>
        <v>0</v>
      </c>
      <c r="H1152" s="184">
        <f t="shared" si="2"/>
        <v>0</v>
      </c>
      <c r="I1152" s="184">
        <f>IFERROR(__xludf.DUMMYFUNCTION("IFERROR(lookup(9999999999,FILTER('Operações-BR'!Q:Q,'Operações-BR'!$C:$C=A1152,'Operações-BR'!$A:$A&lt;=C1152))/G1152,0)"),0.0)</f>
        <v>0</v>
      </c>
      <c r="J1152" s="185" t="str">
        <f>IFERROR(VLOOKUP(A1152,Ativos!$A$1:$G2000,5,),"")</f>
        <v/>
      </c>
      <c r="K1152" s="185" t="str">
        <f>IFERROR(VLOOKUP(A1152,Ativos!A:H,8,),"")</f>
        <v/>
      </c>
      <c r="L1152" s="186">
        <f t="shared" si="3"/>
        <v>0</v>
      </c>
    </row>
    <row r="1153" ht="21.0" customHeight="1">
      <c r="A1153" s="187"/>
      <c r="B1153" s="187"/>
      <c r="C1153" s="188"/>
      <c r="D1153" s="135"/>
      <c r="E1153" s="189"/>
      <c r="F1153" s="182" t="str">
        <f t="shared" si="1"/>
        <v/>
      </c>
      <c r="G1153" s="183">
        <f>IFERROR(__xludf.DUMMYFUNCTION("IFERROR(lookup(9999999999,FILTER('Operações-BR'!$M:$M,'Operações-BR'!$C:$C=A1153,'Operações-BR'!$A:$A&lt;=C1153)),0)"),0.0)</f>
        <v>0</v>
      </c>
      <c r="H1153" s="184">
        <f t="shared" si="2"/>
        <v>0</v>
      </c>
      <c r="I1153" s="184">
        <f>IFERROR(__xludf.DUMMYFUNCTION("IFERROR(lookup(9999999999,FILTER('Operações-BR'!Q:Q,'Operações-BR'!$C:$C=A1153,'Operações-BR'!$A:$A&lt;=C1153))/G1153,0)"),0.0)</f>
        <v>0</v>
      </c>
      <c r="J1153" s="185" t="str">
        <f>IFERROR(VLOOKUP(A1153,Ativos!$A$1:$G2000,5,),"")</f>
        <v/>
      </c>
      <c r="K1153" s="185" t="str">
        <f>IFERROR(VLOOKUP(A1153,Ativos!A:H,8,),"")</f>
        <v/>
      </c>
      <c r="L1153" s="186">
        <f t="shared" si="3"/>
        <v>0</v>
      </c>
    </row>
    <row r="1154" ht="21.0" customHeight="1">
      <c r="A1154" s="187"/>
      <c r="B1154" s="187"/>
      <c r="C1154" s="188"/>
      <c r="D1154" s="135"/>
      <c r="E1154" s="189"/>
      <c r="F1154" s="182" t="str">
        <f t="shared" si="1"/>
        <v/>
      </c>
      <c r="G1154" s="183">
        <f>IFERROR(__xludf.DUMMYFUNCTION("IFERROR(lookup(9999999999,FILTER('Operações-BR'!$M:$M,'Operações-BR'!$C:$C=A1154,'Operações-BR'!$A:$A&lt;=C1154)),0)"),0.0)</f>
        <v>0</v>
      </c>
      <c r="H1154" s="184">
        <f t="shared" si="2"/>
        <v>0</v>
      </c>
      <c r="I1154" s="184">
        <f>IFERROR(__xludf.DUMMYFUNCTION("IFERROR(lookup(9999999999,FILTER('Operações-BR'!Q:Q,'Operações-BR'!$C:$C=A1154,'Operações-BR'!$A:$A&lt;=C1154))/G1154,0)"),0.0)</f>
        <v>0</v>
      </c>
      <c r="J1154" s="185" t="str">
        <f>IFERROR(VLOOKUP(A1154,Ativos!$A$1:$G2000,5,),"")</f>
        <v/>
      </c>
      <c r="K1154" s="185" t="str">
        <f>IFERROR(VLOOKUP(A1154,Ativos!A:H,8,),"")</f>
        <v/>
      </c>
      <c r="L1154" s="186">
        <f t="shared" si="3"/>
        <v>0</v>
      </c>
    </row>
    <row r="1155" ht="21.0" customHeight="1">
      <c r="A1155" s="187"/>
      <c r="B1155" s="187"/>
      <c r="C1155" s="188"/>
      <c r="D1155" s="135"/>
      <c r="E1155" s="189"/>
      <c r="F1155" s="182" t="str">
        <f t="shared" si="1"/>
        <v/>
      </c>
      <c r="G1155" s="183">
        <f>IFERROR(__xludf.DUMMYFUNCTION("IFERROR(lookup(9999999999,FILTER('Operações-BR'!$M:$M,'Operações-BR'!$C:$C=A1155,'Operações-BR'!$A:$A&lt;=C1155)),0)"),0.0)</f>
        <v>0</v>
      </c>
      <c r="H1155" s="184">
        <f t="shared" si="2"/>
        <v>0</v>
      </c>
      <c r="I1155" s="184">
        <f>IFERROR(__xludf.DUMMYFUNCTION("IFERROR(lookup(9999999999,FILTER('Operações-BR'!Q:Q,'Operações-BR'!$C:$C=A1155,'Operações-BR'!$A:$A&lt;=C1155))/G1155,0)"),0.0)</f>
        <v>0</v>
      </c>
      <c r="J1155" s="185" t="str">
        <f>IFERROR(VLOOKUP(A1155,Ativos!$A$1:$G2000,5,),"")</f>
        <v/>
      </c>
      <c r="K1155" s="185" t="str">
        <f>IFERROR(VLOOKUP(A1155,Ativos!A:H,8,),"")</f>
        <v/>
      </c>
      <c r="L1155" s="186">
        <f t="shared" si="3"/>
        <v>0</v>
      </c>
    </row>
    <row r="1156" ht="21.0" customHeight="1">
      <c r="A1156" s="187"/>
      <c r="B1156" s="187"/>
      <c r="C1156" s="188"/>
      <c r="D1156" s="135"/>
      <c r="E1156" s="189"/>
      <c r="F1156" s="182" t="str">
        <f t="shared" si="1"/>
        <v/>
      </c>
      <c r="G1156" s="183">
        <f>IFERROR(__xludf.DUMMYFUNCTION("IFERROR(lookup(9999999999,FILTER('Operações-BR'!$M:$M,'Operações-BR'!$C:$C=A1156,'Operações-BR'!$A:$A&lt;=C1156)),0)"),0.0)</f>
        <v>0</v>
      </c>
      <c r="H1156" s="184">
        <f t="shared" si="2"/>
        <v>0</v>
      </c>
      <c r="I1156" s="184">
        <f>IFERROR(__xludf.DUMMYFUNCTION("IFERROR(lookup(9999999999,FILTER('Operações-BR'!Q:Q,'Operações-BR'!$C:$C=A1156,'Operações-BR'!$A:$A&lt;=C1156))/G1156,0)"),0.0)</f>
        <v>0</v>
      </c>
      <c r="J1156" s="185" t="str">
        <f>IFERROR(VLOOKUP(A1156,Ativos!$A$1:$G2000,5,),"")</f>
        <v/>
      </c>
      <c r="K1156" s="185" t="str">
        <f>IFERROR(VLOOKUP(A1156,Ativos!A:H,8,),"")</f>
        <v/>
      </c>
      <c r="L1156" s="186">
        <f t="shared" si="3"/>
        <v>0</v>
      </c>
    </row>
    <row r="1157" ht="21.0" customHeight="1">
      <c r="A1157" s="187"/>
      <c r="B1157" s="187"/>
      <c r="C1157" s="188"/>
      <c r="D1157" s="135"/>
      <c r="E1157" s="189"/>
      <c r="F1157" s="182" t="str">
        <f t="shared" si="1"/>
        <v/>
      </c>
      <c r="G1157" s="183">
        <f>IFERROR(__xludf.DUMMYFUNCTION("IFERROR(lookup(9999999999,FILTER('Operações-BR'!$M:$M,'Operações-BR'!$C:$C=A1157,'Operações-BR'!$A:$A&lt;=C1157)),0)"),0.0)</f>
        <v>0</v>
      </c>
      <c r="H1157" s="184">
        <f t="shared" si="2"/>
        <v>0</v>
      </c>
      <c r="I1157" s="184">
        <f>IFERROR(__xludf.DUMMYFUNCTION("IFERROR(lookup(9999999999,FILTER('Operações-BR'!Q:Q,'Operações-BR'!$C:$C=A1157,'Operações-BR'!$A:$A&lt;=C1157))/G1157,0)"),0.0)</f>
        <v>0</v>
      </c>
      <c r="J1157" s="185" t="str">
        <f>IFERROR(VLOOKUP(A1157,Ativos!$A$1:$G2000,5,),"")</f>
        <v/>
      </c>
      <c r="K1157" s="185" t="str">
        <f>IFERROR(VLOOKUP(A1157,Ativos!A:H,8,),"")</f>
        <v/>
      </c>
      <c r="L1157" s="186">
        <f t="shared" si="3"/>
        <v>0</v>
      </c>
    </row>
    <row r="1158" ht="21.0" customHeight="1">
      <c r="A1158" s="187"/>
      <c r="B1158" s="187"/>
      <c r="C1158" s="188"/>
      <c r="D1158" s="135"/>
      <c r="E1158" s="189"/>
      <c r="F1158" s="182" t="str">
        <f t="shared" si="1"/>
        <v/>
      </c>
      <c r="G1158" s="183">
        <f>IFERROR(__xludf.DUMMYFUNCTION("IFERROR(lookup(9999999999,FILTER('Operações-BR'!$M:$M,'Operações-BR'!$C:$C=A1158,'Operações-BR'!$A:$A&lt;=C1158)),0)"),0.0)</f>
        <v>0</v>
      </c>
      <c r="H1158" s="184">
        <f t="shared" si="2"/>
        <v>0</v>
      </c>
      <c r="I1158" s="184">
        <f>IFERROR(__xludf.DUMMYFUNCTION("IFERROR(lookup(9999999999,FILTER('Operações-BR'!Q:Q,'Operações-BR'!$C:$C=A1158,'Operações-BR'!$A:$A&lt;=C1158))/G1158,0)"),0.0)</f>
        <v>0</v>
      </c>
      <c r="J1158" s="185" t="str">
        <f>IFERROR(VLOOKUP(A1158,Ativos!$A$1:$G2000,5,),"")</f>
        <v/>
      </c>
      <c r="K1158" s="185" t="str">
        <f>IFERROR(VLOOKUP(A1158,Ativos!A:H,8,),"")</f>
        <v/>
      </c>
      <c r="L1158" s="186">
        <f t="shared" si="3"/>
        <v>0</v>
      </c>
    </row>
    <row r="1159" ht="21.0" customHeight="1">
      <c r="A1159" s="187"/>
      <c r="B1159" s="187"/>
      <c r="C1159" s="188"/>
      <c r="D1159" s="135"/>
      <c r="E1159" s="189"/>
      <c r="F1159" s="182" t="str">
        <f t="shared" si="1"/>
        <v/>
      </c>
      <c r="G1159" s="183">
        <f>IFERROR(__xludf.DUMMYFUNCTION("IFERROR(lookup(9999999999,FILTER('Operações-BR'!$M:$M,'Operações-BR'!$C:$C=A1159,'Operações-BR'!$A:$A&lt;=C1159)),0)"),0.0)</f>
        <v>0</v>
      </c>
      <c r="H1159" s="184">
        <f t="shared" si="2"/>
        <v>0</v>
      </c>
      <c r="I1159" s="184">
        <f>IFERROR(__xludf.DUMMYFUNCTION("IFERROR(lookup(9999999999,FILTER('Operações-BR'!Q:Q,'Operações-BR'!$C:$C=A1159,'Operações-BR'!$A:$A&lt;=C1159))/G1159,0)"),0.0)</f>
        <v>0</v>
      </c>
      <c r="J1159" s="185" t="str">
        <f>IFERROR(VLOOKUP(A1159,Ativos!$A$1:$G2000,5,),"")</f>
        <v/>
      </c>
      <c r="K1159" s="185" t="str">
        <f>IFERROR(VLOOKUP(A1159,Ativos!A:H,8,),"")</f>
        <v/>
      </c>
      <c r="L1159" s="186">
        <f t="shared" si="3"/>
        <v>0</v>
      </c>
    </row>
    <row r="1160" ht="21.0" customHeight="1">
      <c r="A1160" s="187"/>
      <c r="B1160" s="187"/>
      <c r="C1160" s="188"/>
      <c r="D1160" s="135"/>
      <c r="E1160" s="189"/>
      <c r="F1160" s="182" t="str">
        <f t="shared" si="1"/>
        <v/>
      </c>
      <c r="G1160" s="183">
        <f>IFERROR(__xludf.DUMMYFUNCTION("IFERROR(lookup(9999999999,FILTER('Operações-BR'!$M:$M,'Operações-BR'!$C:$C=A1160,'Operações-BR'!$A:$A&lt;=C1160)),0)"),0.0)</f>
        <v>0</v>
      </c>
      <c r="H1160" s="184">
        <f t="shared" si="2"/>
        <v>0</v>
      </c>
      <c r="I1160" s="184">
        <f>IFERROR(__xludf.DUMMYFUNCTION("IFERROR(lookup(9999999999,FILTER('Operações-BR'!Q:Q,'Operações-BR'!$C:$C=A1160,'Operações-BR'!$A:$A&lt;=C1160))/G1160,0)"),0.0)</f>
        <v>0</v>
      </c>
      <c r="J1160" s="185" t="str">
        <f>IFERROR(VLOOKUP(A1160,Ativos!$A$1:$G2000,5,),"")</f>
        <v/>
      </c>
      <c r="K1160" s="185" t="str">
        <f>IFERROR(VLOOKUP(A1160,Ativos!A:H,8,),"")</f>
        <v/>
      </c>
      <c r="L1160" s="186">
        <f t="shared" si="3"/>
        <v>0</v>
      </c>
    </row>
    <row r="1161" ht="21.0" customHeight="1">
      <c r="A1161" s="187"/>
      <c r="B1161" s="187"/>
      <c r="C1161" s="188"/>
      <c r="D1161" s="135"/>
      <c r="E1161" s="189"/>
      <c r="F1161" s="182" t="str">
        <f t="shared" si="1"/>
        <v/>
      </c>
      <c r="G1161" s="183">
        <f>IFERROR(__xludf.DUMMYFUNCTION("IFERROR(lookup(9999999999,FILTER('Operações-BR'!$M:$M,'Operações-BR'!$C:$C=A1161,'Operações-BR'!$A:$A&lt;=C1161)),0)"),0.0)</f>
        <v>0</v>
      </c>
      <c r="H1161" s="184">
        <f t="shared" si="2"/>
        <v>0</v>
      </c>
      <c r="I1161" s="184">
        <f>IFERROR(__xludf.DUMMYFUNCTION("IFERROR(lookup(9999999999,FILTER('Operações-BR'!Q:Q,'Operações-BR'!$C:$C=A1161,'Operações-BR'!$A:$A&lt;=C1161))/G1161,0)"),0.0)</f>
        <v>0</v>
      </c>
      <c r="J1161" s="185" t="str">
        <f>IFERROR(VLOOKUP(A1161,Ativos!$A$1:$G2000,5,),"")</f>
        <v/>
      </c>
      <c r="K1161" s="185" t="str">
        <f>IFERROR(VLOOKUP(A1161,Ativos!A:H,8,),"")</f>
        <v/>
      </c>
      <c r="L1161" s="186">
        <f t="shared" si="3"/>
        <v>0</v>
      </c>
    </row>
    <row r="1162" ht="21.0" customHeight="1">
      <c r="A1162" s="187"/>
      <c r="B1162" s="187"/>
      <c r="C1162" s="188"/>
      <c r="D1162" s="135"/>
      <c r="E1162" s="189"/>
      <c r="F1162" s="182" t="str">
        <f t="shared" si="1"/>
        <v/>
      </c>
      <c r="G1162" s="183">
        <f>IFERROR(__xludf.DUMMYFUNCTION("IFERROR(lookup(9999999999,FILTER('Operações-BR'!$M:$M,'Operações-BR'!$C:$C=A1162,'Operações-BR'!$A:$A&lt;=C1162)),0)"),0.0)</f>
        <v>0</v>
      </c>
      <c r="H1162" s="184">
        <f t="shared" si="2"/>
        <v>0</v>
      </c>
      <c r="I1162" s="184">
        <f>IFERROR(__xludf.DUMMYFUNCTION("IFERROR(lookup(9999999999,FILTER('Operações-BR'!Q:Q,'Operações-BR'!$C:$C=A1162,'Operações-BR'!$A:$A&lt;=C1162))/G1162,0)"),0.0)</f>
        <v>0</v>
      </c>
      <c r="J1162" s="185" t="str">
        <f>IFERROR(VLOOKUP(A1162,Ativos!$A$1:$G2000,5,),"")</f>
        <v/>
      </c>
      <c r="K1162" s="185" t="str">
        <f>IFERROR(VLOOKUP(A1162,Ativos!A:H,8,),"")</f>
        <v/>
      </c>
      <c r="L1162" s="186">
        <f t="shared" si="3"/>
        <v>0</v>
      </c>
    </row>
    <row r="1163" ht="21.0" customHeight="1">
      <c r="A1163" s="187"/>
      <c r="B1163" s="187"/>
      <c r="C1163" s="188"/>
      <c r="D1163" s="135"/>
      <c r="E1163" s="189"/>
      <c r="F1163" s="182" t="str">
        <f t="shared" si="1"/>
        <v/>
      </c>
      <c r="G1163" s="183">
        <f>IFERROR(__xludf.DUMMYFUNCTION("IFERROR(lookup(9999999999,FILTER('Operações-BR'!$M:$M,'Operações-BR'!$C:$C=A1163,'Operações-BR'!$A:$A&lt;=C1163)),0)"),0.0)</f>
        <v>0</v>
      </c>
      <c r="H1163" s="184">
        <f t="shared" si="2"/>
        <v>0</v>
      </c>
      <c r="I1163" s="184">
        <f>IFERROR(__xludf.DUMMYFUNCTION("IFERROR(lookup(9999999999,FILTER('Operações-BR'!Q:Q,'Operações-BR'!$C:$C=A1163,'Operações-BR'!$A:$A&lt;=C1163))/G1163,0)"),0.0)</f>
        <v>0</v>
      </c>
      <c r="J1163" s="185" t="str">
        <f>IFERROR(VLOOKUP(A1163,Ativos!$A$1:$G2000,5,),"")</f>
        <v/>
      </c>
      <c r="K1163" s="185" t="str">
        <f>IFERROR(VLOOKUP(A1163,Ativos!A:H,8,),"")</f>
        <v/>
      </c>
      <c r="L1163" s="186">
        <f t="shared" si="3"/>
        <v>0</v>
      </c>
    </row>
    <row r="1164" ht="21.0" customHeight="1">
      <c r="A1164" s="187"/>
      <c r="B1164" s="187"/>
      <c r="C1164" s="188"/>
      <c r="D1164" s="135"/>
      <c r="E1164" s="189"/>
      <c r="F1164" s="182" t="str">
        <f t="shared" si="1"/>
        <v/>
      </c>
      <c r="G1164" s="183">
        <f>IFERROR(__xludf.DUMMYFUNCTION("IFERROR(lookup(9999999999,FILTER('Operações-BR'!$M:$M,'Operações-BR'!$C:$C=A1164,'Operações-BR'!$A:$A&lt;=C1164)),0)"),0.0)</f>
        <v>0</v>
      </c>
      <c r="H1164" s="184">
        <f t="shared" si="2"/>
        <v>0</v>
      </c>
      <c r="I1164" s="184">
        <f>IFERROR(__xludf.DUMMYFUNCTION("IFERROR(lookup(9999999999,FILTER('Operações-BR'!Q:Q,'Operações-BR'!$C:$C=A1164,'Operações-BR'!$A:$A&lt;=C1164))/G1164,0)"),0.0)</f>
        <v>0</v>
      </c>
      <c r="J1164" s="185" t="str">
        <f>IFERROR(VLOOKUP(A1164,Ativos!$A$1:$G2000,5,),"")</f>
        <v/>
      </c>
      <c r="K1164" s="185" t="str">
        <f>IFERROR(VLOOKUP(A1164,Ativos!A:H,8,),"")</f>
        <v/>
      </c>
      <c r="L1164" s="186">
        <f t="shared" si="3"/>
        <v>0</v>
      </c>
    </row>
    <row r="1165" ht="21.0" customHeight="1">
      <c r="A1165" s="187"/>
      <c r="B1165" s="187"/>
      <c r="C1165" s="188"/>
      <c r="D1165" s="135"/>
      <c r="E1165" s="189"/>
      <c r="F1165" s="182" t="str">
        <f t="shared" si="1"/>
        <v/>
      </c>
      <c r="G1165" s="183">
        <f>IFERROR(__xludf.DUMMYFUNCTION("IFERROR(lookup(9999999999,FILTER('Operações-BR'!$M:$M,'Operações-BR'!$C:$C=A1165,'Operações-BR'!$A:$A&lt;=C1165)),0)"),0.0)</f>
        <v>0</v>
      </c>
      <c r="H1165" s="184">
        <f t="shared" si="2"/>
        <v>0</v>
      </c>
      <c r="I1165" s="184">
        <f>IFERROR(__xludf.DUMMYFUNCTION("IFERROR(lookup(9999999999,FILTER('Operações-BR'!Q:Q,'Operações-BR'!$C:$C=A1165,'Operações-BR'!$A:$A&lt;=C1165))/G1165,0)"),0.0)</f>
        <v>0</v>
      </c>
      <c r="J1165" s="185" t="str">
        <f>IFERROR(VLOOKUP(A1165,Ativos!$A$1:$G2000,5,),"")</f>
        <v/>
      </c>
      <c r="K1165" s="185" t="str">
        <f>IFERROR(VLOOKUP(A1165,Ativos!A:H,8,),"")</f>
        <v/>
      </c>
      <c r="L1165" s="186">
        <f t="shared" si="3"/>
        <v>0</v>
      </c>
    </row>
    <row r="1166" ht="21.0" customHeight="1">
      <c r="A1166" s="187"/>
      <c r="B1166" s="187"/>
      <c r="C1166" s="188"/>
      <c r="D1166" s="135"/>
      <c r="E1166" s="189"/>
      <c r="F1166" s="182" t="str">
        <f t="shared" si="1"/>
        <v/>
      </c>
      <c r="G1166" s="183">
        <f>IFERROR(__xludf.DUMMYFUNCTION("IFERROR(lookup(9999999999,FILTER('Operações-BR'!$M:$M,'Operações-BR'!$C:$C=A1166,'Operações-BR'!$A:$A&lt;=C1166)),0)"),0.0)</f>
        <v>0</v>
      </c>
      <c r="H1166" s="184">
        <f t="shared" si="2"/>
        <v>0</v>
      </c>
      <c r="I1166" s="184">
        <f>IFERROR(__xludf.DUMMYFUNCTION("IFERROR(lookup(9999999999,FILTER('Operações-BR'!Q:Q,'Operações-BR'!$C:$C=A1166,'Operações-BR'!$A:$A&lt;=C1166))/G1166,0)"),0.0)</f>
        <v>0</v>
      </c>
      <c r="J1166" s="185" t="str">
        <f>IFERROR(VLOOKUP(A1166,Ativos!$A$1:$G2000,5,),"")</f>
        <v/>
      </c>
      <c r="K1166" s="185" t="str">
        <f>IFERROR(VLOOKUP(A1166,Ativos!A:H,8,),"")</f>
        <v/>
      </c>
      <c r="L1166" s="186">
        <f t="shared" si="3"/>
        <v>0</v>
      </c>
    </row>
    <row r="1167" ht="21.0" customHeight="1">
      <c r="A1167" s="187"/>
      <c r="B1167" s="187"/>
      <c r="C1167" s="188"/>
      <c r="D1167" s="135"/>
      <c r="E1167" s="189"/>
      <c r="F1167" s="182" t="str">
        <f t="shared" si="1"/>
        <v/>
      </c>
      <c r="G1167" s="183">
        <f>IFERROR(__xludf.DUMMYFUNCTION("IFERROR(lookup(9999999999,FILTER('Operações-BR'!$M:$M,'Operações-BR'!$C:$C=A1167,'Operações-BR'!$A:$A&lt;=C1167)),0)"),0.0)</f>
        <v>0</v>
      </c>
      <c r="H1167" s="184">
        <f t="shared" si="2"/>
        <v>0</v>
      </c>
      <c r="I1167" s="184">
        <f>IFERROR(__xludf.DUMMYFUNCTION("IFERROR(lookup(9999999999,FILTER('Operações-BR'!Q:Q,'Operações-BR'!$C:$C=A1167,'Operações-BR'!$A:$A&lt;=C1167))/G1167,0)"),0.0)</f>
        <v>0</v>
      </c>
      <c r="J1167" s="185" t="str">
        <f>IFERROR(VLOOKUP(A1167,Ativos!$A$1:$G2000,5,),"")</f>
        <v/>
      </c>
      <c r="K1167" s="185" t="str">
        <f>IFERROR(VLOOKUP(A1167,Ativos!A:H,8,),"")</f>
        <v/>
      </c>
      <c r="L1167" s="186">
        <f t="shared" si="3"/>
        <v>0</v>
      </c>
    </row>
    <row r="1168" ht="21.0" customHeight="1">
      <c r="A1168" s="187"/>
      <c r="B1168" s="187"/>
      <c r="C1168" s="188"/>
      <c r="D1168" s="135"/>
      <c r="E1168" s="189"/>
      <c r="F1168" s="182" t="str">
        <f t="shared" si="1"/>
        <v/>
      </c>
      <c r="G1168" s="183">
        <f>IFERROR(__xludf.DUMMYFUNCTION("IFERROR(lookup(9999999999,FILTER('Operações-BR'!$M:$M,'Operações-BR'!$C:$C=A1168,'Operações-BR'!$A:$A&lt;=C1168)),0)"),0.0)</f>
        <v>0</v>
      </c>
      <c r="H1168" s="184">
        <f t="shared" si="2"/>
        <v>0</v>
      </c>
      <c r="I1168" s="184">
        <f>IFERROR(__xludf.DUMMYFUNCTION("IFERROR(lookup(9999999999,FILTER('Operações-BR'!Q:Q,'Operações-BR'!$C:$C=A1168,'Operações-BR'!$A:$A&lt;=C1168))/G1168,0)"),0.0)</f>
        <v>0</v>
      </c>
      <c r="J1168" s="185" t="str">
        <f>IFERROR(VLOOKUP(A1168,Ativos!$A$1:$G2000,5,),"")</f>
        <v/>
      </c>
      <c r="K1168" s="185" t="str">
        <f>IFERROR(VLOOKUP(A1168,Ativos!A:H,8,),"")</f>
        <v/>
      </c>
      <c r="L1168" s="186">
        <f t="shared" si="3"/>
        <v>0</v>
      </c>
    </row>
    <row r="1169" ht="21.0" customHeight="1">
      <c r="A1169" s="187"/>
      <c r="B1169" s="187"/>
      <c r="C1169" s="188"/>
      <c r="D1169" s="135"/>
      <c r="E1169" s="189"/>
      <c r="F1169" s="182" t="str">
        <f t="shared" si="1"/>
        <v/>
      </c>
      <c r="G1169" s="183">
        <f>IFERROR(__xludf.DUMMYFUNCTION("IFERROR(lookup(9999999999,FILTER('Operações-BR'!$M:$M,'Operações-BR'!$C:$C=A1169,'Operações-BR'!$A:$A&lt;=C1169)),0)"),0.0)</f>
        <v>0</v>
      </c>
      <c r="H1169" s="184">
        <f t="shared" si="2"/>
        <v>0</v>
      </c>
      <c r="I1169" s="184">
        <f>IFERROR(__xludf.DUMMYFUNCTION("IFERROR(lookup(9999999999,FILTER('Operações-BR'!Q:Q,'Operações-BR'!$C:$C=A1169,'Operações-BR'!$A:$A&lt;=C1169))/G1169,0)"),0.0)</f>
        <v>0</v>
      </c>
      <c r="J1169" s="185" t="str">
        <f>IFERROR(VLOOKUP(A1169,Ativos!$A$1:$G2000,5,),"")</f>
        <v/>
      </c>
      <c r="K1169" s="185" t="str">
        <f>IFERROR(VLOOKUP(A1169,Ativos!A:H,8,),"")</f>
        <v/>
      </c>
      <c r="L1169" s="186">
        <f t="shared" si="3"/>
        <v>0</v>
      </c>
    </row>
    <row r="1170" ht="21.0" customHeight="1">
      <c r="A1170" s="187"/>
      <c r="B1170" s="187"/>
      <c r="C1170" s="188"/>
      <c r="D1170" s="135"/>
      <c r="E1170" s="189"/>
      <c r="F1170" s="182" t="str">
        <f t="shared" si="1"/>
        <v/>
      </c>
      <c r="G1170" s="183">
        <f>IFERROR(__xludf.DUMMYFUNCTION("IFERROR(lookup(9999999999,FILTER('Operações-BR'!$M:$M,'Operações-BR'!$C:$C=A1170,'Operações-BR'!$A:$A&lt;=C1170)),0)"),0.0)</f>
        <v>0</v>
      </c>
      <c r="H1170" s="184">
        <f t="shared" si="2"/>
        <v>0</v>
      </c>
      <c r="I1170" s="184">
        <f>IFERROR(__xludf.DUMMYFUNCTION("IFERROR(lookup(9999999999,FILTER('Operações-BR'!Q:Q,'Operações-BR'!$C:$C=A1170,'Operações-BR'!$A:$A&lt;=C1170))/G1170,0)"),0.0)</f>
        <v>0</v>
      </c>
      <c r="J1170" s="185" t="str">
        <f>IFERROR(VLOOKUP(A1170,Ativos!$A$1:$G2000,5,),"")</f>
        <v/>
      </c>
      <c r="K1170" s="185" t="str">
        <f>IFERROR(VLOOKUP(A1170,Ativos!A:H,8,),"")</f>
        <v/>
      </c>
      <c r="L1170" s="186">
        <f t="shared" si="3"/>
        <v>0</v>
      </c>
    </row>
    <row r="1171" ht="21.0" customHeight="1">
      <c r="A1171" s="187"/>
      <c r="B1171" s="187"/>
      <c r="C1171" s="188"/>
      <c r="D1171" s="135"/>
      <c r="E1171" s="189"/>
      <c r="F1171" s="182" t="str">
        <f t="shared" si="1"/>
        <v/>
      </c>
      <c r="G1171" s="183">
        <f>IFERROR(__xludf.DUMMYFUNCTION("IFERROR(lookup(9999999999,FILTER('Operações-BR'!$M:$M,'Operações-BR'!$C:$C=A1171,'Operações-BR'!$A:$A&lt;=C1171)),0)"),0.0)</f>
        <v>0</v>
      </c>
      <c r="H1171" s="184">
        <f t="shared" si="2"/>
        <v>0</v>
      </c>
      <c r="I1171" s="184">
        <f>IFERROR(__xludf.DUMMYFUNCTION("IFERROR(lookup(9999999999,FILTER('Operações-BR'!Q:Q,'Operações-BR'!$C:$C=A1171,'Operações-BR'!$A:$A&lt;=C1171))/G1171,0)"),0.0)</f>
        <v>0</v>
      </c>
      <c r="J1171" s="185" t="str">
        <f>IFERROR(VLOOKUP(A1171,Ativos!$A$1:$G2000,5,),"")</f>
        <v/>
      </c>
      <c r="K1171" s="185" t="str">
        <f>IFERROR(VLOOKUP(A1171,Ativos!A:H,8,),"")</f>
        <v/>
      </c>
      <c r="L1171" s="186">
        <f t="shared" si="3"/>
        <v>0</v>
      </c>
    </row>
    <row r="1172" ht="21.0" customHeight="1">
      <c r="A1172" s="187"/>
      <c r="B1172" s="187"/>
      <c r="C1172" s="188"/>
      <c r="D1172" s="135"/>
      <c r="E1172" s="189"/>
      <c r="F1172" s="182" t="str">
        <f t="shared" si="1"/>
        <v/>
      </c>
      <c r="G1172" s="183">
        <f>IFERROR(__xludf.DUMMYFUNCTION("IFERROR(lookup(9999999999,FILTER('Operações-BR'!$M:$M,'Operações-BR'!$C:$C=A1172,'Operações-BR'!$A:$A&lt;=C1172)),0)"),0.0)</f>
        <v>0</v>
      </c>
      <c r="H1172" s="184">
        <f t="shared" si="2"/>
        <v>0</v>
      </c>
      <c r="I1172" s="184">
        <f>IFERROR(__xludf.DUMMYFUNCTION("IFERROR(lookup(9999999999,FILTER('Operações-BR'!Q:Q,'Operações-BR'!$C:$C=A1172,'Operações-BR'!$A:$A&lt;=C1172))/G1172,0)"),0.0)</f>
        <v>0</v>
      </c>
      <c r="J1172" s="185" t="str">
        <f>IFERROR(VLOOKUP(A1172,Ativos!$A$1:$G2000,5,),"")</f>
        <v/>
      </c>
      <c r="K1172" s="185" t="str">
        <f>IFERROR(VLOOKUP(A1172,Ativos!A:H,8,),"")</f>
        <v/>
      </c>
      <c r="L1172" s="186">
        <f t="shared" si="3"/>
        <v>0</v>
      </c>
    </row>
    <row r="1173" ht="21.0" customHeight="1">
      <c r="A1173" s="187"/>
      <c r="B1173" s="187"/>
      <c r="C1173" s="188"/>
      <c r="D1173" s="135"/>
      <c r="E1173" s="189"/>
      <c r="F1173" s="182" t="str">
        <f t="shared" si="1"/>
        <v/>
      </c>
      <c r="G1173" s="183">
        <f>IFERROR(__xludf.DUMMYFUNCTION("IFERROR(lookup(9999999999,FILTER('Operações-BR'!$M:$M,'Operações-BR'!$C:$C=A1173,'Operações-BR'!$A:$A&lt;=C1173)),0)"),0.0)</f>
        <v>0</v>
      </c>
      <c r="H1173" s="184">
        <f t="shared" si="2"/>
        <v>0</v>
      </c>
      <c r="I1173" s="184">
        <f>IFERROR(__xludf.DUMMYFUNCTION("IFERROR(lookup(9999999999,FILTER('Operações-BR'!Q:Q,'Operações-BR'!$C:$C=A1173,'Operações-BR'!$A:$A&lt;=C1173))/G1173,0)"),0.0)</f>
        <v>0</v>
      </c>
      <c r="J1173" s="185" t="str">
        <f>IFERROR(VLOOKUP(A1173,Ativos!$A$1:$G2000,5,),"")</f>
        <v/>
      </c>
      <c r="K1173" s="185" t="str">
        <f>IFERROR(VLOOKUP(A1173,Ativos!A:H,8,),"")</f>
        <v/>
      </c>
      <c r="L1173" s="186">
        <f t="shared" si="3"/>
        <v>0</v>
      </c>
    </row>
    <row r="1174" ht="21.0" customHeight="1">
      <c r="A1174" s="187"/>
      <c r="B1174" s="187"/>
      <c r="C1174" s="188"/>
      <c r="D1174" s="135"/>
      <c r="E1174" s="189"/>
      <c r="F1174" s="182" t="str">
        <f t="shared" si="1"/>
        <v/>
      </c>
      <c r="G1174" s="183">
        <f>IFERROR(__xludf.DUMMYFUNCTION("IFERROR(lookup(9999999999,FILTER('Operações-BR'!$M:$M,'Operações-BR'!$C:$C=A1174,'Operações-BR'!$A:$A&lt;=C1174)),0)"),0.0)</f>
        <v>0</v>
      </c>
      <c r="H1174" s="184">
        <f t="shared" si="2"/>
        <v>0</v>
      </c>
      <c r="I1174" s="184">
        <f>IFERROR(__xludf.DUMMYFUNCTION("IFERROR(lookup(9999999999,FILTER('Operações-BR'!Q:Q,'Operações-BR'!$C:$C=A1174,'Operações-BR'!$A:$A&lt;=C1174))/G1174,0)"),0.0)</f>
        <v>0</v>
      </c>
      <c r="J1174" s="185" t="str">
        <f>IFERROR(VLOOKUP(A1174,Ativos!$A$1:$G2000,5,),"")</f>
        <v/>
      </c>
      <c r="K1174" s="185" t="str">
        <f>IFERROR(VLOOKUP(A1174,Ativos!A:H,8,),"")</f>
        <v/>
      </c>
      <c r="L1174" s="186">
        <f t="shared" si="3"/>
        <v>0</v>
      </c>
    </row>
    <row r="1175" ht="21.0" customHeight="1">
      <c r="A1175" s="187"/>
      <c r="B1175" s="187"/>
      <c r="C1175" s="188"/>
      <c r="D1175" s="135"/>
      <c r="E1175" s="189"/>
      <c r="F1175" s="182" t="str">
        <f t="shared" si="1"/>
        <v/>
      </c>
      <c r="G1175" s="183">
        <f>IFERROR(__xludf.DUMMYFUNCTION("IFERROR(lookup(9999999999,FILTER('Operações-BR'!$M:$M,'Operações-BR'!$C:$C=A1175,'Operações-BR'!$A:$A&lt;=C1175)),0)"),0.0)</f>
        <v>0</v>
      </c>
      <c r="H1175" s="184">
        <f t="shared" si="2"/>
        <v>0</v>
      </c>
      <c r="I1175" s="184">
        <f>IFERROR(__xludf.DUMMYFUNCTION("IFERROR(lookup(9999999999,FILTER('Operações-BR'!Q:Q,'Operações-BR'!$C:$C=A1175,'Operações-BR'!$A:$A&lt;=C1175))/G1175,0)"),0.0)</f>
        <v>0</v>
      </c>
      <c r="J1175" s="185" t="str">
        <f>IFERROR(VLOOKUP(A1175,Ativos!$A$1:$G2000,5,),"")</f>
        <v/>
      </c>
      <c r="K1175" s="185" t="str">
        <f>IFERROR(VLOOKUP(A1175,Ativos!A:H,8,),"")</f>
        <v/>
      </c>
      <c r="L1175" s="186">
        <f t="shared" si="3"/>
        <v>0</v>
      </c>
    </row>
    <row r="1176" ht="21.0" customHeight="1">
      <c r="A1176" s="187"/>
      <c r="B1176" s="187"/>
      <c r="C1176" s="188"/>
      <c r="D1176" s="135"/>
      <c r="E1176" s="189"/>
      <c r="F1176" s="182" t="str">
        <f t="shared" si="1"/>
        <v/>
      </c>
      <c r="G1176" s="183">
        <f>IFERROR(__xludf.DUMMYFUNCTION("IFERROR(lookup(9999999999,FILTER('Operações-BR'!$M:$M,'Operações-BR'!$C:$C=A1176,'Operações-BR'!$A:$A&lt;=C1176)),0)"),0.0)</f>
        <v>0</v>
      </c>
      <c r="H1176" s="184">
        <f t="shared" si="2"/>
        <v>0</v>
      </c>
      <c r="I1176" s="184">
        <f>IFERROR(__xludf.DUMMYFUNCTION("IFERROR(lookup(9999999999,FILTER('Operações-BR'!Q:Q,'Operações-BR'!$C:$C=A1176,'Operações-BR'!$A:$A&lt;=C1176))/G1176,0)"),0.0)</f>
        <v>0</v>
      </c>
      <c r="J1176" s="185" t="str">
        <f>IFERROR(VLOOKUP(A1176,Ativos!$A$1:$G2000,5,),"")</f>
        <v/>
      </c>
      <c r="K1176" s="185" t="str">
        <f>IFERROR(VLOOKUP(A1176,Ativos!A:H,8,),"")</f>
        <v/>
      </c>
      <c r="L1176" s="186">
        <f t="shared" si="3"/>
        <v>0</v>
      </c>
    </row>
    <row r="1177" ht="21.0" customHeight="1">
      <c r="A1177" s="187"/>
      <c r="B1177" s="187"/>
      <c r="C1177" s="188"/>
      <c r="D1177" s="135"/>
      <c r="E1177" s="189"/>
      <c r="F1177" s="182" t="str">
        <f t="shared" si="1"/>
        <v/>
      </c>
      <c r="G1177" s="183">
        <f>IFERROR(__xludf.DUMMYFUNCTION("IFERROR(lookup(9999999999,FILTER('Operações-BR'!$M:$M,'Operações-BR'!$C:$C=A1177,'Operações-BR'!$A:$A&lt;=C1177)),0)"),0.0)</f>
        <v>0</v>
      </c>
      <c r="H1177" s="184">
        <f t="shared" si="2"/>
        <v>0</v>
      </c>
      <c r="I1177" s="184">
        <f>IFERROR(__xludf.DUMMYFUNCTION("IFERROR(lookup(9999999999,FILTER('Operações-BR'!Q:Q,'Operações-BR'!$C:$C=A1177,'Operações-BR'!$A:$A&lt;=C1177))/G1177,0)"),0.0)</f>
        <v>0</v>
      </c>
      <c r="J1177" s="185" t="str">
        <f>IFERROR(VLOOKUP(A1177,Ativos!$A$1:$G2000,5,),"")</f>
        <v/>
      </c>
      <c r="K1177" s="185" t="str">
        <f>IFERROR(VLOOKUP(A1177,Ativos!A:H,8,),"")</f>
        <v/>
      </c>
      <c r="L1177" s="186">
        <f t="shared" si="3"/>
        <v>0</v>
      </c>
    </row>
    <row r="1178" ht="21.0" customHeight="1">
      <c r="A1178" s="187"/>
      <c r="B1178" s="187"/>
      <c r="C1178" s="188"/>
      <c r="D1178" s="135"/>
      <c r="E1178" s="189"/>
      <c r="F1178" s="182" t="str">
        <f t="shared" si="1"/>
        <v/>
      </c>
      <c r="G1178" s="183">
        <f>IFERROR(__xludf.DUMMYFUNCTION("IFERROR(lookup(9999999999,FILTER('Operações-BR'!$M:$M,'Operações-BR'!$C:$C=A1178,'Operações-BR'!$A:$A&lt;=C1178)),0)"),0.0)</f>
        <v>0</v>
      </c>
      <c r="H1178" s="184">
        <f t="shared" si="2"/>
        <v>0</v>
      </c>
      <c r="I1178" s="184">
        <f>IFERROR(__xludf.DUMMYFUNCTION("IFERROR(lookup(9999999999,FILTER('Operações-BR'!Q:Q,'Operações-BR'!$C:$C=A1178,'Operações-BR'!$A:$A&lt;=C1178))/G1178,0)"),0.0)</f>
        <v>0</v>
      </c>
      <c r="J1178" s="185" t="str">
        <f>IFERROR(VLOOKUP(A1178,Ativos!$A$1:$G2000,5,),"")</f>
        <v/>
      </c>
      <c r="K1178" s="185" t="str">
        <f>IFERROR(VLOOKUP(A1178,Ativos!A:H,8,),"")</f>
        <v/>
      </c>
      <c r="L1178" s="186">
        <f t="shared" si="3"/>
        <v>0</v>
      </c>
    </row>
    <row r="1179" ht="21.0" customHeight="1">
      <c r="A1179" s="187"/>
      <c r="B1179" s="187"/>
      <c r="C1179" s="188"/>
      <c r="D1179" s="135"/>
      <c r="E1179" s="189"/>
      <c r="F1179" s="182" t="str">
        <f t="shared" si="1"/>
        <v/>
      </c>
      <c r="G1179" s="183">
        <f>IFERROR(__xludf.DUMMYFUNCTION("IFERROR(lookup(9999999999,FILTER('Operações-BR'!$M:$M,'Operações-BR'!$C:$C=A1179,'Operações-BR'!$A:$A&lt;=C1179)),0)"),0.0)</f>
        <v>0</v>
      </c>
      <c r="H1179" s="184">
        <f t="shared" si="2"/>
        <v>0</v>
      </c>
      <c r="I1179" s="184">
        <f>IFERROR(__xludf.DUMMYFUNCTION("IFERROR(lookup(9999999999,FILTER('Operações-BR'!Q:Q,'Operações-BR'!$C:$C=A1179,'Operações-BR'!$A:$A&lt;=C1179))/G1179,0)"),0.0)</f>
        <v>0</v>
      </c>
      <c r="J1179" s="185" t="str">
        <f>IFERROR(VLOOKUP(A1179,Ativos!$A$1:$G2000,5,),"")</f>
        <v/>
      </c>
      <c r="K1179" s="185" t="str">
        <f>IFERROR(VLOOKUP(A1179,Ativos!A:H,8,),"")</f>
        <v/>
      </c>
      <c r="L1179" s="186">
        <f t="shared" si="3"/>
        <v>0</v>
      </c>
    </row>
    <row r="1180" ht="21.0" customHeight="1">
      <c r="A1180" s="187"/>
      <c r="B1180" s="187"/>
      <c r="C1180" s="188"/>
      <c r="D1180" s="135"/>
      <c r="E1180" s="189"/>
      <c r="F1180" s="182" t="str">
        <f t="shared" si="1"/>
        <v/>
      </c>
      <c r="G1180" s="183">
        <f>IFERROR(__xludf.DUMMYFUNCTION("IFERROR(lookup(9999999999,FILTER('Operações-BR'!$M:$M,'Operações-BR'!$C:$C=A1180,'Operações-BR'!$A:$A&lt;=C1180)),0)"),0.0)</f>
        <v>0</v>
      </c>
      <c r="H1180" s="184">
        <f t="shared" si="2"/>
        <v>0</v>
      </c>
      <c r="I1180" s="184">
        <f>IFERROR(__xludf.DUMMYFUNCTION("IFERROR(lookup(9999999999,FILTER('Operações-BR'!Q:Q,'Operações-BR'!$C:$C=A1180,'Operações-BR'!$A:$A&lt;=C1180))/G1180,0)"),0.0)</f>
        <v>0</v>
      </c>
      <c r="J1180" s="185" t="str">
        <f>IFERROR(VLOOKUP(A1180,Ativos!$A$1:$G2000,5,),"")</f>
        <v/>
      </c>
      <c r="K1180" s="185" t="str">
        <f>IFERROR(VLOOKUP(A1180,Ativos!A:H,8,),"")</f>
        <v/>
      </c>
      <c r="L1180" s="186">
        <f t="shared" si="3"/>
        <v>0</v>
      </c>
    </row>
    <row r="1181" ht="21.0" customHeight="1">
      <c r="A1181" s="187"/>
      <c r="B1181" s="187"/>
      <c r="C1181" s="188"/>
      <c r="D1181" s="135"/>
      <c r="E1181" s="189"/>
      <c r="F1181" s="182" t="str">
        <f t="shared" si="1"/>
        <v/>
      </c>
      <c r="G1181" s="183">
        <f>IFERROR(__xludf.DUMMYFUNCTION("IFERROR(lookup(9999999999,FILTER('Operações-BR'!$M:$M,'Operações-BR'!$C:$C=A1181,'Operações-BR'!$A:$A&lt;=C1181)),0)"),0.0)</f>
        <v>0</v>
      </c>
      <c r="H1181" s="184">
        <f t="shared" si="2"/>
        <v>0</v>
      </c>
      <c r="I1181" s="184">
        <f>IFERROR(__xludf.DUMMYFUNCTION("IFERROR(lookup(9999999999,FILTER('Operações-BR'!Q:Q,'Operações-BR'!$C:$C=A1181,'Operações-BR'!$A:$A&lt;=C1181))/G1181,0)"),0.0)</f>
        <v>0</v>
      </c>
      <c r="J1181" s="185" t="str">
        <f>IFERROR(VLOOKUP(A1181,Ativos!$A$1:$G2000,5,),"")</f>
        <v/>
      </c>
      <c r="K1181" s="185" t="str">
        <f>IFERROR(VLOOKUP(A1181,Ativos!A:H,8,),"")</f>
        <v/>
      </c>
      <c r="L1181" s="186">
        <f t="shared" si="3"/>
        <v>0</v>
      </c>
    </row>
    <row r="1182" ht="21.0" customHeight="1">
      <c r="A1182" s="187"/>
      <c r="B1182" s="187"/>
      <c r="C1182" s="188"/>
      <c r="D1182" s="135"/>
      <c r="E1182" s="189"/>
      <c r="F1182" s="182" t="str">
        <f t="shared" si="1"/>
        <v/>
      </c>
      <c r="G1182" s="183">
        <f>IFERROR(__xludf.DUMMYFUNCTION("IFERROR(lookup(9999999999,FILTER('Operações-BR'!$M:$M,'Operações-BR'!$C:$C=A1182,'Operações-BR'!$A:$A&lt;=C1182)),0)"),0.0)</f>
        <v>0</v>
      </c>
      <c r="H1182" s="184">
        <f t="shared" si="2"/>
        <v>0</v>
      </c>
      <c r="I1182" s="184">
        <f>IFERROR(__xludf.DUMMYFUNCTION("IFERROR(lookup(9999999999,FILTER('Operações-BR'!Q:Q,'Operações-BR'!$C:$C=A1182,'Operações-BR'!$A:$A&lt;=C1182))/G1182,0)"),0.0)</f>
        <v>0</v>
      </c>
      <c r="J1182" s="185" t="str">
        <f>IFERROR(VLOOKUP(A1182,Ativos!$A$1:$G2000,5,),"")</f>
        <v/>
      </c>
      <c r="K1182" s="185" t="str">
        <f>IFERROR(VLOOKUP(A1182,Ativos!A:H,8,),"")</f>
        <v/>
      </c>
      <c r="L1182" s="186">
        <f t="shared" si="3"/>
        <v>0</v>
      </c>
    </row>
    <row r="1183" ht="21.0" customHeight="1">
      <c r="A1183" s="187"/>
      <c r="B1183" s="187"/>
      <c r="C1183" s="188"/>
      <c r="D1183" s="135"/>
      <c r="E1183" s="189"/>
      <c r="F1183" s="182" t="str">
        <f t="shared" si="1"/>
        <v/>
      </c>
      <c r="G1183" s="183">
        <f>IFERROR(__xludf.DUMMYFUNCTION("IFERROR(lookup(9999999999,FILTER('Operações-BR'!$M:$M,'Operações-BR'!$C:$C=A1183,'Operações-BR'!$A:$A&lt;=C1183)),0)"),0.0)</f>
        <v>0</v>
      </c>
      <c r="H1183" s="184">
        <f t="shared" si="2"/>
        <v>0</v>
      </c>
      <c r="I1183" s="184">
        <f>IFERROR(__xludf.DUMMYFUNCTION("IFERROR(lookup(9999999999,FILTER('Operações-BR'!Q:Q,'Operações-BR'!$C:$C=A1183,'Operações-BR'!$A:$A&lt;=C1183))/G1183,0)"),0.0)</f>
        <v>0</v>
      </c>
      <c r="J1183" s="185" t="str">
        <f>IFERROR(VLOOKUP(A1183,Ativos!$A$1:$G2000,5,),"")</f>
        <v/>
      </c>
      <c r="K1183" s="185" t="str">
        <f>IFERROR(VLOOKUP(A1183,Ativos!A:H,8,),"")</f>
        <v/>
      </c>
      <c r="L1183" s="186">
        <f t="shared" si="3"/>
        <v>0</v>
      </c>
    </row>
    <row r="1184" ht="21.0" customHeight="1">
      <c r="A1184" s="187"/>
      <c r="B1184" s="187"/>
      <c r="C1184" s="188"/>
      <c r="D1184" s="135"/>
      <c r="E1184" s="189"/>
      <c r="F1184" s="182" t="str">
        <f t="shared" si="1"/>
        <v/>
      </c>
      <c r="G1184" s="183">
        <f>IFERROR(__xludf.DUMMYFUNCTION("IFERROR(lookup(9999999999,FILTER('Operações-BR'!$M:$M,'Operações-BR'!$C:$C=A1184,'Operações-BR'!$A:$A&lt;=C1184)),0)"),0.0)</f>
        <v>0</v>
      </c>
      <c r="H1184" s="184">
        <f t="shared" si="2"/>
        <v>0</v>
      </c>
      <c r="I1184" s="184">
        <f>IFERROR(__xludf.DUMMYFUNCTION("IFERROR(lookup(9999999999,FILTER('Operações-BR'!Q:Q,'Operações-BR'!$C:$C=A1184,'Operações-BR'!$A:$A&lt;=C1184))/G1184,0)"),0.0)</f>
        <v>0</v>
      </c>
      <c r="J1184" s="185" t="str">
        <f>IFERROR(VLOOKUP(A1184,Ativos!$A$1:$G2000,5,),"")</f>
        <v/>
      </c>
      <c r="K1184" s="185" t="str">
        <f>IFERROR(VLOOKUP(A1184,Ativos!A:H,8,),"")</f>
        <v/>
      </c>
      <c r="L1184" s="186">
        <f t="shared" si="3"/>
        <v>0</v>
      </c>
    </row>
    <row r="1185" ht="21.0" customHeight="1">
      <c r="A1185" s="187"/>
      <c r="B1185" s="187"/>
      <c r="C1185" s="188"/>
      <c r="D1185" s="135"/>
      <c r="E1185" s="189"/>
      <c r="F1185" s="182" t="str">
        <f t="shared" si="1"/>
        <v/>
      </c>
      <c r="G1185" s="183">
        <f>IFERROR(__xludf.DUMMYFUNCTION("IFERROR(lookup(9999999999,FILTER('Operações-BR'!$M:$M,'Operações-BR'!$C:$C=A1185,'Operações-BR'!$A:$A&lt;=C1185)),0)"),0.0)</f>
        <v>0</v>
      </c>
      <c r="H1185" s="184">
        <f t="shared" si="2"/>
        <v>0</v>
      </c>
      <c r="I1185" s="184">
        <f>IFERROR(__xludf.DUMMYFUNCTION("IFERROR(lookup(9999999999,FILTER('Operações-BR'!Q:Q,'Operações-BR'!$C:$C=A1185,'Operações-BR'!$A:$A&lt;=C1185))/G1185,0)"),0.0)</f>
        <v>0</v>
      </c>
      <c r="J1185" s="185" t="str">
        <f>IFERROR(VLOOKUP(A1185,Ativos!$A$1:$G2000,5,),"")</f>
        <v/>
      </c>
      <c r="K1185" s="185" t="str">
        <f>IFERROR(VLOOKUP(A1185,Ativos!A:H,8,),"")</f>
        <v/>
      </c>
      <c r="L1185" s="186">
        <f t="shared" si="3"/>
        <v>0</v>
      </c>
    </row>
    <row r="1186" ht="21.0" customHeight="1">
      <c r="A1186" s="187"/>
      <c r="B1186" s="187"/>
      <c r="C1186" s="188"/>
      <c r="D1186" s="135"/>
      <c r="E1186" s="189"/>
      <c r="F1186" s="182" t="str">
        <f t="shared" si="1"/>
        <v/>
      </c>
      <c r="G1186" s="183">
        <f>IFERROR(__xludf.DUMMYFUNCTION("IFERROR(lookup(9999999999,FILTER('Operações-BR'!$M:$M,'Operações-BR'!$C:$C=A1186,'Operações-BR'!$A:$A&lt;=C1186)),0)"),0.0)</f>
        <v>0</v>
      </c>
      <c r="H1186" s="184">
        <f t="shared" si="2"/>
        <v>0</v>
      </c>
      <c r="I1186" s="184">
        <f>IFERROR(__xludf.DUMMYFUNCTION("IFERROR(lookup(9999999999,FILTER('Operações-BR'!Q:Q,'Operações-BR'!$C:$C=A1186,'Operações-BR'!$A:$A&lt;=C1186))/G1186,0)"),0.0)</f>
        <v>0</v>
      </c>
      <c r="J1186" s="185" t="str">
        <f>IFERROR(VLOOKUP(A1186,Ativos!$A$1:$G2000,5,),"")</f>
        <v/>
      </c>
      <c r="K1186" s="185" t="str">
        <f>IFERROR(VLOOKUP(A1186,Ativos!A:H,8,),"")</f>
        <v/>
      </c>
      <c r="L1186" s="186">
        <f t="shared" si="3"/>
        <v>0</v>
      </c>
    </row>
    <row r="1187" ht="21.0" customHeight="1">
      <c r="A1187" s="187"/>
      <c r="B1187" s="187"/>
      <c r="C1187" s="188"/>
      <c r="D1187" s="135"/>
      <c r="E1187" s="189"/>
      <c r="F1187" s="182" t="str">
        <f t="shared" si="1"/>
        <v/>
      </c>
      <c r="G1187" s="183">
        <f>IFERROR(__xludf.DUMMYFUNCTION("IFERROR(lookup(9999999999,FILTER('Operações-BR'!$M:$M,'Operações-BR'!$C:$C=A1187,'Operações-BR'!$A:$A&lt;=C1187)),0)"),0.0)</f>
        <v>0</v>
      </c>
      <c r="H1187" s="184">
        <f t="shared" si="2"/>
        <v>0</v>
      </c>
      <c r="I1187" s="184">
        <f>IFERROR(__xludf.DUMMYFUNCTION("IFERROR(lookup(9999999999,FILTER('Operações-BR'!Q:Q,'Operações-BR'!$C:$C=A1187,'Operações-BR'!$A:$A&lt;=C1187))/G1187,0)"),0.0)</f>
        <v>0</v>
      </c>
      <c r="J1187" s="185" t="str">
        <f>IFERROR(VLOOKUP(A1187,Ativos!$A$1:$G2000,5,),"")</f>
        <v/>
      </c>
      <c r="K1187" s="185" t="str">
        <f>IFERROR(VLOOKUP(A1187,Ativos!A:H,8,),"")</f>
        <v/>
      </c>
      <c r="L1187" s="186">
        <f t="shared" si="3"/>
        <v>0</v>
      </c>
    </row>
    <row r="1188" ht="21.0" customHeight="1">
      <c r="A1188" s="187"/>
      <c r="B1188" s="187"/>
      <c r="C1188" s="188"/>
      <c r="D1188" s="135"/>
      <c r="E1188" s="189"/>
      <c r="F1188" s="182" t="str">
        <f t="shared" si="1"/>
        <v/>
      </c>
      <c r="G1188" s="183">
        <f>IFERROR(__xludf.DUMMYFUNCTION("IFERROR(lookup(9999999999,FILTER('Operações-BR'!$M:$M,'Operações-BR'!$C:$C=A1188,'Operações-BR'!$A:$A&lt;=C1188)),0)"),0.0)</f>
        <v>0</v>
      </c>
      <c r="H1188" s="184">
        <f t="shared" si="2"/>
        <v>0</v>
      </c>
      <c r="I1188" s="184">
        <f>IFERROR(__xludf.DUMMYFUNCTION("IFERROR(lookup(9999999999,FILTER('Operações-BR'!Q:Q,'Operações-BR'!$C:$C=A1188,'Operações-BR'!$A:$A&lt;=C1188))/G1188,0)"),0.0)</f>
        <v>0</v>
      </c>
      <c r="J1188" s="185" t="str">
        <f>IFERROR(VLOOKUP(A1188,Ativos!$A$1:$G2000,5,),"")</f>
        <v/>
      </c>
      <c r="K1188" s="185" t="str">
        <f>IFERROR(VLOOKUP(A1188,Ativos!A:H,8,),"")</f>
        <v/>
      </c>
      <c r="L1188" s="186">
        <f t="shared" si="3"/>
        <v>0</v>
      </c>
    </row>
    <row r="1189" ht="21.0" customHeight="1">
      <c r="A1189" s="187"/>
      <c r="B1189" s="187"/>
      <c r="C1189" s="188"/>
      <c r="D1189" s="135"/>
      <c r="E1189" s="189"/>
      <c r="F1189" s="182" t="str">
        <f t="shared" si="1"/>
        <v/>
      </c>
      <c r="G1189" s="183">
        <f>IFERROR(__xludf.DUMMYFUNCTION("IFERROR(lookup(9999999999,FILTER('Operações-BR'!$M:$M,'Operações-BR'!$C:$C=A1189,'Operações-BR'!$A:$A&lt;=C1189)),0)"),0.0)</f>
        <v>0</v>
      </c>
      <c r="H1189" s="184">
        <f t="shared" si="2"/>
        <v>0</v>
      </c>
      <c r="I1189" s="184">
        <f>IFERROR(__xludf.DUMMYFUNCTION("IFERROR(lookup(9999999999,FILTER('Operações-BR'!Q:Q,'Operações-BR'!$C:$C=A1189,'Operações-BR'!$A:$A&lt;=C1189))/G1189,0)"),0.0)</f>
        <v>0</v>
      </c>
      <c r="J1189" s="185" t="str">
        <f>IFERROR(VLOOKUP(A1189,Ativos!$A$1:$G2000,5,),"")</f>
        <v/>
      </c>
      <c r="K1189" s="185" t="str">
        <f>IFERROR(VLOOKUP(A1189,Ativos!A:H,8,),"")</f>
        <v/>
      </c>
      <c r="L1189" s="186">
        <f t="shared" si="3"/>
        <v>0</v>
      </c>
    </row>
    <row r="1190" ht="21.0" customHeight="1">
      <c r="A1190" s="187"/>
      <c r="B1190" s="187"/>
      <c r="C1190" s="188"/>
      <c r="D1190" s="135"/>
      <c r="E1190" s="189"/>
      <c r="F1190" s="182" t="str">
        <f t="shared" si="1"/>
        <v/>
      </c>
      <c r="G1190" s="183">
        <f>IFERROR(__xludf.DUMMYFUNCTION("IFERROR(lookup(9999999999,FILTER('Operações-BR'!$M:$M,'Operações-BR'!$C:$C=A1190,'Operações-BR'!$A:$A&lt;=C1190)),0)"),0.0)</f>
        <v>0</v>
      </c>
      <c r="H1190" s="184">
        <f t="shared" si="2"/>
        <v>0</v>
      </c>
      <c r="I1190" s="184">
        <f>IFERROR(__xludf.DUMMYFUNCTION("IFERROR(lookup(9999999999,FILTER('Operações-BR'!Q:Q,'Operações-BR'!$C:$C=A1190,'Operações-BR'!$A:$A&lt;=C1190))/G1190,0)"),0.0)</f>
        <v>0</v>
      </c>
      <c r="J1190" s="185" t="str">
        <f>IFERROR(VLOOKUP(A1190,Ativos!$A$1:$G2000,5,),"")</f>
        <v/>
      </c>
      <c r="K1190" s="185" t="str">
        <f>IFERROR(VLOOKUP(A1190,Ativos!A:H,8,),"")</f>
        <v/>
      </c>
      <c r="L1190" s="186">
        <f t="shared" si="3"/>
        <v>0</v>
      </c>
    </row>
    <row r="1191" ht="21.0" customHeight="1">
      <c r="A1191" s="187"/>
      <c r="B1191" s="187"/>
      <c r="C1191" s="188"/>
      <c r="D1191" s="135"/>
      <c r="E1191" s="189"/>
      <c r="F1191" s="182" t="str">
        <f t="shared" si="1"/>
        <v/>
      </c>
      <c r="G1191" s="183">
        <f>IFERROR(__xludf.DUMMYFUNCTION("IFERROR(lookup(9999999999,FILTER('Operações-BR'!$M:$M,'Operações-BR'!$C:$C=A1191,'Operações-BR'!$A:$A&lt;=C1191)),0)"),0.0)</f>
        <v>0</v>
      </c>
      <c r="H1191" s="184">
        <f t="shared" si="2"/>
        <v>0</v>
      </c>
      <c r="I1191" s="184">
        <f>IFERROR(__xludf.DUMMYFUNCTION("IFERROR(lookup(9999999999,FILTER('Operações-BR'!Q:Q,'Operações-BR'!$C:$C=A1191,'Operações-BR'!$A:$A&lt;=C1191))/G1191,0)"),0.0)</f>
        <v>0</v>
      </c>
      <c r="J1191" s="185" t="str">
        <f>IFERROR(VLOOKUP(A1191,Ativos!$A$1:$G2000,5,),"")</f>
        <v/>
      </c>
      <c r="K1191" s="185" t="str">
        <f>IFERROR(VLOOKUP(A1191,Ativos!A:H,8,),"")</f>
        <v/>
      </c>
      <c r="L1191" s="186">
        <f t="shared" si="3"/>
        <v>0</v>
      </c>
    </row>
    <row r="1192" ht="21.0" customHeight="1">
      <c r="A1192" s="187"/>
      <c r="B1192" s="187"/>
      <c r="C1192" s="188"/>
      <c r="D1192" s="135"/>
      <c r="E1192" s="189"/>
      <c r="F1192" s="182" t="str">
        <f t="shared" si="1"/>
        <v/>
      </c>
      <c r="G1192" s="183">
        <f>IFERROR(__xludf.DUMMYFUNCTION("IFERROR(lookup(9999999999,FILTER('Operações-BR'!$M:$M,'Operações-BR'!$C:$C=A1192,'Operações-BR'!$A:$A&lt;=C1192)),0)"),0.0)</f>
        <v>0</v>
      </c>
      <c r="H1192" s="184">
        <f t="shared" si="2"/>
        <v>0</v>
      </c>
      <c r="I1192" s="184">
        <f>IFERROR(__xludf.DUMMYFUNCTION("IFERROR(lookup(9999999999,FILTER('Operações-BR'!Q:Q,'Operações-BR'!$C:$C=A1192,'Operações-BR'!$A:$A&lt;=C1192))/G1192,0)"),0.0)</f>
        <v>0</v>
      </c>
      <c r="J1192" s="185" t="str">
        <f>IFERROR(VLOOKUP(A1192,Ativos!$A$1:$G2000,5,),"")</f>
        <v/>
      </c>
      <c r="K1192" s="185" t="str">
        <f>IFERROR(VLOOKUP(A1192,Ativos!A:H,8,),"")</f>
        <v/>
      </c>
      <c r="L1192" s="186">
        <f t="shared" si="3"/>
        <v>0</v>
      </c>
    </row>
    <row r="1193" ht="21.0" customHeight="1">
      <c r="A1193" s="187"/>
      <c r="B1193" s="187"/>
      <c r="C1193" s="188"/>
      <c r="D1193" s="135"/>
      <c r="E1193" s="189"/>
      <c r="F1193" s="182" t="str">
        <f t="shared" si="1"/>
        <v/>
      </c>
      <c r="G1193" s="183">
        <f>IFERROR(__xludf.DUMMYFUNCTION("IFERROR(lookup(9999999999,FILTER('Operações-BR'!$M:$M,'Operações-BR'!$C:$C=A1193,'Operações-BR'!$A:$A&lt;=C1193)),0)"),0.0)</f>
        <v>0</v>
      </c>
      <c r="H1193" s="184">
        <f t="shared" si="2"/>
        <v>0</v>
      </c>
      <c r="I1193" s="184">
        <f>IFERROR(__xludf.DUMMYFUNCTION("IFERROR(lookup(9999999999,FILTER('Operações-BR'!Q:Q,'Operações-BR'!$C:$C=A1193,'Operações-BR'!$A:$A&lt;=C1193))/G1193,0)"),0.0)</f>
        <v>0</v>
      </c>
      <c r="J1193" s="185" t="str">
        <f>IFERROR(VLOOKUP(A1193,Ativos!$A$1:$G2000,5,),"")</f>
        <v/>
      </c>
      <c r="K1193" s="185" t="str">
        <f>IFERROR(VLOOKUP(A1193,Ativos!A:H,8,),"")</f>
        <v/>
      </c>
      <c r="L1193" s="186">
        <f t="shared" si="3"/>
        <v>0</v>
      </c>
    </row>
    <row r="1194" ht="21.0" customHeight="1">
      <c r="A1194" s="187"/>
      <c r="B1194" s="187"/>
      <c r="C1194" s="188"/>
      <c r="D1194" s="135"/>
      <c r="E1194" s="189"/>
      <c r="F1194" s="182" t="str">
        <f t="shared" si="1"/>
        <v/>
      </c>
      <c r="G1194" s="183">
        <f>IFERROR(__xludf.DUMMYFUNCTION("IFERROR(lookup(9999999999,FILTER('Operações-BR'!$M:$M,'Operações-BR'!$C:$C=A1194,'Operações-BR'!$A:$A&lt;=C1194)),0)"),0.0)</f>
        <v>0</v>
      </c>
      <c r="H1194" s="184">
        <f t="shared" si="2"/>
        <v>0</v>
      </c>
      <c r="I1194" s="184">
        <f>IFERROR(__xludf.DUMMYFUNCTION("IFERROR(lookup(9999999999,FILTER('Operações-BR'!Q:Q,'Operações-BR'!$C:$C=A1194,'Operações-BR'!$A:$A&lt;=C1194))/G1194,0)"),0.0)</f>
        <v>0</v>
      </c>
      <c r="J1194" s="185" t="str">
        <f>IFERROR(VLOOKUP(A1194,Ativos!$A$1:$G2000,5,),"")</f>
        <v/>
      </c>
      <c r="K1194" s="185" t="str">
        <f>IFERROR(VLOOKUP(A1194,Ativos!A:H,8,),"")</f>
        <v/>
      </c>
      <c r="L1194" s="186">
        <f t="shared" si="3"/>
        <v>0</v>
      </c>
    </row>
    <row r="1195" ht="21.0" customHeight="1">
      <c r="A1195" s="187"/>
      <c r="B1195" s="187"/>
      <c r="C1195" s="188"/>
      <c r="D1195" s="135"/>
      <c r="E1195" s="189"/>
      <c r="F1195" s="182" t="str">
        <f t="shared" si="1"/>
        <v/>
      </c>
      <c r="G1195" s="183">
        <f>IFERROR(__xludf.DUMMYFUNCTION("IFERROR(lookup(9999999999,FILTER('Operações-BR'!$M:$M,'Operações-BR'!$C:$C=A1195,'Operações-BR'!$A:$A&lt;=C1195)),0)"),0.0)</f>
        <v>0</v>
      </c>
      <c r="H1195" s="184">
        <f t="shared" si="2"/>
        <v>0</v>
      </c>
      <c r="I1195" s="184">
        <f>IFERROR(__xludf.DUMMYFUNCTION("IFERROR(lookup(9999999999,FILTER('Operações-BR'!Q:Q,'Operações-BR'!$C:$C=A1195,'Operações-BR'!$A:$A&lt;=C1195))/G1195,0)"),0.0)</f>
        <v>0</v>
      </c>
      <c r="J1195" s="185" t="str">
        <f>IFERROR(VLOOKUP(A1195,Ativos!$A$1:$G2000,5,),"")</f>
        <v/>
      </c>
      <c r="K1195" s="185" t="str">
        <f>IFERROR(VLOOKUP(A1195,Ativos!A:H,8,),"")</f>
        <v/>
      </c>
      <c r="L1195" s="186">
        <f t="shared" si="3"/>
        <v>0</v>
      </c>
    </row>
    <row r="1196" ht="21.0" customHeight="1">
      <c r="A1196" s="187"/>
      <c r="B1196" s="187"/>
      <c r="C1196" s="188"/>
      <c r="D1196" s="135"/>
      <c r="E1196" s="189"/>
      <c r="F1196" s="182" t="str">
        <f t="shared" si="1"/>
        <v/>
      </c>
      <c r="G1196" s="183">
        <f>IFERROR(__xludf.DUMMYFUNCTION("IFERROR(lookup(9999999999,FILTER('Operações-BR'!$M:$M,'Operações-BR'!$C:$C=A1196,'Operações-BR'!$A:$A&lt;=C1196)),0)"),0.0)</f>
        <v>0</v>
      </c>
      <c r="H1196" s="184">
        <f t="shared" si="2"/>
        <v>0</v>
      </c>
      <c r="I1196" s="184">
        <f>IFERROR(__xludf.DUMMYFUNCTION("IFERROR(lookup(9999999999,FILTER('Operações-BR'!Q:Q,'Operações-BR'!$C:$C=A1196,'Operações-BR'!$A:$A&lt;=C1196))/G1196,0)"),0.0)</f>
        <v>0</v>
      </c>
      <c r="J1196" s="185" t="str">
        <f>IFERROR(VLOOKUP(A1196,Ativos!$A$1:$G2000,5,),"")</f>
        <v/>
      </c>
      <c r="K1196" s="185" t="str">
        <f>IFERROR(VLOOKUP(A1196,Ativos!A:H,8,),"")</f>
        <v/>
      </c>
      <c r="L1196" s="186">
        <f t="shared" si="3"/>
        <v>0</v>
      </c>
    </row>
    <row r="1197" ht="21.0" customHeight="1">
      <c r="A1197" s="187"/>
      <c r="B1197" s="187"/>
      <c r="C1197" s="188"/>
      <c r="D1197" s="135"/>
      <c r="E1197" s="189"/>
      <c r="F1197" s="182" t="str">
        <f t="shared" si="1"/>
        <v/>
      </c>
      <c r="G1197" s="183">
        <f>IFERROR(__xludf.DUMMYFUNCTION("IFERROR(lookup(9999999999,FILTER('Operações-BR'!$M:$M,'Operações-BR'!$C:$C=A1197,'Operações-BR'!$A:$A&lt;=C1197)),0)"),0.0)</f>
        <v>0</v>
      </c>
      <c r="H1197" s="184">
        <f t="shared" si="2"/>
        <v>0</v>
      </c>
      <c r="I1197" s="184">
        <f>IFERROR(__xludf.DUMMYFUNCTION("IFERROR(lookup(9999999999,FILTER('Operações-BR'!Q:Q,'Operações-BR'!$C:$C=A1197,'Operações-BR'!$A:$A&lt;=C1197))/G1197,0)"),0.0)</f>
        <v>0</v>
      </c>
      <c r="J1197" s="185" t="str">
        <f>IFERROR(VLOOKUP(A1197,Ativos!$A$1:$G2000,5,),"")</f>
        <v/>
      </c>
      <c r="K1197" s="185" t="str">
        <f>IFERROR(VLOOKUP(A1197,Ativos!A:H,8,),"")</f>
        <v/>
      </c>
      <c r="L1197" s="186">
        <f t="shared" si="3"/>
        <v>0</v>
      </c>
    </row>
    <row r="1198" ht="21.0" customHeight="1">
      <c r="A1198" s="187"/>
      <c r="B1198" s="187"/>
      <c r="C1198" s="188"/>
      <c r="D1198" s="135"/>
      <c r="E1198" s="189"/>
      <c r="F1198" s="182" t="str">
        <f t="shared" si="1"/>
        <v/>
      </c>
      <c r="G1198" s="183">
        <f>IFERROR(__xludf.DUMMYFUNCTION("IFERROR(lookup(9999999999,FILTER('Operações-BR'!$M:$M,'Operações-BR'!$C:$C=A1198,'Operações-BR'!$A:$A&lt;=C1198)),0)"),0.0)</f>
        <v>0</v>
      </c>
      <c r="H1198" s="184">
        <f t="shared" si="2"/>
        <v>0</v>
      </c>
      <c r="I1198" s="184">
        <f>IFERROR(__xludf.DUMMYFUNCTION("IFERROR(lookup(9999999999,FILTER('Operações-BR'!Q:Q,'Operações-BR'!$C:$C=A1198,'Operações-BR'!$A:$A&lt;=C1198))/G1198,0)"),0.0)</f>
        <v>0</v>
      </c>
      <c r="J1198" s="185" t="str">
        <f>IFERROR(VLOOKUP(A1198,Ativos!$A$1:$G2000,5,),"")</f>
        <v/>
      </c>
      <c r="K1198" s="185" t="str">
        <f>IFERROR(VLOOKUP(A1198,Ativos!A:H,8,),"")</f>
        <v/>
      </c>
      <c r="L1198" s="186">
        <f t="shared" si="3"/>
        <v>0</v>
      </c>
    </row>
    <row r="1199" ht="21.0" customHeight="1">
      <c r="A1199" s="187"/>
      <c r="B1199" s="187"/>
      <c r="C1199" s="188"/>
      <c r="D1199" s="135"/>
      <c r="E1199" s="189"/>
      <c r="F1199" s="182" t="str">
        <f t="shared" si="1"/>
        <v/>
      </c>
      <c r="G1199" s="183">
        <f>IFERROR(__xludf.DUMMYFUNCTION("IFERROR(lookup(9999999999,FILTER('Operações-BR'!$M:$M,'Operações-BR'!$C:$C=A1199,'Operações-BR'!$A:$A&lt;=C1199)),0)"),0.0)</f>
        <v>0</v>
      </c>
      <c r="H1199" s="184">
        <f t="shared" si="2"/>
        <v>0</v>
      </c>
      <c r="I1199" s="184">
        <f>IFERROR(__xludf.DUMMYFUNCTION("IFERROR(lookup(9999999999,FILTER('Operações-BR'!Q:Q,'Operações-BR'!$C:$C=A1199,'Operações-BR'!$A:$A&lt;=C1199))/G1199,0)"),0.0)</f>
        <v>0</v>
      </c>
      <c r="J1199" s="185" t="str">
        <f>IFERROR(VLOOKUP(A1199,Ativos!$A$1:$G2000,5,),"")</f>
        <v/>
      </c>
      <c r="K1199" s="185" t="str">
        <f>IFERROR(VLOOKUP(A1199,Ativos!A:H,8,),"")</f>
        <v/>
      </c>
      <c r="L1199" s="186">
        <f t="shared" si="3"/>
        <v>0</v>
      </c>
    </row>
    <row r="1200" ht="21.0" customHeight="1">
      <c r="A1200" s="187"/>
      <c r="B1200" s="187"/>
      <c r="C1200" s="188"/>
      <c r="D1200" s="135"/>
      <c r="E1200" s="189"/>
      <c r="F1200" s="182" t="str">
        <f t="shared" si="1"/>
        <v/>
      </c>
      <c r="G1200" s="183">
        <f>IFERROR(__xludf.DUMMYFUNCTION("IFERROR(lookup(9999999999,FILTER('Operações-BR'!$M:$M,'Operações-BR'!$C:$C=A1200,'Operações-BR'!$A:$A&lt;=C1200)),0)"),0.0)</f>
        <v>0</v>
      </c>
      <c r="H1200" s="184">
        <f t="shared" si="2"/>
        <v>0</v>
      </c>
      <c r="I1200" s="184">
        <f>IFERROR(__xludf.DUMMYFUNCTION("IFERROR(lookup(9999999999,FILTER('Operações-BR'!Q:Q,'Operações-BR'!$C:$C=A1200,'Operações-BR'!$A:$A&lt;=C1200))/G1200,0)"),0.0)</f>
        <v>0</v>
      </c>
      <c r="J1200" s="185" t="str">
        <f>IFERROR(VLOOKUP(A1200,Ativos!$A$1:$G2000,5,),"")</f>
        <v/>
      </c>
      <c r="K1200" s="185" t="str">
        <f>IFERROR(VLOOKUP(A1200,Ativos!A:H,8,),"")</f>
        <v/>
      </c>
      <c r="L1200" s="186">
        <f t="shared" si="3"/>
        <v>0</v>
      </c>
    </row>
    <row r="1201" ht="21.0" customHeight="1">
      <c r="A1201" s="187"/>
      <c r="B1201" s="187"/>
      <c r="C1201" s="188"/>
      <c r="D1201" s="135"/>
      <c r="E1201" s="189"/>
      <c r="F1201" s="182" t="str">
        <f t="shared" si="1"/>
        <v/>
      </c>
      <c r="G1201" s="183">
        <f>IFERROR(__xludf.DUMMYFUNCTION("IFERROR(lookup(9999999999,FILTER('Operações-BR'!$M:$M,'Operações-BR'!$C:$C=A1201,'Operações-BR'!$A:$A&lt;=C1201)),0)"),0.0)</f>
        <v>0</v>
      </c>
      <c r="H1201" s="184">
        <f t="shared" si="2"/>
        <v>0</v>
      </c>
      <c r="I1201" s="184">
        <f>IFERROR(__xludf.DUMMYFUNCTION("IFERROR(lookup(9999999999,FILTER('Operações-BR'!Q:Q,'Operações-BR'!$C:$C=A1201,'Operações-BR'!$A:$A&lt;=C1201))/G1201,0)"),0.0)</f>
        <v>0</v>
      </c>
      <c r="J1201" s="185" t="str">
        <f>IFERROR(VLOOKUP(A1201,Ativos!$A$1:$G2000,5,),"")</f>
        <v/>
      </c>
      <c r="K1201" s="185" t="str">
        <f>IFERROR(VLOOKUP(A1201,Ativos!A:H,8,),"")</f>
        <v/>
      </c>
      <c r="L1201" s="186">
        <f t="shared" si="3"/>
        <v>0</v>
      </c>
    </row>
    <row r="1202" ht="21.0" customHeight="1">
      <c r="A1202" s="187"/>
      <c r="B1202" s="187"/>
      <c r="C1202" s="188"/>
      <c r="D1202" s="135"/>
      <c r="E1202" s="189"/>
      <c r="F1202" s="182" t="str">
        <f t="shared" si="1"/>
        <v/>
      </c>
      <c r="G1202" s="183">
        <f>IFERROR(__xludf.DUMMYFUNCTION("IFERROR(lookup(9999999999,FILTER('Operações-BR'!$M:$M,'Operações-BR'!$C:$C=A1202,'Operações-BR'!$A:$A&lt;=C1202)),0)"),0.0)</f>
        <v>0</v>
      </c>
      <c r="H1202" s="184">
        <f t="shared" si="2"/>
        <v>0</v>
      </c>
      <c r="I1202" s="184">
        <f>IFERROR(__xludf.DUMMYFUNCTION("IFERROR(lookup(9999999999,FILTER('Operações-BR'!Q:Q,'Operações-BR'!$C:$C=A1202,'Operações-BR'!$A:$A&lt;=C1202))/G1202,0)"),0.0)</f>
        <v>0</v>
      </c>
      <c r="J1202" s="185" t="str">
        <f>IFERROR(VLOOKUP(A1202,Ativos!$A$1:$G2000,5,),"")</f>
        <v/>
      </c>
      <c r="K1202" s="185" t="str">
        <f>IFERROR(VLOOKUP(A1202,Ativos!A:H,8,),"")</f>
        <v/>
      </c>
      <c r="L1202" s="186">
        <f t="shared" si="3"/>
        <v>0</v>
      </c>
    </row>
    <row r="1203" ht="21.0" customHeight="1">
      <c r="A1203" s="187"/>
      <c r="B1203" s="187"/>
      <c r="C1203" s="188"/>
      <c r="D1203" s="135"/>
      <c r="E1203" s="189"/>
      <c r="F1203" s="182" t="str">
        <f t="shared" si="1"/>
        <v/>
      </c>
      <c r="G1203" s="183">
        <f>IFERROR(__xludf.DUMMYFUNCTION("IFERROR(lookup(9999999999,FILTER('Operações-BR'!$M:$M,'Operações-BR'!$C:$C=A1203,'Operações-BR'!$A:$A&lt;=C1203)),0)"),0.0)</f>
        <v>0</v>
      </c>
      <c r="H1203" s="184">
        <f t="shared" si="2"/>
        <v>0</v>
      </c>
      <c r="I1203" s="184">
        <f>IFERROR(__xludf.DUMMYFUNCTION("IFERROR(lookup(9999999999,FILTER('Operações-BR'!Q:Q,'Operações-BR'!$C:$C=A1203,'Operações-BR'!$A:$A&lt;=C1203))/G1203,0)"),0.0)</f>
        <v>0</v>
      </c>
      <c r="J1203" s="185" t="str">
        <f>IFERROR(VLOOKUP(A1203,Ativos!$A$1:$G2000,5,),"")</f>
        <v/>
      </c>
      <c r="K1203" s="185" t="str">
        <f>IFERROR(VLOOKUP(A1203,Ativos!A:H,8,),"")</f>
        <v/>
      </c>
      <c r="L1203" s="186">
        <f t="shared" si="3"/>
        <v>0</v>
      </c>
    </row>
    <row r="1204" ht="21.0" customHeight="1">
      <c r="A1204" s="187"/>
      <c r="B1204" s="187"/>
      <c r="C1204" s="188"/>
      <c r="D1204" s="135"/>
      <c r="E1204" s="189"/>
      <c r="F1204" s="182" t="str">
        <f t="shared" si="1"/>
        <v/>
      </c>
      <c r="G1204" s="183">
        <f>IFERROR(__xludf.DUMMYFUNCTION("IFERROR(lookup(9999999999,FILTER('Operações-BR'!$M:$M,'Operações-BR'!$C:$C=A1204,'Operações-BR'!$A:$A&lt;=C1204)),0)"),0.0)</f>
        <v>0</v>
      </c>
      <c r="H1204" s="184">
        <f t="shared" si="2"/>
        <v>0</v>
      </c>
      <c r="I1204" s="184">
        <f>IFERROR(__xludf.DUMMYFUNCTION("IFERROR(lookup(9999999999,FILTER('Operações-BR'!Q:Q,'Operações-BR'!$C:$C=A1204,'Operações-BR'!$A:$A&lt;=C1204))/G1204,0)"),0.0)</f>
        <v>0</v>
      </c>
      <c r="J1204" s="185" t="str">
        <f>IFERROR(VLOOKUP(A1204,Ativos!$A$1:$G2000,5,),"")</f>
        <v/>
      </c>
      <c r="K1204" s="185" t="str">
        <f>IFERROR(VLOOKUP(A1204,Ativos!A:H,8,),"")</f>
        <v/>
      </c>
      <c r="L1204" s="186">
        <f t="shared" si="3"/>
        <v>0</v>
      </c>
    </row>
    <row r="1205" ht="21.0" customHeight="1">
      <c r="A1205" s="187"/>
      <c r="B1205" s="187"/>
      <c r="C1205" s="188"/>
      <c r="D1205" s="135"/>
      <c r="E1205" s="189"/>
      <c r="F1205" s="182" t="str">
        <f t="shared" si="1"/>
        <v/>
      </c>
      <c r="G1205" s="183">
        <f>IFERROR(__xludf.DUMMYFUNCTION("IFERROR(lookup(9999999999,FILTER('Operações-BR'!$M:$M,'Operações-BR'!$C:$C=A1205,'Operações-BR'!$A:$A&lt;=C1205)),0)"),0.0)</f>
        <v>0</v>
      </c>
      <c r="H1205" s="184">
        <f t="shared" si="2"/>
        <v>0</v>
      </c>
      <c r="I1205" s="184">
        <f>IFERROR(__xludf.DUMMYFUNCTION("IFERROR(lookup(9999999999,FILTER('Operações-BR'!Q:Q,'Operações-BR'!$C:$C=A1205,'Operações-BR'!$A:$A&lt;=C1205))/G1205,0)"),0.0)</f>
        <v>0</v>
      </c>
      <c r="J1205" s="185" t="str">
        <f>IFERROR(VLOOKUP(A1205,Ativos!$A$1:$G2000,5,),"")</f>
        <v/>
      </c>
      <c r="K1205" s="185" t="str">
        <f>IFERROR(VLOOKUP(A1205,Ativos!A:H,8,),"")</f>
        <v/>
      </c>
      <c r="L1205" s="186">
        <f t="shared" si="3"/>
        <v>0</v>
      </c>
    </row>
    <row r="1206" ht="21.0" customHeight="1">
      <c r="A1206" s="187"/>
      <c r="B1206" s="187"/>
      <c r="C1206" s="188"/>
      <c r="D1206" s="135"/>
      <c r="E1206" s="189"/>
      <c r="F1206" s="182" t="str">
        <f t="shared" si="1"/>
        <v/>
      </c>
      <c r="G1206" s="183">
        <f>IFERROR(__xludf.DUMMYFUNCTION("IFERROR(lookup(9999999999,FILTER('Operações-BR'!$M:$M,'Operações-BR'!$C:$C=A1206,'Operações-BR'!$A:$A&lt;=C1206)),0)"),0.0)</f>
        <v>0</v>
      </c>
      <c r="H1206" s="184">
        <f t="shared" si="2"/>
        <v>0</v>
      </c>
      <c r="I1206" s="184">
        <f>IFERROR(__xludf.DUMMYFUNCTION("IFERROR(lookup(9999999999,FILTER('Operações-BR'!Q:Q,'Operações-BR'!$C:$C=A1206,'Operações-BR'!$A:$A&lt;=C1206))/G1206,0)"),0.0)</f>
        <v>0</v>
      </c>
      <c r="J1206" s="185" t="str">
        <f>IFERROR(VLOOKUP(A1206,Ativos!$A$1:$G2000,5,),"")</f>
        <v/>
      </c>
      <c r="K1206" s="185" t="str">
        <f>IFERROR(VLOOKUP(A1206,Ativos!A:H,8,),"")</f>
        <v/>
      </c>
      <c r="L1206" s="186">
        <f t="shared" si="3"/>
        <v>0</v>
      </c>
    </row>
    <row r="1207" ht="21.0" customHeight="1">
      <c r="A1207" s="187"/>
      <c r="B1207" s="187"/>
      <c r="C1207" s="188"/>
      <c r="D1207" s="135"/>
      <c r="E1207" s="189"/>
      <c r="F1207" s="182" t="str">
        <f t="shared" si="1"/>
        <v/>
      </c>
      <c r="G1207" s="183">
        <f>IFERROR(__xludf.DUMMYFUNCTION("IFERROR(lookup(9999999999,FILTER('Operações-BR'!$M:$M,'Operações-BR'!$C:$C=A1207,'Operações-BR'!$A:$A&lt;=C1207)),0)"),0.0)</f>
        <v>0</v>
      </c>
      <c r="H1207" s="184">
        <f t="shared" si="2"/>
        <v>0</v>
      </c>
      <c r="I1207" s="184">
        <f>IFERROR(__xludf.DUMMYFUNCTION("IFERROR(lookup(9999999999,FILTER('Operações-BR'!Q:Q,'Operações-BR'!$C:$C=A1207,'Operações-BR'!$A:$A&lt;=C1207))/G1207,0)"),0.0)</f>
        <v>0</v>
      </c>
      <c r="J1207" s="185" t="str">
        <f>IFERROR(VLOOKUP(A1207,Ativos!$A$1:$G2000,5,),"")</f>
        <v/>
      </c>
      <c r="K1207" s="185" t="str">
        <f>IFERROR(VLOOKUP(A1207,Ativos!A:H,8,),"")</f>
        <v/>
      </c>
      <c r="L1207" s="186">
        <f t="shared" si="3"/>
        <v>0</v>
      </c>
    </row>
    <row r="1208" ht="21.0" customHeight="1">
      <c r="A1208" s="187"/>
      <c r="B1208" s="187"/>
      <c r="C1208" s="188"/>
      <c r="D1208" s="135"/>
      <c r="E1208" s="189"/>
      <c r="F1208" s="182" t="str">
        <f t="shared" si="1"/>
        <v/>
      </c>
      <c r="G1208" s="183">
        <f>IFERROR(__xludf.DUMMYFUNCTION("IFERROR(lookup(9999999999,FILTER('Operações-BR'!$M:$M,'Operações-BR'!$C:$C=A1208,'Operações-BR'!$A:$A&lt;=C1208)),0)"),0.0)</f>
        <v>0</v>
      </c>
      <c r="H1208" s="184">
        <f t="shared" si="2"/>
        <v>0</v>
      </c>
      <c r="I1208" s="184">
        <f>IFERROR(__xludf.DUMMYFUNCTION("IFERROR(lookup(9999999999,FILTER('Operações-BR'!Q:Q,'Operações-BR'!$C:$C=A1208,'Operações-BR'!$A:$A&lt;=C1208))/G1208,0)"),0.0)</f>
        <v>0</v>
      </c>
      <c r="J1208" s="185" t="str">
        <f>IFERROR(VLOOKUP(A1208,Ativos!$A$1:$G2000,5,),"")</f>
        <v/>
      </c>
      <c r="K1208" s="185" t="str">
        <f>IFERROR(VLOOKUP(A1208,Ativos!A:H,8,),"")</f>
        <v/>
      </c>
      <c r="L1208" s="186">
        <f t="shared" si="3"/>
        <v>0</v>
      </c>
    </row>
    <row r="1209" ht="21.0" customHeight="1">
      <c r="A1209" s="187"/>
      <c r="B1209" s="187"/>
      <c r="C1209" s="188"/>
      <c r="D1209" s="135"/>
      <c r="E1209" s="189"/>
      <c r="F1209" s="182" t="str">
        <f t="shared" si="1"/>
        <v/>
      </c>
      <c r="G1209" s="183">
        <f>IFERROR(__xludf.DUMMYFUNCTION("IFERROR(lookup(9999999999,FILTER('Operações-BR'!$M:$M,'Operações-BR'!$C:$C=A1209,'Operações-BR'!$A:$A&lt;=C1209)),0)"),0.0)</f>
        <v>0</v>
      </c>
      <c r="H1209" s="184">
        <f t="shared" si="2"/>
        <v>0</v>
      </c>
      <c r="I1209" s="184">
        <f>IFERROR(__xludf.DUMMYFUNCTION("IFERROR(lookup(9999999999,FILTER('Operações-BR'!Q:Q,'Operações-BR'!$C:$C=A1209,'Operações-BR'!$A:$A&lt;=C1209))/G1209,0)"),0.0)</f>
        <v>0</v>
      </c>
      <c r="J1209" s="185" t="str">
        <f>IFERROR(VLOOKUP(A1209,Ativos!$A$1:$G2000,5,),"")</f>
        <v/>
      </c>
      <c r="K1209" s="185" t="str">
        <f>IFERROR(VLOOKUP(A1209,Ativos!A:H,8,),"")</f>
        <v/>
      </c>
      <c r="L1209" s="186">
        <f t="shared" si="3"/>
        <v>0</v>
      </c>
    </row>
    <row r="1210" ht="21.0" customHeight="1">
      <c r="A1210" s="187"/>
      <c r="B1210" s="187"/>
      <c r="C1210" s="188"/>
      <c r="D1210" s="135"/>
      <c r="E1210" s="189"/>
      <c r="F1210" s="182" t="str">
        <f t="shared" si="1"/>
        <v/>
      </c>
      <c r="G1210" s="183">
        <f>IFERROR(__xludf.DUMMYFUNCTION("IFERROR(lookup(9999999999,FILTER('Operações-BR'!$M:$M,'Operações-BR'!$C:$C=A1210,'Operações-BR'!$A:$A&lt;=C1210)),0)"),0.0)</f>
        <v>0</v>
      </c>
      <c r="H1210" s="184">
        <f t="shared" si="2"/>
        <v>0</v>
      </c>
      <c r="I1210" s="184">
        <f>IFERROR(__xludf.DUMMYFUNCTION("IFERROR(lookup(9999999999,FILTER('Operações-BR'!Q:Q,'Operações-BR'!$C:$C=A1210,'Operações-BR'!$A:$A&lt;=C1210))/G1210,0)"),0.0)</f>
        <v>0</v>
      </c>
      <c r="J1210" s="185" t="str">
        <f>IFERROR(VLOOKUP(A1210,Ativos!$A$1:$G2000,5,),"")</f>
        <v/>
      </c>
      <c r="K1210" s="185" t="str">
        <f>IFERROR(VLOOKUP(A1210,Ativos!A:H,8,),"")</f>
        <v/>
      </c>
      <c r="L1210" s="186">
        <f t="shared" si="3"/>
        <v>0</v>
      </c>
    </row>
    <row r="1211" ht="21.0" customHeight="1">
      <c r="A1211" s="187"/>
      <c r="B1211" s="187"/>
      <c r="C1211" s="188"/>
      <c r="D1211" s="135"/>
      <c r="E1211" s="189"/>
      <c r="F1211" s="182" t="str">
        <f t="shared" si="1"/>
        <v/>
      </c>
      <c r="G1211" s="183">
        <f>IFERROR(__xludf.DUMMYFUNCTION("IFERROR(lookup(9999999999,FILTER('Operações-BR'!$M:$M,'Operações-BR'!$C:$C=A1211,'Operações-BR'!$A:$A&lt;=C1211)),0)"),0.0)</f>
        <v>0</v>
      </c>
      <c r="H1211" s="184">
        <f t="shared" si="2"/>
        <v>0</v>
      </c>
      <c r="I1211" s="184">
        <f>IFERROR(__xludf.DUMMYFUNCTION("IFERROR(lookup(9999999999,FILTER('Operações-BR'!Q:Q,'Operações-BR'!$C:$C=A1211,'Operações-BR'!$A:$A&lt;=C1211))/G1211,0)"),0.0)</f>
        <v>0</v>
      </c>
      <c r="J1211" s="185" t="str">
        <f>IFERROR(VLOOKUP(A1211,Ativos!$A$1:$G2000,5,),"")</f>
        <v/>
      </c>
      <c r="K1211" s="185" t="str">
        <f>IFERROR(VLOOKUP(A1211,Ativos!A:H,8,),"")</f>
        <v/>
      </c>
      <c r="L1211" s="186">
        <f t="shared" si="3"/>
        <v>0</v>
      </c>
    </row>
    <row r="1212" ht="21.0" customHeight="1">
      <c r="A1212" s="187"/>
      <c r="B1212" s="187"/>
      <c r="C1212" s="188"/>
      <c r="D1212" s="135"/>
      <c r="E1212" s="189"/>
      <c r="F1212" s="182" t="str">
        <f t="shared" si="1"/>
        <v/>
      </c>
      <c r="G1212" s="183">
        <f>IFERROR(__xludf.DUMMYFUNCTION("IFERROR(lookup(9999999999,FILTER('Operações-BR'!$M:$M,'Operações-BR'!$C:$C=A1212,'Operações-BR'!$A:$A&lt;=C1212)),0)"),0.0)</f>
        <v>0</v>
      </c>
      <c r="H1212" s="184">
        <f t="shared" si="2"/>
        <v>0</v>
      </c>
      <c r="I1212" s="184">
        <f>IFERROR(__xludf.DUMMYFUNCTION("IFERROR(lookup(9999999999,FILTER('Operações-BR'!Q:Q,'Operações-BR'!$C:$C=A1212,'Operações-BR'!$A:$A&lt;=C1212))/G1212,0)"),0.0)</f>
        <v>0</v>
      </c>
      <c r="J1212" s="185" t="str">
        <f>IFERROR(VLOOKUP(A1212,Ativos!$A$1:$G2000,5,),"")</f>
        <v/>
      </c>
      <c r="K1212" s="185" t="str">
        <f>IFERROR(VLOOKUP(A1212,Ativos!A:H,8,),"")</f>
        <v/>
      </c>
      <c r="L1212" s="186">
        <f t="shared" si="3"/>
        <v>0</v>
      </c>
    </row>
    <row r="1213" ht="21.0" customHeight="1">
      <c r="A1213" s="187"/>
      <c r="B1213" s="187"/>
      <c r="C1213" s="188"/>
      <c r="D1213" s="135"/>
      <c r="E1213" s="189"/>
      <c r="F1213" s="182" t="str">
        <f t="shared" si="1"/>
        <v/>
      </c>
      <c r="G1213" s="183">
        <f>IFERROR(__xludf.DUMMYFUNCTION("IFERROR(lookup(9999999999,FILTER('Operações-BR'!$M:$M,'Operações-BR'!$C:$C=A1213,'Operações-BR'!$A:$A&lt;=C1213)),0)"),0.0)</f>
        <v>0</v>
      </c>
      <c r="H1213" s="184">
        <f t="shared" si="2"/>
        <v>0</v>
      </c>
      <c r="I1213" s="184">
        <f>IFERROR(__xludf.DUMMYFUNCTION("IFERROR(lookup(9999999999,FILTER('Operações-BR'!Q:Q,'Operações-BR'!$C:$C=A1213,'Operações-BR'!$A:$A&lt;=C1213))/G1213,0)"),0.0)</f>
        <v>0</v>
      </c>
      <c r="J1213" s="185" t="str">
        <f>IFERROR(VLOOKUP(A1213,Ativos!$A$1:$G2000,5,),"")</f>
        <v/>
      </c>
      <c r="K1213" s="185" t="str">
        <f>IFERROR(VLOOKUP(A1213,Ativos!A:H,8,),"")</f>
        <v/>
      </c>
      <c r="L1213" s="186">
        <f t="shared" si="3"/>
        <v>0</v>
      </c>
    </row>
    <row r="1214" ht="21.0" customHeight="1">
      <c r="A1214" s="187"/>
      <c r="B1214" s="187"/>
      <c r="C1214" s="188"/>
      <c r="D1214" s="135"/>
      <c r="E1214" s="189"/>
      <c r="F1214" s="182" t="str">
        <f t="shared" si="1"/>
        <v/>
      </c>
      <c r="G1214" s="183">
        <f>IFERROR(__xludf.DUMMYFUNCTION("IFERROR(lookup(9999999999,FILTER('Operações-BR'!$M:$M,'Operações-BR'!$C:$C=A1214,'Operações-BR'!$A:$A&lt;=C1214)),0)"),0.0)</f>
        <v>0</v>
      </c>
      <c r="H1214" s="184">
        <f t="shared" si="2"/>
        <v>0</v>
      </c>
      <c r="I1214" s="184">
        <f>IFERROR(__xludf.DUMMYFUNCTION("IFERROR(lookup(9999999999,FILTER('Operações-BR'!Q:Q,'Operações-BR'!$C:$C=A1214,'Operações-BR'!$A:$A&lt;=C1214))/G1214,0)"),0.0)</f>
        <v>0</v>
      </c>
      <c r="J1214" s="185" t="str">
        <f>IFERROR(VLOOKUP(A1214,Ativos!$A$1:$G2000,5,),"")</f>
        <v/>
      </c>
      <c r="K1214" s="185" t="str">
        <f>IFERROR(VLOOKUP(A1214,Ativos!A:H,8,),"")</f>
        <v/>
      </c>
      <c r="L1214" s="186">
        <f t="shared" si="3"/>
        <v>0</v>
      </c>
    </row>
    <row r="1215" ht="21.0" customHeight="1">
      <c r="A1215" s="187"/>
      <c r="B1215" s="187"/>
      <c r="C1215" s="188"/>
      <c r="D1215" s="135"/>
      <c r="E1215" s="189"/>
      <c r="F1215" s="182" t="str">
        <f t="shared" si="1"/>
        <v/>
      </c>
      <c r="G1215" s="183">
        <f>IFERROR(__xludf.DUMMYFUNCTION("IFERROR(lookup(9999999999,FILTER('Operações-BR'!$M:$M,'Operações-BR'!$C:$C=A1215,'Operações-BR'!$A:$A&lt;=C1215)),0)"),0.0)</f>
        <v>0</v>
      </c>
      <c r="H1215" s="184">
        <f t="shared" si="2"/>
        <v>0</v>
      </c>
      <c r="I1215" s="184">
        <f>IFERROR(__xludf.DUMMYFUNCTION("IFERROR(lookup(9999999999,FILTER('Operações-BR'!Q:Q,'Operações-BR'!$C:$C=A1215,'Operações-BR'!$A:$A&lt;=C1215))/G1215,0)"),0.0)</f>
        <v>0</v>
      </c>
      <c r="J1215" s="185" t="str">
        <f>IFERROR(VLOOKUP(A1215,Ativos!$A$1:$G2000,5,),"")</f>
        <v/>
      </c>
      <c r="K1215" s="185" t="str">
        <f>IFERROR(VLOOKUP(A1215,Ativos!A:H,8,),"")</f>
        <v/>
      </c>
      <c r="L1215" s="186">
        <f t="shared" si="3"/>
        <v>0</v>
      </c>
    </row>
    <row r="1216" ht="21.0" customHeight="1">
      <c r="A1216" s="187"/>
      <c r="B1216" s="187"/>
      <c r="C1216" s="188"/>
      <c r="D1216" s="135"/>
      <c r="E1216" s="189"/>
      <c r="F1216" s="182" t="str">
        <f t="shared" si="1"/>
        <v/>
      </c>
      <c r="G1216" s="183">
        <f>IFERROR(__xludf.DUMMYFUNCTION("IFERROR(lookup(9999999999,FILTER('Operações-BR'!$M:$M,'Operações-BR'!$C:$C=A1216,'Operações-BR'!$A:$A&lt;=C1216)),0)"),0.0)</f>
        <v>0</v>
      </c>
      <c r="H1216" s="184">
        <f t="shared" si="2"/>
        <v>0</v>
      </c>
      <c r="I1216" s="184">
        <f>IFERROR(__xludf.DUMMYFUNCTION("IFERROR(lookup(9999999999,FILTER('Operações-BR'!Q:Q,'Operações-BR'!$C:$C=A1216,'Operações-BR'!$A:$A&lt;=C1216))/G1216,0)"),0.0)</f>
        <v>0</v>
      </c>
      <c r="J1216" s="185" t="str">
        <f>IFERROR(VLOOKUP(A1216,Ativos!$A$1:$G2000,5,),"")</f>
        <v/>
      </c>
      <c r="K1216" s="185" t="str">
        <f>IFERROR(VLOOKUP(A1216,Ativos!A:H,8,),"")</f>
        <v/>
      </c>
      <c r="L1216" s="186">
        <f t="shared" si="3"/>
        <v>0</v>
      </c>
    </row>
    <row r="1217" ht="21.0" customHeight="1">
      <c r="A1217" s="187"/>
      <c r="B1217" s="187"/>
      <c r="C1217" s="188"/>
      <c r="D1217" s="135"/>
      <c r="E1217" s="189"/>
      <c r="F1217" s="182" t="str">
        <f t="shared" si="1"/>
        <v/>
      </c>
      <c r="G1217" s="183">
        <f>IFERROR(__xludf.DUMMYFUNCTION("IFERROR(lookup(9999999999,FILTER('Operações-BR'!$M:$M,'Operações-BR'!$C:$C=A1217,'Operações-BR'!$A:$A&lt;=C1217)),0)"),0.0)</f>
        <v>0</v>
      </c>
      <c r="H1217" s="184">
        <f t="shared" si="2"/>
        <v>0</v>
      </c>
      <c r="I1217" s="184">
        <f>IFERROR(__xludf.DUMMYFUNCTION("IFERROR(lookup(9999999999,FILTER('Operações-BR'!Q:Q,'Operações-BR'!$C:$C=A1217,'Operações-BR'!$A:$A&lt;=C1217))/G1217,0)"),0.0)</f>
        <v>0</v>
      </c>
      <c r="J1217" s="185" t="str">
        <f>IFERROR(VLOOKUP(A1217,Ativos!$A$1:$G2000,5,),"")</f>
        <v/>
      </c>
      <c r="K1217" s="185" t="str">
        <f>IFERROR(VLOOKUP(A1217,Ativos!A:H,8,),"")</f>
        <v/>
      </c>
      <c r="L1217" s="186">
        <f t="shared" si="3"/>
        <v>0</v>
      </c>
    </row>
    <row r="1218" ht="21.0" customHeight="1">
      <c r="A1218" s="187"/>
      <c r="B1218" s="187"/>
      <c r="C1218" s="188"/>
      <c r="D1218" s="135"/>
      <c r="E1218" s="189"/>
      <c r="F1218" s="182" t="str">
        <f t="shared" si="1"/>
        <v/>
      </c>
      <c r="G1218" s="183">
        <f>IFERROR(__xludf.DUMMYFUNCTION("IFERROR(lookup(9999999999,FILTER('Operações-BR'!$M:$M,'Operações-BR'!$C:$C=A1218,'Operações-BR'!$A:$A&lt;=C1218)),0)"),0.0)</f>
        <v>0</v>
      </c>
      <c r="H1218" s="184">
        <f t="shared" si="2"/>
        <v>0</v>
      </c>
      <c r="I1218" s="184">
        <f>IFERROR(__xludf.DUMMYFUNCTION("IFERROR(lookup(9999999999,FILTER('Operações-BR'!Q:Q,'Operações-BR'!$C:$C=A1218,'Operações-BR'!$A:$A&lt;=C1218))/G1218,0)"),0.0)</f>
        <v>0</v>
      </c>
      <c r="J1218" s="185" t="str">
        <f>IFERROR(VLOOKUP(A1218,Ativos!$A$1:$G2000,5,),"")</f>
        <v/>
      </c>
      <c r="K1218" s="185" t="str">
        <f>IFERROR(VLOOKUP(A1218,Ativos!A:H,8,),"")</f>
        <v/>
      </c>
      <c r="L1218" s="186">
        <f t="shared" si="3"/>
        <v>0</v>
      </c>
    </row>
    <row r="1219" ht="21.0" customHeight="1">
      <c r="A1219" s="187"/>
      <c r="B1219" s="187"/>
      <c r="C1219" s="188"/>
      <c r="D1219" s="135"/>
      <c r="E1219" s="189"/>
      <c r="F1219" s="182" t="str">
        <f t="shared" si="1"/>
        <v/>
      </c>
      <c r="G1219" s="183">
        <f>IFERROR(__xludf.DUMMYFUNCTION("IFERROR(lookup(9999999999,FILTER('Operações-BR'!$M:$M,'Operações-BR'!$C:$C=A1219,'Operações-BR'!$A:$A&lt;=C1219)),0)"),0.0)</f>
        <v>0</v>
      </c>
      <c r="H1219" s="184">
        <f t="shared" si="2"/>
        <v>0</v>
      </c>
      <c r="I1219" s="184">
        <f>IFERROR(__xludf.DUMMYFUNCTION("IFERROR(lookup(9999999999,FILTER('Operações-BR'!Q:Q,'Operações-BR'!$C:$C=A1219,'Operações-BR'!$A:$A&lt;=C1219))/G1219,0)"),0.0)</f>
        <v>0</v>
      </c>
      <c r="J1219" s="185" t="str">
        <f>IFERROR(VLOOKUP(A1219,Ativos!$A$1:$G2000,5,),"")</f>
        <v/>
      </c>
      <c r="K1219" s="185" t="str">
        <f>IFERROR(VLOOKUP(A1219,Ativos!A:H,8,),"")</f>
        <v/>
      </c>
      <c r="L1219" s="186">
        <f t="shared" si="3"/>
        <v>0</v>
      </c>
    </row>
    <row r="1220" ht="21.0" customHeight="1">
      <c r="A1220" s="187"/>
      <c r="B1220" s="187"/>
      <c r="C1220" s="188"/>
      <c r="D1220" s="135"/>
      <c r="E1220" s="189"/>
      <c r="F1220" s="182" t="str">
        <f t="shared" si="1"/>
        <v/>
      </c>
      <c r="G1220" s="183">
        <f>IFERROR(__xludf.DUMMYFUNCTION("IFERROR(lookup(9999999999,FILTER('Operações-BR'!$M:$M,'Operações-BR'!$C:$C=A1220,'Operações-BR'!$A:$A&lt;=C1220)),0)"),0.0)</f>
        <v>0</v>
      </c>
      <c r="H1220" s="184">
        <f t="shared" si="2"/>
        <v>0</v>
      </c>
      <c r="I1220" s="184">
        <f>IFERROR(__xludf.DUMMYFUNCTION("IFERROR(lookup(9999999999,FILTER('Operações-BR'!Q:Q,'Operações-BR'!$C:$C=A1220,'Operações-BR'!$A:$A&lt;=C1220))/G1220,0)"),0.0)</f>
        <v>0</v>
      </c>
      <c r="J1220" s="185" t="str">
        <f>IFERROR(VLOOKUP(A1220,Ativos!$A$1:$G2000,5,),"")</f>
        <v/>
      </c>
      <c r="K1220" s="185" t="str">
        <f>IFERROR(VLOOKUP(A1220,Ativos!A:H,8,),"")</f>
        <v/>
      </c>
      <c r="L1220" s="186">
        <f t="shared" si="3"/>
        <v>0</v>
      </c>
    </row>
    <row r="1221" ht="21.0" customHeight="1">
      <c r="A1221" s="187"/>
      <c r="B1221" s="187"/>
      <c r="C1221" s="188"/>
      <c r="D1221" s="135"/>
      <c r="E1221" s="189"/>
      <c r="F1221" s="182" t="str">
        <f t="shared" si="1"/>
        <v/>
      </c>
      <c r="G1221" s="183">
        <f>IFERROR(__xludf.DUMMYFUNCTION("IFERROR(lookup(9999999999,FILTER('Operações-BR'!$M:$M,'Operações-BR'!$C:$C=A1221,'Operações-BR'!$A:$A&lt;=C1221)),0)"),0.0)</f>
        <v>0</v>
      </c>
      <c r="H1221" s="184">
        <f t="shared" si="2"/>
        <v>0</v>
      </c>
      <c r="I1221" s="184">
        <f>IFERROR(__xludf.DUMMYFUNCTION("IFERROR(lookup(9999999999,FILTER('Operações-BR'!Q:Q,'Operações-BR'!$C:$C=A1221,'Operações-BR'!$A:$A&lt;=C1221))/G1221,0)"),0.0)</f>
        <v>0</v>
      </c>
      <c r="J1221" s="185" t="str">
        <f>IFERROR(VLOOKUP(A1221,Ativos!$A$1:$G2000,5,),"")</f>
        <v/>
      </c>
      <c r="K1221" s="185" t="str">
        <f>IFERROR(VLOOKUP(A1221,Ativos!A:H,8,),"")</f>
        <v/>
      </c>
      <c r="L1221" s="186">
        <f t="shared" si="3"/>
        <v>0</v>
      </c>
    </row>
    <row r="1222" ht="21.0" customHeight="1">
      <c r="A1222" s="187"/>
      <c r="B1222" s="187"/>
      <c r="C1222" s="188"/>
      <c r="D1222" s="135"/>
      <c r="E1222" s="189"/>
      <c r="F1222" s="182" t="str">
        <f t="shared" si="1"/>
        <v/>
      </c>
      <c r="G1222" s="183">
        <f>IFERROR(__xludf.DUMMYFUNCTION("IFERROR(lookup(9999999999,FILTER('Operações-BR'!$M:$M,'Operações-BR'!$C:$C=A1222,'Operações-BR'!$A:$A&lt;=C1222)),0)"),0.0)</f>
        <v>0</v>
      </c>
      <c r="H1222" s="184">
        <f t="shared" si="2"/>
        <v>0</v>
      </c>
      <c r="I1222" s="184">
        <f>IFERROR(__xludf.DUMMYFUNCTION("IFERROR(lookup(9999999999,FILTER('Operações-BR'!Q:Q,'Operações-BR'!$C:$C=A1222,'Operações-BR'!$A:$A&lt;=C1222))/G1222,0)"),0.0)</f>
        <v>0</v>
      </c>
      <c r="J1222" s="185" t="str">
        <f>IFERROR(VLOOKUP(A1222,Ativos!$A$1:$G2000,5,),"")</f>
        <v/>
      </c>
      <c r="K1222" s="185" t="str">
        <f>IFERROR(VLOOKUP(A1222,Ativos!A:H,8,),"")</f>
        <v/>
      </c>
      <c r="L1222" s="186">
        <f t="shared" si="3"/>
        <v>0</v>
      </c>
    </row>
    <row r="1223" ht="21.0" customHeight="1">
      <c r="A1223" s="187"/>
      <c r="B1223" s="187"/>
      <c r="C1223" s="188"/>
      <c r="D1223" s="135"/>
      <c r="E1223" s="189"/>
      <c r="F1223" s="182" t="str">
        <f t="shared" si="1"/>
        <v/>
      </c>
      <c r="G1223" s="183">
        <f>IFERROR(__xludf.DUMMYFUNCTION("IFERROR(lookup(9999999999,FILTER('Operações-BR'!$M:$M,'Operações-BR'!$C:$C=A1223,'Operações-BR'!$A:$A&lt;=C1223)),0)"),0.0)</f>
        <v>0</v>
      </c>
      <c r="H1223" s="184">
        <f t="shared" si="2"/>
        <v>0</v>
      </c>
      <c r="I1223" s="184">
        <f>IFERROR(__xludf.DUMMYFUNCTION("IFERROR(lookup(9999999999,FILTER('Operações-BR'!Q:Q,'Operações-BR'!$C:$C=A1223,'Operações-BR'!$A:$A&lt;=C1223))/G1223,0)"),0.0)</f>
        <v>0</v>
      </c>
      <c r="J1223" s="185" t="str">
        <f>IFERROR(VLOOKUP(A1223,Ativos!$A$1:$G2000,5,),"")</f>
        <v/>
      </c>
      <c r="K1223" s="185" t="str">
        <f>IFERROR(VLOOKUP(A1223,Ativos!A:H,8,),"")</f>
        <v/>
      </c>
      <c r="L1223" s="186">
        <f t="shared" si="3"/>
        <v>0</v>
      </c>
    </row>
    <row r="1224" ht="21.0" customHeight="1">
      <c r="A1224" s="187"/>
      <c r="B1224" s="187"/>
      <c r="C1224" s="188"/>
      <c r="D1224" s="135"/>
      <c r="E1224" s="189"/>
      <c r="F1224" s="182" t="str">
        <f t="shared" si="1"/>
        <v/>
      </c>
      <c r="G1224" s="183">
        <f>IFERROR(__xludf.DUMMYFUNCTION("IFERROR(lookup(9999999999,FILTER('Operações-BR'!$M:$M,'Operações-BR'!$C:$C=A1224,'Operações-BR'!$A:$A&lt;=C1224)),0)"),0.0)</f>
        <v>0</v>
      </c>
      <c r="H1224" s="184">
        <f t="shared" si="2"/>
        <v>0</v>
      </c>
      <c r="I1224" s="184">
        <f>IFERROR(__xludf.DUMMYFUNCTION("IFERROR(lookup(9999999999,FILTER('Operações-BR'!Q:Q,'Operações-BR'!$C:$C=A1224,'Operações-BR'!$A:$A&lt;=C1224))/G1224,0)"),0.0)</f>
        <v>0</v>
      </c>
      <c r="J1224" s="185" t="str">
        <f>IFERROR(VLOOKUP(A1224,Ativos!$A$1:$G2000,5,),"")</f>
        <v/>
      </c>
      <c r="K1224" s="185" t="str">
        <f>IFERROR(VLOOKUP(A1224,Ativos!A:H,8,),"")</f>
        <v/>
      </c>
      <c r="L1224" s="186">
        <f t="shared" si="3"/>
        <v>0</v>
      </c>
    </row>
    <row r="1225" ht="21.0" customHeight="1">
      <c r="A1225" s="187"/>
      <c r="B1225" s="187"/>
      <c r="C1225" s="188"/>
      <c r="D1225" s="135"/>
      <c r="E1225" s="189"/>
      <c r="F1225" s="182" t="str">
        <f t="shared" si="1"/>
        <v/>
      </c>
      <c r="G1225" s="183">
        <f>IFERROR(__xludf.DUMMYFUNCTION("IFERROR(lookup(9999999999,FILTER('Operações-BR'!$M:$M,'Operações-BR'!$C:$C=A1225,'Operações-BR'!$A:$A&lt;=C1225)),0)"),0.0)</f>
        <v>0</v>
      </c>
      <c r="H1225" s="184">
        <f t="shared" si="2"/>
        <v>0</v>
      </c>
      <c r="I1225" s="184">
        <f>IFERROR(__xludf.DUMMYFUNCTION("IFERROR(lookup(9999999999,FILTER('Operações-BR'!Q:Q,'Operações-BR'!$C:$C=A1225,'Operações-BR'!$A:$A&lt;=C1225))/G1225,0)"),0.0)</f>
        <v>0</v>
      </c>
      <c r="J1225" s="185" t="str">
        <f>IFERROR(VLOOKUP(A1225,Ativos!$A$1:$G2000,5,),"")</f>
        <v/>
      </c>
      <c r="K1225" s="185" t="str">
        <f>IFERROR(VLOOKUP(A1225,Ativos!A:H,8,),"")</f>
        <v/>
      </c>
      <c r="L1225" s="186">
        <f t="shared" si="3"/>
        <v>0</v>
      </c>
    </row>
    <row r="1226" ht="21.0" customHeight="1">
      <c r="A1226" s="187"/>
      <c r="B1226" s="187"/>
      <c r="C1226" s="188"/>
      <c r="D1226" s="135"/>
      <c r="E1226" s="189"/>
      <c r="F1226" s="182" t="str">
        <f t="shared" si="1"/>
        <v/>
      </c>
      <c r="G1226" s="183">
        <f>IFERROR(__xludf.DUMMYFUNCTION("IFERROR(lookup(9999999999,FILTER('Operações-BR'!$M:$M,'Operações-BR'!$C:$C=A1226,'Operações-BR'!$A:$A&lt;=C1226)),0)"),0.0)</f>
        <v>0</v>
      </c>
      <c r="H1226" s="184">
        <f t="shared" si="2"/>
        <v>0</v>
      </c>
      <c r="I1226" s="184">
        <f>IFERROR(__xludf.DUMMYFUNCTION("IFERROR(lookup(9999999999,FILTER('Operações-BR'!Q:Q,'Operações-BR'!$C:$C=A1226,'Operações-BR'!$A:$A&lt;=C1226))/G1226,0)"),0.0)</f>
        <v>0</v>
      </c>
      <c r="J1226" s="185" t="str">
        <f>IFERROR(VLOOKUP(A1226,Ativos!$A$1:$G2000,5,),"")</f>
        <v/>
      </c>
      <c r="K1226" s="185" t="str">
        <f>IFERROR(VLOOKUP(A1226,Ativos!A:H,8,),"")</f>
        <v/>
      </c>
      <c r="L1226" s="186">
        <f t="shared" si="3"/>
        <v>0</v>
      </c>
    </row>
    <row r="1227" ht="21.0" customHeight="1">
      <c r="A1227" s="187"/>
      <c r="B1227" s="187"/>
      <c r="C1227" s="188"/>
      <c r="D1227" s="135"/>
      <c r="E1227" s="189"/>
      <c r="F1227" s="182" t="str">
        <f t="shared" si="1"/>
        <v/>
      </c>
      <c r="G1227" s="183">
        <f>IFERROR(__xludf.DUMMYFUNCTION("IFERROR(lookup(9999999999,FILTER('Operações-BR'!$M:$M,'Operações-BR'!$C:$C=A1227,'Operações-BR'!$A:$A&lt;=C1227)),0)"),0.0)</f>
        <v>0</v>
      </c>
      <c r="H1227" s="184">
        <f t="shared" si="2"/>
        <v>0</v>
      </c>
      <c r="I1227" s="184">
        <f>IFERROR(__xludf.DUMMYFUNCTION("IFERROR(lookup(9999999999,FILTER('Operações-BR'!Q:Q,'Operações-BR'!$C:$C=A1227,'Operações-BR'!$A:$A&lt;=C1227))/G1227,0)"),0.0)</f>
        <v>0</v>
      </c>
      <c r="J1227" s="185" t="str">
        <f>IFERROR(VLOOKUP(A1227,Ativos!$A$1:$G2000,5,),"")</f>
        <v/>
      </c>
      <c r="K1227" s="185" t="str">
        <f>IFERROR(VLOOKUP(A1227,Ativos!A:H,8,),"")</f>
        <v/>
      </c>
      <c r="L1227" s="186">
        <f t="shared" si="3"/>
        <v>0</v>
      </c>
    </row>
    <row r="1228" ht="21.0" customHeight="1">
      <c r="A1228" s="187"/>
      <c r="B1228" s="187"/>
      <c r="C1228" s="188"/>
      <c r="D1228" s="135"/>
      <c r="E1228" s="189"/>
      <c r="F1228" s="182" t="str">
        <f t="shared" si="1"/>
        <v/>
      </c>
      <c r="G1228" s="183">
        <f>IFERROR(__xludf.DUMMYFUNCTION("IFERROR(lookup(9999999999,FILTER('Operações-BR'!$M:$M,'Operações-BR'!$C:$C=A1228,'Operações-BR'!$A:$A&lt;=C1228)),0)"),0.0)</f>
        <v>0</v>
      </c>
      <c r="H1228" s="184">
        <f t="shared" si="2"/>
        <v>0</v>
      </c>
      <c r="I1228" s="184">
        <f>IFERROR(__xludf.DUMMYFUNCTION("IFERROR(lookup(9999999999,FILTER('Operações-BR'!Q:Q,'Operações-BR'!$C:$C=A1228,'Operações-BR'!$A:$A&lt;=C1228))/G1228,0)"),0.0)</f>
        <v>0</v>
      </c>
      <c r="J1228" s="185" t="str">
        <f>IFERROR(VLOOKUP(A1228,Ativos!$A$1:$G2000,5,),"")</f>
        <v/>
      </c>
      <c r="K1228" s="185" t="str">
        <f>IFERROR(VLOOKUP(A1228,Ativos!A:H,8,),"")</f>
        <v/>
      </c>
      <c r="L1228" s="186">
        <f t="shared" si="3"/>
        <v>0</v>
      </c>
    </row>
    <row r="1229" ht="21.0" customHeight="1">
      <c r="A1229" s="187"/>
      <c r="B1229" s="187"/>
      <c r="C1229" s="188"/>
      <c r="D1229" s="135"/>
      <c r="E1229" s="189"/>
      <c r="F1229" s="182" t="str">
        <f t="shared" si="1"/>
        <v/>
      </c>
      <c r="G1229" s="183">
        <f>IFERROR(__xludf.DUMMYFUNCTION("IFERROR(lookup(9999999999,FILTER('Operações-BR'!$M:$M,'Operações-BR'!$C:$C=A1229,'Operações-BR'!$A:$A&lt;=C1229)),0)"),0.0)</f>
        <v>0</v>
      </c>
      <c r="H1229" s="184">
        <f t="shared" si="2"/>
        <v>0</v>
      </c>
      <c r="I1229" s="184">
        <f>IFERROR(__xludf.DUMMYFUNCTION("IFERROR(lookup(9999999999,FILTER('Operações-BR'!Q:Q,'Operações-BR'!$C:$C=A1229,'Operações-BR'!$A:$A&lt;=C1229))/G1229,0)"),0.0)</f>
        <v>0</v>
      </c>
      <c r="J1229" s="185" t="str">
        <f>IFERROR(VLOOKUP(A1229,Ativos!$A$1:$G2000,5,),"")</f>
        <v/>
      </c>
      <c r="K1229" s="185" t="str">
        <f>IFERROR(VLOOKUP(A1229,Ativos!A:H,8,),"")</f>
        <v/>
      </c>
      <c r="L1229" s="186">
        <f t="shared" si="3"/>
        <v>0</v>
      </c>
    </row>
    <row r="1230" ht="21.0" customHeight="1">
      <c r="A1230" s="187"/>
      <c r="B1230" s="187"/>
      <c r="C1230" s="188"/>
      <c r="D1230" s="135"/>
      <c r="E1230" s="189"/>
      <c r="F1230" s="182" t="str">
        <f t="shared" si="1"/>
        <v/>
      </c>
      <c r="G1230" s="183">
        <f>IFERROR(__xludf.DUMMYFUNCTION("IFERROR(lookup(9999999999,FILTER('Operações-BR'!$M:$M,'Operações-BR'!$C:$C=A1230,'Operações-BR'!$A:$A&lt;=C1230)),0)"),0.0)</f>
        <v>0</v>
      </c>
      <c r="H1230" s="184">
        <f t="shared" si="2"/>
        <v>0</v>
      </c>
      <c r="I1230" s="184">
        <f>IFERROR(__xludf.DUMMYFUNCTION("IFERROR(lookup(9999999999,FILTER('Operações-BR'!Q:Q,'Operações-BR'!$C:$C=A1230,'Operações-BR'!$A:$A&lt;=C1230))/G1230,0)"),0.0)</f>
        <v>0</v>
      </c>
      <c r="J1230" s="185" t="str">
        <f>IFERROR(VLOOKUP(A1230,Ativos!$A$1:$G2000,5,),"")</f>
        <v/>
      </c>
      <c r="K1230" s="185" t="str">
        <f>IFERROR(VLOOKUP(A1230,Ativos!A:H,8,),"")</f>
        <v/>
      </c>
      <c r="L1230" s="186">
        <f t="shared" si="3"/>
        <v>0</v>
      </c>
    </row>
    <row r="1231" ht="21.0" customHeight="1">
      <c r="A1231" s="187"/>
      <c r="B1231" s="187"/>
      <c r="C1231" s="188"/>
      <c r="D1231" s="135"/>
      <c r="E1231" s="189"/>
      <c r="F1231" s="182" t="str">
        <f t="shared" si="1"/>
        <v/>
      </c>
      <c r="G1231" s="183">
        <f>IFERROR(__xludf.DUMMYFUNCTION("IFERROR(lookup(9999999999,FILTER('Operações-BR'!$M:$M,'Operações-BR'!$C:$C=A1231,'Operações-BR'!$A:$A&lt;=C1231)),0)"),0.0)</f>
        <v>0</v>
      </c>
      <c r="H1231" s="184">
        <f t="shared" si="2"/>
        <v>0</v>
      </c>
      <c r="I1231" s="184">
        <f>IFERROR(__xludf.DUMMYFUNCTION("IFERROR(lookup(9999999999,FILTER('Operações-BR'!Q:Q,'Operações-BR'!$C:$C=A1231,'Operações-BR'!$A:$A&lt;=C1231))/G1231,0)"),0.0)</f>
        <v>0</v>
      </c>
      <c r="J1231" s="185" t="str">
        <f>IFERROR(VLOOKUP(A1231,Ativos!$A$1:$G2000,5,),"")</f>
        <v/>
      </c>
      <c r="K1231" s="185" t="str">
        <f>IFERROR(VLOOKUP(A1231,Ativos!A:H,8,),"")</f>
        <v/>
      </c>
      <c r="L1231" s="186">
        <f t="shared" si="3"/>
        <v>0</v>
      </c>
    </row>
    <row r="1232" ht="21.0" customHeight="1">
      <c r="A1232" s="187"/>
      <c r="B1232" s="187"/>
      <c r="C1232" s="188"/>
      <c r="D1232" s="135"/>
      <c r="E1232" s="189"/>
      <c r="F1232" s="182" t="str">
        <f t="shared" si="1"/>
        <v/>
      </c>
      <c r="G1232" s="183">
        <f>IFERROR(__xludf.DUMMYFUNCTION("IFERROR(lookup(9999999999,FILTER('Operações-BR'!$M:$M,'Operações-BR'!$C:$C=A1232,'Operações-BR'!$A:$A&lt;=C1232)),0)"),0.0)</f>
        <v>0</v>
      </c>
      <c r="H1232" s="184">
        <f t="shared" si="2"/>
        <v>0</v>
      </c>
      <c r="I1232" s="184">
        <f>IFERROR(__xludf.DUMMYFUNCTION("IFERROR(lookup(9999999999,FILTER('Operações-BR'!Q:Q,'Operações-BR'!$C:$C=A1232,'Operações-BR'!$A:$A&lt;=C1232))/G1232,0)"),0.0)</f>
        <v>0</v>
      </c>
      <c r="J1232" s="185" t="str">
        <f>IFERROR(VLOOKUP(A1232,Ativos!$A$1:$G2000,5,),"")</f>
        <v/>
      </c>
      <c r="K1232" s="185" t="str">
        <f>IFERROR(VLOOKUP(A1232,Ativos!A:H,8,),"")</f>
        <v/>
      </c>
      <c r="L1232" s="186">
        <f t="shared" si="3"/>
        <v>0</v>
      </c>
    </row>
    <row r="1233" ht="21.0" customHeight="1">
      <c r="A1233" s="187"/>
      <c r="B1233" s="187"/>
      <c r="C1233" s="188"/>
      <c r="D1233" s="135"/>
      <c r="E1233" s="189"/>
      <c r="F1233" s="182" t="str">
        <f t="shared" si="1"/>
        <v/>
      </c>
      <c r="G1233" s="183">
        <f>IFERROR(__xludf.DUMMYFUNCTION("IFERROR(lookup(9999999999,FILTER('Operações-BR'!$M:$M,'Operações-BR'!$C:$C=A1233,'Operações-BR'!$A:$A&lt;=C1233)),0)"),0.0)</f>
        <v>0</v>
      </c>
      <c r="H1233" s="184">
        <f t="shared" si="2"/>
        <v>0</v>
      </c>
      <c r="I1233" s="184">
        <f>IFERROR(__xludf.DUMMYFUNCTION("IFERROR(lookup(9999999999,FILTER('Operações-BR'!Q:Q,'Operações-BR'!$C:$C=A1233,'Operações-BR'!$A:$A&lt;=C1233))/G1233,0)"),0.0)</f>
        <v>0</v>
      </c>
      <c r="J1233" s="185" t="str">
        <f>IFERROR(VLOOKUP(A1233,Ativos!$A$1:$G2000,5,),"")</f>
        <v/>
      </c>
      <c r="K1233" s="185" t="str">
        <f>IFERROR(VLOOKUP(A1233,Ativos!A:H,8,),"")</f>
        <v/>
      </c>
      <c r="L1233" s="186">
        <f t="shared" si="3"/>
        <v>0</v>
      </c>
    </row>
    <row r="1234" ht="21.0" customHeight="1">
      <c r="A1234" s="187"/>
      <c r="B1234" s="187"/>
      <c r="C1234" s="188"/>
      <c r="D1234" s="135"/>
      <c r="E1234" s="189"/>
      <c r="F1234" s="182" t="str">
        <f t="shared" si="1"/>
        <v/>
      </c>
      <c r="G1234" s="183">
        <f>IFERROR(__xludf.DUMMYFUNCTION("IFERROR(lookup(9999999999,FILTER('Operações-BR'!$M:$M,'Operações-BR'!$C:$C=A1234,'Operações-BR'!$A:$A&lt;=C1234)),0)"),0.0)</f>
        <v>0</v>
      </c>
      <c r="H1234" s="184">
        <f t="shared" si="2"/>
        <v>0</v>
      </c>
      <c r="I1234" s="184">
        <f>IFERROR(__xludf.DUMMYFUNCTION("IFERROR(lookup(9999999999,FILTER('Operações-BR'!Q:Q,'Operações-BR'!$C:$C=A1234,'Operações-BR'!$A:$A&lt;=C1234))/G1234,0)"),0.0)</f>
        <v>0</v>
      </c>
      <c r="J1234" s="185" t="str">
        <f>IFERROR(VLOOKUP(A1234,Ativos!$A$1:$G2000,5,),"")</f>
        <v/>
      </c>
      <c r="K1234" s="185" t="str">
        <f>IFERROR(VLOOKUP(A1234,Ativos!A:H,8,),"")</f>
        <v/>
      </c>
      <c r="L1234" s="186">
        <f t="shared" si="3"/>
        <v>0</v>
      </c>
    </row>
    <row r="1235" ht="21.0" customHeight="1">
      <c r="A1235" s="187"/>
      <c r="B1235" s="187"/>
      <c r="C1235" s="188"/>
      <c r="D1235" s="135"/>
      <c r="E1235" s="189"/>
      <c r="F1235" s="182" t="str">
        <f t="shared" si="1"/>
        <v/>
      </c>
      <c r="G1235" s="183">
        <f>IFERROR(__xludf.DUMMYFUNCTION("IFERROR(lookup(9999999999,FILTER('Operações-BR'!$M:$M,'Operações-BR'!$C:$C=A1235,'Operações-BR'!$A:$A&lt;=C1235)),0)"),0.0)</f>
        <v>0</v>
      </c>
      <c r="H1235" s="184">
        <f t="shared" si="2"/>
        <v>0</v>
      </c>
      <c r="I1235" s="184">
        <f>IFERROR(__xludf.DUMMYFUNCTION("IFERROR(lookup(9999999999,FILTER('Operações-BR'!Q:Q,'Operações-BR'!$C:$C=A1235,'Operações-BR'!$A:$A&lt;=C1235))/G1235,0)"),0.0)</f>
        <v>0</v>
      </c>
      <c r="J1235" s="185" t="str">
        <f>IFERROR(VLOOKUP(A1235,Ativos!$A$1:$G2000,5,),"")</f>
        <v/>
      </c>
      <c r="K1235" s="185" t="str">
        <f>IFERROR(VLOOKUP(A1235,Ativos!A:H,8,),"")</f>
        <v/>
      </c>
      <c r="L1235" s="186">
        <f t="shared" si="3"/>
        <v>0</v>
      </c>
    </row>
    <row r="1236" ht="21.0" customHeight="1">
      <c r="A1236" s="187"/>
      <c r="B1236" s="187"/>
      <c r="C1236" s="188"/>
      <c r="D1236" s="135"/>
      <c r="E1236" s="189"/>
      <c r="F1236" s="182" t="str">
        <f t="shared" si="1"/>
        <v/>
      </c>
      <c r="G1236" s="183">
        <f>IFERROR(__xludf.DUMMYFUNCTION("IFERROR(lookup(9999999999,FILTER('Operações-BR'!$M:$M,'Operações-BR'!$C:$C=A1236,'Operações-BR'!$A:$A&lt;=C1236)),0)"),0.0)</f>
        <v>0</v>
      </c>
      <c r="H1236" s="184">
        <f t="shared" si="2"/>
        <v>0</v>
      </c>
      <c r="I1236" s="184">
        <f>IFERROR(__xludf.DUMMYFUNCTION("IFERROR(lookup(9999999999,FILTER('Operações-BR'!Q:Q,'Operações-BR'!$C:$C=A1236,'Operações-BR'!$A:$A&lt;=C1236))/G1236,0)"),0.0)</f>
        <v>0</v>
      </c>
      <c r="J1236" s="185" t="str">
        <f>IFERROR(VLOOKUP(A1236,Ativos!$A$1:$G2000,5,),"")</f>
        <v/>
      </c>
      <c r="K1236" s="185" t="str">
        <f>IFERROR(VLOOKUP(A1236,Ativos!A:H,8,),"")</f>
        <v/>
      </c>
      <c r="L1236" s="186">
        <f t="shared" si="3"/>
        <v>0</v>
      </c>
    </row>
    <row r="1237" ht="21.0" customHeight="1">
      <c r="A1237" s="187"/>
      <c r="B1237" s="187"/>
      <c r="C1237" s="188"/>
      <c r="D1237" s="135"/>
      <c r="E1237" s="189"/>
      <c r="F1237" s="182" t="str">
        <f t="shared" si="1"/>
        <v/>
      </c>
      <c r="G1237" s="183">
        <f>IFERROR(__xludf.DUMMYFUNCTION("IFERROR(lookup(9999999999,FILTER('Operações-BR'!$M:$M,'Operações-BR'!$C:$C=A1237,'Operações-BR'!$A:$A&lt;=C1237)),0)"),0.0)</f>
        <v>0</v>
      </c>
      <c r="H1237" s="184">
        <f t="shared" si="2"/>
        <v>0</v>
      </c>
      <c r="I1237" s="184">
        <f>IFERROR(__xludf.DUMMYFUNCTION("IFERROR(lookup(9999999999,FILTER('Operações-BR'!Q:Q,'Operações-BR'!$C:$C=A1237,'Operações-BR'!$A:$A&lt;=C1237))/G1237,0)"),0.0)</f>
        <v>0</v>
      </c>
      <c r="J1237" s="185" t="str">
        <f>IFERROR(VLOOKUP(A1237,Ativos!$A$1:$G2000,5,),"")</f>
        <v/>
      </c>
      <c r="K1237" s="185" t="str">
        <f>IFERROR(VLOOKUP(A1237,Ativos!A:H,8,),"")</f>
        <v/>
      </c>
      <c r="L1237" s="186">
        <f t="shared" si="3"/>
        <v>0</v>
      </c>
    </row>
    <row r="1238" ht="21.0" customHeight="1">
      <c r="A1238" s="187"/>
      <c r="B1238" s="187"/>
      <c r="C1238" s="188"/>
      <c r="D1238" s="135"/>
      <c r="E1238" s="189"/>
      <c r="F1238" s="182" t="str">
        <f t="shared" si="1"/>
        <v/>
      </c>
      <c r="G1238" s="183">
        <f>IFERROR(__xludf.DUMMYFUNCTION("IFERROR(lookup(9999999999,FILTER('Operações-BR'!$M:$M,'Operações-BR'!$C:$C=A1238,'Operações-BR'!$A:$A&lt;=C1238)),0)"),0.0)</f>
        <v>0</v>
      </c>
      <c r="H1238" s="184">
        <f t="shared" si="2"/>
        <v>0</v>
      </c>
      <c r="I1238" s="184">
        <f>IFERROR(__xludf.DUMMYFUNCTION("IFERROR(lookup(9999999999,FILTER('Operações-BR'!Q:Q,'Operações-BR'!$C:$C=A1238,'Operações-BR'!$A:$A&lt;=C1238))/G1238,0)"),0.0)</f>
        <v>0</v>
      </c>
      <c r="J1238" s="185" t="str">
        <f>IFERROR(VLOOKUP(A1238,Ativos!$A$1:$G2000,5,),"")</f>
        <v/>
      </c>
      <c r="K1238" s="185" t="str">
        <f>IFERROR(VLOOKUP(A1238,Ativos!A:H,8,),"")</f>
        <v/>
      </c>
      <c r="L1238" s="186">
        <f t="shared" si="3"/>
        <v>0</v>
      </c>
    </row>
    <row r="1239" ht="21.0" customHeight="1">
      <c r="A1239" s="187"/>
      <c r="B1239" s="187"/>
      <c r="C1239" s="188"/>
      <c r="D1239" s="135"/>
      <c r="E1239" s="189"/>
      <c r="F1239" s="182" t="str">
        <f t="shared" si="1"/>
        <v/>
      </c>
      <c r="G1239" s="183">
        <f>IFERROR(__xludf.DUMMYFUNCTION("IFERROR(lookup(9999999999,FILTER('Operações-BR'!$M:$M,'Operações-BR'!$C:$C=A1239,'Operações-BR'!$A:$A&lt;=C1239)),0)"),0.0)</f>
        <v>0</v>
      </c>
      <c r="H1239" s="184">
        <f t="shared" si="2"/>
        <v>0</v>
      </c>
      <c r="I1239" s="184">
        <f>IFERROR(__xludf.DUMMYFUNCTION("IFERROR(lookup(9999999999,FILTER('Operações-BR'!Q:Q,'Operações-BR'!$C:$C=A1239,'Operações-BR'!$A:$A&lt;=C1239))/G1239,0)"),0.0)</f>
        <v>0</v>
      </c>
      <c r="J1239" s="185" t="str">
        <f>IFERROR(VLOOKUP(A1239,Ativos!$A$1:$G2000,5,),"")</f>
        <v/>
      </c>
      <c r="K1239" s="185" t="str">
        <f>IFERROR(VLOOKUP(A1239,Ativos!A:H,8,),"")</f>
        <v/>
      </c>
      <c r="L1239" s="186">
        <f t="shared" si="3"/>
        <v>0</v>
      </c>
    </row>
    <row r="1240" ht="21.0" customHeight="1">
      <c r="A1240" s="187"/>
      <c r="B1240" s="187"/>
      <c r="C1240" s="188"/>
      <c r="D1240" s="135"/>
      <c r="E1240" s="189"/>
      <c r="F1240" s="182" t="str">
        <f t="shared" si="1"/>
        <v/>
      </c>
      <c r="G1240" s="183">
        <f>IFERROR(__xludf.DUMMYFUNCTION("IFERROR(lookup(9999999999,FILTER('Operações-BR'!$M:$M,'Operações-BR'!$C:$C=A1240,'Operações-BR'!$A:$A&lt;=C1240)),0)"),0.0)</f>
        <v>0</v>
      </c>
      <c r="H1240" s="184">
        <f t="shared" si="2"/>
        <v>0</v>
      </c>
      <c r="I1240" s="184">
        <f>IFERROR(__xludf.DUMMYFUNCTION("IFERROR(lookup(9999999999,FILTER('Operações-BR'!Q:Q,'Operações-BR'!$C:$C=A1240,'Operações-BR'!$A:$A&lt;=C1240))/G1240,0)"),0.0)</f>
        <v>0</v>
      </c>
      <c r="J1240" s="185" t="str">
        <f>IFERROR(VLOOKUP(A1240,Ativos!$A$1:$G2000,5,),"")</f>
        <v/>
      </c>
      <c r="K1240" s="185" t="str">
        <f>IFERROR(VLOOKUP(A1240,Ativos!A:H,8,),"")</f>
        <v/>
      </c>
      <c r="L1240" s="186">
        <f t="shared" si="3"/>
        <v>0</v>
      </c>
    </row>
    <row r="1241" ht="21.0" customHeight="1">
      <c r="A1241" s="187"/>
      <c r="B1241" s="187"/>
      <c r="C1241" s="188"/>
      <c r="D1241" s="135"/>
      <c r="E1241" s="189"/>
      <c r="F1241" s="182" t="str">
        <f t="shared" si="1"/>
        <v/>
      </c>
      <c r="G1241" s="183">
        <f>IFERROR(__xludf.DUMMYFUNCTION("IFERROR(lookup(9999999999,FILTER('Operações-BR'!$M:$M,'Operações-BR'!$C:$C=A1241,'Operações-BR'!$A:$A&lt;=C1241)),0)"),0.0)</f>
        <v>0</v>
      </c>
      <c r="H1241" s="184">
        <f t="shared" si="2"/>
        <v>0</v>
      </c>
      <c r="I1241" s="184">
        <f>IFERROR(__xludf.DUMMYFUNCTION("IFERROR(lookup(9999999999,FILTER('Operações-BR'!Q:Q,'Operações-BR'!$C:$C=A1241,'Operações-BR'!$A:$A&lt;=C1241))/G1241,0)"),0.0)</f>
        <v>0</v>
      </c>
      <c r="J1241" s="185" t="str">
        <f>IFERROR(VLOOKUP(A1241,Ativos!$A$1:$G2000,5,),"")</f>
        <v/>
      </c>
      <c r="K1241" s="185" t="str">
        <f>IFERROR(VLOOKUP(A1241,Ativos!A:H,8,),"")</f>
        <v/>
      </c>
      <c r="L1241" s="186">
        <f t="shared" si="3"/>
        <v>0</v>
      </c>
    </row>
    <row r="1242" ht="21.0" customHeight="1">
      <c r="A1242" s="187"/>
      <c r="B1242" s="187"/>
      <c r="C1242" s="188"/>
      <c r="D1242" s="135"/>
      <c r="E1242" s="189"/>
      <c r="F1242" s="182" t="str">
        <f t="shared" si="1"/>
        <v/>
      </c>
      <c r="G1242" s="183">
        <f>IFERROR(__xludf.DUMMYFUNCTION("IFERROR(lookup(9999999999,FILTER('Operações-BR'!$M:$M,'Operações-BR'!$C:$C=A1242,'Operações-BR'!$A:$A&lt;=C1242)),0)"),0.0)</f>
        <v>0</v>
      </c>
      <c r="H1242" s="184">
        <f t="shared" si="2"/>
        <v>0</v>
      </c>
      <c r="I1242" s="184">
        <f>IFERROR(__xludf.DUMMYFUNCTION("IFERROR(lookup(9999999999,FILTER('Operações-BR'!Q:Q,'Operações-BR'!$C:$C=A1242,'Operações-BR'!$A:$A&lt;=C1242))/G1242,0)"),0.0)</f>
        <v>0</v>
      </c>
      <c r="J1242" s="185" t="str">
        <f>IFERROR(VLOOKUP(A1242,Ativos!$A$1:$G2000,5,),"")</f>
        <v/>
      </c>
      <c r="K1242" s="185" t="str">
        <f>IFERROR(VLOOKUP(A1242,Ativos!A:H,8,),"")</f>
        <v/>
      </c>
      <c r="L1242" s="186">
        <f t="shared" si="3"/>
        <v>0</v>
      </c>
    </row>
    <row r="1243" ht="21.0" customHeight="1">
      <c r="A1243" s="187"/>
      <c r="B1243" s="187"/>
      <c r="C1243" s="188"/>
      <c r="D1243" s="135"/>
      <c r="E1243" s="189"/>
      <c r="F1243" s="182" t="str">
        <f t="shared" si="1"/>
        <v/>
      </c>
      <c r="G1243" s="183">
        <f>IFERROR(__xludf.DUMMYFUNCTION("IFERROR(lookup(9999999999,FILTER('Operações-BR'!$M:$M,'Operações-BR'!$C:$C=A1243,'Operações-BR'!$A:$A&lt;=C1243)),0)"),0.0)</f>
        <v>0</v>
      </c>
      <c r="H1243" s="184">
        <f t="shared" si="2"/>
        <v>0</v>
      </c>
      <c r="I1243" s="184">
        <f>IFERROR(__xludf.DUMMYFUNCTION("IFERROR(lookup(9999999999,FILTER('Operações-BR'!Q:Q,'Operações-BR'!$C:$C=A1243,'Operações-BR'!$A:$A&lt;=C1243))/G1243,0)"),0.0)</f>
        <v>0</v>
      </c>
      <c r="J1243" s="185" t="str">
        <f>IFERROR(VLOOKUP(A1243,Ativos!$A$1:$G2000,5,),"")</f>
        <v/>
      </c>
      <c r="K1243" s="185" t="str">
        <f>IFERROR(VLOOKUP(A1243,Ativos!A:H,8,),"")</f>
        <v/>
      </c>
      <c r="L1243" s="186">
        <f t="shared" si="3"/>
        <v>0</v>
      </c>
    </row>
    <row r="1244" ht="21.0" customHeight="1">
      <c r="A1244" s="187"/>
      <c r="B1244" s="187"/>
      <c r="C1244" s="188"/>
      <c r="D1244" s="135"/>
      <c r="E1244" s="189"/>
      <c r="F1244" s="182" t="str">
        <f t="shared" si="1"/>
        <v/>
      </c>
      <c r="G1244" s="183">
        <f>IFERROR(__xludf.DUMMYFUNCTION("IFERROR(lookup(9999999999,FILTER('Operações-BR'!$M:$M,'Operações-BR'!$C:$C=A1244,'Operações-BR'!$A:$A&lt;=C1244)),0)"),0.0)</f>
        <v>0</v>
      </c>
      <c r="H1244" s="184">
        <f t="shared" si="2"/>
        <v>0</v>
      </c>
      <c r="I1244" s="184">
        <f>IFERROR(__xludf.DUMMYFUNCTION("IFERROR(lookup(9999999999,FILTER('Operações-BR'!Q:Q,'Operações-BR'!$C:$C=A1244,'Operações-BR'!$A:$A&lt;=C1244))/G1244,0)"),0.0)</f>
        <v>0</v>
      </c>
      <c r="J1244" s="185" t="str">
        <f>IFERROR(VLOOKUP(A1244,Ativos!$A$1:$G2000,5,),"")</f>
        <v/>
      </c>
      <c r="K1244" s="185" t="str">
        <f>IFERROR(VLOOKUP(A1244,Ativos!A:H,8,),"")</f>
        <v/>
      </c>
      <c r="L1244" s="186">
        <f t="shared" si="3"/>
        <v>0</v>
      </c>
    </row>
    <row r="1245" ht="21.0" customHeight="1">
      <c r="A1245" s="187"/>
      <c r="B1245" s="187"/>
      <c r="C1245" s="188"/>
      <c r="D1245" s="135"/>
      <c r="E1245" s="189"/>
      <c r="F1245" s="182" t="str">
        <f t="shared" si="1"/>
        <v/>
      </c>
      <c r="G1245" s="183">
        <f>IFERROR(__xludf.DUMMYFUNCTION("IFERROR(lookup(9999999999,FILTER('Operações-BR'!$M:$M,'Operações-BR'!$C:$C=A1245,'Operações-BR'!$A:$A&lt;=C1245)),0)"),0.0)</f>
        <v>0</v>
      </c>
      <c r="H1245" s="184">
        <f t="shared" si="2"/>
        <v>0</v>
      </c>
      <c r="I1245" s="184">
        <f>IFERROR(__xludf.DUMMYFUNCTION("IFERROR(lookup(9999999999,FILTER('Operações-BR'!Q:Q,'Operações-BR'!$C:$C=A1245,'Operações-BR'!$A:$A&lt;=C1245))/G1245,0)"),0.0)</f>
        <v>0</v>
      </c>
      <c r="J1245" s="185" t="str">
        <f>IFERROR(VLOOKUP(A1245,Ativos!$A$1:$G2000,5,),"")</f>
        <v/>
      </c>
      <c r="K1245" s="185" t="str">
        <f>IFERROR(VLOOKUP(A1245,Ativos!A:H,8,),"")</f>
        <v/>
      </c>
      <c r="L1245" s="186">
        <f t="shared" si="3"/>
        <v>0</v>
      </c>
    </row>
    <row r="1246" ht="21.0" customHeight="1">
      <c r="A1246" s="187"/>
      <c r="B1246" s="187"/>
      <c r="C1246" s="188"/>
      <c r="D1246" s="135"/>
      <c r="E1246" s="189"/>
      <c r="F1246" s="182" t="str">
        <f t="shared" si="1"/>
        <v/>
      </c>
      <c r="G1246" s="183">
        <f>IFERROR(__xludf.DUMMYFUNCTION("IFERROR(lookup(9999999999,FILTER('Operações-BR'!$M:$M,'Operações-BR'!$C:$C=A1246,'Operações-BR'!$A:$A&lt;=C1246)),0)"),0.0)</f>
        <v>0</v>
      </c>
      <c r="H1246" s="184">
        <f t="shared" si="2"/>
        <v>0</v>
      </c>
      <c r="I1246" s="184">
        <f>IFERROR(__xludf.DUMMYFUNCTION("IFERROR(lookup(9999999999,FILTER('Operações-BR'!Q:Q,'Operações-BR'!$C:$C=A1246,'Operações-BR'!$A:$A&lt;=C1246))/G1246,0)"),0.0)</f>
        <v>0</v>
      </c>
      <c r="J1246" s="185" t="str">
        <f>IFERROR(VLOOKUP(A1246,Ativos!$A$1:$G2000,5,),"")</f>
        <v/>
      </c>
      <c r="K1246" s="185" t="str">
        <f>IFERROR(VLOOKUP(A1246,Ativos!A:H,8,),"")</f>
        <v/>
      </c>
      <c r="L1246" s="186">
        <f t="shared" si="3"/>
        <v>0</v>
      </c>
    </row>
    <row r="1247" ht="21.0" customHeight="1">
      <c r="A1247" s="187"/>
      <c r="B1247" s="187"/>
      <c r="C1247" s="188"/>
      <c r="D1247" s="135"/>
      <c r="E1247" s="189"/>
      <c r="F1247" s="182" t="str">
        <f t="shared" si="1"/>
        <v/>
      </c>
      <c r="G1247" s="183">
        <f>IFERROR(__xludf.DUMMYFUNCTION("IFERROR(lookup(9999999999,FILTER('Operações-BR'!$M:$M,'Operações-BR'!$C:$C=A1247,'Operações-BR'!$A:$A&lt;=C1247)),0)"),0.0)</f>
        <v>0</v>
      </c>
      <c r="H1247" s="184">
        <f t="shared" si="2"/>
        <v>0</v>
      </c>
      <c r="I1247" s="184">
        <f>IFERROR(__xludf.DUMMYFUNCTION("IFERROR(lookup(9999999999,FILTER('Operações-BR'!Q:Q,'Operações-BR'!$C:$C=A1247,'Operações-BR'!$A:$A&lt;=C1247))/G1247,0)"),0.0)</f>
        <v>0</v>
      </c>
      <c r="J1247" s="185" t="str">
        <f>IFERROR(VLOOKUP(A1247,Ativos!$A$1:$G2000,5,),"")</f>
        <v/>
      </c>
      <c r="K1247" s="185" t="str">
        <f>IFERROR(VLOOKUP(A1247,Ativos!A:H,8,),"")</f>
        <v/>
      </c>
      <c r="L1247" s="186">
        <f t="shared" si="3"/>
        <v>0</v>
      </c>
    </row>
    <row r="1248" ht="21.0" customHeight="1">
      <c r="A1248" s="187"/>
      <c r="B1248" s="187"/>
      <c r="C1248" s="188"/>
      <c r="D1248" s="135"/>
      <c r="E1248" s="189"/>
      <c r="F1248" s="182" t="str">
        <f t="shared" si="1"/>
        <v/>
      </c>
      <c r="G1248" s="183">
        <f>IFERROR(__xludf.DUMMYFUNCTION("IFERROR(lookup(9999999999,FILTER('Operações-BR'!$M:$M,'Operações-BR'!$C:$C=A1248,'Operações-BR'!$A:$A&lt;=C1248)),0)"),0.0)</f>
        <v>0</v>
      </c>
      <c r="H1248" s="184">
        <f t="shared" si="2"/>
        <v>0</v>
      </c>
      <c r="I1248" s="184">
        <f>IFERROR(__xludf.DUMMYFUNCTION("IFERROR(lookup(9999999999,FILTER('Operações-BR'!Q:Q,'Operações-BR'!$C:$C=A1248,'Operações-BR'!$A:$A&lt;=C1248))/G1248,0)"),0.0)</f>
        <v>0</v>
      </c>
      <c r="J1248" s="185" t="str">
        <f>IFERROR(VLOOKUP(A1248,Ativos!$A$1:$G2000,5,),"")</f>
        <v/>
      </c>
      <c r="K1248" s="185" t="str">
        <f>IFERROR(VLOOKUP(A1248,Ativos!A:H,8,),"")</f>
        <v/>
      </c>
      <c r="L1248" s="186">
        <f t="shared" si="3"/>
        <v>0</v>
      </c>
    </row>
    <row r="1249" ht="21.0" customHeight="1">
      <c r="A1249" s="187"/>
      <c r="B1249" s="187"/>
      <c r="C1249" s="188"/>
      <c r="D1249" s="135"/>
      <c r="E1249" s="189"/>
      <c r="F1249" s="182" t="str">
        <f t="shared" si="1"/>
        <v/>
      </c>
      <c r="G1249" s="183">
        <f>IFERROR(__xludf.DUMMYFUNCTION("IFERROR(lookup(9999999999,FILTER('Operações-BR'!$M:$M,'Operações-BR'!$C:$C=A1249,'Operações-BR'!$A:$A&lt;=C1249)),0)"),0.0)</f>
        <v>0</v>
      </c>
      <c r="H1249" s="184">
        <f t="shared" si="2"/>
        <v>0</v>
      </c>
      <c r="I1249" s="184">
        <f>IFERROR(__xludf.DUMMYFUNCTION("IFERROR(lookup(9999999999,FILTER('Operações-BR'!Q:Q,'Operações-BR'!$C:$C=A1249,'Operações-BR'!$A:$A&lt;=C1249))/G1249,0)"),0.0)</f>
        <v>0</v>
      </c>
      <c r="J1249" s="185" t="str">
        <f>IFERROR(VLOOKUP(A1249,Ativos!$A$1:$G2000,5,),"")</f>
        <v/>
      </c>
      <c r="K1249" s="185" t="str">
        <f>IFERROR(VLOOKUP(A1249,Ativos!A:H,8,),"")</f>
        <v/>
      </c>
      <c r="L1249" s="186">
        <f t="shared" si="3"/>
        <v>0</v>
      </c>
    </row>
    <row r="1250" ht="21.0" customHeight="1">
      <c r="A1250" s="187"/>
      <c r="B1250" s="187"/>
      <c r="C1250" s="188"/>
      <c r="D1250" s="135"/>
      <c r="E1250" s="189"/>
      <c r="F1250" s="182" t="str">
        <f t="shared" si="1"/>
        <v/>
      </c>
      <c r="G1250" s="183">
        <f>IFERROR(__xludf.DUMMYFUNCTION("IFERROR(lookup(9999999999,FILTER('Operações-BR'!$M:$M,'Operações-BR'!$C:$C=A1250,'Operações-BR'!$A:$A&lt;=C1250)),0)"),0.0)</f>
        <v>0</v>
      </c>
      <c r="H1250" s="184">
        <f t="shared" si="2"/>
        <v>0</v>
      </c>
      <c r="I1250" s="184">
        <f>IFERROR(__xludf.DUMMYFUNCTION("IFERROR(lookup(9999999999,FILTER('Operações-BR'!Q:Q,'Operações-BR'!$C:$C=A1250,'Operações-BR'!$A:$A&lt;=C1250))/G1250,0)"),0.0)</f>
        <v>0</v>
      </c>
      <c r="J1250" s="185" t="str">
        <f>IFERROR(VLOOKUP(A1250,Ativos!$A$1:$G2000,5,),"")</f>
        <v/>
      </c>
      <c r="K1250" s="185" t="str">
        <f>IFERROR(VLOOKUP(A1250,Ativos!A:H,8,),"")</f>
        <v/>
      </c>
      <c r="L1250" s="186">
        <f t="shared" si="3"/>
        <v>0</v>
      </c>
    </row>
    <row r="1251" ht="21.0" customHeight="1">
      <c r="A1251" s="187"/>
      <c r="B1251" s="187"/>
      <c r="C1251" s="188"/>
      <c r="D1251" s="135"/>
      <c r="E1251" s="189"/>
      <c r="F1251" s="182" t="str">
        <f t="shared" si="1"/>
        <v/>
      </c>
      <c r="G1251" s="183">
        <f>IFERROR(__xludf.DUMMYFUNCTION("IFERROR(lookup(9999999999,FILTER('Operações-BR'!$M:$M,'Operações-BR'!$C:$C=A1251,'Operações-BR'!$A:$A&lt;=C1251)),0)"),0.0)</f>
        <v>0</v>
      </c>
      <c r="H1251" s="184">
        <f t="shared" si="2"/>
        <v>0</v>
      </c>
      <c r="I1251" s="184">
        <f>IFERROR(__xludf.DUMMYFUNCTION("IFERROR(lookup(9999999999,FILTER('Operações-BR'!Q:Q,'Operações-BR'!$C:$C=A1251,'Operações-BR'!$A:$A&lt;=C1251))/G1251,0)"),0.0)</f>
        <v>0</v>
      </c>
      <c r="J1251" s="185" t="str">
        <f>IFERROR(VLOOKUP(A1251,Ativos!$A$1:$G2000,5,),"")</f>
        <v/>
      </c>
      <c r="K1251" s="185" t="str">
        <f>IFERROR(VLOOKUP(A1251,Ativos!A:H,8,),"")</f>
        <v/>
      </c>
      <c r="L1251" s="186">
        <f t="shared" si="3"/>
        <v>0</v>
      </c>
    </row>
    <row r="1252" ht="21.0" customHeight="1">
      <c r="A1252" s="187"/>
      <c r="B1252" s="187"/>
      <c r="C1252" s="188"/>
      <c r="D1252" s="135"/>
      <c r="E1252" s="189"/>
      <c r="F1252" s="182" t="str">
        <f t="shared" si="1"/>
        <v/>
      </c>
      <c r="G1252" s="183">
        <f>IFERROR(__xludf.DUMMYFUNCTION("IFERROR(lookup(9999999999,FILTER('Operações-BR'!$M:$M,'Operações-BR'!$C:$C=A1252,'Operações-BR'!$A:$A&lt;=C1252)),0)"),0.0)</f>
        <v>0</v>
      </c>
      <c r="H1252" s="184">
        <f t="shared" si="2"/>
        <v>0</v>
      </c>
      <c r="I1252" s="184">
        <f>IFERROR(__xludf.DUMMYFUNCTION("IFERROR(lookup(9999999999,FILTER('Operações-BR'!Q:Q,'Operações-BR'!$C:$C=A1252,'Operações-BR'!$A:$A&lt;=C1252))/G1252,0)"),0.0)</f>
        <v>0</v>
      </c>
      <c r="J1252" s="185" t="str">
        <f>IFERROR(VLOOKUP(A1252,Ativos!$A$1:$G2000,5,),"")</f>
        <v/>
      </c>
      <c r="K1252" s="185" t="str">
        <f>IFERROR(VLOOKUP(A1252,Ativos!A:H,8,),"")</f>
        <v/>
      </c>
      <c r="L1252" s="186">
        <f t="shared" si="3"/>
        <v>0</v>
      </c>
    </row>
    <row r="1253" ht="21.0" customHeight="1">
      <c r="A1253" s="187"/>
      <c r="B1253" s="187"/>
      <c r="C1253" s="188"/>
      <c r="D1253" s="135"/>
      <c r="E1253" s="189"/>
      <c r="F1253" s="182" t="str">
        <f t="shared" si="1"/>
        <v/>
      </c>
      <c r="G1253" s="183">
        <f>IFERROR(__xludf.DUMMYFUNCTION("IFERROR(lookup(9999999999,FILTER('Operações-BR'!$M:$M,'Operações-BR'!$C:$C=A1253,'Operações-BR'!$A:$A&lt;=C1253)),0)"),0.0)</f>
        <v>0</v>
      </c>
      <c r="H1253" s="184">
        <f t="shared" si="2"/>
        <v>0</v>
      </c>
      <c r="I1253" s="184">
        <f>IFERROR(__xludf.DUMMYFUNCTION("IFERROR(lookup(9999999999,FILTER('Operações-BR'!Q:Q,'Operações-BR'!$C:$C=A1253,'Operações-BR'!$A:$A&lt;=C1253))/G1253,0)"),0.0)</f>
        <v>0</v>
      </c>
      <c r="J1253" s="185" t="str">
        <f>IFERROR(VLOOKUP(A1253,Ativos!$A$1:$G2000,5,),"")</f>
        <v/>
      </c>
      <c r="K1253" s="185" t="str">
        <f>IFERROR(VLOOKUP(A1253,Ativos!A:H,8,),"")</f>
        <v/>
      </c>
      <c r="L1253" s="186">
        <f t="shared" si="3"/>
        <v>0</v>
      </c>
    </row>
    <row r="1254" ht="21.0" customHeight="1">
      <c r="A1254" s="187"/>
      <c r="B1254" s="187"/>
      <c r="C1254" s="188"/>
      <c r="D1254" s="135"/>
      <c r="E1254" s="189"/>
      <c r="F1254" s="182" t="str">
        <f t="shared" si="1"/>
        <v/>
      </c>
      <c r="G1254" s="183">
        <f>IFERROR(__xludf.DUMMYFUNCTION("IFERROR(lookup(9999999999,FILTER('Operações-BR'!$M:$M,'Operações-BR'!$C:$C=A1254,'Operações-BR'!$A:$A&lt;=C1254)),0)"),0.0)</f>
        <v>0</v>
      </c>
      <c r="H1254" s="184">
        <f t="shared" si="2"/>
        <v>0</v>
      </c>
      <c r="I1254" s="184">
        <f>IFERROR(__xludf.DUMMYFUNCTION("IFERROR(lookup(9999999999,FILTER('Operações-BR'!Q:Q,'Operações-BR'!$C:$C=A1254,'Operações-BR'!$A:$A&lt;=C1254))/G1254,0)"),0.0)</f>
        <v>0</v>
      </c>
      <c r="J1254" s="185" t="str">
        <f>IFERROR(VLOOKUP(A1254,Ativos!$A$1:$G2000,5,),"")</f>
        <v/>
      </c>
      <c r="K1254" s="185" t="str">
        <f>IFERROR(VLOOKUP(A1254,Ativos!A:H,8,),"")</f>
        <v/>
      </c>
      <c r="L1254" s="186">
        <f t="shared" si="3"/>
        <v>0</v>
      </c>
    </row>
    <row r="1255" ht="21.0" customHeight="1">
      <c r="A1255" s="187"/>
      <c r="B1255" s="187"/>
      <c r="C1255" s="188"/>
      <c r="D1255" s="135"/>
      <c r="E1255" s="189"/>
      <c r="F1255" s="182" t="str">
        <f t="shared" si="1"/>
        <v/>
      </c>
      <c r="G1255" s="183">
        <f>IFERROR(__xludf.DUMMYFUNCTION("IFERROR(lookup(9999999999,FILTER('Operações-BR'!$M:$M,'Operações-BR'!$C:$C=A1255,'Operações-BR'!$A:$A&lt;=C1255)),0)"),0.0)</f>
        <v>0</v>
      </c>
      <c r="H1255" s="184">
        <f t="shared" si="2"/>
        <v>0</v>
      </c>
      <c r="I1255" s="184">
        <f>IFERROR(__xludf.DUMMYFUNCTION("IFERROR(lookup(9999999999,FILTER('Operações-BR'!Q:Q,'Operações-BR'!$C:$C=A1255,'Operações-BR'!$A:$A&lt;=C1255))/G1255,0)"),0.0)</f>
        <v>0</v>
      </c>
      <c r="J1255" s="185" t="str">
        <f>IFERROR(VLOOKUP(A1255,Ativos!$A$1:$G2000,5,),"")</f>
        <v/>
      </c>
      <c r="K1255" s="185" t="str">
        <f>IFERROR(VLOOKUP(A1255,Ativos!A:H,8,),"")</f>
        <v/>
      </c>
      <c r="L1255" s="186">
        <f t="shared" si="3"/>
        <v>0</v>
      </c>
    </row>
    <row r="1256" ht="21.0" customHeight="1">
      <c r="A1256" s="187"/>
      <c r="B1256" s="187"/>
      <c r="C1256" s="188"/>
      <c r="D1256" s="135"/>
      <c r="E1256" s="189"/>
      <c r="F1256" s="182" t="str">
        <f t="shared" si="1"/>
        <v/>
      </c>
      <c r="G1256" s="183">
        <f>IFERROR(__xludf.DUMMYFUNCTION("IFERROR(lookup(9999999999,FILTER('Operações-BR'!$M:$M,'Operações-BR'!$C:$C=A1256,'Operações-BR'!$A:$A&lt;=C1256)),0)"),0.0)</f>
        <v>0</v>
      </c>
      <c r="H1256" s="184">
        <f t="shared" si="2"/>
        <v>0</v>
      </c>
      <c r="I1256" s="184">
        <f>IFERROR(__xludf.DUMMYFUNCTION("IFERROR(lookup(9999999999,FILTER('Operações-BR'!Q:Q,'Operações-BR'!$C:$C=A1256,'Operações-BR'!$A:$A&lt;=C1256))/G1256,0)"),0.0)</f>
        <v>0</v>
      </c>
      <c r="J1256" s="185" t="str">
        <f>IFERROR(VLOOKUP(A1256,Ativos!$A$1:$G2000,5,),"")</f>
        <v/>
      </c>
      <c r="K1256" s="185" t="str">
        <f>IFERROR(VLOOKUP(A1256,Ativos!A:H,8,),"")</f>
        <v/>
      </c>
      <c r="L1256" s="186">
        <f t="shared" si="3"/>
        <v>0</v>
      </c>
    </row>
    <row r="1257" ht="21.0" customHeight="1">
      <c r="A1257" s="187"/>
      <c r="B1257" s="187"/>
      <c r="C1257" s="188"/>
      <c r="D1257" s="135"/>
      <c r="E1257" s="189"/>
      <c r="F1257" s="182" t="str">
        <f t="shared" si="1"/>
        <v/>
      </c>
      <c r="G1257" s="183">
        <f>IFERROR(__xludf.DUMMYFUNCTION("IFERROR(lookup(9999999999,FILTER('Operações-BR'!$M:$M,'Operações-BR'!$C:$C=A1257,'Operações-BR'!$A:$A&lt;=C1257)),0)"),0.0)</f>
        <v>0</v>
      </c>
      <c r="H1257" s="184">
        <f t="shared" si="2"/>
        <v>0</v>
      </c>
      <c r="I1257" s="184">
        <f>IFERROR(__xludf.DUMMYFUNCTION("IFERROR(lookup(9999999999,FILTER('Operações-BR'!Q:Q,'Operações-BR'!$C:$C=A1257,'Operações-BR'!$A:$A&lt;=C1257))/G1257,0)"),0.0)</f>
        <v>0</v>
      </c>
      <c r="J1257" s="185" t="str">
        <f>IFERROR(VLOOKUP(A1257,Ativos!$A$1:$G2000,5,),"")</f>
        <v/>
      </c>
      <c r="K1257" s="185" t="str">
        <f>IFERROR(VLOOKUP(A1257,Ativos!A:H,8,),"")</f>
        <v/>
      </c>
      <c r="L1257" s="186">
        <f t="shared" si="3"/>
        <v>0</v>
      </c>
    </row>
    <row r="1258" ht="21.0" customHeight="1">
      <c r="A1258" s="187"/>
      <c r="B1258" s="187"/>
      <c r="C1258" s="188"/>
      <c r="D1258" s="135"/>
      <c r="E1258" s="189"/>
      <c r="F1258" s="182" t="str">
        <f t="shared" si="1"/>
        <v/>
      </c>
      <c r="G1258" s="183">
        <f>IFERROR(__xludf.DUMMYFUNCTION("IFERROR(lookup(9999999999,FILTER('Operações-BR'!$M:$M,'Operações-BR'!$C:$C=A1258,'Operações-BR'!$A:$A&lt;=C1258)),0)"),0.0)</f>
        <v>0</v>
      </c>
      <c r="H1258" s="184">
        <f t="shared" si="2"/>
        <v>0</v>
      </c>
      <c r="I1258" s="184">
        <f>IFERROR(__xludf.DUMMYFUNCTION("IFERROR(lookup(9999999999,FILTER('Operações-BR'!Q:Q,'Operações-BR'!$C:$C=A1258,'Operações-BR'!$A:$A&lt;=C1258))/G1258,0)"),0.0)</f>
        <v>0</v>
      </c>
      <c r="J1258" s="185" t="str">
        <f>IFERROR(VLOOKUP(A1258,Ativos!$A$1:$G2000,5,),"")</f>
        <v/>
      </c>
      <c r="K1258" s="185" t="str">
        <f>IFERROR(VLOOKUP(A1258,Ativos!A:H,8,),"")</f>
        <v/>
      </c>
      <c r="L1258" s="186">
        <f t="shared" si="3"/>
        <v>0</v>
      </c>
    </row>
    <row r="1259" ht="21.0" customHeight="1">
      <c r="A1259" s="187"/>
      <c r="B1259" s="187"/>
      <c r="C1259" s="188"/>
      <c r="D1259" s="135"/>
      <c r="E1259" s="189"/>
      <c r="F1259" s="182" t="str">
        <f t="shared" si="1"/>
        <v/>
      </c>
      <c r="G1259" s="183">
        <f>IFERROR(__xludf.DUMMYFUNCTION("IFERROR(lookup(9999999999,FILTER('Operações-BR'!$M:$M,'Operações-BR'!$C:$C=A1259,'Operações-BR'!$A:$A&lt;=C1259)),0)"),0.0)</f>
        <v>0</v>
      </c>
      <c r="H1259" s="184">
        <f t="shared" si="2"/>
        <v>0</v>
      </c>
      <c r="I1259" s="184">
        <f>IFERROR(__xludf.DUMMYFUNCTION("IFERROR(lookup(9999999999,FILTER('Operações-BR'!Q:Q,'Operações-BR'!$C:$C=A1259,'Operações-BR'!$A:$A&lt;=C1259))/G1259,0)"),0.0)</f>
        <v>0</v>
      </c>
      <c r="J1259" s="185" t="str">
        <f>IFERROR(VLOOKUP(A1259,Ativos!$A$1:$G2000,5,),"")</f>
        <v/>
      </c>
      <c r="K1259" s="185" t="str">
        <f>IFERROR(VLOOKUP(A1259,Ativos!A:H,8,),"")</f>
        <v/>
      </c>
      <c r="L1259" s="186">
        <f t="shared" si="3"/>
        <v>0</v>
      </c>
    </row>
    <row r="1260" ht="21.0" customHeight="1">
      <c r="A1260" s="187"/>
      <c r="B1260" s="187"/>
      <c r="C1260" s="188"/>
      <c r="D1260" s="135"/>
      <c r="E1260" s="189"/>
      <c r="F1260" s="182" t="str">
        <f t="shared" si="1"/>
        <v/>
      </c>
      <c r="G1260" s="183">
        <f>IFERROR(__xludf.DUMMYFUNCTION("IFERROR(lookup(9999999999,FILTER('Operações-BR'!$M:$M,'Operações-BR'!$C:$C=A1260,'Operações-BR'!$A:$A&lt;=C1260)),0)"),0.0)</f>
        <v>0</v>
      </c>
      <c r="H1260" s="184">
        <f t="shared" si="2"/>
        <v>0</v>
      </c>
      <c r="I1260" s="184">
        <f>IFERROR(__xludf.DUMMYFUNCTION("IFERROR(lookup(9999999999,FILTER('Operações-BR'!Q:Q,'Operações-BR'!$C:$C=A1260,'Operações-BR'!$A:$A&lt;=C1260))/G1260,0)"),0.0)</f>
        <v>0</v>
      </c>
      <c r="J1260" s="185" t="str">
        <f>IFERROR(VLOOKUP(A1260,Ativos!$A$1:$G2000,5,),"")</f>
        <v/>
      </c>
      <c r="K1260" s="185" t="str">
        <f>IFERROR(VLOOKUP(A1260,Ativos!A:H,8,),"")</f>
        <v/>
      </c>
      <c r="L1260" s="186">
        <f t="shared" si="3"/>
        <v>0</v>
      </c>
    </row>
    <row r="1261" ht="21.0" customHeight="1">
      <c r="A1261" s="187"/>
      <c r="B1261" s="187"/>
      <c r="C1261" s="188"/>
      <c r="D1261" s="135"/>
      <c r="E1261" s="189"/>
      <c r="F1261" s="182" t="str">
        <f t="shared" si="1"/>
        <v/>
      </c>
      <c r="G1261" s="183">
        <f>IFERROR(__xludf.DUMMYFUNCTION("IFERROR(lookup(9999999999,FILTER('Operações-BR'!$M:$M,'Operações-BR'!$C:$C=A1261,'Operações-BR'!$A:$A&lt;=C1261)),0)"),0.0)</f>
        <v>0</v>
      </c>
      <c r="H1261" s="184">
        <f t="shared" si="2"/>
        <v>0</v>
      </c>
      <c r="I1261" s="184">
        <f>IFERROR(__xludf.DUMMYFUNCTION("IFERROR(lookup(9999999999,FILTER('Operações-BR'!Q:Q,'Operações-BR'!$C:$C=A1261,'Operações-BR'!$A:$A&lt;=C1261))/G1261,0)"),0.0)</f>
        <v>0</v>
      </c>
      <c r="J1261" s="185" t="str">
        <f>IFERROR(VLOOKUP(A1261,Ativos!$A$1:$G2000,5,),"")</f>
        <v/>
      </c>
      <c r="K1261" s="185" t="str">
        <f>IFERROR(VLOOKUP(A1261,Ativos!A:H,8,),"")</f>
        <v/>
      </c>
      <c r="L1261" s="186">
        <f t="shared" si="3"/>
        <v>0</v>
      </c>
    </row>
    <row r="1262" ht="21.0" customHeight="1">
      <c r="A1262" s="187"/>
      <c r="B1262" s="187"/>
      <c r="C1262" s="188"/>
      <c r="D1262" s="135"/>
      <c r="E1262" s="189"/>
      <c r="F1262" s="182" t="str">
        <f t="shared" si="1"/>
        <v/>
      </c>
      <c r="G1262" s="183">
        <f>IFERROR(__xludf.DUMMYFUNCTION("IFERROR(lookup(9999999999,FILTER('Operações-BR'!$M:$M,'Operações-BR'!$C:$C=A1262,'Operações-BR'!$A:$A&lt;=C1262)),0)"),0.0)</f>
        <v>0</v>
      </c>
      <c r="H1262" s="184">
        <f t="shared" si="2"/>
        <v>0</v>
      </c>
      <c r="I1262" s="184">
        <f>IFERROR(__xludf.DUMMYFUNCTION("IFERROR(lookup(9999999999,FILTER('Operações-BR'!Q:Q,'Operações-BR'!$C:$C=A1262,'Operações-BR'!$A:$A&lt;=C1262))/G1262,0)"),0.0)</f>
        <v>0</v>
      </c>
      <c r="J1262" s="185" t="str">
        <f>IFERROR(VLOOKUP(A1262,Ativos!$A$1:$G2000,5,),"")</f>
        <v/>
      </c>
      <c r="K1262" s="185" t="str">
        <f>IFERROR(VLOOKUP(A1262,Ativos!A:H,8,),"")</f>
        <v/>
      </c>
      <c r="L1262" s="186">
        <f t="shared" si="3"/>
        <v>0</v>
      </c>
    </row>
    <row r="1263" ht="21.0" customHeight="1">
      <c r="A1263" s="187"/>
      <c r="B1263" s="187"/>
      <c r="C1263" s="188"/>
      <c r="D1263" s="135"/>
      <c r="E1263" s="189"/>
      <c r="F1263" s="182" t="str">
        <f t="shared" si="1"/>
        <v/>
      </c>
      <c r="G1263" s="183">
        <f>IFERROR(__xludf.DUMMYFUNCTION("IFERROR(lookup(9999999999,FILTER('Operações-BR'!$M:$M,'Operações-BR'!$C:$C=A1263,'Operações-BR'!$A:$A&lt;=C1263)),0)"),0.0)</f>
        <v>0</v>
      </c>
      <c r="H1263" s="184">
        <f t="shared" si="2"/>
        <v>0</v>
      </c>
      <c r="I1263" s="184">
        <f>IFERROR(__xludf.DUMMYFUNCTION("IFERROR(lookup(9999999999,FILTER('Operações-BR'!Q:Q,'Operações-BR'!$C:$C=A1263,'Operações-BR'!$A:$A&lt;=C1263))/G1263,0)"),0.0)</f>
        <v>0</v>
      </c>
      <c r="J1263" s="185" t="str">
        <f>IFERROR(VLOOKUP(A1263,Ativos!$A$1:$G2000,5,),"")</f>
        <v/>
      </c>
      <c r="K1263" s="185" t="str">
        <f>IFERROR(VLOOKUP(A1263,Ativos!A:H,8,),"")</f>
        <v/>
      </c>
      <c r="L1263" s="186">
        <f t="shared" si="3"/>
        <v>0</v>
      </c>
    </row>
    <row r="1264" ht="21.0" customHeight="1">
      <c r="A1264" s="187"/>
      <c r="B1264" s="187"/>
      <c r="C1264" s="188"/>
      <c r="D1264" s="135"/>
      <c r="E1264" s="189"/>
      <c r="F1264" s="182" t="str">
        <f t="shared" si="1"/>
        <v/>
      </c>
      <c r="G1264" s="183">
        <f>IFERROR(__xludf.DUMMYFUNCTION("IFERROR(lookup(9999999999,FILTER('Operações-BR'!$M:$M,'Operações-BR'!$C:$C=A1264,'Operações-BR'!$A:$A&lt;=C1264)),0)"),0.0)</f>
        <v>0</v>
      </c>
      <c r="H1264" s="184">
        <f t="shared" si="2"/>
        <v>0</v>
      </c>
      <c r="I1264" s="184">
        <f>IFERROR(__xludf.DUMMYFUNCTION("IFERROR(lookup(9999999999,FILTER('Operações-BR'!Q:Q,'Operações-BR'!$C:$C=A1264,'Operações-BR'!$A:$A&lt;=C1264))/G1264,0)"),0.0)</f>
        <v>0</v>
      </c>
      <c r="J1264" s="185" t="str">
        <f>IFERROR(VLOOKUP(A1264,Ativos!$A$1:$G2000,5,),"")</f>
        <v/>
      </c>
      <c r="K1264" s="185" t="str">
        <f>IFERROR(VLOOKUP(A1264,Ativos!A:H,8,),"")</f>
        <v/>
      </c>
      <c r="L1264" s="186">
        <f t="shared" si="3"/>
        <v>0</v>
      </c>
    </row>
    <row r="1265" ht="21.0" customHeight="1">
      <c r="A1265" s="187"/>
      <c r="B1265" s="187"/>
      <c r="C1265" s="188"/>
      <c r="D1265" s="135"/>
      <c r="E1265" s="189"/>
      <c r="F1265" s="182" t="str">
        <f t="shared" si="1"/>
        <v/>
      </c>
      <c r="G1265" s="183">
        <f>IFERROR(__xludf.DUMMYFUNCTION("IFERROR(lookup(9999999999,FILTER('Operações-BR'!$M:$M,'Operações-BR'!$C:$C=A1265,'Operações-BR'!$A:$A&lt;=C1265)),0)"),0.0)</f>
        <v>0</v>
      </c>
      <c r="H1265" s="184">
        <f t="shared" si="2"/>
        <v>0</v>
      </c>
      <c r="I1265" s="184">
        <f>IFERROR(__xludf.DUMMYFUNCTION("IFERROR(lookup(9999999999,FILTER('Operações-BR'!Q:Q,'Operações-BR'!$C:$C=A1265,'Operações-BR'!$A:$A&lt;=C1265))/G1265,0)"),0.0)</f>
        <v>0</v>
      </c>
      <c r="J1265" s="185" t="str">
        <f>IFERROR(VLOOKUP(A1265,Ativos!$A$1:$G2000,5,),"")</f>
        <v/>
      </c>
      <c r="K1265" s="185" t="str">
        <f>IFERROR(VLOOKUP(A1265,Ativos!A:H,8,),"")</f>
        <v/>
      </c>
      <c r="L1265" s="186">
        <f t="shared" si="3"/>
        <v>0</v>
      </c>
    </row>
    <row r="1266" ht="21.0" customHeight="1">
      <c r="A1266" s="187"/>
      <c r="B1266" s="187"/>
      <c r="C1266" s="188"/>
      <c r="D1266" s="135"/>
      <c r="E1266" s="189"/>
      <c r="F1266" s="182" t="str">
        <f t="shared" si="1"/>
        <v/>
      </c>
      <c r="G1266" s="183">
        <f>IFERROR(__xludf.DUMMYFUNCTION("IFERROR(lookup(9999999999,FILTER('Operações-BR'!$M:$M,'Operações-BR'!$C:$C=A1266,'Operações-BR'!$A:$A&lt;=C1266)),0)"),0.0)</f>
        <v>0</v>
      </c>
      <c r="H1266" s="184">
        <f t="shared" si="2"/>
        <v>0</v>
      </c>
      <c r="I1266" s="184">
        <f>IFERROR(__xludf.DUMMYFUNCTION("IFERROR(lookup(9999999999,FILTER('Operações-BR'!Q:Q,'Operações-BR'!$C:$C=A1266,'Operações-BR'!$A:$A&lt;=C1266))/G1266,0)"),0.0)</f>
        <v>0</v>
      </c>
      <c r="J1266" s="185" t="str">
        <f>IFERROR(VLOOKUP(A1266,Ativos!$A$1:$G2000,5,),"")</f>
        <v/>
      </c>
      <c r="K1266" s="185" t="str">
        <f>IFERROR(VLOOKUP(A1266,Ativos!A:H,8,),"")</f>
        <v/>
      </c>
      <c r="L1266" s="186">
        <f t="shared" si="3"/>
        <v>0</v>
      </c>
    </row>
    <row r="1267" ht="21.0" customHeight="1">
      <c r="A1267" s="187"/>
      <c r="B1267" s="187"/>
      <c r="C1267" s="188"/>
      <c r="D1267" s="135"/>
      <c r="E1267" s="189"/>
      <c r="F1267" s="182" t="str">
        <f t="shared" si="1"/>
        <v/>
      </c>
      <c r="G1267" s="183">
        <f>IFERROR(__xludf.DUMMYFUNCTION("IFERROR(lookup(9999999999,FILTER('Operações-BR'!$M:$M,'Operações-BR'!$C:$C=A1267,'Operações-BR'!$A:$A&lt;=C1267)),0)"),0.0)</f>
        <v>0</v>
      </c>
      <c r="H1267" s="184">
        <f t="shared" si="2"/>
        <v>0</v>
      </c>
      <c r="I1267" s="184">
        <f>IFERROR(__xludf.DUMMYFUNCTION("IFERROR(lookup(9999999999,FILTER('Operações-BR'!Q:Q,'Operações-BR'!$C:$C=A1267,'Operações-BR'!$A:$A&lt;=C1267))/G1267,0)"),0.0)</f>
        <v>0</v>
      </c>
      <c r="J1267" s="185" t="str">
        <f>IFERROR(VLOOKUP(A1267,Ativos!$A$1:$G2000,5,),"")</f>
        <v/>
      </c>
      <c r="K1267" s="185" t="str">
        <f>IFERROR(VLOOKUP(A1267,Ativos!A:H,8,),"")</f>
        <v/>
      </c>
      <c r="L1267" s="186">
        <f t="shared" si="3"/>
        <v>0</v>
      </c>
    </row>
    <row r="1268" ht="21.0" customHeight="1">
      <c r="A1268" s="187"/>
      <c r="B1268" s="187"/>
      <c r="C1268" s="188"/>
      <c r="D1268" s="135"/>
      <c r="E1268" s="189"/>
      <c r="F1268" s="182" t="str">
        <f t="shared" si="1"/>
        <v/>
      </c>
      <c r="G1268" s="183">
        <f>IFERROR(__xludf.DUMMYFUNCTION("IFERROR(lookup(9999999999,FILTER('Operações-BR'!$M:$M,'Operações-BR'!$C:$C=A1268,'Operações-BR'!$A:$A&lt;=C1268)),0)"),0.0)</f>
        <v>0</v>
      </c>
      <c r="H1268" s="184">
        <f t="shared" si="2"/>
        <v>0</v>
      </c>
      <c r="I1268" s="184">
        <f>IFERROR(__xludf.DUMMYFUNCTION("IFERROR(lookup(9999999999,FILTER('Operações-BR'!Q:Q,'Operações-BR'!$C:$C=A1268,'Operações-BR'!$A:$A&lt;=C1268))/G1268,0)"),0.0)</f>
        <v>0</v>
      </c>
      <c r="J1268" s="185" t="str">
        <f>IFERROR(VLOOKUP(A1268,Ativos!$A$1:$G2000,5,),"")</f>
        <v/>
      </c>
      <c r="K1268" s="185" t="str">
        <f>IFERROR(VLOOKUP(A1268,Ativos!A:H,8,),"")</f>
        <v/>
      </c>
      <c r="L1268" s="186">
        <f t="shared" si="3"/>
        <v>0</v>
      </c>
    </row>
    <row r="1269" ht="21.0" customHeight="1">
      <c r="A1269" s="187"/>
      <c r="B1269" s="187"/>
      <c r="C1269" s="188"/>
      <c r="D1269" s="135"/>
      <c r="E1269" s="189"/>
      <c r="F1269" s="182" t="str">
        <f t="shared" si="1"/>
        <v/>
      </c>
      <c r="G1269" s="183">
        <f>IFERROR(__xludf.DUMMYFUNCTION("IFERROR(lookup(9999999999,FILTER('Operações-BR'!$M:$M,'Operações-BR'!$C:$C=A1269,'Operações-BR'!$A:$A&lt;=C1269)),0)"),0.0)</f>
        <v>0</v>
      </c>
      <c r="H1269" s="184">
        <f t="shared" si="2"/>
        <v>0</v>
      </c>
      <c r="I1269" s="184">
        <f>IFERROR(__xludf.DUMMYFUNCTION("IFERROR(lookup(9999999999,FILTER('Operações-BR'!Q:Q,'Operações-BR'!$C:$C=A1269,'Operações-BR'!$A:$A&lt;=C1269))/G1269,0)"),0.0)</f>
        <v>0</v>
      </c>
      <c r="J1269" s="185" t="str">
        <f>IFERROR(VLOOKUP(A1269,Ativos!$A$1:$G2000,5,),"")</f>
        <v/>
      </c>
      <c r="K1269" s="185" t="str">
        <f>IFERROR(VLOOKUP(A1269,Ativos!A:H,8,),"")</f>
        <v/>
      </c>
      <c r="L1269" s="186">
        <f t="shared" si="3"/>
        <v>0</v>
      </c>
    </row>
    <row r="1270" ht="21.0" customHeight="1">
      <c r="A1270" s="187"/>
      <c r="B1270" s="187"/>
      <c r="C1270" s="188"/>
      <c r="D1270" s="135"/>
      <c r="E1270" s="189"/>
      <c r="F1270" s="182" t="str">
        <f t="shared" si="1"/>
        <v/>
      </c>
      <c r="G1270" s="183">
        <f>IFERROR(__xludf.DUMMYFUNCTION("IFERROR(lookup(9999999999,FILTER('Operações-BR'!$M:$M,'Operações-BR'!$C:$C=A1270,'Operações-BR'!$A:$A&lt;=C1270)),0)"),0.0)</f>
        <v>0</v>
      </c>
      <c r="H1270" s="184">
        <f t="shared" si="2"/>
        <v>0</v>
      </c>
      <c r="I1270" s="184">
        <f>IFERROR(__xludf.DUMMYFUNCTION("IFERROR(lookup(9999999999,FILTER('Operações-BR'!Q:Q,'Operações-BR'!$C:$C=A1270,'Operações-BR'!$A:$A&lt;=C1270))/G1270,0)"),0.0)</f>
        <v>0</v>
      </c>
      <c r="J1270" s="185" t="str">
        <f>IFERROR(VLOOKUP(A1270,Ativos!$A$1:$G2000,5,),"")</f>
        <v/>
      </c>
      <c r="K1270" s="185" t="str">
        <f>IFERROR(VLOOKUP(A1270,Ativos!A:H,8,),"")</f>
        <v/>
      </c>
      <c r="L1270" s="186">
        <f t="shared" si="3"/>
        <v>0</v>
      </c>
    </row>
    <row r="1271" ht="21.0" customHeight="1">
      <c r="A1271" s="187"/>
      <c r="B1271" s="187"/>
      <c r="C1271" s="188"/>
      <c r="D1271" s="135"/>
      <c r="E1271" s="189"/>
      <c r="F1271" s="182" t="str">
        <f t="shared" si="1"/>
        <v/>
      </c>
      <c r="G1271" s="183">
        <f>IFERROR(__xludf.DUMMYFUNCTION("IFERROR(lookup(9999999999,FILTER('Operações-BR'!$M:$M,'Operações-BR'!$C:$C=A1271,'Operações-BR'!$A:$A&lt;=C1271)),0)"),0.0)</f>
        <v>0</v>
      </c>
      <c r="H1271" s="184">
        <f t="shared" si="2"/>
        <v>0</v>
      </c>
      <c r="I1271" s="184">
        <f>IFERROR(__xludf.DUMMYFUNCTION("IFERROR(lookup(9999999999,FILTER('Operações-BR'!Q:Q,'Operações-BR'!$C:$C=A1271,'Operações-BR'!$A:$A&lt;=C1271))/G1271,0)"),0.0)</f>
        <v>0</v>
      </c>
      <c r="J1271" s="185" t="str">
        <f>IFERROR(VLOOKUP(A1271,Ativos!$A$1:$G2000,5,),"")</f>
        <v/>
      </c>
      <c r="K1271" s="185" t="str">
        <f>IFERROR(VLOOKUP(A1271,Ativos!A:H,8,),"")</f>
        <v/>
      </c>
      <c r="L1271" s="186">
        <f t="shared" si="3"/>
        <v>0</v>
      </c>
    </row>
    <row r="1272" ht="21.0" customHeight="1">
      <c r="A1272" s="187"/>
      <c r="B1272" s="187"/>
      <c r="C1272" s="188"/>
      <c r="D1272" s="135"/>
      <c r="E1272" s="189"/>
      <c r="F1272" s="182" t="str">
        <f t="shared" si="1"/>
        <v/>
      </c>
      <c r="G1272" s="183">
        <f>IFERROR(__xludf.DUMMYFUNCTION("IFERROR(lookup(9999999999,FILTER('Operações-BR'!$M:$M,'Operações-BR'!$C:$C=A1272,'Operações-BR'!$A:$A&lt;=C1272)),0)"),0.0)</f>
        <v>0</v>
      </c>
      <c r="H1272" s="184">
        <f t="shared" si="2"/>
        <v>0</v>
      </c>
      <c r="I1272" s="184">
        <f>IFERROR(__xludf.DUMMYFUNCTION("IFERROR(lookup(9999999999,FILTER('Operações-BR'!Q:Q,'Operações-BR'!$C:$C=A1272,'Operações-BR'!$A:$A&lt;=C1272))/G1272,0)"),0.0)</f>
        <v>0</v>
      </c>
      <c r="J1272" s="185" t="str">
        <f>IFERROR(VLOOKUP(A1272,Ativos!$A$1:$G2000,5,),"")</f>
        <v/>
      </c>
      <c r="K1272" s="185" t="str">
        <f>IFERROR(VLOOKUP(A1272,Ativos!A:H,8,),"")</f>
        <v/>
      </c>
      <c r="L1272" s="186">
        <f t="shared" si="3"/>
        <v>0</v>
      </c>
    </row>
    <row r="1273" ht="21.0" customHeight="1">
      <c r="A1273" s="187"/>
      <c r="B1273" s="187"/>
      <c r="C1273" s="188"/>
      <c r="D1273" s="135"/>
      <c r="E1273" s="189"/>
      <c r="F1273" s="182" t="str">
        <f t="shared" si="1"/>
        <v/>
      </c>
      <c r="G1273" s="183">
        <f>IFERROR(__xludf.DUMMYFUNCTION("IFERROR(lookup(9999999999,FILTER('Operações-BR'!$M:$M,'Operações-BR'!$C:$C=A1273,'Operações-BR'!$A:$A&lt;=C1273)),0)"),0.0)</f>
        <v>0</v>
      </c>
      <c r="H1273" s="184">
        <f t="shared" si="2"/>
        <v>0</v>
      </c>
      <c r="I1273" s="184">
        <f>IFERROR(__xludf.DUMMYFUNCTION("IFERROR(lookup(9999999999,FILTER('Operações-BR'!Q:Q,'Operações-BR'!$C:$C=A1273,'Operações-BR'!$A:$A&lt;=C1273))/G1273,0)"),0.0)</f>
        <v>0</v>
      </c>
      <c r="J1273" s="185" t="str">
        <f>IFERROR(VLOOKUP(A1273,Ativos!$A$1:$G2000,5,),"")</f>
        <v/>
      </c>
      <c r="K1273" s="185" t="str">
        <f>IFERROR(VLOOKUP(A1273,Ativos!A:H,8,),"")</f>
        <v/>
      </c>
      <c r="L1273" s="186">
        <f t="shared" si="3"/>
        <v>0</v>
      </c>
    </row>
    <row r="1274" ht="21.0" customHeight="1">
      <c r="A1274" s="187"/>
      <c r="B1274" s="187"/>
      <c r="C1274" s="188"/>
      <c r="D1274" s="135"/>
      <c r="E1274" s="189"/>
      <c r="F1274" s="182" t="str">
        <f t="shared" si="1"/>
        <v/>
      </c>
      <c r="G1274" s="183">
        <f>IFERROR(__xludf.DUMMYFUNCTION("IFERROR(lookup(9999999999,FILTER('Operações-BR'!$M:$M,'Operações-BR'!$C:$C=A1274,'Operações-BR'!$A:$A&lt;=C1274)),0)"),0.0)</f>
        <v>0</v>
      </c>
      <c r="H1274" s="184">
        <f t="shared" si="2"/>
        <v>0</v>
      </c>
      <c r="I1274" s="184">
        <f>IFERROR(__xludf.DUMMYFUNCTION("IFERROR(lookup(9999999999,FILTER('Operações-BR'!Q:Q,'Operações-BR'!$C:$C=A1274,'Operações-BR'!$A:$A&lt;=C1274))/G1274,0)"),0.0)</f>
        <v>0</v>
      </c>
      <c r="J1274" s="185" t="str">
        <f>IFERROR(VLOOKUP(A1274,Ativos!$A$1:$G2000,5,),"")</f>
        <v/>
      </c>
      <c r="K1274" s="185" t="str">
        <f>IFERROR(VLOOKUP(A1274,Ativos!A:H,8,),"")</f>
        <v/>
      </c>
      <c r="L1274" s="186">
        <f t="shared" si="3"/>
        <v>0</v>
      </c>
    </row>
    <row r="1275" ht="21.0" customHeight="1">
      <c r="A1275" s="187"/>
      <c r="B1275" s="187"/>
      <c r="C1275" s="188"/>
      <c r="D1275" s="135"/>
      <c r="E1275" s="189"/>
      <c r="F1275" s="182" t="str">
        <f t="shared" si="1"/>
        <v/>
      </c>
      <c r="G1275" s="183">
        <f>IFERROR(__xludf.DUMMYFUNCTION("IFERROR(lookup(9999999999,FILTER('Operações-BR'!$M:$M,'Operações-BR'!$C:$C=A1275,'Operações-BR'!$A:$A&lt;=C1275)),0)"),0.0)</f>
        <v>0</v>
      </c>
      <c r="H1275" s="184">
        <f t="shared" si="2"/>
        <v>0</v>
      </c>
      <c r="I1275" s="184">
        <f>IFERROR(__xludf.DUMMYFUNCTION("IFERROR(lookup(9999999999,FILTER('Operações-BR'!Q:Q,'Operações-BR'!$C:$C=A1275,'Operações-BR'!$A:$A&lt;=C1275))/G1275,0)"),0.0)</f>
        <v>0</v>
      </c>
      <c r="J1275" s="185" t="str">
        <f>IFERROR(VLOOKUP(A1275,Ativos!$A$1:$G2000,5,),"")</f>
        <v/>
      </c>
      <c r="K1275" s="185" t="str">
        <f>IFERROR(VLOOKUP(A1275,Ativos!A:H,8,),"")</f>
        <v/>
      </c>
      <c r="L1275" s="186">
        <f t="shared" si="3"/>
        <v>0</v>
      </c>
    </row>
    <row r="1276" ht="21.0" customHeight="1">
      <c r="A1276" s="187"/>
      <c r="B1276" s="187"/>
      <c r="C1276" s="188"/>
      <c r="D1276" s="135"/>
      <c r="E1276" s="189"/>
      <c r="F1276" s="182" t="str">
        <f t="shared" si="1"/>
        <v/>
      </c>
      <c r="G1276" s="183">
        <f>IFERROR(__xludf.DUMMYFUNCTION("IFERROR(lookup(9999999999,FILTER('Operações-BR'!$M:$M,'Operações-BR'!$C:$C=A1276,'Operações-BR'!$A:$A&lt;=C1276)),0)"),0.0)</f>
        <v>0</v>
      </c>
      <c r="H1276" s="184">
        <f t="shared" si="2"/>
        <v>0</v>
      </c>
      <c r="I1276" s="184">
        <f>IFERROR(__xludf.DUMMYFUNCTION("IFERROR(lookup(9999999999,FILTER('Operações-BR'!Q:Q,'Operações-BR'!$C:$C=A1276,'Operações-BR'!$A:$A&lt;=C1276))/G1276,0)"),0.0)</f>
        <v>0</v>
      </c>
      <c r="J1276" s="185" t="str">
        <f>IFERROR(VLOOKUP(A1276,Ativos!$A$1:$G2000,5,),"")</f>
        <v/>
      </c>
      <c r="K1276" s="185" t="str">
        <f>IFERROR(VLOOKUP(A1276,Ativos!A:H,8,),"")</f>
        <v/>
      </c>
      <c r="L1276" s="186">
        <f t="shared" si="3"/>
        <v>0</v>
      </c>
    </row>
    <row r="1277" ht="21.0" customHeight="1">
      <c r="A1277" s="187"/>
      <c r="B1277" s="187"/>
      <c r="C1277" s="188"/>
      <c r="D1277" s="135"/>
      <c r="E1277" s="189"/>
      <c r="F1277" s="182" t="str">
        <f t="shared" si="1"/>
        <v/>
      </c>
      <c r="G1277" s="183">
        <f>IFERROR(__xludf.DUMMYFUNCTION("IFERROR(lookup(9999999999,FILTER('Operações-BR'!$M:$M,'Operações-BR'!$C:$C=A1277,'Operações-BR'!$A:$A&lt;=C1277)),0)"),0.0)</f>
        <v>0</v>
      </c>
      <c r="H1277" s="184">
        <f t="shared" si="2"/>
        <v>0</v>
      </c>
      <c r="I1277" s="184">
        <f>IFERROR(__xludf.DUMMYFUNCTION("IFERROR(lookup(9999999999,FILTER('Operações-BR'!Q:Q,'Operações-BR'!$C:$C=A1277,'Operações-BR'!$A:$A&lt;=C1277))/G1277,0)"),0.0)</f>
        <v>0</v>
      </c>
      <c r="J1277" s="185" t="str">
        <f>IFERROR(VLOOKUP(A1277,Ativos!$A$1:$G2000,5,),"")</f>
        <v/>
      </c>
      <c r="K1277" s="185" t="str">
        <f>IFERROR(VLOOKUP(A1277,Ativos!A:H,8,),"")</f>
        <v/>
      </c>
      <c r="L1277" s="186">
        <f t="shared" si="3"/>
        <v>0</v>
      </c>
    </row>
    <row r="1278" ht="21.0" customHeight="1">
      <c r="A1278" s="187"/>
      <c r="B1278" s="187"/>
      <c r="C1278" s="188"/>
      <c r="D1278" s="135"/>
      <c r="E1278" s="189"/>
      <c r="F1278" s="182" t="str">
        <f t="shared" si="1"/>
        <v/>
      </c>
      <c r="G1278" s="183">
        <f>IFERROR(__xludf.DUMMYFUNCTION("IFERROR(lookup(9999999999,FILTER('Operações-BR'!$M:$M,'Operações-BR'!$C:$C=A1278,'Operações-BR'!$A:$A&lt;=C1278)),0)"),0.0)</f>
        <v>0</v>
      </c>
      <c r="H1278" s="184">
        <f t="shared" si="2"/>
        <v>0</v>
      </c>
      <c r="I1278" s="184">
        <f>IFERROR(__xludf.DUMMYFUNCTION("IFERROR(lookup(9999999999,FILTER('Operações-BR'!Q:Q,'Operações-BR'!$C:$C=A1278,'Operações-BR'!$A:$A&lt;=C1278))/G1278,0)"),0.0)</f>
        <v>0</v>
      </c>
      <c r="J1278" s="185" t="str">
        <f>IFERROR(VLOOKUP(A1278,Ativos!$A$1:$G2000,5,),"")</f>
        <v/>
      </c>
      <c r="K1278" s="185" t="str">
        <f>IFERROR(VLOOKUP(A1278,Ativos!A:H,8,),"")</f>
        <v/>
      </c>
      <c r="L1278" s="186">
        <f t="shared" si="3"/>
        <v>0</v>
      </c>
    </row>
    <row r="1279" ht="21.0" customHeight="1">
      <c r="A1279" s="187"/>
      <c r="B1279" s="187"/>
      <c r="C1279" s="188"/>
      <c r="D1279" s="135"/>
      <c r="E1279" s="189"/>
      <c r="F1279" s="182" t="str">
        <f t="shared" si="1"/>
        <v/>
      </c>
      <c r="G1279" s="183">
        <f>IFERROR(__xludf.DUMMYFUNCTION("IFERROR(lookup(9999999999,FILTER('Operações-BR'!$M:$M,'Operações-BR'!$C:$C=A1279,'Operações-BR'!$A:$A&lt;=C1279)),0)"),0.0)</f>
        <v>0</v>
      </c>
      <c r="H1279" s="184">
        <f t="shared" si="2"/>
        <v>0</v>
      </c>
      <c r="I1279" s="184">
        <f>IFERROR(__xludf.DUMMYFUNCTION("IFERROR(lookup(9999999999,FILTER('Operações-BR'!Q:Q,'Operações-BR'!$C:$C=A1279,'Operações-BR'!$A:$A&lt;=C1279))/G1279,0)"),0.0)</f>
        <v>0</v>
      </c>
      <c r="J1279" s="185" t="str">
        <f>IFERROR(VLOOKUP(A1279,Ativos!$A$1:$G2000,5,),"")</f>
        <v/>
      </c>
      <c r="K1279" s="185" t="str">
        <f>IFERROR(VLOOKUP(A1279,Ativos!A:H,8,),"")</f>
        <v/>
      </c>
      <c r="L1279" s="186">
        <f t="shared" si="3"/>
        <v>0</v>
      </c>
    </row>
    <row r="1280" ht="21.0" customHeight="1">
      <c r="A1280" s="187"/>
      <c r="B1280" s="187"/>
      <c r="C1280" s="188"/>
      <c r="D1280" s="135"/>
      <c r="E1280" s="189"/>
      <c r="F1280" s="182" t="str">
        <f t="shared" si="1"/>
        <v/>
      </c>
      <c r="G1280" s="183">
        <f>IFERROR(__xludf.DUMMYFUNCTION("IFERROR(lookup(9999999999,FILTER('Operações-BR'!$M:$M,'Operações-BR'!$C:$C=A1280,'Operações-BR'!$A:$A&lt;=C1280)),0)"),0.0)</f>
        <v>0</v>
      </c>
      <c r="H1280" s="184">
        <f t="shared" si="2"/>
        <v>0</v>
      </c>
      <c r="I1280" s="184">
        <f>IFERROR(__xludf.DUMMYFUNCTION("IFERROR(lookup(9999999999,FILTER('Operações-BR'!Q:Q,'Operações-BR'!$C:$C=A1280,'Operações-BR'!$A:$A&lt;=C1280))/G1280,0)"),0.0)</f>
        <v>0</v>
      </c>
      <c r="J1280" s="185" t="str">
        <f>IFERROR(VLOOKUP(A1280,Ativos!$A$1:$G2000,5,),"")</f>
        <v/>
      </c>
      <c r="K1280" s="185" t="str">
        <f>IFERROR(VLOOKUP(A1280,Ativos!A:H,8,),"")</f>
        <v/>
      </c>
      <c r="L1280" s="186">
        <f t="shared" si="3"/>
        <v>0</v>
      </c>
    </row>
    <row r="1281" ht="21.0" customHeight="1">
      <c r="A1281" s="187"/>
      <c r="B1281" s="187"/>
      <c r="C1281" s="188"/>
      <c r="D1281" s="135"/>
      <c r="E1281" s="189"/>
      <c r="F1281" s="182" t="str">
        <f t="shared" si="1"/>
        <v/>
      </c>
      <c r="G1281" s="183">
        <f>IFERROR(__xludf.DUMMYFUNCTION("IFERROR(lookup(9999999999,FILTER('Operações-BR'!$M:$M,'Operações-BR'!$C:$C=A1281,'Operações-BR'!$A:$A&lt;=C1281)),0)"),0.0)</f>
        <v>0</v>
      </c>
      <c r="H1281" s="184">
        <f t="shared" si="2"/>
        <v>0</v>
      </c>
      <c r="I1281" s="184">
        <f>IFERROR(__xludf.DUMMYFUNCTION("IFERROR(lookup(9999999999,FILTER('Operações-BR'!Q:Q,'Operações-BR'!$C:$C=A1281,'Operações-BR'!$A:$A&lt;=C1281))/G1281,0)"),0.0)</f>
        <v>0</v>
      </c>
      <c r="J1281" s="185" t="str">
        <f>IFERROR(VLOOKUP(A1281,Ativos!$A$1:$G2000,5,),"")</f>
        <v/>
      </c>
      <c r="K1281" s="185" t="str">
        <f>IFERROR(VLOOKUP(A1281,Ativos!A:H,8,),"")</f>
        <v/>
      </c>
      <c r="L1281" s="186">
        <f t="shared" si="3"/>
        <v>0</v>
      </c>
    </row>
    <row r="1282" ht="21.0" customHeight="1">
      <c r="A1282" s="187"/>
      <c r="B1282" s="187"/>
      <c r="C1282" s="188"/>
      <c r="D1282" s="135"/>
      <c r="E1282" s="189"/>
      <c r="F1282" s="182" t="str">
        <f t="shared" si="1"/>
        <v/>
      </c>
      <c r="G1282" s="183">
        <f>IFERROR(__xludf.DUMMYFUNCTION("IFERROR(lookup(9999999999,FILTER('Operações-BR'!$M:$M,'Operações-BR'!$C:$C=A1282,'Operações-BR'!$A:$A&lt;=C1282)),0)"),0.0)</f>
        <v>0</v>
      </c>
      <c r="H1282" s="184">
        <f t="shared" si="2"/>
        <v>0</v>
      </c>
      <c r="I1282" s="184">
        <f>IFERROR(__xludf.DUMMYFUNCTION("IFERROR(lookup(9999999999,FILTER('Operações-BR'!Q:Q,'Operações-BR'!$C:$C=A1282,'Operações-BR'!$A:$A&lt;=C1282))/G1282,0)"),0.0)</f>
        <v>0</v>
      </c>
      <c r="J1282" s="185" t="str">
        <f>IFERROR(VLOOKUP(A1282,Ativos!$A$1:$G2000,5,),"")</f>
        <v/>
      </c>
      <c r="K1282" s="185" t="str">
        <f>IFERROR(VLOOKUP(A1282,Ativos!A:H,8,),"")</f>
        <v/>
      </c>
      <c r="L1282" s="186">
        <f t="shared" si="3"/>
        <v>0</v>
      </c>
    </row>
    <row r="1283" ht="21.0" customHeight="1">
      <c r="A1283" s="187"/>
      <c r="B1283" s="187"/>
      <c r="C1283" s="188"/>
      <c r="D1283" s="135"/>
      <c r="E1283" s="189"/>
      <c r="F1283" s="182" t="str">
        <f t="shared" si="1"/>
        <v/>
      </c>
      <c r="G1283" s="183">
        <f>IFERROR(__xludf.DUMMYFUNCTION("IFERROR(lookup(9999999999,FILTER('Operações-BR'!$M:$M,'Operações-BR'!$C:$C=A1283,'Operações-BR'!$A:$A&lt;=C1283)),0)"),0.0)</f>
        <v>0</v>
      </c>
      <c r="H1283" s="184">
        <f t="shared" si="2"/>
        <v>0</v>
      </c>
      <c r="I1283" s="184">
        <f>IFERROR(__xludf.DUMMYFUNCTION("IFERROR(lookup(9999999999,FILTER('Operações-BR'!Q:Q,'Operações-BR'!$C:$C=A1283,'Operações-BR'!$A:$A&lt;=C1283))/G1283,0)"),0.0)</f>
        <v>0</v>
      </c>
      <c r="J1283" s="185" t="str">
        <f>IFERROR(VLOOKUP(A1283,Ativos!$A$1:$G2000,5,),"")</f>
        <v/>
      </c>
      <c r="K1283" s="185" t="str">
        <f>IFERROR(VLOOKUP(A1283,Ativos!A:H,8,),"")</f>
        <v/>
      </c>
      <c r="L1283" s="186">
        <f t="shared" si="3"/>
        <v>0</v>
      </c>
    </row>
    <row r="1284" ht="21.0" customHeight="1">
      <c r="A1284" s="187"/>
      <c r="B1284" s="187"/>
      <c r="C1284" s="188"/>
      <c r="D1284" s="135"/>
      <c r="E1284" s="189"/>
      <c r="F1284" s="182" t="str">
        <f t="shared" si="1"/>
        <v/>
      </c>
      <c r="G1284" s="183">
        <f>IFERROR(__xludf.DUMMYFUNCTION("IFERROR(lookup(9999999999,FILTER('Operações-BR'!$M:$M,'Operações-BR'!$C:$C=A1284,'Operações-BR'!$A:$A&lt;=C1284)),0)"),0.0)</f>
        <v>0</v>
      </c>
      <c r="H1284" s="184">
        <f t="shared" si="2"/>
        <v>0</v>
      </c>
      <c r="I1284" s="184">
        <f>IFERROR(__xludf.DUMMYFUNCTION("IFERROR(lookup(9999999999,FILTER('Operações-BR'!Q:Q,'Operações-BR'!$C:$C=A1284,'Operações-BR'!$A:$A&lt;=C1284))/G1284,0)"),0.0)</f>
        <v>0</v>
      </c>
      <c r="J1284" s="185" t="str">
        <f>IFERROR(VLOOKUP(A1284,Ativos!$A$1:$G2000,5,),"")</f>
        <v/>
      </c>
      <c r="K1284" s="185" t="str">
        <f>IFERROR(VLOOKUP(A1284,Ativos!A:H,8,),"")</f>
        <v/>
      </c>
      <c r="L1284" s="186">
        <f t="shared" si="3"/>
        <v>0</v>
      </c>
    </row>
    <row r="1285" ht="21.0" customHeight="1">
      <c r="A1285" s="187"/>
      <c r="B1285" s="187"/>
      <c r="C1285" s="188"/>
      <c r="D1285" s="135"/>
      <c r="E1285" s="189"/>
      <c r="F1285" s="182" t="str">
        <f t="shared" si="1"/>
        <v/>
      </c>
      <c r="G1285" s="183">
        <f>IFERROR(__xludf.DUMMYFUNCTION("IFERROR(lookup(9999999999,FILTER('Operações-BR'!$M:$M,'Operações-BR'!$C:$C=A1285,'Operações-BR'!$A:$A&lt;=C1285)),0)"),0.0)</f>
        <v>0</v>
      </c>
      <c r="H1285" s="184">
        <f t="shared" si="2"/>
        <v>0</v>
      </c>
      <c r="I1285" s="184">
        <f>IFERROR(__xludf.DUMMYFUNCTION("IFERROR(lookup(9999999999,FILTER('Operações-BR'!Q:Q,'Operações-BR'!$C:$C=A1285,'Operações-BR'!$A:$A&lt;=C1285))/G1285,0)"),0.0)</f>
        <v>0</v>
      </c>
      <c r="J1285" s="185" t="str">
        <f>IFERROR(VLOOKUP(A1285,Ativos!$A$1:$G2000,5,),"")</f>
        <v/>
      </c>
      <c r="K1285" s="185" t="str">
        <f>IFERROR(VLOOKUP(A1285,Ativos!A:H,8,),"")</f>
        <v/>
      </c>
      <c r="L1285" s="186">
        <f t="shared" si="3"/>
        <v>0</v>
      </c>
    </row>
    <row r="1286" ht="21.0" customHeight="1">
      <c r="A1286" s="187"/>
      <c r="B1286" s="187"/>
      <c r="C1286" s="188"/>
      <c r="D1286" s="135"/>
      <c r="E1286" s="189"/>
      <c r="F1286" s="182" t="str">
        <f t="shared" si="1"/>
        <v/>
      </c>
      <c r="G1286" s="183">
        <f>IFERROR(__xludf.DUMMYFUNCTION("IFERROR(lookup(9999999999,FILTER('Operações-BR'!$M:$M,'Operações-BR'!$C:$C=A1286,'Operações-BR'!$A:$A&lt;=C1286)),0)"),0.0)</f>
        <v>0</v>
      </c>
      <c r="H1286" s="184">
        <f t="shared" si="2"/>
        <v>0</v>
      </c>
      <c r="I1286" s="184">
        <f>IFERROR(__xludf.DUMMYFUNCTION("IFERROR(lookup(9999999999,FILTER('Operações-BR'!Q:Q,'Operações-BR'!$C:$C=A1286,'Operações-BR'!$A:$A&lt;=C1286))/G1286,0)"),0.0)</f>
        <v>0</v>
      </c>
      <c r="J1286" s="185" t="str">
        <f>IFERROR(VLOOKUP(A1286,Ativos!$A$1:$G2000,5,),"")</f>
        <v/>
      </c>
      <c r="K1286" s="185" t="str">
        <f>IFERROR(VLOOKUP(A1286,Ativos!A:H,8,),"")</f>
        <v/>
      </c>
      <c r="L1286" s="186">
        <f t="shared" si="3"/>
        <v>0</v>
      </c>
    </row>
    <row r="1287" ht="21.0" customHeight="1">
      <c r="A1287" s="187"/>
      <c r="B1287" s="187"/>
      <c r="C1287" s="188"/>
      <c r="D1287" s="135"/>
      <c r="E1287" s="189"/>
      <c r="F1287" s="182" t="str">
        <f t="shared" si="1"/>
        <v/>
      </c>
      <c r="G1287" s="183">
        <f>IFERROR(__xludf.DUMMYFUNCTION("IFERROR(lookup(9999999999,FILTER('Operações-BR'!$M:$M,'Operações-BR'!$C:$C=A1287,'Operações-BR'!$A:$A&lt;=C1287)),0)"),0.0)</f>
        <v>0</v>
      </c>
      <c r="H1287" s="184">
        <f t="shared" si="2"/>
        <v>0</v>
      </c>
      <c r="I1287" s="184">
        <f>IFERROR(__xludf.DUMMYFUNCTION("IFERROR(lookup(9999999999,FILTER('Operações-BR'!Q:Q,'Operações-BR'!$C:$C=A1287,'Operações-BR'!$A:$A&lt;=C1287))/G1287,0)"),0.0)</f>
        <v>0</v>
      </c>
      <c r="J1287" s="185" t="str">
        <f>IFERROR(VLOOKUP(A1287,Ativos!$A$1:$G2000,5,),"")</f>
        <v/>
      </c>
      <c r="K1287" s="185" t="str">
        <f>IFERROR(VLOOKUP(A1287,Ativos!A:H,8,),"")</f>
        <v/>
      </c>
      <c r="L1287" s="186">
        <f t="shared" si="3"/>
        <v>0</v>
      </c>
    </row>
    <row r="1288" ht="21.0" customHeight="1">
      <c r="A1288" s="187"/>
      <c r="B1288" s="187"/>
      <c r="C1288" s="188"/>
      <c r="D1288" s="135"/>
      <c r="E1288" s="189"/>
      <c r="F1288" s="182" t="str">
        <f t="shared" si="1"/>
        <v/>
      </c>
      <c r="G1288" s="183">
        <f>IFERROR(__xludf.DUMMYFUNCTION("IFERROR(lookup(9999999999,FILTER('Operações-BR'!$M:$M,'Operações-BR'!$C:$C=A1288,'Operações-BR'!$A:$A&lt;=C1288)),0)"),0.0)</f>
        <v>0</v>
      </c>
      <c r="H1288" s="184">
        <f t="shared" si="2"/>
        <v>0</v>
      </c>
      <c r="I1288" s="184">
        <f>IFERROR(__xludf.DUMMYFUNCTION("IFERROR(lookup(9999999999,FILTER('Operações-BR'!Q:Q,'Operações-BR'!$C:$C=A1288,'Operações-BR'!$A:$A&lt;=C1288))/G1288,0)"),0.0)</f>
        <v>0</v>
      </c>
      <c r="J1288" s="185" t="str">
        <f>IFERROR(VLOOKUP(A1288,Ativos!$A$1:$G2000,5,),"")</f>
        <v/>
      </c>
      <c r="K1288" s="185" t="str">
        <f>IFERROR(VLOOKUP(A1288,Ativos!A:H,8,),"")</f>
        <v/>
      </c>
      <c r="L1288" s="186">
        <f t="shared" si="3"/>
        <v>0</v>
      </c>
    </row>
    <row r="1289" ht="21.0" customHeight="1">
      <c r="A1289" s="187"/>
      <c r="B1289" s="187"/>
      <c r="C1289" s="188"/>
      <c r="D1289" s="135"/>
      <c r="E1289" s="189"/>
      <c r="F1289" s="182" t="str">
        <f t="shared" si="1"/>
        <v/>
      </c>
      <c r="G1289" s="183">
        <f>IFERROR(__xludf.DUMMYFUNCTION("IFERROR(lookup(9999999999,FILTER('Operações-BR'!$M:$M,'Operações-BR'!$C:$C=A1289,'Operações-BR'!$A:$A&lt;=C1289)),0)"),0.0)</f>
        <v>0</v>
      </c>
      <c r="H1289" s="184">
        <f t="shared" si="2"/>
        <v>0</v>
      </c>
      <c r="I1289" s="184">
        <f>IFERROR(__xludf.DUMMYFUNCTION("IFERROR(lookup(9999999999,FILTER('Operações-BR'!Q:Q,'Operações-BR'!$C:$C=A1289,'Operações-BR'!$A:$A&lt;=C1289))/G1289,0)"),0.0)</f>
        <v>0</v>
      </c>
      <c r="J1289" s="185" t="str">
        <f>IFERROR(VLOOKUP(A1289,Ativos!$A$1:$G2000,5,),"")</f>
        <v/>
      </c>
      <c r="K1289" s="185" t="str">
        <f>IFERROR(VLOOKUP(A1289,Ativos!A:H,8,),"")</f>
        <v/>
      </c>
      <c r="L1289" s="186">
        <f t="shared" si="3"/>
        <v>0</v>
      </c>
    </row>
    <row r="1290" ht="21.0" customHeight="1">
      <c r="A1290" s="187"/>
      <c r="B1290" s="187"/>
      <c r="C1290" s="188"/>
      <c r="D1290" s="135"/>
      <c r="E1290" s="189"/>
      <c r="F1290" s="182" t="str">
        <f t="shared" si="1"/>
        <v/>
      </c>
      <c r="G1290" s="183">
        <f>IFERROR(__xludf.DUMMYFUNCTION("IFERROR(lookup(9999999999,FILTER('Operações-BR'!$M:$M,'Operações-BR'!$C:$C=A1290,'Operações-BR'!$A:$A&lt;=C1290)),0)"),0.0)</f>
        <v>0</v>
      </c>
      <c r="H1290" s="184">
        <f t="shared" si="2"/>
        <v>0</v>
      </c>
      <c r="I1290" s="184">
        <f>IFERROR(__xludf.DUMMYFUNCTION("IFERROR(lookup(9999999999,FILTER('Operações-BR'!Q:Q,'Operações-BR'!$C:$C=A1290,'Operações-BR'!$A:$A&lt;=C1290))/G1290,0)"),0.0)</f>
        <v>0</v>
      </c>
      <c r="J1290" s="185" t="str">
        <f>IFERROR(VLOOKUP(A1290,Ativos!$A$1:$G2000,5,),"")</f>
        <v/>
      </c>
      <c r="K1290" s="185" t="str">
        <f>IFERROR(VLOOKUP(A1290,Ativos!A:H,8,),"")</f>
        <v/>
      </c>
      <c r="L1290" s="186">
        <f t="shared" si="3"/>
        <v>0</v>
      </c>
    </row>
    <row r="1291" ht="21.0" customHeight="1">
      <c r="A1291" s="187"/>
      <c r="B1291" s="187"/>
      <c r="C1291" s="188"/>
      <c r="D1291" s="135"/>
      <c r="E1291" s="189"/>
      <c r="F1291" s="182" t="str">
        <f t="shared" si="1"/>
        <v/>
      </c>
      <c r="G1291" s="183">
        <f>IFERROR(__xludf.DUMMYFUNCTION("IFERROR(lookup(9999999999,FILTER('Operações-BR'!$M:$M,'Operações-BR'!$C:$C=A1291,'Operações-BR'!$A:$A&lt;=C1291)),0)"),0.0)</f>
        <v>0</v>
      </c>
      <c r="H1291" s="184">
        <f t="shared" si="2"/>
        <v>0</v>
      </c>
      <c r="I1291" s="184">
        <f>IFERROR(__xludf.DUMMYFUNCTION("IFERROR(lookup(9999999999,FILTER('Operações-BR'!Q:Q,'Operações-BR'!$C:$C=A1291,'Operações-BR'!$A:$A&lt;=C1291))/G1291,0)"),0.0)</f>
        <v>0</v>
      </c>
      <c r="J1291" s="185" t="str">
        <f>IFERROR(VLOOKUP(A1291,Ativos!$A$1:$G2000,5,),"")</f>
        <v/>
      </c>
      <c r="K1291" s="185" t="str">
        <f>IFERROR(VLOOKUP(A1291,Ativos!A:H,8,),"")</f>
        <v/>
      </c>
      <c r="L1291" s="186">
        <f t="shared" si="3"/>
        <v>0</v>
      </c>
    </row>
    <row r="1292" ht="21.0" customHeight="1">
      <c r="A1292" s="187"/>
      <c r="B1292" s="187"/>
      <c r="C1292" s="188"/>
      <c r="D1292" s="135"/>
      <c r="E1292" s="189"/>
      <c r="F1292" s="182" t="str">
        <f t="shared" si="1"/>
        <v/>
      </c>
      <c r="G1292" s="183">
        <f>IFERROR(__xludf.DUMMYFUNCTION("IFERROR(lookup(9999999999,FILTER('Operações-BR'!$M:$M,'Operações-BR'!$C:$C=A1292,'Operações-BR'!$A:$A&lt;=C1292)),0)"),0.0)</f>
        <v>0</v>
      </c>
      <c r="H1292" s="184">
        <f t="shared" si="2"/>
        <v>0</v>
      </c>
      <c r="I1292" s="184">
        <f>IFERROR(__xludf.DUMMYFUNCTION("IFERROR(lookup(9999999999,FILTER('Operações-BR'!Q:Q,'Operações-BR'!$C:$C=A1292,'Operações-BR'!$A:$A&lt;=C1292))/G1292,0)"),0.0)</f>
        <v>0</v>
      </c>
      <c r="J1292" s="185" t="str">
        <f>IFERROR(VLOOKUP(A1292,Ativos!$A$1:$G2000,5,),"")</f>
        <v/>
      </c>
      <c r="K1292" s="185" t="str">
        <f>IFERROR(VLOOKUP(A1292,Ativos!A:H,8,),"")</f>
        <v/>
      </c>
      <c r="L1292" s="186">
        <f t="shared" si="3"/>
        <v>0</v>
      </c>
    </row>
    <row r="1293" ht="21.0" customHeight="1">
      <c r="A1293" s="187"/>
      <c r="B1293" s="187"/>
      <c r="C1293" s="188"/>
      <c r="D1293" s="135"/>
      <c r="E1293" s="189"/>
      <c r="F1293" s="182" t="str">
        <f t="shared" si="1"/>
        <v/>
      </c>
      <c r="G1293" s="183">
        <f>IFERROR(__xludf.DUMMYFUNCTION("IFERROR(lookup(9999999999,FILTER('Operações-BR'!$M:$M,'Operações-BR'!$C:$C=A1293,'Operações-BR'!$A:$A&lt;=C1293)),0)"),0.0)</f>
        <v>0</v>
      </c>
      <c r="H1293" s="184">
        <f t="shared" si="2"/>
        <v>0</v>
      </c>
      <c r="I1293" s="184">
        <f>IFERROR(__xludf.DUMMYFUNCTION("IFERROR(lookup(9999999999,FILTER('Operações-BR'!Q:Q,'Operações-BR'!$C:$C=A1293,'Operações-BR'!$A:$A&lt;=C1293))/G1293,0)"),0.0)</f>
        <v>0</v>
      </c>
      <c r="J1293" s="185" t="str">
        <f>IFERROR(VLOOKUP(A1293,Ativos!$A$1:$G2000,5,),"")</f>
        <v/>
      </c>
      <c r="K1293" s="185" t="str">
        <f>IFERROR(VLOOKUP(A1293,Ativos!A:H,8,),"")</f>
        <v/>
      </c>
      <c r="L1293" s="186">
        <f t="shared" si="3"/>
        <v>0</v>
      </c>
    </row>
    <row r="1294" ht="21.0" customHeight="1">
      <c r="A1294" s="187"/>
      <c r="B1294" s="187"/>
      <c r="C1294" s="188"/>
      <c r="D1294" s="135"/>
      <c r="E1294" s="189"/>
      <c r="F1294" s="182" t="str">
        <f t="shared" si="1"/>
        <v/>
      </c>
      <c r="G1294" s="183">
        <f>IFERROR(__xludf.DUMMYFUNCTION("IFERROR(lookup(9999999999,FILTER('Operações-BR'!$M:$M,'Operações-BR'!$C:$C=A1294,'Operações-BR'!$A:$A&lt;=C1294)),0)"),0.0)</f>
        <v>0</v>
      </c>
      <c r="H1294" s="184">
        <f t="shared" si="2"/>
        <v>0</v>
      </c>
      <c r="I1294" s="184">
        <f>IFERROR(__xludf.DUMMYFUNCTION("IFERROR(lookup(9999999999,FILTER('Operações-BR'!Q:Q,'Operações-BR'!$C:$C=A1294,'Operações-BR'!$A:$A&lt;=C1294))/G1294,0)"),0.0)</f>
        <v>0</v>
      </c>
      <c r="J1294" s="185" t="str">
        <f>IFERROR(VLOOKUP(A1294,Ativos!$A$1:$G2000,5,),"")</f>
        <v/>
      </c>
      <c r="K1294" s="185" t="str">
        <f>IFERROR(VLOOKUP(A1294,Ativos!A:H,8,),"")</f>
        <v/>
      </c>
      <c r="L1294" s="186">
        <f t="shared" si="3"/>
        <v>0</v>
      </c>
    </row>
    <row r="1295" ht="21.0" customHeight="1">
      <c r="A1295" s="187"/>
      <c r="B1295" s="187"/>
      <c r="C1295" s="188"/>
      <c r="D1295" s="135"/>
      <c r="E1295" s="189"/>
      <c r="F1295" s="182" t="str">
        <f t="shared" si="1"/>
        <v/>
      </c>
      <c r="G1295" s="183">
        <f>IFERROR(__xludf.DUMMYFUNCTION("IFERROR(lookup(9999999999,FILTER('Operações-BR'!$M:$M,'Operações-BR'!$C:$C=A1295,'Operações-BR'!$A:$A&lt;=C1295)),0)"),0.0)</f>
        <v>0</v>
      </c>
      <c r="H1295" s="184">
        <f t="shared" si="2"/>
        <v>0</v>
      </c>
      <c r="I1295" s="184">
        <f>IFERROR(__xludf.DUMMYFUNCTION("IFERROR(lookup(9999999999,FILTER('Operações-BR'!Q:Q,'Operações-BR'!$C:$C=A1295,'Operações-BR'!$A:$A&lt;=C1295))/G1295,0)"),0.0)</f>
        <v>0</v>
      </c>
      <c r="J1295" s="185" t="str">
        <f>IFERROR(VLOOKUP(A1295,Ativos!$A$1:$G2000,5,),"")</f>
        <v/>
      </c>
      <c r="K1295" s="185" t="str">
        <f>IFERROR(VLOOKUP(A1295,Ativos!A:H,8,),"")</f>
        <v/>
      </c>
      <c r="L1295" s="186">
        <f t="shared" si="3"/>
        <v>0</v>
      </c>
    </row>
    <row r="1296" ht="21.0" customHeight="1">
      <c r="A1296" s="187"/>
      <c r="B1296" s="187"/>
      <c r="C1296" s="188"/>
      <c r="D1296" s="135"/>
      <c r="E1296" s="189"/>
      <c r="F1296" s="182" t="str">
        <f t="shared" si="1"/>
        <v/>
      </c>
      <c r="G1296" s="183">
        <f>IFERROR(__xludf.DUMMYFUNCTION("IFERROR(lookup(9999999999,FILTER('Operações-BR'!$M:$M,'Operações-BR'!$C:$C=A1296,'Operações-BR'!$A:$A&lt;=C1296)),0)"),0.0)</f>
        <v>0</v>
      </c>
      <c r="H1296" s="184">
        <f t="shared" si="2"/>
        <v>0</v>
      </c>
      <c r="I1296" s="184">
        <f>IFERROR(__xludf.DUMMYFUNCTION("IFERROR(lookup(9999999999,FILTER('Operações-BR'!Q:Q,'Operações-BR'!$C:$C=A1296,'Operações-BR'!$A:$A&lt;=C1296))/G1296,0)"),0.0)</f>
        <v>0</v>
      </c>
      <c r="J1296" s="185" t="str">
        <f>IFERROR(VLOOKUP(A1296,Ativos!$A$1:$G2000,5,),"")</f>
        <v/>
      </c>
      <c r="K1296" s="185" t="str">
        <f>IFERROR(VLOOKUP(A1296,Ativos!A:H,8,),"")</f>
        <v/>
      </c>
      <c r="L1296" s="186">
        <f t="shared" si="3"/>
        <v>0</v>
      </c>
    </row>
    <row r="1297" ht="21.0" customHeight="1">
      <c r="A1297" s="187"/>
      <c r="B1297" s="187"/>
      <c r="C1297" s="188"/>
      <c r="D1297" s="135"/>
      <c r="E1297" s="189"/>
      <c r="F1297" s="182" t="str">
        <f t="shared" si="1"/>
        <v/>
      </c>
      <c r="G1297" s="183">
        <f>IFERROR(__xludf.DUMMYFUNCTION("IFERROR(lookup(9999999999,FILTER('Operações-BR'!$M:$M,'Operações-BR'!$C:$C=A1297,'Operações-BR'!$A:$A&lt;=C1297)),0)"),0.0)</f>
        <v>0</v>
      </c>
      <c r="H1297" s="184">
        <f t="shared" si="2"/>
        <v>0</v>
      </c>
      <c r="I1297" s="184">
        <f>IFERROR(__xludf.DUMMYFUNCTION("IFERROR(lookup(9999999999,FILTER('Operações-BR'!Q:Q,'Operações-BR'!$C:$C=A1297,'Operações-BR'!$A:$A&lt;=C1297))/G1297,0)"),0.0)</f>
        <v>0</v>
      </c>
      <c r="J1297" s="185" t="str">
        <f>IFERROR(VLOOKUP(A1297,Ativos!$A$1:$G2000,5,),"")</f>
        <v/>
      </c>
      <c r="K1297" s="185" t="str">
        <f>IFERROR(VLOOKUP(A1297,Ativos!A:H,8,),"")</f>
        <v/>
      </c>
      <c r="L1297" s="186">
        <f t="shared" si="3"/>
        <v>0</v>
      </c>
    </row>
    <row r="1298" ht="21.0" customHeight="1">
      <c r="A1298" s="187"/>
      <c r="B1298" s="187"/>
      <c r="C1298" s="188"/>
      <c r="D1298" s="135"/>
      <c r="E1298" s="189"/>
      <c r="F1298" s="182" t="str">
        <f t="shared" si="1"/>
        <v/>
      </c>
      <c r="G1298" s="183">
        <f>IFERROR(__xludf.DUMMYFUNCTION("IFERROR(lookup(9999999999,FILTER('Operações-BR'!$M:$M,'Operações-BR'!$C:$C=A1298,'Operações-BR'!$A:$A&lt;=C1298)),0)"),0.0)</f>
        <v>0</v>
      </c>
      <c r="H1298" s="184">
        <f t="shared" si="2"/>
        <v>0</v>
      </c>
      <c r="I1298" s="184">
        <f>IFERROR(__xludf.DUMMYFUNCTION("IFERROR(lookup(9999999999,FILTER('Operações-BR'!Q:Q,'Operações-BR'!$C:$C=A1298,'Operações-BR'!$A:$A&lt;=C1298))/G1298,0)"),0.0)</f>
        <v>0</v>
      </c>
      <c r="J1298" s="185" t="str">
        <f>IFERROR(VLOOKUP(A1298,Ativos!$A$1:$G2000,5,),"")</f>
        <v/>
      </c>
      <c r="K1298" s="185" t="str">
        <f>IFERROR(VLOOKUP(A1298,Ativos!A:H,8,),"")</f>
        <v/>
      </c>
      <c r="L1298" s="186">
        <f t="shared" si="3"/>
        <v>0</v>
      </c>
    </row>
    <row r="1299" ht="21.0" customHeight="1">
      <c r="A1299" s="187"/>
      <c r="B1299" s="187"/>
      <c r="C1299" s="188"/>
      <c r="D1299" s="135"/>
      <c r="E1299" s="189"/>
      <c r="F1299" s="182" t="str">
        <f t="shared" si="1"/>
        <v/>
      </c>
      <c r="G1299" s="183">
        <f>IFERROR(__xludf.DUMMYFUNCTION("IFERROR(lookup(9999999999,FILTER('Operações-BR'!$M:$M,'Operações-BR'!$C:$C=A1299,'Operações-BR'!$A:$A&lt;=C1299)),0)"),0.0)</f>
        <v>0</v>
      </c>
      <c r="H1299" s="184">
        <f t="shared" si="2"/>
        <v>0</v>
      </c>
      <c r="I1299" s="184">
        <f>IFERROR(__xludf.DUMMYFUNCTION("IFERROR(lookup(9999999999,FILTER('Operações-BR'!Q:Q,'Operações-BR'!$C:$C=A1299,'Operações-BR'!$A:$A&lt;=C1299))/G1299,0)"),0.0)</f>
        <v>0</v>
      </c>
      <c r="J1299" s="185" t="str">
        <f>IFERROR(VLOOKUP(A1299,Ativos!$A$1:$G2000,5,),"")</f>
        <v/>
      </c>
      <c r="K1299" s="185" t="str">
        <f>IFERROR(VLOOKUP(A1299,Ativos!A:H,8,),"")</f>
        <v/>
      </c>
      <c r="L1299" s="186">
        <f t="shared" si="3"/>
        <v>0</v>
      </c>
    </row>
    <row r="1300" ht="21.0" customHeight="1">
      <c r="A1300" s="187"/>
      <c r="B1300" s="187"/>
      <c r="C1300" s="188"/>
      <c r="D1300" s="135"/>
      <c r="E1300" s="189"/>
      <c r="F1300" s="182" t="str">
        <f t="shared" si="1"/>
        <v/>
      </c>
      <c r="G1300" s="183">
        <f>IFERROR(__xludf.DUMMYFUNCTION("IFERROR(lookup(9999999999,FILTER('Operações-BR'!$M:$M,'Operações-BR'!$C:$C=A1300,'Operações-BR'!$A:$A&lt;=C1300)),0)"),0.0)</f>
        <v>0</v>
      </c>
      <c r="H1300" s="184">
        <f t="shared" si="2"/>
        <v>0</v>
      </c>
      <c r="I1300" s="184">
        <f>IFERROR(__xludf.DUMMYFUNCTION("IFERROR(lookup(9999999999,FILTER('Operações-BR'!Q:Q,'Operações-BR'!$C:$C=A1300,'Operações-BR'!$A:$A&lt;=C1300))/G1300,0)"),0.0)</f>
        <v>0</v>
      </c>
      <c r="J1300" s="185" t="str">
        <f>IFERROR(VLOOKUP(A1300,Ativos!$A$1:$G2000,5,),"")</f>
        <v/>
      </c>
      <c r="K1300" s="185" t="str">
        <f>IFERROR(VLOOKUP(A1300,Ativos!A:H,8,),"")</f>
        <v/>
      </c>
      <c r="L1300" s="186">
        <f t="shared" si="3"/>
        <v>0</v>
      </c>
    </row>
    <row r="1301" ht="21.0" customHeight="1">
      <c r="A1301" s="187"/>
      <c r="B1301" s="187"/>
      <c r="C1301" s="188"/>
      <c r="D1301" s="135"/>
      <c r="E1301" s="189"/>
      <c r="F1301" s="182" t="str">
        <f t="shared" si="1"/>
        <v/>
      </c>
      <c r="G1301" s="183">
        <f>IFERROR(__xludf.DUMMYFUNCTION("IFERROR(lookup(9999999999,FILTER('Operações-BR'!$M:$M,'Operações-BR'!$C:$C=A1301,'Operações-BR'!$A:$A&lt;=C1301)),0)"),0.0)</f>
        <v>0</v>
      </c>
      <c r="H1301" s="184">
        <f t="shared" si="2"/>
        <v>0</v>
      </c>
      <c r="I1301" s="184">
        <f>IFERROR(__xludf.DUMMYFUNCTION("IFERROR(lookup(9999999999,FILTER('Operações-BR'!Q:Q,'Operações-BR'!$C:$C=A1301,'Operações-BR'!$A:$A&lt;=C1301))/G1301,0)"),0.0)</f>
        <v>0</v>
      </c>
      <c r="J1301" s="185" t="str">
        <f>IFERROR(VLOOKUP(A1301,Ativos!$A$1:$G2000,5,),"")</f>
        <v/>
      </c>
      <c r="K1301" s="185" t="str">
        <f>IFERROR(VLOOKUP(A1301,Ativos!A:H,8,),"")</f>
        <v/>
      </c>
      <c r="L1301" s="186">
        <f t="shared" si="3"/>
        <v>0</v>
      </c>
    </row>
    <row r="1302" ht="21.0" customHeight="1">
      <c r="A1302" s="187"/>
      <c r="B1302" s="187"/>
      <c r="C1302" s="188"/>
      <c r="D1302" s="135"/>
      <c r="E1302" s="189"/>
      <c r="F1302" s="182" t="str">
        <f t="shared" si="1"/>
        <v/>
      </c>
      <c r="G1302" s="183">
        <f>IFERROR(__xludf.DUMMYFUNCTION("IFERROR(lookup(9999999999,FILTER('Operações-BR'!$M:$M,'Operações-BR'!$C:$C=A1302,'Operações-BR'!$A:$A&lt;=C1302)),0)"),0.0)</f>
        <v>0</v>
      </c>
      <c r="H1302" s="184">
        <f t="shared" si="2"/>
        <v>0</v>
      </c>
      <c r="I1302" s="184">
        <f>IFERROR(__xludf.DUMMYFUNCTION("IFERROR(lookup(9999999999,FILTER('Operações-BR'!Q:Q,'Operações-BR'!$C:$C=A1302,'Operações-BR'!$A:$A&lt;=C1302))/G1302,0)"),0.0)</f>
        <v>0</v>
      </c>
      <c r="J1302" s="185" t="str">
        <f>IFERROR(VLOOKUP(A1302,Ativos!$A$1:$G2000,5,),"")</f>
        <v/>
      </c>
      <c r="K1302" s="185" t="str">
        <f>IFERROR(VLOOKUP(A1302,Ativos!A:H,8,),"")</f>
        <v/>
      </c>
      <c r="L1302" s="186">
        <f t="shared" si="3"/>
        <v>0</v>
      </c>
    </row>
    <row r="1303" ht="21.0" customHeight="1">
      <c r="A1303" s="187"/>
      <c r="B1303" s="187"/>
      <c r="C1303" s="188"/>
      <c r="D1303" s="135"/>
      <c r="E1303" s="189"/>
      <c r="F1303" s="182" t="str">
        <f t="shared" si="1"/>
        <v/>
      </c>
      <c r="G1303" s="183">
        <f>IFERROR(__xludf.DUMMYFUNCTION("IFERROR(lookup(9999999999,FILTER('Operações-BR'!$M:$M,'Operações-BR'!$C:$C=A1303,'Operações-BR'!$A:$A&lt;=C1303)),0)"),0.0)</f>
        <v>0</v>
      </c>
      <c r="H1303" s="184">
        <f t="shared" si="2"/>
        <v>0</v>
      </c>
      <c r="I1303" s="184">
        <f>IFERROR(__xludf.DUMMYFUNCTION("IFERROR(lookup(9999999999,FILTER('Operações-BR'!Q:Q,'Operações-BR'!$C:$C=A1303,'Operações-BR'!$A:$A&lt;=C1303))/G1303,0)"),0.0)</f>
        <v>0</v>
      </c>
      <c r="J1303" s="185" t="str">
        <f>IFERROR(VLOOKUP(A1303,Ativos!$A$1:$G2000,5,),"")</f>
        <v/>
      </c>
      <c r="K1303" s="185" t="str">
        <f>IFERROR(VLOOKUP(A1303,Ativos!A:H,8,),"")</f>
        <v/>
      </c>
      <c r="L1303" s="186">
        <f t="shared" si="3"/>
        <v>0</v>
      </c>
    </row>
    <row r="1304" ht="21.0" customHeight="1">
      <c r="A1304" s="187"/>
      <c r="B1304" s="187"/>
      <c r="C1304" s="188"/>
      <c r="D1304" s="135"/>
      <c r="E1304" s="189"/>
      <c r="F1304" s="182" t="str">
        <f t="shared" si="1"/>
        <v/>
      </c>
      <c r="G1304" s="183">
        <f>IFERROR(__xludf.DUMMYFUNCTION("IFERROR(lookup(9999999999,FILTER('Operações-BR'!$M:$M,'Operações-BR'!$C:$C=A1304,'Operações-BR'!$A:$A&lt;=C1304)),0)"),0.0)</f>
        <v>0</v>
      </c>
      <c r="H1304" s="184">
        <f t="shared" si="2"/>
        <v>0</v>
      </c>
      <c r="I1304" s="184">
        <f>IFERROR(__xludf.DUMMYFUNCTION("IFERROR(lookup(9999999999,FILTER('Operações-BR'!Q:Q,'Operações-BR'!$C:$C=A1304,'Operações-BR'!$A:$A&lt;=C1304))/G1304,0)"),0.0)</f>
        <v>0</v>
      </c>
      <c r="J1304" s="185" t="str">
        <f>IFERROR(VLOOKUP(A1304,Ativos!$A$1:$G2000,5,),"")</f>
        <v/>
      </c>
      <c r="K1304" s="185" t="str">
        <f>IFERROR(VLOOKUP(A1304,Ativos!A:H,8,),"")</f>
        <v/>
      </c>
      <c r="L1304" s="186">
        <f t="shared" si="3"/>
        <v>0</v>
      </c>
    </row>
    <row r="1305" ht="21.0" customHeight="1">
      <c r="A1305" s="187"/>
      <c r="B1305" s="187"/>
      <c r="C1305" s="188"/>
      <c r="D1305" s="135"/>
      <c r="E1305" s="189"/>
      <c r="F1305" s="182" t="str">
        <f t="shared" si="1"/>
        <v/>
      </c>
      <c r="G1305" s="183">
        <f>IFERROR(__xludf.DUMMYFUNCTION("IFERROR(lookup(9999999999,FILTER('Operações-BR'!$M:$M,'Operações-BR'!$C:$C=A1305,'Operações-BR'!$A:$A&lt;=C1305)),0)"),0.0)</f>
        <v>0</v>
      </c>
      <c r="H1305" s="184">
        <f t="shared" si="2"/>
        <v>0</v>
      </c>
      <c r="I1305" s="184">
        <f>IFERROR(__xludf.DUMMYFUNCTION("IFERROR(lookup(9999999999,FILTER('Operações-BR'!Q:Q,'Operações-BR'!$C:$C=A1305,'Operações-BR'!$A:$A&lt;=C1305))/G1305,0)"),0.0)</f>
        <v>0</v>
      </c>
      <c r="J1305" s="185" t="str">
        <f>IFERROR(VLOOKUP(A1305,Ativos!$A$1:$G2000,5,),"")</f>
        <v/>
      </c>
      <c r="K1305" s="185" t="str">
        <f>IFERROR(VLOOKUP(A1305,Ativos!A:H,8,),"")</f>
        <v/>
      </c>
      <c r="L1305" s="186">
        <f t="shared" si="3"/>
        <v>0</v>
      </c>
    </row>
    <row r="1306" ht="21.0" customHeight="1">
      <c r="A1306" s="187"/>
      <c r="B1306" s="187"/>
      <c r="C1306" s="188"/>
      <c r="D1306" s="135"/>
      <c r="E1306" s="189"/>
      <c r="F1306" s="182" t="str">
        <f t="shared" si="1"/>
        <v/>
      </c>
      <c r="G1306" s="183">
        <f>IFERROR(__xludf.DUMMYFUNCTION("IFERROR(lookup(9999999999,FILTER('Operações-BR'!$M:$M,'Operações-BR'!$C:$C=A1306,'Operações-BR'!$A:$A&lt;=C1306)),0)"),0.0)</f>
        <v>0</v>
      </c>
      <c r="H1306" s="184">
        <f t="shared" si="2"/>
        <v>0</v>
      </c>
      <c r="I1306" s="184">
        <f>IFERROR(__xludf.DUMMYFUNCTION("IFERROR(lookup(9999999999,FILTER('Operações-BR'!Q:Q,'Operações-BR'!$C:$C=A1306,'Operações-BR'!$A:$A&lt;=C1306))/G1306,0)"),0.0)</f>
        <v>0</v>
      </c>
      <c r="J1306" s="185" t="str">
        <f>IFERROR(VLOOKUP(A1306,Ativos!$A$1:$G2000,5,),"")</f>
        <v/>
      </c>
      <c r="K1306" s="185" t="str">
        <f>IFERROR(VLOOKUP(A1306,Ativos!A:H,8,),"")</f>
        <v/>
      </c>
      <c r="L1306" s="186">
        <f t="shared" si="3"/>
        <v>0</v>
      </c>
    </row>
    <row r="1307" ht="21.0" customHeight="1">
      <c r="A1307" s="187"/>
      <c r="B1307" s="187"/>
      <c r="C1307" s="188"/>
      <c r="D1307" s="135"/>
      <c r="E1307" s="189"/>
      <c r="F1307" s="182" t="str">
        <f t="shared" si="1"/>
        <v/>
      </c>
      <c r="G1307" s="183">
        <f>IFERROR(__xludf.DUMMYFUNCTION("IFERROR(lookup(9999999999,FILTER('Operações-BR'!$M:$M,'Operações-BR'!$C:$C=A1307,'Operações-BR'!$A:$A&lt;=C1307)),0)"),0.0)</f>
        <v>0</v>
      </c>
      <c r="H1307" s="184">
        <f t="shared" si="2"/>
        <v>0</v>
      </c>
      <c r="I1307" s="184">
        <f>IFERROR(__xludf.DUMMYFUNCTION("IFERROR(lookup(9999999999,FILTER('Operações-BR'!Q:Q,'Operações-BR'!$C:$C=A1307,'Operações-BR'!$A:$A&lt;=C1307))/G1307,0)"),0.0)</f>
        <v>0</v>
      </c>
      <c r="J1307" s="185" t="str">
        <f>IFERROR(VLOOKUP(A1307,Ativos!$A$1:$G2000,5,),"")</f>
        <v/>
      </c>
      <c r="K1307" s="185" t="str">
        <f>IFERROR(VLOOKUP(A1307,Ativos!A:H,8,),"")</f>
        <v/>
      </c>
      <c r="L1307" s="186">
        <f t="shared" si="3"/>
        <v>0</v>
      </c>
    </row>
    <row r="1308" ht="21.0" customHeight="1">
      <c r="A1308" s="187"/>
      <c r="B1308" s="187"/>
      <c r="C1308" s="188"/>
      <c r="D1308" s="135"/>
      <c r="E1308" s="189"/>
      <c r="F1308" s="182" t="str">
        <f t="shared" si="1"/>
        <v/>
      </c>
      <c r="G1308" s="183">
        <f>IFERROR(__xludf.DUMMYFUNCTION("IFERROR(lookup(9999999999,FILTER('Operações-BR'!$M:$M,'Operações-BR'!$C:$C=A1308,'Operações-BR'!$A:$A&lt;=C1308)),0)"),0.0)</f>
        <v>0</v>
      </c>
      <c r="H1308" s="184">
        <f t="shared" si="2"/>
        <v>0</v>
      </c>
      <c r="I1308" s="184">
        <f>IFERROR(__xludf.DUMMYFUNCTION("IFERROR(lookup(9999999999,FILTER('Operações-BR'!Q:Q,'Operações-BR'!$C:$C=A1308,'Operações-BR'!$A:$A&lt;=C1308))/G1308,0)"),0.0)</f>
        <v>0</v>
      </c>
      <c r="J1308" s="185" t="str">
        <f>IFERROR(VLOOKUP(A1308,Ativos!$A$1:$G2000,5,),"")</f>
        <v/>
      </c>
      <c r="K1308" s="185" t="str">
        <f>IFERROR(VLOOKUP(A1308,Ativos!A:H,8,),"")</f>
        <v/>
      </c>
      <c r="L1308" s="186">
        <f t="shared" si="3"/>
        <v>0</v>
      </c>
    </row>
    <row r="1309" ht="21.0" customHeight="1">
      <c r="A1309" s="187"/>
      <c r="B1309" s="187"/>
      <c r="C1309" s="188"/>
      <c r="D1309" s="135"/>
      <c r="E1309" s="189"/>
      <c r="F1309" s="182" t="str">
        <f t="shared" si="1"/>
        <v/>
      </c>
      <c r="G1309" s="183">
        <f>IFERROR(__xludf.DUMMYFUNCTION("IFERROR(lookup(9999999999,FILTER('Operações-BR'!$M:$M,'Operações-BR'!$C:$C=A1309,'Operações-BR'!$A:$A&lt;=C1309)),0)"),0.0)</f>
        <v>0</v>
      </c>
      <c r="H1309" s="184">
        <f t="shared" si="2"/>
        <v>0</v>
      </c>
      <c r="I1309" s="184">
        <f>IFERROR(__xludf.DUMMYFUNCTION("IFERROR(lookup(9999999999,FILTER('Operações-BR'!Q:Q,'Operações-BR'!$C:$C=A1309,'Operações-BR'!$A:$A&lt;=C1309))/G1309,0)"),0.0)</f>
        <v>0</v>
      </c>
      <c r="J1309" s="185" t="str">
        <f>IFERROR(VLOOKUP(A1309,Ativos!$A$1:$G2000,5,),"")</f>
        <v/>
      </c>
      <c r="K1309" s="185" t="str">
        <f>IFERROR(VLOOKUP(A1309,Ativos!A:H,8,),"")</f>
        <v/>
      </c>
      <c r="L1309" s="186">
        <f t="shared" si="3"/>
        <v>0</v>
      </c>
    </row>
    <row r="1310" ht="21.0" customHeight="1">
      <c r="A1310" s="187"/>
      <c r="B1310" s="187"/>
      <c r="C1310" s="188"/>
      <c r="D1310" s="135"/>
      <c r="E1310" s="189"/>
      <c r="F1310" s="182" t="str">
        <f t="shared" si="1"/>
        <v/>
      </c>
      <c r="G1310" s="183">
        <f>IFERROR(__xludf.DUMMYFUNCTION("IFERROR(lookup(9999999999,FILTER('Operações-BR'!$M:$M,'Operações-BR'!$C:$C=A1310,'Operações-BR'!$A:$A&lt;=C1310)),0)"),0.0)</f>
        <v>0</v>
      </c>
      <c r="H1310" s="184">
        <f t="shared" si="2"/>
        <v>0</v>
      </c>
      <c r="I1310" s="184">
        <f>IFERROR(__xludf.DUMMYFUNCTION("IFERROR(lookup(9999999999,FILTER('Operações-BR'!Q:Q,'Operações-BR'!$C:$C=A1310,'Operações-BR'!$A:$A&lt;=C1310))/G1310,0)"),0.0)</f>
        <v>0</v>
      </c>
      <c r="J1310" s="185" t="str">
        <f>IFERROR(VLOOKUP(A1310,Ativos!$A$1:$G2000,5,),"")</f>
        <v/>
      </c>
      <c r="K1310" s="185" t="str">
        <f>IFERROR(VLOOKUP(A1310,Ativos!A:H,8,),"")</f>
        <v/>
      </c>
      <c r="L1310" s="186">
        <f t="shared" si="3"/>
        <v>0</v>
      </c>
    </row>
    <row r="1311" ht="21.0" customHeight="1">
      <c r="A1311" s="187"/>
      <c r="B1311" s="187"/>
      <c r="C1311" s="188"/>
      <c r="D1311" s="135"/>
      <c r="E1311" s="189"/>
      <c r="F1311" s="182" t="str">
        <f t="shared" si="1"/>
        <v/>
      </c>
      <c r="G1311" s="183">
        <f>IFERROR(__xludf.DUMMYFUNCTION("IFERROR(lookup(9999999999,FILTER('Operações-BR'!$M:$M,'Operações-BR'!$C:$C=A1311,'Operações-BR'!$A:$A&lt;=C1311)),0)"),0.0)</f>
        <v>0</v>
      </c>
      <c r="H1311" s="184">
        <f t="shared" si="2"/>
        <v>0</v>
      </c>
      <c r="I1311" s="184">
        <f>IFERROR(__xludf.DUMMYFUNCTION("IFERROR(lookup(9999999999,FILTER('Operações-BR'!Q:Q,'Operações-BR'!$C:$C=A1311,'Operações-BR'!$A:$A&lt;=C1311))/G1311,0)"),0.0)</f>
        <v>0</v>
      </c>
      <c r="J1311" s="185" t="str">
        <f>IFERROR(VLOOKUP(A1311,Ativos!$A$1:$G2000,5,),"")</f>
        <v/>
      </c>
      <c r="K1311" s="185" t="str">
        <f>IFERROR(VLOOKUP(A1311,Ativos!A:H,8,),"")</f>
        <v/>
      </c>
      <c r="L1311" s="186">
        <f t="shared" si="3"/>
        <v>0</v>
      </c>
    </row>
    <row r="1312" ht="21.0" customHeight="1">
      <c r="A1312" s="187"/>
      <c r="B1312" s="187"/>
      <c r="C1312" s="188"/>
      <c r="D1312" s="135"/>
      <c r="E1312" s="189"/>
      <c r="F1312" s="182" t="str">
        <f t="shared" si="1"/>
        <v/>
      </c>
      <c r="G1312" s="183">
        <f>IFERROR(__xludf.DUMMYFUNCTION("IFERROR(lookup(9999999999,FILTER('Operações-BR'!$M:$M,'Operações-BR'!$C:$C=A1312,'Operações-BR'!$A:$A&lt;=C1312)),0)"),0.0)</f>
        <v>0</v>
      </c>
      <c r="H1312" s="184">
        <f t="shared" si="2"/>
        <v>0</v>
      </c>
      <c r="I1312" s="184">
        <f>IFERROR(__xludf.DUMMYFUNCTION("IFERROR(lookup(9999999999,FILTER('Operações-BR'!Q:Q,'Operações-BR'!$C:$C=A1312,'Operações-BR'!$A:$A&lt;=C1312))/G1312,0)"),0.0)</f>
        <v>0</v>
      </c>
      <c r="J1312" s="185" t="str">
        <f>IFERROR(VLOOKUP(A1312,Ativos!$A$1:$G2000,5,),"")</f>
        <v/>
      </c>
      <c r="K1312" s="185" t="str">
        <f>IFERROR(VLOOKUP(A1312,Ativos!A:H,8,),"")</f>
        <v/>
      </c>
      <c r="L1312" s="186">
        <f t="shared" si="3"/>
        <v>0</v>
      </c>
    </row>
    <row r="1313" ht="21.0" customHeight="1">
      <c r="A1313" s="187"/>
      <c r="B1313" s="187"/>
      <c r="C1313" s="188"/>
      <c r="D1313" s="135"/>
      <c r="E1313" s="189"/>
      <c r="F1313" s="182" t="str">
        <f t="shared" si="1"/>
        <v/>
      </c>
      <c r="G1313" s="183">
        <f>IFERROR(__xludf.DUMMYFUNCTION("IFERROR(lookup(9999999999,FILTER('Operações-BR'!$M:$M,'Operações-BR'!$C:$C=A1313,'Operações-BR'!$A:$A&lt;=C1313)),0)"),0.0)</f>
        <v>0</v>
      </c>
      <c r="H1313" s="184">
        <f t="shared" si="2"/>
        <v>0</v>
      </c>
      <c r="I1313" s="184">
        <f>IFERROR(__xludf.DUMMYFUNCTION("IFERROR(lookup(9999999999,FILTER('Operações-BR'!Q:Q,'Operações-BR'!$C:$C=A1313,'Operações-BR'!$A:$A&lt;=C1313))/G1313,0)"),0.0)</f>
        <v>0</v>
      </c>
      <c r="J1313" s="185" t="str">
        <f>IFERROR(VLOOKUP(A1313,Ativos!$A$1:$G2000,5,),"")</f>
        <v/>
      </c>
      <c r="K1313" s="185" t="str">
        <f>IFERROR(VLOOKUP(A1313,Ativos!A:H,8,),"")</f>
        <v/>
      </c>
      <c r="L1313" s="186">
        <f t="shared" si="3"/>
        <v>0</v>
      </c>
    </row>
    <row r="1314" ht="21.0" customHeight="1">
      <c r="A1314" s="187"/>
      <c r="B1314" s="187"/>
      <c r="C1314" s="188"/>
      <c r="D1314" s="135"/>
      <c r="E1314" s="189"/>
      <c r="F1314" s="182" t="str">
        <f t="shared" si="1"/>
        <v/>
      </c>
      <c r="G1314" s="183">
        <f>IFERROR(__xludf.DUMMYFUNCTION("IFERROR(lookup(9999999999,FILTER('Operações-BR'!$M:$M,'Operações-BR'!$C:$C=A1314,'Operações-BR'!$A:$A&lt;=C1314)),0)"),0.0)</f>
        <v>0</v>
      </c>
      <c r="H1314" s="184">
        <f t="shared" si="2"/>
        <v>0</v>
      </c>
      <c r="I1314" s="184">
        <f>IFERROR(__xludf.DUMMYFUNCTION("IFERROR(lookup(9999999999,FILTER('Operações-BR'!Q:Q,'Operações-BR'!$C:$C=A1314,'Operações-BR'!$A:$A&lt;=C1314))/G1314,0)"),0.0)</f>
        <v>0</v>
      </c>
      <c r="J1314" s="185" t="str">
        <f>IFERROR(VLOOKUP(A1314,Ativos!$A$1:$G2000,5,),"")</f>
        <v/>
      </c>
      <c r="K1314" s="185" t="str">
        <f>IFERROR(VLOOKUP(A1314,Ativos!A:H,8,),"")</f>
        <v/>
      </c>
      <c r="L1314" s="186">
        <f t="shared" si="3"/>
        <v>0</v>
      </c>
    </row>
    <row r="1315" ht="21.0" customHeight="1">
      <c r="A1315" s="187"/>
      <c r="B1315" s="187"/>
      <c r="C1315" s="188"/>
      <c r="D1315" s="135"/>
      <c r="E1315" s="189"/>
      <c r="F1315" s="182" t="str">
        <f t="shared" si="1"/>
        <v/>
      </c>
      <c r="G1315" s="183">
        <f>IFERROR(__xludf.DUMMYFUNCTION("IFERROR(lookup(9999999999,FILTER('Operações-BR'!$M:$M,'Operações-BR'!$C:$C=A1315,'Operações-BR'!$A:$A&lt;=C1315)),0)"),0.0)</f>
        <v>0</v>
      </c>
      <c r="H1315" s="184">
        <f t="shared" si="2"/>
        <v>0</v>
      </c>
      <c r="I1315" s="184">
        <f>IFERROR(__xludf.DUMMYFUNCTION("IFERROR(lookup(9999999999,FILTER('Operações-BR'!Q:Q,'Operações-BR'!$C:$C=A1315,'Operações-BR'!$A:$A&lt;=C1315))/G1315,0)"),0.0)</f>
        <v>0</v>
      </c>
      <c r="J1315" s="185" t="str">
        <f>IFERROR(VLOOKUP(A1315,Ativos!$A$1:$G2000,5,),"")</f>
        <v/>
      </c>
      <c r="K1315" s="185" t="str">
        <f>IFERROR(VLOOKUP(A1315,Ativos!A:H,8,),"")</f>
        <v/>
      </c>
      <c r="L1315" s="186">
        <f t="shared" si="3"/>
        <v>0</v>
      </c>
    </row>
    <row r="1316" ht="21.0" customHeight="1">
      <c r="A1316" s="187"/>
      <c r="B1316" s="187"/>
      <c r="C1316" s="188"/>
      <c r="D1316" s="135"/>
      <c r="E1316" s="189"/>
      <c r="F1316" s="182" t="str">
        <f t="shared" si="1"/>
        <v/>
      </c>
      <c r="G1316" s="183">
        <f>IFERROR(__xludf.DUMMYFUNCTION("IFERROR(lookup(9999999999,FILTER('Operações-BR'!$M:$M,'Operações-BR'!$C:$C=A1316,'Operações-BR'!$A:$A&lt;=C1316)),0)"),0.0)</f>
        <v>0</v>
      </c>
      <c r="H1316" s="184">
        <f t="shared" si="2"/>
        <v>0</v>
      </c>
      <c r="I1316" s="184">
        <f>IFERROR(__xludf.DUMMYFUNCTION("IFERROR(lookup(9999999999,FILTER('Operações-BR'!Q:Q,'Operações-BR'!$C:$C=A1316,'Operações-BR'!$A:$A&lt;=C1316))/G1316,0)"),0.0)</f>
        <v>0</v>
      </c>
      <c r="J1316" s="185" t="str">
        <f>IFERROR(VLOOKUP(A1316,Ativos!$A$1:$G2000,5,),"")</f>
        <v/>
      </c>
      <c r="K1316" s="185" t="str">
        <f>IFERROR(VLOOKUP(A1316,Ativos!A:H,8,),"")</f>
        <v/>
      </c>
      <c r="L1316" s="186">
        <f t="shared" si="3"/>
        <v>0</v>
      </c>
    </row>
    <row r="1317" ht="21.0" customHeight="1">
      <c r="A1317" s="187"/>
      <c r="B1317" s="187"/>
      <c r="C1317" s="188"/>
      <c r="D1317" s="135"/>
      <c r="E1317" s="189"/>
      <c r="F1317" s="182" t="str">
        <f t="shared" si="1"/>
        <v/>
      </c>
      <c r="G1317" s="183">
        <f>IFERROR(__xludf.DUMMYFUNCTION("IFERROR(lookup(9999999999,FILTER('Operações-BR'!$M:$M,'Operações-BR'!$C:$C=A1317,'Operações-BR'!$A:$A&lt;=C1317)),0)"),0.0)</f>
        <v>0</v>
      </c>
      <c r="H1317" s="184">
        <f t="shared" si="2"/>
        <v>0</v>
      </c>
      <c r="I1317" s="184">
        <f>IFERROR(__xludf.DUMMYFUNCTION("IFERROR(lookup(9999999999,FILTER('Operações-BR'!Q:Q,'Operações-BR'!$C:$C=A1317,'Operações-BR'!$A:$A&lt;=C1317))/G1317,0)"),0.0)</f>
        <v>0</v>
      </c>
      <c r="J1317" s="185" t="str">
        <f>IFERROR(VLOOKUP(A1317,Ativos!$A$1:$G2000,5,),"")</f>
        <v/>
      </c>
      <c r="K1317" s="185" t="str">
        <f>IFERROR(VLOOKUP(A1317,Ativos!A:H,8,),"")</f>
        <v/>
      </c>
      <c r="L1317" s="186">
        <f t="shared" si="3"/>
        <v>0</v>
      </c>
    </row>
    <row r="1318" ht="21.0" customHeight="1">
      <c r="A1318" s="187"/>
      <c r="B1318" s="187"/>
      <c r="C1318" s="188"/>
      <c r="D1318" s="135"/>
      <c r="E1318" s="189"/>
      <c r="F1318" s="182" t="str">
        <f t="shared" si="1"/>
        <v/>
      </c>
      <c r="G1318" s="183">
        <f>IFERROR(__xludf.DUMMYFUNCTION("IFERROR(lookup(9999999999,FILTER('Operações-BR'!$M:$M,'Operações-BR'!$C:$C=A1318,'Operações-BR'!$A:$A&lt;=C1318)),0)"),0.0)</f>
        <v>0</v>
      </c>
      <c r="H1318" s="184">
        <f t="shared" si="2"/>
        <v>0</v>
      </c>
      <c r="I1318" s="184">
        <f>IFERROR(__xludf.DUMMYFUNCTION("IFERROR(lookup(9999999999,FILTER('Operações-BR'!Q:Q,'Operações-BR'!$C:$C=A1318,'Operações-BR'!$A:$A&lt;=C1318))/G1318,0)"),0.0)</f>
        <v>0</v>
      </c>
      <c r="J1318" s="185" t="str">
        <f>IFERROR(VLOOKUP(A1318,Ativos!$A$1:$G2000,5,),"")</f>
        <v/>
      </c>
      <c r="K1318" s="185" t="str">
        <f>IFERROR(VLOOKUP(A1318,Ativos!A:H,8,),"")</f>
        <v/>
      </c>
      <c r="L1318" s="186">
        <f t="shared" si="3"/>
        <v>0</v>
      </c>
    </row>
    <row r="1319" ht="21.0" customHeight="1">
      <c r="A1319" s="187"/>
      <c r="B1319" s="187"/>
      <c r="C1319" s="188"/>
      <c r="D1319" s="135"/>
      <c r="E1319" s="189"/>
      <c r="F1319" s="182" t="str">
        <f t="shared" si="1"/>
        <v/>
      </c>
      <c r="G1319" s="183">
        <f>IFERROR(__xludf.DUMMYFUNCTION("IFERROR(lookup(9999999999,FILTER('Operações-BR'!$M:$M,'Operações-BR'!$C:$C=A1319,'Operações-BR'!$A:$A&lt;=C1319)),0)"),0.0)</f>
        <v>0</v>
      </c>
      <c r="H1319" s="184">
        <f t="shared" si="2"/>
        <v>0</v>
      </c>
      <c r="I1319" s="184">
        <f>IFERROR(__xludf.DUMMYFUNCTION("IFERROR(lookup(9999999999,FILTER('Operações-BR'!Q:Q,'Operações-BR'!$C:$C=A1319,'Operações-BR'!$A:$A&lt;=C1319))/G1319,0)"),0.0)</f>
        <v>0</v>
      </c>
      <c r="J1319" s="185" t="str">
        <f>IFERROR(VLOOKUP(A1319,Ativos!$A$1:$G2000,5,),"")</f>
        <v/>
      </c>
      <c r="K1319" s="185" t="str">
        <f>IFERROR(VLOOKUP(A1319,Ativos!A:H,8,),"")</f>
        <v/>
      </c>
      <c r="L1319" s="186">
        <f t="shared" si="3"/>
        <v>0</v>
      </c>
    </row>
    <row r="1320" ht="21.0" customHeight="1">
      <c r="A1320" s="187"/>
      <c r="B1320" s="187"/>
      <c r="C1320" s="188"/>
      <c r="D1320" s="135"/>
      <c r="E1320" s="189"/>
      <c r="F1320" s="182" t="str">
        <f t="shared" si="1"/>
        <v/>
      </c>
      <c r="G1320" s="183">
        <f>IFERROR(__xludf.DUMMYFUNCTION("IFERROR(lookup(9999999999,FILTER('Operações-BR'!$M:$M,'Operações-BR'!$C:$C=A1320,'Operações-BR'!$A:$A&lt;=C1320)),0)"),0.0)</f>
        <v>0</v>
      </c>
      <c r="H1320" s="184">
        <f t="shared" si="2"/>
        <v>0</v>
      </c>
      <c r="I1320" s="184">
        <f>IFERROR(__xludf.DUMMYFUNCTION("IFERROR(lookup(9999999999,FILTER('Operações-BR'!Q:Q,'Operações-BR'!$C:$C=A1320,'Operações-BR'!$A:$A&lt;=C1320))/G1320,0)"),0.0)</f>
        <v>0</v>
      </c>
      <c r="J1320" s="185" t="str">
        <f>IFERROR(VLOOKUP(A1320,Ativos!$A$1:$G2000,5,),"")</f>
        <v/>
      </c>
      <c r="K1320" s="185" t="str">
        <f>IFERROR(VLOOKUP(A1320,Ativos!A:H,8,),"")</f>
        <v/>
      </c>
      <c r="L1320" s="186">
        <f t="shared" si="3"/>
        <v>0</v>
      </c>
    </row>
    <row r="1321" ht="21.0" customHeight="1">
      <c r="A1321" s="187"/>
      <c r="B1321" s="187"/>
      <c r="C1321" s="188"/>
      <c r="D1321" s="135"/>
      <c r="E1321" s="189"/>
      <c r="F1321" s="182" t="str">
        <f t="shared" si="1"/>
        <v/>
      </c>
      <c r="G1321" s="183">
        <f>IFERROR(__xludf.DUMMYFUNCTION("IFERROR(lookup(9999999999,FILTER('Operações-BR'!$M:$M,'Operações-BR'!$C:$C=A1321,'Operações-BR'!$A:$A&lt;=C1321)),0)"),0.0)</f>
        <v>0</v>
      </c>
      <c r="H1321" s="184">
        <f t="shared" si="2"/>
        <v>0</v>
      </c>
      <c r="I1321" s="184">
        <f>IFERROR(__xludf.DUMMYFUNCTION("IFERROR(lookup(9999999999,FILTER('Operações-BR'!Q:Q,'Operações-BR'!$C:$C=A1321,'Operações-BR'!$A:$A&lt;=C1321))/G1321,0)"),0.0)</f>
        <v>0</v>
      </c>
      <c r="J1321" s="185" t="str">
        <f>IFERROR(VLOOKUP(A1321,Ativos!$A$1:$G2000,5,),"")</f>
        <v/>
      </c>
      <c r="K1321" s="185" t="str">
        <f>IFERROR(VLOOKUP(A1321,Ativos!A:H,8,),"")</f>
        <v/>
      </c>
      <c r="L1321" s="186">
        <f t="shared" si="3"/>
        <v>0</v>
      </c>
    </row>
    <row r="1322" ht="21.0" customHeight="1">
      <c r="A1322" s="187"/>
      <c r="B1322" s="187"/>
      <c r="C1322" s="188"/>
      <c r="D1322" s="135"/>
      <c r="E1322" s="189"/>
      <c r="F1322" s="182" t="str">
        <f t="shared" si="1"/>
        <v/>
      </c>
      <c r="G1322" s="183">
        <f>IFERROR(__xludf.DUMMYFUNCTION("IFERROR(lookup(9999999999,FILTER('Operações-BR'!$M:$M,'Operações-BR'!$C:$C=A1322,'Operações-BR'!$A:$A&lt;=C1322)),0)"),0.0)</f>
        <v>0</v>
      </c>
      <c r="H1322" s="184">
        <f t="shared" si="2"/>
        <v>0</v>
      </c>
      <c r="I1322" s="184">
        <f>IFERROR(__xludf.DUMMYFUNCTION("IFERROR(lookup(9999999999,FILTER('Operações-BR'!Q:Q,'Operações-BR'!$C:$C=A1322,'Operações-BR'!$A:$A&lt;=C1322))/G1322,0)"),0.0)</f>
        <v>0</v>
      </c>
      <c r="J1322" s="185" t="str">
        <f>IFERROR(VLOOKUP(A1322,Ativos!$A$1:$G2000,5,),"")</f>
        <v/>
      </c>
      <c r="K1322" s="185" t="str">
        <f>IFERROR(VLOOKUP(A1322,Ativos!A:H,8,),"")</f>
        <v/>
      </c>
      <c r="L1322" s="186">
        <f t="shared" si="3"/>
        <v>0</v>
      </c>
    </row>
    <row r="1323" ht="21.0" customHeight="1">
      <c r="A1323" s="187"/>
      <c r="B1323" s="187"/>
      <c r="C1323" s="188"/>
      <c r="D1323" s="135"/>
      <c r="E1323" s="189"/>
      <c r="F1323" s="182" t="str">
        <f t="shared" si="1"/>
        <v/>
      </c>
      <c r="G1323" s="183">
        <f>IFERROR(__xludf.DUMMYFUNCTION("IFERROR(lookup(9999999999,FILTER('Operações-BR'!$M:$M,'Operações-BR'!$C:$C=A1323,'Operações-BR'!$A:$A&lt;=C1323)),0)"),0.0)</f>
        <v>0</v>
      </c>
      <c r="H1323" s="184">
        <f t="shared" si="2"/>
        <v>0</v>
      </c>
      <c r="I1323" s="184">
        <f>IFERROR(__xludf.DUMMYFUNCTION("IFERROR(lookup(9999999999,FILTER('Operações-BR'!Q:Q,'Operações-BR'!$C:$C=A1323,'Operações-BR'!$A:$A&lt;=C1323))/G1323,0)"),0.0)</f>
        <v>0</v>
      </c>
      <c r="J1323" s="185" t="str">
        <f>IFERROR(VLOOKUP(A1323,Ativos!$A$1:$G2000,5,),"")</f>
        <v/>
      </c>
      <c r="K1323" s="185" t="str">
        <f>IFERROR(VLOOKUP(A1323,Ativos!A:H,8,),"")</f>
        <v/>
      </c>
      <c r="L1323" s="186">
        <f t="shared" si="3"/>
        <v>0</v>
      </c>
    </row>
    <row r="1324" ht="21.0" customHeight="1">
      <c r="A1324" s="187"/>
      <c r="B1324" s="187"/>
      <c r="C1324" s="188"/>
      <c r="D1324" s="135"/>
      <c r="E1324" s="189"/>
      <c r="F1324" s="182" t="str">
        <f t="shared" si="1"/>
        <v/>
      </c>
      <c r="G1324" s="183">
        <f>IFERROR(__xludf.DUMMYFUNCTION("IFERROR(lookup(9999999999,FILTER('Operações-BR'!$M:$M,'Operações-BR'!$C:$C=A1324,'Operações-BR'!$A:$A&lt;=C1324)),0)"),0.0)</f>
        <v>0</v>
      </c>
      <c r="H1324" s="184">
        <f t="shared" si="2"/>
        <v>0</v>
      </c>
      <c r="I1324" s="184">
        <f>IFERROR(__xludf.DUMMYFUNCTION("IFERROR(lookup(9999999999,FILTER('Operações-BR'!Q:Q,'Operações-BR'!$C:$C=A1324,'Operações-BR'!$A:$A&lt;=C1324))/G1324,0)"),0.0)</f>
        <v>0</v>
      </c>
      <c r="J1324" s="185" t="str">
        <f>IFERROR(VLOOKUP(A1324,Ativos!$A$1:$G2000,5,),"")</f>
        <v/>
      </c>
      <c r="K1324" s="185" t="str">
        <f>IFERROR(VLOOKUP(A1324,Ativos!A:H,8,),"")</f>
        <v/>
      </c>
      <c r="L1324" s="186">
        <f t="shared" si="3"/>
        <v>0</v>
      </c>
    </row>
    <row r="1325" ht="21.0" customHeight="1">
      <c r="A1325" s="187"/>
      <c r="B1325" s="187"/>
      <c r="C1325" s="188"/>
      <c r="D1325" s="135"/>
      <c r="E1325" s="189"/>
      <c r="F1325" s="182" t="str">
        <f t="shared" si="1"/>
        <v/>
      </c>
      <c r="G1325" s="183">
        <f>IFERROR(__xludf.DUMMYFUNCTION("IFERROR(lookup(9999999999,FILTER('Operações-BR'!$M:$M,'Operações-BR'!$C:$C=A1325,'Operações-BR'!$A:$A&lt;=C1325)),0)"),0.0)</f>
        <v>0</v>
      </c>
      <c r="H1325" s="184">
        <f t="shared" si="2"/>
        <v>0</v>
      </c>
      <c r="I1325" s="184">
        <f>IFERROR(__xludf.DUMMYFUNCTION("IFERROR(lookup(9999999999,FILTER('Operações-BR'!Q:Q,'Operações-BR'!$C:$C=A1325,'Operações-BR'!$A:$A&lt;=C1325))/G1325,0)"),0.0)</f>
        <v>0</v>
      </c>
      <c r="J1325" s="185" t="str">
        <f>IFERROR(VLOOKUP(A1325,Ativos!$A$1:$G2000,5,),"")</f>
        <v/>
      </c>
      <c r="K1325" s="185" t="str">
        <f>IFERROR(VLOOKUP(A1325,Ativos!A:H,8,),"")</f>
        <v/>
      </c>
      <c r="L1325" s="186">
        <f t="shared" si="3"/>
        <v>0</v>
      </c>
    </row>
    <row r="1326" ht="21.0" customHeight="1">
      <c r="A1326" s="187"/>
      <c r="B1326" s="187"/>
      <c r="C1326" s="188"/>
      <c r="D1326" s="135"/>
      <c r="E1326" s="189"/>
      <c r="F1326" s="182" t="str">
        <f t="shared" si="1"/>
        <v/>
      </c>
      <c r="G1326" s="183">
        <f>IFERROR(__xludf.DUMMYFUNCTION("IFERROR(lookup(9999999999,FILTER('Operações-BR'!$M:$M,'Operações-BR'!$C:$C=A1326,'Operações-BR'!$A:$A&lt;=C1326)),0)"),0.0)</f>
        <v>0</v>
      </c>
      <c r="H1326" s="184">
        <f t="shared" si="2"/>
        <v>0</v>
      </c>
      <c r="I1326" s="184">
        <f>IFERROR(__xludf.DUMMYFUNCTION("IFERROR(lookup(9999999999,FILTER('Operações-BR'!Q:Q,'Operações-BR'!$C:$C=A1326,'Operações-BR'!$A:$A&lt;=C1326))/G1326,0)"),0.0)</f>
        <v>0</v>
      </c>
      <c r="J1326" s="185" t="str">
        <f>IFERROR(VLOOKUP(A1326,Ativos!$A$1:$G2000,5,),"")</f>
        <v/>
      </c>
      <c r="K1326" s="185" t="str">
        <f>IFERROR(VLOOKUP(A1326,Ativos!A:H,8,),"")</f>
        <v/>
      </c>
      <c r="L1326" s="186">
        <f t="shared" si="3"/>
        <v>0</v>
      </c>
    </row>
    <row r="1327" ht="21.0" customHeight="1">
      <c r="A1327" s="187"/>
      <c r="B1327" s="187"/>
      <c r="C1327" s="188"/>
      <c r="D1327" s="135"/>
      <c r="E1327" s="189"/>
      <c r="F1327" s="182" t="str">
        <f t="shared" si="1"/>
        <v/>
      </c>
      <c r="G1327" s="183">
        <f>IFERROR(__xludf.DUMMYFUNCTION("IFERROR(lookup(9999999999,FILTER('Operações-BR'!$M:$M,'Operações-BR'!$C:$C=A1327,'Operações-BR'!$A:$A&lt;=C1327)),0)"),0.0)</f>
        <v>0</v>
      </c>
      <c r="H1327" s="184">
        <f t="shared" si="2"/>
        <v>0</v>
      </c>
      <c r="I1327" s="184">
        <f>IFERROR(__xludf.DUMMYFUNCTION("IFERROR(lookup(9999999999,FILTER('Operações-BR'!Q:Q,'Operações-BR'!$C:$C=A1327,'Operações-BR'!$A:$A&lt;=C1327))/G1327,0)"),0.0)</f>
        <v>0</v>
      </c>
      <c r="J1327" s="185" t="str">
        <f>IFERROR(VLOOKUP(A1327,Ativos!$A$1:$G2000,5,),"")</f>
        <v/>
      </c>
      <c r="K1327" s="185" t="str">
        <f>IFERROR(VLOOKUP(A1327,Ativos!A:H,8,),"")</f>
        <v/>
      </c>
      <c r="L1327" s="186">
        <f t="shared" si="3"/>
        <v>0</v>
      </c>
    </row>
    <row r="1328" ht="21.0" customHeight="1">
      <c r="A1328" s="187"/>
      <c r="B1328" s="187"/>
      <c r="C1328" s="188"/>
      <c r="D1328" s="135"/>
      <c r="E1328" s="189"/>
      <c r="F1328" s="182" t="str">
        <f t="shared" si="1"/>
        <v/>
      </c>
      <c r="G1328" s="183">
        <f>IFERROR(__xludf.DUMMYFUNCTION("IFERROR(lookup(9999999999,FILTER('Operações-BR'!$M:$M,'Operações-BR'!$C:$C=A1328,'Operações-BR'!$A:$A&lt;=C1328)),0)"),0.0)</f>
        <v>0</v>
      </c>
      <c r="H1328" s="184">
        <f t="shared" si="2"/>
        <v>0</v>
      </c>
      <c r="I1328" s="184">
        <f>IFERROR(__xludf.DUMMYFUNCTION("IFERROR(lookup(9999999999,FILTER('Operações-BR'!Q:Q,'Operações-BR'!$C:$C=A1328,'Operações-BR'!$A:$A&lt;=C1328))/G1328,0)"),0.0)</f>
        <v>0</v>
      </c>
      <c r="J1328" s="185" t="str">
        <f>IFERROR(VLOOKUP(A1328,Ativos!$A$1:$G2000,5,),"")</f>
        <v/>
      </c>
      <c r="K1328" s="185" t="str">
        <f>IFERROR(VLOOKUP(A1328,Ativos!A:H,8,),"")</f>
        <v/>
      </c>
      <c r="L1328" s="186">
        <f t="shared" si="3"/>
        <v>0</v>
      </c>
    </row>
    <row r="1329" ht="21.0" customHeight="1">
      <c r="A1329" s="187"/>
      <c r="B1329" s="187"/>
      <c r="C1329" s="188"/>
      <c r="D1329" s="135"/>
      <c r="E1329" s="189"/>
      <c r="F1329" s="182" t="str">
        <f t="shared" si="1"/>
        <v/>
      </c>
      <c r="G1329" s="183">
        <f>IFERROR(__xludf.DUMMYFUNCTION("IFERROR(lookup(9999999999,FILTER('Operações-BR'!$M:$M,'Operações-BR'!$C:$C=A1329,'Operações-BR'!$A:$A&lt;=C1329)),0)"),0.0)</f>
        <v>0</v>
      </c>
      <c r="H1329" s="184">
        <f t="shared" si="2"/>
        <v>0</v>
      </c>
      <c r="I1329" s="184">
        <f>IFERROR(__xludf.DUMMYFUNCTION("IFERROR(lookup(9999999999,FILTER('Operações-BR'!Q:Q,'Operações-BR'!$C:$C=A1329,'Operações-BR'!$A:$A&lt;=C1329))/G1329,0)"),0.0)</f>
        <v>0</v>
      </c>
      <c r="J1329" s="185" t="str">
        <f>IFERROR(VLOOKUP(A1329,Ativos!$A$1:$G2000,5,),"")</f>
        <v/>
      </c>
      <c r="K1329" s="185" t="str">
        <f>IFERROR(VLOOKUP(A1329,Ativos!A:H,8,),"")</f>
        <v/>
      </c>
      <c r="L1329" s="186">
        <f t="shared" si="3"/>
        <v>0</v>
      </c>
    </row>
    <row r="1330" ht="21.0" customHeight="1">
      <c r="A1330" s="187"/>
      <c r="B1330" s="187"/>
      <c r="C1330" s="188"/>
      <c r="D1330" s="135"/>
      <c r="E1330" s="189"/>
      <c r="F1330" s="182" t="str">
        <f t="shared" si="1"/>
        <v/>
      </c>
      <c r="G1330" s="183">
        <f>IFERROR(__xludf.DUMMYFUNCTION("IFERROR(lookup(9999999999,FILTER('Operações-BR'!$M:$M,'Operações-BR'!$C:$C=A1330,'Operações-BR'!$A:$A&lt;=C1330)),0)"),0.0)</f>
        <v>0</v>
      </c>
      <c r="H1330" s="184">
        <f t="shared" si="2"/>
        <v>0</v>
      </c>
      <c r="I1330" s="184">
        <f>IFERROR(__xludf.DUMMYFUNCTION("IFERROR(lookup(9999999999,FILTER('Operações-BR'!Q:Q,'Operações-BR'!$C:$C=A1330,'Operações-BR'!$A:$A&lt;=C1330))/G1330,0)"),0.0)</f>
        <v>0</v>
      </c>
      <c r="J1330" s="185" t="str">
        <f>IFERROR(VLOOKUP(A1330,Ativos!$A$1:$G2000,5,),"")</f>
        <v/>
      </c>
      <c r="K1330" s="185" t="str">
        <f>IFERROR(VLOOKUP(A1330,Ativos!A:H,8,),"")</f>
        <v/>
      </c>
      <c r="L1330" s="186">
        <f t="shared" si="3"/>
        <v>0</v>
      </c>
    </row>
    <row r="1331" ht="21.0" customHeight="1">
      <c r="A1331" s="187"/>
      <c r="B1331" s="187"/>
      <c r="C1331" s="188"/>
      <c r="D1331" s="135"/>
      <c r="E1331" s="189"/>
      <c r="F1331" s="182" t="str">
        <f t="shared" si="1"/>
        <v/>
      </c>
      <c r="G1331" s="183">
        <f>IFERROR(__xludf.DUMMYFUNCTION("IFERROR(lookup(9999999999,FILTER('Operações-BR'!$M:$M,'Operações-BR'!$C:$C=A1331,'Operações-BR'!$A:$A&lt;=C1331)),0)"),0.0)</f>
        <v>0</v>
      </c>
      <c r="H1331" s="184">
        <f t="shared" si="2"/>
        <v>0</v>
      </c>
      <c r="I1331" s="184">
        <f>IFERROR(__xludf.DUMMYFUNCTION("IFERROR(lookup(9999999999,FILTER('Operações-BR'!Q:Q,'Operações-BR'!$C:$C=A1331,'Operações-BR'!$A:$A&lt;=C1331))/G1331,0)"),0.0)</f>
        <v>0</v>
      </c>
      <c r="J1331" s="185" t="str">
        <f>IFERROR(VLOOKUP(A1331,Ativos!$A$1:$G2000,5,),"")</f>
        <v/>
      </c>
      <c r="K1331" s="185" t="str">
        <f>IFERROR(VLOOKUP(A1331,Ativos!A:H,8,),"")</f>
        <v/>
      </c>
      <c r="L1331" s="186">
        <f t="shared" si="3"/>
        <v>0</v>
      </c>
    </row>
    <row r="1332" ht="21.0" customHeight="1">
      <c r="A1332" s="187"/>
      <c r="B1332" s="187"/>
      <c r="C1332" s="188"/>
      <c r="D1332" s="135"/>
      <c r="E1332" s="189"/>
      <c r="F1332" s="182" t="str">
        <f t="shared" si="1"/>
        <v/>
      </c>
      <c r="G1332" s="183">
        <f>IFERROR(__xludf.DUMMYFUNCTION("IFERROR(lookup(9999999999,FILTER('Operações-BR'!$M:$M,'Operações-BR'!$C:$C=A1332,'Operações-BR'!$A:$A&lt;=C1332)),0)"),0.0)</f>
        <v>0</v>
      </c>
      <c r="H1332" s="184">
        <f t="shared" si="2"/>
        <v>0</v>
      </c>
      <c r="I1332" s="184">
        <f>IFERROR(__xludf.DUMMYFUNCTION("IFERROR(lookup(9999999999,FILTER('Operações-BR'!Q:Q,'Operações-BR'!$C:$C=A1332,'Operações-BR'!$A:$A&lt;=C1332))/G1332,0)"),0.0)</f>
        <v>0</v>
      </c>
      <c r="J1332" s="185" t="str">
        <f>IFERROR(VLOOKUP(A1332,Ativos!$A$1:$G2000,5,),"")</f>
        <v/>
      </c>
      <c r="K1332" s="185" t="str">
        <f>IFERROR(VLOOKUP(A1332,Ativos!A:H,8,),"")</f>
        <v/>
      </c>
      <c r="L1332" s="186">
        <f t="shared" si="3"/>
        <v>0</v>
      </c>
    </row>
    <row r="1333" ht="21.0" customHeight="1">
      <c r="A1333" s="187"/>
      <c r="B1333" s="187"/>
      <c r="C1333" s="188"/>
      <c r="D1333" s="135"/>
      <c r="E1333" s="189"/>
      <c r="F1333" s="182" t="str">
        <f t="shared" si="1"/>
        <v/>
      </c>
      <c r="G1333" s="183">
        <f>IFERROR(__xludf.DUMMYFUNCTION("IFERROR(lookup(9999999999,FILTER('Operações-BR'!$M:$M,'Operações-BR'!$C:$C=A1333,'Operações-BR'!$A:$A&lt;=C1333)),0)"),0.0)</f>
        <v>0</v>
      </c>
      <c r="H1333" s="184">
        <f t="shared" si="2"/>
        <v>0</v>
      </c>
      <c r="I1333" s="184">
        <f>IFERROR(__xludf.DUMMYFUNCTION("IFERROR(lookup(9999999999,FILTER('Operações-BR'!Q:Q,'Operações-BR'!$C:$C=A1333,'Operações-BR'!$A:$A&lt;=C1333))/G1333,0)"),0.0)</f>
        <v>0</v>
      </c>
      <c r="J1333" s="185" t="str">
        <f>IFERROR(VLOOKUP(A1333,Ativos!$A$1:$G2000,5,),"")</f>
        <v/>
      </c>
      <c r="K1333" s="185" t="str">
        <f>IFERROR(VLOOKUP(A1333,Ativos!A:H,8,),"")</f>
        <v/>
      </c>
      <c r="L1333" s="186">
        <f t="shared" si="3"/>
        <v>0</v>
      </c>
    </row>
    <row r="1334" ht="21.0" customHeight="1">
      <c r="A1334" s="187"/>
      <c r="B1334" s="187"/>
      <c r="C1334" s="188"/>
      <c r="D1334" s="135"/>
      <c r="E1334" s="189"/>
      <c r="F1334" s="182" t="str">
        <f t="shared" si="1"/>
        <v/>
      </c>
      <c r="G1334" s="183">
        <f>IFERROR(__xludf.DUMMYFUNCTION("IFERROR(lookup(9999999999,FILTER('Operações-BR'!$M:$M,'Operações-BR'!$C:$C=A1334,'Operações-BR'!$A:$A&lt;=C1334)),0)"),0.0)</f>
        <v>0</v>
      </c>
      <c r="H1334" s="184">
        <f t="shared" si="2"/>
        <v>0</v>
      </c>
      <c r="I1334" s="184">
        <f>IFERROR(__xludf.DUMMYFUNCTION("IFERROR(lookup(9999999999,FILTER('Operações-BR'!Q:Q,'Operações-BR'!$C:$C=A1334,'Operações-BR'!$A:$A&lt;=C1334))/G1334,0)"),0.0)</f>
        <v>0</v>
      </c>
      <c r="J1334" s="185" t="str">
        <f>IFERROR(VLOOKUP(A1334,Ativos!$A$1:$G2000,5,),"")</f>
        <v/>
      </c>
      <c r="K1334" s="185" t="str">
        <f>IFERROR(VLOOKUP(A1334,Ativos!A:H,8,),"")</f>
        <v/>
      </c>
      <c r="L1334" s="186">
        <f t="shared" si="3"/>
        <v>0</v>
      </c>
    </row>
    <row r="1335" ht="21.0" customHeight="1">
      <c r="A1335" s="187"/>
      <c r="B1335" s="187"/>
      <c r="C1335" s="188"/>
      <c r="D1335" s="135"/>
      <c r="E1335" s="189"/>
      <c r="F1335" s="182" t="str">
        <f t="shared" si="1"/>
        <v/>
      </c>
      <c r="G1335" s="183">
        <f>IFERROR(__xludf.DUMMYFUNCTION("IFERROR(lookup(9999999999,FILTER('Operações-BR'!$M:$M,'Operações-BR'!$C:$C=A1335,'Operações-BR'!$A:$A&lt;=C1335)),0)"),0.0)</f>
        <v>0</v>
      </c>
      <c r="H1335" s="184">
        <f t="shared" si="2"/>
        <v>0</v>
      </c>
      <c r="I1335" s="184">
        <f>IFERROR(__xludf.DUMMYFUNCTION("IFERROR(lookup(9999999999,FILTER('Operações-BR'!Q:Q,'Operações-BR'!$C:$C=A1335,'Operações-BR'!$A:$A&lt;=C1335))/G1335,0)"),0.0)</f>
        <v>0</v>
      </c>
      <c r="J1335" s="185" t="str">
        <f>IFERROR(VLOOKUP(A1335,Ativos!$A$1:$G2000,5,),"")</f>
        <v/>
      </c>
      <c r="K1335" s="185" t="str">
        <f>IFERROR(VLOOKUP(A1335,Ativos!A:H,8,),"")</f>
        <v/>
      </c>
      <c r="L1335" s="186">
        <f t="shared" si="3"/>
        <v>0</v>
      </c>
    </row>
    <row r="1336" ht="21.0" customHeight="1">
      <c r="A1336" s="187"/>
      <c r="B1336" s="187"/>
      <c r="C1336" s="188"/>
      <c r="D1336" s="135"/>
      <c r="E1336" s="189"/>
      <c r="F1336" s="182" t="str">
        <f t="shared" si="1"/>
        <v/>
      </c>
      <c r="G1336" s="183">
        <f>IFERROR(__xludf.DUMMYFUNCTION("IFERROR(lookup(9999999999,FILTER('Operações-BR'!$M:$M,'Operações-BR'!$C:$C=A1336,'Operações-BR'!$A:$A&lt;=C1336)),0)"),0.0)</f>
        <v>0</v>
      </c>
      <c r="H1336" s="184">
        <f t="shared" si="2"/>
        <v>0</v>
      </c>
      <c r="I1336" s="184">
        <f>IFERROR(__xludf.DUMMYFUNCTION("IFERROR(lookup(9999999999,FILTER('Operações-BR'!Q:Q,'Operações-BR'!$C:$C=A1336,'Operações-BR'!$A:$A&lt;=C1336))/G1336,0)"),0.0)</f>
        <v>0</v>
      </c>
      <c r="J1336" s="185" t="str">
        <f>IFERROR(VLOOKUP(A1336,Ativos!$A$1:$G2000,5,),"")</f>
        <v/>
      </c>
      <c r="K1336" s="185" t="str">
        <f>IFERROR(VLOOKUP(A1336,Ativos!A:H,8,),"")</f>
        <v/>
      </c>
      <c r="L1336" s="186">
        <f t="shared" si="3"/>
        <v>0</v>
      </c>
    </row>
    <row r="1337" ht="21.0" customHeight="1">
      <c r="A1337" s="187"/>
      <c r="B1337" s="187"/>
      <c r="C1337" s="188"/>
      <c r="D1337" s="135"/>
      <c r="E1337" s="189"/>
      <c r="F1337" s="182" t="str">
        <f t="shared" si="1"/>
        <v/>
      </c>
      <c r="G1337" s="183">
        <f>IFERROR(__xludf.DUMMYFUNCTION("IFERROR(lookup(9999999999,FILTER('Operações-BR'!$M:$M,'Operações-BR'!$C:$C=A1337,'Operações-BR'!$A:$A&lt;=C1337)),0)"),0.0)</f>
        <v>0</v>
      </c>
      <c r="H1337" s="184">
        <f t="shared" si="2"/>
        <v>0</v>
      </c>
      <c r="I1337" s="184">
        <f>IFERROR(__xludf.DUMMYFUNCTION("IFERROR(lookup(9999999999,FILTER('Operações-BR'!Q:Q,'Operações-BR'!$C:$C=A1337,'Operações-BR'!$A:$A&lt;=C1337))/G1337,0)"),0.0)</f>
        <v>0</v>
      </c>
      <c r="J1337" s="185" t="str">
        <f>IFERROR(VLOOKUP(A1337,Ativos!$A$1:$G2000,5,),"")</f>
        <v/>
      </c>
      <c r="K1337" s="185" t="str">
        <f>IFERROR(VLOOKUP(A1337,Ativos!A:H,8,),"")</f>
        <v/>
      </c>
      <c r="L1337" s="186">
        <f t="shared" si="3"/>
        <v>0</v>
      </c>
    </row>
    <row r="1338" ht="21.0" customHeight="1">
      <c r="A1338" s="187"/>
      <c r="B1338" s="187"/>
      <c r="C1338" s="188"/>
      <c r="D1338" s="135"/>
      <c r="E1338" s="189"/>
      <c r="F1338" s="182" t="str">
        <f t="shared" si="1"/>
        <v/>
      </c>
      <c r="G1338" s="183">
        <f>IFERROR(__xludf.DUMMYFUNCTION("IFERROR(lookup(9999999999,FILTER('Operações-BR'!$M:$M,'Operações-BR'!$C:$C=A1338,'Operações-BR'!$A:$A&lt;=C1338)),0)"),0.0)</f>
        <v>0</v>
      </c>
      <c r="H1338" s="184">
        <f t="shared" si="2"/>
        <v>0</v>
      </c>
      <c r="I1338" s="184">
        <f>IFERROR(__xludf.DUMMYFUNCTION("IFERROR(lookup(9999999999,FILTER('Operações-BR'!Q:Q,'Operações-BR'!$C:$C=A1338,'Operações-BR'!$A:$A&lt;=C1338))/G1338,0)"),0.0)</f>
        <v>0</v>
      </c>
      <c r="J1338" s="185" t="str">
        <f>IFERROR(VLOOKUP(A1338,Ativos!$A$1:$G2000,5,),"")</f>
        <v/>
      </c>
      <c r="K1338" s="185" t="str">
        <f>IFERROR(VLOOKUP(A1338,Ativos!A:H,8,),"")</f>
        <v/>
      </c>
      <c r="L1338" s="186">
        <f t="shared" si="3"/>
        <v>0</v>
      </c>
    </row>
    <row r="1339" ht="21.0" customHeight="1">
      <c r="A1339" s="187"/>
      <c r="B1339" s="187"/>
      <c r="C1339" s="188"/>
      <c r="D1339" s="135"/>
      <c r="E1339" s="189"/>
      <c r="F1339" s="182" t="str">
        <f t="shared" si="1"/>
        <v/>
      </c>
      <c r="G1339" s="183">
        <f>IFERROR(__xludf.DUMMYFUNCTION("IFERROR(lookup(9999999999,FILTER('Operações-BR'!$M:$M,'Operações-BR'!$C:$C=A1339,'Operações-BR'!$A:$A&lt;=C1339)),0)"),0.0)</f>
        <v>0</v>
      </c>
      <c r="H1339" s="184">
        <f t="shared" si="2"/>
        <v>0</v>
      </c>
      <c r="I1339" s="184">
        <f>IFERROR(__xludf.DUMMYFUNCTION("IFERROR(lookup(9999999999,FILTER('Operações-BR'!Q:Q,'Operações-BR'!$C:$C=A1339,'Operações-BR'!$A:$A&lt;=C1339))/G1339,0)"),0.0)</f>
        <v>0</v>
      </c>
      <c r="J1339" s="185" t="str">
        <f>IFERROR(VLOOKUP(A1339,Ativos!$A$1:$G2000,5,),"")</f>
        <v/>
      </c>
      <c r="K1339" s="185" t="str">
        <f>IFERROR(VLOOKUP(A1339,Ativos!A:H,8,),"")</f>
        <v/>
      </c>
      <c r="L1339" s="186">
        <f t="shared" si="3"/>
        <v>0</v>
      </c>
    </row>
    <row r="1340" ht="21.0" customHeight="1">
      <c r="A1340" s="187"/>
      <c r="B1340" s="187"/>
      <c r="C1340" s="188"/>
      <c r="D1340" s="135"/>
      <c r="E1340" s="189"/>
      <c r="F1340" s="182" t="str">
        <f t="shared" si="1"/>
        <v/>
      </c>
      <c r="G1340" s="183">
        <f>IFERROR(__xludf.DUMMYFUNCTION("IFERROR(lookup(9999999999,FILTER('Operações-BR'!$M:$M,'Operações-BR'!$C:$C=A1340,'Operações-BR'!$A:$A&lt;=C1340)),0)"),0.0)</f>
        <v>0</v>
      </c>
      <c r="H1340" s="184">
        <f t="shared" si="2"/>
        <v>0</v>
      </c>
      <c r="I1340" s="184">
        <f>IFERROR(__xludf.DUMMYFUNCTION("IFERROR(lookup(9999999999,FILTER('Operações-BR'!Q:Q,'Operações-BR'!$C:$C=A1340,'Operações-BR'!$A:$A&lt;=C1340))/G1340,0)"),0.0)</f>
        <v>0</v>
      </c>
      <c r="J1340" s="185" t="str">
        <f>IFERROR(VLOOKUP(A1340,Ativos!$A$1:$G2000,5,),"")</f>
        <v/>
      </c>
      <c r="K1340" s="185" t="str">
        <f>IFERROR(VLOOKUP(A1340,Ativos!A:H,8,),"")</f>
        <v/>
      </c>
      <c r="L1340" s="186">
        <f t="shared" si="3"/>
        <v>0</v>
      </c>
    </row>
    <row r="1341" ht="21.0" customHeight="1">
      <c r="A1341" s="187"/>
      <c r="B1341" s="187"/>
      <c r="C1341" s="188"/>
      <c r="D1341" s="135"/>
      <c r="E1341" s="189"/>
      <c r="F1341" s="182" t="str">
        <f t="shared" si="1"/>
        <v/>
      </c>
      <c r="G1341" s="183">
        <f>IFERROR(__xludf.DUMMYFUNCTION("IFERROR(lookup(9999999999,FILTER('Operações-BR'!$M:$M,'Operações-BR'!$C:$C=A1341,'Operações-BR'!$A:$A&lt;=C1341)),0)"),0.0)</f>
        <v>0</v>
      </c>
      <c r="H1341" s="184">
        <f t="shared" si="2"/>
        <v>0</v>
      </c>
      <c r="I1341" s="184">
        <f>IFERROR(__xludf.DUMMYFUNCTION("IFERROR(lookup(9999999999,FILTER('Operações-BR'!Q:Q,'Operações-BR'!$C:$C=A1341,'Operações-BR'!$A:$A&lt;=C1341))/G1341,0)"),0.0)</f>
        <v>0</v>
      </c>
      <c r="J1341" s="185" t="str">
        <f>IFERROR(VLOOKUP(A1341,Ativos!$A$1:$G2000,5,),"")</f>
        <v/>
      </c>
      <c r="K1341" s="185" t="str">
        <f>IFERROR(VLOOKUP(A1341,Ativos!A:H,8,),"")</f>
        <v/>
      </c>
      <c r="L1341" s="186">
        <f t="shared" si="3"/>
        <v>0</v>
      </c>
    </row>
    <row r="1342" ht="21.0" customHeight="1">
      <c r="A1342" s="187"/>
      <c r="B1342" s="187"/>
      <c r="C1342" s="188"/>
      <c r="D1342" s="135"/>
      <c r="E1342" s="189"/>
      <c r="F1342" s="182" t="str">
        <f t="shared" si="1"/>
        <v/>
      </c>
      <c r="G1342" s="183">
        <f>IFERROR(__xludf.DUMMYFUNCTION("IFERROR(lookup(9999999999,FILTER('Operações-BR'!$M:$M,'Operações-BR'!$C:$C=A1342,'Operações-BR'!$A:$A&lt;=C1342)),0)"),0.0)</f>
        <v>0</v>
      </c>
      <c r="H1342" s="184">
        <f t="shared" si="2"/>
        <v>0</v>
      </c>
      <c r="I1342" s="184">
        <f>IFERROR(__xludf.DUMMYFUNCTION("IFERROR(lookup(9999999999,FILTER('Operações-BR'!Q:Q,'Operações-BR'!$C:$C=A1342,'Operações-BR'!$A:$A&lt;=C1342))/G1342,0)"),0.0)</f>
        <v>0</v>
      </c>
      <c r="J1342" s="185" t="str">
        <f>IFERROR(VLOOKUP(A1342,Ativos!$A$1:$G2000,5,),"")</f>
        <v/>
      </c>
      <c r="K1342" s="185" t="str">
        <f>IFERROR(VLOOKUP(A1342,Ativos!A:H,8,),"")</f>
        <v/>
      </c>
      <c r="L1342" s="186">
        <f t="shared" si="3"/>
        <v>0</v>
      </c>
    </row>
    <row r="1343" ht="21.0" customHeight="1">
      <c r="A1343" s="187"/>
      <c r="B1343" s="187"/>
      <c r="C1343" s="188"/>
      <c r="D1343" s="135"/>
      <c r="E1343" s="189"/>
      <c r="F1343" s="182" t="str">
        <f t="shared" si="1"/>
        <v/>
      </c>
      <c r="G1343" s="183">
        <f>IFERROR(__xludf.DUMMYFUNCTION("IFERROR(lookup(9999999999,FILTER('Operações-BR'!$M:$M,'Operações-BR'!$C:$C=A1343,'Operações-BR'!$A:$A&lt;=C1343)),0)"),0.0)</f>
        <v>0</v>
      </c>
      <c r="H1343" s="184">
        <f t="shared" si="2"/>
        <v>0</v>
      </c>
      <c r="I1343" s="184">
        <f>IFERROR(__xludf.DUMMYFUNCTION("IFERROR(lookup(9999999999,FILTER('Operações-BR'!Q:Q,'Operações-BR'!$C:$C=A1343,'Operações-BR'!$A:$A&lt;=C1343))/G1343,0)"),0.0)</f>
        <v>0</v>
      </c>
      <c r="J1343" s="185" t="str">
        <f>IFERROR(VLOOKUP(A1343,Ativos!$A$1:$G2000,5,),"")</f>
        <v/>
      </c>
      <c r="K1343" s="185" t="str">
        <f>IFERROR(VLOOKUP(A1343,Ativos!A:H,8,),"")</f>
        <v/>
      </c>
      <c r="L1343" s="186">
        <f t="shared" si="3"/>
        <v>0</v>
      </c>
    </row>
    <row r="1344" ht="21.0" customHeight="1">
      <c r="A1344" s="187"/>
      <c r="B1344" s="187"/>
      <c r="C1344" s="188"/>
      <c r="D1344" s="135"/>
      <c r="E1344" s="189"/>
      <c r="F1344" s="182" t="str">
        <f t="shared" si="1"/>
        <v/>
      </c>
      <c r="G1344" s="183">
        <f>IFERROR(__xludf.DUMMYFUNCTION("IFERROR(lookup(9999999999,FILTER('Operações-BR'!$M:$M,'Operações-BR'!$C:$C=A1344,'Operações-BR'!$A:$A&lt;=C1344)),0)"),0.0)</f>
        <v>0</v>
      </c>
      <c r="H1344" s="184">
        <f t="shared" si="2"/>
        <v>0</v>
      </c>
      <c r="I1344" s="184">
        <f>IFERROR(__xludf.DUMMYFUNCTION("IFERROR(lookup(9999999999,FILTER('Operações-BR'!Q:Q,'Operações-BR'!$C:$C=A1344,'Operações-BR'!$A:$A&lt;=C1344))/G1344,0)"),0.0)</f>
        <v>0</v>
      </c>
      <c r="J1344" s="185" t="str">
        <f>IFERROR(VLOOKUP(A1344,Ativos!$A$1:$G2000,5,),"")</f>
        <v/>
      </c>
      <c r="K1344" s="185" t="str">
        <f>IFERROR(VLOOKUP(A1344,Ativos!A:H,8,),"")</f>
        <v/>
      </c>
      <c r="L1344" s="186">
        <f t="shared" si="3"/>
        <v>0</v>
      </c>
    </row>
    <row r="1345" ht="21.0" customHeight="1">
      <c r="A1345" s="187"/>
      <c r="B1345" s="187"/>
      <c r="C1345" s="188"/>
      <c r="D1345" s="135"/>
      <c r="E1345" s="189"/>
      <c r="F1345" s="182" t="str">
        <f t="shared" si="1"/>
        <v/>
      </c>
      <c r="G1345" s="183">
        <f>IFERROR(__xludf.DUMMYFUNCTION("IFERROR(lookup(9999999999,FILTER('Operações-BR'!$M:$M,'Operações-BR'!$C:$C=A1345,'Operações-BR'!$A:$A&lt;=C1345)),0)"),0.0)</f>
        <v>0</v>
      </c>
      <c r="H1345" s="184">
        <f t="shared" si="2"/>
        <v>0</v>
      </c>
      <c r="I1345" s="184">
        <f>IFERROR(__xludf.DUMMYFUNCTION("IFERROR(lookup(9999999999,FILTER('Operações-BR'!Q:Q,'Operações-BR'!$C:$C=A1345,'Operações-BR'!$A:$A&lt;=C1345))/G1345,0)"),0.0)</f>
        <v>0</v>
      </c>
      <c r="J1345" s="185" t="str">
        <f>IFERROR(VLOOKUP(A1345,Ativos!$A$1:$G2000,5,),"")</f>
        <v/>
      </c>
      <c r="K1345" s="185" t="str">
        <f>IFERROR(VLOOKUP(A1345,Ativos!A:H,8,),"")</f>
        <v/>
      </c>
      <c r="L1345" s="186">
        <f t="shared" si="3"/>
        <v>0</v>
      </c>
    </row>
    <row r="1346" ht="21.0" customHeight="1">
      <c r="A1346" s="187"/>
      <c r="B1346" s="187"/>
      <c r="C1346" s="188"/>
      <c r="D1346" s="135"/>
      <c r="E1346" s="189"/>
      <c r="F1346" s="182" t="str">
        <f t="shared" si="1"/>
        <v/>
      </c>
      <c r="G1346" s="183">
        <f>IFERROR(__xludf.DUMMYFUNCTION("IFERROR(lookup(9999999999,FILTER('Operações-BR'!$M:$M,'Operações-BR'!$C:$C=A1346,'Operações-BR'!$A:$A&lt;=C1346)),0)"),0.0)</f>
        <v>0</v>
      </c>
      <c r="H1346" s="184">
        <f t="shared" si="2"/>
        <v>0</v>
      </c>
      <c r="I1346" s="184">
        <f>IFERROR(__xludf.DUMMYFUNCTION("IFERROR(lookup(9999999999,FILTER('Operações-BR'!Q:Q,'Operações-BR'!$C:$C=A1346,'Operações-BR'!$A:$A&lt;=C1346))/G1346,0)"),0.0)</f>
        <v>0</v>
      </c>
      <c r="J1346" s="185" t="str">
        <f>IFERROR(VLOOKUP(A1346,Ativos!$A$1:$G2000,5,),"")</f>
        <v/>
      </c>
      <c r="K1346" s="185" t="str">
        <f>IFERROR(VLOOKUP(A1346,Ativos!A:H,8,),"")</f>
        <v/>
      </c>
      <c r="L1346" s="186">
        <f t="shared" si="3"/>
        <v>0</v>
      </c>
    </row>
    <row r="1347" ht="21.0" customHeight="1">
      <c r="A1347" s="187"/>
      <c r="B1347" s="187"/>
      <c r="C1347" s="188"/>
      <c r="D1347" s="135"/>
      <c r="E1347" s="189"/>
      <c r="F1347" s="182" t="str">
        <f t="shared" si="1"/>
        <v/>
      </c>
      <c r="G1347" s="183">
        <f>IFERROR(__xludf.DUMMYFUNCTION("IFERROR(lookup(9999999999,FILTER('Operações-BR'!$M:$M,'Operações-BR'!$C:$C=A1347,'Operações-BR'!$A:$A&lt;=C1347)),0)"),0.0)</f>
        <v>0</v>
      </c>
      <c r="H1347" s="184">
        <f t="shared" si="2"/>
        <v>0</v>
      </c>
      <c r="I1347" s="184">
        <f>IFERROR(__xludf.DUMMYFUNCTION("IFERROR(lookup(9999999999,FILTER('Operações-BR'!Q:Q,'Operações-BR'!$C:$C=A1347,'Operações-BR'!$A:$A&lt;=C1347))/G1347,0)"),0.0)</f>
        <v>0</v>
      </c>
      <c r="J1347" s="185" t="str">
        <f>IFERROR(VLOOKUP(A1347,Ativos!$A$1:$G2000,5,),"")</f>
        <v/>
      </c>
      <c r="K1347" s="185" t="str">
        <f>IFERROR(VLOOKUP(A1347,Ativos!A:H,8,),"")</f>
        <v/>
      </c>
      <c r="L1347" s="186">
        <f t="shared" si="3"/>
        <v>0</v>
      </c>
    </row>
    <row r="1348" ht="21.0" customHeight="1">
      <c r="A1348" s="187"/>
      <c r="B1348" s="187"/>
      <c r="C1348" s="188"/>
      <c r="D1348" s="135"/>
      <c r="E1348" s="189"/>
      <c r="F1348" s="182" t="str">
        <f t="shared" si="1"/>
        <v/>
      </c>
      <c r="G1348" s="183">
        <f>IFERROR(__xludf.DUMMYFUNCTION("IFERROR(lookup(9999999999,FILTER('Operações-BR'!$M:$M,'Operações-BR'!$C:$C=A1348,'Operações-BR'!$A:$A&lt;=C1348)),0)"),0.0)</f>
        <v>0</v>
      </c>
      <c r="H1348" s="184">
        <f t="shared" si="2"/>
        <v>0</v>
      </c>
      <c r="I1348" s="184">
        <f>IFERROR(__xludf.DUMMYFUNCTION("IFERROR(lookup(9999999999,FILTER('Operações-BR'!Q:Q,'Operações-BR'!$C:$C=A1348,'Operações-BR'!$A:$A&lt;=C1348))/G1348,0)"),0.0)</f>
        <v>0</v>
      </c>
      <c r="J1348" s="185" t="str">
        <f>IFERROR(VLOOKUP(A1348,Ativos!$A$1:$G2000,5,),"")</f>
        <v/>
      </c>
      <c r="K1348" s="185" t="str">
        <f>IFERROR(VLOOKUP(A1348,Ativos!A:H,8,),"")</f>
        <v/>
      </c>
      <c r="L1348" s="186">
        <f t="shared" si="3"/>
        <v>0</v>
      </c>
    </row>
    <row r="1349" ht="21.0" customHeight="1">
      <c r="A1349" s="187"/>
      <c r="B1349" s="187"/>
      <c r="C1349" s="188"/>
      <c r="D1349" s="135"/>
      <c r="E1349" s="189"/>
      <c r="F1349" s="182" t="str">
        <f t="shared" si="1"/>
        <v/>
      </c>
      <c r="G1349" s="183">
        <f>IFERROR(__xludf.DUMMYFUNCTION("IFERROR(lookup(9999999999,FILTER('Operações-BR'!$M:$M,'Operações-BR'!$C:$C=A1349,'Operações-BR'!$A:$A&lt;=C1349)),0)"),0.0)</f>
        <v>0</v>
      </c>
      <c r="H1349" s="184">
        <f t="shared" si="2"/>
        <v>0</v>
      </c>
      <c r="I1349" s="184">
        <f>IFERROR(__xludf.DUMMYFUNCTION("IFERROR(lookup(9999999999,FILTER('Operações-BR'!Q:Q,'Operações-BR'!$C:$C=A1349,'Operações-BR'!$A:$A&lt;=C1349))/G1349,0)"),0.0)</f>
        <v>0</v>
      </c>
      <c r="J1349" s="185" t="str">
        <f>IFERROR(VLOOKUP(A1349,Ativos!$A$1:$G2000,5,),"")</f>
        <v/>
      </c>
      <c r="K1349" s="185" t="str">
        <f>IFERROR(VLOOKUP(A1349,Ativos!A:H,8,),"")</f>
        <v/>
      </c>
      <c r="L1349" s="186">
        <f t="shared" si="3"/>
        <v>0</v>
      </c>
    </row>
    <row r="1350" ht="21.0" customHeight="1">
      <c r="A1350" s="187"/>
      <c r="B1350" s="187"/>
      <c r="C1350" s="188"/>
      <c r="D1350" s="135"/>
      <c r="E1350" s="189"/>
      <c r="F1350" s="182" t="str">
        <f t="shared" si="1"/>
        <v/>
      </c>
      <c r="G1350" s="183">
        <f>IFERROR(__xludf.DUMMYFUNCTION("IFERROR(lookup(9999999999,FILTER('Operações-BR'!$M:$M,'Operações-BR'!$C:$C=A1350,'Operações-BR'!$A:$A&lt;=C1350)),0)"),0.0)</f>
        <v>0</v>
      </c>
      <c r="H1350" s="184">
        <f t="shared" si="2"/>
        <v>0</v>
      </c>
      <c r="I1350" s="184">
        <f>IFERROR(__xludf.DUMMYFUNCTION("IFERROR(lookup(9999999999,FILTER('Operações-BR'!Q:Q,'Operações-BR'!$C:$C=A1350,'Operações-BR'!$A:$A&lt;=C1350))/G1350,0)"),0.0)</f>
        <v>0</v>
      </c>
      <c r="J1350" s="185" t="str">
        <f>IFERROR(VLOOKUP(A1350,Ativos!$A$1:$G2000,5,),"")</f>
        <v/>
      </c>
      <c r="K1350" s="185" t="str">
        <f>IFERROR(VLOOKUP(A1350,Ativos!A:H,8,),"")</f>
        <v/>
      </c>
      <c r="L1350" s="186">
        <f t="shared" si="3"/>
        <v>0</v>
      </c>
    </row>
    <row r="1351" ht="21.0" customHeight="1">
      <c r="A1351" s="187"/>
      <c r="B1351" s="187"/>
      <c r="C1351" s="188"/>
      <c r="D1351" s="135"/>
      <c r="E1351" s="189"/>
      <c r="F1351" s="182" t="str">
        <f t="shared" si="1"/>
        <v/>
      </c>
      <c r="G1351" s="183">
        <f>IFERROR(__xludf.DUMMYFUNCTION("IFERROR(lookup(9999999999,FILTER('Operações-BR'!$M:$M,'Operações-BR'!$C:$C=A1351,'Operações-BR'!$A:$A&lt;=C1351)),0)"),0.0)</f>
        <v>0</v>
      </c>
      <c r="H1351" s="184">
        <f t="shared" si="2"/>
        <v>0</v>
      </c>
      <c r="I1351" s="184">
        <f>IFERROR(__xludf.DUMMYFUNCTION("IFERROR(lookup(9999999999,FILTER('Operações-BR'!Q:Q,'Operações-BR'!$C:$C=A1351,'Operações-BR'!$A:$A&lt;=C1351))/G1351,0)"),0.0)</f>
        <v>0</v>
      </c>
      <c r="J1351" s="185" t="str">
        <f>IFERROR(VLOOKUP(A1351,Ativos!$A$1:$G2000,5,),"")</f>
        <v/>
      </c>
      <c r="K1351" s="185" t="str">
        <f>IFERROR(VLOOKUP(A1351,Ativos!A:H,8,),"")</f>
        <v/>
      </c>
      <c r="L1351" s="186">
        <f t="shared" si="3"/>
        <v>0</v>
      </c>
    </row>
    <row r="1352" ht="21.0" customHeight="1">
      <c r="A1352" s="187"/>
      <c r="B1352" s="187"/>
      <c r="C1352" s="188"/>
      <c r="D1352" s="135"/>
      <c r="E1352" s="189"/>
      <c r="F1352" s="182" t="str">
        <f t="shared" si="1"/>
        <v/>
      </c>
      <c r="G1352" s="183">
        <f>IFERROR(__xludf.DUMMYFUNCTION("IFERROR(lookup(9999999999,FILTER('Operações-BR'!$M:$M,'Operações-BR'!$C:$C=A1352,'Operações-BR'!$A:$A&lt;=C1352)),0)"),0.0)</f>
        <v>0</v>
      </c>
      <c r="H1352" s="184">
        <f t="shared" si="2"/>
        <v>0</v>
      </c>
      <c r="I1352" s="184">
        <f>IFERROR(__xludf.DUMMYFUNCTION("IFERROR(lookup(9999999999,FILTER('Operações-BR'!Q:Q,'Operações-BR'!$C:$C=A1352,'Operações-BR'!$A:$A&lt;=C1352))/G1352,0)"),0.0)</f>
        <v>0</v>
      </c>
      <c r="J1352" s="185" t="str">
        <f>IFERROR(VLOOKUP(A1352,Ativos!$A$1:$G2000,5,),"")</f>
        <v/>
      </c>
      <c r="K1352" s="185" t="str">
        <f>IFERROR(VLOOKUP(A1352,Ativos!A:H,8,),"")</f>
        <v/>
      </c>
      <c r="L1352" s="186">
        <f t="shared" si="3"/>
        <v>0</v>
      </c>
    </row>
    <row r="1353" ht="21.0" customHeight="1">
      <c r="A1353" s="187"/>
      <c r="B1353" s="187"/>
      <c r="C1353" s="188"/>
      <c r="D1353" s="135"/>
      <c r="E1353" s="189"/>
      <c r="F1353" s="182" t="str">
        <f t="shared" si="1"/>
        <v/>
      </c>
      <c r="G1353" s="183">
        <f>IFERROR(__xludf.DUMMYFUNCTION("IFERROR(lookup(9999999999,FILTER('Operações-BR'!$M:$M,'Operações-BR'!$C:$C=A1353,'Operações-BR'!$A:$A&lt;=C1353)),0)"),0.0)</f>
        <v>0</v>
      </c>
      <c r="H1353" s="184">
        <f t="shared" si="2"/>
        <v>0</v>
      </c>
      <c r="I1353" s="184">
        <f>IFERROR(__xludf.DUMMYFUNCTION("IFERROR(lookup(9999999999,FILTER('Operações-BR'!Q:Q,'Operações-BR'!$C:$C=A1353,'Operações-BR'!$A:$A&lt;=C1353))/G1353,0)"),0.0)</f>
        <v>0</v>
      </c>
      <c r="J1353" s="185" t="str">
        <f>IFERROR(VLOOKUP(A1353,Ativos!$A$1:$G2000,5,),"")</f>
        <v/>
      </c>
      <c r="K1353" s="185" t="str">
        <f>IFERROR(VLOOKUP(A1353,Ativos!A:H,8,),"")</f>
        <v/>
      </c>
      <c r="L1353" s="186">
        <f t="shared" si="3"/>
        <v>0</v>
      </c>
    </row>
    <row r="1354" ht="21.0" customHeight="1">
      <c r="A1354" s="187"/>
      <c r="B1354" s="187"/>
      <c r="C1354" s="188"/>
      <c r="D1354" s="135"/>
      <c r="E1354" s="189"/>
      <c r="F1354" s="182" t="str">
        <f t="shared" si="1"/>
        <v/>
      </c>
      <c r="G1354" s="183">
        <f>IFERROR(__xludf.DUMMYFUNCTION("IFERROR(lookup(9999999999,FILTER('Operações-BR'!$M:$M,'Operações-BR'!$C:$C=A1354,'Operações-BR'!$A:$A&lt;=C1354)),0)"),0.0)</f>
        <v>0</v>
      </c>
      <c r="H1354" s="184">
        <f t="shared" si="2"/>
        <v>0</v>
      </c>
      <c r="I1354" s="184">
        <f>IFERROR(__xludf.DUMMYFUNCTION("IFERROR(lookup(9999999999,FILTER('Operações-BR'!Q:Q,'Operações-BR'!$C:$C=A1354,'Operações-BR'!$A:$A&lt;=C1354))/G1354,0)"),0.0)</f>
        <v>0</v>
      </c>
      <c r="J1354" s="185" t="str">
        <f>IFERROR(VLOOKUP(A1354,Ativos!$A$1:$G2000,5,),"")</f>
        <v/>
      </c>
      <c r="K1354" s="185" t="str">
        <f>IFERROR(VLOOKUP(A1354,Ativos!A:H,8,),"")</f>
        <v/>
      </c>
      <c r="L1354" s="186">
        <f t="shared" si="3"/>
        <v>0</v>
      </c>
    </row>
    <row r="1355" ht="21.0" customHeight="1">
      <c r="A1355" s="187"/>
      <c r="B1355" s="187"/>
      <c r="C1355" s="188"/>
      <c r="D1355" s="135"/>
      <c r="E1355" s="189"/>
      <c r="F1355" s="182" t="str">
        <f t="shared" si="1"/>
        <v/>
      </c>
      <c r="G1355" s="183">
        <f>IFERROR(__xludf.DUMMYFUNCTION("IFERROR(lookup(9999999999,FILTER('Operações-BR'!$M:$M,'Operações-BR'!$C:$C=A1355,'Operações-BR'!$A:$A&lt;=C1355)),0)"),0.0)</f>
        <v>0</v>
      </c>
      <c r="H1355" s="184">
        <f t="shared" si="2"/>
        <v>0</v>
      </c>
      <c r="I1355" s="184">
        <f>IFERROR(__xludf.DUMMYFUNCTION("IFERROR(lookup(9999999999,FILTER('Operações-BR'!Q:Q,'Operações-BR'!$C:$C=A1355,'Operações-BR'!$A:$A&lt;=C1355))/G1355,0)"),0.0)</f>
        <v>0</v>
      </c>
      <c r="J1355" s="185" t="str">
        <f>IFERROR(VLOOKUP(A1355,Ativos!$A$1:$G2000,5,),"")</f>
        <v/>
      </c>
      <c r="K1355" s="185" t="str">
        <f>IFERROR(VLOOKUP(A1355,Ativos!A:H,8,),"")</f>
        <v/>
      </c>
      <c r="L1355" s="186">
        <f t="shared" si="3"/>
        <v>0</v>
      </c>
    </row>
    <row r="1356" ht="21.0" customHeight="1">
      <c r="A1356" s="187"/>
      <c r="B1356" s="187"/>
      <c r="C1356" s="188"/>
      <c r="D1356" s="135"/>
      <c r="E1356" s="189"/>
      <c r="F1356" s="182" t="str">
        <f t="shared" si="1"/>
        <v/>
      </c>
      <c r="G1356" s="183">
        <f>IFERROR(__xludf.DUMMYFUNCTION("IFERROR(lookup(9999999999,FILTER('Operações-BR'!$M:$M,'Operações-BR'!$C:$C=A1356,'Operações-BR'!$A:$A&lt;=C1356)),0)"),0.0)</f>
        <v>0</v>
      </c>
      <c r="H1356" s="184">
        <f t="shared" si="2"/>
        <v>0</v>
      </c>
      <c r="I1356" s="184">
        <f>IFERROR(__xludf.DUMMYFUNCTION("IFERROR(lookup(9999999999,FILTER('Operações-BR'!Q:Q,'Operações-BR'!$C:$C=A1356,'Operações-BR'!$A:$A&lt;=C1356))/G1356,0)"),0.0)</f>
        <v>0</v>
      </c>
      <c r="J1356" s="185" t="str">
        <f>IFERROR(VLOOKUP(A1356,Ativos!$A$1:$G2000,5,),"")</f>
        <v/>
      </c>
      <c r="K1356" s="185" t="str">
        <f>IFERROR(VLOOKUP(A1356,Ativos!A:H,8,),"")</f>
        <v/>
      </c>
      <c r="L1356" s="186">
        <f t="shared" si="3"/>
        <v>0</v>
      </c>
    </row>
    <row r="1357" ht="21.0" customHeight="1">
      <c r="A1357" s="187"/>
      <c r="B1357" s="187"/>
      <c r="C1357" s="188"/>
      <c r="D1357" s="135"/>
      <c r="E1357" s="189"/>
      <c r="F1357" s="182" t="str">
        <f t="shared" si="1"/>
        <v/>
      </c>
      <c r="G1357" s="183">
        <f>IFERROR(__xludf.DUMMYFUNCTION("IFERROR(lookup(9999999999,FILTER('Operações-BR'!$M:$M,'Operações-BR'!$C:$C=A1357,'Operações-BR'!$A:$A&lt;=C1357)),0)"),0.0)</f>
        <v>0</v>
      </c>
      <c r="H1357" s="184">
        <f t="shared" si="2"/>
        <v>0</v>
      </c>
      <c r="I1357" s="184">
        <f>IFERROR(__xludf.DUMMYFUNCTION("IFERROR(lookup(9999999999,FILTER('Operações-BR'!Q:Q,'Operações-BR'!$C:$C=A1357,'Operações-BR'!$A:$A&lt;=C1357))/G1357,0)"),0.0)</f>
        <v>0</v>
      </c>
      <c r="J1357" s="185" t="str">
        <f>IFERROR(VLOOKUP(A1357,Ativos!$A$1:$G2000,5,),"")</f>
        <v/>
      </c>
      <c r="K1357" s="185" t="str">
        <f>IFERROR(VLOOKUP(A1357,Ativos!A:H,8,),"")</f>
        <v/>
      </c>
      <c r="L1357" s="186">
        <f t="shared" si="3"/>
        <v>0</v>
      </c>
    </row>
    <row r="1358" ht="21.0" customHeight="1">
      <c r="A1358" s="187"/>
      <c r="B1358" s="187"/>
      <c r="C1358" s="188"/>
      <c r="D1358" s="135"/>
      <c r="E1358" s="189"/>
      <c r="F1358" s="182" t="str">
        <f t="shared" si="1"/>
        <v/>
      </c>
      <c r="G1358" s="183">
        <f>IFERROR(__xludf.DUMMYFUNCTION("IFERROR(lookup(9999999999,FILTER('Operações-BR'!$M:$M,'Operações-BR'!$C:$C=A1358,'Operações-BR'!$A:$A&lt;=C1358)),0)"),0.0)</f>
        <v>0</v>
      </c>
      <c r="H1358" s="184">
        <f t="shared" si="2"/>
        <v>0</v>
      </c>
      <c r="I1358" s="184">
        <f>IFERROR(__xludf.DUMMYFUNCTION("IFERROR(lookup(9999999999,FILTER('Operações-BR'!Q:Q,'Operações-BR'!$C:$C=A1358,'Operações-BR'!$A:$A&lt;=C1358))/G1358,0)"),0.0)</f>
        <v>0</v>
      </c>
      <c r="J1358" s="185" t="str">
        <f>IFERROR(VLOOKUP(A1358,Ativos!$A$1:$G2000,5,),"")</f>
        <v/>
      </c>
      <c r="K1358" s="185" t="str">
        <f>IFERROR(VLOOKUP(A1358,Ativos!A:H,8,),"")</f>
        <v/>
      </c>
      <c r="L1358" s="186">
        <f t="shared" si="3"/>
        <v>0</v>
      </c>
    </row>
    <row r="1359" ht="21.0" customHeight="1">
      <c r="A1359" s="187"/>
      <c r="B1359" s="187"/>
      <c r="C1359" s="188"/>
      <c r="D1359" s="135"/>
      <c r="E1359" s="189"/>
      <c r="F1359" s="182" t="str">
        <f t="shared" si="1"/>
        <v/>
      </c>
      <c r="G1359" s="183">
        <f>IFERROR(__xludf.DUMMYFUNCTION("IFERROR(lookup(9999999999,FILTER('Operações-BR'!$M:$M,'Operações-BR'!$C:$C=A1359,'Operações-BR'!$A:$A&lt;=C1359)),0)"),0.0)</f>
        <v>0</v>
      </c>
      <c r="H1359" s="184">
        <f t="shared" si="2"/>
        <v>0</v>
      </c>
      <c r="I1359" s="184">
        <f>IFERROR(__xludf.DUMMYFUNCTION("IFERROR(lookup(9999999999,FILTER('Operações-BR'!Q:Q,'Operações-BR'!$C:$C=A1359,'Operações-BR'!$A:$A&lt;=C1359))/G1359,0)"),0.0)</f>
        <v>0</v>
      </c>
      <c r="J1359" s="185" t="str">
        <f>IFERROR(VLOOKUP(A1359,Ativos!$A$1:$G2000,5,),"")</f>
        <v/>
      </c>
      <c r="K1359" s="185" t="str">
        <f>IFERROR(VLOOKUP(A1359,Ativos!A:H,8,),"")</f>
        <v/>
      </c>
      <c r="L1359" s="186">
        <f t="shared" si="3"/>
        <v>0</v>
      </c>
    </row>
    <row r="1360" ht="21.0" customHeight="1">
      <c r="A1360" s="187"/>
      <c r="B1360" s="187"/>
      <c r="C1360" s="188"/>
      <c r="D1360" s="135"/>
      <c r="E1360" s="189"/>
      <c r="F1360" s="182" t="str">
        <f t="shared" si="1"/>
        <v/>
      </c>
      <c r="G1360" s="183">
        <f>IFERROR(__xludf.DUMMYFUNCTION("IFERROR(lookup(9999999999,FILTER('Operações-BR'!$M:$M,'Operações-BR'!$C:$C=A1360,'Operações-BR'!$A:$A&lt;=C1360)),0)"),0.0)</f>
        <v>0</v>
      </c>
      <c r="H1360" s="184">
        <f t="shared" si="2"/>
        <v>0</v>
      </c>
      <c r="I1360" s="184">
        <f>IFERROR(__xludf.DUMMYFUNCTION("IFERROR(lookup(9999999999,FILTER('Operações-BR'!Q:Q,'Operações-BR'!$C:$C=A1360,'Operações-BR'!$A:$A&lt;=C1360))/G1360,0)"),0.0)</f>
        <v>0</v>
      </c>
      <c r="J1360" s="185" t="str">
        <f>IFERROR(VLOOKUP(A1360,Ativos!$A$1:$G2000,5,),"")</f>
        <v/>
      </c>
      <c r="K1360" s="185" t="str">
        <f>IFERROR(VLOOKUP(A1360,Ativos!A:H,8,),"")</f>
        <v/>
      </c>
      <c r="L1360" s="186">
        <f t="shared" si="3"/>
        <v>0</v>
      </c>
    </row>
    <row r="1361" ht="21.0" customHeight="1">
      <c r="A1361" s="187"/>
      <c r="B1361" s="187"/>
      <c r="C1361" s="188"/>
      <c r="D1361" s="135"/>
      <c r="E1361" s="189"/>
      <c r="F1361" s="182" t="str">
        <f t="shared" si="1"/>
        <v/>
      </c>
      <c r="G1361" s="183">
        <f>IFERROR(__xludf.DUMMYFUNCTION("IFERROR(lookup(9999999999,FILTER('Operações-BR'!$M:$M,'Operações-BR'!$C:$C=A1361,'Operações-BR'!$A:$A&lt;=C1361)),0)"),0.0)</f>
        <v>0</v>
      </c>
      <c r="H1361" s="184">
        <f t="shared" si="2"/>
        <v>0</v>
      </c>
      <c r="I1361" s="184">
        <f>IFERROR(__xludf.DUMMYFUNCTION("IFERROR(lookup(9999999999,FILTER('Operações-BR'!Q:Q,'Operações-BR'!$C:$C=A1361,'Operações-BR'!$A:$A&lt;=C1361))/G1361,0)"),0.0)</f>
        <v>0</v>
      </c>
      <c r="J1361" s="185" t="str">
        <f>IFERROR(VLOOKUP(A1361,Ativos!$A$1:$G2000,5,),"")</f>
        <v/>
      </c>
      <c r="K1361" s="185" t="str">
        <f>IFERROR(VLOOKUP(A1361,Ativos!A:H,8,),"")</f>
        <v/>
      </c>
      <c r="L1361" s="186">
        <f t="shared" si="3"/>
        <v>0</v>
      </c>
    </row>
    <row r="1362" ht="21.0" customHeight="1">
      <c r="A1362" s="187"/>
      <c r="B1362" s="187"/>
      <c r="C1362" s="188"/>
      <c r="D1362" s="135"/>
      <c r="E1362" s="189"/>
      <c r="F1362" s="182" t="str">
        <f t="shared" si="1"/>
        <v/>
      </c>
      <c r="G1362" s="183">
        <f>IFERROR(__xludf.DUMMYFUNCTION("IFERROR(lookup(9999999999,FILTER('Operações-BR'!$M:$M,'Operações-BR'!$C:$C=A1362,'Operações-BR'!$A:$A&lt;=C1362)),0)"),0.0)</f>
        <v>0</v>
      </c>
      <c r="H1362" s="184">
        <f t="shared" si="2"/>
        <v>0</v>
      </c>
      <c r="I1362" s="184">
        <f>IFERROR(__xludf.DUMMYFUNCTION("IFERROR(lookup(9999999999,FILTER('Operações-BR'!Q:Q,'Operações-BR'!$C:$C=A1362,'Operações-BR'!$A:$A&lt;=C1362))/G1362,0)"),0.0)</f>
        <v>0</v>
      </c>
      <c r="J1362" s="185" t="str">
        <f>IFERROR(VLOOKUP(A1362,Ativos!$A$1:$G2000,5,),"")</f>
        <v/>
      </c>
      <c r="K1362" s="185" t="str">
        <f>IFERROR(VLOOKUP(A1362,Ativos!A:H,8,),"")</f>
        <v/>
      </c>
      <c r="L1362" s="186">
        <f t="shared" si="3"/>
        <v>0</v>
      </c>
    </row>
    <row r="1363" ht="21.0" customHeight="1">
      <c r="A1363" s="187"/>
      <c r="B1363" s="187"/>
      <c r="C1363" s="188"/>
      <c r="D1363" s="135"/>
      <c r="E1363" s="189"/>
      <c r="F1363" s="182" t="str">
        <f t="shared" si="1"/>
        <v/>
      </c>
      <c r="G1363" s="183">
        <f>IFERROR(__xludf.DUMMYFUNCTION("IFERROR(lookup(9999999999,FILTER('Operações-BR'!$M:$M,'Operações-BR'!$C:$C=A1363,'Operações-BR'!$A:$A&lt;=C1363)),0)"),0.0)</f>
        <v>0</v>
      </c>
      <c r="H1363" s="184">
        <f t="shared" si="2"/>
        <v>0</v>
      </c>
      <c r="I1363" s="184">
        <f>IFERROR(__xludf.DUMMYFUNCTION("IFERROR(lookup(9999999999,FILTER('Operações-BR'!Q:Q,'Operações-BR'!$C:$C=A1363,'Operações-BR'!$A:$A&lt;=C1363))/G1363,0)"),0.0)</f>
        <v>0</v>
      </c>
      <c r="J1363" s="185" t="str">
        <f>IFERROR(VLOOKUP(A1363,Ativos!$A$1:$G2000,5,),"")</f>
        <v/>
      </c>
      <c r="K1363" s="185" t="str">
        <f>IFERROR(VLOOKUP(A1363,Ativos!A:H,8,),"")</f>
        <v/>
      </c>
      <c r="L1363" s="186">
        <f t="shared" si="3"/>
        <v>0</v>
      </c>
    </row>
    <row r="1364" ht="21.0" customHeight="1">
      <c r="A1364" s="187"/>
      <c r="B1364" s="187"/>
      <c r="C1364" s="188"/>
      <c r="D1364" s="135"/>
      <c r="E1364" s="189"/>
      <c r="F1364" s="182" t="str">
        <f t="shared" si="1"/>
        <v/>
      </c>
      <c r="G1364" s="183">
        <f>IFERROR(__xludf.DUMMYFUNCTION("IFERROR(lookup(9999999999,FILTER('Operações-BR'!$M:$M,'Operações-BR'!$C:$C=A1364,'Operações-BR'!$A:$A&lt;=C1364)),0)"),0.0)</f>
        <v>0</v>
      </c>
      <c r="H1364" s="184">
        <f t="shared" si="2"/>
        <v>0</v>
      </c>
      <c r="I1364" s="184">
        <f>IFERROR(__xludf.DUMMYFUNCTION("IFERROR(lookup(9999999999,FILTER('Operações-BR'!Q:Q,'Operações-BR'!$C:$C=A1364,'Operações-BR'!$A:$A&lt;=C1364))/G1364,0)"),0.0)</f>
        <v>0</v>
      </c>
      <c r="J1364" s="185" t="str">
        <f>IFERROR(VLOOKUP(A1364,Ativos!$A$1:$G2000,5,),"")</f>
        <v/>
      </c>
      <c r="K1364" s="185" t="str">
        <f>IFERROR(VLOOKUP(A1364,Ativos!A:H,8,),"")</f>
        <v/>
      </c>
      <c r="L1364" s="186">
        <f t="shared" si="3"/>
        <v>0</v>
      </c>
    </row>
    <row r="1365" ht="21.0" customHeight="1">
      <c r="A1365" s="187"/>
      <c r="B1365" s="187"/>
      <c r="C1365" s="188"/>
      <c r="D1365" s="135"/>
      <c r="E1365" s="189"/>
      <c r="F1365" s="182" t="str">
        <f t="shared" si="1"/>
        <v/>
      </c>
      <c r="G1365" s="183">
        <f>IFERROR(__xludf.DUMMYFUNCTION("IFERROR(lookup(9999999999,FILTER('Operações-BR'!$M:$M,'Operações-BR'!$C:$C=A1365,'Operações-BR'!$A:$A&lt;=C1365)),0)"),0.0)</f>
        <v>0</v>
      </c>
      <c r="H1365" s="184">
        <f t="shared" si="2"/>
        <v>0</v>
      </c>
      <c r="I1365" s="184">
        <f>IFERROR(__xludf.DUMMYFUNCTION("IFERROR(lookup(9999999999,FILTER('Operações-BR'!Q:Q,'Operações-BR'!$C:$C=A1365,'Operações-BR'!$A:$A&lt;=C1365))/G1365,0)"),0.0)</f>
        <v>0</v>
      </c>
      <c r="J1365" s="185" t="str">
        <f>IFERROR(VLOOKUP(A1365,Ativos!$A$1:$G2000,5,),"")</f>
        <v/>
      </c>
      <c r="K1365" s="185" t="str">
        <f>IFERROR(VLOOKUP(A1365,Ativos!A:H,8,),"")</f>
        <v/>
      </c>
      <c r="L1365" s="186">
        <f t="shared" si="3"/>
        <v>0</v>
      </c>
    </row>
    <row r="1366" ht="21.0" customHeight="1">
      <c r="A1366" s="187"/>
      <c r="B1366" s="187"/>
      <c r="C1366" s="188"/>
      <c r="D1366" s="135"/>
      <c r="E1366" s="189"/>
      <c r="F1366" s="182" t="str">
        <f t="shared" si="1"/>
        <v/>
      </c>
      <c r="G1366" s="183">
        <f>IFERROR(__xludf.DUMMYFUNCTION("IFERROR(lookup(9999999999,FILTER('Operações-BR'!$M:$M,'Operações-BR'!$C:$C=A1366,'Operações-BR'!$A:$A&lt;=C1366)),0)"),0.0)</f>
        <v>0</v>
      </c>
      <c r="H1366" s="184">
        <f t="shared" si="2"/>
        <v>0</v>
      </c>
      <c r="I1366" s="184">
        <f>IFERROR(__xludf.DUMMYFUNCTION("IFERROR(lookup(9999999999,FILTER('Operações-BR'!Q:Q,'Operações-BR'!$C:$C=A1366,'Operações-BR'!$A:$A&lt;=C1366))/G1366,0)"),0.0)</f>
        <v>0</v>
      </c>
      <c r="J1366" s="185" t="str">
        <f>IFERROR(VLOOKUP(A1366,Ativos!$A$1:$G2000,5,),"")</f>
        <v/>
      </c>
      <c r="K1366" s="185" t="str">
        <f>IFERROR(VLOOKUP(A1366,Ativos!A:H,8,),"")</f>
        <v/>
      </c>
      <c r="L1366" s="186">
        <f t="shared" si="3"/>
        <v>0</v>
      </c>
    </row>
    <row r="1367" ht="21.0" customHeight="1">
      <c r="A1367" s="187"/>
      <c r="B1367" s="187"/>
      <c r="C1367" s="188"/>
      <c r="D1367" s="135"/>
      <c r="E1367" s="189"/>
      <c r="F1367" s="182" t="str">
        <f t="shared" si="1"/>
        <v/>
      </c>
      <c r="G1367" s="183">
        <f>IFERROR(__xludf.DUMMYFUNCTION("IFERROR(lookup(9999999999,FILTER('Operações-BR'!$M:$M,'Operações-BR'!$C:$C=A1367,'Operações-BR'!$A:$A&lt;=C1367)),0)"),0.0)</f>
        <v>0</v>
      </c>
      <c r="H1367" s="184">
        <f t="shared" si="2"/>
        <v>0</v>
      </c>
      <c r="I1367" s="184">
        <f>IFERROR(__xludf.DUMMYFUNCTION("IFERROR(lookup(9999999999,FILTER('Operações-BR'!Q:Q,'Operações-BR'!$C:$C=A1367,'Operações-BR'!$A:$A&lt;=C1367))/G1367,0)"),0.0)</f>
        <v>0</v>
      </c>
      <c r="J1367" s="185" t="str">
        <f>IFERROR(VLOOKUP(A1367,Ativos!$A$1:$G2000,5,),"")</f>
        <v/>
      </c>
      <c r="K1367" s="185" t="str">
        <f>IFERROR(VLOOKUP(A1367,Ativos!A:H,8,),"")</f>
        <v/>
      </c>
      <c r="L1367" s="186">
        <f t="shared" si="3"/>
        <v>0</v>
      </c>
    </row>
    <row r="1368" ht="21.0" customHeight="1">
      <c r="A1368" s="187"/>
      <c r="B1368" s="187"/>
      <c r="C1368" s="188"/>
      <c r="D1368" s="135"/>
      <c r="E1368" s="189"/>
      <c r="F1368" s="182" t="str">
        <f t="shared" si="1"/>
        <v/>
      </c>
      <c r="G1368" s="183">
        <f>IFERROR(__xludf.DUMMYFUNCTION("IFERROR(lookup(9999999999,FILTER('Operações-BR'!$M:$M,'Operações-BR'!$C:$C=A1368,'Operações-BR'!$A:$A&lt;=C1368)),0)"),0.0)</f>
        <v>0</v>
      </c>
      <c r="H1368" s="184">
        <f t="shared" si="2"/>
        <v>0</v>
      </c>
      <c r="I1368" s="184">
        <f>IFERROR(__xludf.DUMMYFUNCTION("IFERROR(lookup(9999999999,FILTER('Operações-BR'!Q:Q,'Operações-BR'!$C:$C=A1368,'Operações-BR'!$A:$A&lt;=C1368))/G1368,0)"),0.0)</f>
        <v>0</v>
      </c>
      <c r="J1368" s="185" t="str">
        <f>IFERROR(VLOOKUP(A1368,Ativos!$A$1:$G2000,5,),"")</f>
        <v/>
      </c>
      <c r="K1368" s="185" t="str">
        <f>IFERROR(VLOOKUP(A1368,Ativos!A:H,8,),"")</f>
        <v/>
      </c>
      <c r="L1368" s="186">
        <f t="shared" si="3"/>
        <v>0</v>
      </c>
    </row>
    <row r="1369" ht="21.0" customHeight="1">
      <c r="A1369" s="187"/>
      <c r="B1369" s="187"/>
      <c r="C1369" s="188"/>
      <c r="D1369" s="135"/>
      <c r="E1369" s="189"/>
      <c r="F1369" s="182" t="str">
        <f t="shared" si="1"/>
        <v/>
      </c>
      <c r="G1369" s="183">
        <f>IFERROR(__xludf.DUMMYFUNCTION("IFERROR(lookup(9999999999,FILTER('Operações-BR'!$M:$M,'Operações-BR'!$C:$C=A1369,'Operações-BR'!$A:$A&lt;=C1369)),0)"),0.0)</f>
        <v>0</v>
      </c>
      <c r="H1369" s="184">
        <f t="shared" si="2"/>
        <v>0</v>
      </c>
      <c r="I1369" s="184">
        <f>IFERROR(__xludf.DUMMYFUNCTION("IFERROR(lookup(9999999999,FILTER('Operações-BR'!Q:Q,'Operações-BR'!$C:$C=A1369,'Operações-BR'!$A:$A&lt;=C1369))/G1369,0)"),0.0)</f>
        <v>0</v>
      </c>
      <c r="J1369" s="185" t="str">
        <f>IFERROR(VLOOKUP(A1369,Ativos!$A$1:$G2000,5,),"")</f>
        <v/>
      </c>
      <c r="K1369" s="185" t="str">
        <f>IFERROR(VLOOKUP(A1369,Ativos!A:H,8,),"")</f>
        <v/>
      </c>
      <c r="L1369" s="186">
        <f t="shared" si="3"/>
        <v>0</v>
      </c>
    </row>
    <row r="1370" ht="21.0" customHeight="1">
      <c r="A1370" s="187"/>
      <c r="B1370" s="187"/>
      <c r="C1370" s="188"/>
      <c r="D1370" s="135"/>
      <c r="E1370" s="189"/>
      <c r="F1370" s="182" t="str">
        <f t="shared" si="1"/>
        <v/>
      </c>
      <c r="G1370" s="183">
        <f>IFERROR(__xludf.DUMMYFUNCTION("IFERROR(lookup(9999999999,FILTER('Operações-BR'!$M:$M,'Operações-BR'!$C:$C=A1370,'Operações-BR'!$A:$A&lt;=C1370)),0)"),0.0)</f>
        <v>0</v>
      </c>
      <c r="H1370" s="184">
        <f t="shared" si="2"/>
        <v>0</v>
      </c>
      <c r="I1370" s="184">
        <f>IFERROR(__xludf.DUMMYFUNCTION("IFERROR(lookup(9999999999,FILTER('Operações-BR'!Q:Q,'Operações-BR'!$C:$C=A1370,'Operações-BR'!$A:$A&lt;=C1370))/G1370,0)"),0.0)</f>
        <v>0</v>
      </c>
      <c r="J1370" s="185" t="str">
        <f>IFERROR(VLOOKUP(A1370,Ativos!$A$1:$G2000,5,),"")</f>
        <v/>
      </c>
      <c r="K1370" s="185" t="str">
        <f>IFERROR(VLOOKUP(A1370,Ativos!A:H,8,),"")</f>
        <v/>
      </c>
      <c r="L1370" s="186">
        <f t="shared" si="3"/>
        <v>0</v>
      </c>
    </row>
    <row r="1371" ht="21.0" customHeight="1">
      <c r="A1371" s="187"/>
      <c r="B1371" s="187"/>
      <c r="C1371" s="188"/>
      <c r="D1371" s="135"/>
      <c r="E1371" s="189"/>
      <c r="F1371" s="182" t="str">
        <f t="shared" si="1"/>
        <v/>
      </c>
      <c r="G1371" s="183">
        <f>IFERROR(__xludf.DUMMYFUNCTION("IFERROR(lookup(9999999999,FILTER('Operações-BR'!$M:$M,'Operações-BR'!$C:$C=A1371,'Operações-BR'!$A:$A&lt;=C1371)),0)"),0.0)</f>
        <v>0</v>
      </c>
      <c r="H1371" s="184">
        <f t="shared" si="2"/>
        <v>0</v>
      </c>
      <c r="I1371" s="184">
        <f>IFERROR(__xludf.DUMMYFUNCTION("IFERROR(lookup(9999999999,FILTER('Operações-BR'!Q:Q,'Operações-BR'!$C:$C=A1371,'Operações-BR'!$A:$A&lt;=C1371))/G1371,0)"),0.0)</f>
        <v>0</v>
      </c>
      <c r="J1371" s="185" t="str">
        <f>IFERROR(VLOOKUP(A1371,Ativos!$A$1:$G2000,5,),"")</f>
        <v/>
      </c>
      <c r="K1371" s="185" t="str">
        <f>IFERROR(VLOOKUP(A1371,Ativos!A:H,8,),"")</f>
        <v/>
      </c>
      <c r="L1371" s="186">
        <f t="shared" si="3"/>
        <v>0</v>
      </c>
    </row>
    <row r="1372" ht="21.0" customHeight="1">
      <c r="A1372" s="187"/>
      <c r="B1372" s="187"/>
      <c r="C1372" s="188"/>
      <c r="D1372" s="135"/>
      <c r="E1372" s="189"/>
      <c r="F1372" s="182" t="str">
        <f t="shared" si="1"/>
        <v/>
      </c>
      <c r="G1372" s="183">
        <f>IFERROR(__xludf.DUMMYFUNCTION("IFERROR(lookup(9999999999,FILTER('Operações-BR'!$M:$M,'Operações-BR'!$C:$C=A1372,'Operações-BR'!$A:$A&lt;=C1372)),0)"),0.0)</f>
        <v>0</v>
      </c>
      <c r="H1372" s="184">
        <f t="shared" si="2"/>
        <v>0</v>
      </c>
      <c r="I1372" s="184">
        <f>IFERROR(__xludf.DUMMYFUNCTION("IFERROR(lookup(9999999999,FILTER('Operações-BR'!Q:Q,'Operações-BR'!$C:$C=A1372,'Operações-BR'!$A:$A&lt;=C1372))/G1372,0)"),0.0)</f>
        <v>0</v>
      </c>
      <c r="J1372" s="185" t="str">
        <f>IFERROR(VLOOKUP(A1372,Ativos!$A$1:$G2000,5,),"")</f>
        <v/>
      </c>
      <c r="K1372" s="185" t="str">
        <f>IFERROR(VLOOKUP(A1372,Ativos!A:H,8,),"")</f>
        <v/>
      </c>
      <c r="L1372" s="186">
        <f t="shared" si="3"/>
        <v>0</v>
      </c>
    </row>
    <row r="1373" ht="21.0" customHeight="1">
      <c r="A1373" s="187"/>
      <c r="B1373" s="187"/>
      <c r="C1373" s="188"/>
      <c r="D1373" s="135"/>
      <c r="E1373" s="189"/>
      <c r="F1373" s="182" t="str">
        <f t="shared" si="1"/>
        <v/>
      </c>
      <c r="G1373" s="183">
        <f>IFERROR(__xludf.DUMMYFUNCTION("IFERROR(lookup(9999999999,FILTER('Operações-BR'!$M:$M,'Operações-BR'!$C:$C=A1373,'Operações-BR'!$A:$A&lt;=C1373)),0)"),0.0)</f>
        <v>0</v>
      </c>
      <c r="H1373" s="184">
        <f t="shared" si="2"/>
        <v>0</v>
      </c>
      <c r="I1373" s="184">
        <f>IFERROR(__xludf.DUMMYFUNCTION("IFERROR(lookup(9999999999,FILTER('Operações-BR'!Q:Q,'Operações-BR'!$C:$C=A1373,'Operações-BR'!$A:$A&lt;=C1373))/G1373,0)"),0.0)</f>
        <v>0</v>
      </c>
      <c r="J1373" s="185" t="str">
        <f>IFERROR(VLOOKUP(A1373,Ativos!$A$1:$G2000,5,),"")</f>
        <v/>
      </c>
      <c r="K1373" s="185" t="str">
        <f>IFERROR(VLOOKUP(A1373,Ativos!A:H,8,),"")</f>
        <v/>
      </c>
      <c r="L1373" s="186">
        <f t="shared" si="3"/>
        <v>0</v>
      </c>
    </row>
    <row r="1374" ht="21.0" customHeight="1">
      <c r="A1374" s="187"/>
      <c r="B1374" s="187"/>
      <c r="C1374" s="188"/>
      <c r="D1374" s="135"/>
      <c r="E1374" s="189"/>
      <c r="F1374" s="182" t="str">
        <f t="shared" si="1"/>
        <v/>
      </c>
      <c r="G1374" s="183">
        <f>IFERROR(__xludf.DUMMYFUNCTION("IFERROR(lookup(9999999999,FILTER('Operações-BR'!$M:$M,'Operações-BR'!$C:$C=A1374,'Operações-BR'!$A:$A&lt;=C1374)),0)"),0.0)</f>
        <v>0</v>
      </c>
      <c r="H1374" s="184">
        <f t="shared" si="2"/>
        <v>0</v>
      </c>
      <c r="I1374" s="184">
        <f>IFERROR(__xludf.DUMMYFUNCTION("IFERROR(lookup(9999999999,FILTER('Operações-BR'!Q:Q,'Operações-BR'!$C:$C=A1374,'Operações-BR'!$A:$A&lt;=C1374))/G1374,0)"),0.0)</f>
        <v>0</v>
      </c>
      <c r="J1374" s="185" t="str">
        <f>IFERROR(VLOOKUP(A1374,Ativos!$A$1:$G2000,5,),"")</f>
        <v/>
      </c>
      <c r="K1374" s="185" t="str">
        <f>IFERROR(VLOOKUP(A1374,Ativos!A:H,8,),"")</f>
        <v/>
      </c>
      <c r="L1374" s="186">
        <f t="shared" si="3"/>
        <v>0</v>
      </c>
    </row>
    <row r="1375" ht="21.0" customHeight="1">
      <c r="A1375" s="187"/>
      <c r="B1375" s="187"/>
      <c r="C1375" s="188"/>
      <c r="D1375" s="135"/>
      <c r="E1375" s="189"/>
      <c r="F1375" s="182" t="str">
        <f t="shared" si="1"/>
        <v/>
      </c>
      <c r="G1375" s="183">
        <f>IFERROR(__xludf.DUMMYFUNCTION("IFERROR(lookup(9999999999,FILTER('Operações-BR'!$M:$M,'Operações-BR'!$C:$C=A1375,'Operações-BR'!$A:$A&lt;=C1375)),0)"),0.0)</f>
        <v>0</v>
      </c>
      <c r="H1375" s="184">
        <f t="shared" si="2"/>
        <v>0</v>
      </c>
      <c r="I1375" s="184">
        <f>IFERROR(__xludf.DUMMYFUNCTION("IFERROR(lookup(9999999999,FILTER('Operações-BR'!Q:Q,'Operações-BR'!$C:$C=A1375,'Operações-BR'!$A:$A&lt;=C1375))/G1375,0)"),0.0)</f>
        <v>0</v>
      </c>
      <c r="J1375" s="185" t="str">
        <f>IFERROR(VLOOKUP(A1375,Ativos!$A$1:$G2000,5,),"")</f>
        <v/>
      </c>
      <c r="K1375" s="185" t="str">
        <f>IFERROR(VLOOKUP(A1375,Ativos!A:H,8,),"")</f>
        <v/>
      </c>
      <c r="L1375" s="186">
        <f t="shared" si="3"/>
        <v>0</v>
      </c>
    </row>
    <row r="1376" ht="21.0" customHeight="1">
      <c r="A1376" s="187"/>
      <c r="B1376" s="187"/>
      <c r="C1376" s="188"/>
      <c r="D1376" s="135"/>
      <c r="E1376" s="189"/>
      <c r="F1376" s="182" t="str">
        <f t="shared" si="1"/>
        <v/>
      </c>
      <c r="G1376" s="183">
        <f>IFERROR(__xludf.DUMMYFUNCTION("IFERROR(lookup(9999999999,FILTER('Operações-BR'!$M:$M,'Operações-BR'!$C:$C=A1376,'Operações-BR'!$A:$A&lt;=C1376)),0)"),0.0)</f>
        <v>0</v>
      </c>
      <c r="H1376" s="184">
        <f t="shared" si="2"/>
        <v>0</v>
      </c>
      <c r="I1376" s="184">
        <f>IFERROR(__xludf.DUMMYFUNCTION("IFERROR(lookup(9999999999,FILTER('Operações-BR'!Q:Q,'Operações-BR'!$C:$C=A1376,'Operações-BR'!$A:$A&lt;=C1376))/G1376,0)"),0.0)</f>
        <v>0</v>
      </c>
      <c r="J1376" s="185" t="str">
        <f>IFERROR(VLOOKUP(A1376,Ativos!$A$1:$G2000,5,),"")</f>
        <v/>
      </c>
      <c r="K1376" s="185" t="str">
        <f>IFERROR(VLOOKUP(A1376,Ativos!A:H,8,),"")</f>
        <v/>
      </c>
      <c r="L1376" s="186">
        <f t="shared" si="3"/>
        <v>0</v>
      </c>
    </row>
    <row r="1377" ht="21.0" customHeight="1">
      <c r="A1377" s="187"/>
      <c r="B1377" s="187"/>
      <c r="C1377" s="188"/>
      <c r="D1377" s="135"/>
      <c r="E1377" s="189"/>
      <c r="F1377" s="182" t="str">
        <f t="shared" si="1"/>
        <v/>
      </c>
      <c r="G1377" s="183">
        <f>IFERROR(__xludf.DUMMYFUNCTION("IFERROR(lookup(9999999999,FILTER('Operações-BR'!$M:$M,'Operações-BR'!$C:$C=A1377,'Operações-BR'!$A:$A&lt;=C1377)),0)"),0.0)</f>
        <v>0</v>
      </c>
      <c r="H1377" s="184">
        <f t="shared" si="2"/>
        <v>0</v>
      </c>
      <c r="I1377" s="184">
        <f>IFERROR(__xludf.DUMMYFUNCTION("IFERROR(lookup(9999999999,FILTER('Operações-BR'!Q:Q,'Operações-BR'!$C:$C=A1377,'Operações-BR'!$A:$A&lt;=C1377))/G1377,0)"),0.0)</f>
        <v>0</v>
      </c>
      <c r="J1377" s="185" t="str">
        <f>IFERROR(VLOOKUP(A1377,Ativos!$A$1:$G2000,5,),"")</f>
        <v/>
      </c>
      <c r="K1377" s="185" t="str">
        <f>IFERROR(VLOOKUP(A1377,Ativos!A:H,8,),"")</f>
        <v/>
      </c>
      <c r="L1377" s="186">
        <f t="shared" si="3"/>
        <v>0</v>
      </c>
    </row>
    <row r="1378" ht="21.0" customHeight="1">
      <c r="A1378" s="187"/>
      <c r="B1378" s="187"/>
      <c r="C1378" s="188"/>
      <c r="D1378" s="135"/>
      <c r="E1378" s="189"/>
      <c r="F1378" s="182" t="str">
        <f t="shared" si="1"/>
        <v/>
      </c>
      <c r="G1378" s="183">
        <f>IFERROR(__xludf.DUMMYFUNCTION("IFERROR(lookup(9999999999,FILTER('Operações-BR'!$M:$M,'Operações-BR'!$C:$C=A1378,'Operações-BR'!$A:$A&lt;=C1378)),0)"),0.0)</f>
        <v>0</v>
      </c>
      <c r="H1378" s="184">
        <f t="shared" si="2"/>
        <v>0</v>
      </c>
      <c r="I1378" s="184">
        <f>IFERROR(__xludf.DUMMYFUNCTION("IFERROR(lookup(9999999999,FILTER('Operações-BR'!Q:Q,'Operações-BR'!$C:$C=A1378,'Operações-BR'!$A:$A&lt;=C1378))/G1378,0)"),0.0)</f>
        <v>0</v>
      </c>
      <c r="J1378" s="185" t="str">
        <f>IFERROR(VLOOKUP(A1378,Ativos!$A$1:$G2000,5,),"")</f>
        <v/>
      </c>
      <c r="K1378" s="185" t="str">
        <f>IFERROR(VLOOKUP(A1378,Ativos!A:H,8,),"")</f>
        <v/>
      </c>
      <c r="L1378" s="186">
        <f t="shared" si="3"/>
        <v>0</v>
      </c>
    </row>
    <row r="1379" ht="21.0" customHeight="1">
      <c r="A1379" s="187"/>
      <c r="B1379" s="187"/>
      <c r="C1379" s="188"/>
      <c r="D1379" s="135"/>
      <c r="E1379" s="189"/>
      <c r="F1379" s="182" t="str">
        <f t="shared" si="1"/>
        <v/>
      </c>
      <c r="G1379" s="183">
        <f>IFERROR(__xludf.DUMMYFUNCTION("IFERROR(lookup(9999999999,FILTER('Operações-BR'!$M:$M,'Operações-BR'!$C:$C=A1379,'Operações-BR'!$A:$A&lt;=C1379)),0)"),0.0)</f>
        <v>0</v>
      </c>
      <c r="H1379" s="184">
        <f t="shared" si="2"/>
        <v>0</v>
      </c>
      <c r="I1379" s="184">
        <f>IFERROR(__xludf.DUMMYFUNCTION("IFERROR(lookup(9999999999,FILTER('Operações-BR'!Q:Q,'Operações-BR'!$C:$C=A1379,'Operações-BR'!$A:$A&lt;=C1379))/G1379,0)"),0.0)</f>
        <v>0</v>
      </c>
      <c r="J1379" s="185" t="str">
        <f>IFERROR(VLOOKUP(A1379,Ativos!$A$1:$G2000,5,),"")</f>
        <v/>
      </c>
      <c r="K1379" s="185" t="str">
        <f>IFERROR(VLOOKUP(A1379,Ativos!A:H,8,),"")</f>
        <v/>
      </c>
      <c r="L1379" s="186">
        <f t="shared" si="3"/>
        <v>0</v>
      </c>
    </row>
    <row r="1380" ht="21.0" customHeight="1">
      <c r="A1380" s="187"/>
      <c r="B1380" s="187"/>
      <c r="C1380" s="188"/>
      <c r="D1380" s="135"/>
      <c r="E1380" s="189"/>
      <c r="F1380" s="182" t="str">
        <f t="shared" si="1"/>
        <v/>
      </c>
      <c r="G1380" s="183">
        <f>IFERROR(__xludf.DUMMYFUNCTION("IFERROR(lookup(9999999999,FILTER('Operações-BR'!$M:$M,'Operações-BR'!$C:$C=A1380,'Operações-BR'!$A:$A&lt;=C1380)),0)"),0.0)</f>
        <v>0</v>
      </c>
      <c r="H1380" s="184">
        <f t="shared" si="2"/>
        <v>0</v>
      </c>
      <c r="I1380" s="184">
        <f>IFERROR(__xludf.DUMMYFUNCTION("IFERROR(lookup(9999999999,FILTER('Operações-BR'!Q:Q,'Operações-BR'!$C:$C=A1380,'Operações-BR'!$A:$A&lt;=C1380))/G1380,0)"),0.0)</f>
        <v>0</v>
      </c>
      <c r="J1380" s="185" t="str">
        <f>IFERROR(VLOOKUP(A1380,Ativos!$A$1:$G2000,5,),"")</f>
        <v/>
      </c>
      <c r="K1380" s="185" t="str">
        <f>IFERROR(VLOOKUP(A1380,Ativos!A:H,8,),"")</f>
        <v/>
      </c>
      <c r="L1380" s="186">
        <f t="shared" si="3"/>
        <v>0</v>
      </c>
    </row>
    <row r="1381" ht="21.0" customHeight="1">
      <c r="A1381" s="187"/>
      <c r="B1381" s="187"/>
      <c r="C1381" s="188"/>
      <c r="D1381" s="135"/>
      <c r="E1381" s="189"/>
      <c r="F1381" s="182" t="str">
        <f t="shared" si="1"/>
        <v/>
      </c>
      <c r="G1381" s="183">
        <f>IFERROR(__xludf.DUMMYFUNCTION("IFERROR(lookup(9999999999,FILTER('Operações-BR'!$M:$M,'Operações-BR'!$C:$C=A1381,'Operações-BR'!$A:$A&lt;=C1381)),0)"),0.0)</f>
        <v>0</v>
      </c>
      <c r="H1381" s="184">
        <f t="shared" si="2"/>
        <v>0</v>
      </c>
      <c r="I1381" s="184">
        <f>IFERROR(__xludf.DUMMYFUNCTION("IFERROR(lookup(9999999999,FILTER('Operações-BR'!Q:Q,'Operações-BR'!$C:$C=A1381,'Operações-BR'!$A:$A&lt;=C1381))/G1381,0)"),0.0)</f>
        <v>0</v>
      </c>
      <c r="J1381" s="185" t="str">
        <f>IFERROR(VLOOKUP(A1381,Ativos!$A$1:$G2000,5,),"")</f>
        <v/>
      </c>
      <c r="K1381" s="185" t="str">
        <f>IFERROR(VLOOKUP(A1381,Ativos!A:H,8,),"")</f>
        <v/>
      </c>
      <c r="L1381" s="186">
        <f t="shared" si="3"/>
        <v>0</v>
      </c>
    </row>
    <row r="1382" ht="21.0" customHeight="1">
      <c r="A1382" s="187"/>
      <c r="B1382" s="187"/>
      <c r="C1382" s="188"/>
      <c r="D1382" s="135"/>
      <c r="E1382" s="189"/>
      <c r="F1382" s="182" t="str">
        <f t="shared" si="1"/>
        <v/>
      </c>
      <c r="G1382" s="183">
        <f>IFERROR(__xludf.DUMMYFUNCTION("IFERROR(lookup(9999999999,FILTER('Operações-BR'!$M:$M,'Operações-BR'!$C:$C=A1382,'Operações-BR'!$A:$A&lt;=C1382)),0)"),0.0)</f>
        <v>0</v>
      </c>
      <c r="H1382" s="184">
        <f t="shared" si="2"/>
        <v>0</v>
      </c>
      <c r="I1382" s="184">
        <f>IFERROR(__xludf.DUMMYFUNCTION("IFERROR(lookup(9999999999,FILTER('Operações-BR'!Q:Q,'Operações-BR'!$C:$C=A1382,'Operações-BR'!$A:$A&lt;=C1382))/G1382,0)"),0.0)</f>
        <v>0</v>
      </c>
      <c r="J1382" s="185" t="str">
        <f>IFERROR(VLOOKUP(A1382,Ativos!$A$1:$G2000,5,),"")</f>
        <v/>
      </c>
      <c r="K1382" s="185" t="str">
        <f>IFERROR(VLOOKUP(A1382,Ativos!A:H,8,),"")</f>
        <v/>
      </c>
      <c r="L1382" s="186">
        <f t="shared" si="3"/>
        <v>0</v>
      </c>
    </row>
    <row r="1383" ht="21.0" customHeight="1">
      <c r="A1383" s="187"/>
      <c r="B1383" s="187"/>
      <c r="C1383" s="188"/>
      <c r="D1383" s="135"/>
      <c r="E1383" s="189"/>
      <c r="F1383" s="182" t="str">
        <f t="shared" si="1"/>
        <v/>
      </c>
      <c r="G1383" s="183">
        <f>IFERROR(__xludf.DUMMYFUNCTION("IFERROR(lookup(9999999999,FILTER('Operações-BR'!$M:$M,'Operações-BR'!$C:$C=A1383,'Operações-BR'!$A:$A&lt;=C1383)),0)"),0.0)</f>
        <v>0</v>
      </c>
      <c r="H1383" s="184">
        <f t="shared" si="2"/>
        <v>0</v>
      </c>
      <c r="I1383" s="184">
        <f>IFERROR(__xludf.DUMMYFUNCTION("IFERROR(lookup(9999999999,FILTER('Operações-BR'!Q:Q,'Operações-BR'!$C:$C=A1383,'Operações-BR'!$A:$A&lt;=C1383))/G1383,0)"),0.0)</f>
        <v>0</v>
      </c>
      <c r="J1383" s="185" t="str">
        <f>IFERROR(VLOOKUP(A1383,Ativos!$A$1:$G2000,5,),"")</f>
        <v/>
      </c>
      <c r="K1383" s="185" t="str">
        <f>IFERROR(VLOOKUP(A1383,Ativos!A:H,8,),"")</f>
        <v/>
      </c>
      <c r="L1383" s="186">
        <f t="shared" si="3"/>
        <v>0</v>
      </c>
    </row>
    <row r="1384" ht="21.0" customHeight="1">
      <c r="A1384" s="187"/>
      <c r="B1384" s="187"/>
      <c r="C1384" s="188"/>
      <c r="D1384" s="135"/>
      <c r="E1384" s="189"/>
      <c r="F1384" s="182" t="str">
        <f t="shared" si="1"/>
        <v/>
      </c>
      <c r="G1384" s="183">
        <f>IFERROR(__xludf.DUMMYFUNCTION("IFERROR(lookup(9999999999,FILTER('Operações-BR'!$M:$M,'Operações-BR'!$C:$C=A1384,'Operações-BR'!$A:$A&lt;=C1384)),0)"),0.0)</f>
        <v>0</v>
      </c>
      <c r="H1384" s="184">
        <f t="shared" si="2"/>
        <v>0</v>
      </c>
      <c r="I1384" s="184">
        <f>IFERROR(__xludf.DUMMYFUNCTION("IFERROR(lookup(9999999999,FILTER('Operações-BR'!Q:Q,'Operações-BR'!$C:$C=A1384,'Operações-BR'!$A:$A&lt;=C1384))/G1384,0)"),0.0)</f>
        <v>0</v>
      </c>
      <c r="J1384" s="185" t="str">
        <f>IFERROR(VLOOKUP(A1384,Ativos!$A$1:$G2000,5,),"")</f>
        <v/>
      </c>
      <c r="K1384" s="185" t="str">
        <f>IFERROR(VLOOKUP(A1384,Ativos!A:H,8,),"")</f>
        <v/>
      </c>
      <c r="L1384" s="186">
        <f t="shared" si="3"/>
        <v>0</v>
      </c>
    </row>
    <row r="1385" ht="21.0" customHeight="1">
      <c r="A1385" s="187"/>
      <c r="B1385" s="187"/>
      <c r="C1385" s="188"/>
      <c r="D1385" s="135"/>
      <c r="E1385" s="189"/>
      <c r="F1385" s="182" t="str">
        <f t="shared" si="1"/>
        <v/>
      </c>
      <c r="G1385" s="183">
        <f>IFERROR(__xludf.DUMMYFUNCTION("IFERROR(lookup(9999999999,FILTER('Operações-BR'!$M:$M,'Operações-BR'!$C:$C=A1385,'Operações-BR'!$A:$A&lt;=C1385)),0)"),0.0)</f>
        <v>0</v>
      </c>
      <c r="H1385" s="184">
        <f t="shared" si="2"/>
        <v>0</v>
      </c>
      <c r="I1385" s="184">
        <f>IFERROR(__xludf.DUMMYFUNCTION("IFERROR(lookup(9999999999,FILTER('Operações-BR'!Q:Q,'Operações-BR'!$C:$C=A1385,'Operações-BR'!$A:$A&lt;=C1385))/G1385,0)"),0.0)</f>
        <v>0</v>
      </c>
      <c r="J1385" s="185" t="str">
        <f>IFERROR(VLOOKUP(A1385,Ativos!$A$1:$G2000,5,),"")</f>
        <v/>
      </c>
      <c r="K1385" s="185" t="str">
        <f>IFERROR(VLOOKUP(A1385,Ativos!A:H,8,),"")</f>
        <v/>
      </c>
      <c r="L1385" s="186">
        <f t="shared" si="3"/>
        <v>0</v>
      </c>
    </row>
    <row r="1386" ht="21.0" customHeight="1">
      <c r="A1386" s="187"/>
      <c r="B1386" s="187"/>
      <c r="C1386" s="188"/>
      <c r="D1386" s="135"/>
      <c r="E1386" s="189"/>
      <c r="F1386" s="182" t="str">
        <f t="shared" si="1"/>
        <v/>
      </c>
      <c r="G1386" s="183">
        <f>IFERROR(__xludf.DUMMYFUNCTION("IFERROR(lookup(9999999999,FILTER('Operações-BR'!$M:$M,'Operações-BR'!$C:$C=A1386,'Operações-BR'!$A:$A&lt;=C1386)),0)"),0.0)</f>
        <v>0</v>
      </c>
      <c r="H1386" s="184">
        <f t="shared" si="2"/>
        <v>0</v>
      </c>
      <c r="I1386" s="184">
        <f>IFERROR(__xludf.DUMMYFUNCTION("IFERROR(lookup(9999999999,FILTER('Operações-BR'!Q:Q,'Operações-BR'!$C:$C=A1386,'Operações-BR'!$A:$A&lt;=C1386))/G1386,0)"),0.0)</f>
        <v>0</v>
      </c>
      <c r="J1386" s="185" t="str">
        <f>IFERROR(VLOOKUP(A1386,Ativos!$A$1:$G2000,5,),"")</f>
        <v/>
      </c>
      <c r="K1386" s="185" t="str">
        <f>IFERROR(VLOOKUP(A1386,Ativos!A:H,8,),"")</f>
        <v/>
      </c>
      <c r="L1386" s="186">
        <f t="shared" si="3"/>
        <v>0</v>
      </c>
    </row>
    <row r="1387" ht="21.0" customHeight="1">
      <c r="A1387" s="187"/>
      <c r="B1387" s="187"/>
      <c r="C1387" s="188"/>
      <c r="D1387" s="135"/>
      <c r="E1387" s="189"/>
      <c r="F1387" s="182" t="str">
        <f t="shared" si="1"/>
        <v/>
      </c>
      <c r="G1387" s="183">
        <f>IFERROR(__xludf.DUMMYFUNCTION("IFERROR(lookup(9999999999,FILTER('Operações-BR'!$M:$M,'Operações-BR'!$C:$C=A1387,'Operações-BR'!$A:$A&lt;=C1387)),0)"),0.0)</f>
        <v>0</v>
      </c>
      <c r="H1387" s="184">
        <f t="shared" si="2"/>
        <v>0</v>
      </c>
      <c r="I1387" s="184">
        <f>IFERROR(__xludf.DUMMYFUNCTION("IFERROR(lookup(9999999999,FILTER('Operações-BR'!Q:Q,'Operações-BR'!$C:$C=A1387,'Operações-BR'!$A:$A&lt;=C1387))/G1387,0)"),0.0)</f>
        <v>0</v>
      </c>
      <c r="J1387" s="185" t="str">
        <f>IFERROR(VLOOKUP(A1387,Ativos!$A$1:$G2000,5,),"")</f>
        <v/>
      </c>
      <c r="K1387" s="185" t="str">
        <f>IFERROR(VLOOKUP(A1387,Ativos!A:H,8,),"")</f>
        <v/>
      </c>
      <c r="L1387" s="186">
        <f t="shared" si="3"/>
        <v>0</v>
      </c>
    </row>
    <row r="1388" ht="21.0" customHeight="1">
      <c r="A1388" s="187"/>
      <c r="B1388" s="187"/>
      <c r="C1388" s="188"/>
      <c r="D1388" s="135"/>
      <c r="E1388" s="189"/>
      <c r="F1388" s="182" t="str">
        <f t="shared" si="1"/>
        <v/>
      </c>
      <c r="G1388" s="183">
        <f>IFERROR(__xludf.DUMMYFUNCTION("IFERROR(lookup(9999999999,FILTER('Operações-BR'!$M:$M,'Operações-BR'!$C:$C=A1388,'Operações-BR'!$A:$A&lt;=C1388)),0)"),0.0)</f>
        <v>0</v>
      </c>
      <c r="H1388" s="184">
        <f t="shared" si="2"/>
        <v>0</v>
      </c>
      <c r="I1388" s="184">
        <f>IFERROR(__xludf.DUMMYFUNCTION("IFERROR(lookup(9999999999,FILTER('Operações-BR'!Q:Q,'Operações-BR'!$C:$C=A1388,'Operações-BR'!$A:$A&lt;=C1388))/G1388,0)"),0.0)</f>
        <v>0</v>
      </c>
      <c r="J1388" s="185" t="str">
        <f>IFERROR(VLOOKUP(A1388,Ativos!$A$1:$G2000,5,),"")</f>
        <v/>
      </c>
      <c r="K1388" s="185" t="str">
        <f>IFERROR(VLOOKUP(A1388,Ativos!A:H,8,),"")</f>
        <v/>
      </c>
      <c r="L1388" s="186">
        <f t="shared" si="3"/>
        <v>0</v>
      </c>
    </row>
    <row r="1389" ht="21.0" customHeight="1">
      <c r="A1389" s="187"/>
      <c r="B1389" s="187"/>
      <c r="C1389" s="188"/>
      <c r="D1389" s="135"/>
      <c r="E1389" s="189"/>
      <c r="F1389" s="182" t="str">
        <f t="shared" si="1"/>
        <v/>
      </c>
      <c r="G1389" s="183">
        <f>IFERROR(__xludf.DUMMYFUNCTION("IFERROR(lookup(9999999999,FILTER('Operações-BR'!$M:$M,'Operações-BR'!$C:$C=A1389,'Operações-BR'!$A:$A&lt;=C1389)),0)"),0.0)</f>
        <v>0</v>
      </c>
      <c r="H1389" s="184">
        <f t="shared" si="2"/>
        <v>0</v>
      </c>
      <c r="I1389" s="184">
        <f>IFERROR(__xludf.DUMMYFUNCTION("IFERROR(lookup(9999999999,FILTER('Operações-BR'!Q:Q,'Operações-BR'!$C:$C=A1389,'Operações-BR'!$A:$A&lt;=C1389))/G1389,0)"),0.0)</f>
        <v>0</v>
      </c>
      <c r="J1389" s="185" t="str">
        <f>IFERROR(VLOOKUP(A1389,Ativos!$A$1:$G2000,5,),"")</f>
        <v/>
      </c>
      <c r="K1389" s="185" t="str">
        <f>IFERROR(VLOOKUP(A1389,Ativos!A:H,8,),"")</f>
        <v/>
      </c>
      <c r="L1389" s="186">
        <f t="shared" si="3"/>
        <v>0</v>
      </c>
    </row>
    <row r="1390" ht="21.0" customHeight="1">
      <c r="A1390" s="187"/>
      <c r="B1390" s="187"/>
      <c r="C1390" s="188"/>
      <c r="D1390" s="135"/>
      <c r="E1390" s="189"/>
      <c r="F1390" s="182" t="str">
        <f t="shared" si="1"/>
        <v/>
      </c>
      <c r="G1390" s="183">
        <f>IFERROR(__xludf.DUMMYFUNCTION("IFERROR(lookup(9999999999,FILTER('Operações-BR'!$M:$M,'Operações-BR'!$C:$C=A1390,'Operações-BR'!$A:$A&lt;=C1390)),0)"),0.0)</f>
        <v>0</v>
      </c>
      <c r="H1390" s="184">
        <f t="shared" si="2"/>
        <v>0</v>
      </c>
      <c r="I1390" s="184">
        <f>IFERROR(__xludf.DUMMYFUNCTION("IFERROR(lookup(9999999999,FILTER('Operações-BR'!Q:Q,'Operações-BR'!$C:$C=A1390,'Operações-BR'!$A:$A&lt;=C1390))/G1390,0)"),0.0)</f>
        <v>0</v>
      </c>
      <c r="J1390" s="185" t="str">
        <f>IFERROR(VLOOKUP(A1390,Ativos!$A$1:$G2000,5,),"")</f>
        <v/>
      </c>
      <c r="K1390" s="185" t="str">
        <f>IFERROR(VLOOKUP(A1390,Ativos!A:H,8,),"")</f>
        <v/>
      </c>
      <c r="L1390" s="186">
        <f t="shared" si="3"/>
        <v>0</v>
      </c>
    </row>
    <row r="1391" ht="21.0" customHeight="1">
      <c r="A1391" s="187"/>
      <c r="B1391" s="187"/>
      <c r="C1391" s="188"/>
      <c r="D1391" s="135"/>
      <c r="E1391" s="189"/>
      <c r="F1391" s="182" t="str">
        <f t="shared" si="1"/>
        <v/>
      </c>
      <c r="G1391" s="183">
        <f>IFERROR(__xludf.DUMMYFUNCTION("IFERROR(lookup(9999999999,FILTER('Operações-BR'!$M:$M,'Operações-BR'!$C:$C=A1391,'Operações-BR'!$A:$A&lt;=C1391)),0)"),0.0)</f>
        <v>0</v>
      </c>
      <c r="H1391" s="184">
        <f t="shared" si="2"/>
        <v>0</v>
      </c>
      <c r="I1391" s="184">
        <f>IFERROR(__xludf.DUMMYFUNCTION("IFERROR(lookup(9999999999,FILTER('Operações-BR'!Q:Q,'Operações-BR'!$C:$C=A1391,'Operações-BR'!$A:$A&lt;=C1391))/G1391,0)"),0.0)</f>
        <v>0</v>
      </c>
      <c r="J1391" s="185" t="str">
        <f>IFERROR(VLOOKUP(A1391,Ativos!$A$1:$G2000,5,),"")</f>
        <v/>
      </c>
      <c r="K1391" s="185" t="str">
        <f>IFERROR(VLOOKUP(A1391,Ativos!A:H,8,),"")</f>
        <v/>
      </c>
      <c r="L1391" s="186">
        <f t="shared" si="3"/>
        <v>0</v>
      </c>
    </row>
    <row r="1392" ht="21.0" customHeight="1">
      <c r="A1392" s="187"/>
      <c r="B1392" s="187"/>
      <c r="C1392" s="188"/>
      <c r="D1392" s="135"/>
      <c r="E1392" s="189"/>
      <c r="F1392" s="182" t="str">
        <f t="shared" si="1"/>
        <v/>
      </c>
      <c r="G1392" s="183">
        <f>IFERROR(__xludf.DUMMYFUNCTION("IFERROR(lookup(9999999999,FILTER('Operações-BR'!$M:$M,'Operações-BR'!$C:$C=A1392,'Operações-BR'!$A:$A&lt;=C1392)),0)"),0.0)</f>
        <v>0</v>
      </c>
      <c r="H1392" s="184">
        <f t="shared" si="2"/>
        <v>0</v>
      </c>
      <c r="I1392" s="184">
        <f>IFERROR(__xludf.DUMMYFUNCTION("IFERROR(lookup(9999999999,FILTER('Operações-BR'!Q:Q,'Operações-BR'!$C:$C=A1392,'Operações-BR'!$A:$A&lt;=C1392))/G1392,0)"),0.0)</f>
        <v>0</v>
      </c>
      <c r="J1392" s="185" t="str">
        <f>IFERROR(VLOOKUP(A1392,Ativos!$A$1:$G2000,5,),"")</f>
        <v/>
      </c>
      <c r="K1392" s="185" t="str">
        <f>IFERROR(VLOOKUP(A1392,Ativos!A:H,8,),"")</f>
        <v/>
      </c>
      <c r="L1392" s="186">
        <f t="shared" si="3"/>
        <v>0</v>
      </c>
    </row>
    <row r="1393" ht="21.0" customHeight="1">
      <c r="A1393" s="187"/>
      <c r="B1393" s="187"/>
      <c r="C1393" s="188"/>
      <c r="D1393" s="135"/>
      <c r="E1393" s="189"/>
      <c r="F1393" s="182" t="str">
        <f t="shared" si="1"/>
        <v/>
      </c>
      <c r="G1393" s="183">
        <f>IFERROR(__xludf.DUMMYFUNCTION("IFERROR(lookup(9999999999,FILTER('Operações-BR'!$M:$M,'Operações-BR'!$C:$C=A1393,'Operações-BR'!$A:$A&lt;=C1393)),0)"),0.0)</f>
        <v>0</v>
      </c>
      <c r="H1393" s="184">
        <f t="shared" si="2"/>
        <v>0</v>
      </c>
      <c r="I1393" s="184">
        <f>IFERROR(__xludf.DUMMYFUNCTION("IFERROR(lookup(9999999999,FILTER('Operações-BR'!Q:Q,'Operações-BR'!$C:$C=A1393,'Operações-BR'!$A:$A&lt;=C1393))/G1393,0)"),0.0)</f>
        <v>0</v>
      </c>
      <c r="J1393" s="185" t="str">
        <f>IFERROR(VLOOKUP(A1393,Ativos!$A$1:$G2000,5,),"")</f>
        <v/>
      </c>
      <c r="K1393" s="185" t="str">
        <f>IFERROR(VLOOKUP(A1393,Ativos!A:H,8,),"")</f>
        <v/>
      </c>
      <c r="L1393" s="186">
        <f t="shared" si="3"/>
        <v>0</v>
      </c>
    </row>
    <row r="1394" ht="21.0" customHeight="1">
      <c r="A1394" s="187"/>
      <c r="B1394" s="187"/>
      <c r="C1394" s="188"/>
      <c r="D1394" s="135"/>
      <c r="E1394" s="189"/>
      <c r="F1394" s="182" t="str">
        <f t="shared" si="1"/>
        <v/>
      </c>
      <c r="G1394" s="183">
        <f>IFERROR(__xludf.DUMMYFUNCTION("IFERROR(lookup(9999999999,FILTER('Operações-BR'!$M:$M,'Operações-BR'!$C:$C=A1394,'Operações-BR'!$A:$A&lt;=C1394)),0)"),0.0)</f>
        <v>0</v>
      </c>
      <c r="H1394" s="184">
        <f t="shared" si="2"/>
        <v>0</v>
      </c>
      <c r="I1394" s="184">
        <f>IFERROR(__xludf.DUMMYFUNCTION("IFERROR(lookup(9999999999,FILTER('Operações-BR'!Q:Q,'Operações-BR'!$C:$C=A1394,'Operações-BR'!$A:$A&lt;=C1394))/G1394,0)"),0.0)</f>
        <v>0</v>
      </c>
      <c r="J1394" s="185" t="str">
        <f>IFERROR(VLOOKUP(A1394,Ativos!$A$1:$G2000,5,),"")</f>
        <v/>
      </c>
      <c r="K1394" s="185" t="str">
        <f>IFERROR(VLOOKUP(A1394,Ativos!A:H,8,),"")</f>
        <v/>
      </c>
      <c r="L1394" s="186">
        <f t="shared" si="3"/>
        <v>0</v>
      </c>
    </row>
    <row r="1395" ht="21.0" customHeight="1">
      <c r="A1395" s="187"/>
      <c r="B1395" s="187"/>
      <c r="C1395" s="188"/>
      <c r="D1395" s="135"/>
      <c r="E1395" s="189"/>
      <c r="F1395" s="182" t="str">
        <f t="shared" si="1"/>
        <v/>
      </c>
      <c r="G1395" s="183">
        <f>IFERROR(__xludf.DUMMYFUNCTION("IFERROR(lookup(9999999999,FILTER('Operações-BR'!$M:$M,'Operações-BR'!$C:$C=A1395,'Operações-BR'!$A:$A&lt;=C1395)),0)"),0.0)</f>
        <v>0</v>
      </c>
      <c r="H1395" s="184">
        <f t="shared" si="2"/>
        <v>0</v>
      </c>
      <c r="I1395" s="184">
        <f>IFERROR(__xludf.DUMMYFUNCTION("IFERROR(lookup(9999999999,FILTER('Operações-BR'!Q:Q,'Operações-BR'!$C:$C=A1395,'Operações-BR'!$A:$A&lt;=C1395))/G1395,0)"),0.0)</f>
        <v>0</v>
      </c>
      <c r="J1395" s="185" t="str">
        <f>IFERROR(VLOOKUP(A1395,Ativos!$A$1:$G2000,5,),"")</f>
        <v/>
      </c>
      <c r="K1395" s="185" t="str">
        <f>IFERROR(VLOOKUP(A1395,Ativos!A:H,8,),"")</f>
        <v/>
      </c>
      <c r="L1395" s="186">
        <f t="shared" si="3"/>
        <v>0</v>
      </c>
    </row>
    <row r="1396" ht="21.0" customHeight="1">
      <c r="A1396" s="187"/>
      <c r="B1396" s="187"/>
      <c r="C1396" s="188"/>
      <c r="D1396" s="135"/>
      <c r="E1396" s="189"/>
      <c r="F1396" s="182" t="str">
        <f t="shared" si="1"/>
        <v/>
      </c>
      <c r="G1396" s="183">
        <f>IFERROR(__xludf.DUMMYFUNCTION("IFERROR(lookup(9999999999,FILTER('Operações-BR'!$M:$M,'Operações-BR'!$C:$C=A1396,'Operações-BR'!$A:$A&lt;=C1396)),0)"),0.0)</f>
        <v>0</v>
      </c>
      <c r="H1396" s="184">
        <f t="shared" si="2"/>
        <v>0</v>
      </c>
      <c r="I1396" s="184">
        <f>IFERROR(__xludf.DUMMYFUNCTION("IFERROR(lookup(9999999999,FILTER('Operações-BR'!Q:Q,'Operações-BR'!$C:$C=A1396,'Operações-BR'!$A:$A&lt;=C1396))/G1396,0)"),0.0)</f>
        <v>0</v>
      </c>
      <c r="J1396" s="185" t="str">
        <f>IFERROR(VLOOKUP(A1396,Ativos!$A$1:$G2000,5,),"")</f>
        <v/>
      </c>
      <c r="K1396" s="185" t="str">
        <f>IFERROR(VLOOKUP(A1396,Ativos!A:H,8,),"")</f>
        <v/>
      </c>
      <c r="L1396" s="186">
        <f t="shared" si="3"/>
        <v>0</v>
      </c>
    </row>
    <row r="1397" ht="21.0" customHeight="1">
      <c r="A1397" s="187"/>
      <c r="B1397" s="187"/>
      <c r="C1397" s="188"/>
      <c r="D1397" s="135"/>
      <c r="E1397" s="189"/>
      <c r="F1397" s="182" t="str">
        <f t="shared" si="1"/>
        <v/>
      </c>
      <c r="G1397" s="183">
        <f>IFERROR(__xludf.DUMMYFUNCTION("IFERROR(lookup(9999999999,FILTER('Operações-BR'!$M:$M,'Operações-BR'!$C:$C=A1397,'Operações-BR'!$A:$A&lt;=C1397)),0)"),0.0)</f>
        <v>0</v>
      </c>
      <c r="H1397" s="184">
        <f t="shared" si="2"/>
        <v>0</v>
      </c>
      <c r="I1397" s="184">
        <f>IFERROR(__xludf.DUMMYFUNCTION("IFERROR(lookup(9999999999,FILTER('Operações-BR'!Q:Q,'Operações-BR'!$C:$C=A1397,'Operações-BR'!$A:$A&lt;=C1397))/G1397,0)"),0.0)</f>
        <v>0</v>
      </c>
      <c r="J1397" s="185" t="str">
        <f>IFERROR(VLOOKUP(A1397,Ativos!$A$1:$G2000,5,),"")</f>
        <v/>
      </c>
      <c r="K1397" s="185" t="str">
        <f>IFERROR(VLOOKUP(A1397,Ativos!A:H,8,),"")</f>
        <v/>
      </c>
      <c r="L1397" s="186">
        <f t="shared" si="3"/>
        <v>0</v>
      </c>
    </row>
    <row r="1398" ht="21.0" customHeight="1">
      <c r="A1398" s="187"/>
      <c r="B1398" s="187"/>
      <c r="C1398" s="188"/>
      <c r="D1398" s="135"/>
      <c r="E1398" s="189"/>
      <c r="F1398" s="182" t="str">
        <f t="shared" si="1"/>
        <v/>
      </c>
      <c r="G1398" s="183">
        <f>IFERROR(__xludf.DUMMYFUNCTION("IFERROR(lookup(9999999999,FILTER('Operações-BR'!$M:$M,'Operações-BR'!$C:$C=A1398,'Operações-BR'!$A:$A&lt;=C1398)),0)"),0.0)</f>
        <v>0</v>
      </c>
      <c r="H1398" s="184">
        <f t="shared" si="2"/>
        <v>0</v>
      </c>
      <c r="I1398" s="184">
        <f>IFERROR(__xludf.DUMMYFUNCTION("IFERROR(lookup(9999999999,FILTER('Operações-BR'!Q:Q,'Operações-BR'!$C:$C=A1398,'Operações-BR'!$A:$A&lt;=C1398))/G1398,0)"),0.0)</f>
        <v>0</v>
      </c>
      <c r="J1398" s="185" t="str">
        <f>IFERROR(VLOOKUP(A1398,Ativos!$A$1:$G2000,5,),"")</f>
        <v/>
      </c>
      <c r="K1398" s="185" t="str">
        <f>IFERROR(VLOOKUP(A1398,Ativos!A:H,8,),"")</f>
        <v/>
      </c>
      <c r="L1398" s="186">
        <f t="shared" si="3"/>
        <v>0</v>
      </c>
    </row>
    <row r="1399" ht="21.0" customHeight="1">
      <c r="A1399" s="187"/>
      <c r="B1399" s="187"/>
      <c r="C1399" s="188"/>
      <c r="D1399" s="135"/>
      <c r="E1399" s="189"/>
      <c r="F1399" s="182" t="str">
        <f t="shared" si="1"/>
        <v/>
      </c>
      <c r="G1399" s="183">
        <f>IFERROR(__xludf.DUMMYFUNCTION("IFERROR(lookup(9999999999,FILTER('Operações-BR'!$M:$M,'Operações-BR'!$C:$C=A1399,'Operações-BR'!$A:$A&lt;=C1399)),0)"),0.0)</f>
        <v>0</v>
      </c>
      <c r="H1399" s="184">
        <f t="shared" si="2"/>
        <v>0</v>
      </c>
      <c r="I1399" s="184">
        <f>IFERROR(__xludf.DUMMYFUNCTION("IFERROR(lookup(9999999999,FILTER('Operações-BR'!Q:Q,'Operações-BR'!$C:$C=A1399,'Operações-BR'!$A:$A&lt;=C1399))/G1399,0)"),0.0)</f>
        <v>0</v>
      </c>
      <c r="J1399" s="185" t="str">
        <f>IFERROR(VLOOKUP(A1399,Ativos!$A$1:$G2000,5,),"")</f>
        <v/>
      </c>
      <c r="K1399" s="185" t="str">
        <f>IFERROR(VLOOKUP(A1399,Ativos!A:H,8,),"")</f>
        <v/>
      </c>
      <c r="L1399" s="186">
        <f t="shared" si="3"/>
        <v>0</v>
      </c>
    </row>
    <row r="1400" ht="21.0" customHeight="1">
      <c r="A1400" s="187"/>
      <c r="B1400" s="187"/>
      <c r="C1400" s="188"/>
      <c r="D1400" s="135"/>
      <c r="E1400" s="189"/>
      <c r="F1400" s="182" t="str">
        <f t="shared" si="1"/>
        <v/>
      </c>
      <c r="G1400" s="183">
        <f>IFERROR(__xludf.DUMMYFUNCTION("IFERROR(lookup(9999999999,FILTER('Operações-BR'!$M:$M,'Operações-BR'!$C:$C=A1400,'Operações-BR'!$A:$A&lt;=C1400)),0)"),0.0)</f>
        <v>0</v>
      </c>
      <c r="H1400" s="184">
        <f t="shared" si="2"/>
        <v>0</v>
      </c>
      <c r="I1400" s="184">
        <f>IFERROR(__xludf.DUMMYFUNCTION("IFERROR(lookup(9999999999,FILTER('Operações-BR'!Q:Q,'Operações-BR'!$C:$C=A1400,'Operações-BR'!$A:$A&lt;=C1400))/G1400,0)"),0.0)</f>
        <v>0</v>
      </c>
      <c r="J1400" s="185" t="str">
        <f>IFERROR(VLOOKUP(A1400,Ativos!$A$1:$G2000,5,),"")</f>
        <v/>
      </c>
      <c r="K1400" s="185" t="str">
        <f>IFERROR(VLOOKUP(A1400,Ativos!A:H,8,),"")</f>
        <v/>
      </c>
      <c r="L1400" s="186">
        <f t="shared" si="3"/>
        <v>0</v>
      </c>
    </row>
    <row r="1401" ht="21.0" customHeight="1">
      <c r="A1401" s="187"/>
      <c r="B1401" s="187"/>
      <c r="C1401" s="188"/>
      <c r="D1401" s="135"/>
      <c r="E1401" s="189"/>
      <c r="F1401" s="182" t="str">
        <f t="shared" si="1"/>
        <v/>
      </c>
      <c r="G1401" s="183">
        <f>IFERROR(__xludf.DUMMYFUNCTION("IFERROR(lookup(9999999999,FILTER('Operações-BR'!$M:$M,'Operações-BR'!$C:$C=A1401,'Operações-BR'!$A:$A&lt;=C1401)),0)"),0.0)</f>
        <v>0</v>
      </c>
      <c r="H1401" s="184">
        <f t="shared" si="2"/>
        <v>0</v>
      </c>
      <c r="I1401" s="184">
        <f>IFERROR(__xludf.DUMMYFUNCTION("IFERROR(lookup(9999999999,FILTER('Operações-BR'!Q:Q,'Operações-BR'!$C:$C=A1401,'Operações-BR'!$A:$A&lt;=C1401))/G1401,0)"),0.0)</f>
        <v>0</v>
      </c>
      <c r="J1401" s="185" t="str">
        <f>IFERROR(VLOOKUP(A1401,Ativos!$A$1:$G2000,5,),"")</f>
        <v/>
      </c>
      <c r="K1401" s="185" t="str">
        <f>IFERROR(VLOOKUP(A1401,Ativos!A:H,8,),"")</f>
        <v/>
      </c>
      <c r="L1401" s="186">
        <f t="shared" si="3"/>
        <v>0</v>
      </c>
    </row>
    <row r="1402" ht="21.0" customHeight="1">
      <c r="A1402" s="187"/>
      <c r="B1402" s="187"/>
      <c r="C1402" s="188"/>
      <c r="D1402" s="135"/>
      <c r="E1402" s="189"/>
      <c r="F1402" s="182" t="str">
        <f t="shared" si="1"/>
        <v/>
      </c>
      <c r="G1402" s="183">
        <f>IFERROR(__xludf.DUMMYFUNCTION("IFERROR(lookup(9999999999,FILTER('Operações-BR'!$M:$M,'Operações-BR'!$C:$C=A1402,'Operações-BR'!$A:$A&lt;=C1402)),0)"),0.0)</f>
        <v>0</v>
      </c>
      <c r="H1402" s="184">
        <f t="shared" si="2"/>
        <v>0</v>
      </c>
      <c r="I1402" s="184">
        <f>IFERROR(__xludf.DUMMYFUNCTION("IFERROR(lookup(9999999999,FILTER('Operações-BR'!Q:Q,'Operações-BR'!$C:$C=A1402,'Operações-BR'!$A:$A&lt;=C1402))/G1402,0)"),0.0)</f>
        <v>0</v>
      </c>
      <c r="J1402" s="185" t="str">
        <f>IFERROR(VLOOKUP(A1402,Ativos!$A$1:$G2000,5,),"")</f>
        <v/>
      </c>
      <c r="K1402" s="185" t="str">
        <f>IFERROR(VLOOKUP(A1402,Ativos!A:H,8,),"")</f>
        <v/>
      </c>
      <c r="L1402" s="186">
        <f t="shared" si="3"/>
        <v>0</v>
      </c>
    </row>
    <row r="1403" ht="21.0" customHeight="1">
      <c r="A1403" s="187"/>
      <c r="B1403" s="187"/>
      <c r="C1403" s="188"/>
      <c r="D1403" s="135"/>
      <c r="E1403" s="189"/>
      <c r="F1403" s="182" t="str">
        <f t="shared" si="1"/>
        <v/>
      </c>
      <c r="G1403" s="183">
        <f>IFERROR(__xludf.DUMMYFUNCTION("IFERROR(lookup(9999999999,FILTER('Operações-BR'!$M:$M,'Operações-BR'!$C:$C=A1403,'Operações-BR'!$A:$A&lt;=C1403)),0)"),0.0)</f>
        <v>0</v>
      </c>
      <c r="H1403" s="184">
        <f t="shared" si="2"/>
        <v>0</v>
      </c>
      <c r="I1403" s="184">
        <f>IFERROR(__xludf.DUMMYFUNCTION("IFERROR(lookup(9999999999,FILTER('Operações-BR'!Q:Q,'Operações-BR'!$C:$C=A1403,'Operações-BR'!$A:$A&lt;=C1403))/G1403,0)"),0.0)</f>
        <v>0</v>
      </c>
      <c r="J1403" s="185" t="str">
        <f>IFERROR(VLOOKUP(A1403,Ativos!$A$1:$G2000,5,),"")</f>
        <v/>
      </c>
      <c r="K1403" s="185" t="str">
        <f>IFERROR(VLOOKUP(A1403,Ativos!A:H,8,),"")</f>
        <v/>
      </c>
      <c r="L1403" s="186">
        <f t="shared" si="3"/>
        <v>0</v>
      </c>
    </row>
    <row r="1404" ht="21.0" customHeight="1">
      <c r="A1404" s="187"/>
      <c r="B1404" s="187"/>
      <c r="C1404" s="188"/>
      <c r="D1404" s="135"/>
      <c r="E1404" s="189"/>
      <c r="F1404" s="182" t="str">
        <f t="shared" si="1"/>
        <v/>
      </c>
      <c r="G1404" s="183">
        <f>IFERROR(__xludf.DUMMYFUNCTION("IFERROR(lookup(9999999999,FILTER('Operações-BR'!$M:$M,'Operações-BR'!$C:$C=A1404,'Operações-BR'!$A:$A&lt;=C1404)),0)"),0.0)</f>
        <v>0</v>
      </c>
      <c r="H1404" s="184">
        <f t="shared" si="2"/>
        <v>0</v>
      </c>
      <c r="I1404" s="184">
        <f>IFERROR(__xludf.DUMMYFUNCTION("IFERROR(lookup(9999999999,FILTER('Operações-BR'!Q:Q,'Operações-BR'!$C:$C=A1404,'Operações-BR'!$A:$A&lt;=C1404))/G1404,0)"),0.0)</f>
        <v>0</v>
      </c>
      <c r="J1404" s="185" t="str">
        <f>IFERROR(VLOOKUP(A1404,Ativos!$A$1:$G2000,5,),"")</f>
        <v/>
      </c>
      <c r="K1404" s="185" t="str">
        <f>IFERROR(VLOOKUP(A1404,Ativos!A:H,8,),"")</f>
        <v/>
      </c>
      <c r="L1404" s="186">
        <f t="shared" si="3"/>
        <v>0</v>
      </c>
    </row>
    <row r="1405" ht="21.0" customHeight="1">
      <c r="A1405" s="187"/>
      <c r="B1405" s="187"/>
      <c r="C1405" s="188"/>
      <c r="D1405" s="135"/>
      <c r="E1405" s="189"/>
      <c r="F1405" s="182" t="str">
        <f t="shared" si="1"/>
        <v/>
      </c>
      <c r="G1405" s="183">
        <f>IFERROR(__xludf.DUMMYFUNCTION("IFERROR(lookup(9999999999,FILTER('Operações-BR'!$M:$M,'Operações-BR'!$C:$C=A1405,'Operações-BR'!$A:$A&lt;=C1405)),0)"),0.0)</f>
        <v>0</v>
      </c>
      <c r="H1405" s="184">
        <f t="shared" si="2"/>
        <v>0</v>
      </c>
      <c r="I1405" s="184">
        <f>IFERROR(__xludf.DUMMYFUNCTION("IFERROR(lookup(9999999999,FILTER('Operações-BR'!Q:Q,'Operações-BR'!$C:$C=A1405,'Operações-BR'!$A:$A&lt;=C1405))/G1405,0)"),0.0)</f>
        <v>0</v>
      </c>
      <c r="J1405" s="185" t="str">
        <f>IFERROR(VLOOKUP(A1405,Ativos!$A$1:$G2000,5,),"")</f>
        <v/>
      </c>
      <c r="K1405" s="185" t="str">
        <f>IFERROR(VLOOKUP(A1405,Ativos!A:H,8,),"")</f>
        <v/>
      </c>
      <c r="L1405" s="186">
        <f t="shared" si="3"/>
        <v>0</v>
      </c>
    </row>
    <row r="1406" ht="21.0" customHeight="1">
      <c r="A1406" s="187"/>
      <c r="B1406" s="187"/>
      <c r="C1406" s="188"/>
      <c r="D1406" s="135"/>
      <c r="E1406" s="189"/>
      <c r="F1406" s="182" t="str">
        <f t="shared" si="1"/>
        <v/>
      </c>
      <c r="G1406" s="183">
        <f>IFERROR(__xludf.DUMMYFUNCTION("IFERROR(lookup(9999999999,FILTER('Operações-BR'!$M:$M,'Operações-BR'!$C:$C=A1406,'Operações-BR'!$A:$A&lt;=C1406)),0)"),0.0)</f>
        <v>0</v>
      </c>
      <c r="H1406" s="184">
        <f t="shared" si="2"/>
        <v>0</v>
      </c>
      <c r="I1406" s="184">
        <f>IFERROR(__xludf.DUMMYFUNCTION("IFERROR(lookup(9999999999,FILTER('Operações-BR'!Q:Q,'Operações-BR'!$C:$C=A1406,'Operações-BR'!$A:$A&lt;=C1406))/G1406,0)"),0.0)</f>
        <v>0</v>
      </c>
      <c r="J1406" s="185" t="str">
        <f>IFERROR(VLOOKUP(A1406,Ativos!$A$1:$G2000,5,),"")</f>
        <v/>
      </c>
      <c r="K1406" s="185" t="str">
        <f>IFERROR(VLOOKUP(A1406,Ativos!A:H,8,),"")</f>
        <v/>
      </c>
      <c r="L1406" s="186">
        <f t="shared" si="3"/>
        <v>0</v>
      </c>
    </row>
    <row r="1407" ht="21.0" customHeight="1">
      <c r="A1407" s="187"/>
      <c r="B1407" s="187"/>
      <c r="C1407" s="188"/>
      <c r="D1407" s="135"/>
      <c r="E1407" s="189"/>
      <c r="F1407" s="182" t="str">
        <f t="shared" si="1"/>
        <v/>
      </c>
      <c r="G1407" s="183">
        <f>IFERROR(__xludf.DUMMYFUNCTION("IFERROR(lookup(9999999999,FILTER('Operações-BR'!$M:$M,'Operações-BR'!$C:$C=A1407,'Operações-BR'!$A:$A&lt;=C1407)),0)"),0.0)</f>
        <v>0</v>
      </c>
      <c r="H1407" s="184">
        <f t="shared" si="2"/>
        <v>0</v>
      </c>
      <c r="I1407" s="184">
        <f>IFERROR(__xludf.DUMMYFUNCTION("IFERROR(lookup(9999999999,FILTER('Operações-BR'!Q:Q,'Operações-BR'!$C:$C=A1407,'Operações-BR'!$A:$A&lt;=C1407))/G1407,0)"),0.0)</f>
        <v>0</v>
      </c>
      <c r="J1407" s="185" t="str">
        <f>IFERROR(VLOOKUP(A1407,Ativos!$A$1:$G2000,5,),"")</f>
        <v/>
      </c>
      <c r="K1407" s="185" t="str">
        <f>IFERROR(VLOOKUP(A1407,Ativos!A:H,8,),"")</f>
        <v/>
      </c>
      <c r="L1407" s="186">
        <f t="shared" si="3"/>
        <v>0</v>
      </c>
    </row>
    <row r="1408" ht="21.0" customHeight="1">
      <c r="A1408" s="187"/>
      <c r="B1408" s="187"/>
      <c r="C1408" s="188"/>
      <c r="D1408" s="135"/>
      <c r="E1408" s="189"/>
      <c r="F1408" s="182" t="str">
        <f t="shared" si="1"/>
        <v/>
      </c>
      <c r="G1408" s="183">
        <f>IFERROR(__xludf.DUMMYFUNCTION("IFERROR(lookup(9999999999,FILTER('Operações-BR'!$M:$M,'Operações-BR'!$C:$C=A1408,'Operações-BR'!$A:$A&lt;=C1408)),0)"),0.0)</f>
        <v>0</v>
      </c>
      <c r="H1408" s="184">
        <f t="shared" si="2"/>
        <v>0</v>
      </c>
      <c r="I1408" s="184">
        <f>IFERROR(__xludf.DUMMYFUNCTION("IFERROR(lookup(9999999999,FILTER('Operações-BR'!Q:Q,'Operações-BR'!$C:$C=A1408,'Operações-BR'!$A:$A&lt;=C1408))/G1408,0)"),0.0)</f>
        <v>0</v>
      </c>
      <c r="J1408" s="185" t="str">
        <f>IFERROR(VLOOKUP(A1408,Ativos!$A$1:$G2000,5,),"")</f>
        <v/>
      </c>
      <c r="K1408" s="185" t="str">
        <f>IFERROR(VLOOKUP(A1408,Ativos!A:H,8,),"")</f>
        <v/>
      </c>
      <c r="L1408" s="186">
        <f t="shared" si="3"/>
        <v>0</v>
      </c>
    </row>
    <row r="1409" ht="21.0" customHeight="1">
      <c r="A1409" s="187"/>
      <c r="B1409" s="187"/>
      <c r="C1409" s="188"/>
      <c r="D1409" s="135"/>
      <c r="E1409" s="189"/>
      <c r="F1409" s="182" t="str">
        <f t="shared" si="1"/>
        <v/>
      </c>
      <c r="G1409" s="183">
        <f>IFERROR(__xludf.DUMMYFUNCTION("IFERROR(lookup(9999999999,FILTER('Operações-BR'!$M:$M,'Operações-BR'!$C:$C=A1409,'Operações-BR'!$A:$A&lt;=C1409)),0)"),0.0)</f>
        <v>0</v>
      </c>
      <c r="H1409" s="184">
        <f t="shared" si="2"/>
        <v>0</v>
      </c>
      <c r="I1409" s="184">
        <f>IFERROR(__xludf.DUMMYFUNCTION("IFERROR(lookup(9999999999,FILTER('Operações-BR'!Q:Q,'Operações-BR'!$C:$C=A1409,'Operações-BR'!$A:$A&lt;=C1409))/G1409,0)"),0.0)</f>
        <v>0</v>
      </c>
      <c r="J1409" s="185" t="str">
        <f>IFERROR(VLOOKUP(A1409,Ativos!$A$1:$G2000,5,),"")</f>
        <v/>
      </c>
      <c r="K1409" s="185" t="str">
        <f>IFERROR(VLOOKUP(A1409,Ativos!A:H,8,),"")</f>
        <v/>
      </c>
      <c r="L1409" s="186">
        <f t="shared" si="3"/>
        <v>0</v>
      </c>
    </row>
    <row r="1410" ht="21.0" customHeight="1">
      <c r="A1410" s="187"/>
      <c r="B1410" s="187"/>
      <c r="C1410" s="188"/>
      <c r="D1410" s="135"/>
      <c r="E1410" s="189"/>
      <c r="F1410" s="182" t="str">
        <f t="shared" si="1"/>
        <v/>
      </c>
      <c r="G1410" s="183">
        <f>IFERROR(__xludf.DUMMYFUNCTION("IFERROR(lookup(9999999999,FILTER('Operações-BR'!$M:$M,'Operações-BR'!$C:$C=A1410,'Operações-BR'!$A:$A&lt;=C1410)),0)"),0.0)</f>
        <v>0</v>
      </c>
      <c r="H1410" s="184">
        <f t="shared" si="2"/>
        <v>0</v>
      </c>
      <c r="I1410" s="184">
        <f>IFERROR(__xludf.DUMMYFUNCTION("IFERROR(lookup(9999999999,FILTER('Operações-BR'!Q:Q,'Operações-BR'!$C:$C=A1410,'Operações-BR'!$A:$A&lt;=C1410))/G1410,0)"),0.0)</f>
        <v>0</v>
      </c>
      <c r="J1410" s="185" t="str">
        <f>IFERROR(VLOOKUP(A1410,Ativos!$A$1:$G2000,5,),"")</f>
        <v/>
      </c>
      <c r="K1410" s="185" t="str">
        <f>IFERROR(VLOOKUP(A1410,Ativos!A:H,8,),"")</f>
        <v/>
      </c>
      <c r="L1410" s="186">
        <f t="shared" si="3"/>
        <v>0</v>
      </c>
    </row>
    <row r="1411" ht="21.0" customHeight="1">
      <c r="A1411" s="187"/>
      <c r="B1411" s="187"/>
      <c r="C1411" s="188"/>
      <c r="D1411" s="135"/>
      <c r="E1411" s="189"/>
      <c r="F1411" s="182" t="str">
        <f t="shared" si="1"/>
        <v/>
      </c>
      <c r="G1411" s="183">
        <f>IFERROR(__xludf.DUMMYFUNCTION("IFERROR(lookup(9999999999,FILTER('Operações-BR'!$M:$M,'Operações-BR'!$C:$C=A1411,'Operações-BR'!$A:$A&lt;=C1411)),0)"),0.0)</f>
        <v>0</v>
      </c>
      <c r="H1411" s="184">
        <f t="shared" si="2"/>
        <v>0</v>
      </c>
      <c r="I1411" s="184">
        <f>IFERROR(__xludf.DUMMYFUNCTION("IFERROR(lookup(9999999999,FILTER('Operações-BR'!Q:Q,'Operações-BR'!$C:$C=A1411,'Operações-BR'!$A:$A&lt;=C1411))/G1411,0)"),0.0)</f>
        <v>0</v>
      </c>
      <c r="J1411" s="185" t="str">
        <f>IFERROR(VLOOKUP(A1411,Ativos!$A$1:$G2000,5,),"")</f>
        <v/>
      </c>
      <c r="K1411" s="185" t="str">
        <f>IFERROR(VLOOKUP(A1411,Ativos!A:H,8,),"")</f>
        <v/>
      </c>
      <c r="L1411" s="186">
        <f t="shared" si="3"/>
        <v>0</v>
      </c>
    </row>
    <row r="1412" ht="21.0" customHeight="1">
      <c r="A1412" s="187"/>
      <c r="B1412" s="187"/>
      <c r="C1412" s="188"/>
      <c r="D1412" s="135"/>
      <c r="E1412" s="189"/>
      <c r="F1412" s="182" t="str">
        <f t="shared" si="1"/>
        <v/>
      </c>
      <c r="G1412" s="183">
        <f>IFERROR(__xludf.DUMMYFUNCTION("IFERROR(lookup(9999999999,FILTER('Operações-BR'!$M:$M,'Operações-BR'!$C:$C=A1412,'Operações-BR'!$A:$A&lt;=C1412)),0)"),0.0)</f>
        <v>0</v>
      </c>
      <c r="H1412" s="184">
        <f t="shared" si="2"/>
        <v>0</v>
      </c>
      <c r="I1412" s="184">
        <f>IFERROR(__xludf.DUMMYFUNCTION("IFERROR(lookup(9999999999,FILTER('Operações-BR'!Q:Q,'Operações-BR'!$C:$C=A1412,'Operações-BR'!$A:$A&lt;=C1412))/G1412,0)"),0.0)</f>
        <v>0</v>
      </c>
      <c r="J1412" s="185" t="str">
        <f>IFERROR(VLOOKUP(A1412,Ativos!$A$1:$G2000,5,),"")</f>
        <v/>
      </c>
      <c r="K1412" s="185" t="str">
        <f>IFERROR(VLOOKUP(A1412,Ativos!A:H,8,),"")</f>
        <v/>
      </c>
      <c r="L1412" s="186">
        <f t="shared" si="3"/>
        <v>0</v>
      </c>
    </row>
    <row r="1413" ht="21.0" customHeight="1">
      <c r="A1413" s="187"/>
      <c r="B1413" s="187"/>
      <c r="C1413" s="188"/>
      <c r="D1413" s="135"/>
      <c r="E1413" s="189"/>
      <c r="F1413" s="182" t="str">
        <f t="shared" si="1"/>
        <v/>
      </c>
      <c r="G1413" s="183">
        <f>IFERROR(__xludf.DUMMYFUNCTION("IFERROR(lookup(9999999999,FILTER('Operações-BR'!$M:$M,'Operações-BR'!$C:$C=A1413,'Operações-BR'!$A:$A&lt;=C1413)),0)"),0.0)</f>
        <v>0</v>
      </c>
      <c r="H1413" s="184">
        <f t="shared" si="2"/>
        <v>0</v>
      </c>
      <c r="I1413" s="184">
        <f>IFERROR(__xludf.DUMMYFUNCTION("IFERROR(lookup(9999999999,FILTER('Operações-BR'!Q:Q,'Operações-BR'!$C:$C=A1413,'Operações-BR'!$A:$A&lt;=C1413))/G1413,0)"),0.0)</f>
        <v>0</v>
      </c>
      <c r="J1413" s="185" t="str">
        <f>IFERROR(VLOOKUP(A1413,Ativos!$A$1:$G2000,5,),"")</f>
        <v/>
      </c>
      <c r="K1413" s="185" t="str">
        <f>IFERROR(VLOOKUP(A1413,Ativos!A:H,8,),"")</f>
        <v/>
      </c>
      <c r="L1413" s="186">
        <f t="shared" si="3"/>
        <v>0</v>
      </c>
    </row>
    <row r="1414" ht="21.0" customHeight="1">
      <c r="A1414" s="187"/>
      <c r="B1414" s="187"/>
      <c r="C1414" s="188"/>
      <c r="D1414" s="135"/>
      <c r="E1414" s="189"/>
      <c r="F1414" s="182" t="str">
        <f t="shared" si="1"/>
        <v/>
      </c>
      <c r="G1414" s="183">
        <f>IFERROR(__xludf.DUMMYFUNCTION("IFERROR(lookup(9999999999,FILTER('Operações-BR'!$M:$M,'Operações-BR'!$C:$C=A1414,'Operações-BR'!$A:$A&lt;=C1414)),0)"),0.0)</f>
        <v>0</v>
      </c>
      <c r="H1414" s="184">
        <f t="shared" si="2"/>
        <v>0</v>
      </c>
      <c r="I1414" s="184">
        <f>IFERROR(__xludf.DUMMYFUNCTION("IFERROR(lookup(9999999999,FILTER('Operações-BR'!Q:Q,'Operações-BR'!$C:$C=A1414,'Operações-BR'!$A:$A&lt;=C1414))/G1414,0)"),0.0)</f>
        <v>0</v>
      </c>
      <c r="J1414" s="185" t="str">
        <f>IFERROR(VLOOKUP(A1414,Ativos!$A$1:$G2000,5,),"")</f>
        <v/>
      </c>
      <c r="K1414" s="185" t="str">
        <f>IFERROR(VLOOKUP(A1414,Ativos!A:H,8,),"")</f>
        <v/>
      </c>
      <c r="L1414" s="186">
        <f t="shared" si="3"/>
        <v>0</v>
      </c>
    </row>
    <row r="1415" ht="21.0" customHeight="1">
      <c r="A1415" s="187"/>
      <c r="B1415" s="187"/>
      <c r="C1415" s="188"/>
      <c r="D1415" s="135"/>
      <c r="E1415" s="189"/>
      <c r="F1415" s="182" t="str">
        <f t="shared" si="1"/>
        <v/>
      </c>
      <c r="G1415" s="183">
        <f>IFERROR(__xludf.DUMMYFUNCTION("IFERROR(lookup(9999999999,FILTER('Operações-BR'!$M:$M,'Operações-BR'!$C:$C=A1415,'Operações-BR'!$A:$A&lt;=C1415)),0)"),0.0)</f>
        <v>0</v>
      </c>
      <c r="H1415" s="184">
        <f t="shared" si="2"/>
        <v>0</v>
      </c>
      <c r="I1415" s="184">
        <f>IFERROR(__xludf.DUMMYFUNCTION("IFERROR(lookup(9999999999,FILTER('Operações-BR'!Q:Q,'Operações-BR'!$C:$C=A1415,'Operações-BR'!$A:$A&lt;=C1415))/G1415,0)"),0.0)</f>
        <v>0</v>
      </c>
      <c r="J1415" s="185" t="str">
        <f>IFERROR(VLOOKUP(A1415,Ativos!$A$1:$G2000,5,),"")</f>
        <v/>
      </c>
      <c r="K1415" s="185" t="str">
        <f>IFERROR(VLOOKUP(A1415,Ativos!A:H,8,),"")</f>
        <v/>
      </c>
      <c r="L1415" s="186">
        <f t="shared" si="3"/>
        <v>0</v>
      </c>
    </row>
    <row r="1416" ht="21.0" customHeight="1">
      <c r="A1416" s="187"/>
      <c r="B1416" s="187"/>
      <c r="C1416" s="188"/>
      <c r="D1416" s="135"/>
      <c r="E1416" s="189"/>
      <c r="F1416" s="182" t="str">
        <f t="shared" si="1"/>
        <v/>
      </c>
      <c r="G1416" s="183">
        <f>IFERROR(__xludf.DUMMYFUNCTION("IFERROR(lookup(9999999999,FILTER('Operações-BR'!$M:$M,'Operações-BR'!$C:$C=A1416,'Operações-BR'!$A:$A&lt;=C1416)),0)"),0.0)</f>
        <v>0</v>
      </c>
      <c r="H1416" s="184">
        <f t="shared" si="2"/>
        <v>0</v>
      </c>
      <c r="I1416" s="184">
        <f>IFERROR(__xludf.DUMMYFUNCTION("IFERROR(lookup(9999999999,FILTER('Operações-BR'!Q:Q,'Operações-BR'!$C:$C=A1416,'Operações-BR'!$A:$A&lt;=C1416))/G1416,0)"),0.0)</f>
        <v>0</v>
      </c>
      <c r="J1416" s="185" t="str">
        <f>IFERROR(VLOOKUP(A1416,Ativos!$A$1:$G2000,5,),"")</f>
        <v/>
      </c>
      <c r="K1416" s="185" t="str">
        <f>IFERROR(VLOOKUP(A1416,Ativos!A:H,8,),"")</f>
        <v/>
      </c>
      <c r="L1416" s="186">
        <f t="shared" si="3"/>
        <v>0</v>
      </c>
    </row>
    <row r="1417" ht="21.0" customHeight="1">
      <c r="A1417" s="187"/>
      <c r="B1417" s="187"/>
      <c r="C1417" s="188"/>
      <c r="D1417" s="135"/>
      <c r="E1417" s="189"/>
      <c r="F1417" s="182" t="str">
        <f t="shared" si="1"/>
        <v/>
      </c>
      <c r="G1417" s="183">
        <f>IFERROR(__xludf.DUMMYFUNCTION("IFERROR(lookup(9999999999,FILTER('Operações-BR'!$M:$M,'Operações-BR'!$C:$C=A1417,'Operações-BR'!$A:$A&lt;=C1417)),0)"),0.0)</f>
        <v>0</v>
      </c>
      <c r="H1417" s="184">
        <f t="shared" si="2"/>
        <v>0</v>
      </c>
      <c r="I1417" s="184">
        <f>IFERROR(__xludf.DUMMYFUNCTION("IFERROR(lookup(9999999999,FILTER('Operações-BR'!Q:Q,'Operações-BR'!$C:$C=A1417,'Operações-BR'!$A:$A&lt;=C1417))/G1417,0)"),0.0)</f>
        <v>0</v>
      </c>
      <c r="J1417" s="185" t="str">
        <f>IFERROR(VLOOKUP(A1417,Ativos!$A$1:$G2000,5,),"")</f>
        <v/>
      </c>
      <c r="K1417" s="185" t="str">
        <f>IFERROR(VLOOKUP(A1417,Ativos!A:H,8,),"")</f>
        <v/>
      </c>
      <c r="L1417" s="186">
        <f t="shared" si="3"/>
        <v>0</v>
      </c>
    </row>
    <row r="1418" ht="21.0" customHeight="1">
      <c r="A1418" s="187"/>
      <c r="B1418" s="187"/>
      <c r="C1418" s="188"/>
      <c r="D1418" s="135"/>
      <c r="E1418" s="189"/>
      <c r="F1418" s="182" t="str">
        <f t="shared" si="1"/>
        <v/>
      </c>
      <c r="G1418" s="183">
        <f>IFERROR(__xludf.DUMMYFUNCTION("IFERROR(lookup(9999999999,FILTER('Operações-BR'!$M:$M,'Operações-BR'!$C:$C=A1418,'Operações-BR'!$A:$A&lt;=C1418)),0)"),0.0)</f>
        <v>0</v>
      </c>
      <c r="H1418" s="184">
        <f t="shared" si="2"/>
        <v>0</v>
      </c>
      <c r="I1418" s="184">
        <f>IFERROR(__xludf.DUMMYFUNCTION("IFERROR(lookup(9999999999,FILTER('Operações-BR'!Q:Q,'Operações-BR'!$C:$C=A1418,'Operações-BR'!$A:$A&lt;=C1418))/G1418,0)"),0.0)</f>
        <v>0</v>
      </c>
      <c r="J1418" s="185" t="str">
        <f>IFERROR(VLOOKUP(A1418,Ativos!$A$1:$G2000,5,),"")</f>
        <v/>
      </c>
      <c r="K1418" s="185" t="str">
        <f>IFERROR(VLOOKUP(A1418,Ativos!A:H,8,),"")</f>
        <v/>
      </c>
      <c r="L1418" s="186">
        <f t="shared" si="3"/>
        <v>0</v>
      </c>
    </row>
    <row r="1419" ht="21.0" customHeight="1">
      <c r="A1419" s="187"/>
      <c r="B1419" s="187"/>
      <c r="C1419" s="188"/>
      <c r="D1419" s="135"/>
      <c r="E1419" s="189"/>
      <c r="F1419" s="182" t="str">
        <f t="shared" si="1"/>
        <v/>
      </c>
      <c r="G1419" s="183">
        <f>IFERROR(__xludf.DUMMYFUNCTION("IFERROR(lookup(9999999999,FILTER('Operações-BR'!$M:$M,'Operações-BR'!$C:$C=A1419,'Operações-BR'!$A:$A&lt;=C1419)),0)"),0.0)</f>
        <v>0</v>
      </c>
      <c r="H1419" s="184">
        <f t="shared" si="2"/>
        <v>0</v>
      </c>
      <c r="I1419" s="184">
        <f>IFERROR(__xludf.DUMMYFUNCTION("IFERROR(lookup(9999999999,FILTER('Operações-BR'!Q:Q,'Operações-BR'!$C:$C=A1419,'Operações-BR'!$A:$A&lt;=C1419))/G1419,0)"),0.0)</f>
        <v>0</v>
      </c>
      <c r="J1419" s="185" t="str">
        <f>IFERROR(VLOOKUP(A1419,Ativos!$A$1:$G2000,5,),"")</f>
        <v/>
      </c>
      <c r="K1419" s="185" t="str">
        <f>IFERROR(VLOOKUP(A1419,Ativos!A:H,8,),"")</f>
        <v/>
      </c>
      <c r="L1419" s="186">
        <f t="shared" si="3"/>
        <v>0</v>
      </c>
    </row>
    <row r="1420" ht="21.0" customHeight="1">
      <c r="A1420" s="187"/>
      <c r="B1420" s="187"/>
      <c r="C1420" s="188"/>
      <c r="D1420" s="135"/>
      <c r="E1420" s="189"/>
      <c r="F1420" s="182" t="str">
        <f t="shared" si="1"/>
        <v/>
      </c>
      <c r="G1420" s="183">
        <f>IFERROR(__xludf.DUMMYFUNCTION("IFERROR(lookup(9999999999,FILTER('Operações-BR'!$M:$M,'Operações-BR'!$C:$C=A1420,'Operações-BR'!$A:$A&lt;=C1420)),0)"),0.0)</f>
        <v>0</v>
      </c>
      <c r="H1420" s="184">
        <f t="shared" si="2"/>
        <v>0</v>
      </c>
      <c r="I1420" s="184">
        <f>IFERROR(__xludf.DUMMYFUNCTION("IFERROR(lookup(9999999999,FILTER('Operações-BR'!Q:Q,'Operações-BR'!$C:$C=A1420,'Operações-BR'!$A:$A&lt;=C1420))/G1420,0)"),0.0)</f>
        <v>0</v>
      </c>
      <c r="J1420" s="185" t="str">
        <f>IFERROR(VLOOKUP(A1420,Ativos!$A$1:$G2000,5,),"")</f>
        <v/>
      </c>
      <c r="K1420" s="185" t="str">
        <f>IFERROR(VLOOKUP(A1420,Ativos!A:H,8,),"")</f>
        <v/>
      </c>
      <c r="L1420" s="186">
        <f t="shared" si="3"/>
        <v>0</v>
      </c>
    </row>
    <row r="1421" ht="21.0" customHeight="1">
      <c r="A1421" s="187"/>
      <c r="B1421" s="187"/>
      <c r="C1421" s="188"/>
      <c r="D1421" s="135"/>
      <c r="E1421" s="189"/>
      <c r="F1421" s="182" t="str">
        <f t="shared" si="1"/>
        <v/>
      </c>
      <c r="G1421" s="183">
        <f>IFERROR(__xludf.DUMMYFUNCTION("IFERROR(lookup(9999999999,FILTER('Operações-BR'!$M:$M,'Operações-BR'!$C:$C=A1421,'Operações-BR'!$A:$A&lt;=C1421)),0)"),0.0)</f>
        <v>0</v>
      </c>
      <c r="H1421" s="184">
        <f t="shared" si="2"/>
        <v>0</v>
      </c>
      <c r="I1421" s="184">
        <f>IFERROR(__xludf.DUMMYFUNCTION("IFERROR(lookup(9999999999,FILTER('Operações-BR'!Q:Q,'Operações-BR'!$C:$C=A1421,'Operações-BR'!$A:$A&lt;=C1421))/G1421,0)"),0.0)</f>
        <v>0</v>
      </c>
      <c r="J1421" s="185" t="str">
        <f>IFERROR(VLOOKUP(A1421,Ativos!$A$1:$G2000,5,),"")</f>
        <v/>
      </c>
      <c r="K1421" s="185" t="str">
        <f>IFERROR(VLOOKUP(A1421,Ativos!A:H,8,),"")</f>
        <v/>
      </c>
      <c r="L1421" s="186">
        <f t="shared" si="3"/>
        <v>0</v>
      </c>
    </row>
    <row r="1422" ht="21.0" customHeight="1">
      <c r="A1422" s="187"/>
      <c r="B1422" s="187"/>
      <c r="C1422" s="188"/>
      <c r="D1422" s="135"/>
      <c r="E1422" s="189"/>
      <c r="F1422" s="182" t="str">
        <f t="shared" si="1"/>
        <v/>
      </c>
      <c r="G1422" s="183">
        <f>IFERROR(__xludf.DUMMYFUNCTION("IFERROR(lookup(9999999999,FILTER('Operações-BR'!$M:$M,'Operações-BR'!$C:$C=A1422,'Operações-BR'!$A:$A&lt;=C1422)),0)"),0.0)</f>
        <v>0</v>
      </c>
      <c r="H1422" s="184">
        <f t="shared" si="2"/>
        <v>0</v>
      </c>
      <c r="I1422" s="184">
        <f>IFERROR(__xludf.DUMMYFUNCTION("IFERROR(lookup(9999999999,FILTER('Operações-BR'!Q:Q,'Operações-BR'!$C:$C=A1422,'Operações-BR'!$A:$A&lt;=C1422))/G1422,0)"),0.0)</f>
        <v>0</v>
      </c>
      <c r="J1422" s="185" t="str">
        <f>IFERROR(VLOOKUP(A1422,Ativos!$A$1:$G2000,5,),"")</f>
        <v/>
      </c>
      <c r="K1422" s="185" t="str">
        <f>IFERROR(VLOOKUP(A1422,Ativos!A:H,8,),"")</f>
        <v/>
      </c>
      <c r="L1422" s="186">
        <f t="shared" si="3"/>
        <v>0</v>
      </c>
    </row>
    <row r="1423" ht="21.0" customHeight="1">
      <c r="A1423" s="187"/>
      <c r="B1423" s="187"/>
      <c r="C1423" s="188"/>
      <c r="D1423" s="135"/>
      <c r="E1423" s="189"/>
      <c r="F1423" s="182" t="str">
        <f t="shared" si="1"/>
        <v/>
      </c>
      <c r="G1423" s="183">
        <f>IFERROR(__xludf.DUMMYFUNCTION("IFERROR(lookup(9999999999,FILTER('Operações-BR'!$M:$M,'Operações-BR'!$C:$C=A1423,'Operações-BR'!$A:$A&lt;=C1423)),0)"),0.0)</f>
        <v>0</v>
      </c>
      <c r="H1423" s="184">
        <f t="shared" si="2"/>
        <v>0</v>
      </c>
      <c r="I1423" s="184">
        <f>IFERROR(__xludf.DUMMYFUNCTION("IFERROR(lookup(9999999999,FILTER('Operações-BR'!Q:Q,'Operações-BR'!$C:$C=A1423,'Operações-BR'!$A:$A&lt;=C1423))/G1423,0)"),0.0)</f>
        <v>0</v>
      </c>
      <c r="J1423" s="185" t="str">
        <f>IFERROR(VLOOKUP(A1423,Ativos!$A$1:$G2000,5,),"")</f>
        <v/>
      </c>
      <c r="K1423" s="185" t="str">
        <f>IFERROR(VLOOKUP(A1423,Ativos!A:H,8,),"")</f>
        <v/>
      </c>
      <c r="L1423" s="186">
        <f t="shared" si="3"/>
        <v>0</v>
      </c>
    </row>
    <row r="1424" ht="21.0" customHeight="1">
      <c r="A1424" s="187"/>
      <c r="B1424" s="187"/>
      <c r="C1424" s="188"/>
      <c r="D1424" s="135"/>
      <c r="E1424" s="189"/>
      <c r="F1424" s="182" t="str">
        <f t="shared" si="1"/>
        <v/>
      </c>
      <c r="G1424" s="183">
        <f>IFERROR(__xludf.DUMMYFUNCTION("IFERROR(lookup(9999999999,FILTER('Operações-BR'!$M:$M,'Operações-BR'!$C:$C=A1424,'Operações-BR'!$A:$A&lt;=C1424)),0)"),0.0)</f>
        <v>0</v>
      </c>
      <c r="H1424" s="184">
        <f t="shared" si="2"/>
        <v>0</v>
      </c>
      <c r="I1424" s="184">
        <f>IFERROR(__xludf.DUMMYFUNCTION("IFERROR(lookup(9999999999,FILTER('Operações-BR'!Q:Q,'Operações-BR'!$C:$C=A1424,'Operações-BR'!$A:$A&lt;=C1424))/G1424,0)"),0.0)</f>
        <v>0</v>
      </c>
      <c r="J1424" s="185" t="str">
        <f>IFERROR(VLOOKUP(A1424,Ativos!$A$1:$G2000,5,),"")</f>
        <v/>
      </c>
      <c r="K1424" s="185" t="str">
        <f>IFERROR(VLOOKUP(A1424,Ativos!A:H,8,),"")</f>
        <v/>
      </c>
      <c r="L1424" s="186">
        <f t="shared" si="3"/>
        <v>0</v>
      </c>
    </row>
    <row r="1425" ht="21.0" customHeight="1">
      <c r="A1425" s="187"/>
      <c r="B1425" s="187"/>
      <c r="C1425" s="188"/>
      <c r="D1425" s="135"/>
      <c r="E1425" s="189"/>
      <c r="F1425" s="182" t="str">
        <f t="shared" si="1"/>
        <v/>
      </c>
      <c r="G1425" s="183">
        <f>IFERROR(__xludf.DUMMYFUNCTION("IFERROR(lookup(9999999999,FILTER('Operações-BR'!$M:$M,'Operações-BR'!$C:$C=A1425,'Operações-BR'!$A:$A&lt;=C1425)),0)"),0.0)</f>
        <v>0</v>
      </c>
      <c r="H1425" s="184">
        <f t="shared" si="2"/>
        <v>0</v>
      </c>
      <c r="I1425" s="184">
        <f>IFERROR(__xludf.DUMMYFUNCTION("IFERROR(lookup(9999999999,FILTER('Operações-BR'!Q:Q,'Operações-BR'!$C:$C=A1425,'Operações-BR'!$A:$A&lt;=C1425))/G1425,0)"),0.0)</f>
        <v>0</v>
      </c>
      <c r="J1425" s="185" t="str">
        <f>IFERROR(VLOOKUP(A1425,Ativos!$A$1:$G2000,5,),"")</f>
        <v/>
      </c>
      <c r="K1425" s="185" t="str">
        <f>IFERROR(VLOOKUP(A1425,Ativos!A:H,8,),"")</f>
        <v/>
      </c>
      <c r="L1425" s="186">
        <f t="shared" si="3"/>
        <v>0</v>
      </c>
    </row>
    <row r="1426" ht="21.0" customHeight="1">
      <c r="A1426" s="187"/>
      <c r="B1426" s="187"/>
      <c r="C1426" s="188"/>
      <c r="D1426" s="135"/>
      <c r="E1426" s="189"/>
      <c r="F1426" s="182" t="str">
        <f t="shared" si="1"/>
        <v/>
      </c>
      <c r="G1426" s="183">
        <f>IFERROR(__xludf.DUMMYFUNCTION("IFERROR(lookup(9999999999,FILTER('Operações-BR'!$M:$M,'Operações-BR'!$C:$C=A1426,'Operações-BR'!$A:$A&lt;=C1426)),0)"),0.0)</f>
        <v>0</v>
      </c>
      <c r="H1426" s="184">
        <f t="shared" si="2"/>
        <v>0</v>
      </c>
      <c r="I1426" s="184">
        <f>IFERROR(__xludf.DUMMYFUNCTION("IFERROR(lookup(9999999999,FILTER('Operações-BR'!Q:Q,'Operações-BR'!$C:$C=A1426,'Operações-BR'!$A:$A&lt;=C1426))/G1426,0)"),0.0)</f>
        <v>0</v>
      </c>
      <c r="J1426" s="185" t="str">
        <f>IFERROR(VLOOKUP(A1426,Ativos!$A$1:$G2000,5,),"")</f>
        <v/>
      </c>
      <c r="K1426" s="185" t="str">
        <f>IFERROR(VLOOKUP(A1426,Ativos!A:H,8,),"")</f>
        <v/>
      </c>
      <c r="L1426" s="186">
        <f t="shared" si="3"/>
        <v>0</v>
      </c>
    </row>
    <row r="1427" ht="21.0" customHeight="1">
      <c r="A1427" s="187"/>
      <c r="B1427" s="187"/>
      <c r="C1427" s="188"/>
      <c r="D1427" s="135"/>
      <c r="E1427" s="189"/>
      <c r="F1427" s="182" t="str">
        <f t="shared" si="1"/>
        <v/>
      </c>
      <c r="G1427" s="183">
        <f>IFERROR(__xludf.DUMMYFUNCTION("IFERROR(lookup(9999999999,FILTER('Operações-BR'!$M:$M,'Operações-BR'!$C:$C=A1427,'Operações-BR'!$A:$A&lt;=C1427)),0)"),0.0)</f>
        <v>0</v>
      </c>
      <c r="H1427" s="184">
        <f t="shared" si="2"/>
        <v>0</v>
      </c>
      <c r="I1427" s="184">
        <f>IFERROR(__xludf.DUMMYFUNCTION("IFERROR(lookup(9999999999,FILTER('Operações-BR'!Q:Q,'Operações-BR'!$C:$C=A1427,'Operações-BR'!$A:$A&lt;=C1427))/G1427,0)"),0.0)</f>
        <v>0</v>
      </c>
      <c r="J1427" s="185" t="str">
        <f>IFERROR(VLOOKUP(A1427,Ativos!$A$1:$G2000,5,),"")</f>
        <v/>
      </c>
      <c r="K1427" s="185" t="str">
        <f>IFERROR(VLOOKUP(A1427,Ativos!A:H,8,),"")</f>
        <v/>
      </c>
      <c r="L1427" s="186">
        <f t="shared" si="3"/>
        <v>0</v>
      </c>
    </row>
    <row r="1428" ht="21.0" customHeight="1">
      <c r="A1428" s="187"/>
      <c r="B1428" s="187"/>
      <c r="C1428" s="188"/>
      <c r="D1428" s="135"/>
      <c r="E1428" s="189"/>
      <c r="F1428" s="182" t="str">
        <f t="shared" si="1"/>
        <v/>
      </c>
      <c r="G1428" s="183">
        <f>IFERROR(__xludf.DUMMYFUNCTION("IFERROR(lookup(9999999999,FILTER('Operações-BR'!$M:$M,'Operações-BR'!$C:$C=A1428,'Operações-BR'!$A:$A&lt;=C1428)),0)"),0.0)</f>
        <v>0</v>
      </c>
      <c r="H1428" s="184">
        <f t="shared" si="2"/>
        <v>0</v>
      </c>
      <c r="I1428" s="184">
        <f>IFERROR(__xludf.DUMMYFUNCTION("IFERROR(lookup(9999999999,FILTER('Operações-BR'!Q:Q,'Operações-BR'!$C:$C=A1428,'Operações-BR'!$A:$A&lt;=C1428))/G1428,0)"),0.0)</f>
        <v>0</v>
      </c>
      <c r="J1428" s="185" t="str">
        <f>IFERROR(VLOOKUP(A1428,Ativos!$A$1:$G2000,5,),"")</f>
        <v/>
      </c>
      <c r="K1428" s="185" t="str">
        <f>IFERROR(VLOOKUP(A1428,Ativos!A:H,8,),"")</f>
        <v/>
      </c>
      <c r="L1428" s="186">
        <f t="shared" si="3"/>
        <v>0</v>
      </c>
    </row>
    <row r="1429" ht="21.0" customHeight="1">
      <c r="A1429" s="187"/>
      <c r="B1429" s="187"/>
      <c r="C1429" s="188"/>
      <c r="D1429" s="135"/>
      <c r="E1429" s="189"/>
      <c r="F1429" s="182" t="str">
        <f t="shared" si="1"/>
        <v/>
      </c>
      <c r="G1429" s="183">
        <f>IFERROR(__xludf.DUMMYFUNCTION("IFERROR(lookup(9999999999,FILTER('Operações-BR'!$M:$M,'Operações-BR'!$C:$C=A1429,'Operações-BR'!$A:$A&lt;=C1429)),0)"),0.0)</f>
        <v>0</v>
      </c>
      <c r="H1429" s="184">
        <f t="shared" si="2"/>
        <v>0</v>
      </c>
      <c r="I1429" s="184">
        <f>IFERROR(__xludf.DUMMYFUNCTION("IFERROR(lookup(9999999999,FILTER('Operações-BR'!Q:Q,'Operações-BR'!$C:$C=A1429,'Operações-BR'!$A:$A&lt;=C1429))/G1429,0)"),0.0)</f>
        <v>0</v>
      </c>
      <c r="J1429" s="185" t="str">
        <f>IFERROR(VLOOKUP(A1429,Ativos!$A$1:$G2000,5,),"")</f>
        <v/>
      </c>
      <c r="K1429" s="185" t="str">
        <f>IFERROR(VLOOKUP(A1429,Ativos!A:H,8,),"")</f>
        <v/>
      </c>
      <c r="L1429" s="186">
        <f t="shared" si="3"/>
        <v>0</v>
      </c>
    </row>
    <row r="1430" ht="21.0" customHeight="1">
      <c r="A1430" s="187"/>
      <c r="B1430" s="187"/>
      <c r="C1430" s="188"/>
      <c r="D1430" s="135"/>
      <c r="E1430" s="189"/>
      <c r="F1430" s="182" t="str">
        <f t="shared" si="1"/>
        <v/>
      </c>
      <c r="G1430" s="183">
        <f>IFERROR(__xludf.DUMMYFUNCTION("IFERROR(lookup(9999999999,FILTER('Operações-BR'!$M:$M,'Operações-BR'!$C:$C=A1430,'Operações-BR'!$A:$A&lt;=C1430)),0)"),0.0)</f>
        <v>0</v>
      </c>
      <c r="H1430" s="184">
        <f t="shared" si="2"/>
        <v>0</v>
      </c>
      <c r="I1430" s="184">
        <f>IFERROR(__xludf.DUMMYFUNCTION("IFERROR(lookup(9999999999,FILTER('Operações-BR'!Q:Q,'Operações-BR'!$C:$C=A1430,'Operações-BR'!$A:$A&lt;=C1430))/G1430,0)"),0.0)</f>
        <v>0</v>
      </c>
      <c r="J1430" s="185" t="str">
        <f>IFERROR(VLOOKUP(A1430,Ativos!$A$1:$G2000,5,),"")</f>
        <v/>
      </c>
      <c r="K1430" s="185" t="str">
        <f>IFERROR(VLOOKUP(A1430,Ativos!A:H,8,),"")</f>
        <v/>
      </c>
      <c r="L1430" s="186">
        <f t="shared" si="3"/>
        <v>0</v>
      </c>
    </row>
    <row r="1431" ht="21.0" customHeight="1">
      <c r="A1431" s="187"/>
      <c r="B1431" s="187"/>
      <c r="C1431" s="188"/>
      <c r="D1431" s="135"/>
      <c r="E1431" s="189"/>
      <c r="F1431" s="182" t="str">
        <f t="shared" si="1"/>
        <v/>
      </c>
      <c r="G1431" s="183">
        <f>IFERROR(__xludf.DUMMYFUNCTION("IFERROR(lookup(9999999999,FILTER('Operações-BR'!$M:$M,'Operações-BR'!$C:$C=A1431,'Operações-BR'!$A:$A&lt;=C1431)),0)"),0.0)</f>
        <v>0</v>
      </c>
      <c r="H1431" s="184">
        <f t="shared" si="2"/>
        <v>0</v>
      </c>
      <c r="I1431" s="184">
        <f>IFERROR(__xludf.DUMMYFUNCTION("IFERROR(lookup(9999999999,FILTER('Operações-BR'!Q:Q,'Operações-BR'!$C:$C=A1431,'Operações-BR'!$A:$A&lt;=C1431))/G1431,0)"),0.0)</f>
        <v>0</v>
      </c>
      <c r="J1431" s="185" t="str">
        <f>IFERROR(VLOOKUP(A1431,Ativos!$A$1:$G2000,5,),"")</f>
        <v/>
      </c>
      <c r="K1431" s="185" t="str">
        <f>IFERROR(VLOOKUP(A1431,Ativos!A:H,8,),"")</f>
        <v/>
      </c>
      <c r="L1431" s="186">
        <f t="shared" si="3"/>
        <v>0</v>
      </c>
    </row>
    <row r="1432" ht="21.0" customHeight="1">
      <c r="A1432" s="187"/>
      <c r="B1432" s="187"/>
      <c r="C1432" s="188"/>
      <c r="D1432" s="135"/>
      <c r="E1432" s="189"/>
      <c r="F1432" s="182" t="str">
        <f t="shared" si="1"/>
        <v/>
      </c>
      <c r="G1432" s="183">
        <f>IFERROR(__xludf.DUMMYFUNCTION("IFERROR(lookup(9999999999,FILTER('Operações-BR'!$M:$M,'Operações-BR'!$C:$C=A1432,'Operações-BR'!$A:$A&lt;=C1432)),0)"),0.0)</f>
        <v>0</v>
      </c>
      <c r="H1432" s="184">
        <f t="shared" si="2"/>
        <v>0</v>
      </c>
      <c r="I1432" s="184">
        <f>IFERROR(__xludf.DUMMYFUNCTION("IFERROR(lookup(9999999999,FILTER('Operações-BR'!Q:Q,'Operações-BR'!$C:$C=A1432,'Operações-BR'!$A:$A&lt;=C1432))/G1432,0)"),0.0)</f>
        <v>0</v>
      </c>
      <c r="J1432" s="185" t="str">
        <f>IFERROR(VLOOKUP(A1432,Ativos!$A$1:$G2000,5,),"")</f>
        <v/>
      </c>
      <c r="K1432" s="185" t="str">
        <f>IFERROR(VLOOKUP(A1432,Ativos!A:H,8,),"")</f>
        <v/>
      </c>
      <c r="L1432" s="186">
        <f t="shared" si="3"/>
        <v>0</v>
      </c>
    </row>
    <row r="1433" ht="21.0" customHeight="1">
      <c r="A1433" s="187"/>
      <c r="B1433" s="187"/>
      <c r="C1433" s="188"/>
      <c r="D1433" s="135"/>
      <c r="E1433" s="189"/>
      <c r="F1433" s="182" t="str">
        <f t="shared" si="1"/>
        <v/>
      </c>
      <c r="G1433" s="183">
        <f>IFERROR(__xludf.DUMMYFUNCTION("IFERROR(lookup(9999999999,FILTER('Operações-BR'!$M:$M,'Operações-BR'!$C:$C=A1433,'Operações-BR'!$A:$A&lt;=C1433)),0)"),0.0)</f>
        <v>0</v>
      </c>
      <c r="H1433" s="184">
        <f t="shared" si="2"/>
        <v>0</v>
      </c>
      <c r="I1433" s="184">
        <f>IFERROR(__xludf.DUMMYFUNCTION("IFERROR(lookup(9999999999,FILTER('Operações-BR'!Q:Q,'Operações-BR'!$C:$C=A1433,'Operações-BR'!$A:$A&lt;=C1433))/G1433,0)"),0.0)</f>
        <v>0</v>
      </c>
      <c r="J1433" s="185" t="str">
        <f>IFERROR(VLOOKUP(A1433,Ativos!$A$1:$G2000,5,),"")</f>
        <v/>
      </c>
      <c r="K1433" s="185" t="str">
        <f>IFERROR(VLOOKUP(A1433,Ativos!A:H,8,),"")</f>
        <v/>
      </c>
      <c r="L1433" s="186">
        <f t="shared" si="3"/>
        <v>0</v>
      </c>
    </row>
    <row r="1434" ht="21.0" customHeight="1">
      <c r="A1434" s="187"/>
      <c r="B1434" s="187"/>
      <c r="C1434" s="188"/>
      <c r="D1434" s="135"/>
      <c r="E1434" s="189"/>
      <c r="F1434" s="182" t="str">
        <f t="shared" si="1"/>
        <v/>
      </c>
      <c r="G1434" s="183">
        <f>IFERROR(__xludf.DUMMYFUNCTION("IFERROR(lookup(9999999999,FILTER('Operações-BR'!$M:$M,'Operações-BR'!$C:$C=A1434,'Operações-BR'!$A:$A&lt;=C1434)),0)"),0.0)</f>
        <v>0</v>
      </c>
      <c r="H1434" s="184">
        <f t="shared" si="2"/>
        <v>0</v>
      </c>
      <c r="I1434" s="184">
        <f>IFERROR(__xludf.DUMMYFUNCTION("IFERROR(lookup(9999999999,FILTER('Operações-BR'!Q:Q,'Operações-BR'!$C:$C=A1434,'Operações-BR'!$A:$A&lt;=C1434))/G1434,0)"),0.0)</f>
        <v>0</v>
      </c>
      <c r="J1434" s="185" t="str">
        <f>IFERROR(VLOOKUP(A1434,Ativos!$A$1:$G2000,5,),"")</f>
        <v/>
      </c>
      <c r="K1434" s="185" t="str">
        <f>IFERROR(VLOOKUP(A1434,Ativos!A:H,8,),"")</f>
        <v/>
      </c>
      <c r="L1434" s="186">
        <f t="shared" si="3"/>
        <v>0</v>
      </c>
    </row>
    <row r="1435" ht="21.0" customHeight="1">
      <c r="A1435" s="187"/>
      <c r="B1435" s="187"/>
      <c r="C1435" s="188"/>
      <c r="D1435" s="135"/>
      <c r="E1435" s="189"/>
      <c r="F1435" s="182" t="str">
        <f t="shared" si="1"/>
        <v/>
      </c>
      <c r="G1435" s="183">
        <f>IFERROR(__xludf.DUMMYFUNCTION("IFERROR(lookup(9999999999,FILTER('Operações-BR'!$M:$M,'Operações-BR'!$C:$C=A1435,'Operações-BR'!$A:$A&lt;=C1435)),0)"),0.0)</f>
        <v>0</v>
      </c>
      <c r="H1435" s="184">
        <f t="shared" si="2"/>
        <v>0</v>
      </c>
      <c r="I1435" s="184">
        <f>IFERROR(__xludf.DUMMYFUNCTION("IFERROR(lookup(9999999999,FILTER('Operações-BR'!Q:Q,'Operações-BR'!$C:$C=A1435,'Operações-BR'!$A:$A&lt;=C1435))/G1435,0)"),0.0)</f>
        <v>0</v>
      </c>
      <c r="J1435" s="185" t="str">
        <f>IFERROR(VLOOKUP(A1435,Ativos!$A$1:$G2000,5,),"")</f>
        <v/>
      </c>
      <c r="K1435" s="185" t="str">
        <f>IFERROR(VLOOKUP(A1435,Ativos!A:H,8,),"")</f>
        <v/>
      </c>
      <c r="L1435" s="186">
        <f t="shared" si="3"/>
        <v>0</v>
      </c>
    </row>
    <row r="1436" ht="21.0" customHeight="1">
      <c r="A1436" s="187"/>
      <c r="B1436" s="187"/>
      <c r="C1436" s="188"/>
      <c r="D1436" s="135"/>
      <c r="E1436" s="189"/>
      <c r="F1436" s="182" t="str">
        <f t="shared" si="1"/>
        <v/>
      </c>
      <c r="G1436" s="183">
        <f>IFERROR(__xludf.DUMMYFUNCTION("IFERROR(lookup(9999999999,FILTER('Operações-BR'!$M:$M,'Operações-BR'!$C:$C=A1436,'Operações-BR'!$A:$A&lt;=C1436)),0)"),0.0)</f>
        <v>0</v>
      </c>
      <c r="H1436" s="184">
        <f t="shared" si="2"/>
        <v>0</v>
      </c>
      <c r="I1436" s="184">
        <f>IFERROR(__xludf.DUMMYFUNCTION("IFERROR(lookup(9999999999,FILTER('Operações-BR'!Q:Q,'Operações-BR'!$C:$C=A1436,'Operações-BR'!$A:$A&lt;=C1436))/G1436,0)"),0.0)</f>
        <v>0</v>
      </c>
      <c r="J1436" s="185" t="str">
        <f>IFERROR(VLOOKUP(A1436,Ativos!$A$1:$G2000,5,),"")</f>
        <v/>
      </c>
      <c r="K1436" s="185" t="str">
        <f>IFERROR(VLOOKUP(A1436,Ativos!A:H,8,),"")</f>
        <v/>
      </c>
      <c r="L1436" s="186">
        <f t="shared" si="3"/>
        <v>0</v>
      </c>
    </row>
    <row r="1437" ht="21.0" customHeight="1">
      <c r="A1437" s="187"/>
      <c r="B1437" s="187"/>
      <c r="C1437" s="188"/>
      <c r="D1437" s="135"/>
      <c r="E1437" s="189"/>
      <c r="F1437" s="182" t="str">
        <f t="shared" si="1"/>
        <v/>
      </c>
      <c r="G1437" s="183">
        <f>IFERROR(__xludf.DUMMYFUNCTION("IFERROR(lookup(9999999999,FILTER('Operações-BR'!$M:$M,'Operações-BR'!$C:$C=A1437,'Operações-BR'!$A:$A&lt;=C1437)),0)"),0.0)</f>
        <v>0</v>
      </c>
      <c r="H1437" s="184">
        <f t="shared" si="2"/>
        <v>0</v>
      </c>
      <c r="I1437" s="184">
        <f>IFERROR(__xludf.DUMMYFUNCTION("IFERROR(lookup(9999999999,FILTER('Operações-BR'!Q:Q,'Operações-BR'!$C:$C=A1437,'Operações-BR'!$A:$A&lt;=C1437))/G1437,0)"),0.0)</f>
        <v>0</v>
      </c>
      <c r="J1437" s="185" t="str">
        <f>IFERROR(VLOOKUP(A1437,Ativos!$A$1:$G2000,5,),"")</f>
        <v/>
      </c>
      <c r="K1437" s="185" t="str">
        <f>IFERROR(VLOOKUP(A1437,Ativos!A:H,8,),"")</f>
        <v/>
      </c>
      <c r="L1437" s="186">
        <f t="shared" si="3"/>
        <v>0</v>
      </c>
    </row>
    <row r="1438" ht="21.0" customHeight="1">
      <c r="A1438" s="187"/>
      <c r="B1438" s="187"/>
      <c r="C1438" s="188"/>
      <c r="D1438" s="135"/>
      <c r="E1438" s="189"/>
      <c r="F1438" s="182" t="str">
        <f t="shared" si="1"/>
        <v/>
      </c>
      <c r="G1438" s="183">
        <f>IFERROR(__xludf.DUMMYFUNCTION("IFERROR(lookup(9999999999,FILTER('Operações-BR'!$M:$M,'Operações-BR'!$C:$C=A1438,'Operações-BR'!$A:$A&lt;=C1438)),0)"),0.0)</f>
        <v>0</v>
      </c>
      <c r="H1438" s="184">
        <f t="shared" si="2"/>
        <v>0</v>
      </c>
      <c r="I1438" s="184">
        <f>IFERROR(__xludf.DUMMYFUNCTION("IFERROR(lookup(9999999999,FILTER('Operações-BR'!Q:Q,'Operações-BR'!$C:$C=A1438,'Operações-BR'!$A:$A&lt;=C1438))/G1438,0)"),0.0)</f>
        <v>0</v>
      </c>
      <c r="J1438" s="185" t="str">
        <f>IFERROR(VLOOKUP(A1438,Ativos!$A$1:$G2000,5,),"")</f>
        <v/>
      </c>
      <c r="K1438" s="185" t="str">
        <f>IFERROR(VLOOKUP(A1438,Ativos!A:H,8,),"")</f>
        <v/>
      </c>
      <c r="L1438" s="186">
        <f t="shared" si="3"/>
        <v>0</v>
      </c>
    </row>
    <row r="1439" ht="21.0" customHeight="1">
      <c r="A1439" s="187"/>
      <c r="B1439" s="187"/>
      <c r="C1439" s="188"/>
      <c r="D1439" s="135"/>
      <c r="E1439" s="189"/>
      <c r="F1439" s="182" t="str">
        <f t="shared" si="1"/>
        <v/>
      </c>
      <c r="G1439" s="183">
        <f>IFERROR(__xludf.DUMMYFUNCTION("IFERROR(lookup(9999999999,FILTER('Operações-BR'!$M:$M,'Operações-BR'!$C:$C=A1439,'Operações-BR'!$A:$A&lt;=C1439)),0)"),0.0)</f>
        <v>0</v>
      </c>
      <c r="H1439" s="184">
        <f t="shared" si="2"/>
        <v>0</v>
      </c>
      <c r="I1439" s="184">
        <f>IFERROR(__xludf.DUMMYFUNCTION("IFERROR(lookup(9999999999,FILTER('Operações-BR'!Q:Q,'Operações-BR'!$C:$C=A1439,'Operações-BR'!$A:$A&lt;=C1439))/G1439,0)"),0.0)</f>
        <v>0</v>
      </c>
      <c r="J1439" s="185" t="str">
        <f>IFERROR(VLOOKUP(A1439,Ativos!$A$1:$G2000,5,),"")</f>
        <v/>
      </c>
      <c r="K1439" s="185" t="str">
        <f>IFERROR(VLOOKUP(A1439,Ativos!A:H,8,),"")</f>
        <v/>
      </c>
      <c r="L1439" s="186">
        <f t="shared" si="3"/>
        <v>0</v>
      </c>
    </row>
    <row r="1440" ht="21.0" customHeight="1">
      <c r="A1440" s="187"/>
      <c r="B1440" s="187"/>
      <c r="C1440" s="188"/>
      <c r="D1440" s="135"/>
      <c r="E1440" s="189"/>
      <c r="F1440" s="182" t="str">
        <f t="shared" si="1"/>
        <v/>
      </c>
      <c r="G1440" s="183">
        <f>IFERROR(__xludf.DUMMYFUNCTION("IFERROR(lookup(9999999999,FILTER('Operações-BR'!$M:$M,'Operações-BR'!$C:$C=A1440,'Operações-BR'!$A:$A&lt;=C1440)),0)"),0.0)</f>
        <v>0</v>
      </c>
      <c r="H1440" s="184">
        <f t="shared" si="2"/>
        <v>0</v>
      </c>
      <c r="I1440" s="184">
        <f>IFERROR(__xludf.DUMMYFUNCTION("IFERROR(lookup(9999999999,FILTER('Operações-BR'!Q:Q,'Operações-BR'!$C:$C=A1440,'Operações-BR'!$A:$A&lt;=C1440))/G1440,0)"),0.0)</f>
        <v>0</v>
      </c>
      <c r="J1440" s="185" t="str">
        <f>IFERROR(VLOOKUP(A1440,Ativos!$A$1:$G2000,5,),"")</f>
        <v/>
      </c>
      <c r="K1440" s="185" t="str">
        <f>IFERROR(VLOOKUP(A1440,Ativos!A:H,8,),"")</f>
        <v/>
      </c>
      <c r="L1440" s="186">
        <f t="shared" si="3"/>
        <v>0</v>
      </c>
    </row>
    <row r="1441" ht="21.0" customHeight="1">
      <c r="A1441" s="187"/>
      <c r="B1441" s="187"/>
      <c r="C1441" s="188"/>
      <c r="D1441" s="135"/>
      <c r="E1441" s="189"/>
      <c r="F1441" s="182" t="str">
        <f t="shared" si="1"/>
        <v/>
      </c>
      <c r="G1441" s="183">
        <f>IFERROR(__xludf.DUMMYFUNCTION("IFERROR(lookup(9999999999,FILTER('Operações-BR'!$M:$M,'Operações-BR'!$C:$C=A1441,'Operações-BR'!$A:$A&lt;=C1441)),0)"),0.0)</f>
        <v>0</v>
      </c>
      <c r="H1441" s="184">
        <f t="shared" si="2"/>
        <v>0</v>
      </c>
      <c r="I1441" s="184">
        <f>IFERROR(__xludf.DUMMYFUNCTION("IFERROR(lookup(9999999999,FILTER('Operações-BR'!Q:Q,'Operações-BR'!$C:$C=A1441,'Operações-BR'!$A:$A&lt;=C1441))/G1441,0)"),0.0)</f>
        <v>0</v>
      </c>
      <c r="J1441" s="185" t="str">
        <f>IFERROR(VLOOKUP(A1441,Ativos!$A$1:$G2000,5,),"")</f>
        <v/>
      </c>
      <c r="K1441" s="185" t="str">
        <f>IFERROR(VLOOKUP(A1441,Ativos!A:H,8,),"")</f>
        <v/>
      </c>
      <c r="L1441" s="186">
        <f t="shared" si="3"/>
        <v>0</v>
      </c>
    </row>
    <row r="1442" ht="21.0" customHeight="1">
      <c r="A1442" s="187"/>
      <c r="B1442" s="187"/>
      <c r="C1442" s="188"/>
      <c r="D1442" s="135"/>
      <c r="E1442" s="189"/>
      <c r="F1442" s="182" t="str">
        <f t="shared" si="1"/>
        <v/>
      </c>
      <c r="G1442" s="183">
        <f>IFERROR(__xludf.DUMMYFUNCTION("IFERROR(lookup(9999999999,FILTER('Operações-BR'!$M:$M,'Operações-BR'!$C:$C=A1442,'Operações-BR'!$A:$A&lt;=C1442)),0)"),0.0)</f>
        <v>0</v>
      </c>
      <c r="H1442" s="184">
        <f t="shared" si="2"/>
        <v>0</v>
      </c>
      <c r="I1442" s="184">
        <f>IFERROR(__xludf.DUMMYFUNCTION("IFERROR(lookup(9999999999,FILTER('Operações-BR'!Q:Q,'Operações-BR'!$C:$C=A1442,'Operações-BR'!$A:$A&lt;=C1442))/G1442,0)"),0.0)</f>
        <v>0</v>
      </c>
      <c r="J1442" s="185" t="str">
        <f>IFERROR(VLOOKUP(A1442,Ativos!$A$1:$G2000,5,),"")</f>
        <v/>
      </c>
      <c r="K1442" s="185" t="str">
        <f>IFERROR(VLOOKUP(A1442,Ativos!A:H,8,),"")</f>
        <v/>
      </c>
      <c r="L1442" s="186">
        <f t="shared" si="3"/>
        <v>0</v>
      </c>
    </row>
    <row r="1443" ht="21.0" customHeight="1">
      <c r="A1443" s="187"/>
      <c r="B1443" s="187"/>
      <c r="C1443" s="188"/>
      <c r="D1443" s="135"/>
      <c r="E1443" s="189"/>
      <c r="F1443" s="182" t="str">
        <f t="shared" si="1"/>
        <v/>
      </c>
      <c r="G1443" s="183">
        <f>IFERROR(__xludf.DUMMYFUNCTION("IFERROR(lookup(9999999999,FILTER('Operações-BR'!$M:$M,'Operações-BR'!$C:$C=A1443,'Operações-BR'!$A:$A&lt;=C1443)),0)"),0.0)</f>
        <v>0</v>
      </c>
      <c r="H1443" s="184">
        <f t="shared" si="2"/>
        <v>0</v>
      </c>
      <c r="I1443" s="184">
        <f>IFERROR(__xludf.DUMMYFUNCTION("IFERROR(lookup(9999999999,FILTER('Operações-BR'!Q:Q,'Operações-BR'!$C:$C=A1443,'Operações-BR'!$A:$A&lt;=C1443))/G1443,0)"),0.0)</f>
        <v>0</v>
      </c>
      <c r="J1443" s="185" t="str">
        <f>IFERROR(VLOOKUP(A1443,Ativos!$A$1:$G2000,5,),"")</f>
        <v/>
      </c>
      <c r="K1443" s="185" t="str">
        <f>IFERROR(VLOOKUP(A1443,Ativos!A:H,8,),"")</f>
        <v/>
      </c>
      <c r="L1443" s="186">
        <f t="shared" si="3"/>
        <v>0</v>
      </c>
    </row>
    <row r="1444" ht="21.0" customHeight="1">
      <c r="A1444" s="187"/>
      <c r="B1444" s="187"/>
      <c r="C1444" s="188"/>
      <c r="D1444" s="135"/>
      <c r="E1444" s="189"/>
      <c r="F1444" s="182" t="str">
        <f t="shared" si="1"/>
        <v/>
      </c>
      <c r="G1444" s="183">
        <f>IFERROR(__xludf.DUMMYFUNCTION("IFERROR(lookup(9999999999,FILTER('Operações-BR'!$M:$M,'Operações-BR'!$C:$C=A1444,'Operações-BR'!$A:$A&lt;=C1444)),0)"),0.0)</f>
        <v>0</v>
      </c>
      <c r="H1444" s="184">
        <f t="shared" si="2"/>
        <v>0</v>
      </c>
      <c r="I1444" s="184">
        <f>IFERROR(__xludf.DUMMYFUNCTION("IFERROR(lookup(9999999999,FILTER('Operações-BR'!Q:Q,'Operações-BR'!$C:$C=A1444,'Operações-BR'!$A:$A&lt;=C1444))/G1444,0)"),0.0)</f>
        <v>0</v>
      </c>
      <c r="J1444" s="185" t="str">
        <f>IFERROR(VLOOKUP(A1444,Ativos!$A$1:$G2000,5,),"")</f>
        <v/>
      </c>
      <c r="K1444" s="185" t="str">
        <f>IFERROR(VLOOKUP(A1444,Ativos!A:H,8,),"")</f>
        <v/>
      </c>
      <c r="L1444" s="186">
        <f t="shared" si="3"/>
        <v>0</v>
      </c>
    </row>
    <row r="1445" ht="21.0" customHeight="1">
      <c r="A1445" s="187"/>
      <c r="B1445" s="187"/>
      <c r="C1445" s="188"/>
      <c r="D1445" s="135"/>
      <c r="E1445" s="189"/>
      <c r="F1445" s="182" t="str">
        <f t="shared" si="1"/>
        <v/>
      </c>
      <c r="G1445" s="183">
        <f>IFERROR(__xludf.DUMMYFUNCTION("IFERROR(lookup(9999999999,FILTER('Operações-BR'!$M:$M,'Operações-BR'!$C:$C=A1445,'Operações-BR'!$A:$A&lt;=C1445)),0)"),0.0)</f>
        <v>0</v>
      </c>
      <c r="H1445" s="184">
        <f t="shared" si="2"/>
        <v>0</v>
      </c>
      <c r="I1445" s="184">
        <f>IFERROR(__xludf.DUMMYFUNCTION("IFERROR(lookup(9999999999,FILTER('Operações-BR'!Q:Q,'Operações-BR'!$C:$C=A1445,'Operações-BR'!$A:$A&lt;=C1445))/G1445,0)"),0.0)</f>
        <v>0</v>
      </c>
      <c r="J1445" s="185" t="str">
        <f>IFERROR(VLOOKUP(A1445,Ativos!$A$1:$G2000,5,),"")</f>
        <v/>
      </c>
      <c r="K1445" s="185" t="str">
        <f>IFERROR(VLOOKUP(A1445,Ativos!A:H,8,),"")</f>
        <v/>
      </c>
      <c r="L1445" s="186">
        <f t="shared" si="3"/>
        <v>0</v>
      </c>
    </row>
    <row r="1446" ht="21.0" customHeight="1">
      <c r="A1446" s="187"/>
      <c r="B1446" s="187"/>
      <c r="C1446" s="188"/>
      <c r="D1446" s="135"/>
      <c r="E1446" s="189"/>
      <c r="F1446" s="182" t="str">
        <f t="shared" si="1"/>
        <v/>
      </c>
      <c r="G1446" s="183">
        <f>IFERROR(__xludf.DUMMYFUNCTION("IFERROR(lookup(9999999999,FILTER('Operações-BR'!$M:$M,'Operações-BR'!$C:$C=A1446,'Operações-BR'!$A:$A&lt;=C1446)),0)"),0.0)</f>
        <v>0</v>
      </c>
      <c r="H1446" s="184">
        <f t="shared" si="2"/>
        <v>0</v>
      </c>
      <c r="I1446" s="184">
        <f>IFERROR(__xludf.DUMMYFUNCTION("IFERROR(lookup(9999999999,FILTER('Operações-BR'!Q:Q,'Operações-BR'!$C:$C=A1446,'Operações-BR'!$A:$A&lt;=C1446))/G1446,0)"),0.0)</f>
        <v>0</v>
      </c>
      <c r="J1446" s="185" t="str">
        <f>IFERROR(VLOOKUP(A1446,Ativos!$A$1:$G2000,5,),"")</f>
        <v/>
      </c>
      <c r="K1446" s="185" t="str">
        <f>IFERROR(VLOOKUP(A1446,Ativos!A:H,8,),"")</f>
        <v/>
      </c>
      <c r="L1446" s="186">
        <f t="shared" si="3"/>
        <v>0</v>
      </c>
    </row>
    <row r="1447" ht="21.0" customHeight="1">
      <c r="A1447" s="187"/>
      <c r="B1447" s="187"/>
      <c r="C1447" s="188"/>
      <c r="D1447" s="135"/>
      <c r="E1447" s="189"/>
      <c r="F1447" s="182" t="str">
        <f t="shared" si="1"/>
        <v/>
      </c>
      <c r="G1447" s="183">
        <f>IFERROR(__xludf.DUMMYFUNCTION("IFERROR(lookup(9999999999,FILTER('Operações-BR'!$M:$M,'Operações-BR'!$C:$C=A1447,'Operações-BR'!$A:$A&lt;=C1447)),0)"),0.0)</f>
        <v>0</v>
      </c>
      <c r="H1447" s="184">
        <f t="shared" si="2"/>
        <v>0</v>
      </c>
      <c r="I1447" s="184">
        <f>IFERROR(__xludf.DUMMYFUNCTION("IFERROR(lookup(9999999999,FILTER('Operações-BR'!Q:Q,'Operações-BR'!$C:$C=A1447,'Operações-BR'!$A:$A&lt;=C1447))/G1447,0)"),0.0)</f>
        <v>0</v>
      </c>
      <c r="J1447" s="185" t="str">
        <f>IFERROR(VLOOKUP(A1447,Ativos!$A$1:$G2000,5,),"")</f>
        <v/>
      </c>
      <c r="K1447" s="185" t="str">
        <f>IFERROR(VLOOKUP(A1447,Ativos!A:H,8,),"")</f>
        <v/>
      </c>
      <c r="L1447" s="186">
        <f t="shared" si="3"/>
        <v>0</v>
      </c>
    </row>
    <row r="1448" ht="21.0" customHeight="1">
      <c r="A1448" s="187"/>
      <c r="B1448" s="187"/>
      <c r="C1448" s="188"/>
      <c r="D1448" s="135"/>
      <c r="E1448" s="189"/>
      <c r="F1448" s="182" t="str">
        <f t="shared" si="1"/>
        <v/>
      </c>
      <c r="G1448" s="183">
        <f>IFERROR(__xludf.DUMMYFUNCTION("IFERROR(lookup(9999999999,FILTER('Operações-BR'!$M:$M,'Operações-BR'!$C:$C=A1448,'Operações-BR'!$A:$A&lt;=C1448)),0)"),0.0)</f>
        <v>0</v>
      </c>
      <c r="H1448" s="184">
        <f t="shared" si="2"/>
        <v>0</v>
      </c>
      <c r="I1448" s="184">
        <f>IFERROR(__xludf.DUMMYFUNCTION("IFERROR(lookup(9999999999,FILTER('Operações-BR'!Q:Q,'Operações-BR'!$C:$C=A1448,'Operações-BR'!$A:$A&lt;=C1448))/G1448,0)"),0.0)</f>
        <v>0</v>
      </c>
      <c r="J1448" s="185" t="str">
        <f>IFERROR(VLOOKUP(A1448,Ativos!$A$1:$G2000,5,),"")</f>
        <v/>
      </c>
      <c r="K1448" s="185" t="str">
        <f>IFERROR(VLOOKUP(A1448,Ativos!A:H,8,),"")</f>
        <v/>
      </c>
      <c r="L1448" s="186">
        <f t="shared" si="3"/>
        <v>0</v>
      </c>
    </row>
    <row r="1449" ht="21.0" customHeight="1">
      <c r="A1449" s="187"/>
      <c r="B1449" s="187"/>
      <c r="C1449" s="188"/>
      <c r="D1449" s="135"/>
      <c r="E1449" s="189"/>
      <c r="F1449" s="182" t="str">
        <f t="shared" si="1"/>
        <v/>
      </c>
      <c r="G1449" s="183">
        <f>IFERROR(__xludf.DUMMYFUNCTION("IFERROR(lookup(9999999999,FILTER('Operações-BR'!$M:$M,'Operações-BR'!$C:$C=A1449,'Operações-BR'!$A:$A&lt;=C1449)),0)"),0.0)</f>
        <v>0</v>
      </c>
      <c r="H1449" s="184">
        <f t="shared" si="2"/>
        <v>0</v>
      </c>
      <c r="I1449" s="184">
        <f>IFERROR(__xludf.DUMMYFUNCTION("IFERROR(lookup(9999999999,FILTER('Operações-BR'!Q:Q,'Operações-BR'!$C:$C=A1449,'Operações-BR'!$A:$A&lt;=C1449))/G1449,0)"),0.0)</f>
        <v>0</v>
      </c>
      <c r="J1449" s="185" t="str">
        <f>IFERROR(VLOOKUP(A1449,Ativos!$A$1:$G2000,5,),"")</f>
        <v/>
      </c>
      <c r="K1449" s="185" t="str">
        <f>IFERROR(VLOOKUP(A1449,Ativos!A:H,8,),"")</f>
        <v/>
      </c>
      <c r="L1449" s="186">
        <f t="shared" si="3"/>
        <v>0</v>
      </c>
    </row>
    <row r="1450" ht="21.0" customHeight="1">
      <c r="A1450" s="187"/>
      <c r="B1450" s="187"/>
      <c r="C1450" s="188"/>
      <c r="D1450" s="135"/>
      <c r="E1450" s="189"/>
      <c r="F1450" s="182" t="str">
        <f t="shared" si="1"/>
        <v/>
      </c>
      <c r="G1450" s="183">
        <f>IFERROR(__xludf.DUMMYFUNCTION("IFERROR(lookup(9999999999,FILTER('Operações-BR'!$M:$M,'Operações-BR'!$C:$C=A1450,'Operações-BR'!$A:$A&lt;=C1450)),0)"),0.0)</f>
        <v>0</v>
      </c>
      <c r="H1450" s="184">
        <f t="shared" si="2"/>
        <v>0</v>
      </c>
      <c r="I1450" s="184">
        <f>IFERROR(__xludf.DUMMYFUNCTION("IFERROR(lookup(9999999999,FILTER('Operações-BR'!Q:Q,'Operações-BR'!$C:$C=A1450,'Operações-BR'!$A:$A&lt;=C1450))/G1450,0)"),0.0)</f>
        <v>0</v>
      </c>
      <c r="J1450" s="185" t="str">
        <f>IFERROR(VLOOKUP(A1450,Ativos!$A$1:$G2000,5,),"")</f>
        <v/>
      </c>
      <c r="K1450" s="185" t="str">
        <f>IFERROR(VLOOKUP(A1450,Ativos!A:H,8,),"")</f>
        <v/>
      </c>
      <c r="L1450" s="186">
        <f t="shared" si="3"/>
        <v>0</v>
      </c>
    </row>
    <row r="1451" ht="21.0" customHeight="1">
      <c r="A1451" s="187"/>
      <c r="B1451" s="187"/>
      <c r="C1451" s="188"/>
      <c r="D1451" s="135"/>
      <c r="E1451" s="189"/>
      <c r="F1451" s="182" t="str">
        <f t="shared" si="1"/>
        <v/>
      </c>
      <c r="G1451" s="183">
        <f>IFERROR(__xludf.DUMMYFUNCTION("IFERROR(lookup(9999999999,FILTER('Operações-BR'!$M:$M,'Operações-BR'!$C:$C=A1451,'Operações-BR'!$A:$A&lt;=C1451)),0)"),0.0)</f>
        <v>0</v>
      </c>
      <c r="H1451" s="184">
        <f t="shared" si="2"/>
        <v>0</v>
      </c>
      <c r="I1451" s="184">
        <f>IFERROR(__xludf.DUMMYFUNCTION("IFERROR(lookup(9999999999,FILTER('Operações-BR'!Q:Q,'Operações-BR'!$C:$C=A1451,'Operações-BR'!$A:$A&lt;=C1451))/G1451,0)"),0.0)</f>
        <v>0</v>
      </c>
      <c r="J1451" s="185" t="str">
        <f>IFERROR(VLOOKUP(A1451,Ativos!$A$1:$G2000,5,),"")</f>
        <v/>
      </c>
      <c r="K1451" s="185" t="str">
        <f>IFERROR(VLOOKUP(A1451,Ativos!A:H,8,),"")</f>
        <v/>
      </c>
      <c r="L1451" s="186">
        <f t="shared" si="3"/>
        <v>0</v>
      </c>
    </row>
    <row r="1452" ht="21.0" customHeight="1">
      <c r="A1452" s="187"/>
      <c r="B1452" s="187"/>
      <c r="C1452" s="188"/>
      <c r="D1452" s="135"/>
      <c r="E1452" s="189"/>
      <c r="F1452" s="182" t="str">
        <f t="shared" si="1"/>
        <v/>
      </c>
      <c r="G1452" s="183">
        <f>IFERROR(__xludf.DUMMYFUNCTION("IFERROR(lookup(9999999999,FILTER('Operações-BR'!$M:$M,'Operações-BR'!$C:$C=A1452,'Operações-BR'!$A:$A&lt;=C1452)),0)"),0.0)</f>
        <v>0</v>
      </c>
      <c r="H1452" s="184">
        <f t="shared" si="2"/>
        <v>0</v>
      </c>
      <c r="I1452" s="184">
        <f>IFERROR(__xludf.DUMMYFUNCTION("IFERROR(lookup(9999999999,FILTER('Operações-BR'!Q:Q,'Operações-BR'!$C:$C=A1452,'Operações-BR'!$A:$A&lt;=C1452))/G1452,0)"),0.0)</f>
        <v>0</v>
      </c>
      <c r="J1452" s="185" t="str">
        <f>IFERROR(VLOOKUP(A1452,Ativos!$A$1:$G2000,5,),"")</f>
        <v/>
      </c>
      <c r="K1452" s="185" t="str">
        <f>IFERROR(VLOOKUP(A1452,Ativos!A:H,8,),"")</f>
        <v/>
      </c>
      <c r="L1452" s="186">
        <f t="shared" si="3"/>
        <v>0</v>
      </c>
    </row>
    <row r="1453" ht="21.0" customHeight="1">
      <c r="A1453" s="187"/>
      <c r="B1453" s="187"/>
      <c r="C1453" s="188"/>
      <c r="D1453" s="135"/>
      <c r="E1453" s="189"/>
      <c r="F1453" s="182" t="str">
        <f t="shared" si="1"/>
        <v/>
      </c>
      <c r="G1453" s="183">
        <f>IFERROR(__xludf.DUMMYFUNCTION("IFERROR(lookup(9999999999,FILTER('Operações-BR'!$M:$M,'Operações-BR'!$C:$C=A1453,'Operações-BR'!$A:$A&lt;=C1453)),0)"),0.0)</f>
        <v>0</v>
      </c>
      <c r="H1453" s="184">
        <f t="shared" si="2"/>
        <v>0</v>
      </c>
      <c r="I1453" s="184">
        <f>IFERROR(__xludf.DUMMYFUNCTION("IFERROR(lookup(9999999999,FILTER('Operações-BR'!Q:Q,'Operações-BR'!$C:$C=A1453,'Operações-BR'!$A:$A&lt;=C1453))/G1453,0)"),0.0)</f>
        <v>0</v>
      </c>
      <c r="J1453" s="185" t="str">
        <f>IFERROR(VLOOKUP(A1453,Ativos!$A$1:$G2000,5,),"")</f>
        <v/>
      </c>
      <c r="K1453" s="185" t="str">
        <f>IFERROR(VLOOKUP(A1453,Ativos!A:H,8,),"")</f>
        <v/>
      </c>
      <c r="L1453" s="186">
        <f t="shared" si="3"/>
        <v>0</v>
      </c>
    </row>
    <row r="1454" ht="21.0" customHeight="1">
      <c r="A1454" s="187"/>
      <c r="B1454" s="187"/>
      <c r="C1454" s="188"/>
      <c r="D1454" s="135"/>
      <c r="E1454" s="189"/>
      <c r="F1454" s="182" t="str">
        <f t="shared" si="1"/>
        <v/>
      </c>
      <c r="G1454" s="183">
        <f>IFERROR(__xludf.DUMMYFUNCTION("IFERROR(lookup(9999999999,FILTER('Operações-BR'!$M:$M,'Operações-BR'!$C:$C=A1454,'Operações-BR'!$A:$A&lt;=C1454)),0)"),0.0)</f>
        <v>0</v>
      </c>
      <c r="H1454" s="184">
        <f t="shared" si="2"/>
        <v>0</v>
      </c>
      <c r="I1454" s="184">
        <f>IFERROR(__xludf.DUMMYFUNCTION("IFERROR(lookup(9999999999,FILTER('Operações-BR'!Q:Q,'Operações-BR'!$C:$C=A1454,'Operações-BR'!$A:$A&lt;=C1454))/G1454,0)"),0.0)</f>
        <v>0</v>
      </c>
      <c r="J1454" s="185" t="str">
        <f>IFERROR(VLOOKUP(A1454,Ativos!$A$1:$G2000,5,),"")</f>
        <v/>
      </c>
      <c r="K1454" s="185" t="str">
        <f>IFERROR(VLOOKUP(A1454,Ativos!A:H,8,),"")</f>
        <v/>
      </c>
      <c r="L1454" s="186">
        <f t="shared" si="3"/>
        <v>0</v>
      </c>
    </row>
    <row r="1455" ht="21.0" customHeight="1">
      <c r="A1455" s="187"/>
      <c r="B1455" s="187"/>
      <c r="C1455" s="188"/>
      <c r="D1455" s="135"/>
      <c r="E1455" s="189"/>
      <c r="F1455" s="182" t="str">
        <f t="shared" si="1"/>
        <v/>
      </c>
      <c r="G1455" s="183">
        <f>IFERROR(__xludf.DUMMYFUNCTION("IFERROR(lookup(9999999999,FILTER('Operações-BR'!$M:$M,'Operações-BR'!$C:$C=A1455,'Operações-BR'!$A:$A&lt;=C1455)),0)"),0.0)</f>
        <v>0</v>
      </c>
      <c r="H1455" s="184">
        <f t="shared" si="2"/>
        <v>0</v>
      </c>
      <c r="I1455" s="184">
        <f>IFERROR(__xludf.DUMMYFUNCTION("IFERROR(lookup(9999999999,FILTER('Operações-BR'!Q:Q,'Operações-BR'!$C:$C=A1455,'Operações-BR'!$A:$A&lt;=C1455))/G1455,0)"),0.0)</f>
        <v>0</v>
      </c>
      <c r="J1455" s="185" t="str">
        <f>IFERROR(VLOOKUP(A1455,Ativos!$A$1:$G2000,5,),"")</f>
        <v/>
      </c>
      <c r="K1455" s="185" t="str">
        <f>IFERROR(VLOOKUP(A1455,Ativos!A:H,8,),"")</f>
        <v/>
      </c>
      <c r="L1455" s="186">
        <f t="shared" si="3"/>
        <v>0</v>
      </c>
    </row>
    <row r="1456" ht="21.0" customHeight="1">
      <c r="A1456" s="187"/>
      <c r="B1456" s="187"/>
      <c r="C1456" s="188"/>
      <c r="D1456" s="135"/>
      <c r="E1456" s="189"/>
      <c r="F1456" s="182" t="str">
        <f t="shared" si="1"/>
        <v/>
      </c>
      <c r="G1456" s="183">
        <f>IFERROR(__xludf.DUMMYFUNCTION("IFERROR(lookup(9999999999,FILTER('Operações-BR'!$M:$M,'Operações-BR'!$C:$C=A1456,'Operações-BR'!$A:$A&lt;=C1456)),0)"),0.0)</f>
        <v>0</v>
      </c>
      <c r="H1456" s="184">
        <f t="shared" si="2"/>
        <v>0</v>
      </c>
      <c r="I1456" s="184">
        <f>IFERROR(__xludf.DUMMYFUNCTION("IFERROR(lookup(9999999999,FILTER('Operações-BR'!Q:Q,'Operações-BR'!$C:$C=A1456,'Operações-BR'!$A:$A&lt;=C1456))/G1456,0)"),0.0)</f>
        <v>0</v>
      </c>
      <c r="J1456" s="185" t="str">
        <f>IFERROR(VLOOKUP(A1456,Ativos!$A$1:$G2000,5,),"")</f>
        <v/>
      </c>
      <c r="K1456" s="185" t="str">
        <f>IFERROR(VLOOKUP(A1456,Ativos!A:H,8,),"")</f>
        <v/>
      </c>
      <c r="L1456" s="186">
        <f t="shared" si="3"/>
        <v>0</v>
      </c>
    </row>
    <row r="1457" ht="21.0" customHeight="1">
      <c r="A1457" s="187"/>
      <c r="B1457" s="187"/>
      <c r="C1457" s="188"/>
      <c r="D1457" s="135"/>
      <c r="E1457" s="189"/>
      <c r="F1457" s="182" t="str">
        <f t="shared" si="1"/>
        <v/>
      </c>
      <c r="G1457" s="183">
        <f>IFERROR(__xludf.DUMMYFUNCTION("IFERROR(lookup(9999999999,FILTER('Operações-BR'!$M:$M,'Operações-BR'!$C:$C=A1457,'Operações-BR'!$A:$A&lt;=C1457)),0)"),0.0)</f>
        <v>0</v>
      </c>
      <c r="H1457" s="184">
        <f t="shared" si="2"/>
        <v>0</v>
      </c>
      <c r="I1457" s="184">
        <f>IFERROR(__xludf.DUMMYFUNCTION("IFERROR(lookup(9999999999,FILTER('Operações-BR'!Q:Q,'Operações-BR'!$C:$C=A1457,'Operações-BR'!$A:$A&lt;=C1457))/G1457,0)"),0.0)</f>
        <v>0</v>
      </c>
      <c r="J1457" s="185" t="str">
        <f>IFERROR(VLOOKUP(A1457,Ativos!$A$1:$G2000,5,),"")</f>
        <v/>
      </c>
      <c r="K1457" s="185" t="str">
        <f>IFERROR(VLOOKUP(A1457,Ativos!A:H,8,),"")</f>
        <v/>
      </c>
      <c r="L1457" s="186">
        <f t="shared" si="3"/>
        <v>0</v>
      </c>
    </row>
    <row r="1458" ht="21.0" customHeight="1">
      <c r="A1458" s="187"/>
      <c r="B1458" s="187"/>
      <c r="C1458" s="188"/>
      <c r="D1458" s="135"/>
      <c r="E1458" s="189"/>
      <c r="F1458" s="182" t="str">
        <f t="shared" si="1"/>
        <v/>
      </c>
      <c r="G1458" s="183">
        <f>IFERROR(__xludf.DUMMYFUNCTION("IFERROR(lookup(9999999999,FILTER('Operações-BR'!$M:$M,'Operações-BR'!$C:$C=A1458,'Operações-BR'!$A:$A&lt;=C1458)),0)"),0.0)</f>
        <v>0</v>
      </c>
      <c r="H1458" s="184">
        <f t="shared" si="2"/>
        <v>0</v>
      </c>
      <c r="I1458" s="184">
        <f>IFERROR(__xludf.DUMMYFUNCTION("IFERROR(lookup(9999999999,FILTER('Operações-BR'!Q:Q,'Operações-BR'!$C:$C=A1458,'Operações-BR'!$A:$A&lt;=C1458))/G1458,0)"),0.0)</f>
        <v>0</v>
      </c>
      <c r="J1458" s="185" t="str">
        <f>IFERROR(VLOOKUP(A1458,Ativos!$A$1:$G2000,5,),"")</f>
        <v/>
      </c>
      <c r="K1458" s="185" t="str">
        <f>IFERROR(VLOOKUP(A1458,Ativos!A:H,8,),"")</f>
        <v/>
      </c>
      <c r="L1458" s="186">
        <f t="shared" si="3"/>
        <v>0</v>
      </c>
    </row>
    <row r="1459" ht="21.0" customHeight="1">
      <c r="A1459" s="187"/>
      <c r="B1459" s="187"/>
      <c r="C1459" s="188"/>
      <c r="D1459" s="135"/>
      <c r="E1459" s="189"/>
      <c r="F1459" s="182" t="str">
        <f t="shared" si="1"/>
        <v/>
      </c>
      <c r="G1459" s="183">
        <f>IFERROR(__xludf.DUMMYFUNCTION("IFERROR(lookup(9999999999,FILTER('Operações-BR'!$M:$M,'Operações-BR'!$C:$C=A1459,'Operações-BR'!$A:$A&lt;=C1459)),0)"),0.0)</f>
        <v>0</v>
      </c>
      <c r="H1459" s="184">
        <f t="shared" si="2"/>
        <v>0</v>
      </c>
      <c r="I1459" s="184">
        <f>IFERROR(__xludf.DUMMYFUNCTION("IFERROR(lookup(9999999999,FILTER('Operações-BR'!Q:Q,'Operações-BR'!$C:$C=A1459,'Operações-BR'!$A:$A&lt;=C1459))/G1459,0)"),0.0)</f>
        <v>0</v>
      </c>
      <c r="J1459" s="185" t="str">
        <f>IFERROR(VLOOKUP(A1459,Ativos!$A$1:$G2000,5,),"")</f>
        <v/>
      </c>
      <c r="K1459" s="185" t="str">
        <f>IFERROR(VLOOKUP(A1459,Ativos!A:H,8,),"")</f>
        <v/>
      </c>
      <c r="L1459" s="186">
        <f t="shared" si="3"/>
        <v>0</v>
      </c>
    </row>
    <row r="1460" ht="21.0" customHeight="1">
      <c r="A1460" s="187"/>
      <c r="B1460" s="187"/>
      <c r="C1460" s="188"/>
      <c r="D1460" s="135"/>
      <c r="E1460" s="189"/>
      <c r="F1460" s="182" t="str">
        <f t="shared" si="1"/>
        <v/>
      </c>
      <c r="G1460" s="183">
        <f>IFERROR(__xludf.DUMMYFUNCTION("IFERROR(lookup(9999999999,FILTER('Operações-BR'!$M:$M,'Operações-BR'!$C:$C=A1460,'Operações-BR'!$A:$A&lt;=C1460)),0)"),0.0)</f>
        <v>0</v>
      </c>
      <c r="H1460" s="184">
        <f t="shared" si="2"/>
        <v>0</v>
      </c>
      <c r="I1460" s="184">
        <f>IFERROR(__xludf.DUMMYFUNCTION("IFERROR(lookup(9999999999,FILTER('Operações-BR'!Q:Q,'Operações-BR'!$C:$C=A1460,'Operações-BR'!$A:$A&lt;=C1460))/G1460,0)"),0.0)</f>
        <v>0</v>
      </c>
      <c r="J1460" s="185" t="str">
        <f>IFERROR(VLOOKUP(A1460,Ativos!$A$1:$G2000,5,),"")</f>
        <v/>
      </c>
      <c r="K1460" s="185" t="str">
        <f>IFERROR(VLOOKUP(A1460,Ativos!A:H,8,),"")</f>
        <v/>
      </c>
      <c r="L1460" s="186">
        <f t="shared" si="3"/>
        <v>0</v>
      </c>
    </row>
    <row r="1461" ht="21.0" customHeight="1">
      <c r="A1461" s="187"/>
      <c r="B1461" s="187"/>
      <c r="C1461" s="188"/>
      <c r="D1461" s="135"/>
      <c r="E1461" s="189"/>
      <c r="F1461" s="182" t="str">
        <f t="shared" si="1"/>
        <v/>
      </c>
      <c r="G1461" s="183">
        <f>IFERROR(__xludf.DUMMYFUNCTION("IFERROR(lookup(9999999999,FILTER('Operações-BR'!$M:$M,'Operações-BR'!$C:$C=A1461,'Operações-BR'!$A:$A&lt;=C1461)),0)"),0.0)</f>
        <v>0</v>
      </c>
      <c r="H1461" s="184">
        <f t="shared" si="2"/>
        <v>0</v>
      </c>
      <c r="I1461" s="184">
        <f>IFERROR(__xludf.DUMMYFUNCTION("IFERROR(lookup(9999999999,FILTER('Operações-BR'!Q:Q,'Operações-BR'!$C:$C=A1461,'Operações-BR'!$A:$A&lt;=C1461))/G1461,0)"),0.0)</f>
        <v>0</v>
      </c>
      <c r="J1461" s="185" t="str">
        <f>IFERROR(VLOOKUP(A1461,Ativos!$A$1:$G2000,5,),"")</f>
        <v/>
      </c>
      <c r="K1461" s="185" t="str">
        <f>IFERROR(VLOOKUP(A1461,Ativos!A:H,8,),"")</f>
        <v/>
      </c>
      <c r="L1461" s="186">
        <f t="shared" si="3"/>
        <v>0</v>
      </c>
    </row>
    <row r="1462" ht="21.0" customHeight="1">
      <c r="A1462" s="187"/>
      <c r="B1462" s="187"/>
      <c r="C1462" s="188"/>
      <c r="D1462" s="135"/>
      <c r="E1462" s="189"/>
      <c r="F1462" s="182" t="str">
        <f t="shared" si="1"/>
        <v/>
      </c>
      <c r="G1462" s="183">
        <f>IFERROR(__xludf.DUMMYFUNCTION("IFERROR(lookup(9999999999,FILTER('Operações-BR'!$M:$M,'Operações-BR'!$C:$C=A1462,'Operações-BR'!$A:$A&lt;=C1462)),0)"),0.0)</f>
        <v>0</v>
      </c>
      <c r="H1462" s="184">
        <f t="shared" si="2"/>
        <v>0</v>
      </c>
      <c r="I1462" s="184">
        <f>IFERROR(__xludf.DUMMYFUNCTION("IFERROR(lookup(9999999999,FILTER('Operações-BR'!Q:Q,'Operações-BR'!$C:$C=A1462,'Operações-BR'!$A:$A&lt;=C1462))/G1462,0)"),0.0)</f>
        <v>0</v>
      </c>
      <c r="J1462" s="185" t="str">
        <f>IFERROR(VLOOKUP(A1462,Ativos!$A$1:$G2000,5,),"")</f>
        <v/>
      </c>
      <c r="K1462" s="185" t="str">
        <f>IFERROR(VLOOKUP(A1462,Ativos!A:H,8,),"")</f>
        <v/>
      </c>
      <c r="L1462" s="186">
        <f t="shared" si="3"/>
        <v>0</v>
      </c>
    </row>
    <row r="1463" ht="21.0" customHeight="1">
      <c r="A1463" s="187"/>
      <c r="B1463" s="187"/>
      <c r="C1463" s="188"/>
      <c r="D1463" s="135"/>
      <c r="E1463" s="189"/>
      <c r="F1463" s="182" t="str">
        <f t="shared" si="1"/>
        <v/>
      </c>
      <c r="G1463" s="183">
        <f>IFERROR(__xludf.DUMMYFUNCTION("IFERROR(lookup(9999999999,FILTER('Operações-BR'!$M:$M,'Operações-BR'!$C:$C=A1463,'Operações-BR'!$A:$A&lt;=C1463)),0)"),0.0)</f>
        <v>0</v>
      </c>
      <c r="H1463" s="184">
        <f t="shared" si="2"/>
        <v>0</v>
      </c>
      <c r="I1463" s="184">
        <f>IFERROR(__xludf.DUMMYFUNCTION("IFERROR(lookup(9999999999,FILTER('Operações-BR'!Q:Q,'Operações-BR'!$C:$C=A1463,'Operações-BR'!$A:$A&lt;=C1463))/G1463,0)"),0.0)</f>
        <v>0</v>
      </c>
      <c r="J1463" s="185" t="str">
        <f>IFERROR(VLOOKUP(A1463,Ativos!$A$1:$G2000,5,),"")</f>
        <v/>
      </c>
      <c r="K1463" s="185" t="str">
        <f>IFERROR(VLOOKUP(A1463,Ativos!A:H,8,),"")</f>
        <v/>
      </c>
      <c r="L1463" s="186">
        <f t="shared" si="3"/>
        <v>0</v>
      </c>
    </row>
    <row r="1464" ht="21.0" customHeight="1">
      <c r="A1464" s="187"/>
      <c r="B1464" s="187"/>
      <c r="C1464" s="188"/>
      <c r="D1464" s="135"/>
      <c r="E1464" s="189"/>
      <c r="F1464" s="182" t="str">
        <f t="shared" si="1"/>
        <v/>
      </c>
      <c r="G1464" s="183">
        <f>IFERROR(__xludf.DUMMYFUNCTION("IFERROR(lookup(9999999999,FILTER('Operações-BR'!$M:$M,'Operações-BR'!$C:$C=A1464,'Operações-BR'!$A:$A&lt;=C1464)),0)"),0.0)</f>
        <v>0</v>
      </c>
      <c r="H1464" s="184">
        <f t="shared" si="2"/>
        <v>0</v>
      </c>
      <c r="I1464" s="184">
        <f>IFERROR(__xludf.DUMMYFUNCTION("IFERROR(lookup(9999999999,FILTER('Operações-BR'!Q:Q,'Operações-BR'!$C:$C=A1464,'Operações-BR'!$A:$A&lt;=C1464))/G1464,0)"),0.0)</f>
        <v>0</v>
      </c>
      <c r="J1464" s="185" t="str">
        <f>IFERROR(VLOOKUP(A1464,Ativos!$A$1:$G2000,5,),"")</f>
        <v/>
      </c>
      <c r="K1464" s="185" t="str">
        <f>IFERROR(VLOOKUP(A1464,Ativos!A:H,8,),"")</f>
        <v/>
      </c>
      <c r="L1464" s="186">
        <f t="shared" si="3"/>
        <v>0</v>
      </c>
    </row>
    <row r="1465" ht="21.0" customHeight="1">
      <c r="A1465" s="187"/>
      <c r="B1465" s="187"/>
      <c r="C1465" s="188"/>
      <c r="D1465" s="135"/>
      <c r="E1465" s="189"/>
      <c r="F1465" s="182" t="str">
        <f t="shared" si="1"/>
        <v/>
      </c>
      <c r="G1465" s="183">
        <f>IFERROR(__xludf.DUMMYFUNCTION("IFERROR(lookup(9999999999,FILTER('Operações-BR'!$M:$M,'Operações-BR'!$C:$C=A1465,'Operações-BR'!$A:$A&lt;=C1465)),0)"),0.0)</f>
        <v>0</v>
      </c>
      <c r="H1465" s="184">
        <f t="shared" si="2"/>
        <v>0</v>
      </c>
      <c r="I1465" s="184">
        <f>IFERROR(__xludf.DUMMYFUNCTION("IFERROR(lookup(9999999999,FILTER('Operações-BR'!Q:Q,'Operações-BR'!$C:$C=A1465,'Operações-BR'!$A:$A&lt;=C1465))/G1465,0)"),0.0)</f>
        <v>0</v>
      </c>
      <c r="J1465" s="185" t="str">
        <f>IFERROR(VLOOKUP(A1465,Ativos!$A$1:$G2000,5,),"")</f>
        <v/>
      </c>
      <c r="K1465" s="185" t="str">
        <f>IFERROR(VLOOKUP(A1465,Ativos!A:H,8,),"")</f>
        <v/>
      </c>
      <c r="L1465" s="186">
        <f t="shared" si="3"/>
        <v>0</v>
      </c>
    </row>
    <row r="1466" ht="21.0" customHeight="1">
      <c r="A1466" s="187"/>
      <c r="B1466" s="187"/>
      <c r="C1466" s="188"/>
      <c r="D1466" s="135"/>
      <c r="E1466" s="189"/>
      <c r="F1466" s="182" t="str">
        <f t="shared" si="1"/>
        <v/>
      </c>
      <c r="G1466" s="183">
        <f>IFERROR(__xludf.DUMMYFUNCTION("IFERROR(lookup(9999999999,FILTER('Operações-BR'!$M:$M,'Operações-BR'!$C:$C=A1466,'Operações-BR'!$A:$A&lt;=C1466)),0)"),0.0)</f>
        <v>0</v>
      </c>
      <c r="H1466" s="184">
        <f t="shared" si="2"/>
        <v>0</v>
      </c>
      <c r="I1466" s="184">
        <f>IFERROR(__xludf.DUMMYFUNCTION("IFERROR(lookup(9999999999,FILTER('Operações-BR'!Q:Q,'Operações-BR'!$C:$C=A1466,'Operações-BR'!$A:$A&lt;=C1466))/G1466,0)"),0.0)</f>
        <v>0</v>
      </c>
      <c r="J1466" s="185" t="str">
        <f>IFERROR(VLOOKUP(A1466,Ativos!$A$1:$G2000,5,),"")</f>
        <v/>
      </c>
      <c r="K1466" s="185" t="str">
        <f>IFERROR(VLOOKUP(A1466,Ativos!A:H,8,),"")</f>
        <v/>
      </c>
      <c r="L1466" s="186">
        <f t="shared" si="3"/>
        <v>0</v>
      </c>
    </row>
    <row r="1467" ht="21.0" customHeight="1">
      <c r="A1467" s="187"/>
      <c r="B1467" s="187"/>
      <c r="C1467" s="188"/>
      <c r="D1467" s="135"/>
      <c r="E1467" s="189"/>
      <c r="F1467" s="182" t="str">
        <f t="shared" si="1"/>
        <v/>
      </c>
      <c r="G1467" s="183">
        <f>IFERROR(__xludf.DUMMYFUNCTION("IFERROR(lookup(9999999999,FILTER('Operações-BR'!$M:$M,'Operações-BR'!$C:$C=A1467,'Operações-BR'!$A:$A&lt;=C1467)),0)"),0.0)</f>
        <v>0</v>
      </c>
      <c r="H1467" s="184">
        <f t="shared" si="2"/>
        <v>0</v>
      </c>
      <c r="I1467" s="184">
        <f>IFERROR(__xludf.DUMMYFUNCTION("IFERROR(lookup(9999999999,FILTER('Operações-BR'!Q:Q,'Operações-BR'!$C:$C=A1467,'Operações-BR'!$A:$A&lt;=C1467))/G1467,0)"),0.0)</f>
        <v>0</v>
      </c>
      <c r="J1467" s="185" t="str">
        <f>IFERROR(VLOOKUP(A1467,Ativos!$A$1:$G2000,5,),"")</f>
        <v/>
      </c>
      <c r="K1467" s="185" t="str">
        <f>IFERROR(VLOOKUP(A1467,Ativos!A:H,8,),"")</f>
        <v/>
      </c>
      <c r="L1467" s="186">
        <f t="shared" si="3"/>
        <v>0</v>
      </c>
    </row>
    <row r="1468" ht="21.0" customHeight="1">
      <c r="A1468" s="187"/>
      <c r="B1468" s="187"/>
      <c r="C1468" s="188"/>
      <c r="D1468" s="135"/>
      <c r="E1468" s="189"/>
      <c r="F1468" s="182" t="str">
        <f t="shared" si="1"/>
        <v/>
      </c>
      <c r="G1468" s="183">
        <f>IFERROR(__xludf.DUMMYFUNCTION("IFERROR(lookup(9999999999,FILTER('Operações-BR'!$M:$M,'Operações-BR'!$C:$C=A1468,'Operações-BR'!$A:$A&lt;=C1468)),0)"),0.0)</f>
        <v>0</v>
      </c>
      <c r="H1468" s="184">
        <f t="shared" si="2"/>
        <v>0</v>
      </c>
      <c r="I1468" s="184">
        <f>IFERROR(__xludf.DUMMYFUNCTION("IFERROR(lookup(9999999999,FILTER('Operações-BR'!Q:Q,'Operações-BR'!$C:$C=A1468,'Operações-BR'!$A:$A&lt;=C1468))/G1468,0)"),0.0)</f>
        <v>0</v>
      </c>
      <c r="J1468" s="185" t="str">
        <f>IFERROR(VLOOKUP(A1468,Ativos!$A$1:$G2000,5,),"")</f>
        <v/>
      </c>
      <c r="K1468" s="185" t="str">
        <f>IFERROR(VLOOKUP(A1468,Ativos!A:H,8,),"")</f>
        <v/>
      </c>
      <c r="L1468" s="186">
        <f t="shared" si="3"/>
        <v>0</v>
      </c>
    </row>
    <row r="1469" ht="21.0" customHeight="1">
      <c r="A1469" s="187"/>
      <c r="B1469" s="187"/>
      <c r="C1469" s="188"/>
      <c r="D1469" s="135"/>
      <c r="E1469" s="189"/>
      <c r="F1469" s="182" t="str">
        <f t="shared" si="1"/>
        <v/>
      </c>
      <c r="G1469" s="183">
        <f>IFERROR(__xludf.DUMMYFUNCTION("IFERROR(lookup(9999999999,FILTER('Operações-BR'!$M:$M,'Operações-BR'!$C:$C=A1469,'Operações-BR'!$A:$A&lt;=C1469)),0)"),0.0)</f>
        <v>0</v>
      </c>
      <c r="H1469" s="184">
        <f t="shared" si="2"/>
        <v>0</v>
      </c>
      <c r="I1469" s="184">
        <f>IFERROR(__xludf.DUMMYFUNCTION("IFERROR(lookup(9999999999,FILTER('Operações-BR'!Q:Q,'Operações-BR'!$C:$C=A1469,'Operações-BR'!$A:$A&lt;=C1469))/G1469,0)"),0.0)</f>
        <v>0</v>
      </c>
      <c r="J1469" s="185" t="str">
        <f>IFERROR(VLOOKUP(A1469,Ativos!$A$1:$G2000,5,),"")</f>
        <v/>
      </c>
      <c r="K1469" s="185" t="str">
        <f>IFERROR(VLOOKUP(A1469,Ativos!A:H,8,),"")</f>
        <v/>
      </c>
      <c r="L1469" s="186">
        <f t="shared" si="3"/>
        <v>0</v>
      </c>
    </row>
    <row r="1470" ht="21.0" customHeight="1">
      <c r="A1470" s="187"/>
      <c r="B1470" s="187"/>
      <c r="C1470" s="188"/>
      <c r="D1470" s="135"/>
      <c r="E1470" s="189"/>
      <c r="F1470" s="182" t="str">
        <f t="shared" si="1"/>
        <v/>
      </c>
      <c r="G1470" s="183">
        <f>IFERROR(__xludf.DUMMYFUNCTION("IFERROR(lookup(9999999999,FILTER('Operações-BR'!$M:$M,'Operações-BR'!$C:$C=A1470,'Operações-BR'!$A:$A&lt;=C1470)),0)"),0.0)</f>
        <v>0</v>
      </c>
      <c r="H1470" s="184">
        <f t="shared" si="2"/>
        <v>0</v>
      </c>
      <c r="I1470" s="184">
        <f>IFERROR(__xludf.DUMMYFUNCTION("IFERROR(lookup(9999999999,FILTER('Operações-BR'!Q:Q,'Operações-BR'!$C:$C=A1470,'Operações-BR'!$A:$A&lt;=C1470))/G1470,0)"),0.0)</f>
        <v>0</v>
      </c>
      <c r="J1470" s="185" t="str">
        <f>IFERROR(VLOOKUP(A1470,Ativos!$A$1:$G2000,5,),"")</f>
        <v/>
      </c>
      <c r="K1470" s="185" t="str">
        <f>IFERROR(VLOOKUP(A1470,Ativos!A:H,8,),"")</f>
        <v/>
      </c>
      <c r="L1470" s="186">
        <f t="shared" si="3"/>
        <v>0</v>
      </c>
    </row>
    <row r="1471" ht="21.0" customHeight="1">
      <c r="A1471" s="187"/>
      <c r="B1471" s="187"/>
      <c r="C1471" s="188"/>
      <c r="D1471" s="135"/>
      <c r="E1471" s="189"/>
      <c r="F1471" s="182" t="str">
        <f t="shared" si="1"/>
        <v/>
      </c>
      <c r="G1471" s="183">
        <f>IFERROR(__xludf.DUMMYFUNCTION("IFERROR(lookup(9999999999,FILTER('Operações-BR'!$M:$M,'Operações-BR'!$C:$C=A1471,'Operações-BR'!$A:$A&lt;=C1471)),0)"),0.0)</f>
        <v>0</v>
      </c>
      <c r="H1471" s="184">
        <f t="shared" si="2"/>
        <v>0</v>
      </c>
      <c r="I1471" s="184">
        <f>IFERROR(__xludf.DUMMYFUNCTION("IFERROR(lookup(9999999999,FILTER('Operações-BR'!Q:Q,'Operações-BR'!$C:$C=A1471,'Operações-BR'!$A:$A&lt;=C1471))/G1471,0)"),0.0)</f>
        <v>0</v>
      </c>
      <c r="J1471" s="185" t="str">
        <f>IFERROR(VLOOKUP(A1471,Ativos!$A$1:$G2000,5,),"")</f>
        <v/>
      </c>
      <c r="K1471" s="185" t="str">
        <f>IFERROR(VLOOKUP(A1471,Ativos!A:H,8,),"")</f>
        <v/>
      </c>
      <c r="L1471" s="186">
        <f t="shared" si="3"/>
        <v>0</v>
      </c>
    </row>
    <row r="1472" ht="21.0" customHeight="1">
      <c r="A1472" s="187"/>
      <c r="B1472" s="187"/>
      <c r="C1472" s="188"/>
      <c r="D1472" s="135"/>
      <c r="E1472" s="189"/>
      <c r="F1472" s="182" t="str">
        <f t="shared" si="1"/>
        <v/>
      </c>
      <c r="G1472" s="183">
        <f>IFERROR(__xludf.DUMMYFUNCTION("IFERROR(lookup(9999999999,FILTER('Operações-BR'!$M:$M,'Operações-BR'!$C:$C=A1472,'Operações-BR'!$A:$A&lt;=C1472)),0)"),0.0)</f>
        <v>0</v>
      </c>
      <c r="H1472" s="184">
        <f t="shared" si="2"/>
        <v>0</v>
      </c>
      <c r="I1472" s="184">
        <f>IFERROR(__xludf.DUMMYFUNCTION("IFERROR(lookup(9999999999,FILTER('Operações-BR'!Q:Q,'Operações-BR'!$C:$C=A1472,'Operações-BR'!$A:$A&lt;=C1472))/G1472,0)"),0.0)</f>
        <v>0</v>
      </c>
      <c r="J1472" s="185" t="str">
        <f>IFERROR(VLOOKUP(A1472,Ativos!$A$1:$G2000,5,),"")</f>
        <v/>
      </c>
      <c r="K1472" s="185" t="str">
        <f>IFERROR(VLOOKUP(A1472,Ativos!A:H,8,),"")</f>
        <v/>
      </c>
      <c r="L1472" s="186">
        <f t="shared" si="3"/>
        <v>0</v>
      </c>
    </row>
    <row r="1473" ht="21.0" customHeight="1">
      <c r="A1473" s="187"/>
      <c r="B1473" s="187"/>
      <c r="C1473" s="188"/>
      <c r="D1473" s="135"/>
      <c r="E1473" s="189"/>
      <c r="F1473" s="182" t="str">
        <f t="shared" si="1"/>
        <v/>
      </c>
      <c r="G1473" s="183">
        <f>IFERROR(__xludf.DUMMYFUNCTION("IFERROR(lookup(9999999999,FILTER('Operações-BR'!$M:$M,'Operações-BR'!$C:$C=A1473,'Operações-BR'!$A:$A&lt;=C1473)),0)"),0.0)</f>
        <v>0</v>
      </c>
      <c r="H1473" s="184">
        <f t="shared" si="2"/>
        <v>0</v>
      </c>
      <c r="I1473" s="184">
        <f>IFERROR(__xludf.DUMMYFUNCTION("IFERROR(lookup(9999999999,FILTER('Operações-BR'!Q:Q,'Operações-BR'!$C:$C=A1473,'Operações-BR'!$A:$A&lt;=C1473))/G1473,0)"),0.0)</f>
        <v>0</v>
      </c>
      <c r="J1473" s="185" t="str">
        <f>IFERROR(VLOOKUP(A1473,Ativos!$A$1:$G2000,5,),"")</f>
        <v/>
      </c>
      <c r="K1473" s="185" t="str">
        <f>IFERROR(VLOOKUP(A1473,Ativos!A:H,8,),"")</f>
        <v/>
      </c>
      <c r="L1473" s="186">
        <f t="shared" si="3"/>
        <v>0</v>
      </c>
    </row>
    <row r="1474" ht="21.0" customHeight="1">
      <c r="A1474" s="187"/>
      <c r="B1474" s="187"/>
      <c r="C1474" s="188"/>
      <c r="D1474" s="135"/>
      <c r="E1474" s="189"/>
      <c r="F1474" s="182" t="str">
        <f t="shared" si="1"/>
        <v/>
      </c>
      <c r="G1474" s="183">
        <f>IFERROR(__xludf.DUMMYFUNCTION("IFERROR(lookup(9999999999,FILTER('Operações-BR'!$M:$M,'Operações-BR'!$C:$C=A1474,'Operações-BR'!$A:$A&lt;=C1474)),0)"),0.0)</f>
        <v>0</v>
      </c>
      <c r="H1474" s="184">
        <f t="shared" si="2"/>
        <v>0</v>
      </c>
      <c r="I1474" s="184">
        <f>IFERROR(__xludf.DUMMYFUNCTION("IFERROR(lookup(9999999999,FILTER('Operações-BR'!Q:Q,'Operações-BR'!$C:$C=A1474,'Operações-BR'!$A:$A&lt;=C1474))/G1474,0)"),0.0)</f>
        <v>0</v>
      </c>
      <c r="J1474" s="185" t="str">
        <f>IFERROR(VLOOKUP(A1474,Ativos!$A$1:$G2000,5,),"")</f>
        <v/>
      </c>
      <c r="K1474" s="185" t="str">
        <f>IFERROR(VLOOKUP(A1474,Ativos!A:H,8,),"")</f>
        <v/>
      </c>
      <c r="L1474" s="186">
        <f t="shared" si="3"/>
        <v>0</v>
      </c>
    </row>
    <row r="1475" ht="21.0" customHeight="1">
      <c r="A1475" s="187"/>
      <c r="B1475" s="187"/>
      <c r="C1475" s="188"/>
      <c r="D1475" s="135"/>
      <c r="E1475" s="189"/>
      <c r="F1475" s="182" t="str">
        <f t="shared" si="1"/>
        <v/>
      </c>
      <c r="G1475" s="183">
        <f>IFERROR(__xludf.DUMMYFUNCTION("IFERROR(lookup(9999999999,FILTER('Operações-BR'!$M:$M,'Operações-BR'!$C:$C=A1475,'Operações-BR'!$A:$A&lt;=C1475)),0)"),0.0)</f>
        <v>0</v>
      </c>
      <c r="H1475" s="184">
        <f t="shared" si="2"/>
        <v>0</v>
      </c>
      <c r="I1475" s="184">
        <f>IFERROR(__xludf.DUMMYFUNCTION("IFERROR(lookup(9999999999,FILTER('Operações-BR'!Q:Q,'Operações-BR'!$C:$C=A1475,'Operações-BR'!$A:$A&lt;=C1475))/G1475,0)"),0.0)</f>
        <v>0</v>
      </c>
      <c r="J1475" s="185" t="str">
        <f>IFERROR(VLOOKUP(A1475,Ativos!$A$1:$G2000,5,),"")</f>
        <v/>
      </c>
      <c r="K1475" s="185" t="str">
        <f>IFERROR(VLOOKUP(A1475,Ativos!A:H,8,),"")</f>
        <v/>
      </c>
      <c r="L1475" s="186">
        <f t="shared" si="3"/>
        <v>0</v>
      </c>
    </row>
    <row r="1476" ht="21.0" customHeight="1">
      <c r="A1476" s="187"/>
      <c r="B1476" s="187"/>
      <c r="C1476" s="188"/>
      <c r="D1476" s="135"/>
      <c r="E1476" s="189"/>
      <c r="F1476" s="182" t="str">
        <f t="shared" si="1"/>
        <v/>
      </c>
      <c r="G1476" s="183">
        <f>IFERROR(__xludf.DUMMYFUNCTION("IFERROR(lookup(9999999999,FILTER('Operações-BR'!$M:$M,'Operações-BR'!$C:$C=A1476,'Operações-BR'!$A:$A&lt;=C1476)),0)"),0.0)</f>
        <v>0</v>
      </c>
      <c r="H1476" s="184">
        <f t="shared" si="2"/>
        <v>0</v>
      </c>
      <c r="I1476" s="184">
        <f>IFERROR(__xludf.DUMMYFUNCTION("IFERROR(lookup(9999999999,FILTER('Operações-BR'!Q:Q,'Operações-BR'!$C:$C=A1476,'Operações-BR'!$A:$A&lt;=C1476))/G1476,0)"),0.0)</f>
        <v>0</v>
      </c>
      <c r="J1476" s="185" t="str">
        <f>IFERROR(VLOOKUP(A1476,Ativos!$A$1:$G2000,5,),"")</f>
        <v/>
      </c>
      <c r="K1476" s="185" t="str">
        <f>IFERROR(VLOOKUP(A1476,Ativos!A:H,8,),"")</f>
        <v/>
      </c>
      <c r="L1476" s="186">
        <f t="shared" si="3"/>
        <v>0</v>
      </c>
    </row>
    <row r="1477" ht="21.0" customHeight="1">
      <c r="A1477" s="187"/>
      <c r="B1477" s="187"/>
      <c r="C1477" s="188"/>
      <c r="D1477" s="135"/>
      <c r="E1477" s="189"/>
      <c r="F1477" s="182" t="str">
        <f t="shared" si="1"/>
        <v/>
      </c>
      <c r="G1477" s="183">
        <f>IFERROR(__xludf.DUMMYFUNCTION("IFERROR(lookup(9999999999,FILTER('Operações-BR'!$M:$M,'Operações-BR'!$C:$C=A1477,'Operações-BR'!$A:$A&lt;=C1477)),0)"),0.0)</f>
        <v>0</v>
      </c>
      <c r="H1477" s="184">
        <f t="shared" si="2"/>
        <v>0</v>
      </c>
      <c r="I1477" s="184">
        <f>IFERROR(__xludf.DUMMYFUNCTION("IFERROR(lookup(9999999999,FILTER('Operações-BR'!Q:Q,'Operações-BR'!$C:$C=A1477,'Operações-BR'!$A:$A&lt;=C1477))/G1477,0)"),0.0)</f>
        <v>0</v>
      </c>
      <c r="J1477" s="185" t="str">
        <f>IFERROR(VLOOKUP(A1477,Ativos!$A$1:$G2000,5,),"")</f>
        <v/>
      </c>
      <c r="K1477" s="185" t="str">
        <f>IFERROR(VLOOKUP(A1477,Ativos!A:H,8,),"")</f>
        <v/>
      </c>
      <c r="L1477" s="186">
        <f t="shared" si="3"/>
        <v>0</v>
      </c>
    </row>
    <row r="1478" ht="21.0" customHeight="1">
      <c r="A1478" s="187"/>
      <c r="B1478" s="187"/>
      <c r="C1478" s="188"/>
      <c r="D1478" s="135"/>
      <c r="E1478" s="189"/>
      <c r="F1478" s="182" t="str">
        <f t="shared" si="1"/>
        <v/>
      </c>
      <c r="G1478" s="183">
        <f>IFERROR(__xludf.DUMMYFUNCTION("IFERROR(lookup(9999999999,FILTER('Operações-BR'!$M:$M,'Operações-BR'!$C:$C=A1478,'Operações-BR'!$A:$A&lt;=C1478)),0)"),0.0)</f>
        <v>0</v>
      </c>
      <c r="H1478" s="184">
        <f t="shared" si="2"/>
        <v>0</v>
      </c>
      <c r="I1478" s="184">
        <f>IFERROR(__xludf.DUMMYFUNCTION("IFERROR(lookup(9999999999,FILTER('Operações-BR'!Q:Q,'Operações-BR'!$C:$C=A1478,'Operações-BR'!$A:$A&lt;=C1478))/G1478,0)"),0.0)</f>
        <v>0</v>
      </c>
      <c r="J1478" s="185" t="str">
        <f>IFERROR(VLOOKUP(A1478,Ativos!$A$1:$G2000,5,),"")</f>
        <v/>
      </c>
      <c r="K1478" s="185" t="str">
        <f>IFERROR(VLOOKUP(A1478,Ativos!A:H,8,),"")</f>
        <v/>
      </c>
      <c r="L1478" s="186">
        <f t="shared" si="3"/>
        <v>0</v>
      </c>
    </row>
    <row r="1479" ht="21.0" customHeight="1">
      <c r="A1479" s="187"/>
      <c r="B1479" s="187"/>
      <c r="C1479" s="188"/>
      <c r="D1479" s="135"/>
      <c r="E1479" s="189"/>
      <c r="F1479" s="182" t="str">
        <f t="shared" si="1"/>
        <v/>
      </c>
      <c r="G1479" s="183">
        <f>IFERROR(__xludf.DUMMYFUNCTION("IFERROR(lookup(9999999999,FILTER('Operações-BR'!$M:$M,'Operações-BR'!$C:$C=A1479,'Operações-BR'!$A:$A&lt;=C1479)),0)"),0.0)</f>
        <v>0</v>
      </c>
      <c r="H1479" s="184">
        <f t="shared" si="2"/>
        <v>0</v>
      </c>
      <c r="I1479" s="184">
        <f>IFERROR(__xludf.DUMMYFUNCTION("IFERROR(lookup(9999999999,FILTER('Operações-BR'!Q:Q,'Operações-BR'!$C:$C=A1479,'Operações-BR'!$A:$A&lt;=C1479))/G1479,0)"),0.0)</f>
        <v>0</v>
      </c>
      <c r="J1479" s="185" t="str">
        <f>IFERROR(VLOOKUP(A1479,Ativos!$A$1:$G2000,5,),"")</f>
        <v/>
      </c>
      <c r="K1479" s="185" t="str">
        <f>IFERROR(VLOOKUP(A1479,Ativos!A:H,8,),"")</f>
        <v/>
      </c>
      <c r="L1479" s="186">
        <f t="shared" si="3"/>
        <v>0</v>
      </c>
    </row>
    <row r="1480" ht="21.0" customHeight="1">
      <c r="A1480" s="187"/>
      <c r="B1480" s="187"/>
      <c r="C1480" s="188"/>
      <c r="D1480" s="135"/>
      <c r="E1480" s="189"/>
      <c r="F1480" s="182" t="str">
        <f t="shared" si="1"/>
        <v/>
      </c>
      <c r="G1480" s="183">
        <f>IFERROR(__xludf.DUMMYFUNCTION("IFERROR(lookup(9999999999,FILTER('Operações-BR'!$M:$M,'Operações-BR'!$C:$C=A1480,'Operações-BR'!$A:$A&lt;=C1480)),0)"),0.0)</f>
        <v>0</v>
      </c>
      <c r="H1480" s="184">
        <f t="shared" si="2"/>
        <v>0</v>
      </c>
      <c r="I1480" s="184">
        <f>IFERROR(__xludf.DUMMYFUNCTION("IFERROR(lookup(9999999999,FILTER('Operações-BR'!Q:Q,'Operações-BR'!$C:$C=A1480,'Operações-BR'!$A:$A&lt;=C1480))/G1480,0)"),0.0)</f>
        <v>0</v>
      </c>
      <c r="J1480" s="185" t="str">
        <f>IFERROR(VLOOKUP(A1480,Ativos!$A$1:$G2000,5,),"")</f>
        <v/>
      </c>
      <c r="K1480" s="185" t="str">
        <f>IFERROR(VLOOKUP(A1480,Ativos!A:H,8,),"")</f>
        <v/>
      </c>
      <c r="L1480" s="186">
        <f t="shared" si="3"/>
        <v>0</v>
      </c>
    </row>
    <row r="1481" ht="21.0" customHeight="1">
      <c r="A1481" s="187"/>
      <c r="B1481" s="187"/>
      <c r="C1481" s="188"/>
      <c r="D1481" s="135"/>
      <c r="E1481" s="189"/>
      <c r="F1481" s="182" t="str">
        <f t="shared" si="1"/>
        <v/>
      </c>
      <c r="G1481" s="183">
        <f>IFERROR(__xludf.DUMMYFUNCTION("IFERROR(lookup(9999999999,FILTER('Operações-BR'!$M:$M,'Operações-BR'!$C:$C=A1481,'Operações-BR'!$A:$A&lt;=C1481)),0)"),0.0)</f>
        <v>0</v>
      </c>
      <c r="H1481" s="184">
        <f t="shared" si="2"/>
        <v>0</v>
      </c>
      <c r="I1481" s="184">
        <f>IFERROR(__xludf.DUMMYFUNCTION("IFERROR(lookup(9999999999,FILTER('Operações-BR'!Q:Q,'Operações-BR'!$C:$C=A1481,'Operações-BR'!$A:$A&lt;=C1481))/G1481,0)"),0.0)</f>
        <v>0</v>
      </c>
      <c r="J1481" s="185" t="str">
        <f>IFERROR(VLOOKUP(A1481,Ativos!$A$1:$G2000,5,),"")</f>
        <v/>
      </c>
      <c r="K1481" s="185" t="str">
        <f>IFERROR(VLOOKUP(A1481,Ativos!A:H,8,),"")</f>
        <v/>
      </c>
      <c r="L1481" s="186">
        <f t="shared" si="3"/>
        <v>0</v>
      </c>
    </row>
    <row r="1482" ht="21.0" customHeight="1">
      <c r="A1482" s="187"/>
      <c r="B1482" s="187"/>
      <c r="C1482" s="188"/>
      <c r="D1482" s="135"/>
      <c r="E1482" s="189"/>
      <c r="F1482" s="182" t="str">
        <f t="shared" si="1"/>
        <v/>
      </c>
      <c r="G1482" s="183">
        <f>IFERROR(__xludf.DUMMYFUNCTION("IFERROR(lookup(9999999999,FILTER('Operações-BR'!$M:$M,'Operações-BR'!$C:$C=A1482,'Operações-BR'!$A:$A&lt;=C1482)),0)"),0.0)</f>
        <v>0</v>
      </c>
      <c r="H1482" s="184">
        <f t="shared" si="2"/>
        <v>0</v>
      </c>
      <c r="I1482" s="184">
        <f>IFERROR(__xludf.DUMMYFUNCTION("IFERROR(lookup(9999999999,FILTER('Operações-BR'!Q:Q,'Operações-BR'!$C:$C=A1482,'Operações-BR'!$A:$A&lt;=C1482))/G1482,0)"),0.0)</f>
        <v>0</v>
      </c>
      <c r="J1482" s="185" t="str">
        <f>IFERROR(VLOOKUP(A1482,Ativos!$A$1:$G2000,5,),"")</f>
        <v/>
      </c>
      <c r="K1482" s="185" t="str">
        <f>IFERROR(VLOOKUP(A1482,Ativos!A:H,8,),"")</f>
        <v/>
      </c>
      <c r="L1482" s="186">
        <f t="shared" si="3"/>
        <v>0</v>
      </c>
    </row>
    <row r="1483" ht="21.0" customHeight="1">
      <c r="A1483" s="187"/>
      <c r="B1483" s="187"/>
      <c r="C1483" s="188"/>
      <c r="D1483" s="135"/>
      <c r="E1483" s="189"/>
      <c r="F1483" s="182" t="str">
        <f t="shared" si="1"/>
        <v/>
      </c>
      <c r="G1483" s="183">
        <f>IFERROR(__xludf.DUMMYFUNCTION("IFERROR(lookup(9999999999,FILTER('Operações-BR'!$M:$M,'Operações-BR'!$C:$C=A1483,'Operações-BR'!$A:$A&lt;=C1483)),0)"),0.0)</f>
        <v>0</v>
      </c>
      <c r="H1483" s="184">
        <f t="shared" si="2"/>
        <v>0</v>
      </c>
      <c r="I1483" s="184">
        <f>IFERROR(__xludf.DUMMYFUNCTION("IFERROR(lookup(9999999999,FILTER('Operações-BR'!Q:Q,'Operações-BR'!$C:$C=A1483,'Operações-BR'!$A:$A&lt;=C1483))/G1483,0)"),0.0)</f>
        <v>0</v>
      </c>
      <c r="J1483" s="185" t="str">
        <f>IFERROR(VLOOKUP(A1483,Ativos!$A$1:$G2000,5,),"")</f>
        <v/>
      </c>
      <c r="K1483" s="185" t="str">
        <f>IFERROR(VLOOKUP(A1483,Ativos!A:H,8,),"")</f>
        <v/>
      </c>
      <c r="L1483" s="186">
        <f t="shared" si="3"/>
        <v>0</v>
      </c>
    </row>
    <row r="1484" ht="21.0" customHeight="1">
      <c r="A1484" s="187"/>
      <c r="B1484" s="187"/>
      <c r="C1484" s="188"/>
      <c r="D1484" s="135"/>
      <c r="E1484" s="189"/>
      <c r="F1484" s="182" t="str">
        <f t="shared" si="1"/>
        <v/>
      </c>
      <c r="G1484" s="183">
        <f>IFERROR(__xludf.DUMMYFUNCTION("IFERROR(lookup(9999999999,FILTER('Operações-BR'!$M:$M,'Operações-BR'!$C:$C=A1484,'Operações-BR'!$A:$A&lt;=C1484)),0)"),0.0)</f>
        <v>0</v>
      </c>
      <c r="H1484" s="184">
        <f t="shared" si="2"/>
        <v>0</v>
      </c>
      <c r="I1484" s="184">
        <f>IFERROR(__xludf.DUMMYFUNCTION("IFERROR(lookup(9999999999,FILTER('Operações-BR'!Q:Q,'Operações-BR'!$C:$C=A1484,'Operações-BR'!$A:$A&lt;=C1484))/G1484,0)"),0.0)</f>
        <v>0</v>
      </c>
      <c r="J1484" s="185" t="str">
        <f>IFERROR(VLOOKUP(A1484,Ativos!$A$1:$G2000,5,),"")</f>
        <v/>
      </c>
      <c r="K1484" s="185" t="str">
        <f>IFERROR(VLOOKUP(A1484,Ativos!A:H,8,),"")</f>
        <v/>
      </c>
      <c r="L1484" s="186">
        <f t="shared" si="3"/>
        <v>0</v>
      </c>
    </row>
    <row r="1485" ht="21.0" customHeight="1">
      <c r="A1485" s="187"/>
      <c r="B1485" s="187"/>
      <c r="C1485" s="188"/>
      <c r="D1485" s="135"/>
      <c r="E1485" s="189"/>
      <c r="F1485" s="182" t="str">
        <f t="shared" si="1"/>
        <v/>
      </c>
      <c r="G1485" s="183">
        <f>IFERROR(__xludf.DUMMYFUNCTION("IFERROR(lookup(9999999999,FILTER('Operações-BR'!$M:$M,'Operações-BR'!$C:$C=A1485,'Operações-BR'!$A:$A&lt;=C1485)),0)"),0.0)</f>
        <v>0</v>
      </c>
      <c r="H1485" s="184">
        <f t="shared" si="2"/>
        <v>0</v>
      </c>
      <c r="I1485" s="184">
        <f>IFERROR(__xludf.DUMMYFUNCTION("IFERROR(lookup(9999999999,FILTER('Operações-BR'!Q:Q,'Operações-BR'!$C:$C=A1485,'Operações-BR'!$A:$A&lt;=C1485))/G1485,0)"),0.0)</f>
        <v>0</v>
      </c>
      <c r="J1485" s="185" t="str">
        <f>IFERROR(VLOOKUP(A1485,Ativos!$A$1:$G2000,5,),"")</f>
        <v/>
      </c>
      <c r="K1485" s="185" t="str">
        <f>IFERROR(VLOOKUP(A1485,Ativos!A:H,8,),"")</f>
        <v/>
      </c>
      <c r="L1485" s="186">
        <f t="shared" si="3"/>
        <v>0</v>
      </c>
    </row>
    <row r="1486" ht="21.0" customHeight="1">
      <c r="A1486" s="187"/>
      <c r="B1486" s="187"/>
      <c r="C1486" s="188"/>
      <c r="D1486" s="135"/>
      <c r="E1486" s="189"/>
      <c r="F1486" s="182" t="str">
        <f t="shared" si="1"/>
        <v/>
      </c>
      <c r="G1486" s="183">
        <f>IFERROR(__xludf.DUMMYFUNCTION("IFERROR(lookup(9999999999,FILTER('Operações-BR'!$M:$M,'Operações-BR'!$C:$C=A1486,'Operações-BR'!$A:$A&lt;=C1486)),0)"),0.0)</f>
        <v>0</v>
      </c>
      <c r="H1486" s="184">
        <f t="shared" si="2"/>
        <v>0</v>
      </c>
      <c r="I1486" s="184">
        <f>IFERROR(__xludf.DUMMYFUNCTION("IFERROR(lookup(9999999999,FILTER('Operações-BR'!Q:Q,'Operações-BR'!$C:$C=A1486,'Operações-BR'!$A:$A&lt;=C1486))/G1486,0)"),0.0)</f>
        <v>0</v>
      </c>
      <c r="J1486" s="185" t="str">
        <f>IFERROR(VLOOKUP(A1486,Ativos!$A$1:$G2000,5,),"")</f>
        <v/>
      </c>
      <c r="K1486" s="185" t="str">
        <f>IFERROR(VLOOKUP(A1486,Ativos!A:H,8,),"")</f>
        <v/>
      </c>
      <c r="L1486" s="186">
        <f t="shared" si="3"/>
        <v>0</v>
      </c>
    </row>
    <row r="1487" ht="21.0" customHeight="1">
      <c r="A1487" s="187"/>
      <c r="B1487" s="187"/>
      <c r="C1487" s="188"/>
      <c r="D1487" s="135"/>
      <c r="E1487" s="189"/>
      <c r="F1487" s="182" t="str">
        <f t="shared" si="1"/>
        <v/>
      </c>
      <c r="G1487" s="183">
        <f>IFERROR(__xludf.DUMMYFUNCTION("IFERROR(lookup(9999999999,FILTER('Operações-BR'!$M:$M,'Operações-BR'!$C:$C=A1487,'Operações-BR'!$A:$A&lt;=C1487)),0)"),0.0)</f>
        <v>0</v>
      </c>
      <c r="H1487" s="184">
        <f t="shared" si="2"/>
        <v>0</v>
      </c>
      <c r="I1487" s="184">
        <f>IFERROR(__xludf.DUMMYFUNCTION("IFERROR(lookup(9999999999,FILTER('Operações-BR'!Q:Q,'Operações-BR'!$C:$C=A1487,'Operações-BR'!$A:$A&lt;=C1487))/G1487,0)"),0.0)</f>
        <v>0</v>
      </c>
      <c r="J1487" s="185" t="str">
        <f>IFERROR(VLOOKUP(A1487,Ativos!$A$1:$G2000,5,),"")</f>
        <v/>
      </c>
      <c r="K1487" s="185" t="str">
        <f>IFERROR(VLOOKUP(A1487,Ativos!A:H,8,),"")</f>
        <v/>
      </c>
      <c r="L1487" s="186">
        <f t="shared" si="3"/>
        <v>0</v>
      </c>
    </row>
    <row r="1488" ht="21.0" customHeight="1">
      <c r="A1488" s="187"/>
      <c r="B1488" s="187"/>
      <c r="C1488" s="188"/>
      <c r="D1488" s="135"/>
      <c r="E1488" s="189"/>
      <c r="F1488" s="182" t="str">
        <f t="shared" si="1"/>
        <v/>
      </c>
      <c r="G1488" s="183">
        <f>IFERROR(__xludf.DUMMYFUNCTION("IFERROR(lookup(9999999999,FILTER('Operações-BR'!$M:$M,'Operações-BR'!$C:$C=A1488,'Operações-BR'!$A:$A&lt;=C1488)),0)"),0.0)</f>
        <v>0</v>
      </c>
      <c r="H1488" s="184">
        <f t="shared" si="2"/>
        <v>0</v>
      </c>
      <c r="I1488" s="184">
        <f>IFERROR(__xludf.DUMMYFUNCTION("IFERROR(lookup(9999999999,FILTER('Operações-BR'!Q:Q,'Operações-BR'!$C:$C=A1488,'Operações-BR'!$A:$A&lt;=C1488))/G1488,0)"),0.0)</f>
        <v>0</v>
      </c>
      <c r="J1488" s="185" t="str">
        <f>IFERROR(VLOOKUP(A1488,Ativos!$A$1:$G2000,5,),"")</f>
        <v/>
      </c>
      <c r="K1488" s="185" t="str">
        <f>IFERROR(VLOOKUP(A1488,Ativos!A:H,8,),"")</f>
        <v/>
      </c>
      <c r="L1488" s="186">
        <f t="shared" si="3"/>
        <v>0</v>
      </c>
    </row>
    <row r="1489" ht="21.0" customHeight="1">
      <c r="A1489" s="187"/>
      <c r="B1489" s="187"/>
      <c r="C1489" s="188"/>
      <c r="D1489" s="135"/>
      <c r="E1489" s="189"/>
      <c r="F1489" s="182" t="str">
        <f t="shared" si="1"/>
        <v/>
      </c>
      <c r="G1489" s="183">
        <f>IFERROR(__xludf.DUMMYFUNCTION("IFERROR(lookup(9999999999,FILTER('Operações-BR'!$M:$M,'Operações-BR'!$C:$C=A1489,'Operações-BR'!$A:$A&lt;=C1489)),0)"),0.0)</f>
        <v>0</v>
      </c>
      <c r="H1489" s="184">
        <f t="shared" si="2"/>
        <v>0</v>
      </c>
      <c r="I1489" s="184">
        <f>IFERROR(__xludf.DUMMYFUNCTION("IFERROR(lookup(9999999999,FILTER('Operações-BR'!Q:Q,'Operações-BR'!$C:$C=A1489,'Operações-BR'!$A:$A&lt;=C1489))/G1489,0)"),0.0)</f>
        <v>0</v>
      </c>
      <c r="J1489" s="185" t="str">
        <f>IFERROR(VLOOKUP(A1489,Ativos!$A$1:$G2000,5,),"")</f>
        <v/>
      </c>
      <c r="K1489" s="185" t="str">
        <f>IFERROR(VLOOKUP(A1489,Ativos!A:H,8,),"")</f>
        <v/>
      </c>
      <c r="L1489" s="186">
        <f t="shared" si="3"/>
        <v>0</v>
      </c>
    </row>
    <row r="1490" ht="21.0" customHeight="1">
      <c r="A1490" s="187"/>
      <c r="B1490" s="187"/>
      <c r="C1490" s="188"/>
      <c r="D1490" s="135"/>
      <c r="E1490" s="189"/>
      <c r="F1490" s="182" t="str">
        <f t="shared" si="1"/>
        <v/>
      </c>
      <c r="G1490" s="183">
        <f>IFERROR(__xludf.DUMMYFUNCTION("IFERROR(lookup(9999999999,FILTER('Operações-BR'!$M:$M,'Operações-BR'!$C:$C=A1490,'Operações-BR'!$A:$A&lt;=C1490)),0)"),0.0)</f>
        <v>0</v>
      </c>
      <c r="H1490" s="184">
        <f t="shared" si="2"/>
        <v>0</v>
      </c>
      <c r="I1490" s="184">
        <f>IFERROR(__xludf.DUMMYFUNCTION("IFERROR(lookup(9999999999,FILTER('Operações-BR'!Q:Q,'Operações-BR'!$C:$C=A1490,'Operações-BR'!$A:$A&lt;=C1490))/G1490,0)"),0.0)</f>
        <v>0</v>
      </c>
      <c r="J1490" s="185" t="str">
        <f>IFERROR(VLOOKUP(A1490,Ativos!$A$1:$G2000,5,),"")</f>
        <v/>
      </c>
      <c r="K1490" s="185" t="str">
        <f>IFERROR(VLOOKUP(A1490,Ativos!A:H,8,),"")</f>
        <v/>
      </c>
      <c r="L1490" s="186">
        <f t="shared" si="3"/>
        <v>0</v>
      </c>
    </row>
    <row r="1491" ht="21.0" customHeight="1">
      <c r="A1491" s="187"/>
      <c r="B1491" s="187"/>
      <c r="C1491" s="188"/>
      <c r="D1491" s="135"/>
      <c r="E1491" s="189"/>
      <c r="F1491" s="182" t="str">
        <f t="shared" si="1"/>
        <v/>
      </c>
      <c r="G1491" s="183">
        <f>IFERROR(__xludf.DUMMYFUNCTION("IFERROR(lookup(9999999999,FILTER('Operações-BR'!$M:$M,'Operações-BR'!$C:$C=A1491,'Operações-BR'!$A:$A&lt;=C1491)),0)"),0.0)</f>
        <v>0</v>
      </c>
      <c r="H1491" s="184">
        <f t="shared" si="2"/>
        <v>0</v>
      </c>
      <c r="I1491" s="184">
        <f>IFERROR(__xludf.DUMMYFUNCTION("IFERROR(lookup(9999999999,FILTER('Operações-BR'!Q:Q,'Operações-BR'!$C:$C=A1491,'Operações-BR'!$A:$A&lt;=C1491))/G1491,0)"),0.0)</f>
        <v>0</v>
      </c>
      <c r="J1491" s="185" t="str">
        <f>IFERROR(VLOOKUP(A1491,Ativos!$A$1:$G2000,5,),"")</f>
        <v/>
      </c>
      <c r="K1491" s="185" t="str">
        <f>IFERROR(VLOOKUP(A1491,Ativos!A:H,8,),"")</f>
        <v/>
      </c>
      <c r="L1491" s="186">
        <f t="shared" si="3"/>
        <v>0</v>
      </c>
    </row>
    <row r="1492" ht="21.0" customHeight="1">
      <c r="A1492" s="187"/>
      <c r="B1492" s="187"/>
      <c r="C1492" s="188"/>
      <c r="D1492" s="135"/>
      <c r="E1492" s="189"/>
      <c r="F1492" s="182" t="str">
        <f t="shared" si="1"/>
        <v/>
      </c>
      <c r="G1492" s="183">
        <f>IFERROR(__xludf.DUMMYFUNCTION("IFERROR(lookup(9999999999,FILTER('Operações-BR'!$M:$M,'Operações-BR'!$C:$C=A1492,'Operações-BR'!$A:$A&lt;=C1492)),0)"),0.0)</f>
        <v>0</v>
      </c>
      <c r="H1492" s="184">
        <f t="shared" si="2"/>
        <v>0</v>
      </c>
      <c r="I1492" s="184">
        <f>IFERROR(__xludf.DUMMYFUNCTION("IFERROR(lookup(9999999999,FILTER('Operações-BR'!Q:Q,'Operações-BR'!$C:$C=A1492,'Operações-BR'!$A:$A&lt;=C1492))/G1492,0)"),0.0)</f>
        <v>0</v>
      </c>
      <c r="J1492" s="185" t="str">
        <f>IFERROR(VLOOKUP(A1492,Ativos!$A$1:$G2000,5,),"")</f>
        <v/>
      </c>
      <c r="K1492" s="185" t="str">
        <f>IFERROR(VLOOKUP(A1492,Ativos!A:H,8,),"")</f>
        <v/>
      </c>
      <c r="L1492" s="186">
        <f t="shared" si="3"/>
        <v>0</v>
      </c>
    </row>
    <row r="1493" ht="21.0" customHeight="1">
      <c r="A1493" s="187"/>
      <c r="B1493" s="187"/>
      <c r="C1493" s="188"/>
      <c r="D1493" s="135"/>
      <c r="E1493" s="189"/>
      <c r="F1493" s="182" t="str">
        <f t="shared" si="1"/>
        <v/>
      </c>
      <c r="G1493" s="183">
        <f>IFERROR(__xludf.DUMMYFUNCTION("IFERROR(lookup(9999999999,FILTER('Operações-BR'!$M:$M,'Operações-BR'!$C:$C=A1493,'Operações-BR'!$A:$A&lt;=C1493)),0)"),0.0)</f>
        <v>0</v>
      </c>
      <c r="H1493" s="184">
        <f t="shared" si="2"/>
        <v>0</v>
      </c>
      <c r="I1493" s="184">
        <f>IFERROR(__xludf.DUMMYFUNCTION("IFERROR(lookup(9999999999,FILTER('Operações-BR'!Q:Q,'Operações-BR'!$C:$C=A1493,'Operações-BR'!$A:$A&lt;=C1493))/G1493,0)"),0.0)</f>
        <v>0</v>
      </c>
      <c r="J1493" s="185" t="str">
        <f>IFERROR(VLOOKUP(A1493,Ativos!$A$1:$G2000,5,),"")</f>
        <v/>
      </c>
      <c r="K1493" s="185" t="str">
        <f>IFERROR(VLOOKUP(A1493,Ativos!A:H,8,),"")</f>
        <v/>
      </c>
      <c r="L1493" s="186">
        <f t="shared" si="3"/>
        <v>0</v>
      </c>
    </row>
    <row r="1494" ht="21.0" customHeight="1">
      <c r="A1494" s="187"/>
      <c r="B1494" s="187"/>
      <c r="C1494" s="188"/>
      <c r="D1494" s="135"/>
      <c r="E1494" s="189"/>
      <c r="F1494" s="182" t="str">
        <f t="shared" si="1"/>
        <v/>
      </c>
      <c r="G1494" s="183">
        <f>IFERROR(__xludf.DUMMYFUNCTION("IFERROR(lookup(9999999999,FILTER('Operações-BR'!$M:$M,'Operações-BR'!$C:$C=A1494,'Operações-BR'!$A:$A&lt;=C1494)),0)"),0.0)</f>
        <v>0</v>
      </c>
      <c r="H1494" s="184">
        <f t="shared" si="2"/>
        <v>0</v>
      </c>
      <c r="I1494" s="184">
        <f>IFERROR(__xludf.DUMMYFUNCTION("IFERROR(lookup(9999999999,FILTER('Operações-BR'!Q:Q,'Operações-BR'!$C:$C=A1494,'Operações-BR'!$A:$A&lt;=C1494))/G1494,0)"),0.0)</f>
        <v>0</v>
      </c>
      <c r="J1494" s="185" t="str">
        <f>IFERROR(VLOOKUP(A1494,Ativos!$A$1:$G2000,5,),"")</f>
        <v/>
      </c>
      <c r="K1494" s="185" t="str">
        <f>IFERROR(VLOOKUP(A1494,Ativos!A:H,8,),"")</f>
        <v/>
      </c>
      <c r="L1494" s="186">
        <f t="shared" si="3"/>
        <v>0</v>
      </c>
    </row>
    <row r="1495" ht="21.0" customHeight="1">
      <c r="A1495" s="187"/>
      <c r="B1495" s="187"/>
      <c r="C1495" s="188"/>
      <c r="D1495" s="135"/>
      <c r="E1495" s="189"/>
      <c r="F1495" s="182" t="str">
        <f t="shared" si="1"/>
        <v/>
      </c>
      <c r="G1495" s="183">
        <f>IFERROR(__xludf.DUMMYFUNCTION("IFERROR(lookup(9999999999,FILTER('Operações-BR'!$M:$M,'Operações-BR'!$C:$C=A1495,'Operações-BR'!$A:$A&lt;=C1495)),0)"),0.0)</f>
        <v>0</v>
      </c>
      <c r="H1495" s="184">
        <f t="shared" si="2"/>
        <v>0</v>
      </c>
      <c r="I1495" s="184">
        <f>IFERROR(__xludf.DUMMYFUNCTION("IFERROR(lookup(9999999999,FILTER('Operações-BR'!Q:Q,'Operações-BR'!$C:$C=A1495,'Operações-BR'!$A:$A&lt;=C1495))/G1495,0)"),0.0)</f>
        <v>0</v>
      </c>
      <c r="J1495" s="185" t="str">
        <f>IFERROR(VLOOKUP(A1495,Ativos!$A$1:$G2000,5,),"")</f>
        <v/>
      </c>
      <c r="K1495" s="185" t="str">
        <f>IFERROR(VLOOKUP(A1495,Ativos!A:H,8,),"")</f>
        <v/>
      </c>
      <c r="L1495" s="186">
        <f t="shared" si="3"/>
        <v>0</v>
      </c>
    </row>
    <row r="1496" ht="21.0" customHeight="1">
      <c r="A1496" s="187"/>
      <c r="B1496" s="187"/>
      <c r="C1496" s="188"/>
      <c r="D1496" s="135"/>
      <c r="E1496" s="189"/>
      <c r="F1496" s="182" t="str">
        <f t="shared" si="1"/>
        <v/>
      </c>
      <c r="G1496" s="183">
        <f>IFERROR(__xludf.DUMMYFUNCTION("IFERROR(lookup(9999999999,FILTER('Operações-BR'!$M:$M,'Operações-BR'!$C:$C=A1496,'Operações-BR'!$A:$A&lt;=C1496)),0)"),0.0)</f>
        <v>0</v>
      </c>
      <c r="H1496" s="184">
        <f t="shared" si="2"/>
        <v>0</v>
      </c>
      <c r="I1496" s="184">
        <f>IFERROR(__xludf.DUMMYFUNCTION("IFERROR(lookup(9999999999,FILTER('Operações-BR'!Q:Q,'Operações-BR'!$C:$C=A1496,'Operações-BR'!$A:$A&lt;=C1496))/G1496,0)"),0.0)</f>
        <v>0</v>
      </c>
      <c r="J1496" s="185" t="str">
        <f>IFERROR(VLOOKUP(A1496,Ativos!$A$1:$G2000,5,),"")</f>
        <v/>
      </c>
      <c r="K1496" s="185" t="str">
        <f>IFERROR(VLOOKUP(A1496,Ativos!A:H,8,),"")</f>
        <v/>
      </c>
      <c r="L1496" s="186">
        <f t="shared" si="3"/>
        <v>0</v>
      </c>
    </row>
    <row r="1497" ht="21.0" customHeight="1">
      <c r="A1497" s="187"/>
      <c r="B1497" s="187"/>
      <c r="C1497" s="188"/>
      <c r="D1497" s="135"/>
      <c r="E1497" s="189"/>
      <c r="F1497" s="182" t="str">
        <f t="shared" si="1"/>
        <v/>
      </c>
      <c r="G1497" s="183">
        <f>IFERROR(__xludf.DUMMYFUNCTION("IFERROR(lookup(9999999999,FILTER('Operações-BR'!$M:$M,'Operações-BR'!$C:$C=A1497,'Operações-BR'!$A:$A&lt;=C1497)),0)"),0.0)</f>
        <v>0</v>
      </c>
      <c r="H1497" s="184">
        <f t="shared" si="2"/>
        <v>0</v>
      </c>
      <c r="I1497" s="184">
        <f>IFERROR(__xludf.DUMMYFUNCTION("IFERROR(lookup(9999999999,FILTER('Operações-BR'!Q:Q,'Operações-BR'!$C:$C=A1497,'Operações-BR'!$A:$A&lt;=C1497))/G1497,0)"),0.0)</f>
        <v>0</v>
      </c>
      <c r="J1497" s="185" t="str">
        <f>IFERROR(VLOOKUP(A1497,Ativos!$A$1:$G2000,5,),"")</f>
        <v/>
      </c>
      <c r="K1497" s="185" t="str">
        <f>IFERROR(VLOOKUP(A1497,Ativos!A:H,8,),"")</f>
        <v/>
      </c>
      <c r="L1497" s="186">
        <f t="shared" si="3"/>
        <v>0</v>
      </c>
    </row>
    <row r="1498" ht="21.0" customHeight="1">
      <c r="A1498" s="187"/>
      <c r="B1498" s="187"/>
      <c r="C1498" s="188"/>
      <c r="D1498" s="135"/>
      <c r="E1498" s="189"/>
      <c r="F1498" s="182" t="str">
        <f t="shared" si="1"/>
        <v/>
      </c>
      <c r="G1498" s="183">
        <f>IFERROR(__xludf.DUMMYFUNCTION("IFERROR(lookup(9999999999,FILTER('Operações-BR'!$M:$M,'Operações-BR'!$C:$C=A1498,'Operações-BR'!$A:$A&lt;=C1498)),0)"),0.0)</f>
        <v>0</v>
      </c>
      <c r="H1498" s="184">
        <f t="shared" si="2"/>
        <v>0</v>
      </c>
      <c r="I1498" s="184">
        <f>IFERROR(__xludf.DUMMYFUNCTION("IFERROR(lookup(9999999999,FILTER('Operações-BR'!Q:Q,'Operações-BR'!$C:$C=A1498,'Operações-BR'!$A:$A&lt;=C1498))/G1498,0)"),0.0)</f>
        <v>0</v>
      </c>
      <c r="J1498" s="185" t="str">
        <f>IFERROR(VLOOKUP(A1498,Ativos!$A$1:$G2000,5,),"")</f>
        <v/>
      </c>
      <c r="K1498" s="185" t="str">
        <f>IFERROR(VLOOKUP(A1498,Ativos!A:H,8,),"")</f>
        <v/>
      </c>
      <c r="L1498" s="186">
        <f t="shared" si="3"/>
        <v>0</v>
      </c>
    </row>
    <row r="1499" ht="21.0" customHeight="1">
      <c r="A1499" s="187"/>
      <c r="B1499" s="187"/>
      <c r="C1499" s="188"/>
      <c r="D1499" s="135"/>
      <c r="E1499" s="189"/>
      <c r="F1499" s="182" t="str">
        <f t="shared" si="1"/>
        <v/>
      </c>
      <c r="G1499" s="183">
        <f>IFERROR(__xludf.DUMMYFUNCTION("IFERROR(lookup(9999999999,FILTER('Operações-BR'!$M:$M,'Operações-BR'!$C:$C=A1499,'Operações-BR'!$A:$A&lt;=C1499)),0)"),0.0)</f>
        <v>0</v>
      </c>
      <c r="H1499" s="184">
        <f t="shared" si="2"/>
        <v>0</v>
      </c>
      <c r="I1499" s="184">
        <f>IFERROR(__xludf.DUMMYFUNCTION("IFERROR(lookup(9999999999,FILTER('Operações-BR'!Q:Q,'Operações-BR'!$C:$C=A1499,'Operações-BR'!$A:$A&lt;=C1499))/G1499,0)"),0.0)</f>
        <v>0</v>
      </c>
      <c r="J1499" s="185" t="str">
        <f>IFERROR(VLOOKUP(A1499,Ativos!$A$1:$G2000,5,),"")</f>
        <v/>
      </c>
      <c r="K1499" s="185" t="str">
        <f>IFERROR(VLOOKUP(A1499,Ativos!A:H,8,),"")</f>
        <v/>
      </c>
      <c r="L1499" s="186">
        <f t="shared" si="3"/>
        <v>0</v>
      </c>
    </row>
    <row r="1500" ht="21.0" customHeight="1">
      <c r="A1500" s="187"/>
      <c r="B1500" s="187"/>
      <c r="C1500" s="188"/>
      <c r="D1500" s="135"/>
      <c r="E1500" s="189"/>
      <c r="F1500" s="182" t="str">
        <f t="shared" si="1"/>
        <v/>
      </c>
      <c r="G1500" s="183">
        <f>IFERROR(__xludf.DUMMYFUNCTION("IFERROR(lookup(9999999999,FILTER('Operações-BR'!$M:$M,'Operações-BR'!$C:$C=A1500,'Operações-BR'!$A:$A&lt;=C1500)),0)"),0.0)</f>
        <v>0</v>
      </c>
      <c r="H1500" s="184">
        <f t="shared" si="2"/>
        <v>0</v>
      </c>
      <c r="I1500" s="184">
        <f>IFERROR(__xludf.DUMMYFUNCTION("IFERROR(lookup(9999999999,FILTER('Operações-BR'!Q:Q,'Operações-BR'!$C:$C=A1500,'Operações-BR'!$A:$A&lt;=C1500))/G1500,0)"),0.0)</f>
        <v>0</v>
      </c>
      <c r="J1500" s="185" t="str">
        <f>IFERROR(VLOOKUP(A1500,Ativos!$A$1:$G2000,5,),"")</f>
        <v/>
      </c>
      <c r="K1500" s="185" t="str">
        <f>IFERROR(VLOOKUP(A1500,Ativos!A:H,8,),"")</f>
        <v/>
      </c>
      <c r="L1500" s="186">
        <f t="shared" si="3"/>
        <v>0</v>
      </c>
    </row>
    <row r="1501" ht="21.0" customHeight="1">
      <c r="A1501" s="187"/>
      <c r="B1501" s="187"/>
      <c r="C1501" s="188"/>
      <c r="D1501" s="135"/>
      <c r="E1501" s="189"/>
      <c r="F1501" s="182" t="str">
        <f t="shared" si="1"/>
        <v/>
      </c>
      <c r="G1501" s="183">
        <f>IFERROR(__xludf.DUMMYFUNCTION("IFERROR(lookup(9999999999,FILTER('Operações-BR'!$M:$M,'Operações-BR'!$C:$C=A1501,'Operações-BR'!$A:$A&lt;=C1501)),0)"),0.0)</f>
        <v>0</v>
      </c>
      <c r="H1501" s="184">
        <f t="shared" si="2"/>
        <v>0</v>
      </c>
      <c r="I1501" s="184">
        <f>IFERROR(__xludf.DUMMYFUNCTION("IFERROR(lookup(9999999999,FILTER('Operações-BR'!Q:Q,'Operações-BR'!$C:$C=A1501,'Operações-BR'!$A:$A&lt;=C1501))/G1501,0)"),0.0)</f>
        <v>0</v>
      </c>
      <c r="J1501" s="185" t="str">
        <f>IFERROR(VLOOKUP(A1501,Ativos!$A$1:$G2000,5,),"")</f>
        <v/>
      </c>
      <c r="K1501" s="185" t="str">
        <f>IFERROR(VLOOKUP(A1501,Ativos!A:H,8,),"")</f>
        <v/>
      </c>
      <c r="L1501" s="186">
        <f t="shared" si="3"/>
        <v>0</v>
      </c>
    </row>
    <row r="1502" ht="21.0" customHeight="1">
      <c r="A1502" s="187"/>
      <c r="B1502" s="187"/>
      <c r="C1502" s="188"/>
      <c r="D1502" s="135"/>
      <c r="E1502" s="189"/>
      <c r="F1502" s="182" t="str">
        <f t="shared" si="1"/>
        <v/>
      </c>
      <c r="G1502" s="183">
        <f>IFERROR(__xludf.DUMMYFUNCTION("IFERROR(lookup(9999999999,FILTER('Operações-BR'!$M:$M,'Operações-BR'!$C:$C=A1502,'Operações-BR'!$A:$A&lt;=C1502)),0)"),0.0)</f>
        <v>0</v>
      </c>
      <c r="H1502" s="184">
        <f t="shared" si="2"/>
        <v>0</v>
      </c>
      <c r="I1502" s="184">
        <f>IFERROR(__xludf.DUMMYFUNCTION("IFERROR(lookup(9999999999,FILTER('Operações-BR'!Q:Q,'Operações-BR'!$C:$C=A1502,'Operações-BR'!$A:$A&lt;=C1502))/G1502,0)"),0.0)</f>
        <v>0</v>
      </c>
      <c r="J1502" s="185" t="str">
        <f>IFERROR(VLOOKUP(A1502,Ativos!$A$1:$G2000,5,),"")</f>
        <v/>
      </c>
      <c r="K1502" s="185" t="str">
        <f>IFERROR(VLOOKUP(A1502,Ativos!A:H,8,),"")</f>
        <v/>
      </c>
      <c r="L1502" s="186">
        <f t="shared" si="3"/>
        <v>0</v>
      </c>
    </row>
    <row r="1503" ht="21.0" customHeight="1">
      <c r="A1503" s="187"/>
      <c r="B1503" s="187"/>
      <c r="C1503" s="188"/>
      <c r="D1503" s="135"/>
      <c r="E1503" s="189"/>
      <c r="F1503" s="182" t="str">
        <f t="shared" si="1"/>
        <v/>
      </c>
      <c r="G1503" s="183">
        <f>IFERROR(__xludf.DUMMYFUNCTION("IFERROR(lookup(9999999999,FILTER('Operações-BR'!$M:$M,'Operações-BR'!$C:$C=A1503,'Operações-BR'!$A:$A&lt;=C1503)),0)"),0.0)</f>
        <v>0</v>
      </c>
      <c r="H1503" s="184">
        <f t="shared" si="2"/>
        <v>0</v>
      </c>
      <c r="I1503" s="184">
        <f>IFERROR(__xludf.DUMMYFUNCTION("IFERROR(lookup(9999999999,FILTER('Operações-BR'!Q:Q,'Operações-BR'!$C:$C=A1503,'Operações-BR'!$A:$A&lt;=C1503))/G1503,0)"),0.0)</f>
        <v>0</v>
      </c>
      <c r="J1503" s="185" t="str">
        <f>IFERROR(VLOOKUP(A1503,Ativos!$A$1:$G2000,5,),"")</f>
        <v/>
      </c>
      <c r="K1503" s="185" t="str">
        <f>IFERROR(VLOOKUP(A1503,Ativos!A:H,8,),"")</f>
        <v/>
      </c>
      <c r="L1503" s="186">
        <f t="shared" si="3"/>
        <v>0</v>
      </c>
    </row>
    <row r="1504" ht="21.0" customHeight="1">
      <c r="A1504" s="187"/>
      <c r="B1504" s="187"/>
      <c r="C1504" s="188"/>
      <c r="D1504" s="135"/>
      <c r="E1504" s="189"/>
      <c r="F1504" s="182" t="str">
        <f t="shared" si="1"/>
        <v/>
      </c>
      <c r="G1504" s="183">
        <f>IFERROR(__xludf.DUMMYFUNCTION("IFERROR(lookup(9999999999,FILTER('Operações-BR'!$M:$M,'Operações-BR'!$C:$C=A1504,'Operações-BR'!$A:$A&lt;=C1504)),0)"),0.0)</f>
        <v>0</v>
      </c>
      <c r="H1504" s="184">
        <f t="shared" si="2"/>
        <v>0</v>
      </c>
      <c r="I1504" s="184">
        <f>IFERROR(__xludf.DUMMYFUNCTION("IFERROR(lookup(9999999999,FILTER('Operações-BR'!Q:Q,'Operações-BR'!$C:$C=A1504,'Operações-BR'!$A:$A&lt;=C1504))/G1504,0)"),0.0)</f>
        <v>0</v>
      </c>
      <c r="J1504" s="185" t="str">
        <f>IFERROR(VLOOKUP(A1504,Ativos!$A$1:$G2000,5,),"")</f>
        <v/>
      </c>
      <c r="K1504" s="185" t="str">
        <f>IFERROR(VLOOKUP(A1504,Ativos!A:H,8,),"")</f>
        <v/>
      </c>
      <c r="L1504" s="186">
        <f t="shared" si="3"/>
        <v>0</v>
      </c>
    </row>
    <row r="1505" ht="21.0" customHeight="1">
      <c r="A1505" s="187"/>
      <c r="B1505" s="187"/>
      <c r="C1505" s="188"/>
      <c r="D1505" s="135"/>
      <c r="E1505" s="189"/>
      <c r="F1505" s="182" t="str">
        <f t="shared" si="1"/>
        <v/>
      </c>
      <c r="G1505" s="183">
        <f>IFERROR(__xludf.DUMMYFUNCTION("IFERROR(lookup(9999999999,FILTER('Operações-BR'!$M:$M,'Operações-BR'!$C:$C=A1505,'Operações-BR'!$A:$A&lt;=C1505)),0)"),0.0)</f>
        <v>0</v>
      </c>
      <c r="H1505" s="184">
        <f t="shared" si="2"/>
        <v>0</v>
      </c>
      <c r="I1505" s="184">
        <f>IFERROR(__xludf.DUMMYFUNCTION("IFERROR(lookup(9999999999,FILTER('Operações-BR'!Q:Q,'Operações-BR'!$C:$C=A1505,'Operações-BR'!$A:$A&lt;=C1505))/G1505,0)"),0.0)</f>
        <v>0</v>
      </c>
      <c r="J1505" s="185" t="str">
        <f>IFERROR(VLOOKUP(A1505,Ativos!$A$1:$G2000,5,),"")</f>
        <v/>
      </c>
      <c r="K1505" s="185" t="str">
        <f>IFERROR(VLOOKUP(A1505,Ativos!A:H,8,),"")</f>
        <v/>
      </c>
      <c r="L1505" s="186">
        <f t="shared" si="3"/>
        <v>0</v>
      </c>
    </row>
    <row r="1506" ht="21.0" customHeight="1">
      <c r="A1506" s="187"/>
      <c r="B1506" s="187"/>
      <c r="C1506" s="188"/>
      <c r="D1506" s="135"/>
      <c r="E1506" s="189"/>
      <c r="F1506" s="182" t="str">
        <f t="shared" si="1"/>
        <v/>
      </c>
      <c r="G1506" s="183">
        <f>IFERROR(__xludf.DUMMYFUNCTION("IFERROR(lookup(9999999999,FILTER('Operações-BR'!$M:$M,'Operações-BR'!$C:$C=A1506,'Operações-BR'!$A:$A&lt;=C1506)),0)"),0.0)</f>
        <v>0</v>
      </c>
      <c r="H1506" s="184">
        <f t="shared" si="2"/>
        <v>0</v>
      </c>
      <c r="I1506" s="184">
        <f>IFERROR(__xludf.DUMMYFUNCTION("IFERROR(lookup(9999999999,FILTER('Operações-BR'!Q:Q,'Operações-BR'!$C:$C=A1506,'Operações-BR'!$A:$A&lt;=C1506))/G1506,0)"),0.0)</f>
        <v>0</v>
      </c>
      <c r="J1506" s="185" t="str">
        <f>IFERROR(VLOOKUP(A1506,Ativos!$A$1:$G2000,5,),"")</f>
        <v/>
      </c>
      <c r="K1506" s="185" t="str">
        <f>IFERROR(VLOOKUP(A1506,Ativos!A:H,8,),"")</f>
        <v/>
      </c>
      <c r="L1506" s="186">
        <f t="shared" si="3"/>
        <v>0</v>
      </c>
    </row>
    <row r="1507" ht="21.0" customHeight="1">
      <c r="A1507" s="187"/>
      <c r="B1507" s="187"/>
      <c r="C1507" s="188"/>
      <c r="D1507" s="135"/>
      <c r="E1507" s="189"/>
      <c r="F1507" s="182" t="str">
        <f t="shared" si="1"/>
        <v/>
      </c>
      <c r="G1507" s="183">
        <f>IFERROR(__xludf.DUMMYFUNCTION("IFERROR(lookup(9999999999,FILTER('Operações-BR'!$M:$M,'Operações-BR'!$C:$C=A1507,'Operações-BR'!$A:$A&lt;=C1507)),0)"),0.0)</f>
        <v>0</v>
      </c>
      <c r="H1507" s="184">
        <f t="shared" si="2"/>
        <v>0</v>
      </c>
      <c r="I1507" s="184">
        <f>IFERROR(__xludf.DUMMYFUNCTION("IFERROR(lookup(9999999999,FILTER('Operações-BR'!Q:Q,'Operações-BR'!$C:$C=A1507,'Operações-BR'!$A:$A&lt;=C1507))/G1507,0)"),0.0)</f>
        <v>0</v>
      </c>
      <c r="J1507" s="185" t="str">
        <f>IFERROR(VLOOKUP(A1507,Ativos!$A$1:$G2000,5,),"")</f>
        <v/>
      </c>
      <c r="K1507" s="185" t="str">
        <f>IFERROR(VLOOKUP(A1507,Ativos!A:H,8,),"")</f>
        <v/>
      </c>
      <c r="L1507" s="186">
        <f t="shared" si="3"/>
        <v>0</v>
      </c>
    </row>
    <row r="1508" ht="21.0" customHeight="1">
      <c r="A1508" s="187"/>
      <c r="B1508" s="187"/>
      <c r="C1508" s="188"/>
      <c r="D1508" s="135"/>
      <c r="E1508" s="189"/>
      <c r="F1508" s="182" t="str">
        <f t="shared" si="1"/>
        <v/>
      </c>
      <c r="G1508" s="183">
        <f>IFERROR(__xludf.DUMMYFUNCTION("IFERROR(lookup(9999999999,FILTER('Operações-BR'!$M:$M,'Operações-BR'!$C:$C=A1508,'Operações-BR'!$A:$A&lt;=C1508)),0)"),0.0)</f>
        <v>0</v>
      </c>
      <c r="H1508" s="184">
        <f t="shared" si="2"/>
        <v>0</v>
      </c>
      <c r="I1508" s="184">
        <f>IFERROR(__xludf.DUMMYFUNCTION("IFERROR(lookup(9999999999,FILTER('Operações-BR'!Q:Q,'Operações-BR'!$C:$C=A1508,'Operações-BR'!$A:$A&lt;=C1508))/G1508,0)"),0.0)</f>
        <v>0</v>
      </c>
      <c r="J1508" s="185" t="str">
        <f>IFERROR(VLOOKUP(A1508,Ativos!$A$1:$G2000,5,),"")</f>
        <v/>
      </c>
      <c r="K1508" s="185" t="str">
        <f>IFERROR(VLOOKUP(A1508,Ativos!A:H,8,),"")</f>
        <v/>
      </c>
      <c r="L1508" s="186">
        <f t="shared" si="3"/>
        <v>0</v>
      </c>
    </row>
    <row r="1509" ht="21.0" customHeight="1">
      <c r="A1509" s="187"/>
      <c r="B1509" s="187"/>
      <c r="C1509" s="188"/>
      <c r="D1509" s="135"/>
      <c r="E1509" s="189"/>
      <c r="F1509" s="182" t="str">
        <f t="shared" si="1"/>
        <v/>
      </c>
      <c r="G1509" s="183">
        <f>IFERROR(__xludf.DUMMYFUNCTION("IFERROR(lookup(9999999999,FILTER('Operações-BR'!$M:$M,'Operações-BR'!$C:$C=A1509,'Operações-BR'!$A:$A&lt;=C1509)),0)"),0.0)</f>
        <v>0</v>
      </c>
      <c r="H1509" s="184">
        <f t="shared" si="2"/>
        <v>0</v>
      </c>
      <c r="I1509" s="184">
        <f>IFERROR(__xludf.DUMMYFUNCTION("IFERROR(lookup(9999999999,FILTER('Operações-BR'!Q:Q,'Operações-BR'!$C:$C=A1509,'Operações-BR'!$A:$A&lt;=C1509))/G1509,0)"),0.0)</f>
        <v>0</v>
      </c>
      <c r="J1509" s="185" t="str">
        <f>IFERROR(VLOOKUP(A1509,Ativos!$A$1:$G2000,5,),"")</f>
        <v/>
      </c>
      <c r="K1509" s="185" t="str">
        <f>IFERROR(VLOOKUP(A1509,Ativos!A:H,8,),"")</f>
        <v/>
      </c>
      <c r="L1509" s="186">
        <f t="shared" si="3"/>
        <v>0</v>
      </c>
    </row>
    <row r="1510" ht="21.0" customHeight="1">
      <c r="A1510" s="187"/>
      <c r="B1510" s="187"/>
      <c r="C1510" s="188"/>
      <c r="D1510" s="135"/>
      <c r="E1510" s="189"/>
      <c r="F1510" s="182" t="str">
        <f t="shared" si="1"/>
        <v/>
      </c>
      <c r="G1510" s="183">
        <f>IFERROR(__xludf.DUMMYFUNCTION("IFERROR(lookup(9999999999,FILTER('Operações-BR'!$M:$M,'Operações-BR'!$C:$C=A1510,'Operações-BR'!$A:$A&lt;=C1510)),0)"),0.0)</f>
        <v>0</v>
      </c>
      <c r="H1510" s="184">
        <f t="shared" si="2"/>
        <v>0</v>
      </c>
      <c r="I1510" s="184">
        <f>IFERROR(__xludf.DUMMYFUNCTION("IFERROR(lookup(9999999999,FILTER('Operações-BR'!Q:Q,'Operações-BR'!$C:$C=A1510,'Operações-BR'!$A:$A&lt;=C1510))/G1510,0)"),0.0)</f>
        <v>0</v>
      </c>
      <c r="J1510" s="185" t="str">
        <f>IFERROR(VLOOKUP(A1510,Ativos!$A$1:$G2000,5,),"")</f>
        <v/>
      </c>
      <c r="K1510" s="185" t="str">
        <f>IFERROR(VLOOKUP(A1510,Ativos!A:H,8,),"")</f>
        <v/>
      </c>
      <c r="L1510" s="186">
        <f t="shared" si="3"/>
        <v>0</v>
      </c>
    </row>
    <row r="1511" ht="21.0" customHeight="1">
      <c r="A1511" s="187"/>
      <c r="B1511" s="187"/>
      <c r="C1511" s="188"/>
      <c r="D1511" s="135"/>
      <c r="E1511" s="189"/>
      <c r="F1511" s="182" t="str">
        <f t="shared" si="1"/>
        <v/>
      </c>
      <c r="G1511" s="183">
        <f>IFERROR(__xludf.DUMMYFUNCTION("IFERROR(lookup(9999999999,FILTER('Operações-BR'!$M:$M,'Operações-BR'!$C:$C=A1511,'Operações-BR'!$A:$A&lt;=C1511)),0)"),0.0)</f>
        <v>0</v>
      </c>
      <c r="H1511" s="184">
        <f t="shared" si="2"/>
        <v>0</v>
      </c>
      <c r="I1511" s="184">
        <f>IFERROR(__xludf.DUMMYFUNCTION("IFERROR(lookup(9999999999,FILTER('Operações-BR'!Q:Q,'Operações-BR'!$C:$C=A1511,'Operações-BR'!$A:$A&lt;=C1511))/G1511,0)"),0.0)</f>
        <v>0</v>
      </c>
      <c r="J1511" s="185" t="str">
        <f>IFERROR(VLOOKUP(A1511,Ativos!$A$1:$G2000,5,),"")</f>
        <v/>
      </c>
      <c r="K1511" s="185" t="str">
        <f>IFERROR(VLOOKUP(A1511,Ativos!A:H,8,),"")</f>
        <v/>
      </c>
      <c r="L1511" s="186">
        <f t="shared" si="3"/>
        <v>0</v>
      </c>
    </row>
    <row r="1512" ht="21.0" customHeight="1">
      <c r="A1512" s="187"/>
      <c r="B1512" s="187"/>
      <c r="C1512" s="188"/>
      <c r="D1512" s="135"/>
      <c r="E1512" s="189"/>
      <c r="F1512" s="182" t="str">
        <f t="shared" si="1"/>
        <v/>
      </c>
      <c r="G1512" s="183">
        <f>IFERROR(__xludf.DUMMYFUNCTION("IFERROR(lookup(9999999999,FILTER('Operações-BR'!$M:$M,'Operações-BR'!$C:$C=A1512,'Operações-BR'!$A:$A&lt;=C1512)),0)"),0.0)</f>
        <v>0</v>
      </c>
      <c r="H1512" s="184">
        <f t="shared" si="2"/>
        <v>0</v>
      </c>
      <c r="I1512" s="184">
        <f>IFERROR(__xludf.DUMMYFUNCTION("IFERROR(lookup(9999999999,FILTER('Operações-BR'!Q:Q,'Operações-BR'!$C:$C=A1512,'Operações-BR'!$A:$A&lt;=C1512))/G1512,0)"),0.0)</f>
        <v>0</v>
      </c>
      <c r="J1512" s="185" t="str">
        <f>IFERROR(VLOOKUP(A1512,Ativos!$A$1:$G2000,5,),"")</f>
        <v/>
      </c>
      <c r="K1512" s="185" t="str">
        <f>IFERROR(VLOOKUP(A1512,Ativos!A:H,8,),"")</f>
        <v/>
      </c>
      <c r="L1512" s="186">
        <f t="shared" si="3"/>
        <v>0</v>
      </c>
    </row>
    <row r="1513" ht="21.0" customHeight="1">
      <c r="A1513" s="187"/>
      <c r="B1513" s="187"/>
      <c r="C1513" s="188"/>
      <c r="D1513" s="135"/>
      <c r="E1513" s="189"/>
      <c r="F1513" s="182" t="str">
        <f t="shared" si="1"/>
        <v/>
      </c>
      <c r="G1513" s="183">
        <f>IFERROR(__xludf.DUMMYFUNCTION("IFERROR(lookup(9999999999,FILTER('Operações-BR'!$M:$M,'Operações-BR'!$C:$C=A1513,'Operações-BR'!$A:$A&lt;=C1513)),0)"),0.0)</f>
        <v>0</v>
      </c>
      <c r="H1513" s="184">
        <f t="shared" si="2"/>
        <v>0</v>
      </c>
      <c r="I1513" s="184">
        <f>IFERROR(__xludf.DUMMYFUNCTION("IFERROR(lookup(9999999999,FILTER('Operações-BR'!Q:Q,'Operações-BR'!$C:$C=A1513,'Operações-BR'!$A:$A&lt;=C1513))/G1513,0)"),0.0)</f>
        <v>0</v>
      </c>
      <c r="J1513" s="185" t="str">
        <f>IFERROR(VLOOKUP(A1513,Ativos!$A$1:$G2000,5,),"")</f>
        <v/>
      </c>
      <c r="K1513" s="185" t="str">
        <f>IFERROR(VLOOKUP(A1513,Ativos!A:H,8,),"")</f>
        <v/>
      </c>
      <c r="L1513" s="186">
        <f t="shared" si="3"/>
        <v>0</v>
      </c>
    </row>
    <row r="1514" ht="21.0" customHeight="1">
      <c r="A1514" s="187"/>
      <c r="B1514" s="187"/>
      <c r="C1514" s="188"/>
      <c r="D1514" s="135"/>
      <c r="E1514" s="189"/>
      <c r="F1514" s="182" t="str">
        <f t="shared" si="1"/>
        <v/>
      </c>
      <c r="G1514" s="183">
        <f>IFERROR(__xludf.DUMMYFUNCTION("IFERROR(lookup(9999999999,FILTER('Operações-BR'!$M:$M,'Operações-BR'!$C:$C=A1514,'Operações-BR'!$A:$A&lt;=C1514)),0)"),0.0)</f>
        <v>0</v>
      </c>
      <c r="H1514" s="184">
        <f t="shared" si="2"/>
        <v>0</v>
      </c>
      <c r="I1514" s="184">
        <f>IFERROR(__xludf.DUMMYFUNCTION("IFERROR(lookup(9999999999,FILTER('Operações-BR'!Q:Q,'Operações-BR'!$C:$C=A1514,'Operações-BR'!$A:$A&lt;=C1514))/G1514,0)"),0.0)</f>
        <v>0</v>
      </c>
      <c r="J1514" s="185" t="str">
        <f>IFERROR(VLOOKUP(A1514,Ativos!$A$1:$G2000,5,),"")</f>
        <v/>
      </c>
      <c r="K1514" s="185" t="str">
        <f>IFERROR(VLOOKUP(A1514,Ativos!A:H,8,),"")</f>
        <v/>
      </c>
      <c r="L1514" s="186">
        <f t="shared" si="3"/>
        <v>0</v>
      </c>
    </row>
    <row r="1515" ht="21.0" customHeight="1">
      <c r="A1515" s="187"/>
      <c r="B1515" s="187"/>
      <c r="C1515" s="188"/>
      <c r="D1515" s="135"/>
      <c r="E1515" s="189"/>
      <c r="F1515" s="182" t="str">
        <f t="shared" si="1"/>
        <v/>
      </c>
      <c r="G1515" s="183">
        <f>IFERROR(__xludf.DUMMYFUNCTION("IFERROR(lookup(9999999999,FILTER('Operações-BR'!$M:$M,'Operações-BR'!$C:$C=A1515,'Operações-BR'!$A:$A&lt;=C1515)),0)"),0.0)</f>
        <v>0</v>
      </c>
      <c r="H1515" s="184">
        <f t="shared" si="2"/>
        <v>0</v>
      </c>
      <c r="I1515" s="184">
        <f>IFERROR(__xludf.DUMMYFUNCTION("IFERROR(lookup(9999999999,FILTER('Operações-BR'!Q:Q,'Operações-BR'!$C:$C=A1515,'Operações-BR'!$A:$A&lt;=C1515))/G1515,0)"),0.0)</f>
        <v>0</v>
      </c>
      <c r="J1515" s="185" t="str">
        <f>IFERROR(VLOOKUP(A1515,Ativos!$A$1:$G2000,5,),"")</f>
        <v/>
      </c>
      <c r="K1515" s="185" t="str">
        <f>IFERROR(VLOOKUP(A1515,Ativos!A:H,8,),"")</f>
        <v/>
      </c>
      <c r="L1515" s="186">
        <f t="shared" si="3"/>
        <v>0</v>
      </c>
    </row>
    <row r="1516" ht="21.0" customHeight="1">
      <c r="A1516" s="187"/>
      <c r="B1516" s="187"/>
      <c r="C1516" s="188"/>
      <c r="D1516" s="135"/>
      <c r="E1516" s="189"/>
      <c r="F1516" s="182" t="str">
        <f t="shared" si="1"/>
        <v/>
      </c>
      <c r="G1516" s="183">
        <f>IFERROR(__xludf.DUMMYFUNCTION("IFERROR(lookup(9999999999,FILTER('Operações-BR'!$M:$M,'Operações-BR'!$C:$C=A1516,'Operações-BR'!$A:$A&lt;=C1516)),0)"),0.0)</f>
        <v>0</v>
      </c>
      <c r="H1516" s="184">
        <f t="shared" si="2"/>
        <v>0</v>
      </c>
      <c r="I1516" s="184">
        <f>IFERROR(__xludf.DUMMYFUNCTION("IFERROR(lookup(9999999999,FILTER('Operações-BR'!Q:Q,'Operações-BR'!$C:$C=A1516,'Operações-BR'!$A:$A&lt;=C1516))/G1516,0)"),0.0)</f>
        <v>0</v>
      </c>
      <c r="J1516" s="185" t="str">
        <f>IFERROR(VLOOKUP(A1516,Ativos!$A$1:$G2000,5,),"")</f>
        <v/>
      </c>
      <c r="K1516" s="185" t="str">
        <f>IFERROR(VLOOKUP(A1516,Ativos!A:H,8,),"")</f>
        <v/>
      </c>
      <c r="L1516" s="186">
        <f t="shared" si="3"/>
        <v>0</v>
      </c>
    </row>
    <row r="1517" ht="21.0" customHeight="1">
      <c r="A1517" s="187"/>
      <c r="B1517" s="187"/>
      <c r="C1517" s="188"/>
      <c r="D1517" s="135"/>
      <c r="E1517" s="189"/>
      <c r="F1517" s="182" t="str">
        <f t="shared" si="1"/>
        <v/>
      </c>
      <c r="G1517" s="183">
        <f>IFERROR(__xludf.DUMMYFUNCTION("IFERROR(lookup(9999999999,FILTER('Operações-BR'!$M:$M,'Operações-BR'!$C:$C=A1517,'Operações-BR'!$A:$A&lt;=C1517)),0)"),0.0)</f>
        <v>0</v>
      </c>
      <c r="H1517" s="184">
        <f t="shared" si="2"/>
        <v>0</v>
      </c>
      <c r="I1517" s="184">
        <f>IFERROR(__xludf.DUMMYFUNCTION("IFERROR(lookup(9999999999,FILTER('Operações-BR'!Q:Q,'Operações-BR'!$C:$C=A1517,'Operações-BR'!$A:$A&lt;=C1517))/G1517,0)"),0.0)</f>
        <v>0</v>
      </c>
      <c r="J1517" s="185" t="str">
        <f>IFERROR(VLOOKUP(A1517,Ativos!$A$1:$G2000,5,),"")</f>
        <v/>
      </c>
      <c r="K1517" s="185" t="str">
        <f>IFERROR(VLOOKUP(A1517,Ativos!A:H,8,),"")</f>
        <v/>
      </c>
      <c r="L1517" s="186">
        <f t="shared" si="3"/>
        <v>0</v>
      </c>
    </row>
    <row r="1518" ht="21.0" customHeight="1">
      <c r="A1518" s="187"/>
      <c r="B1518" s="187"/>
      <c r="C1518" s="188"/>
      <c r="D1518" s="135"/>
      <c r="E1518" s="189"/>
      <c r="F1518" s="182" t="str">
        <f t="shared" si="1"/>
        <v/>
      </c>
      <c r="G1518" s="183">
        <f>IFERROR(__xludf.DUMMYFUNCTION("IFERROR(lookup(9999999999,FILTER('Operações-BR'!$M:$M,'Operações-BR'!$C:$C=A1518,'Operações-BR'!$A:$A&lt;=C1518)),0)"),0.0)</f>
        <v>0</v>
      </c>
      <c r="H1518" s="184">
        <f t="shared" si="2"/>
        <v>0</v>
      </c>
      <c r="I1518" s="184">
        <f>IFERROR(__xludf.DUMMYFUNCTION("IFERROR(lookup(9999999999,FILTER('Operações-BR'!Q:Q,'Operações-BR'!$C:$C=A1518,'Operações-BR'!$A:$A&lt;=C1518))/G1518,0)"),0.0)</f>
        <v>0</v>
      </c>
      <c r="J1518" s="185" t="str">
        <f>IFERROR(VLOOKUP(A1518,Ativos!$A$1:$G2000,5,),"")</f>
        <v/>
      </c>
      <c r="K1518" s="185" t="str">
        <f>IFERROR(VLOOKUP(A1518,Ativos!A:H,8,),"")</f>
        <v/>
      </c>
      <c r="L1518" s="186">
        <f t="shared" si="3"/>
        <v>0</v>
      </c>
    </row>
    <row r="1519" ht="21.0" customHeight="1">
      <c r="A1519" s="187"/>
      <c r="B1519" s="187"/>
      <c r="C1519" s="188"/>
      <c r="D1519" s="135"/>
      <c r="E1519" s="189"/>
      <c r="F1519" s="182" t="str">
        <f t="shared" si="1"/>
        <v/>
      </c>
      <c r="G1519" s="183">
        <f>IFERROR(__xludf.DUMMYFUNCTION("IFERROR(lookup(9999999999,FILTER('Operações-BR'!$M:$M,'Operações-BR'!$C:$C=A1519,'Operações-BR'!$A:$A&lt;=C1519)),0)"),0.0)</f>
        <v>0</v>
      </c>
      <c r="H1519" s="184">
        <f t="shared" si="2"/>
        <v>0</v>
      </c>
      <c r="I1519" s="184">
        <f>IFERROR(__xludf.DUMMYFUNCTION("IFERROR(lookup(9999999999,FILTER('Operações-BR'!Q:Q,'Operações-BR'!$C:$C=A1519,'Operações-BR'!$A:$A&lt;=C1519))/G1519,0)"),0.0)</f>
        <v>0</v>
      </c>
      <c r="J1519" s="185" t="str">
        <f>IFERROR(VLOOKUP(A1519,Ativos!$A$1:$G2000,5,),"")</f>
        <v/>
      </c>
      <c r="K1519" s="185" t="str">
        <f>IFERROR(VLOOKUP(A1519,Ativos!A:H,8,),"")</f>
        <v/>
      </c>
      <c r="L1519" s="186">
        <f t="shared" si="3"/>
        <v>0</v>
      </c>
    </row>
    <row r="1520" ht="21.0" customHeight="1">
      <c r="A1520" s="187"/>
      <c r="B1520" s="187"/>
      <c r="C1520" s="188"/>
      <c r="D1520" s="135"/>
      <c r="E1520" s="189"/>
      <c r="F1520" s="182" t="str">
        <f t="shared" si="1"/>
        <v/>
      </c>
      <c r="G1520" s="183">
        <f>IFERROR(__xludf.DUMMYFUNCTION("IFERROR(lookup(9999999999,FILTER('Operações-BR'!$M:$M,'Operações-BR'!$C:$C=A1520,'Operações-BR'!$A:$A&lt;=C1520)),0)"),0.0)</f>
        <v>0</v>
      </c>
      <c r="H1520" s="184">
        <f t="shared" si="2"/>
        <v>0</v>
      </c>
      <c r="I1520" s="184">
        <f>IFERROR(__xludf.DUMMYFUNCTION("IFERROR(lookup(9999999999,FILTER('Operações-BR'!Q:Q,'Operações-BR'!$C:$C=A1520,'Operações-BR'!$A:$A&lt;=C1520))/G1520,0)"),0.0)</f>
        <v>0</v>
      </c>
      <c r="J1520" s="185" t="str">
        <f>IFERROR(VLOOKUP(A1520,Ativos!$A$1:$G2000,5,),"")</f>
        <v/>
      </c>
      <c r="K1520" s="185" t="str">
        <f>IFERROR(VLOOKUP(A1520,Ativos!A:H,8,),"")</f>
        <v/>
      </c>
      <c r="L1520" s="186">
        <f t="shared" si="3"/>
        <v>0</v>
      </c>
    </row>
    <row r="1521" ht="21.0" customHeight="1">
      <c r="A1521" s="187"/>
      <c r="B1521" s="187"/>
      <c r="C1521" s="188"/>
      <c r="D1521" s="135"/>
      <c r="E1521" s="189"/>
      <c r="F1521" s="182" t="str">
        <f t="shared" si="1"/>
        <v/>
      </c>
      <c r="G1521" s="183">
        <f>IFERROR(__xludf.DUMMYFUNCTION("IFERROR(lookup(9999999999,FILTER('Operações-BR'!$M:$M,'Operações-BR'!$C:$C=A1521,'Operações-BR'!$A:$A&lt;=C1521)),0)"),0.0)</f>
        <v>0</v>
      </c>
      <c r="H1521" s="184">
        <f t="shared" si="2"/>
        <v>0</v>
      </c>
      <c r="I1521" s="184">
        <f>IFERROR(__xludf.DUMMYFUNCTION("IFERROR(lookup(9999999999,FILTER('Operações-BR'!Q:Q,'Operações-BR'!$C:$C=A1521,'Operações-BR'!$A:$A&lt;=C1521))/G1521,0)"),0.0)</f>
        <v>0</v>
      </c>
      <c r="J1521" s="185" t="str">
        <f>IFERROR(VLOOKUP(A1521,Ativos!$A$1:$G2000,5,),"")</f>
        <v/>
      </c>
      <c r="K1521" s="185" t="str">
        <f>IFERROR(VLOOKUP(A1521,Ativos!A:H,8,),"")</f>
        <v/>
      </c>
      <c r="L1521" s="186">
        <f t="shared" si="3"/>
        <v>0</v>
      </c>
    </row>
    <row r="1522" ht="21.0" customHeight="1">
      <c r="A1522" s="187"/>
      <c r="B1522" s="187"/>
      <c r="C1522" s="188"/>
      <c r="D1522" s="135"/>
      <c r="E1522" s="189"/>
      <c r="F1522" s="182" t="str">
        <f t="shared" si="1"/>
        <v/>
      </c>
      <c r="G1522" s="183">
        <f>IFERROR(__xludf.DUMMYFUNCTION("IFERROR(lookup(9999999999,FILTER('Operações-BR'!$M:$M,'Operações-BR'!$C:$C=A1522,'Operações-BR'!$A:$A&lt;=C1522)),0)"),0.0)</f>
        <v>0</v>
      </c>
      <c r="H1522" s="184">
        <f t="shared" si="2"/>
        <v>0</v>
      </c>
      <c r="I1522" s="184">
        <f>IFERROR(__xludf.DUMMYFUNCTION("IFERROR(lookup(9999999999,FILTER('Operações-BR'!Q:Q,'Operações-BR'!$C:$C=A1522,'Operações-BR'!$A:$A&lt;=C1522))/G1522,0)"),0.0)</f>
        <v>0</v>
      </c>
      <c r="J1522" s="185" t="str">
        <f>IFERROR(VLOOKUP(A1522,Ativos!$A$1:$G2000,5,),"")</f>
        <v/>
      </c>
      <c r="K1522" s="185" t="str">
        <f>IFERROR(VLOOKUP(A1522,Ativos!A:H,8,),"")</f>
        <v/>
      </c>
      <c r="L1522" s="186">
        <f t="shared" si="3"/>
        <v>0</v>
      </c>
    </row>
    <row r="1523" ht="21.0" customHeight="1">
      <c r="A1523" s="187"/>
      <c r="B1523" s="187"/>
      <c r="C1523" s="188"/>
      <c r="D1523" s="135"/>
      <c r="E1523" s="189"/>
      <c r="F1523" s="182" t="str">
        <f t="shared" si="1"/>
        <v/>
      </c>
      <c r="G1523" s="183">
        <f>IFERROR(__xludf.DUMMYFUNCTION("IFERROR(lookup(9999999999,FILTER('Operações-BR'!$M:$M,'Operações-BR'!$C:$C=A1523,'Operações-BR'!$A:$A&lt;=C1523)),0)"),0.0)</f>
        <v>0</v>
      </c>
      <c r="H1523" s="184">
        <f t="shared" si="2"/>
        <v>0</v>
      </c>
      <c r="I1523" s="184">
        <f>IFERROR(__xludf.DUMMYFUNCTION("IFERROR(lookup(9999999999,FILTER('Operações-BR'!Q:Q,'Operações-BR'!$C:$C=A1523,'Operações-BR'!$A:$A&lt;=C1523))/G1523,0)"),0.0)</f>
        <v>0</v>
      </c>
      <c r="J1523" s="185" t="str">
        <f>IFERROR(VLOOKUP(A1523,Ativos!$A$1:$G2000,5,),"")</f>
        <v/>
      </c>
      <c r="K1523" s="185" t="str">
        <f>IFERROR(VLOOKUP(A1523,Ativos!A:H,8,),"")</f>
        <v/>
      </c>
      <c r="L1523" s="186">
        <f t="shared" si="3"/>
        <v>0</v>
      </c>
    </row>
    <row r="1524" ht="21.0" customHeight="1">
      <c r="A1524" s="187"/>
      <c r="B1524" s="187"/>
      <c r="C1524" s="188"/>
      <c r="D1524" s="135"/>
      <c r="E1524" s="189"/>
      <c r="F1524" s="182" t="str">
        <f t="shared" si="1"/>
        <v/>
      </c>
      <c r="G1524" s="183">
        <f>IFERROR(__xludf.DUMMYFUNCTION("IFERROR(lookup(9999999999,FILTER('Operações-BR'!$M:$M,'Operações-BR'!$C:$C=A1524,'Operações-BR'!$A:$A&lt;=C1524)),0)"),0.0)</f>
        <v>0</v>
      </c>
      <c r="H1524" s="184">
        <f t="shared" si="2"/>
        <v>0</v>
      </c>
      <c r="I1524" s="184">
        <f>IFERROR(__xludf.DUMMYFUNCTION("IFERROR(lookup(9999999999,FILTER('Operações-BR'!Q:Q,'Operações-BR'!$C:$C=A1524,'Operações-BR'!$A:$A&lt;=C1524))/G1524,0)"),0.0)</f>
        <v>0</v>
      </c>
      <c r="J1524" s="185" t="str">
        <f>IFERROR(VLOOKUP(A1524,Ativos!$A$1:$G2000,5,),"")</f>
        <v/>
      </c>
      <c r="K1524" s="185" t="str">
        <f>IFERROR(VLOOKUP(A1524,Ativos!A:H,8,),"")</f>
        <v/>
      </c>
      <c r="L1524" s="186">
        <f t="shared" si="3"/>
        <v>0</v>
      </c>
    </row>
    <row r="1525" ht="21.0" customHeight="1">
      <c r="A1525" s="187"/>
      <c r="B1525" s="187"/>
      <c r="C1525" s="188"/>
      <c r="D1525" s="135"/>
      <c r="E1525" s="189"/>
      <c r="F1525" s="182" t="str">
        <f t="shared" si="1"/>
        <v/>
      </c>
      <c r="G1525" s="183">
        <f>IFERROR(__xludf.DUMMYFUNCTION("IFERROR(lookup(9999999999,FILTER('Operações-BR'!$M:$M,'Operações-BR'!$C:$C=A1525,'Operações-BR'!$A:$A&lt;=C1525)),0)"),0.0)</f>
        <v>0</v>
      </c>
      <c r="H1525" s="184">
        <f t="shared" si="2"/>
        <v>0</v>
      </c>
      <c r="I1525" s="184">
        <f>IFERROR(__xludf.DUMMYFUNCTION("IFERROR(lookup(9999999999,FILTER('Operações-BR'!Q:Q,'Operações-BR'!$C:$C=A1525,'Operações-BR'!$A:$A&lt;=C1525))/G1525,0)"),0.0)</f>
        <v>0</v>
      </c>
      <c r="J1525" s="185" t="str">
        <f>IFERROR(VLOOKUP(A1525,Ativos!$A$1:$G2000,5,),"")</f>
        <v/>
      </c>
      <c r="K1525" s="185" t="str">
        <f>IFERROR(VLOOKUP(A1525,Ativos!A:H,8,),"")</f>
        <v/>
      </c>
      <c r="L1525" s="186">
        <f t="shared" si="3"/>
        <v>0</v>
      </c>
    </row>
    <row r="1526" ht="21.0" customHeight="1">
      <c r="A1526" s="187"/>
      <c r="B1526" s="187"/>
      <c r="C1526" s="188"/>
      <c r="D1526" s="135"/>
      <c r="E1526" s="189"/>
      <c r="F1526" s="182" t="str">
        <f t="shared" si="1"/>
        <v/>
      </c>
      <c r="G1526" s="183">
        <f>IFERROR(__xludf.DUMMYFUNCTION("IFERROR(lookup(9999999999,FILTER('Operações-BR'!$M:$M,'Operações-BR'!$C:$C=A1526,'Operações-BR'!$A:$A&lt;=C1526)),0)"),0.0)</f>
        <v>0</v>
      </c>
      <c r="H1526" s="184">
        <f t="shared" si="2"/>
        <v>0</v>
      </c>
      <c r="I1526" s="184">
        <f>IFERROR(__xludf.DUMMYFUNCTION("IFERROR(lookup(9999999999,FILTER('Operações-BR'!Q:Q,'Operações-BR'!$C:$C=A1526,'Operações-BR'!$A:$A&lt;=C1526))/G1526,0)"),0.0)</f>
        <v>0</v>
      </c>
      <c r="J1526" s="185" t="str">
        <f>IFERROR(VLOOKUP(A1526,Ativos!$A$1:$G2000,5,),"")</f>
        <v/>
      </c>
      <c r="K1526" s="185" t="str">
        <f>IFERROR(VLOOKUP(A1526,Ativos!A:H,8,),"")</f>
        <v/>
      </c>
      <c r="L1526" s="186">
        <f t="shared" si="3"/>
        <v>0</v>
      </c>
    </row>
    <row r="1527" ht="21.0" customHeight="1">
      <c r="A1527" s="187"/>
      <c r="B1527" s="187"/>
      <c r="C1527" s="188"/>
      <c r="D1527" s="135"/>
      <c r="E1527" s="189"/>
      <c r="F1527" s="182" t="str">
        <f t="shared" si="1"/>
        <v/>
      </c>
      <c r="G1527" s="183">
        <f>IFERROR(__xludf.DUMMYFUNCTION("IFERROR(lookup(9999999999,FILTER('Operações-BR'!$M:$M,'Operações-BR'!$C:$C=A1527,'Operações-BR'!$A:$A&lt;=C1527)),0)"),0.0)</f>
        <v>0</v>
      </c>
      <c r="H1527" s="184">
        <f t="shared" si="2"/>
        <v>0</v>
      </c>
      <c r="I1527" s="184">
        <f>IFERROR(__xludf.DUMMYFUNCTION("IFERROR(lookup(9999999999,FILTER('Operações-BR'!Q:Q,'Operações-BR'!$C:$C=A1527,'Operações-BR'!$A:$A&lt;=C1527))/G1527,0)"),0.0)</f>
        <v>0</v>
      </c>
      <c r="J1527" s="185" t="str">
        <f>IFERROR(VLOOKUP(A1527,Ativos!$A$1:$G2000,5,),"")</f>
        <v/>
      </c>
      <c r="K1527" s="185" t="str">
        <f>IFERROR(VLOOKUP(A1527,Ativos!A:H,8,),"")</f>
        <v/>
      </c>
      <c r="L1527" s="186">
        <f t="shared" si="3"/>
        <v>0</v>
      </c>
    </row>
    <row r="1528" ht="21.0" customHeight="1">
      <c r="A1528" s="187"/>
      <c r="B1528" s="187"/>
      <c r="C1528" s="188"/>
      <c r="D1528" s="135"/>
      <c r="E1528" s="189"/>
      <c r="F1528" s="182" t="str">
        <f t="shared" si="1"/>
        <v/>
      </c>
      <c r="G1528" s="183">
        <f>IFERROR(__xludf.DUMMYFUNCTION("IFERROR(lookup(9999999999,FILTER('Operações-BR'!$M:$M,'Operações-BR'!$C:$C=A1528,'Operações-BR'!$A:$A&lt;=C1528)),0)"),0.0)</f>
        <v>0</v>
      </c>
      <c r="H1528" s="184">
        <f t="shared" si="2"/>
        <v>0</v>
      </c>
      <c r="I1528" s="184">
        <f>IFERROR(__xludf.DUMMYFUNCTION("IFERROR(lookup(9999999999,FILTER('Operações-BR'!Q:Q,'Operações-BR'!$C:$C=A1528,'Operações-BR'!$A:$A&lt;=C1528))/G1528,0)"),0.0)</f>
        <v>0</v>
      </c>
      <c r="J1528" s="185" t="str">
        <f>IFERROR(VLOOKUP(A1528,Ativos!$A$1:$G2000,5,),"")</f>
        <v/>
      </c>
      <c r="K1528" s="185" t="str">
        <f>IFERROR(VLOOKUP(A1528,Ativos!A:H,8,),"")</f>
        <v/>
      </c>
      <c r="L1528" s="186">
        <f t="shared" si="3"/>
        <v>0</v>
      </c>
    </row>
    <row r="1529" ht="21.0" customHeight="1">
      <c r="A1529" s="187"/>
      <c r="B1529" s="187"/>
      <c r="C1529" s="188"/>
      <c r="D1529" s="135"/>
      <c r="E1529" s="189"/>
      <c r="F1529" s="182" t="str">
        <f t="shared" si="1"/>
        <v/>
      </c>
      <c r="G1529" s="183">
        <f>IFERROR(__xludf.DUMMYFUNCTION("IFERROR(lookup(9999999999,FILTER('Operações-BR'!$M:$M,'Operações-BR'!$C:$C=A1529,'Operações-BR'!$A:$A&lt;=C1529)),0)"),0.0)</f>
        <v>0</v>
      </c>
      <c r="H1529" s="184">
        <f t="shared" si="2"/>
        <v>0</v>
      </c>
      <c r="I1529" s="184">
        <f>IFERROR(__xludf.DUMMYFUNCTION("IFERROR(lookup(9999999999,FILTER('Operações-BR'!Q:Q,'Operações-BR'!$C:$C=A1529,'Operações-BR'!$A:$A&lt;=C1529))/G1529,0)"),0.0)</f>
        <v>0</v>
      </c>
      <c r="J1529" s="185" t="str">
        <f>IFERROR(VLOOKUP(A1529,Ativos!$A$1:$G2000,5,),"")</f>
        <v/>
      </c>
      <c r="K1529" s="185" t="str">
        <f>IFERROR(VLOOKUP(A1529,Ativos!A:H,8,),"")</f>
        <v/>
      </c>
      <c r="L1529" s="186">
        <f t="shared" si="3"/>
        <v>0</v>
      </c>
    </row>
    <row r="1530" ht="21.0" customHeight="1">
      <c r="A1530" s="187"/>
      <c r="B1530" s="187"/>
      <c r="C1530" s="188"/>
      <c r="D1530" s="135"/>
      <c r="E1530" s="189"/>
      <c r="F1530" s="182" t="str">
        <f t="shared" si="1"/>
        <v/>
      </c>
      <c r="G1530" s="183">
        <f>IFERROR(__xludf.DUMMYFUNCTION("IFERROR(lookup(9999999999,FILTER('Operações-BR'!$M:$M,'Operações-BR'!$C:$C=A1530,'Operações-BR'!$A:$A&lt;=C1530)),0)"),0.0)</f>
        <v>0</v>
      </c>
      <c r="H1530" s="184">
        <f t="shared" si="2"/>
        <v>0</v>
      </c>
      <c r="I1530" s="184">
        <f>IFERROR(__xludf.DUMMYFUNCTION("IFERROR(lookup(9999999999,FILTER('Operações-BR'!Q:Q,'Operações-BR'!$C:$C=A1530,'Operações-BR'!$A:$A&lt;=C1530))/G1530,0)"),0.0)</f>
        <v>0</v>
      </c>
      <c r="J1530" s="185" t="str">
        <f>IFERROR(VLOOKUP(A1530,Ativos!$A$1:$G2000,5,),"")</f>
        <v/>
      </c>
      <c r="K1530" s="185" t="str">
        <f>IFERROR(VLOOKUP(A1530,Ativos!A:H,8,),"")</f>
        <v/>
      </c>
      <c r="L1530" s="186">
        <f t="shared" si="3"/>
        <v>0</v>
      </c>
    </row>
    <row r="1531" ht="21.0" customHeight="1">
      <c r="A1531" s="187"/>
      <c r="B1531" s="187"/>
      <c r="C1531" s="188"/>
      <c r="D1531" s="135"/>
      <c r="E1531" s="189"/>
      <c r="F1531" s="182" t="str">
        <f t="shared" si="1"/>
        <v/>
      </c>
      <c r="G1531" s="183">
        <f>IFERROR(__xludf.DUMMYFUNCTION("IFERROR(lookup(9999999999,FILTER('Operações-BR'!$M:$M,'Operações-BR'!$C:$C=A1531,'Operações-BR'!$A:$A&lt;=C1531)),0)"),0.0)</f>
        <v>0</v>
      </c>
      <c r="H1531" s="184">
        <f t="shared" si="2"/>
        <v>0</v>
      </c>
      <c r="I1531" s="184">
        <f>IFERROR(__xludf.DUMMYFUNCTION("IFERROR(lookup(9999999999,FILTER('Operações-BR'!Q:Q,'Operações-BR'!$C:$C=A1531,'Operações-BR'!$A:$A&lt;=C1531))/G1531,0)"),0.0)</f>
        <v>0</v>
      </c>
      <c r="J1531" s="185" t="str">
        <f>IFERROR(VLOOKUP(A1531,Ativos!$A$1:$G2000,5,),"")</f>
        <v/>
      </c>
      <c r="K1531" s="185" t="str">
        <f>IFERROR(VLOOKUP(A1531,Ativos!A:H,8,),"")</f>
        <v/>
      </c>
      <c r="L1531" s="186">
        <f t="shared" si="3"/>
        <v>0</v>
      </c>
    </row>
    <row r="1532" ht="21.0" customHeight="1">
      <c r="A1532" s="187"/>
      <c r="B1532" s="187"/>
      <c r="C1532" s="188"/>
      <c r="D1532" s="135"/>
      <c r="E1532" s="189"/>
      <c r="F1532" s="182" t="str">
        <f t="shared" si="1"/>
        <v/>
      </c>
      <c r="G1532" s="183">
        <f>IFERROR(__xludf.DUMMYFUNCTION("IFERROR(lookup(9999999999,FILTER('Operações-BR'!$M:$M,'Operações-BR'!$C:$C=A1532,'Operações-BR'!$A:$A&lt;=C1532)),0)"),0.0)</f>
        <v>0</v>
      </c>
      <c r="H1532" s="184">
        <f t="shared" si="2"/>
        <v>0</v>
      </c>
      <c r="I1532" s="184">
        <f>IFERROR(__xludf.DUMMYFUNCTION("IFERROR(lookup(9999999999,FILTER('Operações-BR'!Q:Q,'Operações-BR'!$C:$C=A1532,'Operações-BR'!$A:$A&lt;=C1532))/G1532,0)"),0.0)</f>
        <v>0</v>
      </c>
      <c r="J1532" s="185" t="str">
        <f>IFERROR(VLOOKUP(A1532,Ativos!$A$1:$G2000,5,),"")</f>
        <v/>
      </c>
      <c r="K1532" s="185" t="str">
        <f>IFERROR(VLOOKUP(A1532,Ativos!A:H,8,),"")</f>
        <v/>
      </c>
      <c r="L1532" s="186">
        <f t="shared" si="3"/>
        <v>0</v>
      </c>
    </row>
    <row r="1533" ht="21.0" customHeight="1">
      <c r="A1533" s="187"/>
      <c r="B1533" s="187"/>
      <c r="C1533" s="188"/>
      <c r="D1533" s="135"/>
      <c r="E1533" s="189"/>
      <c r="F1533" s="182" t="str">
        <f t="shared" si="1"/>
        <v/>
      </c>
      <c r="G1533" s="183">
        <f>IFERROR(__xludf.DUMMYFUNCTION("IFERROR(lookup(9999999999,FILTER('Operações-BR'!$M:$M,'Operações-BR'!$C:$C=A1533,'Operações-BR'!$A:$A&lt;=C1533)),0)"),0.0)</f>
        <v>0</v>
      </c>
      <c r="H1533" s="184">
        <f t="shared" si="2"/>
        <v>0</v>
      </c>
      <c r="I1533" s="184">
        <f>IFERROR(__xludf.DUMMYFUNCTION("IFERROR(lookup(9999999999,FILTER('Operações-BR'!Q:Q,'Operações-BR'!$C:$C=A1533,'Operações-BR'!$A:$A&lt;=C1533))/G1533,0)"),0.0)</f>
        <v>0</v>
      </c>
      <c r="J1533" s="185" t="str">
        <f>IFERROR(VLOOKUP(A1533,Ativos!$A$1:$G2000,5,),"")</f>
        <v/>
      </c>
      <c r="K1533" s="185" t="str">
        <f>IFERROR(VLOOKUP(A1533,Ativos!A:H,8,),"")</f>
        <v/>
      </c>
      <c r="L1533" s="186">
        <f t="shared" si="3"/>
        <v>0</v>
      </c>
    </row>
    <row r="1534" ht="21.0" customHeight="1">
      <c r="A1534" s="187"/>
      <c r="B1534" s="187"/>
      <c r="C1534" s="188"/>
      <c r="D1534" s="135"/>
      <c r="E1534" s="189"/>
      <c r="F1534" s="182" t="str">
        <f t="shared" si="1"/>
        <v/>
      </c>
      <c r="G1534" s="183">
        <f>IFERROR(__xludf.DUMMYFUNCTION("IFERROR(lookup(9999999999,FILTER('Operações-BR'!$M:$M,'Operações-BR'!$C:$C=A1534,'Operações-BR'!$A:$A&lt;=C1534)),0)"),0.0)</f>
        <v>0</v>
      </c>
      <c r="H1534" s="184">
        <f t="shared" si="2"/>
        <v>0</v>
      </c>
      <c r="I1534" s="184">
        <f>IFERROR(__xludf.DUMMYFUNCTION("IFERROR(lookup(9999999999,FILTER('Operações-BR'!Q:Q,'Operações-BR'!$C:$C=A1534,'Operações-BR'!$A:$A&lt;=C1534))/G1534,0)"),0.0)</f>
        <v>0</v>
      </c>
      <c r="J1534" s="185" t="str">
        <f>IFERROR(VLOOKUP(A1534,Ativos!$A$1:$G2000,5,),"")</f>
        <v/>
      </c>
      <c r="K1534" s="185" t="str">
        <f>IFERROR(VLOOKUP(A1534,Ativos!A:H,8,),"")</f>
        <v/>
      </c>
      <c r="L1534" s="186">
        <f t="shared" si="3"/>
        <v>0</v>
      </c>
    </row>
    <row r="1535" ht="21.0" customHeight="1">
      <c r="A1535" s="187"/>
      <c r="B1535" s="187"/>
      <c r="C1535" s="188"/>
      <c r="D1535" s="135"/>
      <c r="E1535" s="189"/>
      <c r="F1535" s="182" t="str">
        <f t="shared" si="1"/>
        <v/>
      </c>
      <c r="G1535" s="183">
        <f>IFERROR(__xludf.DUMMYFUNCTION("IFERROR(lookup(9999999999,FILTER('Operações-BR'!$M:$M,'Operações-BR'!$C:$C=A1535,'Operações-BR'!$A:$A&lt;=C1535)),0)"),0.0)</f>
        <v>0</v>
      </c>
      <c r="H1535" s="184">
        <f t="shared" si="2"/>
        <v>0</v>
      </c>
      <c r="I1535" s="184">
        <f>IFERROR(__xludf.DUMMYFUNCTION("IFERROR(lookup(9999999999,FILTER('Operações-BR'!Q:Q,'Operações-BR'!$C:$C=A1535,'Operações-BR'!$A:$A&lt;=C1535))/G1535,0)"),0.0)</f>
        <v>0</v>
      </c>
      <c r="J1535" s="185" t="str">
        <f>IFERROR(VLOOKUP(A1535,Ativos!$A$1:$G2000,5,),"")</f>
        <v/>
      </c>
      <c r="K1535" s="185" t="str">
        <f>IFERROR(VLOOKUP(A1535,Ativos!A:H,8,),"")</f>
        <v/>
      </c>
      <c r="L1535" s="186">
        <f t="shared" si="3"/>
        <v>0</v>
      </c>
    </row>
    <row r="1536" ht="21.0" customHeight="1">
      <c r="A1536" s="187"/>
      <c r="B1536" s="187"/>
      <c r="C1536" s="188"/>
      <c r="D1536" s="135"/>
      <c r="E1536" s="189"/>
      <c r="F1536" s="182" t="str">
        <f t="shared" si="1"/>
        <v/>
      </c>
      <c r="G1536" s="183">
        <f>IFERROR(__xludf.DUMMYFUNCTION("IFERROR(lookup(9999999999,FILTER('Operações-BR'!$M:$M,'Operações-BR'!$C:$C=A1536,'Operações-BR'!$A:$A&lt;=C1536)),0)"),0.0)</f>
        <v>0</v>
      </c>
      <c r="H1536" s="184">
        <f t="shared" si="2"/>
        <v>0</v>
      </c>
      <c r="I1536" s="184">
        <f>IFERROR(__xludf.DUMMYFUNCTION("IFERROR(lookup(9999999999,FILTER('Operações-BR'!Q:Q,'Operações-BR'!$C:$C=A1536,'Operações-BR'!$A:$A&lt;=C1536))/G1536,0)"),0.0)</f>
        <v>0</v>
      </c>
      <c r="J1536" s="185" t="str">
        <f>IFERROR(VLOOKUP(A1536,Ativos!$A$1:$G2000,5,),"")</f>
        <v/>
      </c>
      <c r="K1536" s="185" t="str">
        <f>IFERROR(VLOOKUP(A1536,Ativos!A:H,8,),"")</f>
        <v/>
      </c>
      <c r="L1536" s="186">
        <f t="shared" si="3"/>
        <v>0</v>
      </c>
    </row>
    <row r="1537" ht="21.0" customHeight="1">
      <c r="A1537" s="187"/>
      <c r="B1537" s="187"/>
      <c r="C1537" s="188"/>
      <c r="D1537" s="135"/>
      <c r="E1537" s="189"/>
      <c r="F1537" s="182" t="str">
        <f t="shared" si="1"/>
        <v/>
      </c>
      <c r="G1537" s="183">
        <f>IFERROR(__xludf.DUMMYFUNCTION("IFERROR(lookup(9999999999,FILTER('Operações-BR'!$M:$M,'Operações-BR'!$C:$C=A1537,'Operações-BR'!$A:$A&lt;=C1537)),0)"),0.0)</f>
        <v>0</v>
      </c>
      <c r="H1537" s="184">
        <f t="shared" si="2"/>
        <v>0</v>
      </c>
      <c r="I1537" s="184">
        <f>IFERROR(__xludf.DUMMYFUNCTION("IFERROR(lookup(9999999999,FILTER('Operações-BR'!Q:Q,'Operações-BR'!$C:$C=A1537,'Operações-BR'!$A:$A&lt;=C1537))/G1537,0)"),0.0)</f>
        <v>0</v>
      </c>
      <c r="J1537" s="185" t="str">
        <f>IFERROR(VLOOKUP(A1537,Ativos!$A$1:$G2000,5,),"")</f>
        <v/>
      </c>
      <c r="K1537" s="185" t="str">
        <f>IFERROR(VLOOKUP(A1537,Ativos!A:H,8,),"")</f>
        <v/>
      </c>
      <c r="L1537" s="186">
        <f t="shared" si="3"/>
        <v>0</v>
      </c>
    </row>
    <row r="1538" ht="21.0" customHeight="1">
      <c r="A1538" s="187"/>
      <c r="B1538" s="187"/>
      <c r="C1538" s="188"/>
      <c r="D1538" s="135"/>
      <c r="E1538" s="189"/>
      <c r="F1538" s="182" t="str">
        <f t="shared" si="1"/>
        <v/>
      </c>
      <c r="G1538" s="183">
        <f>IFERROR(__xludf.DUMMYFUNCTION("IFERROR(lookup(9999999999,FILTER('Operações-BR'!$M:$M,'Operações-BR'!$C:$C=A1538,'Operações-BR'!$A:$A&lt;=C1538)),0)"),0.0)</f>
        <v>0</v>
      </c>
      <c r="H1538" s="184">
        <f t="shared" si="2"/>
        <v>0</v>
      </c>
      <c r="I1538" s="184">
        <f>IFERROR(__xludf.DUMMYFUNCTION("IFERROR(lookup(9999999999,FILTER('Operações-BR'!Q:Q,'Operações-BR'!$C:$C=A1538,'Operações-BR'!$A:$A&lt;=C1538))/G1538,0)"),0.0)</f>
        <v>0</v>
      </c>
      <c r="J1538" s="185" t="str">
        <f>IFERROR(VLOOKUP(A1538,Ativos!$A$1:$G2000,5,),"")</f>
        <v/>
      </c>
      <c r="K1538" s="185" t="str">
        <f>IFERROR(VLOOKUP(A1538,Ativos!A:H,8,),"")</f>
        <v/>
      </c>
      <c r="L1538" s="186">
        <f t="shared" si="3"/>
        <v>0</v>
      </c>
    </row>
    <row r="1539" ht="21.0" customHeight="1">
      <c r="A1539" s="187"/>
      <c r="B1539" s="187"/>
      <c r="C1539" s="188"/>
      <c r="D1539" s="135"/>
      <c r="E1539" s="189"/>
      <c r="F1539" s="182" t="str">
        <f t="shared" si="1"/>
        <v/>
      </c>
      <c r="G1539" s="183">
        <f>IFERROR(__xludf.DUMMYFUNCTION("IFERROR(lookup(9999999999,FILTER('Operações-BR'!$M:$M,'Operações-BR'!$C:$C=A1539,'Operações-BR'!$A:$A&lt;=C1539)),0)"),0.0)</f>
        <v>0</v>
      </c>
      <c r="H1539" s="184">
        <f t="shared" si="2"/>
        <v>0</v>
      </c>
      <c r="I1539" s="184">
        <f>IFERROR(__xludf.DUMMYFUNCTION("IFERROR(lookup(9999999999,FILTER('Operações-BR'!Q:Q,'Operações-BR'!$C:$C=A1539,'Operações-BR'!$A:$A&lt;=C1539))/G1539,0)"),0.0)</f>
        <v>0</v>
      </c>
      <c r="J1539" s="185" t="str">
        <f>IFERROR(VLOOKUP(A1539,Ativos!$A$1:$G2000,5,),"")</f>
        <v/>
      </c>
      <c r="K1539" s="185" t="str">
        <f>IFERROR(VLOOKUP(A1539,Ativos!A:H,8,),"")</f>
        <v/>
      </c>
      <c r="L1539" s="186">
        <f t="shared" si="3"/>
        <v>0</v>
      </c>
    </row>
    <row r="1540" ht="21.0" customHeight="1">
      <c r="A1540" s="187"/>
      <c r="B1540" s="187"/>
      <c r="C1540" s="188"/>
      <c r="D1540" s="135"/>
      <c r="E1540" s="189"/>
      <c r="F1540" s="182" t="str">
        <f t="shared" si="1"/>
        <v/>
      </c>
      <c r="G1540" s="183">
        <f>IFERROR(__xludf.DUMMYFUNCTION("IFERROR(lookup(9999999999,FILTER('Operações-BR'!$M:$M,'Operações-BR'!$C:$C=A1540,'Operações-BR'!$A:$A&lt;=C1540)),0)"),0.0)</f>
        <v>0</v>
      </c>
      <c r="H1540" s="184">
        <f t="shared" si="2"/>
        <v>0</v>
      </c>
      <c r="I1540" s="184">
        <f>IFERROR(__xludf.DUMMYFUNCTION("IFERROR(lookup(9999999999,FILTER('Operações-BR'!Q:Q,'Operações-BR'!$C:$C=A1540,'Operações-BR'!$A:$A&lt;=C1540))/G1540,0)"),0.0)</f>
        <v>0</v>
      </c>
      <c r="J1540" s="185" t="str">
        <f>IFERROR(VLOOKUP(A1540,Ativos!$A$1:$G2000,5,),"")</f>
        <v/>
      </c>
      <c r="K1540" s="185" t="str">
        <f>IFERROR(VLOOKUP(A1540,Ativos!A:H,8,),"")</f>
        <v/>
      </c>
      <c r="L1540" s="186">
        <f t="shared" si="3"/>
        <v>0</v>
      </c>
    </row>
    <row r="1541" ht="21.0" customHeight="1">
      <c r="A1541" s="187"/>
      <c r="B1541" s="187"/>
      <c r="C1541" s="188"/>
      <c r="D1541" s="135"/>
      <c r="E1541" s="189"/>
      <c r="F1541" s="182" t="str">
        <f t="shared" si="1"/>
        <v/>
      </c>
      <c r="G1541" s="183">
        <f>IFERROR(__xludf.DUMMYFUNCTION("IFERROR(lookup(9999999999,FILTER('Operações-BR'!$M:$M,'Operações-BR'!$C:$C=A1541,'Operações-BR'!$A:$A&lt;=C1541)),0)"),0.0)</f>
        <v>0</v>
      </c>
      <c r="H1541" s="184">
        <f t="shared" si="2"/>
        <v>0</v>
      </c>
      <c r="I1541" s="184">
        <f>IFERROR(__xludf.DUMMYFUNCTION("IFERROR(lookup(9999999999,FILTER('Operações-BR'!Q:Q,'Operações-BR'!$C:$C=A1541,'Operações-BR'!$A:$A&lt;=C1541))/G1541,0)"),0.0)</f>
        <v>0</v>
      </c>
      <c r="J1541" s="185" t="str">
        <f>IFERROR(VLOOKUP(A1541,Ativos!$A$1:$G2000,5,),"")</f>
        <v/>
      </c>
      <c r="K1541" s="185" t="str">
        <f>IFERROR(VLOOKUP(A1541,Ativos!A:H,8,),"")</f>
        <v/>
      </c>
      <c r="L1541" s="186">
        <f t="shared" si="3"/>
        <v>0</v>
      </c>
    </row>
    <row r="1542" ht="21.0" customHeight="1">
      <c r="A1542" s="187"/>
      <c r="B1542" s="187"/>
      <c r="C1542" s="188"/>
      <c r="D1542" s="135"/>
      <c r="E1542" s="189"/>
      <c r="F1542" s="182" t="str">
        <f t="shared" si="1"/>
        <v/>
      </c>
      <c r="G1542" s="183">
        <f>IFERROR(__xludf.DUMMYFUNCTION("IFERROR(lookup(9999999999,FILTER('Operações-BR'!$M:$M,'Operações-BR'!$C:$C=A1542,'Operações-BR'!$A:$A&lt;=C1542)),0)"),0.0)</f>
        <v>0</v>
      </c>
      <c r="H1542" s="184">
        <f t="shared" si="2"/>
        <v>0</v>
      </c>
      <c r="I1542" s="184">
        <f>IFERROR(__xludf.DUMMYFUNCTION("IFERROR(lookup(9999999999,FILTER('Operações-BR'!Q:Q,'Operações-BR'!$C:$C=A1542,'Operações-BR'!$A:$A&lt;=C1542))/G1542,0)"),0.0)</f>
        <v>0</v>
      </c>
      <c r="J1542" s="185" t="str">
        <f>IFERROR(VLOOKUP(A1542,Ativos!$A$1:$G2000,5,),"")</f>
        <v/>
      </c>
      <c r="K1542" s="185" t="str">
        <f>IFERROR(VLOOKUP(A1542,Ativos!A:H,8,),"")</f>
        <v/>
      </c>
      <c r="L1542" s="186">
        <f t="shared" si="3"/>
        <v>0</v>
      </c>
    </row>
    <row r="1543" ht="21.0" customHeight="1">
      <c r="A1543" s="187"/>
      <c r="B1543" s="187"/>
      <c r="C1543" s="188"/>
      <c r="D1543" s="135"/>
      <c r="E1543" s="189"/>
      <c r="F1543" s="182" t="str">
        <f t="shared" si="1"/>
        <v/>
      </c>
      <c r="G1543" s="183">
        <f>IFERROR(__xludf.DUMMYFUNCTION("IFERROR(lookup(9999999999,FILTER('Operações-BR'!$M:$M,'Operações-BR'!$C:$C=A1543,'Operações-BR'!$A:$A&lt;=C1543)),0)"),0.0)</f>
        <v>0</v>
      </c>
      <c r="H1543" s="184">
        <f t="shared" si="2"/>
        <v>0</v>
      </c>
      <c r="I1543" s="184">
        <f>IFERROR(__xludf.DUMMYFUNCTION("IFERROR(lookup(9999999999,FILTER('Operações-BR'!Q:Q,'Operações-BR'!$C:$C=A1543,'Operações-BR'!$A:$A&lt;=C1543))/G1543,0)"),0.0)</f>
        <v>0</v>
      </c>
      <c r="J1543" s="185" t="str">
        <f>IFERROR(VLOOKUP(A1543,Ativos!$A$1:$G2000,5,),"")</f>
        <v/>
      </c>
      <c r="K1543" s="185" t="str">
        <f>IFERROR(VLOOKUP(A1543,Ativos!A:H,8,),"")</f>
        <v/>
      </c>
      <c r="L1543" s="186">
        <f t="shared" si="3"/>
        <v>0</v>
      </c>
    </row>
    <row r="1544" ht="21.0" customHeight="1">
      <c r="A1544" s="187"/>
      <c r="B1544" s="187"/>
      <c r="C1544" s="188"/>
      <c r="D1544" s="135"/>
      <c r="E1544" s="189"/>
      <c r="F1544" s="182" t="str">
        <f t="shared" si="1"/>
        <v/>
      </c>
      <c r="G1544" s="183">
        <f>IFERROR(__xludf.DUMMYFUNCTION("IFERROR(lookup(9999999999,FILTER('Operações-BR'!$M:$M,'Operações-BR'!$C:$C=A1544,'Operações-BR'!$A:$A&lt;=C1544)),0)"),0.0)</f>
        <v>0</v>
      </c>
      <c r="H1544" s="184">
        <f t="shared" si="2"/>
        <v>0</v>
      </c>
      <c r="I1544" s="184">
        <f>IFERROR(__xludf.DUMMYFUNCTION("IFERROR(lookup(9999999999,FILTER('Operações-BR'!Q:Q,'Operações-BR'!$C:$C=A1544,'Operações-BR'!$A:$A&lt;=C1544))/G1544,0)"),0.0)</f>
        <v>0</v>
      </c>
      <c r="J1544" s="185" t="str">
        <f>IFERROR(VLOOKUP(A1544,Ativos!$A$1:$G2000,5,),"")</f>
        <v/>
      </c>
      <c r="K1544" s="185" t="str">
        <f>IFERROR(VLOOKUP(A1544,Ativos!A:H,8,),"")</f>
        <v/>
      </c>
      <c r="L1544" s="186">
        <f t="shared" si="3"/>
        <v>0</v>
      </c>
    </row>
    <row r="1545" ht="21.0" customHeight="1">
      <c r="A1545" s="187"/>
      <c r="B1545" s="187"/>
      <c r="C1545" s="188"/>
      <c r="D1545" s="135"/>
      <c r="E1545" s="189"/>
      <c r="F1545" s="182" t="str">
        <f t="shared" si="1"/>
        <v/>
      </c>
      <c r="G1545" s="183">
        <f>IFERROR(__xludf.DUMMYFUNCTION("IFERROR(lookup(9999999999,FILTER('Operações-BR'!$M:$M,'Operações-BR'!$C:$C=A1545,'Operações-BR'!$A:$A&lt;=C1545)),0)"),0.0)</f>
        <v>0</v>
      </c>
      <c r="H1545" s="184">
        <f t="shared" si="2"/>
        <v>0</v>
      </c>
      <c r="I1545" s="184">
        <f>IFERROR(__xludf.DUMMYFUNCTION("IFERROR(lookup(9999999999,FILTER('Operações-BR'!Q:Q,'Operações-BR'!$C:$C=A1545,'Operações-BR'!$A:$A&lt;=C1545))/G1545,0)"),0.0)</f>
        <v>0</v>
      </c>
      <c r="J1545" s="185" t="str">
        <f>IFERROR(VLOOKUP(A1545,Ativos!$A$1:$G2000,5,),"")</f>
        <v/>
      </c>
      <c r="K1545" s="185" t="str">
        <f>IFERROR(VLOOKUP(A1545,Ativos!A:H,8,),"")</f>
        <v/>
      </c>
      <c r="L1545" s="186">
        <f t="shared" si="3"/>
        <v>0</v>
      </c>
    </row>
    <row r="1546" ht="21.0" customHeight="1">
      <c r="A1546" s="187"/>
      <c r="B1546" s="187"/>
      <c r="C1546" s="188"/>
      <c r="D1546" s="135"/>
      <c r="E1546" s="189"/>
      <c r="F1546" s="182" t="str">
        <f t="shared" si="1"/>
        <v/>
      </c>
      <c r="G1546" s="183">
        <f>IFERROR(__xludf.DUMMYFUNCTION("IFERROR(lookup(9999999999,FILTER('Operações-BR'!$M:$M,'Operações-BR'!$C:$C=A1546,'Operações-BR'!$A:$A&lt;=C1546)),0)"),0.0)</f>
        <v>0</v>
      </c>
      <c r="H1546" s="184">
        <f t="shared" si="2"/>
        <v>0</v>
      </c>
      <c r="I1546" s="184">
        <f>IFERROR(__xludf.DUMMYFUNCTION("IFERROR(lookup(9999999999,FILTER('Operações-BR'!Q:Q,'Operações-BR'!$C:$C=A1546,'Operações-BR'!$A:$A&lt;=C1546))/G1546,0)"),0.0)</f>
        <v>0</v>
      </c>
      <c r="J1546" s="185" t="str">
        <f>IFERROR(VLOOKUP(A1546,Ativos!$A$1:$G2000,5,),"")</f>
        <v/>
      </c>
      <c r="K1546" s="185" t="str">
        <f>IFERROR(VLOOKUP(A1546,Ativos!A:H,8,),"")</f>
        <v/>
      </c>
      <c r="L1546" s="186">
        <f t="shared" si="3"/>
        <v>0</v>
      </c>
    </row>
    <row r="1547" ht="21.0" customHeight="1">
      <c r="A1547" s="187"/>
      <c r="B1547" s="187"/>
      <c r="C1547" s="188"/>
      <c r="D1547" s="135"/>
      <c r="E1547" s="189"/>
      <c r="F1547" s="182" t="str">
        <f t="shared" si="1"/>
        <v/>
      </c>
      <c r="G1547" s="183">
        <f>IFERROR(__xludf.DUMMYFUNCTION("IFERROR(lookup(9999999999,FILTER('Operações-BR'!$M:$M,'Operações-BR'!$C:$C=A1547,'Operações-BR'!$A:$A&lt;=C1547)),0)"),0.0)</f>
        <v>0</v>
      </c>
      <c r="H1547" s="184">
        <f t="shared" si="2"/>
        <v>0</v>
      </c>
      <c r="I1547" s="184">
        <f>IFERROR(__xludf.DUMMYFUNCTION("IFERROR(lookup(9999999999,FILTER('Operações-BR'!Q:Q,'Operações-BR'!$C:$C=A1547,'Operações-BR'!$A:$A&lt;=C1547))/G1547,0)"),0.0)</f>
        <v>0</v>
      </c>
      <c r="J1547" s="185" t="str">
        <f>IFERROR(VLOOKUP(A1547,Ativos!$A$1:$G2000,5,),"")</f>
        <v/>
      </c>
      <c r="K1547" s="185" t="str">
        <f>IFERROR(VLOOKUP(A1547,Ativos!A:H,8,),"")</f>
        <v/>
      </c>
      <c r="L1547" s="186">
        <f t="shared" si="3"/>
        <v>0</v>
      </c>
    </row>
    <row r="1548" ht="21.0" customHeight="1">
      <c r="A1548" s="187"/>
      <c r="B1548" s="187"/>
      <c r="C1548" s="188"/>
      <c r="D1548" s="135"/>
      <c r="E1548" s="189"/>
      <c r="F1548" s="182" t="str">
        <f t="shared" si="1"/>
        <v/>
      </c>
      <c r="G1548" s="183">
        <f>IFERROR(__xludf.DUMMYFUNCTION("IFERROR(lookup(9999999999,FILTER('Operações-BR'!$M:$M,'Operações-BR'!$C:$C=A1548,'Operações-BR'!$A:$A&lt;=C1548)),0)"),0.0)</f>
        <v>0</v>
      </c>
      <c r="H1548" s="184">
        <f t="shared" si="2"/>
        <v>0</v>
      </c>
      <c r="I1548" s="184">
        <f>IFERROR(__xludf.DUMMYFUNCTION("IFERROR(lookup(9999999999,FILTER('Operações-BR'!Q:Q,'Operações-BR'!$C:$C=A1548,'Operações-BR'!$A:$A&lt;=C1548))/G1548,0)"),0.0)</f>
        <v>0</v>
      </c>
      <c r="J1548" s="185" t="str">
        <f>IFERROR(VLOOKUP(A1548,Ativos!$A$1:$G2000,5,),"")</f>
        <v/>
      </c>
      <c r="K1548" s="185" t="str">
        <f>IFERROR(VLOOKUP(A1548,Ativos!A:H,8,),"")</f>
        <v/>
      </c>
      <c r="L1548" s="186">
        <f t="shared" si="3"/>
        <v>0</v>
      </c>
    </row>
    <row r="1549" ht="21.0" customHeight="1">
      <c r="A1549" s="187"/>
      <c r="B1549" s="187"/>
      <c r="C1549" s="188"/>
      <c r="D1549" s="135"/>
      <c r="E1549" s="189"/>
      <c r="F1549" s="182" t="str">
        <f t="shared" si="1"/>
        <v/>
      </c>
      <c r="G1549" s="183">
        <f>IFERROR(__xludf.DUMMYFUNCTION("IFERROR(lookup(9999999999,FILTER('Operações-BR'!$M:$M,'Operações-BR'!$C:$C=A1549,'Operações-BR'!$A:$A&lt;=C1549)),0)"),0.0)</f>
        <v>0</v>
      </c>
      <c r="H1549" s="184">
        <f t="shared" si="2"/>
        <v>0</v>
      </c>
      <c r="I1549" s="184">
        <f>IFERROR(__xludf.DUMMYFUNCTION("IFERROR(lookup(9999999999,FILTER('Operações-BR'!Q:Q,'Operações-BR'!$C:$C=A1549,'Operações-BR'!$A:$A&lt;=C1549))/G1549,0)"),0.0)</f>
        <v>0</v>
      </c>
      <c r="J1549" s="185" t="str">
        <f>IFERROR(VLOOKUP(A1549,Ativos!$A$1:$G2000,5,),"")</f>
        <v/>
      </c>
      <c r="K1549" s="185" t="str">
        <f>IFERROR(VLOOKUP(A1549,Ativos!A:H,8,),"")</f>
        <v/>
      </c>
      <c r="L1549" s="186">
        <f t="shared" si="3"/>
        <v>0</v>
      </c>
    </row>
    <row r="1550" ht="21.0" customHeight="1">
      <c r="A1550" s="187"/>
      <c r="B1550" s="187"/>
      <c r="C1550" s="188"/>
      <c r="D1550" s="135"/>
      <c r="E1550" s="189"/>
      <c r="F1550" s="182" t="str">
        <f t="shared" si="1"/>
        <v/>
      </c>
      <c r="G1550" s="183">
        <f>IFERROR(__xludf.DUMMYFUNCTION("IFERROR(lookup(9999999999,FILTER('Operações-BR'!$M:$M,'Operações-BR'!$C:$C=A1550,'Operações-BR'!$A:$A&lt;=C1550)),0)"),0.0)</f>
        <v>0</v>
      </c>
      <c r="H1550" s="184">
        <f t="shared" si="2"/>
        <v>0</v>
      </c>
      <c r="I1550" s="184">
        <f>IFERROR(__xludf.DUMMYFUNCTION("IFERROR(lookup(9999999999,FILTER('Operações-BR'!Q:Q,'Operações-BR'!$C:$C=A1550,'Operações-BR'!$A:$A&lt;=C1550))/G1550,0)"),0.0)</f>
        <v>0</v>
      </c>
      <c r="J1550" s="185" t="str">
        <f>IFERROR(VLOOKUP(A1550,Ativos!$A$1:$G2000,5,),"")</f>
        <v/>
      </c>
      <c r="K1550" s="185" t="str">
        <f>IFERROR(VLOOKUP(A1550,Ativos!A:H,8,),"")</f>
        <v/>
      </c>
      <c r="L1550" s="186">
        <f t="shared" si="3"/>
        <v>0</v>
      </c>
    </row>
    <row r="1551" ht="21.0" customHeight="1">
      <c r="A1551" s="187"/>
      <c r="B1551" s="187"/>
      <c r="C1551" s="188"/>
      <c r="D1551" s="135"/>
      <c r="E1551" s="189"/>
      <c r="F1551" s="182" t="str">
        <f t="shared" si="1"/>
        <v/>
      </c>
      <c r="G1551" s="183">
        <f>IFERROR(__xludf.DUMMYFUNCTION("IFERROR(lookup(9999999999,FILTER('Operações-BR'!$M:$M,'Operações-BR'!$C:$C=A1551,'Operações-BR'!$A:$A&lt;=C1551)),0)"),0.0)</f>
        <v>0</v>
      </c>
      <c r="H1551" s="184">
        <f t="shared" si="2"/>
        <v>0</v>
      </c>
      <c r="I1551" s="184">
        <f>IFERROR(__xludf.DUMMYFUNCTION("IFERROR(lookup(9999999999,FILTER('Operações-BR'!Q:Q,'Operações-BR'!$C:$C=A1551,'Operações-BR'!$A:$A&lt;=C1551))/G1551,0)"),0.0)</f>
        <v>0</v>
      </c>
      <c r="J1551" s="185" t="str">
        <f>IFERROR(VLOOKUP(A1551,Ativos!$A$1:$G2000,5,),"")</f>
        <v/>
      </c>
      <c r="K1551" s="185" t="str">
        <f>IFERROR(VLOOKUP(A1551,Ativos!A:H,8,),"")</f>
        <v/>
      </c>
      <c r="L1551" s="186">
        <f t="shared" si="3"/>
        <v>0</v>
      </c>
    </row>
    <row r="1552" ht="21.0" customHeight="1">
      <c r="A1552" s="187"/>
      <c r="B1552" s="187"/>
      <c r="C1552" s="188"/>
      <c r="D1552" s="135"/>
      <c r="E1552" s="189"/>
      <c r="F1552" s="182" t="str">
        <f t="shared" si="1"/>
        <v/>
      </c>
      <c r="G1552" s="183">
        <f>IFERROR(__xludf.DUMMYFUNCTION("IFERROR(lookup(9999999999,FILTER('Operações-BR'!$M:$M,'Operações-BR'!$C:$C=A1552,'Operações-BR'!$A:$A&lt;=C1552)),0)"),0.0)</f>
        <v>0</v>
      </c>
      <c r="H1552" s="184">
        <f t="shared" si="2"/>
        <v>0</v>
      </c>
      <c r="I1552" s="184">
        <f>IFERROR(__xludf.DUMMYFUNCTION("IFERROR(lookup(9999999999,FILTER('Operações-BR'!Q:Q,'Operações-BR'!$C:$C=A1552,'Operações-BR'!$A:$A&lt;=C1552))/G1552,0)"),0.0)</f>
        <v>0</v>
      </c>
      <c r="J1552" s="185" t="str">
        <f>IFERROR(VLOOKUP(A1552,Ativos!$A$1:$G2000,5,),"")</f>
        <v/>
      </c>
      <c r="K1552" s="185" t="str">
        <f>IFERROR(VLOOKUP(A1552,Ativos!A:H,8,),"")</f>
        <v/>
      </c>
      <c r="L1552" s="186">
        <f t="shared" si="3"/>
        <v>0</v>
      </c>
    </row>
    <row r="1553" ht="21.0" customHeight="1">
      <c r="A1553" s="187"/>
      <c r="B1553" s="187"/>
      <c r="C1553" s="188"/>
      <c r="D1553" s="135"/>
      <c r="E1553" s="189"/>
      <c r="F1553" s="182" t="str">
        <f t="shared" si="1"/>
        <v/>
      </c>
      <c r="G1553" s="183">
        <f>IFERROR(__xludf.DUMMYFUNCTION("IFERROR(lookup(9999999999,FILTER('Operações-BR'!$M:$M,'Operações-BR'!$C:$C=A1553,'Operações-BR'!$A:$A&lt;=C1553)),0)"),0.0)</f>
        <v>0</v>
      </c>
      <c r="H1553" s="184">
        <f t="shared" si="2"/>
        <v>0</v>
      </c>
      <c r="I1553" s="184">
        <f>IFERROR(__xludf.DUMMYFUNCTION("IFERROR(lookup(9999999999,FILTER('Operações-BR'!Q:Q,'Operações-BR'!$C:$C=A1553,'Operações-BR'!$A:$A&lt;=C1553))/G1553,0)"),0.0)</f>
        <v>0</v>
      </c>
      <c r="J1553" s="185" t="str">
        <f>IFERROR(VLOOKUP(A1553,Ativos!$A$1:$G2000,5,),"")</f>
        <v/>
      </c>
      <c r="K1553" s="185" t="str">
        <f>IFERROR(VLOOKUP(A1553,Ativos!A:H,8,),"")</f>
        <v/>
      </c>
      <c r="L1553" s="186">
        <f t="shared" si="3"/>
        <v>0</v>
      </c>
    </row>
    <row r="1554" ht="21.0" customHeight="1">
      <c r="A1554" s="187"/>
      <c r="B1554" s="187"/>
      <c r="C1554" s="188"/>
      <c r="D1554" s="135"/>
      <c r="E1554" s="189"/>
      <c r="F1554" s="182" t="str">
        <f t="shared" si="1"/>
        <v/>
      </c>
      <c r="G1554" s="183">
        <f>IFERROR(__xludf.DUMMYFUNCTION("IFERROR(lookup(9999999999,FILTER('Operações-BR'!$M:$M,'Operações-BR'!$C:$C=A1554,'Operações-BR'!$A:$A&lt;=C1554)),0)"),0.0)</f>
        <v>0</v>
      </c>
      <c r="H1554" s="184">
        <f t="shared" si="2"/>
        <v>0</v>
      </c>
      <c r="I1554" s="184">
        <f>IFERROR(__xludf.DUMMYFUNCTION("IFERROR(lookup(9999999999,FILTER('Operações-BR'!Q:Q,'Operações-BR'!$C:$C=A1554,'Operações-BR'!$A:$A&lt;=C1554))/G1554,0)"),0.0)</f>
        <v>0</v>
      </c>
      <c r="J1554" s="185" t="str">
        <f>IFERROR(VLOOKUP(A1554,Ativos!$A$1:$G2000,5,),"")</f>
        <v/>
      </c>
      <c r="K1554" s="185" t="str">
        <f>IFERROR(VLOOKUP(A1554,Ativos!A:H,8,),"")</f>
        <v/>
      </c>
      <c r="L1554" s="186">
        <f t="shared" si="3"/>
        <v>0</v>
      </c>
    </row>
    <row r="1555" ht="21.0" customHeight="1">
      <c r="A1555" s="187"/>
      <c r="B1555" s="187"/>
      <c r="C1555" s="188"/>
      <c r="D1555" s="135"/>
      <c r="E1555" s="189"/>
      <c r="F1555" s="182" t="str">
        <f t="shared" si="1"/>
        <v/>
      </c>
      <c r="G1555" s="183">
        <f>IFERROR(__xludf.DUMMYFUNCTION("IFERROR(lookup(9999999999,FILTER('Operações-BR'!$M:$M,'Operações-BR'!$C:$C=A1555,'Operações-BR'!$A:$A&lt;=C1555)),0)"),0.0)</f>
        <v>0</v>
      </c>
      <c r="H1555" s="184">
        <f t="shared" si="2"/>
        <v>0</v>
      </c>
      <c r="I1555" s="184">
        <f>IFERROR(__xludf.DUMMYFUNCTION("IFERROR(lookup(9999999999,FILTER('Operações-BR'!Q:Q,'Operações-BR'!$C:$C=A1555,'Operações-BR'!$A:$A&lt;=C1555))/G1555,0)"),0.0)</f>
        <v>0</v>
      </c>
      <c r="J1555" s="185" t="str">
        <f>IFERROR(VLOOKUP(A1555,Ativos!$A$1:$G2000,5,),"")</f>
        <v/>
      </c>
      <c r="K1555" s="185" t="str">
        <f>IFERROR(VLOOKUP(A1555,Ativos!A:H,8,),"")</f>
        <v/>
      </c>
      <c r="L1555" s="186">
        <f t="shared" si="3"/>
        <v>0</v>
      </c>
    </row>
    <row r="1556" ht="21.0" customHeight="1">
      <c r="A1556" s="187"/>
      <c r="B1556" s="187"/>
      <c r="C1556" s="188"/>
      <c r="D1556" s="135"/>
      <c r="E1556" s="189"/>
      <c r="F1556" s="182" t="str">
        <f t="shared" si="1"/>
        <v/>
      </c>
      <c r="G1556" s="183">
        <f>IFERROR(__xludf.DUMMYFUNCTION("IFERROR(lookup(9999999999,FILTER('Operações-BR'!$M:$M,'Operações-BR'!$C:$C=A1556,'Operações-BR'!$A:$A&lt;=C1556)),0)"),0.0)</f>
        <v>0</v>
      </c>
      <c r="H1556" s="184">
        <f t="shared" si="2"/>
        <v>0</v>
      </c>
      <c r="I1556" s="184">
        <f>IFERROR(__xludf.DUMMYFUNCTION("IFERROR(lookup(9999999999,FILTER('Operações-BR'!Q:Q,'Operações-BR'!$C:$C=A1556,'Operações-BR'!$A:$A&lt;=C1556))/G1556,0)"),0.0)</f>
        <v>0</v>
      </c>
      <c r="J1556" s="185" t="str">
        <f>IFERROR(VLOOKUP(A1556,Ativos!$A$1:$G2000,5,),"")</f>
        <v/>
      </c>
      <c r="K1556" s="185" t="str">
        <f>IFERROR(VLOOKUP(A1556,Ativos!A:H,8,),"")</f>
        <v/>
      </c>
      <c r="L1556" s="186">
        <f t="shared" si="3"/>
        <v>0</v>
      </c>
    </row>
    <row r="1557" ht="21.0" customHeight="1">
      <c r="A1557" s="187"/>
      <c r="B1557" s="187"/>
      <c r="C1557" s="188"/>
      <c r="D1557" s="135"/>
      <c r="E1557" s="189"/>
      <c r="F1557" s="182" t="str">
        <f t="shared" si="1"/>
        <v/>
      </c>
      <c r="G1557" s="183">
        <f>IFERROR(__xludf.DUMMYFUNCTION("IFERROR(lookup(9999999999,FILTER('Operações-BR'!$M:$M,'Operações-BR'!$C:$C=A1557,'Operações-BR'!$A:$A&lt;=C1557)),0)"),0.0)</f>
        <v>0</v>
      </c>
      <c r="H1557" s="184">
        <f t="shared" si="2"/>
        <v>0</v>
      </c>
      <c r="I1557" s="184">
        <f>IFERROR(__xludf.DUMMYFUNCTION("IFERROR(lookup(9999999999,FILTER('Operações-BR'!Q:Q,'Operações-BR'!$C:$C=A1557,'Operações-BR'!$A:$A&lt;=C1557))/G1557,0)"),0.0)</f>
        <v>0</v>
      </c>
      <c r="J1557" s="185" t="str">
        <f>IFERROR(VLOOKUP(A1557,Ativos!$A$1:$G2000,5,),"")</f>
        <v/>
      </c>
      <c r="K1557" s="185" t="str">
        <f>IFERROR(VLOOKUP(A1557,Ativos!A:H,8,),"")</f>
        <v/>
      </c>
      <c r="L1557" s="186">
        <f t="shared" si="3"/>
        <v>0</v>
      </c>
    </row>
    <row r="1558" ht="21.0" customHeight="1">
      <c r="A1558" s="187"/>
      <c r="B1558" s="187"/>
      <c r="C1558" s="188"/>
      <c r="D1558" s="135"/>
      <c r="E1558" s="189"/>
      <c r="F1558" s="182" t="str">
        <f t="shared" si="1"/>
        <v/>
      </c>
      <c r="G1558" s="183">
        <f>IFERROR(__xludf.DUMMYFUNCTION("IFERROR(lookup(9999999999,FILTER('Operações-BR'!$M:$M,'Operações-BR'!$C:$C=A1558,'Operações-BR'!$A:$A&lt;=C1558)),0)"),0.0)</f>
        <v>0</v>
      </c>
      <c r="H1558" s="184">
        <f t="shared" si="2"/>
        <v>0</v>
      </c>
      <c r="I1558" s="184">
        <f>IFERROR(__xludf.DUMMYFUNCTION("IFERROR(lookup(9999999999,FILTER('Operações-BR'!Q:Q,'Operações-BR'!$C:$C=A1558,'Operações-BR'!$A:$A&lt;=C1558))/G1558,0)"),0.0)</f>
        <v>0</v>
      </c>
      <c r="J1558" s="185" t="str">
        <f>IFERROR(VLOOKUP(A1558,Ativos!$A$1:$G2000,5,),"")</f>
        <v/>
      </c>
      <c r="K1558" s="185" t="str">
        <f>IFERROR(VLOOKUP(A1558,Ativos!A:H,8,),"")</f>
        <v/>
      </c>
      <c r="L1558" s="186">
        <f t="shared" si="3"/>
        <v>0</v>
      </c>
    </row>
    <row r="1559" ht="21.0" customHeight="1">
      <c r="A1559" s="187"/>
      <c r="B1559" s="187"/>
      <c r="C1559" s="188"/>
      <c r="D1559" s="135"/>
      <c r="E1559" s="189"/>
      <c r="F1559" s="182" t="str">
        <f t="shared" si="1"/>
        <v/>
      </c>
      <c r="G1559" s="183">
        <f>IFERROR(__xludf.DUMMYFUNCTION("IFERROR(lookup(9999999999,FILTER('Operações-BR'!$M:$M,'Operações-BR'!$C:$C=A1559,'Operações-BR'!$A:$A&lt;=C1559)),0)"),0.0)</f>
        <v>0</v>
      </c>
      <c r="H1559" s="184">
        <f t="shared" si="2"/>
        <v>0</v>
      </c>
      <c r="I1559" s="184">
        <f>IFERROR(__xludf.DUMMYFUNCTION("IFERROR(lookup(9999999999,FILTER('Operações-BR'!Q:Q,'Operações-BR'!$C:$C=A1559,'Operações-BR'!$A:$A&lt;=C1559))/G1559,0)"),0.0)</f>
        <v>0</v>
      </c>
      <c r="J1559" s="185" t="str">
        <f>IFERROR(VLOOKUP(A1559,Ativos!$A$1:$G2000,5,),"")</f>
        <v/>
      </c>
      <c r="K1559" s="185" t="str">
        <f>IFERROR(VLOOKUP(A1559,Ativos!A:H,8,),"")</f>
        <v/>
      </c>
      <c r="L1559" s="186">
        <f t="shared" si="3"/>
        <v>0</v>
      </c>
    </row>
    <row r="1560" ht="21.0" customHeight="1">
      <c r="A1560" s="187"/>
      <c r="B1560" s="187"/>
      <c r="C1560" s="188"/>
      <c r="D1560" s="135"/>
      <c r="E1560" s="189"/>
      <c r="F1560" s="182" t="str">
        <f t="shared" si="1"/>
        <v/>
      </c>
      <c r="G1560" s="183">
        <f>IFERROR(__xludf.DUMMYFUNCTION("IFERROR(lookup(9999999999,FILTER('Operações-BR'!$M:$M,'Operações-BR'!$C:$C=A1560,'Operações-BR'!$A:$A&lt;=C1560)),0)"),0.0)</f>
        <v>0</v>
      </c>
      <c r="H1560" s="184">
        <f t="shared" si="2"/>
        <v>0</v>
      </c>
      <c r="I1560" s="184">
        <f>IFERROR(__xludf.DUMMYFUNCTION("IFERROR(lookup(9999999999,FILTER('Operações-BR'!Q:Q,'Operações-BR'!$C:$C=A1560,'Operações-BR'!$A:$A&lt;=C1560))/G1560,0)"),0.0)</f>
        <v>0</v>
      </c>
      <c r="J1560" s="185" t="str">
        <f>IFERROR(VLOOKUP(A1560,Ativos!$A$1:$G2000,5,),"")</f>
        <v/>
      </c>
      <c r="K1560" s="185" t="str">
        <f>IFERROR(VLOOKUP(A1560,Ativos!A:H,8,),"")</f>
        <v/>
      </c>
      <c r="L1560" s="186">
        <f t="shared" si="3"/>
        <v>0</v>
      </c>
    </row>
    <row r="1561" ht="21.0" customHeight="1">
      <c r="A1561" s="187"/>
      <c r="B1561" s="187"/>
      <c r="C1561" s="188"/>
      <c r="D1561" s="135"/>
      <c r="E1561" s="189"/>
      <c r="F1561" s="182" t="str">
        <f t="shared" si="1"/>
        <v/>
      </c>
      <c r="G1561" s="183">
        <f>IFERROR(__xludf.DUMMYFUNCTION("IFERROR(lookup(9999999999,FILTER('Operações-BR'!$M:$M,'Operações-BR'!$C:$C=A1561,'Operações-BR'!$A:$A&lt;=C1561)),0)"),0.0)</f>
        <v>0</v>
      </c>
      <c r="H1561" s="184">
        <f t="shared" si="2"/>
        <v>0</v>
      </c>
      <c r="I1561" s="184">
        <f>IFERROR(__xludf.DUMMYFUNCTION("IFERROR(lookup(9999999999,FILTER('Operações-BR'!Q:Q,'Operações-BR'!$C:$C=A1561,'Operações-BR'!$A:$A&lt;=C1561))/G1561,0)"),0.0)</f>
        <v>0</v>
      </c>
      <c r="J1561" s="185" t="str">
        <f>IFERROR(VLOOKUP(A1561,Ativos!$A$1:$G2000,5,),"")</f>
        <v/>
      </c>
      <c r="K1561" s="185" t="str">
        <f>IFERROR(VLOOKUP(A1561,Ativos!A:H,8,),"")</f>
        <v/>
      </c>
      <c r="L1561" s="186">
        <f t="shared" si="3"/>
        <v>0</v>
      </c>
    </row>
    <row r="1562" ht="21.0" customHeight="1">
      <c r="A1562" s="187"/>
      <c r="B1562" s="187"/>
      <c r="C1562" s="188"/>
      <c r="D1562" s="135"/>
      <c r="E1562" s="189"/>
      <c r="F1562" s="182" t="str">
        <f t="shared" si="1"/>
        <v/>
      </c>
      <c r="G1562" s="183">
        <f>IFERROR(__xludf.DUMMYFUNCTION("IFERROR(lookup(9999999999,FILTER('Operações-BR'!$M:$M,'Operações-BR'!$C:$C=A1562,'Operações-BR'!$A:$A&lt;=C1562)),0)"),0.0)</f>
        <v>0</v>
      </c>
      <c r="H1562" s="184">
        <f t="shared" si="2"/>
        <v>0</v>
      </c>
      <c r="I1562" s="184">
        <f>IFERROR(__xludf.DUMMYFUNCTION("IFERROR(lookup(9999999999,FILTER('Operações-BR'!Q:Q,'Operações-BR'!$C:$C=A1562,'Operações-BR'!$A:$A&lt;=C1562))/G1562,0)"),0.0)</f>
        <v>0</v>
      </c>
      <c r="J1562" s="185" t="str">
        <f>IFERROR(VLOOKUP(A1562,Ativos!$A$1:$G2000,5,),"")</f>
        <v/>
      </c>
      <c r="K1562" s="185" t="str">
        <f>IFERROR(VLOOKUP(A1562,Ativos!A:H,8,),"")</f>
        <v/>
      </c>
      <c r="L1562" s="186">
        <f t="shared" si="3"/>
        <v>0</v>
      </c>
    </row>
    <row r="1563" ht="21.0" customHeight="1">
      <c r="A1563" s="187"/>
      <c r="B1563" s="187"/>
      <c r="C1563" s="188"/>
      <c r="D1563" s="135"/>
      <c r="E1563" s="189"/>
      <c r="F1563" s="182" t="str">
        <f t="shared" si="1"/>
        <v/>
      </c>
      <c r="G1563" s="183">
        <f>IFERROR(__xludf.DUMMYFUNCTION("IFERROR(lookup(9999999999,FILTER('Operações-BR'!$M:$M,'Operações-BR'!$C:$C=A1563,'Operações-BR'!$A:$A&lt;=C1563)),0)"),0.0)</f>
        <v>0</v>
      </c>
      <c r="H1563" s="184">
        <f t="shared" si="2"/>
        <v>0</v>
      </c>
      <c r="I1563" s="184">
        <f>IFERROR(__xludf.DUMMYFUNCTION("IFERROR(lookup(9999999999,FILTER('Operações-BR'!Q:Q,'Operações-BR'!$C:$C=A1563,'Operações-BR'!$A:$A&lt;=C1563))/G1563,0)"),0.0)</f>
        <v>0</v>
      </c>
      <c r="J1563" s="185" t="str">
        <f>IFERROR(VLOOKUP(A1563,Ativos!$A$1:$G2000,5,),"")</f>
        <v/>
      </c>
      <c r="K1563" s="185" t="str">
        <f>IFERROR(VLOOKUP(A1563,Ativos!A:H,8,),"")</f>
        <v/>
      </c>
      <c r="L1563" s="186">
        <f t="shared" si="3"/>
        <v>0</v>
      </c>
    </row>
    <row r="1564" ht="21.0" customHeight="1">
      <c r="A1564" s="187"/>
      <c r="B1564" s="187"/>
      <c r="C1564" s="188"/>
      <c r="D1564" s="135"/>
      <c r="E1564" s="189"/>
      <c r="F1564" s="182" t="str">
        <f t="shared" si="1"/>
        <v/>
      </c>
      <c r="G1564" s="183">
        <f>IFERROR(__xludf.DUMMYFUNCTION("IFERROR(lookup(9999999999,FILTER('Operações-BR'!$M:$M,'Operações-BR'!$C:$C=A1564,'Operações-BR'!$A:$A&lt;=C1564)),0)"),0.0)</f>
        <v>0</v>
      </c>
      <c r="H1564" s="184">
        <f t="shared" si="2"/>
        <v>0</v>
      </c>
      <c r="I1564" s="184">
        <f>IFERROR(__xludf.DUMMYFUNCTION("IFERROR(lookup(9999999999,FILTER('Operações-BR'!Q:Q,'Operações-BR'!$C:$C=A1564,'Operações-BR'!$A:$A&lt;=C1564))/G1564,0)"),0.0)</f>
        <v>0</v>
      </c>
      <c r="J1564" s="185" t="str">
        <f>IFERROR(VLOOKUP(A1564,Ativos!$A$1:$G2000,5,),"")</f>
        <v/>
      </c>
      <c r="K1564" s="185" t="str">
        <f>IFERROR(VLOOKUP(A1564,Ativos!A:H,8,),"")</f>
        <v/>
      </c>
      <c r="L1564" s="186">
        <f t="shared" si="3"/>
        <v>0</v>
      </c>
    </row>
    <row r="1565" ht="21.0" customHeight="1">
      <c r="A1565" s="187"/>
      <c r="B1565" s="187"/>
      <c r="C1565" s="188"/>
      <c r="D1565" s="135"/>
      <c r="E1565" s="189"/>
      <c r="F1565" s="182" t="str">
        <f t="shared" si="1"/>
        <v/>
      </c>
      <c r="G1565" s="183">
        <f>IFERROR(__xludf.DUMMYFUNCTION("IFERROR(lookup(9999999999,FILTER('Operações-BR'!$M:$M,'Operações-BR'!$C:$C=A1565,'Operações-BR'!$A:$A&lt;=C1565)),0)"),0.0)</f>
        <v>0</v>
      </c>
      <c r="H1565" s="184">
        <f t="shared" si="2"/>
        <v>0</v>
      </c>
      <c r="I1565" s="184">
        <f>IFERROR(__xludf.DUMMYFUNCTION("IFERROR(lookup(9999999999,FILTER('Operações-BR'!Q:Q,'Operações-BR'!$C:$C=A1565,'Operações-BR'!$A:$A&lt;=C1565))/G1565,0)"),0.0)</f>
        <v>0</v>
      </c>
      <c r="J1565" s="185" t="str">
        <f>IFERROR(VLOOKUP(A1565,Ativos!$A$1:$G2000,5,),"")</f>
        <v/>
      </c>
      <c r="K1565" s="185" t="str">
        <f>IFERROR(VLOOKUP(A1565,Ativos!A:H,8,),"")</f>
        <v/>
      </c>
      <c r="L1565" s="186">
        <f t="shared" si="3"/>
        <v>0</v>
      </c>
    </row>
    <row r="1566" ht="21.0" customHeight="1">
      <c r="A1566" s="187"/>
      <c r="B1566" s="187"/>
      <c r="C1566" s="188"/>
      <c r="D1566" s="135"/>
      <c r="E1566" s="189"/>
      <c r="F1566" s="182" t="str">
        <f t="shared" si="1"/>
        <v/>
      </c>
      <c r="G1566" s="183">
        <f>IFERROR(__xludf.DUMMYFUNCTION("IFERROR(lookup(9999999999,FILTER('Operações-BR'!$M:$M,'Operações-BR'!$C:$C=A1566,'Operações-BR'!$A:$A&lt;=C1566)),0)"),0.0)</f>
        <v>0</v>
      </c>
      <c r="H1566" s="184">
        <f t="shared" si="2"/>
        <v>0</v>
      </c>
      <c r="I1566" s="184">
        <f>IFERROR(__xludf.DUMMYFUNCTION("IFERROR(lookup(9999999999,FILTER('Operações-BR'!Q:Q,'Operações-BR'!$C:$C=A1566,'Operações-BR'!$A:$A&lt;=C1566))/G1566,0)"),0.0)</f>
        <v>0</v>
      </c>
      <c r="J1566" s="185" t="str">
        <f>IFERROR(VLOOKUP(A1566,Ativos!$A$1:$G2000,5,),"")</f>
        <v/>
      </c>
      <c r="K1566" s="185" t="str">
        <f>IFERROR(VLOOKUP(A1566,Ativos!A:H,8,),"")</f>
        <v/>
      </c>
      <c r="L1566" s="186">
        <f t="shared" si="3"/>
        <v>0</v>
      </c>
    </row>
    <row r="1567" ht="21.0" customHeight="1">
      <c r="A1567" s="187"/>
      <c r="B1567" s="187"/>
      <c r="C1567" s="188"/>
      <c r="D1567" s="135"/>
      <c r="E1567" s="189"/>
      <c r="F1567" s="182" t="str">
        <f t="shared" si="1"/>
        <v/>
      </c>
      <c r="G1567" s="183">
        <f>IFERROR(__xludf.DUMMYFUNCTION("IFERROR(lookup(9999999999,FILTER('Operações-BR'!$M:$M,'Operações-BR'!$C:$C=A1567,'Operações-BR'!$A:$A&lt;=C1567)),0)"),0.0)</f>
        <v>0</v>
      </c>
      <c r="H1567" s="184">
        <f t="shared" si="2"/>
        <v>0</v>
      </c>
      <c r="I1567" s="184">
        <f>IFERROR(__xludf.DUMMYFUNCTION("IFERROR(lookup(9999999999,FILTER('Operações-BR'!Q:Q,'Operações-BR'!$C:$C=A1567,'Operações-BR'!$A:$A&lt;=C1567))/G1567,0)"),0.0)</f>
        <v>0</v>
      </c>
      <c r="J1567" s="185" t="str">
        <f>IFERROR(VLOOKUP(A1567,Ativos!$A$1:$G2000,5,),"")</f>
        <v/>
      </c>
      <c r="K1567" s="185" t="str">
        <f>IFERROR(VLOOKUP(A1567,Ativos!A:H,8,),"")</f>
        <v/>
      </c>
      <c r="L1567" s="186">
        <f t="shared" si="3"/>
        <v>0</v>
      </c>
    </row>
    <row r="1568" ht="21.0" customHeight="1">
      <c r="A1568" s="187"/>
      <c r="B1568" s="187"/>
      <c r="C1568" s="188"/>
      <c r="D1568" s="135"/>
      <c r="E1568" s="189"/>
      <c r="F1568" s="182" t="str">
        <f t="shared" si="1"/>
        <v/>
      </c>
      <c r="G1568" s="183">
        <f>IFERROR(__xludf.DUMMYFUNCTION("IFERROR(lookup(9999999999,FILTER('Operações-BR'!$M:$M,'Operações-BR'!$C:$C=A1568,'Operações-BR'!$A:$A&lt;=C1568)),0)"),0.0)</f>
        <v>0</v>
      </c>
      <c r="H1568" s="184">
        <f t="shared" si="2"/>
        <v>0</v>
      </c>
      <c r="I1568" s="184">
        <f>IFERROR(__xludf.DUMMYFUNCTION("IFERROR(lookup(9999999999,FILTER('Operações-BR'!Q:Q,'Operações-BR'!$C:$C=A1568,'Operações-BR'!$A:$A&lt;=C1568))/G1568,0)"),0.0)</f>
        <v>0</v>
      </c>
      <c r="J1568" s="185" t="str">
        <f>IFERROR(VLOOKUP(A1568,Ativos!$A$1:$G2000,5,),"")</f>
        <v/>
      </c>
      <c r="K1568" s="185" t="str">
        <f>IFERROR(VLOOKUP(A1568,Ativos!A:H,8,),"")</f>
        <v/>
      </c>
      <c r="L1568" s="186">
        <f t="shared" si="3"/>
        <v>0</v>
      </c>
    </row>
    <row r="1569" ht="21.0" customHeight="1">
      <c r="A1569" s="187"/>
      <c r="B1569" s="187"/>
      <c r="C1569" s="188"/>
      <c r="D1569" s="135"/>
      <c r="E1569" s="189"/>
      <c r="F1569" s="182" t="str">
        <f t="shared" si="1"/>
        <v/>
      </c>
      <c r="G1569" s="183">
        <f>IFERROR(__xludf.DUMMYFUNCTION("IFERROR(lookup(9999999999,FILTER('Operações-BR'!$M:$M,'Operações-BR'!$C:$C=A1569,'Operações-BR'!$A:$A&lt;=C1569)),0)"),0.0)</f>
        <v>0</v>
      </c>
      <c r="H1569" s="184">
        <f t="shared" si="2"/>
        <v>0</v>
      </c>
      <c r="I1569" s="184">
        <f>IFERROR(__xludf.DUMMYFUNCTION("IFERROR(lookup(9999999999,FILTER('Operações-BR'!Q:Q,'Operações-BR'!$C:$C=A1569,'Operações-BR'!$A:$A&lt;=C1569))/G1569,0)"),0.0)</f>
        <v>0</v>
      </c>
      <c r="J1569" s="185" t="str">
        <f>IFERROR(VLOOKUP(A1569,Ativos!$A$1:$G2000,5,),"")</f>
        <v/>
      </c>
      <c r="K1569" s="185" t="str">
        <f>IFERROR(VLOOKUP(A1569,Ativos!A:H,8,),"")</f>
        <v/>
      </c>
      <c r="L1569" s="186">
        <f t="shared" si="3"/>
        <v>0</v>
      </c>
    </row>
    <row r="1570" ht="21.0" customHeight="1">
      <c r="A1570" s="187"/>
      <c r="B1570" s="187"/>
      <c r="C1570" s="188"/>
      <c r="D1570" s="135"/>
      <c r="E1570" s="189"/>
      <c r="F1570" s="182" t="str">
        <f t="shared" si="1"/>
        <v/>
      </c>
      <c r="G1570" s="183">
        <f>IFERROR(__xludf.DUMMYFUNCTION("IFERROR(lookup(9999999999,FILTER('Operações-BR'!$M:$M,'Operações-BR'!$C:$C=A1570,'Operações-BR'!$A:$A&lt;=C1570)),0)"),0.0)</f>
        <v>0</v>
      </c>
      <c r="H1570" s="184">
        <f t="shared" si="2"/>
        <v>0</v>
      </c>
      <c r="I1570" s="184">
        <f>IFERROR(__xludf.DUMMYFUNCTION("IFERROR(lookup(9999999999,FILTER('Operações-BR'!Q:Q,'Operações-BR'!$C:$C=A1570,'Operações-BR'!$A:$A&lt;=C1570))/G1570,0)"),0.0)</f>
        <v>0</v>
      </c>
      <c r="J1570" s="185" t="str">
        <f>IFERROR(VLOOKUP(A1570,Ativos!$A$1:$G2000,5,),"")</f>
        <v/>
      </c>
      <c r="K1570" s="185" t="str">
        <f>IFERROR(VLOOKUP(A1570,Ativos!A:H,8,),"")</f>
        <v/>
      </c>
      <c r="L1570" s="186">
        <f t="shared" si="3"/>
        <v>0</v>
      </c>
    </row>
    <row r="1571" ht="21.0" customHeight="1">
      <c r="A1571" s="187"/>
      <c r="B1571" s="187"/>
      <c r="C1571" s="188"/>
      <c r="D1571" s="135"/>
      <c r="E1571" s="189"/>
      <c r="F1571" s="182" t="str">
        <f t="shared" si="1"/>
        <v/>
      </c>
      <c r="G1571" s="183">
        <f>IFERROR(__xludf.DUMMYFUNCTION("IFERROR(lookup(9999999999,FILTER('Operações-BR'!$M:$M,'Operações-BR'!$C:$C=A1571,'Operações-BR'!$A:$A&lt;=C1571)),0)"),0.0)</f>
        <v>0</v>
      </c>
      <c r="H1571" s="184">
        <f t="shared" si="2"/>
        <v>0</v>
      </c>
      <c r="I1571" s="184">
        <f>IFERROR(__xludf.DUMMYFUNCTION("IFERROR(lookup(9999999999,FILTER('Operações-BR'!Q:Q,'Operações-BR'!$C:$C=A1571,'Operações-BR'!$A:$A&lt;=C1571))/G1571,0)"),0.0)</f>
        <v>0</v>
      </c>
      <c r="J1571" s="185" t="str">
        <f>IFERROR(VLOOKUP(A1571,Ativos!$A$1:$G2000,5,),"")</f>
        <v/>
      </c>
      <c r="K1571" s="185" t="str">
        <f>IFERROR(VLOOKUP(A1571,Ativos!A:H,8,),"")</f>
        <v/>
      </c>
      <c r="L1571" s="186">
        <f t="shared" si="3"/>
        <v>0</v>
      </c>
    </row>
    <row r="1572" ht="21.0" customHeight="1">
      <c r="A1572" s="187"/>
      <c r="B1572" s="187"/>
      <c r="C1572" s="188"/>
      <c r="D1572" s="135"/>
      <c r="E1572" s="189"/>
      <c r="F1572" s="182" t="str">
        <f t="shared" si="1"/>
        <v/>
      </c>
      <c r="G1572" s="183">
        <f>IFERROR(__xludf.DUMMYFUNCTION("IFERROR(lookup(9999999999,FILTER('Operações-BR'!$M:$M,'Operações-BR'!$C:$C=A1572,'Operações-BR'!$A:$A&lt;=C1572)),0)"),0.0)</f>
        <v>0</v>
      </c>
      <c r="H1572" s="184">
        <f t="shared" si="2"/>
        <v>0</v>
      </c>
      <c r="I1572" s="184">
        <f>IFERROR(__xludf.DUMMYFUNCTION("IFERROR(lookup(9999999999,FILTER('Operações-BR'!Q:Q,'Operações-BR'!$C:$C=A1572,'Operações-BR'!$A:$A&lt;=C1572))/G1572,0)"),0.0)</f>
        <v>0</v>
      </c>
      <c r="J1572" s="185" t="str">
        <f>IFERROR(VLOOKUP(A1572,Ativos!$A$1:$G2000,5,),"")</f>
        <v/>
      </c>
      <c r="K1572" s="185" t="str">
        <f>IFERROR(VLOOKUP(A1572,Ativos!A:H,8,),"")</f>
        <v/>
      </c>
      <c r="L1572" s="186">
        <f t="shared" si="3"/>
        <v>0</v>
      </c>
    </row>
    <row r="1573" ht="21.0" customHeight="1">
      <c r="A1573" s="187"/>
      <c r="B1573" s="187"/>
      <c r="C1573" s="188"/>
      <c r="D1573" s="135"/>
      <c r="E1573" s="189"/>
      <c r="F1573" s="182" t="str">
        <f t="shared" si="1"/>
        <v/>
      </c>
      <c r="G1573" s="183">
        <f>IFERROR(__xludf.DUMMYFUNCTION("IFERROR(lookup(9999999999,FILTER('Operações-BR'!$M:$M,'Operações-BR'!$C:$C=A1573,'Operações-BR'!$A:$A&lt;=C1573)),0)"),0.0)</f>
        <v>0</v>
      </c>
      <c r="H1573" s="184">
        <f t="shared" si="2"/>
        <v>0</v>
      </c>
      <c r="I1573" s="184">
        <f>IFERROR(__xludf.DUMMYFUNCTION("IFERROR(lookup(9999999999,FILTER('Operações-BR'!Q:Q,'Operações-BR'!$C:$C=A1573,'Operações-BR'!$A:$A&lt;=C1573))/G1573,0)"),0.0)</f>
        <v>0</v>
      </c>
      <c r="J1573" s="185" t="str">
        <f>IFERROR(VLOOKUP(A1573,Ativos!$A$1:$G2000,5,),"")</f>
        <v/>
      </c>
      <c r="K1573" s="185" t="str">
        <f>IFERROR(VLOOKUP(A1573,Ativos!A:H,8,),"")</f>
        <v/>
      </c>
      <c r="L1573" s="186">
        <f t="shared" si="3"/>
        <v>0</v>
      </c>
    </row>
    <row r="1574" ht="21.0" customHeight="1">
      <c r="A1574" s="187"/>
      <c r="B1574" s="187"/>
      <c r="C1574" s="188"/>
      <c r="D1574" s="135"/>
      <c r="E1574" s="189"/>
      <c r="F1574" s="182" t="str">
        <f t="shared" si="1"/>
        <v/>
      </c>
      <c r="G1574" s="183">
        <f>IFERROR(__xludf.DUMMYFUNCTION("IFERROR(lookup(9999999999,FILTER('Operações-BR'!$M:$M,'Operações-BR'!$C:$C=A1574,'Operações-BR'!$A:$A&lt;=C1574)),0)"),0.0)</f>
        <v>0</v>
      </c>
      <c r="H1574" s="184">
        <f t="shared" si="2"/>
        <v>0</v>
      </c>
      <c r="I1574" s="184">
        <f>IFERROR(__xludf.DUMMYFUNCTION("IFERROR(lookup(9999999999,FILTER('Operações-BR'!Q:Q,'Operações-BR'!$C:$C=A1574,'Operações-BR'!$A:$A&lt;=C1574))/G1574,0)"),0.0)</f>
        <v>0</v>
      </c>
      <c r="J1574" s="185" t="str">
        <f>IFERROR(VLOOKUP(A1574,Ativos!$A$1:$G2000,5,),"")</f>
        <v/>
      </c>
      <c r="K1574" s="185" t="str">
        <f>IFERROR(VLOOKUP(A1574,Ativos!A:H,8,),"")</f>
        <v/>
      </c>
      <c r="L1574" s="186">
        <f t="shared" si="3"/>
        <v>0</v>
      </c>
    </row>
    <row r="1575" ht="21.0" customHeight="1">
      <c r="A1575" s="187"/>
      <c r="B1575" s="187"/>
      <c r="C1575" s="188"/>
      <c r="D1575" s="135"/>
      <c r="E1575" s="189"/>
      <c r="F1575" s="182" t="str">
        <f t="shared" si="1"/>
        <v/>
      </c>
      <c r="G1575" s="183">
        <f>IFERROR(__xludf.DUMMYFUNCTION("IFERROR(lookup(9999999999,FILTER('Operações-BR'!$M:$M,'Operações-BR'!$C:$C=A1575,'Operações-BR'!$A:$A&lt;=C1575)),0)"),0.0)</f>
        <v>0</v>
      </c>
      <c r="H1575" s="184">
        <f t="shared" si="2"/>
        <v>0</v>
      </c>
      <c r="I1575" s="184">
        <f>IFERROR(__xludf.DUMMYFUNCTION("IFERROR(lookup(9999999999,FILTER('Operações-BR'!Q:Q,'Operações-BR'!$C:$C=A1575,'Operações-BR'!$A:$A&lt;=C1575))/G1575,0)"),0.0)</f>
        <v>0</v>
      </c>
      <c r="J1575" s="185" t="str">
        <f>IFERROR(VLOOKUP(A1575,Ativos!$A$1:$G2000,5,),"")</f>
        <v/>
      </c>
      <c r="K1575" s="185" t="str">
        <f>IFERROR(VLOOKUP(A1575,Ativos!A:H,8,),"")</f>
        <v/>
      </c>
      <c r="L1575" s="186">
        <f t="shared" si="3"/>
        <v>0</v>
      </c>
    </row>
    <row r="1576" ht="21.0" customHeight="1">
      <c r="A1576" s="187"/>
      <c r="B1576" s="187"/>
      <c r="C1576" s="188"/>
      <c r="D1576" s="135"/>
      <c r="E1576" s="189"/>
      <c r="F1576" s="182" t="str">
        <f t="shared" si="1"/>
        <v/>
      </c>
      <c r="G1576" s="183">
        <f>IFERROR(__xludf.DUMMYFUNCTION("IFERROR(lookup(9999999999,FILTER('Operações-BR'!$M:$M,'Operações-BR'!$C:$C=A1576,'Operações-BR'!$A:$A&lt;=C1576)),0)"),0.0)</f>
        <v>0</v>
      </c>
      <c r="H1576" s="184">
        <f t="shared" si="2"/>
        <v>0</v>
      </c>
      <c r="I1576" s="184">
        <f>IFERROR(__xludf.DUMMYFUNCTION("IFERROR(lookup(9999999999,FILTER('Operações-BR'!Q:Q,'Operações-BR'!$C:$C=A1576,'Operações-BR'!$A:$A&lt;=C1576))/G1576,0)"),0.0)</f>
        <v>0</v>
      </c>
      <c r="J1576" s="185" t="str">
        <f>IFERROR(VLOOKUP(A1576,Ativos!$A$1:$G2000,5,),"")</f>
        <v/>
      </c>
      <c r="K1576" s="185" t="str">
        <f>IFERROR(VLOOKUP(A1576,Ativos!A:H,8,),"")</f>
        <v/>
      </c>
      <c r="L1576" s="186">
        <f t="shared" si="3"/>
        <v>0</v>
      </c>
    </row>
    <row r="1577" ht="21.0" customHeight="1">
      <c r="A1577" s="187"/>
      <c r="B1577" s="187"/>
      <c r="C1577" s="188"/>
      <c r="D1577" s="135"/>
      <c r="E1577" s="189"/>
      <c r="F1577" s="182" t="str">
        <f t="shared" si="1"/>
        <v/>
      </c>
      <c r="G1577" s="183">
        <f>IFERROR(__xludf.DUMMYFUNCTION("IFERROR(lookup(9999999999,FILTER('Operações-BR'!$M:$M,'Operações-BR'!$C:$C=A1577,'Operações-BR'!$A:$A&lt;=C1577)),0)"),0.0)</f>
        <v>0</v>
      </c>
      <c r="H1577" s="184">
        <f t="shared" si="2"/>
        <v>0</v>
      </c>
      <c r="I1577" s="184">
        <f>IFERROR(__xludf.DUMMYFUNCTION("IFERROR(lookup(9999999999,FILTER('Operações-BR'!Q:Q,'Operações-BR'!$C:$C=A1577,'Operações-BR'!$A:$A&lt;=C1577))/G1577,0)"),0.0)</f>
        <v>0</v>
      </c>
      <c r="J1577" s="185" t="str">
        <f>IFERROR(VLOOKUP(A1577,Ativos!$A$1:$G2000,5,),"")</f>
        <v/>
      </c>
      <c r="K1577" s="185" t="str">
        <f>IFERROR(VLOOKUP(A1577,Ativos!A:H,8,),"")</f>
        <v/>
      </c>
      <c r="L1577" s="186">
        <f t="shared" si="3"/>
        <v>0</v>
      </c>
    </row>
    <row r="1578" ht="21.0" customHeight="1">
      <c r="A1578" s="187"/>
      <c r="B1578" s="187"/>
      <c r="C1578" s="188"/>
      <c r="D1578" s="135"/>
      <c r="E1578" s="189"/>
      <c r="F1578" s="182" t="str">
        <f t="shared" si="1"/>
        <v/>
      </c>
      <c r="G1578" s="183">
        <f>IFERROR(__xludf.DUMMYFUNCTION("IFERROR(lookup(9999999999,FILTER('Operações-BR'!$M:$M,'Operações-BR'!$C:$C=A1578,'Operações-BR'!$A:$A&lt;=C1578)),0)"),0.0)</f>
        <v>0</v>
      </c>
      <c r="H1578" s="184">
        <f t="shared" si="2"/>
        <v>0</v>
      </c>
      <c r="I1578" s="184">
        <f>IFERROR(__xludf.DUMMYFUNCTION("IFERROR(lookup(9999999999,FILTER('Operações-BR'!Q:Q,'Operações-BR'!$C:$C=A1578,'Operações-BR'!$A:$A&lt;=C1578))/G1578,0)"),0.0)</f>
        <v>0</v>
      </c>
      <c r="J1578" s="185" t="str">
        <f>IFERROR(VLOOKUP(A1578,Ativos!$A$1:$G2000,5,),"")</f>
        <v/>
      </c>
      <c r="K1578" s="185" t="str">
        <f>IFERROR(VLOOKUP(A1578,Ativos!A:H,8,),"")</f>
        <v/>
      </c>
      <c r="L1578" s="186">
        <f t="shared" si="3"/>
        <v>0</v>
      </c>
    </row>
    <row r="1579" ht="21.0" customHeight="1">
      <c r="A1579" s="187"/>
      <c r="B1579" s="187"/>
      <c r="C1579" s="188"/>
      <c r="D1579" s="135"/>
      <c r="E1579" s="189"/>
      <c r="F1579" s="182" t="str">
        <f t="shared" si="1"/>
        <v/>
      </c>
      <c r="G1579" s="183">
        <f>IFERROR(__xludf.DUMMYFUNCTION("IFERROR(lookup(9999999999,FILTER('Operações-BR'!$M:$M,'Operações-BR'!$C:$C=A1579,'Operações-BR'!$A:$A&lt;=C1579)),0)"),0.0)</f>
        <v>0</v>
      </c>
      <c r="H1579" s="184">
        <f t="shared" si="2"/>
        <v>0</v>
      </c>
      <c r="I1579" s="184">
        <f>IFERROR(__xludf.DUMMYFUNCTION("IFERROR(lookup(9999999999,FILTER('Operações-BR'!Q:Q,'Operações-BR'!$C:$C=A1579,'Operações-BR'!$A:$A&lt;=C1579))/G1579,0)"),0.0)</f>
        <v>0</v>
      </c>
      <c r="J1579" s="185" t="str">
        <f>IFERROR(VLOOKUP(A1579,Ativos!$A$1:$G2000,5,),"")</f>
        <v/>
      </c>
      <c r="K1579" s="185" t="str">
        <f>IFERROR(VLOOKUP(A1579,Ativos!A:H,8,),"")</f>
        <v/>
      </c>
      <c r="L1579" s="186">
        <f t="shared" si="3"/>
        <v>0</v>
      </c>
    </row>
    <row r="1580" ht="21.0" customHeight="1">
      <c r="A1580" s="187"/>
      <c r="B1580" s="187"/>
      <c r="C1580" s="188"/>
      <c r="D1580" s="135"/>
      <c r="E1580" s="189"/>
      <c r="F1580" s="182" t="str">
        <f t="shared" si="1"/>
        <v/>
      </c>
      <c r="G1580" s="183">
        <f>IFERROR(__xludf.DUMMYFUNCTION("IFERROR(lookup(9999999999,FILTER('Operações-BR'!$M:$M,'Operações-BR'!$C:$C=A1580,'Operações-BR'!$A:$A&lt;=C1580)),0)"),0.0)</f>
        <v>0</v>
      </c>
      <c r="H1580" s="184">
        <f t="shared" si="2"/>
        <v>0</v>
      </c>
      <c r="I1580" s="184">
        <f>IFERROR(__xludf.DUMMYFUNCTION("IFERROR(lookup(9999999999,FILTER('Operações-BR'!Q:Q,'Operações-BR'!$C:$C=A1580,'Operações-BR'!$A:$A&lt;=C1580))/G1580,0)"),0.0)</f>
        <v>0</v>
      </c>
      <c r="J1580" s="185" t="str">
        <f>IFERROR(VLOOKUP(A1580,Ativos!$A$1:$G2000,5,),"")</f>
        <v/>
      </c>
      <c r="K1580" s="185" t="str">
        <f>IFERROR(VLOOKUP(A1580,Ativos!A:H,8,),"")</f>
        <v/>
      </c>
      <c r="L1580" s="186">
        <f t="shared" si="3"/>
        <v>0</v>
      </c>
    </row>
    <row r="1581" ht="21.0" customHeight="1">
      <c r="A1581" s="187"/>
      <c r="B1581" s="187"/>
      <c r="C1581" s="188"/>
      <c r="D1581" s="135"/>
      <c r="E1581" s="189"/>
      <c r="F1581" s="182" t="str">
        <f t="shared" si="1"/>
        <v/>
      </c>
      <c r="G1581" s="183">
        <f>IFERROR(__xludf.DUMMYFUNCTION("IFERROR(lookup(9999999999,FILTER('Operações-BR'!$M:$M,'Operações-BR'!$C:$C=A1581,'Operações-BR'!$A:$A&lt;=C1581)),0)"),0.0)</f>
        <v>0</v>
      </c>
      <c r="H1581" s="184">
        <f t="shared" si="2"/>
        <v>0</v>
      </c>
      <c r="I1581" s="184">
        <f>IFERROR(__xludf.DUMMYFUNCTION("IFERROR(lookup(9999999999,FILTER('Operações-BR'!Q:Q,'Operações-BR'!$C:$C=A1581,'Operações-BR'!$A:$A&lt;=C1581))/G1581,0)"),0.0)</f>
        <v>0</v>
      </c>
      <c r="J1581" s="185" t="str">
        <f>IFERROR(VLOOKUP(A1581,Ativos!$A$1:$G2000,5,),"")</f>
        <v/>
      </c>
      <c r="K1581" s="185" t="str">
        <f>IFERROR(VLOOKUP(A1581,Ativos!A:H,8,),"")</f>
        <v/>
      </c>
      <c r="L1581" s="186">
        <f t="shared" si="3"/>
        <v>0</v>
      </c>
    </row>
    <row r="1582" ht="21.0" customHeight="1">
      <c r="A1582" s="187"/>
      <c r="B1582" s="187"/>
      <c r="C1582" s="188"/>
      <c r="D1582" s="135"/>
      <c r="E1582" s="189"/>
      <c r="F1582" s="182" t="str">
        <f t="shared" si="1"/>
        <v/>
      </c>
      <c r="G1582" s="183">
        <f>IFERROR(__xludf.DUMMYFUNCTION("IFERROR(lookup(9999999999,FILTER('Operações-BR'!$M:$M,'Operações-BR'!$C:$C=A1582,'Operações-BR'!$A:$A&lt;=C1582)),0)"),0.0)</f>
        <v>0</v>
      </c>
      <c r="H1582" s="184">
        <f t="shared" si="2"/>
        <v>0</v>
      </c>
      <c r="I1582" s="184">
        <f>IFERROR(__xludf.DUMMYFUNCTION("IFERROR(lookup(9999999999,FILTER('Operações-BR'!Q:Q,'Operações-BR'!$C:$C=A1582,'Operações-BR'!$A:$A&lt;=C1582))/G1582,0)"),0.0)</f>
        <v>0</v>
      </c>
      <c r="J1582" s="185" t="str">
        <f>IFERROR(VLOOKUP(A1582,Ativos!$A$1:$G2000,5,),"")</f>
        <v/>
      </c>
      <c r="K1582" s="185" t="str">
        <f>IFERROR(VLOOKUP(A1582,Ativos!A:H,8,),"")</f>
        <v/>
      </c>
      <c r="L1582" s="186">
        <f t="shared" si="3"/>
        <v>0</v>
      </c>
    </row>
    <row r="1583" ht="21.0" customHeight="1">
      <c r="A1583" s="187"/>
      <c r="B1583" s="187"/>
      <c r="C1583" s="188"/>
      <c r="D1583" s="135"/>
      <c r="E1583" s="189"/>
      <c r="F1583" s="182" t="str">
        <f t="shared" si="1"/>
        <v/>
      </c>
      <c r="G1583" s="183">
        <f>IFERROR(__xludf.DUMMYFUNCTION("IFERROR(lookup(9999999999,FILTER('Operações-BR'!$M:$M,'Operações-BR'!$C:$C=A1583,'Operações-BR'!$A:$A&lt;=C1583)),0)"),0.0)</f>
        <v>0</v>
      </c>
      <c r="H1583" s="184">
        <f t="shared" si="2"/>
        <v>0</v>
      </c>
      <c r="I1583" s="184">
        <f>IFERROR(__xludf.DUMMYFUNCTION("IFERROR(lookup(9999999999,FILTER('Operações-BR'!Q:Q,'Operações-BR'!$C:$C=A1583,'Operações-BR'!$A:$A&lt;=C1583))/G1583,0)"),0.0)</f>
        <v>0</v>
      </c>
      <c r="J1583" s="185" t="str">
        <f>IFERROR(VLOOKUP(A1583,Ativos!$A$1:$G2000,5,),"")</f>
        <v/>
      </c>
      <c r="K1583" s="185" t="str">
        <f>IFERROR(VLOOKUP(A1583,Ativos!A:H,8,),"")</f>
        <v/>
      </c>
      <c r="L1583" s="186">
        <f t="shared" si="3"/>
        <v>0</v>
      </c>
    </row>
    <row r="1584" ht="21.0" customHeight="1">
      <c r="A1584" s="187"/>
      <c r="B1584" s="187"/>
      <c r="C1584" s="188"/>
      <c r="D1584" s="135"/>
      <c r="E1584" s="189"/>
      <c r="F1584" s="182" t="str">
        <f t="shared" si="1"/>
        <v/>
      </c>
      <c r="G1584" s="183">
        <f>IFERROR(__xludf.DUMMYFUNCTION("IFERROR(lookup(9999999999,FILTER('Operações-BR'!$M:$M,'Operações-BR'!$C:$C=A1584,'Operações-BR'!$A:$A&lt;=C1584)),0)"),0.0)</f>
        <v>0</v>
      </c>
      <c r="H1584" s="184">
        <f t="shared" si="2"/>
        <v>0</v>
      </c>
      <c r="I1584" s="184">
        <f>IFERROR(__xludf.DUMMYFUNCTION("IFERROR(lookup(9999999999,FILTER('Operações-BR'!Q:Q,'Operações-BR'!$C:$C=A1584,'Operações-BR'!$A:$A&lt;=C1584))/G1584,0)"),0.0)</f>
        <v>0</v>
      </c>
      <c r="J1584" s="185" t="str">
        <f>IFERROR(VLOOKUP(A1584,Ativos!$A$1:$G2000,5,),"")</f>
        <v/>
      </c>
      <c r="K1584" s="185" t="str">
        <f>IFERROR(VLOOKUP(A1584,Ativos!A:H,8,),"")</f>
        <v/>
      </c>
      <c r="L1584" s="186">
        <f t="shared" si="3"/>
        <v>0</v>
      </c>
    </row>
    <row r="1585" ht="21.0" customHeight="1">
      <c r="A1585" s="187"/>
      <c r="B1585" s="187"/>
      <c r="C1585" s="188"/>
      <c r="D1585" s="135"/>
      <c r="E1585" s="189"/>
      <c r="F1585" s="182" t="str">
        <f t="shared" si="1"/>
        <v/>
      </c>
      <c r="G1585" s="183">
        <f>IFERROR(__xludf.DUMMYFUNCTION("IFERROR(lookup(9999999999,FILTER('Operações-BR'!$M:$M,'Operações-BR'!$C:$C=A1585,'Operações-BR'!$A:$A&lt;=C1585)),0)"),0.0)</f>
        <v>0</v>
      </c>
      <c r="H1585" s="184">
        <f t="shared" si="2"/>
        <v>0</v>
      </c>
      <c r="I1585" s="184">
        <f>IFERROR(__xludf.DUMMYFUNCTION("IFERROR(lookup(9999999999,FILTER('Operações-BR'!Q:Q,'Operações-BR'!$C:$C=A1585,'Operações-BR'!$A:$A&lt;=C1585))/G1585,0)"),0.0)</f>
        <v>0</v>
      </c>
      <c r="J1585" s="185" t="str">
        <f>IFERROR(VLOOKUP(A1585,Ativos!$A$1:$G2000,5,),"")</f>
        <v/>
      </c>
      <c r="K1585" s="185" t="str">
        <f>IFERROR(VLOOKUP(A1585,Ativos!A:H,8,),"")</f>
        <v/>
      </c>
      <c r="L1585" s="186">
        <f t="shared" si="3"/>
        <v>0</v>
      </c>
    </row>
    <row r="1586" ht="21.0" customHeight="1">
      <c r="A1586" s="187"/>
      <c r="B1586" s="187"/>
      <c r="C1586" s="188"/>
      <c r="D1586" s="135"/>
      <c r="E1586" s="189"/>
      <c r="F1586" s="182" t="str">
        <f t="shared" si="1"/>
        <v/>
      </c>
      <c r="G1586" s="183">
        <f>IFERROR(__xludf.DUMMYFUNCTION("IFERROR(lookup(9999999999,FILTER('Operações-BR'!$M:$M,'Operações-BR'!$C:$C=A1586,'Operações-BR'!$A:$A&lt;=C1586)),0)"),0.0)</f>
        <v>0</v>
      </c>
      <c r="H1586" s="184">
        <f t="shared" si="2"/>
        <v>0</v>
      </c>
      <c r="I1586" s="184">
        <f>IFERROR(__xludf.DUMMYFUNCTION("IFERROR(lookup(9999999999,FILTER('Operações-BR'!Q:Q,'Operações-BR'!$C:$C=A1586,'Operações-BR'!$A:$A&lt;=C1586))/G1586,0)"),0.0)</f>
        <v>0</v>
      </c>
      <c r="J1586" s="185" t="str">
        <f>IFERROR(VLOOKUP(A1586,Ativos!$A$1:$G2000,5,),"")</f>
        <v/>
      </c>
      <c r="K1586" s="185" t="str">
        <f>IFERROR(VLOOKUP(A1586,Ativos!A:H,8,),"")</f>
        <v/>
      </c>
      <c r="L1586" s="186">
        <f t="shared" si="3"/>
        <v>0</v>
      </c>
    </row>
    <row r="1587" ht="21.0" customHeight="1">
      <c r="A1587" s="187"/>
      <c r="B1587" s="187"/>
      <c r="C1587" s="188"/>
      <c r="D1587" s="135"/>
      <c r="E1587" s="189"/>
      <c r="F1587" s="182" t="str">
        <f t="shared" si="1"/>
        <v/>
      </c>
      <c r="G1587" s="183">
        <f>IFERROR(__xludf.DUMMYFUNCTION("IFERROR(lookup(9999999999,FILTER('Operações-BR'!$M:$M,'Operações-BR'!$C:$C=A1587,'Operações-BR'!$A:$A&lt;=C1587)),0)"),0.0)</f>
        <v>0</v>
      </c>
      <c r="H1587" s="184">
        <f t="shared" si="2"/>
        <v>0</v>
      </c>
      <c r="I1587" s="184">
        <f>IFERROR(__xludf.DUMMYFUNCTION("IFERROR(lookup(9999999999,FILTER('Operações-BR'!Q:Q,'Operações-BR'!$C:$C=A1587,'Operações-BR'!$A:$A&lt;=C1587))/G1587,0)"),0.0)</f>
        <v>0</v>
      </c>
      <c r="J1587" s="185" t="str">
        <f>IFERROR(VLOOKUP(A1587,Ativos!$A$1:$G2000,5,),"")</f>
        <v/>
      </c>
      <c r="K1587" s="185" t="str">
        <f>IFERROR(VLOOKUP(A1587,Ativos!A:H,8,),"")</f>
        <v/>
      </c>
      <c r="L1587" s="186">
        <f t="shared" si="3"/>
        <v>0</v>
      </c>
    </row>
    <row r="1588" ht="21.0" customHeight="1">
      <c r="A1588" s="187"/>
      <c r="B1588" s="187"/>
      <c r="C1588" s="188"/>
      <c r="D1588" s="135"/>
      <c r="E1588" s="189"/>
      <c r="F1588" s="182" t="str">
        <f t="shared" si="1"/>
        <v/>
      </c>
      <c r="G1588" s="183">
        <f>IFERROR(__xludf.DUMMYFUNCTION("IFERROR(lookup(9999999999,FILTER('Operações-BR'!$M:$M,'Operações-BR'!$C:$C=A1588,'Operações-BR'!$A:$A&lt;=C1588)),0)"),0.0)</f>
        <v>0</v>
      </c>
      <c r="H1588" s="184">
        <f t="shared" si="2"/>
        <v>0</v>
      </c>
      <c r="I1588" s="184">
        <f>IFERROR(__xludf.DUMMYFUNCTION("IFERROR(lookup(9999999999,FILTER('Operações-BR'!Q:Q,'Operações-BR'!$C:$C=A1588,'Operações-BR'!$A:$A&lt;=C1588))/G1588,0)"),0.0)</f>
        <v>0</v>
      </c>
      <c r="J1588" s="185" t="str">
        <f>IFERROR(VLOOKUP(A1588,Ativos!$A$1:$G2000,5,),"")</f>
        <v/>
      </c>
      <c r="K1588" s="185" t="str">
        <f>IFERROR(VLOOKUP(A1588,Ativos!A:H,8,),"")</f>
        <v/>
      </c>
      <c r="L1588" s="186">
        <f t="shared" si="3"/>
        <v>0</v>
      </c>
    </row>
    <row r="1589" ht="21.0" customHeight="1">
      <c r="A1589" s="187"/>
      <c r="B1589" s="187"/>
      <c r="C1589" s="188"/>
      <c r="D1589" s="135"/>
      <c r="E1589" s="189"/>
      <c r="F1589" s="182" t="str">
        <f t="shared" si="1"/>
        <v/>
      </c>
      <c r="G1589" s="183">
        <f>IFERROR(__xludf.DUMMYFUNCTION("IFERROR(lookup(9999999999,FILTER('Operações-BR'!$M:$M,'Operações-BR'!$C:$C=A1589,'Operações-BR'!$A:$A&lt;=C1589)),0)"),0.0)</f>
        <v>0</v>
      </c>
      <c r="H1589" s="184">
        <f t="shared" si="2"/>
        <v>0</v>
      </c>
      <c r="I1589" s="184">
        <f>IFERROR(__xludf.DUMMYFUNCTION("IFERROR(lookup(9999999999,FILTER('Operações-BR'!Q:Q,'Operações-BR'!$C:$C=A1589,'Operações-BR'!$A:$A&lt;=C1589))/G1589,0)"),0.0)</f>
        <v>0</v>
      </c>
      <c r="J1589" s="185" t="str">
        <f>IFERROR(VLOOKUP(A1589,Ativos!$A$1:$G2000,5,),"")</f>
        <v/>
      </c>
      <c r="K1589" s="185" t="str">
        <f>IFERROR(VLOOKUP(A1589,Ativos!A:H,8,),"")</f>
        <v/>
      </c>
      <c r="L1589" s="186">
        <f t="shared" si="3"/>
        <v>0</v>
      </c>
    </row>
    <row r="1590" ht="21.0" customHeight="1">
      <c r="A1590" s="187"/>
      <c r="B1590" s="187"/>
      <c r="C1590" s="188"/>
      <c r="D1590" s="135"/>
      <c r="E1590" s="189"/>
      <c r="F1590" s="182" t="str">
        <f t="shared" si="1"/>
        <v/>
      </c>
      <c r="G1590" s="183">
        <f>IFERROR(__xludf.DUMMYFUNCTION("IFERROR(lookup(9999999999,FILTER('Operações-BR'!$M:$M,'Operações-BR'!$C:$C=A1590,'Operações-BR'!$A:$A&lt;=C1590)),0)"),0.0)</f>
        <v>0</v>
      </c>
      <c r="H1590" s="184">
        <f t="shared" si="2"/>
        <v>0</v>
      </c>
      <c r="I1590" s="184">
        <f>IFERROR(__xludf.DUMMYFUNCTION("IFERROR(lookup(9999999999,FILTER('Operações-BR'!Q:Q,'Operações-BR'!$C:$C=A1590,'Operações-BR'!$A:$A&lt;=C1590))/G1590,0)"),0.0)</f>
        <v>0</v>
      </c>
      <c r="J1590" s="185" t="str">
        <f>IFERROR(VLOOKUP(A1590,Ativos!$A$1:$G2000,5,),"")</f>
        <v/>
      </c>
      <c r="K1590" s="185" t="str">
        <f>IFERROR(VLOOKUP(A1590,Ativos!A:H,8,),"")</f>
        <v/>
      </c>
      <c r="L1590" s="186">
        <f t="shared" si="3"/>
        <v>0</v>
      </c>
    </row>
    <row r="1591" ht="21.0" customHeight="1">
      <c r="A1591" s="187"/>
      <c r="B1591" s="187"/>
      <c r="C1591" s="188"/>
      <c r="D1591" s="135"/>
      <c r="E1591" s="189"/>
      <c r="F1591" s="182" t="str">
        <f t="shared" si="1"/>
        <v/>
      </c>
      <c r="G1591" s="183">
        <f>IFERROR(__xludf.DUMMYFUNCTION("IFERROR(lookup(9999999999,FILTER('Operações-BR'!$M:$M,'Operações-BR'!$C:$C=A1591,'Operações-BR'!$A:$A&lt;=C1591)),0)"),0.0)</f>
        <v>0</v>
      </c>
      <c r="H1591" s="184">
        <f t="shared" si="2"/>
        <v>0</v>
      </c>
      <c r="I1591" s="184">
        <f>IFERROR(__xludf.DUMMYFUNCTION("IFERROR(lookup(9999999999,FILTER('Operações-BR'!Q:Q,'Operações-BR'!$C:$C=A1591,'Operações-BR'!$A:$A&lt;=C1591))/G1591,0)"),0.0)</f>
        <v>0</v>
      </c>
      <c r="J1591" s="185" t="str">
        <f>IFERROR(VLOOKUP(A1591,Ativos!$A$1:$G2000,5,),"")</f>
        <v/>
      </c>
      <c r="K1591" s="185" t="str">
        <f>IFERROR(VLOOKUP(A1591,Ativos!A:H,8,),"")</f>
        <v/>
      </c>
      <c r="L1591" s="186">
        <f t="shared" si="3"/>
        <v>0</v>
      </c>
    </row>
    <row r="1592" ht="21.0" customHeight="1">
      <c r="A1592" s="187"/>
      <c r="B1592" s="187"/>
      <c r="C1592" s="188"/>
      <c r="D1592" s="135"/>
      <c r="E1592" s="189"/>
      <c r="F1592" s="182" t="str">
        <f t="shared" si="1"/>
        <v/>
      </c>
      <c r="G1592" s="183">
        <f>IFERROR(__xludf.DUMMYFUNCTION("IFERROR(lookup(9999999999,FILTER('Operações-BR'!$M:$M,'Operações-BR'!$C:$C=A1592,'Operações-BR'!$A:$A&lt;=C1592)),0)"),0.0)</f>
        <v>0</v>
      </c>
      <c r="H1592" s="184">
        <f t="shared" si="2"/>
        <v>0</v>
      </c>
      <c r="I1592" s="184">
        <f>IFERROR(__xludf.DUMMYFUNCTION("IFERROR(lookup(9999999999,FILTER('Operações-BR'!Q:Q,'Operações-BR'!$C:$C=A1592,'Operações-BR'!$A:$A&lt;=C1592))/G1592,0)"),0.0)</f>
        <v>0</v>
      </c>
      <c r="J1592" s="185" t="str">
        <f>IFERROR(VLOOKUP(A1592,Ativos!$A$1:$G2000,5,),"")</f>
        <v/>
      </c>
      <c r="K1592" s="185" t="str">
        <f>IFERROR(VLOOKUP(A1592,Ativos!A:H,8,),"")</f>
        <v/>
      </c>
      <c r="L1592" s="186">
        <f t="shared" si="3"/>
        <v>0</v>
      </c>
    </row>
    <row r="1593" ht="21.0" customHeight="1">
      <c r="A1593" s="187"/>
      <c r="B1593" s="187"/>
      <c r="C1593" s="188"/>
      <c r="D1593" s="135"/>
      <c r="E1593" s="189"/>
      <c r="F1593" s="182" t="str">
        <f t="shared" si="1"/>
        <v/>
      </c>
      <c r="G1593" s="183">
        <f>IFERROR(__xludf.DUMMYFUNCTION("IFERROR(lookup(9999999999,FILTER('Operações-BR'!$M:$M,'Operações-BR'!$C:$C=A1593,'Operações-BR'!$A:$A&lt;=C1593)),0)"),0.0)</f>
        <v>0</v>
      </c>
      <c r="H1593" s="184">
        <f t="shared" si="2"/>
        <v>0</v>
      </c>
      <c r="I1593" s="184">
        <f>IFERROR(__xludf.DUMMYFUNCTION("IFERROR(lookup(9999999999,FILTER('Operações-BR'!Q:Q,'Operações-BR'!$C:$C=A1593,'Operações-BR'!$A:$A&lt;=C1593))/G1593,0)"),0.0)</f>
        <v>0</v>
      </c>
      <c r="J1593" s="185" t="str">
        <f>IFERROR(VLOOKUP(A1593,Ativos!$A$1:$G2000,5,),"")</f>
        <v/>
      </c>
      <c r="K1593" s="185" t="str">
        <f>IFERROR(VLOOKUP(A1593,Ativos!A:H,8,),"")</f>
        <v/>
      </c>
      <c r="L1593" s="186">
        <f t="shared" si="3"/>
        <v>0</v>
      </c>
    </row>
    <row r="1594" ht="21.0" customHeight="1">
      <c r="A1594" s="187"/>
      <c r="B1594" s="187"/>
      <c r="C1594" s="188"/>
      <c r="D1594" s="135"/>
      <c r="E1594" s="189"/>
      <c r="F1594" s="182" t="str">
        <f t="shared" si="1"/>
        <v/>
      </c>
      <c r="G1594" s="183">
        <f>IFERROR(__xludf.DUMMYFUNCTION("IFERROR(lookup(9999999999,FILTER('Operações-BR'!$M:$M,'Operações-BR'!$C:$C=A1594,'Operações-BR'!$A:$A&lt;=C1594)),0)"),0.0)</f>
        <v>0</v>
      </c>
      <c r="H1594" s="184">
        <f t="shared" si="2"/>
        <v>0</v>
      </c>
      <c r="I1594" s="184">
        <f>IFERROR(__xludf.DUMMYFUNCTION("IFERROR(lookup(9999999999,FILTER('Operações-BR'!Q:Q,'Operações-BR'!$C:$C=A1594,'Operações-BR'!$A:$A&lt;=C1594))/G1594,0)"),0.0)</f>
        <v>0</v>
      </c>
      <c r="J1594" s="185" t="str">
        <f>IFERROR(VLOOKUP(A1594,Ativos!$A$1:$G2000,5,),"")</f>
        <v/>
      </c>
      <c r="K1594" s="185" t="str">
        <f>IFERROR(VLOOKUP(A1594,Ativos!A:H,8,),"")</f>
        <v/>
      </c>
      <c r="L1594" s="186">
        <f t="shared" si="3"/>
        <v>0</v>
      </c>
    </row>
    <row r="1595" ht="21.0" customHeight="1">
      <c r="A1595" s="187"/>
      <c r="B1595" s="187"/>
      <c r="C1595" s="188"/>
      <c r="D1595" s="135"/>
      <c r="E1595" s="189"/>
      <c r="F1595" s="182" t="str">
        <f t="shared" si="1"/>
        <v/>
      </c>
      <c r="G1595" s="183">
        <f>IFERROR(__xludf.DUMMYFUNCTION("IFERROR(lookup(9999999999,FILTER('Operações-BR'!$M:$M,'Operações-BR'!$C:$C=A1595,'Operações-BR'!$A:$A&lt;=C1595)),0)"),0.0)</f>
        <v>0</v>
      </c>
      <c r="H1595" s="184">
        <f t="shared" si="2"/>
        <v>0</v>
      </c>
      <c r="I1595" s="184">
        <f>IFERROR(__xludf.DUMMYFUNCTION("IFERROR(lookup(9999999999,FILTER('Operações-BR'!Q:Q,'Operações-BR'!$C:$C=A1595,'Operações-BR'!$A:$A&lt;=C1595))/G1595,0)"),0.0)</f>
        <v>0</v>
      </c>
      <c r="J1595" s="185" t="str">
        <f>IFERROR(VLOOKUP(A1595,Ativos!$A$1:$G2000,5,),"")</f>
        <v/>
      </c>
      <c r="K1595" s="185" t="str">
        <f>IFERROR(VLOOKUP(A1595,Ativos!A:H,8,),"")</f>
        <v/>
      </c>
      <c r="L1595" s="186">
        <f t="shared" si="3"/>
        <v>0</v>
      </c>
    </row>
    <row r="1596" ht="21.0" customHeight="1">
      <c r="A1596" s="187"/>
      <c r="B1596" s="187"/>
      <c r="C1596" s="188"/>
      <c r="D1596" s="135"/>
      <c r="E1596" s="189"/>
      <c r="F1596" s="182" t="str">
        <f t="shared" si="1"/>
        <v/>
      </c>
      <c r="G1596" s="183">
        <f>IFERROR(__xludf.DUMMYFUNCTION("IFERROR(lookup(9999999999,FILTER('Operações-BR'!$M:$M,'Operações-BR'!$C:$C=A1596,'Operações-BR'!$A:$A&lt;=C1596)),0)"),0.0)</f>
        <v>0</v>
      </c>
      <c r="H1596" s="184">
        <f t="shared" si="2"/>
        <v>0</v>
      </c>
      <c r="I1596" s="184">
        <f>IFERROR(__xludf.DUMMYFUNCTION("IFERROR(lookup(9999999999,FILTER('Operações-BR'!Q:Q,'Operações-BR'!$C:$C=A1596,'Operações-BR'!$A:$A&lt;=C1596))/G1596,0)"),0.0)</f>
        <v>0</v>
      </c>
      <c r="J1596" s="185" t="str">
        <f>IFERROR(VLOOKUP(A1596,Ativos!$A$1:$G2000,5,),"")</f>
        <v/>
      </c>
      <c r="K1596" s="185" t="str">
        <f>IFERROR(VLOOKUP(A1596,Ativos!A:H,8,),"")</f>
        <v/>
      </c>
      <c r="L1596" s="186">
        <f t="shared" si="3"/>
        <v>0</v>
      </c>
    </row>
    <row r="1597" ht="21.0" customHeight="1">
      <c r="A1597" s="187"/>
      <c r="B1597" s="187"/>
      <c r="C1597" s="188"/>
      <c r="D1597" s="135"/>
      <c r="E1597" s="189"/>
      <c r="F1597" s="182" t="str">
        <f t="shared" si="1"/>
        <v/>
      </c>
      <c r="G1597" s="183">
        <f>IFERROR(__xludf.DUMMYFUNCTION("IFERROR(lookup(9999999999,FILTER('Operações-BR'!$M:$M,'Operações-BR'!$C:$C=A1597,'Operações-BR'!$A:$A&lt;=C1597)),0)"),0.0)</f>
        <v>0</v>
      </c>
      <c r="H1597" s="184">
        <f t="shared" si="2"/>
        <v>0</v>
      </c>
      <c r="I1597" s="184">
        <f>IFERROR(__xludf.DUMMYFUNCTION("IFERROR(lookup(9999999999,FILTER('Operações-BR'!Q:Q,'Operações-BR'!$C:$C=A1597,'Operações-BR'!$A:$A&lt;=C1597))/G1597,0)"),0.0)</f>
        <v>0</v>
      </c>
      <c r="J1597" s="185" t="str">
        <f>IFERROR(VLOOKUP(A1597,Ativos!$A$1:$G2000,5,),"")</f>
        <v/>
      </c>
      <c r="K1597" s="185" t="str">
        <f>IFERROR(VLOOKUP(A1597,Ativos!A:H,8,),"")</f>
        <v/>
      </c>
      <c r="L1597" s="186">
        <f t="shared" si="3"/>
        <v>0</v>
      </c>
    </row>
    <row r="1598" ht="21.0" customHeight="1">
      <c r="A1598" s="187"/>
      <c r="B1598" s="187"/>
      <c r="C1598" s="188"/>
      <c r="D1598" s="135"/>
      <c r="E1598" s="189"/>
      <c r="F1598" s="182" t="str">
        <f t="shared" si="1"/>
        <v/>
      </c>
      <c r="G1598" s="183">
        <f>IFERROR(__xludf.DUMMYFUNCTION("IFERROR(lookup(9999999999,FILTER('Operações-BR'!$M:$M,'Operações-BR'!$C:$C=A1598,'Operações-BR'!$A:$A&lt;=C1598)),0)"),0.0)</f>
        <v>0</v>
      </c>
      <c r="H1598" s="184">
        <f t="shared" si="2"/>
        <v>0</v>
      </c>
      <c r="I1598" s="184">
        <f>IFERROR(__xludf.DUMMYFUNCTION("IFERROR(lookup(9999999999,FILTER('Operações-BR'!Q:Q,'Operações-BR'!$C:$C=A1598,'Operações-BR'!$A:$A&lt;=C1598))/G1598,0)"),0.0)</f>
        <v>0</v>
      </c>
      <c r="J1598" s="185" t="str">
        <f>IFERROR(VLOOKUP(A1598,Ativos!$A$1:$G2000,5,),"")</f>
        <v/>
      </c>
      <c r="K1598" s="185" t="str">
        <f>IFERROR(VLOOKUP(A1598,Ativos!A:H,8,),"")</f>
        <v/>
      </c>
      <c r="L1598" s="186">
        <f t="shared" si="3"/>
        <v>0</v>
      </c>
    </row>
    <row r="1599" ht="21.0" customHeight="1">
      <c r="A1599" s="187"/>
      <c r="B1599" s="187"/>
      <c r="C1599" s="188"/>
      <c r="D1599" s="135"/>
      <c r="E1599" s="189"/>
      <c r="F1599" s="182" t="str">
        <f t="shared" si="1"/>
        <v/>
      </c>
      <c r="G1599" s="183">
        <f>IFERROR(__xludf.DUMMYFUNCTION("IFERROR(lookup(9999999999,FILTER('Operações-BR'!$M:$M,'Operações-BR'!$C:$C=A1599,'Operações-BR'!$A:$A&lt;=C1599)),0)"),0.0)</f>
        <v>0</v>
      </c>
      <c r="H1599" s="184">
        <f t="shared" si="2"/>
        <v>0</v>
      </c>
      <c r="I1599" s="184">
        <f>IFERROR(__xludf.DUMMYFUNCTION("IFERROR(lookup(9999999999,FILTER('Operações-BR'!Q:Q,'Operações-BR'!$C:$C=A1599,'Operações-BR'!$A:$A&lt;=C1599))/G1599,0)"),0.0)</f>
        <v>0</v>
      </c>
      <c r="J1599" s="185" t="str">
        <f>IFERROR(VLOOKUP(A1599,Ativos!$A$1:$G2000,5,),"")</f>
        <v/>
      </c>
      <c r="K1599" s="185" t="str">
        <f>IFERROR(VLOOKUP(A1599,Ativos!A:H,8,),"")</f>
        <v/>
      </c>
      <c r="L1599" s="186">
        <f t="shared" si="3"/>
        <v>0</v>
      </c>
    </row>
    <row r="1600" ht="21.0" customHeight="1">
      <c r="A1600" s="187"/>
      <c r="B1600" s="187"/>
      <c r="C1600" s="188"/>
      <c r="D1600" s="135"/>
      <c r="E1600" s="189"/>
      <c r="F1600" s="182" t="str">
        <f t="shared" si="1"/>
        <v/>
      </c>
      <c r="G1600" s="183">
        <f>IFERROR(__xludf.DUMMYFUNCTION("IFERROR(lookup(9999999999,FILTER('Operações-BR'!$M:$M,'Operações-BR'!$C:$C=A1600,'Operações-BR'!$A:$A&lt;=C1600)),0)"),0.0)</f>
        <v>0</v>
      </c>
      <c r="H1600" s="184">
        <f t="shared" si="2"/>
        <v>0</v>
      </c>
      <c r="I1600" s="184">
        <f>IFERROR(__xludf.DUMMYFUNCTION("IFERROR(lookup(9999999999,FILTER('Operações-BR'!Q:Q,'Operações-BR'!$C:$C=A1600,'Operações-BR'!$A:$A&lt;=C1600))/G1600,0)"),0.0)</f>
        <v>0</v>
      </c>
      <c r="J1600" s="185" t="str">
        <f>IFERROR(VLOOKUP(A1600,Ativos!$A$1:$G2000,5,),"")</f>
        <v/>
      </c>
      <c r="K1600" s="185" t="str">
        <f>IFERROR(VLOOKUP(A1600,Ativos!A:H,8,),"")</f>
        <v/>
      </c>
      <c r="L1600" s="186">
        <f t="shared" si="3"/>
        <v>0</v>
      </c>
    </row>
    <row r="1601" ht="21.0" customHeight="1">
      <c r="A1601" s="187"/>
      <c r="B1601" s="187"/>
      <c r="C1601" s="188"/>
      <c r="D1601" s="135"/>
      <c r="E1601" s="189"/>
      <c r="F1601" s="182" t="str">
        <f t="shared" si="1"/>
        <v/>
      </c>
      <c r="G1601" s="183">
        <f>IFERROR(__xludf.DUMMYFUNCTION("IFERROR(lookup(9999999999,FILTER('Operações-BR'!$M:$M,'Operações-BR'!$C:$C=A1601,'Operações-BR'!$A:$A&lt;=C1601)),0)"),0.0)</f>
        <v>0</v>
      </c>
      <c r="H1601" s="184">
        <f t="shared" si="2"/>
        <v>0</v>
      </c>
      <c r="I1601" s="184">
        <f>IFERROR(__xludf.DUMMYFUNCTION("IFERROR(lookup(9999999999,FILTER('Operações-BR'!Q:Q,'Operações-BR'!$C:$C=A1601,'Operações-BR'!$A:$A&lt;=C1601))/G1601,0)"),0.0)</f>
        <v>0</v>
      </c>
      <c r="J1601" s="185" t="str">
        <f>IFERROR(VLOOKUP(A1601,Ativos!$A$1:$G2000,5,),"")</f>
        <v/>
      </c>
      <c r="K1601" s="185" t="str">
        <f>IFERROR(VLOOKUP(A1601,Ativos!A:H,8,),"")</f>
        <v/>
      </c>
      <c r="L1601" s="186">
        <f t="shared" si="3"/>
        <v>0</v>
      </c>
    </row>
    <row r="1602" ht="21.0" customHeight="1">
      <c r="A1602" s="187"/>
      <c r="B1602" s="187"/>
      <c r="C1602" s="188"/>
      <c r="D1602" s="135"/>
      <c r="E1602" s="189"/>
      <c r="F1602" s="182" t="str">
        <f t="shared" si="1"/>
        <v/>
      </c>
      <c r="G1602" s="183">
        <f>IFERROR(__xludf.DUMMYFUNCTION("IFERROR(lookup(9999999999,FILTER('Operações-BR'!$M:$M,'Operações-BR'!$C:$C=A1602,'Operações-BR'!$A:$A&lt;=C1602)),0)"),0.0)</f>
        <v>0</v>
      </c>
      <c r="H1602" s="184">
        <f t="shared" si="2"/>
        <v>0</v>
      </c>
      <c r="I1602" s="184">
        <f>IFERROR(__xludf.DUMMYFUNCTION("IFERROR(lookup(9999999999,FILTER('Operações-BR'!Q:Q,'Operações-BR'!$C:$C=A1602,'Operações-BR'!$A:$A&lt;=C1602))/G1602,0)"),0.0)</f>
        <v>0</v>
      </c>
      <c r="J1602" s="185" t="str">
        <f>IFERROR(VLOOKUP(A1602,Ativos!$A$1:$G2000,5,),"")</f>
        <v/>
      </c>
      <c r="K1602" s="185" t="str">
        <f>IFERROR(VLOOKUP(A1602,Ativos!A:H,8,),"")</f>
        <v/>
      </c>
      <c r="L1602" s="186">
        <f t="shared" si="3"/>
        <v>0</v>
      </c>
    </row>
    <row r="1603" ht="21.0" customHeight="1">
      <c r="A1603" s="187"/>
      <c r="B1603" s="187"/>
      <c r="C1603" s="188"/>
      <c r="D1603" s="135"/>
      <c r="E1603" s="189"/>
      <c r="F1603" s="182" t="str">
        <f t="shared" si="1"/>
        <v/>
      </c>
      <c r="G1603" s="183">
        <f>IFERROR(__xludf.DUMMYFUNCTION("IFERROR(lookup(9999999999,FILTER('Operações-BR'!$M:$M,'Operações-BR'!$C:$C=A1603,'Operações-BR'!$A:$A&lt;=C1603)),0)"),0.0)</f>
        <v>0</v>
      </c>
      <c r="H1603" s="184">
        <f t="shared" si="2"/>
        <v>0</v>
      </c>
      <c r="I1603" s="184">
        <f>IFERROR(__xludf.DUMMYFUNCTION("IFERROR(lookup(9999999999,FILTER('Operações-BR'!Q:Q,'Operações-BR'!$C:$C=A1603,'Operações-BR'!$A:$A&lt;=C1603))/G1603,0)"),0.0)</f>
        <v>0</v>
      </c>
      <c r="J1603" s="185" t="str">
        <f>IFERROR(VLOOKUP(A1603,Ativos!$A$1:$G2000,5,),"")</f>
        <v/>
      </c>
      <c r="K1603" s="185" t="str">
        <f>IFERROR(VLOOKUP(A1603,Ativos!A:H,8,),"")</f>
        <v/>
      </c>
      <c r="L1603" s="186">
        <f t="shared" si="3"/>
        <v>0</v>
      </c>
    </row>
    <row r="1604" ht="21.0" customHeight="1">
      <c r="A1604" s="187"/>
      <c r="B1604" s="187"/>
      <c r="C1604" s="188"/>
      <c r="D1604" s="135"/>
      <c r="E1604" s="189"/>
      <c r="F1604" s="182" t="str">
        <f t="shared" si="1"/>
        <v/>
      </c>
      <c r="G1604" s="183">
        <f>IFERROR(__xludf.DUMMYFUNCTION("IFERROR(lookup(9999999999,FILTER('Operações-BR'!$M:$M,'Operações-BR'!$C:$C=A1604,'Operações-BR'!$A:$A&lt;=C1604)),0)"),0.0)</f>
        <v>0</v>
      </c>
      <c r="H1604" s="184">
        <f t="shared" si="2"/>
        <v>0</v>
      </c>
      <c r="I1604" s="184">
        <f>IFERROR(__xludf.DUMMYFUNCTION("IFERROR(lookup(9999999999,FILTER('Operações-BR'!Q:Q,'Operações-BR'!$C:$C=A1604,'Operações-BR'!$A:$A&lt;=C1604))/G1604,0)"),0.0)</f>
        <v>0</v>
      </c>
      <c r="J1604" s="185" t="str">
        <f>IFERROR(VLOOKUP(A1604,Ativos!$A$1:$G2000,5,),"")</f>
        <v/>
      </c>
      <c r="K1604" s="185" t="str">
        <f>IFERROR(VLOOKUP(A1604,Ativos!A:H,8,),"")</f>
        <v/>
      </c>
      <c r="L1604" s="186">
        <f t="shared" si="3"/>
        <v>0</v>
      </c>
    </row>
    <row r="1605" ht="21.0" customHeight="1">
      <c r="A1605" s="187"/>
      <c r="B1605" s="187"/>
      <c r="C1605" s="188"/>
      <c r="D1605" s="135"/>
      <c r="E1605" s="189"/>
      <c r="F1605" s="182" t="str">
        <f t="shared" si="1"/>
        <v/>
      </c>
      <c r="G1605" s="183">
        <f>IFERROR(__xludf.DUMMYFUNCTION("IFERROR(lookup(9999999999,FILTER('Operações-BR'!$M:$M,'Operações-BR'!$C:$C=A1605,'Operações-BR'!$A:$A&lt;=C1605)),0)"),0.0)</f>
        <v>0</v>
      </c>
      <c r="H1605" s="184">
        <f t="shared" si="2"/>
        <v>0</v>
      </c>
      <c r="I1605" s="184">
        <f>IFERROR(__xludf.DUMMYFUNCTION("IFERROR(lookup(9999999999,FILTER('Operações-BR'!Q:Q,'Operações-BR'!$C:$C=A1605,'Operações-BR'!$A:$A&lt;=C1605))/G1605,0)"),0.0)</f>
        <v>0</v>
      </c>
      <c r="J1605" s="185" t="str">
        <f>IFERROR(VLOOKUP(A1605,Ativos!$A$1:$G2000,5,),"")</f>
        <v/>
      </c>
      <c r="K1605" s="185" t="str">
        <f>IFERROR(VLOOKUP(A1605,Ativos!A:H,8,),"")</f>
        <v/>
      </c>
      <c r="L1605" s="186">
        <f t="shared" si="3"/>
        <v>0</v>
      </c>
    </row>
    <row r="1606" ht="21.0" customHeight="1">
      <c r="A1606" s="187"/>
      <c r="B1606" s="187"/>
      <c r="C1606" s="188"/>
      <c r="D1606" s="135"/>
      <c r="E1606" s="189"/>
      <c r="F1606" s="182" t="str">
        <f t="shared" si="1"/>
        <v/>
      </c>
      <c r="G1606" s="183">
        <f>IFERROR(__xludf.DUMMYFUNCTION("IFERROR(lookup(9999999999,FILTER('Operações-BR'!$M:$M,'Operações-BR'!$C:$C=A1606,'Operações-BR'!$A:$A&lt;=C1606)),0)"),0.0)</f>
        <v>0</v>
      </c>
      <c r="H1606" s="184">
        <f t="shared" si="2"/>
        <v>0</v>
      </c>
      <c r="I1606" s="184">
        <f>IFERROR(__xludf.DUMMYFUNCTION("IFERROR(lookup(9999999999,FILTER('Operações-BR'!Q:Q,'Operações-BR'!$C:$C=A1606,'Operações-BR'!$A:$A&lt;=C1606))/G1606,0)"),0.0)</f>
        <v>0</v>
      </c>
      <c r="J1606" s="185" t="str">
        <f>IFERROR(VLOOKUP(A1606,Ativos!$A$1:$G2000,5,),"")</f>
        <v/>
      </c>
      <c r="K1606" s="185" t="str">
        <f>IFERROR(VLOOKUP(A1606,Ativos!A:H,8,),"")</f>
        <v/>
      </c>
      <c r="L1606" s="186">
        <f t="shared" si="3"/>
        <v>0</v>
      </c>
    </row>
    <row r="1607" ht="21.0" customHeight="1">
      <c r="A1607" s="187"/>
      <c r="B1607" s="187"/>
      <c r="C1607" s="188"/>
      <c r="D1607" s="135"/>
      <c r="E1607" s="189"/>
      <c r="F1607" s="182" t="str">
        <f t="shared" si="1"/>
        <v/>
      </c>
      <c r="G1607" s="183">
        <f>IFERROR(__xludf.DUMMYFUNCTION("IFERROR(lookup(9999999999,FILTER('Operações-BR'!$M:$M,'Operações-BR'!$C:$C=A1607,'Operações-BR'!$A:$A&lt;=C1607)),0)"),0.0)</f>
        <v>0</v>
      </c>
      <c r="H1607" s="184">
        <f t="shared" si="2"/>
        <v>0</v>
      </c>
      <c r="I1607" s="184">
        <f>IFERROR(__xludf.DUMMYFUNCTION("IFERROR(lookup(9999999999,FILTER('Operações-BR'!Q:Q,'Operações-BR'!$C:$C=A1607,'Operações-BR'!$A:$A&lt;=C1607))/G1607,0)"),0.0)</f>
        <v>0</v>
      </c>
      <c r="J1607" s="185" t="str">
        <f>IFERROR(VLOOKUP(A1607,Ativos!$A$1:$G2000,5,),"")</f>
        <v/>
      </c>
      <c r="K1607" s="185" t="str">
        <f>IFERROR(VLOOKUP(A1607,Ativos!A:H,8,),"")</f>
        <v/>
      </c>
      <c r="L1607" s="186">
        <f t="shared" si="3"/>
        <v>0</v>
      </c>
    </row>
    <row r="1608" ht="21.0" customHeight="1">
      <c r="A1608" s="187"/>
      <c r="B1608" s="187"/>
      <c r="C1608" s="188"/>
      <c r="D1608" s="135"/>
      <c r="E1608" s="189"/>
      <c r="F1608" s="182" t="str">
        <f t="shared" si="1"/>
        <v/>
      </c>
      <c r="G1608" s="183">
        <f>IFERROR(__xludf.DUMMYFUNCTION("IFERROR(lookup(9999999999,FILTER('Operações-BR'!$M:$M,'Operações-BR'!$C:$C=A1608,'Operações-BR'!$A:$A&lt;=C1608)),0)"),0.0)</f>
        <v>0</v>
      </c>
      <c r="H1608" s="184">
        <f t="shared" si="2"/>
        <v>0</v>
      </c>
      <c r="I1608" s="184">
        <f>IFERROR(__xludf.DUMMYFUNCTION("IFERROR(lookup(9999999999,FILTER('Operações-BR'!Q:Q,'Operações-BR'!$C:$C=A1608,'Operações-BR'!$A:$A&lt;=C1608))/G1608,0)"),0.0)</f>
        <v>0</v>
      </c>
      <c r="J1608" s="185" t="str">
        <f>IFERROR(VLOOKUP(A1608,Ativos!$A$1:$G2000,5,),"")</f>
        <v/>
      </c>
      <c r="K1608" s="185" t="str">
        <f>IFERROR(VLOOKUP(A1608,Ativos!A:H,8,),"")</f>
        <v/>
      </c>
      <c r="L1608" s="186">
        <f t="shared" si="3"/>
        <v>0</v>
      </c>
    </row>
    <row r="1609" ht="21.0" customHeight="1">
      <c r="A1609" s="187"/>
      <c r="B1609" s="187"/>
      <c r="C1609" s="188"/>
      <c r="D1609" s="135"/>
      <c r="E1609" s="189"/>
      <c r="F1609" s="182" t="str">
        <f t="shared" si="1"/>
        <v/>
      </c>
      <c r="G1609" s="183">
        <f>IFERROR(__xludf.DUMMYFUNCTION("IFERROR(lookup(9999999999,FILTER('Operações-BR'!$M:$M,'Operações-BR'!$C:$C=A1609,'Operações-BR'!$A:$A&lt;=C1609)),0)"),0.0)</f>
        <v>0</v>
      </c>
      <c r="H1609" s="184">
        <f t="shared" si="2"/>
        <v>0</v>
      </c>
      <c r="I1609" s="184">
        <f>IFERROR(__xludf.DUMMYFUNCTION("IFERROR(lookup(9999999999,FILTER('Operações-BR'!Q:Q,'Operações-BR'!$C:$C=A1609,'Operações-BR'!$A:$A&lt;=C1609))/G1609,0)"),0.0)</f>
        <v>0</v>
      </c>
      <c r="J1609" s="185" t="str">
        <f>IFERROR(VLOOKUP(A1609,Ativos!$A$1:$G2000,5,),"")</f>
        <v/>
      </c>
      <c r="K1609" s="185" t="str">
        <f>IFERROR(VLOOKUP(A1609,Ativos!A:H,8,),"")</f>
        <v/>
      </c>
      <c r="L1609" s="186">
        <f t="shared" si="3"/>
        <v>0</v>
      </c>
    </row>
    <row r="1610" ht="21.0" customHeight="1">
      <c r="A1610" s="187"/>
      <c r="B1610" s="187"/>
      <c r="C1610" s="188"/>
      <c r="D1610" s="135"/>
      <c r="E1610" s="189"/>
      <c r="F1610" s="182" t="str">
        <f t="shared" si="1"/>
        <v/>
      </c>
      <c r="G1610" s="183">
        <f>IFERROR(__xludf.DUMMYFUNCTION("IFERROR(lookup(9999999999,FILTER('Operações-BR'!$M:$M,'Operações-BR'!$C:$C=A1610,'Operações-BR'!$A:$A&lt;=C1610)),0)"),0.0)</f>
        <v>0</v>
      </c>
      <c r="H1610" s="184">
        <f t="shared" si="2"/>
        <v>0</v>
      </c>
      <c r="I1610" s="184">
        <f>IFERROR(__xludf.DUMMYFUNCTION("IFERROR(lookup(9999999999,FILTER('Operações-BR'!Q:Q,'Operações-BR'!$C:$C=A1610,'Operações-BR'!$A:$A&lt;=C1610))/G1610,0)"),0.0)</f>
        <v>0</v>
      </c>
      <c r="J1610" s="185" t="str">
        <f>IFERROR(VLOOKUP(A1610,Ativos!$A$1:$G2000,5,),"")</f>
        <v/>
      </c>
      <c r="K1610" s="185" t="str">
        <f>IFERROR(VLOOKUP(A1610,Ativos!A:H,8,),"")</f>
        <v/>
      </c>
      <c r="L1610" s="186">
        <f t="shared" si="3"/>
        <v>0</v>
      </c>
    </row>
    <row r="1611" ht="21.0" customHeight="1">
      <c r="A1611" s="187"/>
      <c r="B1611" s="187"/>
      <c r="C1611" s="188"/>
      <c r="D1611" s="135"/>
      <c r="E1611" s="189"/>
      <c r="F1611" s="182" t="str">
        <f t="shared" si="1"/>
        <v/>
      </c>
      <c r="G1611" s="183">
        <f>IFERROR(__xludf.DUMMYFUNCTION("IFERROR(lookup(9999999999,FILTER('Operações-BR'!$M:$M,'Operações-BR'!$C:$C=A1611,'Operações-BR'!$A:$A&lt;=C1611)),0)"),0.0)</f>
        <v>0</v>
      </c>
      <c r="H1611" s="184">
        <f t="shared" si="2"/>
        <v>0</v>
      </c>
      <c r="I1611" s="184">
        <f>IFERROR(__xludf.DUMMYFUNCTION("IFERROR(lookup(9999999999,FILTER('Operações-BR'!Q:Q,'Operações-BR'!$C:$C=A1611,'Operações-BR'!$A:$A&lt;=C1611))/G1611,0)"),0.0)</f>
        <v>0</v>
      </c>
      <c r="J1611" s="185" t="str">
        <f>IFERROR(VLOOKUP(A1611,Ativos!$A$1:$G2000,5,),"")</f>
        <v/>
      </c>
      <c r="K1611" s="185" t="str">
        <f>IFERROR(VLOOKUP(A1611,Ativos!A:H,8,),"")</f>
        <v/>
      </c>
      <c r="L1611" s="186">
        <f t="shared" si="3"/>
        <v>0</v>
      </c>
    </row>
    <row r="1612" ht="21.0" customHeight="1">
      <c r="A1612" s="187"/>
      <c r="B1612" s="187"/>
      <c r="C1612" s="188"/>
      <c r="D1612" s="135"/>
      <c r="E1612" s="189"/>
      <c r="F1612" s="182" t="str">
        <f t="shared" si="1"/>
        <v/>
      </c>
      <c r="G1612" s="183">
        <f>IFERROR(__xludf.DUMMYFUNCTION("IFERROR(lookup(9999999999,FILTER('Operações-BR'!$M:$M,'Operações-BR'!$C:$C=A1612,'Operações-BR'!$A:$A&lt;=C1612)),0)"),0.0)</f>
        <v>0</v>
      </c>
      <c r="H1612" s="184">
        <f t="shared" si="2"/>
        <v>0</v>
      </c>
      <c r="I1612" s="184">
        <f>IFERROR(__xludf.DUMMYFUNCTION("IFERROR(lookup(9999999999,FILTER('Operações-BR'!Q:Q,'Operações-BR'!$C:$C=A1612,'Operações-BR'!$A:$A&lt;=C1612))/G1612,0)"),0.0)</f>
        <v>0</v>
      </c>
      <c r="J1612" s="185" t="str">
        <f>IFERROR(VLOOKUP(A1612,Ativos!$A$1:$G2000,5,),"")</f>
        <v/>
      </c>
      <c r="K1612" s="185" t="str">
        <f>IFERROR(VLOOKUP(A1612,Ativos!A:H,8,),"")</f>
        <v/>
      </c>
      <c r="L1612" s="186">
        <f t="shared" si="3"/>
        <v>0</v>
      </c>
    </row>
    <row r="1613" ht="21.0" customHeight="1">
      <c r="A1613" s="187"/>
      <c r="B1613" s="187"/>
      <c r="C1613" s="188"/>
      <c r="D1613" s="135"/>
      <c r="E1613" s="189"/>
      <c r="F1613" s="182" t="str">
        <f t="shared" si="1"/>
        <v/>
      </c>
      <c r="G1613" s="183">
        <f>IFERROR(__xludf.DUMMYFUNCTION("IFERROR(lookup(9999999999,FILTER('Operações-BR'!$M:$M,'Operações-BR'!$C:$C=A1613,'Operações-BR'!$A:$A&lt;=C1613)),0)"),0.0)</f>
        <v>0</v>
      </c>
      <c r="H1613" s="184">
        <f t="shared" si="2"/>
        <v>0</v>
      </c>
      <c r="I1613" s="184">
        <f>IFERROR(__xludf.DUMMYFUNCTION("IFERROR(lookup(9999999999,FILTER('Operações-BR'!Q:Q,'Operações-BR'!$C:$C=A1613,'Operações-BR'!$A:$A&lt;=C1613))/G1613,0)"),0.0)</f>
        <v>0</v>
      </c>
      <c r="J1613" s="185" t="str">
        <f>IFERROR(VLOOKUP(A1613,Ativos!$A$1:$G2000,5,),"")</f>
        <v/>
      </c>
      <c r="K1613" s="185" t="str">
        <f>IFERROR(VLOOKUP(A1613,Ativos!A:H,8,),"")</f>
        <v/>
      </c>
      <c r="L1613" s="186">
        <f t="shared" si="3"/>
        <v>0</v>
      </c>
    </row>
    <row r="1614" ht="21.0" customHeight="1">
      <c r="A1614" s="187"/>
      <c r="B1614" s="187"/>
      <c r="C1614" s="188"/>
      <c r="D1614" s="135"/>
      <c r="E1614" s="189"/>
      <c r="F1614" s="182" t="str">
        <f t="shared" si="1"/>
        <v/>
      </c>
      <c r="G1614" s="183">
        <f>IFERROR(__xludf.DUMMYFUNCTION("IFERROR(lookup(9999999999,FILTER('Operações-BR'!$M:$M,'Operações-BR'!$C:$C=A1614,'Operações-BR'!$A:$A&lt;=C1614)),0)"),0.0)</f>
        <v>0</v>
      </c>
      <c r="H1614" s="184">
        <f t="shared" si="2"/>
        <v>0</v>
      </c>
      <c r="I1614" s="184">
        <f>IFERROR(__xludf.DUMMYFUNCTION("IFERROR(lookup(9999999999,FILTER('Operações-BR'!Q:Q,'Operações-BR'!$C:$C=A1614,'Operações-BR'!$A:$A&lt;=C1614))/G1614,0)"),0.0)</f>
        <v>0</v>
      </c>
      <c r="J1614" s="185" t="str">
        <f>IFERROR(VLOOKUP(A1614,Ativos!$A$1:$G2000,5,),"")</f>
        <v/>
      </c>
      <c r="K1614" s="185" t="str">
        <f>IFERROR(VLOOKUP(A1614,Ativos!A:H,8,),"")</f>
        <v/>
      </c>
      <c r="L1614" s="186">
        <f t="shared" si="3"/>
        <v>0</v>
      </c>
    </row>
    <row r="1615" ht="21.0" customHeight="1">
      <c r="A1615" s="187"/>
      <c r="B1615" s="187"/>
      <c r="C1615" s="188"/>
      <c r="D1615" s="135"/>
      <c r="E1615" s="189"/>
      <c r="F1615" s="182" t="str">
        <f t="shared" si="1"/>
        <v/>
      </c>
      <c r="G1615" s="183">
        <f>IFERROR(__xludf.DUMMYFUNCTION("IFERROR(lookup(9999999999,FILTER('Operações-BR'!$M:$M,'Operações-BR'!$C:$C=A1615,'Operações-BR'!$A:$A&lt;=C1615)),0)"),0.0)</f>
        <v>0</v>
      </c>
      <c r="H1615" s="184">
        <f t="shared" si="2"/>
        <v>0</v>
      </c>
      <c r="I1615" s="184">
        <f>IFERROR(__xludf.DUMMYFUNCTION("IFERROR(lookup(9999999999,FILTER('Operações-BR'!Q:Q,'Operações-BR'!$C:$C=A1615,'Operações-BR'!$A:$A&lt;=C1615))/G1615,0)"),0.0)</f>
        <v>0</v>
      </c>
      <c r="J1615" s="185" t="str">
        <f>IFERROR(VLOOKUP(A1615,Ativos!$A$1:$G2000,5,),"")</f>
        <v/>
      </c>
      <c r="K1615" s="185" t="str">
        <f>IFERROR(VLOOKUP(A1615,Ativos!A:H,8,),"")</f>
        <v/>
      </c>
      <c r="L1615" s="186">
        <f t="shared" si="3"/>
        <v>0</v>
      </c>
    </row>
    <row r="1616" ht="21.0" customHeight="1">
      <c r="A1616" s="187"/>
      <c r="B1616" s="187"/>
      <c r="C1616" s="188"/>
      <c r="D1616" s="135"/>
      <c r="E1616" s="189"/>
      <c r="F1616" s="182" t="str">
        <f t="shared" si="1"/>
        <v/>
      </c>
      <c r="G1616" s="183">
        <f>IFERROR(__xludf.DUMMYFUNCTION("IFERROR(lookup(9999999999,FILTER('Operações-BR'!$M:$M,'Operações-BR'!$C:$C=A1616,'Operações-BR'!$A:$A&lt;=C1616)),0)"),0.0)</f>
        <v>0</v>
      </c>
      <c r="H1616" s="184">
        <f t="shared" si="2"/>
        <v>0</v>
      </c>
      <c r="I1616" s="184">
        <f>IFERROR(__xludf.DUMMYFUNCTION("IFERROR(lookup(9999999999,FILTER('Operações-BR'!Q:Q,'Operações-BR'!$C:$C=A1616,'Operações-BR'!$A:$A&lt;=C1616))/G1616,0)"),0.0)</f>
        <v>0</v>
      </c>
      <c r="J1616" s="185" t="str">
        <f>IFERROR(VLOOKUP(A1616,Ativos!$A$1:$G2000,5,),"")</f>
        <v/>
      </c>
      <c r="K1616" s="185" t="str">
        <f>IFERROR(VLOOKUP(A1616,Ativos!A:H,8,),"")</f>
        <v/>
      </c>
      <c r="L1616" s="186">
        <f t="shared" si="3"/>
        <v>0</v>
      </c>
    </row>
    <row r="1617" ht="21.0" customHeight="1">
      <c r="A1617" s="187"/>
      <c r="B1617" s="187"/>
      <c r="C1617" s="188"/>
      <c r="D1617" s="135"/>
      <c r="E1617" s="189"/>
      <c r="F1617" s="182" t="str">
        <f t="shared" si="1"/>
        <v/>
      </c>
      <c r="G1617" s="183">
        <f>IFERROR(__xludf.DUMMYFUNCTION("IFERROR(lookup(9999999999,FILTER('Operações-BR'!$M:$M,'Operações-BR'!$C:$C=A1617,'Operações-BR'!$A:$A&lt;=C1617)),0)"),0.0)</f>
        <v>0</v>
      </c>
      <c r="H1617" s="184">
        <f t="shared" si="2"/>
        <v>0</v>
      </c>
      <c r="I1617" s="184">
        <f>IFERROR(__xludf.DUMMYFUNCTION("IFERROR(lookup(9999999999,FILTER('Operações-BR'!Q:Q,'Operações-BR'!$C:$C=A1617,'Operações-BR'!$A:$A&lt;=C1617))/G1617,0)"),0.0)</f>
        <v>0</v>
      </c>
      <c r="J1617" s="185" t="str">
        <f>IFERROR(VLOOKUP(A1617,Ativos!$A$1:$G2000,5,),"")</f>
        <v/>
      </c>
      <c r="K1617" s="185" t="str">
        <f>IFERROR(VLOOKUP(A1617,Ativos!A:H,8,),"")</f>
        <v/>
      </c>
      <c r="L1617" s="186">
        <f t="shared" si="3"/>
        <v>0</v>
      </c>
    </row>
    <row r="1618" ht="21.0" customHeight="1">
      <c r="A1618" s="187"/>
      <c r="B1618" s="187"/>
      <c r="C1618" s="188"/>
      <c r="D1618" s="135"/>
      <c r="E1618" s="189"/>
      <c r="F1618" s="182" t="str">
        <f t="shared" si="1"/>
        <v/>
      </c>
      <c r="G1618" s="183">
        <f>IFERROR(__xludf.DUMMYFUNCTION("IFERROR(lookup(9999999999,FILTER('Operações-BR'!$M:$M,'Operações-BR'!$C:$C=A1618,'Operações-BR'!$A:$A&lt;=C1618)),0)"),0.0)</f>
        <v>0</v>
      </c>
      <c r="H1618" s="184">
        <f t="shared" si="2"/>
        <v>0</v>
      </c>
      <c r="I1618" s="184">
        <f>IFERROR(__xludf.DUMMYFUNCTION("IFERROR(lookup(9999999999,FILTER('Operações-BR'!Q:Q,'Operações-BR'!$C:$C=A1618,'Operações-BR'!$A:$A&lt;=C1618))/G1618,0)"),0.0)</f>
        <v>0</v>
      </c>
      <c r="J1618" s="185" t="str">
        <f>IFERROR(VLOOKUP(A1618,Ativos!$A$1:$G2000,5,),"")</f>
        <v/>
      </c>
      <c r="K1618" s="185" t="str">
        <f>IFERROR(VLOOKUP(A1618,Ativos!A:H,8,),"")</f>
        <v/>
      </c>
      <c r="L1618" s="186">
        <f t="shared" si="3"/>
        <v>0</v>
      </c>
    </row>
    <row r="1619" ht="21.0" customHeight="1">
      <c r="A1619" s="187"/>
      <c r="B1619" s="187"/>
      <c r="C1619" s="188"/>
      <c r="D1619" s="135"/>
      <c r="E1619" s="189"/>
      <c r="F1619" s="182" t="str">
        <f t="shared" si="1"/>
        <v/>
      </c>
      <c r="G1619" s="183">
        <f>IFERROR(__xludf.DUMMYFUNCTION("IFERROR(lookup(9999999999,FILTER('Operações-BR'!$M:$M,'Operações-BR'!$C:$C=A1619,'Operações-BR'!$A:$A&lt;=C1619)),0)"),0.0)</f>
        <v>0</v>
      </c>
      <c r="H1619" s="184">
        <f t="shared" si="2"/>
        <v>0</v>
      </c>
      <c r="I1619" s="184">
        <f>IFERROR(__xludf.DUMMYFUNCTION("IFERROR(lookup(9999999999,FILTER('Operações-BR'!Q:Q,'Operações-BR'!$C:$C=A1619,'Operações-BR'!$A:$A&lt;=C1619))/G1619,0)"),0.0)</f>
        <v>0</v>
      </c>
      <c r="J1619" s="185" t="str">
        <f>IFERROR(VLOOKUP(A1619,Ativos!$A$1:$G2000,5,),"")</f>
        <v/>
      </c>
      <c r="K1619" s="185" t="str">
        <f>IFERROR(VLOOKUP(A1619,Ativos!A:H,8,),"")</f>
        <v/>
      </c>
      <c r="L1619" s="186">
        <f t="shared" si="3"/>
        <v>0</v>
      </c>
    </row>
    <row r="1620" ht="21.0" customHeight="1">
      <c r="A1620" s="187"/>
      <c r="B1620" s="187"/>
      <c r="C1620" s="188"/>
      <c r="D1620" s="135"/>
      <c r="E1620" s="189"/>
      <c r="F1620" s="182" t="str">
        <f t="shared" si="1"/>
        <v/>
      </c>
      <c r="G1620" s="183">
        <f>IFERROR(__xludf.DUMMYFUNCTION("IFERROR(lookup(9999999999,FILTER('Operações-BR'!$M:$M,'Operações-BR'!$C:$C=A1620,'Operações-BR'!$A:$A&lt;=C1620)),0)"),0.0)</f>
        <v>0</v>
      </c>
      <c r="H1620" s="184">
        <f t="shared" si="2"/>
        <v>0</v>
      </c>
      <c r="I1620" s="184">
        <f>IFERROR(__xludf.DUMMYFUNCTION("IFERROR(lookup(9999999999,FILTER('Operações-BR'!Q:Q,'Operações-BR'!$C:$C=A1620,'Operações-BR'!$A:$A&lt;=C1620))/G1620,0)"),0.0)</f>
        <v>0</v>
      </c>
      <c r="J1620" s="185" t="str">
        <f>IFERROR(VLOOKUP(A1620,Ativos!$A$1:$G2000,5,),"")</f>
        <v/>
      </c>
      <c r="K1620" s="185" t="str">
        <f>IFERROR(VLOOKUP(A1620,Ativos!A:H,8,),"")</f>
        <v/>
      </c>
      <c r="L1620" s="186">
        <f t="shared" si="3"/>
        <v>0</v>
      </c>
    </row>
    <row r="1621" ht="21.0" customHeight="1">
      <c r="A1621" s="187"/>
      <c r="B1621" s="187"/>
      <c r="C1621" s="188"/>
      <c r="D1621" s="135"/>
      <c r="E1621" s="189"/>
      <c r="F1621" s="182" t="str">
        <f t="shared" si="1"/>
        <v/>
      </c>
      <c r="G1621" s="183">
        <f>IFERROR(__xludf.DUMMYFUNCTION("IFERROR(lookup(9999999999,FILTER('Operações-BR'!$M:$M,'Operações-BR'!$C:$C=A1621,'Operações-BR'!$A:$A&lt;=C1621)),0)"),0.0)</f>
        <v>0</v>
      </c>
      <c r="H1621" s="184">
        <f t="shared" si="2"/>
        <v>0</v>
      </c>
      <c r="I1621" s="184">
        <f>IFERROR(__xludf.DUMMYFUNCTION("IFERROR(lookup(9999999999,FILTER('Operações-BR'!Q:Q,'Operações-BR'!$C:$C=A1621,'Operações-BR'!$A:$A&lt;=C1621))/G1621,0)"),0.0)</f>
        <v>0</v>
      </c>
      <c r="J1621" s="185" t="str">
        <f>IFERROR(VLOOKUP(A1621,Ativos!$A$1:$G2000,5,),"")</f>
        <v/>
      </c>
      <c r="K1621" s="185" t="str">
        <f>IFERROR(VLOOKUP(A1621,Ativos!A:H,8,),"")</f>
        <v/>
      </c>
      <c r="L1621" s="186">
        <f t="shared" si="3"/>
        <v>0</v>
      </c>
    </row>
    <row r="1622" ht="21.0" customHeight="1">
      <c r="A1622" s="187"/>
      <c r="B1622" s="187"/>
      <c r="C1622" s="188"/>
      <c r="D1622" s="135"/>
      <c r="E1622" s="189"/>
      <c r="F1622" s="182" t="str">
        <f t="shared" si="1"/>
        <v/>
      </c>
      <c r="G1622" s="183">
        <f>IFERROR(__xludf.DUMMYFUNCTION("IFERROR(lookup(9999999999,FILTER('Operações-BR'!$M:$M,'Operações-BR'!$C:$C=A1622,'Operações-BR'!$A:$A&lt;=C1622)),0)"),0.0)</f>
        <v>0</v>
      </c>
      <c r="H1622" s="184">
        <f t="shared" si="2"/>
        <v>0</v>
      </c>
      <c r="I1622" s="184">
        <f>IFERROR(__xludf.DUMMYFUNCTION("IFERROR(lookup(9999999999,FILTER('Operações-BR'!Q:Q,'Operações-BR'!$C:$C=A1622,'Operações-BR'!$A:$A&lt;=C1622))/G1622,0)"),0.0)</f>
        <v>0</v>
      </c>
      <c r="J1622" s="185" t="str">
        <f>IFERROR(VLOOKUP(A1622,Ativos!$A$1:$G2000,5,),"")</f>
        <v/>
      </c>
      <c r="K1622" s="185" t="str">
        <f>IFERROR(VLOOKUP(A1622,Ativos!A:H,8,),"")</f>
        <v/>
      </c>
      <c r="L1622" s="186">
        <f t="shared" si="3"/>
        <v>0</v>
      </c>
    </row>
    <row r="1623" ht="21.0" customHeight="1">
      <c r="A1623" s="187"/>
      <c r="B1623" s="187"/>
      <c r="C1623" s="188"/>
      <c r="D1623" s="135"/>
      <c r="E1623" s="189"/>
      <c r="F1623" s="182" t="str">
        <f t="shared" si="1"/>
        <v/>
      </c>
      <c r="G1623" s="183">
        <f>IFERROR(__xludf.DUMMYFUNCTION("IFERROR(lookup(9999999999,FILTER('Operações-BR'!$M:$M,'Operações-BR'!$C:$C=A1623,'Operações-BR'!$A:$A&lt;=C1623)),0)"),0.0)</f>
        <v>0</v>
      </c>
      <c r="H1623" s="184">
        <f t="shared" si="2"/>
        <v>0</v>
      </c>
      <c r="I1623" s="184">
        <f>IFERROR(__xludf.DUMMYFUNCTION("IFERROR(lookup(9999999999,FILTER('Operações-BR'!Q:Q,'Operações-BR'!$C:$C=A1623,'Operações-BR'!$A:$A&lt;=C1623))/G1623,0)"),0.0)</f>
        <v>0</v>
      </c>
      <c r="J1623" s="185" t="str">
        <f>IFERROR(VLOOKUP(A1623,Ativos!$A$1:$G2000,5,),"")</f>
        <v/>
      </c>
      <c r="K1623" s="185" t="str">
        <f>IFERROR(VLOOKUP(A1623,Ativos!A:H,8,),"")</f>
        <v/>
      </c>
      <c r="L1623" s="186">
        <f t="shared" si="3"/>
        <v>0</v>
      </c>
    </row>
    <row r="1624" ht="21.0" customHeight="1">
      <c r="A1624" s="187"/>
      <c r="B1624" s="187"/>
      <c r="C1624" s="188"/>
      <c r="D1624" s="135"/>
      <c r="E1624" s="189"/>
      <c r="F1624" s="182" t="str">
        <f t="shared" si="1"/>
        <v/>
      </c>
      <c r="G1624" s="183">
        <f>IFERROR(__xludf.DUMMYFUNCTION("IFERROR(lookup(9999999999,FILTER('Operações-BR'!$M:$M,'Operações-BR'!$C:$C=A1624,'Operações-BR'!$A:$A&lt;=C1624)),0)"),0.0)</f>
        <v>0</v>
      </c>
      <c r="H1624" s="184">
        <f t="shared" si="2"/>
        <v>0</v>
      </c>
      <c r="I1624" s="184">
        <f>IFERROR(__xludf.DUMMYFUNCTION("IFERROR(lookup(9999999999,FILTER('Operações-BR'!Q:Q,'Operações-BR'!$C:$C=A1624,'Operações-BR'!$A:$A&lt;=C1624))/G1624,0)"),0.0)</f>
        <v>0</v>
      </c>
      <c r="J1624" s="185" t="str">
        <f>IFERROR(VLOOKUP(A1624,Ativos!$A$1:$G2000,5,),"")</f>
        <v/>
      </c>
      <c r="K1624" s="185" t="str">
        <f>IFERROR(VLOOKUP(A1624,Ativos!A:H,8,),"")</f>
        <v/>
      </c>
      <c r="L1624" s="186">
        <f t="shared" si="3"/>
        <v>0</v>
      </c>
    </row>
    <row r="1625" ht="21.0" customHeight="1">
      <c r="A1625" s="187"/>
      <c r="B1625" s="187"/>
      <c r="C1625" s="188"/>
      <c r="D1625" s="135"/>
      <c r="E1625" s="189"/>
      <c r="F1625" s="182" t="str">
        <f t="shared" si="1"/>
        <v/>
      </c>
      <c r="G1625" s="183">
        <f>IFERROR(__xludf.DUMMYFUNCTION("IFERROR(lookup(9999999999,FILTER('Operações-BR'!$M:$M,'Operações-BR'!$C:$C=A1625,'Operações-BR'!$A:$A&lt;=C1625)),0)"),0.0)</f>
        <v>0</v>
      </c>
      <c r="H1625" s="184">
        <f t="shared" si="2"/>
        <v>0</v>
      </c>
      <c r="I1625" s="184">
        <f>IFERROR(__xludf.DUMMYFUNCTION("IFERROR(lookup(9999999999,FILTER('Operações-BR'!Q:Q,'Operações-BR'!$C:$C=A1625,'Operações-BR'!$A:$A&lt;=C1625))/G1625,0)"),0.0)</f>
        <v>0</v>
      </c>
      <c r="J1625" s="185" t="str">
        <f>IFERROR(VLOOKUP(A1625,Ativos!$A$1:$G2000,5,),"")</f>
        <v/>
      </c>
      <c r="K1625" s="185" t="str">
        <f>IFERROR(VLOOKUP(A1625,Ativos!A:H,8,),"")</f>
        <v/>
      </c>
      <c r="L1625" s="186">
        <f t="shared" si="3"/>
        <v>0</v>
      </c>
    </row>
    <row r="1626" ht="21.0" customHeight="1">
      <c r="A1626" s="187"/>
      <c r="B1626" s="187"/>
      <c r="C1626" s="188"/>
      <c r="D1626" s="135"/>
      <c r="E1626" s="189"/>
      <c r="F1626" s="182" t="str">
        <f t="shared" si="1"/>
        <v/>
      </c>
      <c r="G1626" s="183">
        <f>IFERROR(__xludf.DUMMYFUNCTION("IFERROR(lookup(9999999999,FILTER('Operações-BR'!$M:$M,'Operações-BR'!$C:$C=A1626,'Operações-BR'!$A:$A&lt;=C1626)),0)"),0.0)</f>
        <v>0</v>
      </c>
      <c r="H1626" s="184">
        <f t="shared" si="2"/>
        <v>0</v>
      </c>
      <c r="I1626" s="184">
        <f>IFERROR(__xludf.DUMMYFUNCTION("IFERROR(lookup(9999999999,FILTER('Operações-BR'!Q:Q,'Operações-BR'!$C:$C=A1626,'Operações-BR'!$A:$A&lt;=C1626))/G1626,0)"),0.0)</f>
        <v>0</v>
      </c>
      <c r="J1626" s="185" t="str">
        <f>IFERROR(VLOOKUP(A1626,Ativos!$A$1:$G2000,5,),"")</f>
        <v/>
      </c>
      <c r="K1626" s="185" t="str">
        <f>IFERROR(VLOOKUP(A1626,Ativos!A:H,8,),"")</f>
        <v/>
      </c>
      <c r="L1626" s="186">
        <f t="shared" si="3"/>
        <v>0</v>
      </c>
    </row>
    <row r="1627" ht="21.0" customHeight="1">
      <c r="A1627" s="187"/>
      <c r="B1627" s="187"/>
      <c r="C1627" s="188"/>
      <c r="D1627" s="135"/>
      <c r="E1627" s="189"/>
      <c r="F1627" s="182" t="str">
        <f t="shared" si="1"/>
        <v/>
      </c>
      <c r="G1627" s="183">
        <f>IFERROR(__xludf.DUMMYFUNCTION("IFERROR(lookup(9999999999,FILTER('Operações-BR'!$M:$M,'Operações-BR'!$C:$C=A1627,'Operações-BR'!$A:$A&lt;=C1627)),0)"),0.0)</f>
        <v>0</v>
      </c>
      <c r="H1627" s="184">
        <f t="shared" si="2"/>
        <v>0</v>
      </c>
      <c r="I1627" s="184">
        <f>IFERROR(__xludf.DUMMYFUNCTION("IFERROR(lookup(9999999999,FILTER('Operações-BR'!Q:Q,'Operações-BR'!$C:$C=A1627,'Operações-BR'!$A:$A&lt;=C1627))/G1627,0)"),0.0)</f>
        <v>0</v>
      </c>
      <c r="J1627" s="185" t="str">
        <f>IFERROR(VLOOKUP(A1627,Ativos!$A$1:$G2000,5,),"")</f>
        <v/>
      </c>
      <c r="K1627" s="185" t="str">
        <f>IFERROR(VLOOKUP(A1627,Ativos!A:H,8,),"")</f>
        <v/>
      </c>
      <c r="L1627" s="186">
        <f t="shared" si="3"/>
        <v>0</v>
      </c>
    </row>
    <row r="1628" ht="21.0" customHeight="1">
      <c r="A1628" s="187"/>
      <c r="B1628" s="187"/>
      <c r="C1628" s="188"/>
      <c r="D1628" s="135"/>
      <c r="E1628" s="189"/>
      <c r="F1628" s="182" t="str">
        <f t="shared" si="1"/>
        <v/>
      </c>
      <c r="G1628" s="183">
        <f>IFERROR(__xludf.DUMMYFUNCTION("IFERROR(lookup(9999999999,FILTER('Operações-BR'!$M:$M,'Operações-BR'!$C:$C=A1628,'Operações-BR'!$A:$A&lt;=C1628)),0)"),0.0)</f>
        <v>0</v>
      </c>
      <c r="H1628" s="184">
        <f t="shared" si="2"/>
        <v>0</v>
      </c>
      <c r="I1628" s="184">
        <f>IFERROR(__xludf.DUMMYFUNCTION("IFERROR(lookup(9999999999,FILTER('Operações-BR'!Q:Q,'Operações-BR'!$C:$C=A1628,'Operações-BR'!$A:$A&lt;=C1628))/G1628,0)"),0.0)</f>
        <v>0</v>
      </c>
      <c r="J1628" s="185" t="str">
        <f>IFERROR(VLOOKUP(A1628,Ativos!$A$1:$G2000,5,),"")</f>
        <v/>
      </c>
      <c r="K1628" s="185" t="str">
        <f>IFERROR(VLOOKUP(A1628,Ativos!A:H,8,),"")</f>
        <v/>
      </c>
      <c r="L1628" s="186">
        <f t="shared" si="3"/>
        <v>0</v>
      </c>
    </row>
    <row r="1629" ht="21.0" customHeight="1">
      <c r="A1629" s="187"/>
      <c r="B1629" s="187"/>
      <c r="C1629" s="188"/>
      <c r="D1629" s="135"/>
      <c r="E1629" s="189"/>
      <c r="F1629" s="182" t="str">
        <f t="shared" si="1"/>
        <v/>
      </c>
      <c r="G1629" s="183">
        <f>IFERROR(__xludf.DUMMYFUNCTION("IFERROR(lookup(9999999999,FILTER('Operações-BR'!$M:$M,'Operações-BR'!$C:$C=A1629,'Operações-BR'!$A:$A&lt;=C1629)),0)"),0.0)</f>
        <v>0</v>
      </c>
      <c r="H1629" s="184">
        <f t="shared" si="2"/>
        <v>0</v>
      </c>
      <c r="I1629" s="184">
        <f>IFERROR(__xludf.DUMMYFUNCTION("IFERROR(lookup(9999999999,FILTER('Operações-BR'!Q:Q,'Operações-BR'!$C:$C=A1629,'Operações-BR'!$A:$A&lt;=C1629))/G1629,0)"),0.0)</f>
        <v>0</v>
      </c>
      <c r="J1629" s="185" t="str">
        <f>IFERROR(VLOOKUP(A1629,Ativos!$A$1:$G2000,5,),"")</f>
        <v/>
      </c>
      <c r="K1629" s="185" t="str">
        <f>IFERROR(VLOOKUP(A1629,Ativos!A:H,8,),"")</f>
        <v/>
      </c>
      <c r="L1629" s="186">
        <f t="shared" si="3"/>
        <v>0</v>
      </c>
    </row>
    <row r="1630" ht="21.0" customHeight="1">
      <c r="A1630" s="187"/>
      <c r="B1630" s="187"/>
      <c r="C1630" s="188"/>
      <c r="D1630" s="135"/>
      <c r="E1630" s="189"/>
      <c r="F1630" s="182" t="str">
        <f t="shared" si="1"/>
        <v/>
      </c>
      <c r="G1630" s="183">
        <f>IFERROR(__xludf.DUMMYFUNCTION("IFERROR(lookup(9999999999,FILTER('Operações-BR'!$M:$M,'Operações-BR'!$C:$C=A1630,'Operações-BR'!$A:$A&lt;=C1630)),0)"),0.0)</f>
        <v>0</v>
      </c>
      <c r="H1630" s="184">
        <f t="shared" si="2"/>
        <v>0</v>
      </c>
      <c r="I1630" s="184">
        <f>IFERROR(__xludf.DUMMYFUNCTION("IFERROR(lookup(9999999999,FILTER('Operações-BR'!Q:Q,'Operações-BR'!$C:$C=A1630,'Operações-BR'!$A:$A&lt;=C1630))/G1630,0)"),0.0)</f>
        <v>0</v>
      </c>
      <c r="J1630" s="185" t="str">
        <f>IFERROR(VLOOKUP(A1630,Ativos!$A$1:$G2000,5,),"")</f>
        <v/>
      </c>
      <c r="K1630" s="185" t="str">
        <f>IFERROR(VLOOKUP(A1630,Ativos!A:H,8,),"")</f>
        <v/>
      </c>
      <c r="L1630" s="186">
        <f t="shared" si="3"/>
        <v>0</v>
      </c>
    </row>
    <row r="1631" ht="21.0" customHeight="1">
      <c r="A1631" s="187"/>
      <c r="B1631" s="187"/>
      <c r="C1631" s="188"/>
      <c r="D1631" s="135"/>
      <c r="E1631" s="189"/>
      <c r="F1631" s="182" t="str">
        <f t="shared" si="1"/>
        <v/>
      </c>
      <c r="G1631" s="183">
        <f>IFERROR(__xludf.DUMMYFUNCTION("IFERROR(lookup(9999999999,FILTER('Operações-BR'!$M:$M,'Operações-BR'!$C:$C=A1631,'Operações-BR'!$A:$A&lt;=C1631)),0)"),0.0)</f>
        <v>0</v>
      </c>
      <c r="H1631" s="184">
        <f t="shared" si="2"/>
        <v>0</v>
      </c>
      <c r="I1631" s="184">
        <f>IFERROR(__xludf.DUMMYFUNCTION("IFERROR(lookup(9999999999,FILTER('Operações-BR'!Q:Q,'Operações-BR'!$C:$C=A1631,'Operações-BR'!$A:$A&lt;=C1631))/G1631,0)"),0.0)</f>
        <v>0</v>
      </c>
      <c r="J1631" s="185" t="str">
        <f>IFERROR(VLOOKUP(A1631,Ativos!$A$1:$G2000,5,),"")</f>
        <v/>
      </c>
      <c r="K1631" s="185" t="str">
        <f>IFERROR(VLOOKUP(A1631,Ativos!A:H,8,),"")</f>
        <v/>
      </c>
      <c r="L1631" s="186">
        <f t="shared" si="3"/>
        <v>0</v>
      </c>
    </row>
    <row r="1632" ht="21.0" customHeight="1">
      <c r="A1632" s="187"/>
      <c r="B1632" s="187"/>
      <c r="C1632" s="188"/>
      <c r="D1632" s="135"/>
      <c r="E1632" s="189"/>
      <c r="F1632" s="182" t="str">
        <f t="shared" si="1"/>
        <v/>
      </c>
      <c r="G1632" s="183">
        <f>IFERROR(__xludf.DUMMYFUNCTION("IFERROR(lookup(9999999999,FILTER('Operações-BR'!$M:$M,'Operações-BR'!$C:$C=A1632,'Operações-BR'!$A:$A&lt;=C1632)),0)"),0.0)</f>
        <v>0</v>
      </c>
      <c r="H1632" s="184">
        <f t="shared" si="2"/>
        <v>0</v>
      </c>
      <c r="I1632" s="184">
        <f>IFERROR(__xludf.DUMMYFUNCTION("IFERROR(lookup(9999999999,FILTER('Operações-BR'!Q:Q,'Operações-BR'!$C:$C=A1632,'Operações-BR'!$A:$A&lt;=C1632))/G1632,0)"),0.0)</f>
        <v>0</v>
      </c>
      <c r="J1632" s="185" t="str">
        <f>IFERROR(VLOOKUP(A1632,Ativos!$A$1:$G2000,5,),"")</f>
        <v/>
      </c>
      <c r="K1632" s="185" t="str">
        <f>IFERROR(VLOOKUP(A1632,Ativos!A:H,8,),"")</f>
        <v/>
      </c>
      <c r="L1632" s="186">
        <f t="shared" si="3"/>
        <v>0</v>
      </c>
    </row>
    <row r="1633" ht="21.0" customHeight="1">
      <c r="A1633" s="187"/>
      <c r="B1633" s="187"/>
      <c r="C1633" s="188"/>
      <c r="D1633" s="135"/>
      <c r="E1633" s="189"/>
      <c r="F1633" s="182" t="str">
        <f t="shared" si="1"/>
        <v/>
      </c>
      <c r="G1633" s="183">
        <f>IFERROR(__xludf.DUMMYFUNCTION("IFERROR(lookup(9999999999,FILTER('Operações-BR'!$M:$M,'Operações-BR'!$C:$C=A1633,'Operações-BR'!$A:$A&lt;=C1633)),0)"),0.0)</f>
        <v>0</v>
      </c>
      <c r="H1633" s="184">
        <f t="shared" si="2"/>
        <v>0</v>
      </c>
      <c r="I1633" s="184">
        <f>IFERROR(__xludf.DUMMYFUNCTION("IFERROR(lookup(9999999999,FILTER('Operações-BR'!Q:Q,'Operações-BR'!$C:$C=A1633,'Operações-BR'!$A:$A&lt;=C1633))/G1633,0)"),0.0)</f>
        <v>0</v>
      </c>
      <c r="J1633" s="185" t="str">
        <f>IFERROR(VLOOKUP(A1633,Ativos!$A$1:$G2000,5,),"")</f>
        <v/>
      </c>
      <c r="K1633" s="185" t="str">
        <f>IFERROR(VLOOKUP(A1633,Ativos!A:H,8,),"")</f>
        <v/>
      </c>
      <c r="L1633" s="186">
        <f t="shared" si="3"/>
        <v>0</v>
      </c>
    </row>
    <row r="1634" ht="21.0" customHeight="1">
      <c r="A1634" s="187"/>
      <c r="B1634" s="187"/>
      <c r="C1634" s="188"/>
      <c r="D1634" s="135"/>
      <c r="E1634" s="189"/>
      <c r="F1634" s="182" t="str">
        <f t="shared" si="1"/>
        <v/>
      </c>
      <c r="G1634" s="183">
        <f>IFERROR(__xludf.DUMMYFUNCTION("IFERROR(lookup(9999999999,FILTER('Operações-BR'!$M:$M,'Operações-BR'!$C:$C=A1634,'Operações-BR'!$A:$A&lt;=C1634)),0)"),0.0)</f>
        <v>0</v>
      </c>
      <c r="H1634" s="184">
        <f t="shared" si="2"/>
        <v>0</v>
      </c>
      <c r="I1634" s="184">
        <f>IFERROR(__xludf.DUMMYFUNCTION("IFERROR(lookup(9999999999,FILTER('Operações-BR'!Q:Q,'Operações-BR'!$C:$C=A1634,'Operações-BR'!$A:$A&lt;=C1634))/G1634,0)"),0.0)</f>
        <v>0</v>
      </c>
      <c r="J1634" s="185" t="str">
        <f>IFERROR(VLOOKUP(A1634,Ativos!$A$1:$G2000,5,),"")</f>
        <v/>
      </c>
      <c r="K1634" s="185" t="str">
        <f>IFERROR(VLOOKUP(A1634,Ativos!A:H,8,),"")</f>
        <v/>
      </c>
      <c r="L1634" s="186">
        <f t="shared" si="3"/>
        <v>0</v>
      </c>
    </row>
    <row r="1635" ht="21.0" customHeight="1">
      <c r="A1635" s="187"/>
      <c r="B1635" s="187"/>
      <c r="C1635" s="188"/>
      <c r="D1635" s="135"/>
      <c r="E1635" s="189"/>
      <c r="F1635" s="182" t="str">
        <f t="shared" si="1"/>
        <v/>
      </c>
      <c r="G1635" s="183">
        <f>IFERROR(__xludf.DUMMYFUNCTION("IFERROR(lookup(9999999999,FILTER('Operações-BR'!$M:$M,'Operações-BR'!$C:$C=A1635,'Operações-BR'!$A:$A&lt;=C1635)),0)"),0.0)</f>
        <v>0</v>
      </c>
      <c r="H1635" s="184">
        <f t="shared" si="2"/>
        <v>0</v>
      </c>
      <c r="I1635" s="184">
        <f>IFERROR(__xludf.DUMMYFUNCTION("IFERROR(lookup(9999999999,FILTER('Operações-BR'!Q:Q,'Operações-BR'!$C:$C=A1635,'Operações-BR'!$A:$A&lt;=C1635))/G1635,0)"),0.0)</f>
        <v>0</v>
      </c>
      <c r="J1635" s="185" t="str">
        <f>IFERROR(VLOOKUP(A1635,Ativos!$A$1:$G2000,5,),"")</f>
        <v/>
      </c>
      <c r="K1635" s="185" t="str">
        <f>IFERROR(VLOOKUP(A1635,Ativos!A:H,8,),"")</f>
        <v/>
      </c>
      <c r="L1635" s="186">
        <f t="shared" si="3"/>
        <v>0</v>
      </c>
    </row>
    <row r="1636" ht="21.0" customHeight="1">
      <c r="A1636" s="187"/>
      <c r="B1636" s="187"/>
      <c r="C1636" s="188"/>
      <c r="D1636" s="135"/>
      <c r="E1636" s="189"/>
      <c r="F1636" s="182" t="str">
        <f t="shared" si="1"/>
        <v/>
      </c>
      <c r="G1636" s="183">
        <f>IFERROR(__xludf.DUMMYFUNCTION("IFERROR(lookup(9999999999,FILTER('Operações-BR'!$M:$M,'Operações-BR'!$C:$C=A1636,'Operações-BR'!$A:$A&lt;=C1636)),0)"),0.0)</f>
        <v>0</v>
      </c>
      <c r="H1636" s="184">
        <f t="shared" si="2"/>
        <v>0</v>
      </c>
      <c r="I1636" s="184">
        <f>IFERROR(__xludf.DUMMYFUNCTION("IFERROR(lookup(9999999999,FILTER('Operações-BR'!Q:Q,'Operações-BR'!$C:$C=A1636,'Operações-BR'!$A:$A&lt;=C1636))/G1636,0)"),0.0)</f>
        <v>0</v>
      </c>
      <c r="J1636" s="185" t="str">
        <f>IFERROR(VLOOKUP(A1636,Ativos!$A$1:$G2000,5,),"")</f>
        <v/>
      </c>
      <c r="K1636" s="185" t="str">
        <f>IFERROR(VLOOKUP(A1636,Ativos!A:H,8,),"")</f>
        <v/>
      </c>
      <c r="L1636" s="186">
        <f t="shared" si="3"/>
        <v>0</v>
      </c>
    </row>
    <row r="1637" ht="21.0" customHeight="1">
      <c r="A1637" s="187"/>
      <c r="B1637" s="187"/>
      <c r="C1637" s="188"/>
      <c r="D1637" s="135"/>
      <c r="E1637" s="189"/>
      <c r="F1637" s="182" t="str">
        <f t="shared" si="1"/>
        <v/>
      </c>
      <c r="G1637" s="183">
        <f>IFERROR(__xludf.DUMMYFUNCTION("IFERROR(lookup(9999999999,FILTER('Operações-BR'!$M:$M,'Operações-BR'!$C:$C=A1637,'Operações-BR'!$A:$A&lt;=C1637)),0)"),0.0)</f>
        <v>0</v>
      </c>
      <c r="H1637" s="184">
        <f t="shared" si="2"/>
        <v>0</v>
      </c>
      <c r="I1637" s="184">
        <f>IFERROR(__xludf.DUMMYFUNCTION("IFERROR(lookup(9999999999,FILTER('Operações-BR'!Q:Q,'Operações-BR'!$C:$C=A1637,'Operações-BR'!$A:$A&lt;=C1637))/G1637,0)"),0.0)</f>
        <v>0</v>
      </c>
      <c r="J1637" s="185" t="str">
        <f>IFERROR(VLOOKUP(A1637,Ativos!$A$1:$G2000,5,),"")</f>
        <v/>
      </c>
      <c r="K1637" s="185" t="str">
        <f>IFERROR(VLOOKUP(A1637,Ativos!A:H,8,),"")</f>
        <v/>
      </c>
      <c r="L1637" s="186">
        <f t="shared" si="3"/>
        <v>0</v>
      </c>
    </row>
    <row r="1638" ht="21.0" customHeight="1">
      <c r="A1638" s="187"/>
      <c r="B1638" s="187"/>
      <c r="C1638" s="188"/>
      <c r="D1638" s="135"/>
      <c r="E1638" s="189"/>
      <c r="F1638" s="182" t="str">
        <f t="shared" si="1"/>
        <v/>
      </c>
      <c r="G1638" s="183">
        <f>IFERROR(__xludf.DUMMYFUNCTION("IFERROR(lookup(9999999999,FILTER('Operações-BR'!$M:$M,'Operações-BR'!$C:$C=A1638,'Operações-BR'!$A:$A&lt;=C1638)),0)"),0.0)</f>
        <v>0</v>
      </c>
      <c r="H1638" s="184">
        <f t="shared" si="2"/>
        <v>0</v>
      </c>
      <c r="I1638" s="184">
        <f>IFERROR(__xludf.DUMMYFUNCTION("IFERROR(lookup(9999999999,FILTER('Operações-BR'!Q:Q,'Operações-BR'!$C:$C=A1638,'Operações-BR'!$A:$A&lt;=C1638))/G1638,0)"),0.0)</f>
        <v>0</v>
      </c>
      <c r="J1638" s="185" t="str">
        <f>IFERROR(VLOOKUP(A1638,Ativos!$A$1:$G2000,5,),"")</f>
        <v/>
      </c>
      <c r="K1638" s="185" t="str">
        <f>IFERROR(VLOOKUP(A1638,Ativos!A:H,8,),"")</f>
        <v/>
      </c>
      <c r="L1638" s="186">
        <f t="shared" si="3"/>
        <v>0</v>
      </c>
    </row>
    <row r="1639" ht="21.0" customHeight="1">
      <c r="A1639" s="187"/>
      <c r="B1639" s="187"/>
      <c r="C1639" s="188"/>
      <c r="D1639" s="135"/>
      <c r="E1639" s="189"/>
      <c r="F1639" s="182" t="str">
        <f t="shared" si="1"/>
        <v/>
      </c>
      <c r="G1639" s="183">
        <f>IFERROR(__xludf.DUMMYFUNCTION("IFERROR(lookup(9999999999,FILTER('Operações-BR'!$M:$M,'Operações-BR'!$C:$C=A1639,'Operações-BR'!$A:$A&lt;=C1639)),0)"),0.0)</f>
        <v>0</v>
      </c>
      <c r="H1639" s="184">
        <f t="shared" si="2"/>
        <v>0</v>
      </c>
      <c r="I1639" s="184">
        <f>IFERROR(__xludf.DUMMYFUNCTION("IFERROR(lookup(9999999999,FILTER('Operações-BR'!Q:Q,'Operações-BR'!$C:$C=A1639,'Operações-BR'!$A:$A&lt;=C1639))/G1639,0)"),0.0)</f>
        <v>0</v>
      </c>
      <c r="J1639" s="185" t="str">
        <f>IFERROR(VLOOKUP(A1639,Ativos!$A$1:$G2000,5,),"")</f>
        <v/>
      </c>
      <c r="K1639" s="185" t="str">
        <f>IFERROR(VLOOKUP(A1639,Ativos!A:H,8,),"")</f>
        <v/>
      </c>
      <c r="L1639" s="186">
        <f t="shared" si="3"/>
        <v>0</v>
      </c>
    </row>
    <row r="1640" ht="21.0" customHeight="1">
      <c r="A1640" s="187"/>
      <c r="B1640" s="187"/>
      <c r="C1640" s="188"/>
      <c r="D1640" s="135"/>
      <c r="E1640" s="189"/>
      <c r="F1640" s="182" t="str">
        <f t="shared" si="1"/>
        <v/>
      </c>
      <c r="G1640" s="183">
        <f>IFERROR(__xludf.DUMMYFUNCTION("IFERROR(lookup(9999999999,FILTER('Operações-BR'!$M:$M,'Operações-BR'!$C:$C=A1640,'Operações-BR'!$A:$A&lt;=C1640)),0)"),0.0)</f>
        <v>0</v>
      </c>
      <c r="H1640" s="184">
        <f t="shared" si="2"/>
        <v>0</v>
      </c>
      <c r="I1640" s="184">
        <f>IFERROR(__xludf.DUMMYFUNCTION("IFERROR(lookup(9999999999,FILTER('Operações-BR'!Q:Q,'Operações-BR'!$C:$C=A1640,'Operações-BR'!$A:$A&lt;=C1640))/G1640,0)"),0.0)</f>
        <v>0</v>
      </c>
      <c r="J1640" s="185" t="str">
        <f>IFERROR(VLOOKUP(A1640,Ativos!$A$1:$G2000,5,),"")</f>
        <v/>
      </c>
      <c r="K1640" s="185" t="str">
        <f>IFERROR(VLOOKUP(A1640,Ativos!A:H,8,),"")</f>
        <v/>
      </c>
      <c r="L1640" s="186">
        <f t="shared" si="3"/>
        <v>0</v>
      </c>
    </row>
    <row r="1641" ht="21.0" customHeight="1">
      <c r="A1641" s="187"/>
      <c r="B1641" s="187"/>
      <c r="C1641" s="188"/>
      <c r="D1641" s="135"/>
      <c r="E1641" s="189"/>
      <c r="F1641" s="182" t="str">
        <f t="shared" si="1"/>
        <v/>
      </c>
      <c r="G1641" s="183">
        <f>IFERROR(__xludf.DUMMYFUNCTION("IFERROR(lookup(9999999999,FILTER('Operações-BR'!$M:$M,'Operações-BR'!$C:$C=A1641,'Operações-BR'!$A:$A&lt;=C1641)),0)"),0.0)</f>
        <v>0</v>
      </c>
      <c r="H1641" s="184">
        <f t="shared" si="2"/>
        <v>0</v>
      </c>
      <c r="I1641" s="184">
        <f>IFERROR(__xludf.DUMMYFUNCTION("IFERROR(lookup(9999999999,FILTER('Operações-BR'!Q:Q,'Operações-BR'!$C:$C=A1641,'Operações-BR'!$A:$A&lt;=C1641))/G1641,0)"),0.0)</f>
        <v>0</v>
      </c>
      <c r="J1641" s="185" t="str">
        <f>IFERROR(VLOOKUP(A1641,Ativos!$A$1:$G2000,5,),"")</f>
        <v/>
      </c>
      <c r="K1641" s="185" t="str">
        <f>IFERROR(VLOOKUP(A1641,Ativos!A:H,8,),"")</f>
        <v/>
      </c>
      <c r="L1641" s="186">
        <f t="shared" si="3"/>
        <v>0</v>
      </c>
    </row>
    <row r="1642" ht="21.0" customHeight="1">
      <c r="A1642" s="187"/>
      <c r="B1642" s="187"/>
      <c r="C1642" s="188"/>
      <c r="D1642" s="135"/>
      <c r="E1642" s="189"/>
      <c r="F1642" s="182" t="str">
        <f t="shared" si="1"/>
        <v/>
      </c>
      <c r="G1642" s="183">
        <f>IFERROR(__xludf.DUMMYFUNCTION("IFERROR(lookup(9999999999,FILTER('Operações-BR'!$M:$M,'Operações-BR'!$C:$C=A1642,'Operações-BR'!$A:$A&lt;=C1642)),0)"),0.0)</f>
        <v>0</v>
      </c>
      <c r="H1642" s="184">
        <f t="shared" si="2"/>
        <v>0</v>
      </c>
      <c r="I1642" s="184">
        <f>IFERROR(__xludf.DUMMYFUNCTION("IFERROR(lookup(9999999999,FILTER('Operações-BR'!Q:Q,'Operações-BR'!$C:$C=A1642,'Operações-BR'!$A:$A&lt;=C1642))/G1642,0)"),0.0)</f>
        <v>0</v>
      </c>
      <c r="J1642" s="185" t="str">
        <f>IFERROR(VLOOKUP(A1642,Ativos!$A$1:$G2000,5,),"")</f>
        <v/>
      </c>
      <c r="K1642" s="185" t="str">
        <f>IFERROR(VLOOKUP(A1642,Ativos!A:H,8,),"")</f>
        <v/>
      </c>
      <c r="L1642" s="186">
        <f t="shared" si="3"/>
        <v>0</v>
      </c>
    </row>
    <row r="1643" ht="21.0" customHeight="1">
      <c r="A1643" s="187"/>
      <c r="B1643" s="187"/>
      <c r="C1643" s="188"/>
      <c r="D1643" s="135"/>
      <c r="E1643" s="189"/>
      <c r="F1643" s="182" t="str">
        <f t="shared" si="1"/>
        <v/>
      </c>
      <c r="G1643" s="183">
        <f>IFERROR(__xludf.DUMMYFUNCTION("IFERROR(lookup(9999999999,FILTER('Operações-BR'!$M:$M,'Operações-BR'!$C:$C=A1643,'Operações-BR'!$A:$A&lt;=C1643)),0)"),0.0)</f>
        <v>0</v>
      </c>
      <c r="H1643" s="184">
        <f t="shared" si="2"/>
        <v>0</v>
      </c>
      <c r="I1643" s="184">
        <f>IFERROR(__xludf.DUMMYFUNCTION("IFERROR(lookup(9999999999,FILTER('Operações-BR'!Q:Q,'Operações-BR'!$C:$C=A1643,'Operações-BR'!$A:$A&lt;=C1643))/G1643,0)"),0.0)</f>
        <v>0</v>
      </c>
      <c r="J1643" s="185" t="str">
        <f>IFERROR(VLOOKUP(A1643,Ativos!$A$1:$G2000,5,),"")</f>
        <v/>
      </c>
      <c r="K1643" s="185" t="str">
        <f>IFERROR(VLOOKUP(A1643,Ativos!A:H,8,),"")</f>
        <v/>
      </c>
      <c r="L1643" s="186">
        <f t="shared" si="3"/>
        <v>0</v>
      </c>
    </row>
    <row r="1644" ht="21.0" customHeight="1">
      <c r="A1644" s="187"/>
      <c r="B1644" s="187"/>
      <c r="C1644" s="188"/>
      <c r="D1644" s="135"/>
      <c r="E1644" s="189"/>
      <c r="F1644" s="182" t="str">
        <f t="shared" si="1"/>
        <v/>
      </c>
      <c r="G1644" s="183">
        <f>IFERROR(__xludf.DUMMYFUNCTION("IFERROR(lookup(9999999999,FILTER('Operações-BR'!$M:$M,'Operações-BR'!$C:$C=A1644,'Operações-BR'!$A:$A&lt;=C1644)),0)"),0.0)</f>
        <v>0</v>
      </c>
      <c r="H1644" s="184">
        <f t="shared" si="2"/>
        <v>0</v>
      </c>
      <c r="I1644" s="184">
        <f>IFERROR(__xludf.DUMMYFUNCTION("IFERROR(lookup(9999999999,FILTER('Operações-BR'!Q:Q,'Operações-BR'!$C:$C=A1644,'Operações-BR'!$A:$A&lt;=C1644))/G1644,0)"),0.0)</f>
        <v>0</v>
      </c>
      <c r="J1644" s="185" t="str">
        <f>IFERROR(VLOOKUP(A1644,Ativos!$A$1:$G2000,5,),"")</f>
        <v/>
      </c>
      <c r="K1644" s="185" t="str">
        <f>IFERROR(VLOOKUP(A1644,Ativos!A:H,8,),"")</f>
        <v/>
      </c>
      <c r="L1644" s="186">
        <f t="shared" si="3"/>
        <v>0</v>
      </c>
    </row>
    <row r="1645" ht="21.0" customHeight="1">
      <c r="A1645" s="187"/>
      <c r="B1645" s="187"/>
      <c r="C1645" s="188"/>
      <c r="D1645" s="135"/>
      <c r="E1645" s="189"/>
      <c r="F1645" s="182" t="str">
        <f t="shared" si="1"/>
        <v/>
      </c>
      <c r="G1645" s="183">
        <f>IFERROR(__xludf.DUMMYFUNCTION("IFERROR(lookup(9999999999,FILTER('Operações-BR'!$M:$M,'Operações-BR'!$C:$C=A1645,'Operações-BR'!$A:$A&lt;=C1645)),0)"),0.0)</f>
        <v>0</v>
      </c>
      <c r="H1645" s="184">
        <f t="shared" si="2"/>
        <v>0</v>
      </c>
      <c r="I1645" s="184">
        <f>IFERROR(__xludf.DUMMYFUNCTION("IFERROR(lookup(9999999999,FILTER('Operações-BR'!Q:Q,'Operações-BR'!$C:$C=A1645,'Operações-BR'!$A:$A&lt;=C1645))/G1645,0)"),0.0)</f>
        <v>0</v>
      </c>
      <c r="J1645" s="185" t="str">
        <f>IFERROR(VLOOKUP(A1645,Ativos!$A$1:$G2000,5,),"")</f>
        <v/>
      </c>
      <c r="K1645" s="185" t="str">
        <f>IFERROR(VLOOKUP(A1645,Ativos!A:H,8,),"")</f>
        <v/>
      </c>
      <c r="L1645" s="186">
        <f t="shared" si="3"/>
        <v>0</v>
      </c>
    </row>
    <row r="1646" ht="21.0" customHeight="1">
      <c r="A1646" s="187"/>
      <c r="B1646" s="187"/>
      <c r="C1646" s="188"/>
      <c r="D1646" s="135"/>
      <c r="E1646" s="189"/>
      <c r="F1646" s="182" t="str">
        <f t="shared" si="1"/>
        <v/>
      </c>
      <c r="G1646" s="183">
        <f>IFERROR(__xludf.DUMMYFUNCTION("IFERROR(lookup(9999999999,FILTER('Operações-BR'!$M:$M,'Operações-BR'!$C:$C=A1646,'Operações-BR'!$A:$A&lt;=C1646)),0)"),0.0)</f>
        <v>0</v>
      </c>
      <c r="H1646" s="184">
        <f t="shared" si="2"/>
        <v>0</v>
      </c>
      <c r="I1646" s="184">
        <f>IFERROR(__xludf.DUMMYFUNCTION("IFERROR(lookup(9999999999,FILTER('Operações-BR'!Q:Q,'Operações-BR'!$C:$C=A1646,'Operações-BR'!$A:$A&lt;=C1646))/G1646,0)"),0.0)</f>
        <v>0</v>
      </c>
      <c r="J1646" s="185" t="str">
        <f>IFERROR(VLOOKUP(A1646,Ativos!$A$1:$G2000,5,),"")</f>
        <v/>
      </c>
      <c r="K1646" s="185" t="str">
        <f>IFERROR(VLOOKUP(A1646,Ativos!A:H,8,),"")</f>
        <v/>
      </c>
      <c r="L1646" s="186">
        <f t="shared" si="3"/>
        <v>0</v>
      </c>
    </row>
    <row r="1647" ht="21.0" customHeight="1">
      <c r="A1647" s="187"/>
      <c r="B1647" s="187"/>
      <c r="C1647" s="188"/>
      <c r="D1647" s="135"/>
      <c r="E1647" s="189"/>
      <c r="F1647" s="182" t="str">
        <f t="shared" si="1"/>
        <v/>
      </c>
      <c r="G1647" s="183">
        <f>IFERROR(__xludf.DUMMYFUNCTION("IFERROR(lookup(9999999999,FILTER('Operações-BR'!$M:$M,'Operações-BR'!$C:$C=A1647,'Operações-BR'!$A:$A&lt;=C1647)),0)"),0.0)</f>
        <v>0</v>
      </c>
      <c r="H1647" s="184">
        <f t="shared" si="2"/>
        <v>0</v>
      </c>
      <c r="I1647" s="184">
        <f>IFERROR(__xludf.DUMMYFUNCTION("IFERROR(lookup(9999999999,FILTER('Operações-BR'!Q:Q,'Operações-BR'!$C:$C=A1647,'Operações-BR'!$A:$A&lt;=C1647))/G1647,0)"),0.0)</f>
        <v>0</v>
      </c>
      <c r="J1647" s="185" t="str">
        <f>IFERROR(VLOOKUP(A1647,Ativos!$A$1:$G2000,5,),"")</f>
        <v/>
      </c>
      <c r="K1647" s="185" t="str">
        <f>IFERROR(VLOOKUP(A1647,Ativos!A:H,8,),"")</f>
        <v/>
      </c>
      <c r="L1647" s="186">
        <f t="shared" si="3"/>
        <v>0</v>
      </c>
    </row>
    <row r="1648" ht="21.0" customHeight="1">
      <c r="A1648" s="187"/>
      <c r="B1648" s="187"/>
      <c r="C1648" s="188"/>
      <c r="D1648" s="135"/>
      <c r="E1648" s="189"/>
      <c r="F1648" s="182" t="str">
        <f t="shared" si="1"/>
        <v/>
      </c>
      <c r="G1648" s="183">
        <f>IFERROR(__xludf.DUMMYFUNCTION("IFERROR(lookup(9999999999,FILTER('Operações-BR'!$M:$M,'Operações-BR'!$C:$C=A1648,'Operações-BR'!$A:$A&lt;=C1648)),0)"),0.0)</f>
        <v>0</v>
      </c>
      <c r="H1648" s="184">
        <f t="shared" si="2"/>
        <v>0</v>
      </c>
      <c r="I1648" s="184">
        <f>IFERROR(__xludf.DUMMYFUNCTION("IFERROR(lookup(9999999999,FILTER('Operações-BR'!Q:Q,'Operações-BR'!$C:$C=A1648,'Operações-BR'!$A:$A&lt;=C1648))/G1648,0)"),0.0)</f>
        <v>0</v>
      </c>
      <c r="J1648" s="185" t="str">
        <f>IFERROR(VLOOKUP(A1648,Ativos!$A$1:$G2000,5,),"")</f>
        <v/>
      </c>
      <c r="K1648" s="185" t="str">
        <f>IFERROR(VLOOKUP(A1648,Ativos!A:H,8,),"")</f>
        <v/>
      </c>
      <c r="L1648" s="186">
        <f t="shared" si="3"/>
        <v>0</v>
      </c>
    </row>
    <row r="1649" ht="21.0" customHeight="1">
      <c r="A1649" s="187"/>
      <c r="B1649" s="187"/>
      <c r="C1649" s="188"/>
      <c r="D1649" s="135"/>
      <c r="E1649" s="189"/>
      <c r="F1649" s="182" t="str">
        <f t="shared" si="1"/>
        <v/>
      </c>
      <c r="G1649" s="183">
        <f>IFERROR(__xludf.DUMMYFUNCTION("IFERROR(lookup(9999999999,FILTER('Operações-BR'!$M:$M,'Operações-BR'!$C:$C=A1649,'Operações-BR'!$A:$A&lt;=C1649)),0)"),0.0)</f>
        <v>0</v>
      </c>
      <c r="H1649" s="184">
        <f t="shared" si="2"/>
        <v>0</v>
      </c>
      <c r="I1649" s="184">
        <f>IFERROR(__xludf.DUMMYFUNCTION("IFERROR(lookup(9999999999,FILTER('Operações-BR'!Q:Q,'Operações-BR'!$C:$C=A1649,'Operações-BR'!$A:$A&lt;=C1649))/G1649,0)"),0.0)</f>
        <v>0</v>
      </c>
      <c r="J1649" s="185" t="str">
        <f>IFERROR(VLOOKUP(A1649,Ativos!$A$1:$G2000,5,),"")</f>
        <v/>
      </c>
      <c r="K1649" s="185" t="str">
        <f>IFERROR(VLOOKUP(A1649,Ativos!A:H,8,),"")</f>
        <v/>
      </c>
      <c r="L1649" s="186">
        <f t="shared" si="3"/>
        <v>0</v>
      </c>
    </row>
    <row r="1650" ht="21.0" customHeight="1">
      <c r="A1650" s="187"/>
      <c r="B1650" s="187"/>
      <c r="C1650" s="188"/>
      <c r="D1650" s="135"/>
      <c r="E1650" s="189"/>
      <c r="F1650" s="182" t="str">
        <f t="shared" si="1"/>
        <v/>
      </c>
      <c r="G1650" s="183">
        <f>IFERROR(__xludf.DUMMYFUNCTION("IFERROR(lookup(9999999999,FILTER('Operações-BR'!$M:$M,'Operações-BR'!$C:$C=A1650,'Operações-BR'!$A:$A&lt;=C1650)),0)"),0.0)</f>
        <v>0</v>
      </c>
      <c r="H1650" s="184">
        <f t="shared" si="2"/>
        <v>0</v>
      </c>
      <c r="I1650" s="184">
        <f>IFERROR(__xludf.DUMMYFUNCTION("IFERROR(lookup(9999999999,FILTER('Operações-BR'!Q:Q,'Operações-BR'!$C:$C=A1650,'Operações-BR'!$A:$A&lt;=C1650))/G1650,0)"),0.0)</f>
        <v>0</v>
      </c>
      <c r="J1650" s="185" t="str">
        <f>IFERROR(VLOOKUP(A1650,Ativos!$A$1:$G2000,5,),"")</f>
        <v/>
      </c>
      <c r="K1650" s="185" t="str">
        <f>IFERROR(VLOOKUP(A1650,Ativos!A:H,8,),"")</f>
        <v/>
      </c>
      <c r="L1650" s="186">
        <f t="shared" si="3"/>
        <v>0</v>
      </c>
    </row>
    <row r="1651" ht="21.0" customHeight="1">
      <c r="A1651" s="187"/>
      <c r="B1651" s="187"/>
      <c r="C1651" s="188"/>
      <c r="D1651" s="135"/>
      <c r="E1651" s="189"/>
      <c r="F1651" s="182" t="str">
        <f t="shared" si="1"/>
        <v/>
      </c>
      <c r="G1651" s="183">
        <f>IFERROR(__xludf.DUMMYFUNCTION("IFERROR(lookup(9999999999,FILTER('Operações-BR'!$M:$M,'Operações-BR'!$C:$C=A1651,'Operações-BR'!$A:$A&lt;=C1651)),0)"),0.0)</f>
        <v>0</v>
      </c>
      <c r="H1651" s="184">
        <f t="shared" si="2"/>
        <v>0</v>
      </c>
      <c r="I1651" s="184">
        <f>IFERROR(__xludf.DUMMYFUNCTION("IFERROR(lookup(9999999999,FILTER('Operações-BR'!Q:Q,'Operações-BR'!$C:$C=A1651,'Operações-BR'!$A:$A&lt;=C1651))/G1651,0)"),0.0)</f>
        <v>0</v>
      </c>
      <c r="J1651" s="185" t="str">
        <f>IFERROR(VLOOKUP(A1651,Ativos!$A$1:$G2000,5,),"")</f>
        <v/>
      </c>
      <c r="K1651" s="185" t="str">
        <f>IFERROR(VLOOKUP(A1651,Ativos!A:H,8,),"")</f>
        <v/>
      </c>
      <c r="L1651" s="186">
        <f t="shared" si="3"/>
        <v>0</v>
      </c>
    </row>
    <row r="1652" ht="21.0" customHeight="1">
      <c r="A1652" s="187"/>
      <c r="B1652" s="187"/>
      <c r="C1652" s="188"/>
      <c r="D1652" s="135"/>
      <c r="E1652" s="189"/>
      <c r="F1652" s="182" t="str">
        <f t="shared" si="1"/>
        <v/>
      </c>
      <c r="G1652" s="183">
        <f>IFERROR(__xludf.DUMMYFUNCTION("IFERROR(lookup(9999999999,FILTER('Operações-BR'!$M:$M,'Operações-BR'!$C:$C=A1652,'Operações-BR'!$A:$A&lt;=C1652)),0)"),0.0)</f>
        <v>0</v>
      </c>
      <c r="H1652" s="184">
        <f t="shared" si="2"/>
        <v>0</v>
      </c>
      <c r="I1652" s="184">
        <f>IFERROR(__xludf.DUMMYFUNCTION("IFERROR(lookup(9999999999,FILTER('Operações-BR'!Q:Q,'Operações-BR'!$C:$C=A1652,'Operações-BR'!$A:$A&lt;=C1652))/G1652,0)"),0.0)</f>
        <v>0</v>
      </c>
      <c r="J1652" s="185" t="str">
        <f>IFERROR(VLOOKUP(A1652,Ativos!$A$1:$G2000,5,),"")</f>
        <v/>
      </c>
      <c r="K1652" s="185" t="str">
        <f>IFERROR(VLOOKUP(A1652,Ativos!A:H,8,),"")</f>
        <v/>
      </c>
      <c r="L1652" s="186">
        <f t="shared" si="3"/>
        <v>0</v>
      </c>
    </row>
    <row r="1653" ht="21.0" customHeight="1">
      <c r="A1653" s="187"/>
      <c r="B1653" s="187"/>
      <c r="C1653" s="188"/>
      <c r="D1653" s="135"/>
      <c r="E1653" s="189"/>
      <c r="F1653" s="182" t="str">
        <f t="shared" si="1"/>
        <v/>
      </c>
      <c r="G1653" s="183">
        <f>IFERROR(__xludf.DUMMYFUNCTION("IFERROR(lookup(9999999999,FILTER('Operações-BR'!$M:$M,'Operações-BR'!$C:$C=A1653,'Operações-BR'!$A:$A&lt;=C1653)),0)"),0.0)</f>
        <v>0</v>
      </c>
      <c r="H1653" s="184">
        <f t="shared" si="2"/>
        <v>0</v>
      </c>
      <c r="I1653" s="184">
        <f>IFERROR(__xludf.DUMMYFUNCTION("IFERROR(lookup(9999999999,FILTER('Operações-BR'!Q:Q,'Operações-BR'!$C:$C=A1653,'Operações-BR'!$A:$A&lt;=C1653))/G1653,0)"),0.0)</f>
        <v>0</v>
      </c>
      <c r="J1653" s="185" t="str">
        <f>IFERROR(VLOOKUP(A1653,Ativos!$A$1:$G2000,5,),"")</f>
        <v/>
      </c>
      <c r="K1653" s="185" t="str">
        <f>IFERROR(VLOOKUP(A1653,Ativos!A:H,8,),"")</f>
        <v/>
      </c>
      <c r="L1653" s="186">
        <f t="shared" si="3"/>
        <v>0</v>
      </c>
    </row>
    <row r="1654" ht="21.0" customHeight="1">
      <c r="A1654" s="187"/>
      <c r="B1654" s="187"/>
      <c r="C1654" s="188"/>
      <c r="D1654" s="135"/>
      <c r="E1654" s="189"/>
      <c r="F1654" s="182" t="str">
        <f t="shared" si="1"/>
        <v/>
      </c>
      <c r="G1654" s="183">
        <f>IFERROR(__xludf.DUMMYFUNCTION("IFERROR(lookup(9999999999,FILTER('Operações-BR'!$M:$M,'Operações-BR'!$C:$C=A1654,'Operações-BR'!$A:$A&lt;=C1654)),0)"),0.0)</f>
        <v>0</v>
      </c>
      <c r="H1654" s="184">
        <f t="shared" si="2"/>
        <v>0</v>
      </c>
      <c r="I1654" s="184">
        <f>IFERROR(__xludf.DUMMYFUNCTION("IFERROR(lookup(9999999999,FILTER('Operações-BR'!Q:Q,'Operações-BR'!$C:$C=A1654,'Operações-BR'!$A:$A&lt;=C1654))/G1654,0)"),0.0)</f>
        <v>0</v>
      </c>
      <c r="J1654" s="185" t="str">
        <f>IFERROR(VLOOKUP(A1654,Ativos!$A$1:$G2000,5,),"")</f>
        <v/>
      </c>
      <c r="K1654" s="185" t="str">
        <f>IFERROR(VLOOKUP(A1654,Ativos!A:H,8,),"")</f>
        <v/>
      </c>
      <c r="L1654" s="186">
        <f t="shared" si="3"/>
        <v>0</v>
      </c>
    </row>
    <row r="1655" ht="21.0" customHeight="1">
      <c r="A1655" s="187"/>
      <c r="B1655" s="187"/>
      <c r="C1655" s="188"/>
      <c r="D1655" s="135"/>
      <c r="E1655" s="189"/>
      <c r="F1655" s="182" t="str">
        <f t="shared" si="1"/>
        <v/>
      </c>
      <c r="G1655" s="183">
        <f>IFERROR(__xludf.DUMMYFUNCTION("IFERROR(lookup(9999999999,FILTER('Operações-BR'!$M:$M,'Operações-BR'!$C:$C=A1655,'Operações-BR'!$A:$A&lt;=C1655)),0)"),0.0)</f>
        <v>0</v>
      </c>
      <c r="H1655" s="184">
        <f t="shared" si="2"/>
        <v>0</v>
      </c>
      <c r="I1655" s="184">
        <f>IFERROR(__xludf.DUMMYFUNCTION("IFERROR(lookup(9999999999,FILTER('Operações-BR'!Q:Q,'Operações-BR'!$C:$C=A1655,'Operações-BR'!$A:$A&lt;=C1655))/G1655,0)"),0.0)</f>
        <v>0</v>
      </c>
      <c r="J1655" s="185" t="str">
        <f>IFERROR(VLOOKUP(A1655,Ativos!$A$1:$G2000,5,),"")</f>
        <v/>
      </c>
      <c r="K1655" s="185" t="str">
        <f>IFERROR(VLOOKUP(A1655,Ativos!A:H,8,),"")</f>
        <v/>
      </c>
      <c r="L1655" s="186">
        <f t="shared" si="3"/>
        <v>0</v>
      </c>
    </row>
    <row r="1656" ht="21.0" customHeight="1">
      <c r="A1656" s="187"/>
      <c r="B1656" s="187"/>
      <c r="C1656" s="188"/>
      <c r="D1656" s="135"/>
      <c r="E1656" s="189"/>
      <c r="F1656" s="182" t="str">
        <f t="shared" si="1"/>
        <v/>
      </c>
      <c r="G1656" s="183">
        <f>IFERROR(__xludf.DUMMYFUNCTION("IFERROR(lookup(9999999999,FILTER('Operações-BR'!$M:$M,'Operações-BR'!$C:$C=A1656,'Operações-BR'!$A:$A&lt;=C1656)),0)"),0.0)</f>
        <v>0</v>
      </c>
      <c r="H1656" s="184">
        <f t="shared" si="2"/>
        <v>0</v>
      </c>
      <c r="I1656" s="184">
        <f>IFERROR(__xludf.DUMMYFUNCTION("IFERROR(lookup(9999999999,FILTER('Operações-BR'!Q:Q,'Operações-BR'!$C:$C=A1656,'Operações-BR'!$A:$A&lt;=C1656))/G1656,0)"),0.0)</f>
        <v>0</v>
      </c>
      <c r="J1656" s="185" t="str">
        <f>IFERROR(VLOOKUP(A1656,Ativos!$A$1:$G2000,5,),"")</f>
        <v/>
      </c>
      <c r="K1656" s="185" t="str">
        <f>IFERROR(VLOOKUP(A1656,Ativos!A:H,8,),"")</f>
        <v/>
      </c>
      <c r="L1656" s="186">
        <f t="shared" si="3"/>
        <v>0</v>
      </c>
    </row>
    <row r="1657" ht="21.0" customHeight="1">
      <c r="A1657" s="187"/>
      <c r="B1657" s="187"/>
      <c r="C1657" s="188"/>
      <c r="D1657" s="135"/>
      <c r="E1657" s="189"/>
      <c r="F1657" s="182" t="str">
        <f t="shared" si="1"/>
        <v/>
      </c>
      <c r="G1657" s="183">
        <f>IFERROR(__xludf.DUMMYFUNCTION("IFERROR(lookup(9999999999,FILTER('Operações-BR'!$M:$M,'Operações-BR'!$C:$C=A1657,'Operações-BR'!$A:$A&lt;=C1657)),0)"),0.0)</f>
        <v>0</v>
      </c>
      <c r="H1657" s="184">
        <f t="shared" si="2"/>
        <v>0</v>
      </c>
      <c r="I1657" s="184">
        <f>IFERROR(__xludf.DUMMYFUNCTION("IFERROR(lookup(9999999999,FILTER('Operações-BR'!Q:Q,'Operações-BR'!$C:$C=A1657,'Operações-BR'!$A:$A&lt;=C1657))/G1657,0)"),0.0)</f>
        <v>0</v>
      </c>
      <c r="J1657" s="185" t="str">
        <f>IFERROR(VLOOKUP(A1657,Ativos!$A$1:$G2000,5,),"")</f>
        <v/>
      </c>
      <c r="K1657" s="185" t="str">
        <f>IFERROR(VLOOKUP(A1657,Ativos!A:H,8,),"")</f>
        <v/>
      </c>
      <c r="L1657" s="186">
        <f t="shared" si="3"/>
        <v>0</v>
      </c>
    </row>
    <row r="1658" ht="21.0" customHeight="1">
      <c r="A1658" s="187"/>
      <c r="B1658" s="187"/>
      <c r="C1658" s="188"/>
      <c r="D1658" s="135"/>
      <c r="E1658" s="189"/>
      <c r="F1658" s="182" t="str">
        <f t="shared" si="1"/>
        <v/>
      </c>
      <c r="G1658" s="183">
        <f>IFERROR(__xludf.DUMMYFUNCTION("IFERROR(lookup(9999999999,FILTER('Operações-BR'!$M:$M,'Operações-BR'!$C:$C=A1658,'Operações-BR'!$A:$A&lt;=C1658)),0)"),0.0)</f>
        <v>0</v>
      </c>
      <c r="H1658" s="184">
        <f t="shared" si="2"/>
        <v>0</v>
      </c>
      <c r="I1658" s="184">
        <f>IFERROR(__xludf.DUMMYFUNCTION("IFERROR(lookup(9999999999,FILTER('Operações-BR'!Q:Q,'Operações-BR'!$C:$C=A1658,'Operações-BR'!$A:$A&lt;=C1658))/G1658,0)"),0.0)</f>
        <v>0</v>
      </c>
      <c r="J1658" s="185" t="str">
        <f>IFERROR(VLOOKUP(A1658,Ativos!$A$1:$G2000,5,),"")</f>
        <v/>
      </c>
      <c r="K1658" s="185" t="str">
        <f>IFERROR(VLOOKUP(A1658,Ativos!A:H,8,),"")</f>
        <v/>
      </c>
      <c r="L1658" s="186">
        <f t="shared" si="3"/>
        <v>0</v>
      </c>
    </row>
    <row r="1659" ht="21.0" customHeight="1">
      <c r="A1659" s="187"/>
      <c r="B1659" s="187"/>
      <c r="C1659" s="188"/>
      <c r="D1659" s="135"/>
      <c r="E1659" s="189"/>
      <c r="F1659" s="182" t="str">
        <f t="shared" si="1"/>
        <v/>
      </c>
      <c r="G1659" s="183">
        <f>IFERROR(__xludf.DUMMYFUNCTION("IFERROR(lookup(9999999999,FILTER('Operações-BR'!$M:$M,'Operações-BR'!$C:$C=A1659,'Operações-BR'!$A:$A&lt;=C1659)),0)"),0.0)</f>
        <v>0</v>
      </c>
      <c r="H1659" s="184">
        <f t="shared" si="2"/>
        <v>0</v>
      </c>
      <c r="I1659" s="184">
        <f>IFERROR(__xludf.DUMMYFUNCTION("IFERROR(lookup(9999999999,FILTER('Operações-BR'!Q:Q,'Operações-BR'!$C:$C=A1659,'Operações-BR'!$A:$A&lt;=C1659))/G1659,0)"),0.0)</f>
        <v>0</v>
      </c>
      <c r="J1659" s="185" t="str">
        <f>IFERROR(VLOOKUP(A1659,Ativos!$A$1:$G2000,5,),"")</f>
        <v/>
      </c>
      <c r="K1659" s="185" t="str">
        <f>IFERROR(VLOOKUP(A1659,Ativos!A:H,8,),"")</f>
        <v/>
      </c>
      <c r="L1659" s="186">
        <f t="shared" si="3"/>
        <v>0</v>
      </c>
    </row>
    <row r="1660" ht="21.0" customHeight="1">
      <c r="A1660" s="187"/>
      <c r="B1660" s="187"/>
      <c r="C1660" s="188"/>
      <c r="D1660" s="135"/>
      <c r="E1660" s="189"/>
      <c r="F1660" s="182" t="str">
        <f t="shared" si="1"/>
        <v/>
      </c>
      <c r="G1660" s="183">
        <f>IFERROR(__xludf.DUMMYFUNCTION("IFERROR(lookup(9999999999,FILTER('Operações-BR'!$M:$M,'Operações-BR'!$C:$C=A1660,'Operações-BR'!$A:$A&lt;=C1660)),0)"),0.0)</f>
        <v>0</v>
      </c>
      <c r="H1660" s="184">
        <f t="shared" si="2"/>
        <v>0</v>
      </c>
      <c r="I1660" s="184">
        <f>IFERROR(__xludf.DUMMYFUNCTION("IFERROR(lookup(9999999999,FILTER('Operações-BR'!Q:Q,'Operações-BR'!$C:$C=A1660,'Operações-BR'!$A:$A&lt;=C1660))/G1660,0)"),0.0)</f>
        <v>0</v>
      </c>
      <c r="J1660" s="185" t="str">
        <f>IFERROR(VLOOKUP(A1660,Ativos!$A$1:$G2000,5,),"")</f>
        <v/>
      </c>
      <c r="K1660" s="185" t="str">
        <f>IFERROR(VLOOKUP(A1660,Ativos!A:H,8,),"")</f>
        <v/>
      </c>
      <c r="L1660" s="186">
        <f t="shared" si="3"/>
        <v>0</v>
      </c>
    </row>
    <row r="1661" ht="21.0" customHeight="1">
      <c r="A1661" s="187"/>
      <c r="B1661" s="187"/>
      <c r="C1661" s="188"/>
      <c r="D1661" s="135"/>
      <c r="E1661" s="189"/>
      <c r="F1661" s="182" t="str">
        <f t="shared" si="1"/>
        <v/>
      </c>
      <c r="G1661" s="183">
        <f>IFERROR(__xludf.DUMMYFUNCTION("IFERROR(lookup(9999999999,FILTER('Operações-BR'!$M:$M,'Operações-BR'!$C:$C=A1661,'Operações-BR'!$A:$A&lt;=C1661)),0)"),0.0)</f>
        <v>0</v>
      </c>
      <c r="H1661" s="184">
        <f t="shared" si="2"/>
        <v>0</v>
      </c>
      <c r="I1661" s="184">
        <f>IFERROR(__xludf.DUMMYFUNCTION("IFERROR(lookup(9999999999,FILTER('Operações-BR'!Q:Q,'Operações-BR'!$C:$C=A1661,'Operações-BR'!$A:$A&lt;=C1661))/G1661,0)"),0.0)</f>
        <v>0</v>
      </c>
      <c r="J1661" s="185" t="str">
        <f>IFERROR(VLOOKUP(A1661,Ativos!$A$1:$G2000,5,),"")</f>
        <v/>
      </c>
      <c r="K1661" s="185" t="str">
        <f>IFERROR(VLOOKUP(A1661,Ativos!A:H,8,),"")</f>
        <v/>
      </c>
      <c r="L1661" s="186">
        <f t="shared" si="3"/>
        <v>0</v>
      </c>
    </row>
    <row r="1662" ht="21.0" customHeight="1">
      <c r="A1662" s="187"/>
      <c r="B1662" s="187"/>
      <c r="C1662" s="188"/>
      <c r="D1662" s="135"/>
      <c r="E1662" s="189"/>
      <c r="F1662" s="182" t="str">
        <f t="shared" si="1"/>
        <v/>
      </c>
      <c r="G1662" s="183">
        <f>IFERROR(__xludf.DUMMYFUNCTION("IFERROR(lookup(9999999999,FILTER('Operações-BR'!$M:$M,'Operações-BR'!$C:$C=A1662,'Operações-BR'!$A:$A&lt;=C1662)),0)"),0.0)</f>
        <v>0</v>
      </c>
      <c r="H1662" s="184">
        <f t="shared" si="2"/>
        <v>0</v>
      </c>
      <c r="I1662" s="184">
        <f>IFERROR(__xludf.DUMMYFUNCTION("IFERROR(lookup(9999999999,FILTER('Operações-BR'!Q:Q,'Operações-BR'!$C:$C=A1662,'Operações-BR'!$A:$A&lt;=C1662))/G1662,0)"),0.0)</f>
        <v>0</v>
      </c>
      <c r="J1662" s="185" t="str">
        <f>IFERROR(VLOOKUP(A1662,Ativos!$A$1:$G2000,5,),"")</f>
        <v/>
      </c>
      <c r="K1662" s="185" t="str">
        <f>IFERROR(VLOOKUP(A1662,Ativos!A:H,8,),"")</f>
        <v/>
      </c>
      <c r="L1662" s="186">
        <f t="shared" si="3"/>
        <v>0</v>
      </c>
    </row>
    <row r="1663" ht="21.0" customHeight="1">
      <c r="A1663" s="187"/>
      <c r="B1663" s="187"/>
      <c r="C1663" s="188"/>
      <c r="D1663" s="135"/>
      <c r="E1663" s="189"/>
      <c r="F1663" s="182" t="str">
        <f t="shared" si="1"/>
        <v/>
      </c>
      <c r="G1663" s="183">
        <f>IFERROR(__xludf.DUMMYFUNCTION("IFERROR(lookup(9999999999,FILTER('Operações-BR'!$M:$M,'Operações-BR'!$C:$C=A1663,'Operações-BR'!$A:$A&lt;=C1663)),0)"),0.0)</f>
        <v>0</v>
      </c>
      <c r="H1663" s="184">
        <f t="shared" si="2"/>
        <v>0</v>
      </c>
      <c r="I1663" s="184">
        <f>IFERROR(__xludf.DUMMYFUNCTION("IFERROR(lookup(9999999999,FILTER('Operações-BR'!Q:Q,'Operações-BR'!$C:$C=A1663,'Operações-BR'!$A:$A&lt;=C1663))/G1663,0)"),0.0)</f>
        <v>0</v>
      </c>
      <c r="J1663" s="185" t="str">
        <f>IFERROR(VLOOKUP(A1663,Ativos!$A$1:$G2000,5,),"")</f>
        <v/>
      </c>
      <c r="K1663" s="185" t="str">
        <f>IFERROR(VLOOKUP(A1663,Ativos!A:H,8,),"")</f>
        <v/>
      </c>
      <c r="L1663" s="186">
        <f t="shared" si="3"/>
        <v>0</v>
      </c>
    </row>
    <row r="1664" ht="21.0" customHeight="1">
      <c r="A1664" s="187"/>
      <c r="B1664" s="187"/>
      <c r="C1664" s="188"/>
      <c r="D1664" s="135"/>
      <c r="E1664" s="189"/>
      <c r="F1664" s="182" t="str">
        <f t="shared" si="1"/>
        <v/>
      </c>
      <c r="G1664" s="183">
        <f>IFERROR(__xludf.DUMMYFUNCTION("IFERROR(lookup(9999999999,FILTER('Operações-BR'!$M:$M,'Operações-BR'!$C:$C=A1664,'Operações-BR'!$A:$A&lt;=C1664)),0)"),0.0)</f>
        <v>0</v>
      </c>
      <c r="H1664" s="184">
        <f t="shared" si="2"/>
        <v>0</v>
      </c>
      <c r="I1664" s="184">
        <f>IFERROR(__xludf.DUMMYFUNCTION("IFERROR(lookup(9999999999,FILTER('Operações-BR'!Q:Q,'Operações-BR'!$C:$C=A1664,'Operações-BR'!$A:$A&lt;=C1664))/G1664,0)"),0.0)</f>
        <v>0</v>
      </c>
      <c r="J1664" s="185" t="str">
        <f>IFERROR(VLOOKUP(A1664,Ativos!$A$1:$G2000,5,),"")</f>
        <v/>
      </c>
      <c r="K1664" s="185" t="str">
        <f>IFERROR(VLOOKUP(A1664,Ativos!A:H,8,),"")</f>
        <v/>
      </c>
      <c r="L1664" s="186">
        <f t="shared" si="3"/>
        <v>0</v>
      </c>
    </row>
    <row r="1665" ht="21.0" customHeight="1">
      <c r="A1665" s="187"/>
      <c r="B1665" s="187"/>
      <c r="C1665" s="188"/>
      <c r="D1665" s="135"/>
      <c r="E1665" s="189"/>
      <c r="F1665" s="182" t="str">
        <f t="shared" si="1"/>
        <v/>
      </c>
      <c r="G1665" s="183">
        <f>IFERROR(__xludf.DUMMYFUNCTION("IFERROR(lookup(9999999999,FILTER('Operações-BR'!$M:$M,'Operações-BR'!$C:$C=A1665,'Operações-BR'!$A:$A&lt;=C1665)),0)"),0.0)</f>
        <v>0</v>
      </c>
      <c r="H1665" s="184">
        <f t="shared" si="2"/>
        <v>0</v>
      </c>
      <c r="I1665" s="184">
        <f>IFERROR(__xludf.DUMMYFUNCTION("IFERROR(lookup(9999999999,FILTER('Operações-BR'!Q:Q,'Operações-BR'!$C:$C=A1665,'Operações-BR'!$A:$A&lt;=C1665))/G1665,0)"),0.0)</f>
        <v>0</v>
      </c>
      <c r="J1665" s="185" t="str">
        <f>IFERROR(VLOOKUP(A1665,Ativos!$A$1:$G2000,5,),"")</f>
        <v/>
      </c>
      <c r="K1665" s="185" t="str">
        <f>IFERROR(VLOOKUP(A1665,Ativos!A:H,8,),"")</f>
        <v/>
      </c>
      <c r="L1665" s="186">
        <f t="shared" si="3"/>
        <v>0</v>
      </c>
    </row>
    <row r="1666" ht="21.0" customHeight="1">
      <c r="A1666" s="187"/>
      <c r="B1666" s="187"/>
      <c r="C1666" s="188"/>
      <c r="D1666" s="135"/>
      <c r="E1666" s="189"/>
      <c r="F1666" s="182" t="str">
        <f t="shared" si="1"/>
        <v/>
      </c>
      <c r="G1666" s="183">
        <f>IFERROR(__xludf.DUMMYFUNCTION("IFERROR(lookup(9999999999,FILTER('Operações-BR'!$M:$M,'Operações-BR'!$C:$C=A1666,'Operações-BR'!$A:$A&lt;=C1666)),0)"),0.0)</f>
        <v>0</v>
      </c>
      <c r="H1666" s="184">
        <f t="shared" si="2"/>
        <v>0</v>
      </c>
      <c r="I1666" s="184">
        <f>IFERROR(__xludf.DUMMYFUNCTION("IFERROR(lookup(9999999999,FILTER('Operações-BR'!Q:Q,'Operações-BR'!$C:$C=A1666,'Operações-BR'!$A:$A&lt;=C1666))/G1666,0)"),0.0)</f>
        <v>0</v>
      </c>
      <c r="J1666" s="185" t="str">
        <f>IFERROR(VLOOKUP(A1666,Ativos!$A$1:$G2000,5,),"")</f>
        <v/>
      </c>
      <c r="K1666" s="185" t="str">
        <f>IFERROR(VLOOKUP(A1666,Ativos!A:H,8,),"")</f>
        <v/>
      </c>
      <c r="L1666" s="186">
        <f t="shared" si="3"/>
        <v>0</v>
      </c>
    </row>
    <row r="1667" ht="21.0" customHeight="1">
      <c r="A1667" s="187"/>
      <c r="B1667" s="187"/>
      <c r="C1667" s="188"/>
      <c r="D1667" s="135"/>
      <c r="E1667" s="189"/>
      <c r="F1667" s="182" t="str">
        <f t="shared" si="1"/>
        <v/>
      </c>
      <c r="G1667" s="183">
        <f>IFERROR(__xludf.DUMMYFUNCTION("IFERROR(lookup(9999999999,FILTER('Operações-BR'!$M:$M,'Operações-BR'!$C:$C=A1667,'Operações-BR'!$A:$A&lt;=C1667)),0)"),0.0)</f>
        <v>0</v>
      </c>
      <c r="H1667" s="184">
        <f t="shared" si="2"/>
        <v>0</v>
      </c>
      <c r="I1667" s="184">
        <f>IFERROR(__xludf.DUMMYFUNCTION("IFERROR(lookup(9999999999,FILTER('Operações-BR'!Q:Q,'Operações-BR'!$C:$C=A1667,'Operações-BR'!$A:$A&lt;=C1667))/G1667,0)"),0.0)</f>
        <v>0</v>
      </c>
      <c r="J1667" s="185" t="str">
        <f>IFERROR(VLOOKUP(A1667,Ativos!$A$1:$G2000,5,),"")</f>
        <v/>
      </c>
      <c r="K1667" s="185" t="str">
        <f>IFERROR(VLOOKUP(A1667,Ativos!A:H,8,),"")</f>
        <v/>
      </c>
      <c r="L1667" s="186">
        <f t="shared" si="3"/>
        <v>0</v>
      </c>
    </row>
    <row r="1668" ht="21.0" customHeight="1">
      <c r="A1668" s="187"/>
      <c r="B1668" s="187"/>
      <c r="C1668" s="188"/>
      <c r="D1668" s="135"/>
      <c r="E1668" s="189"/>
      <c r="F1668" s="182" t="str">
        <f t="shared" si="1"/>
        <v/>
      </c>
      <c r="G1668" s="183">
        <f>IFERROR(__xludf.DUMMYFUNCTION("IFERROR(lookup(9999999999,FILTER('Operações-BR'!$M:$M,'Operações-BR'!$C:$C=A1668,'Operações-BR'!$A:$A&lt;=C1668)),0)"),0.0)</f>
        <v>0</v>
      </c>
      <c r="H1668" s="184">
        <f t="shared" si="2"/>
        <v>0</v>
      </c>
      <c r="I1668" s="184">
        <f>IFERROR(__xludf.DUMMYFUNCTION("IFERROR(lookup(9999999999,FILTER('Operações-BR'!Q:Q,'Operações-BR'!$C:$C=A1668,'Operações-BR'!$A:$A&lt;=C1668))/G1668,0)"),0.0)</f>
        <v>0</v>
      </c>
      <c r="J1668" s="185" t="str">
        <f>IFERROR(VLOOKUP(A1668,Ativos!$A$1:$G2000,5,),"")</f>
        <v/>
      </c>
      <c r="K1668" s="185" t="str">
        <f>IFERROR(VLOOKUP(A1668,Ativos!A:H,8,),"")</f>
        <v/>
      </c>
      <c r="L1668" s="186">
        <f t="shared" si="3"/>
        <v>0</v>
      </c>
    </row>
    <row r="1669" ht="21.0" customHeight="1">
      <c r="A1669" s="187"/>
      <c r="B1669" s="187"/>
      <c r="C1669" s="188"/>
      <c r="D1669" s="135"/>
      <c r="E1669" s="189"/>
      <c r="F1669" s="182" t="str">
        <f t="shared" si="1"/>
        <v/>
      </c>
      <c r="G1669" s="183">
        <f>IFERROR(__xludf.DUMMYFUNCTION("IFERROR(lookup(9999999999,FILTER('Operações-BR'!$M:$M,'Operações-BR'!$C:$C=A1669,'Operações-BR'!$A:$A&lt;=C1669)),0)"),0.0)</f>
        <v>0</v>
      </c>
      <c r="H1669" s="184">
        <f t="shared" si="2"/>
        <v>0</v>
      </c>
      <c r="I1669" s="184">
        <f>IFERROR(__xludf.DUMMYFUNCTION("IFERROR(lookup(9999999999,FILTER('Operações-BR'!Q:Q,'Operações-BR'!$C:$C=A1669,'Operações-BR'!$A:$A&lt;=C1669))/G1669,0)"),0.0)</f>
        <v>0</v>
      </c>
      <c r="J1669" s="185" t="str">
        <f>IFERROR(VLOOKUP(A1669,Ativos!$A$1:$G2000,5,),"")</f>
        <v/>
      </c>
      <c r="K1669" s="185" t="str">
        <f>IFERROR(VLOOKUP(A1669,Ativos!A:H,8,),"")</f>
        <v/>
      </c>
      <c r="L1669" s="186">
        <f t="shared" si="3"/>
        <v>0</v>
      </c>
    </row>
    <row r="1670" ht="21.0" customHeight="1">
      <c r="A1670" s="187"/>
      <c r="B1670" s="187"/>
      <c r="C1670" s="188"/>
      <c r="D1670" s="135"/>
      <c r="E1670" s="189"/>
      <c r="F1670" s="182" t="str">
        <f t="shared" si="1"/>
        <v/>
      </c>
      <c r="G1670" s="183">
        <f>IFERROR(__xludf.DUMMYFUNCTION("IFERROR(lookup(9999999999,FILTER('Operações-BR'!$M:$M,'Operações-BR'!$C:$C=A1670,'Operações-BR'!$A:$A&lt;=C1670)),0)"),0.0)</f>
        <v>0</v>
      </c>
      <c r="H1670" s="184">
        <f t="shared" si="2"/>
        <v>0</v>
      </c>
      <c r="I1670" s="184">
        <f>IFERROR(__xludf.DUMMYFUNCTION("IFERROR(lookup(9999999999,FILTER('Operações-BR'!Q:Q,'Operações-BR'!$C:$C=A1670,'Operações-BR'!$A:$A&lt;=C1670))/G1670,0)"),0.0)</f>
        <v>0</v>
      </c>
      <c r="J1670" s="185" t="str">
        <f>IFERROR(VLOOKUP(A1670,Ativos!$A$1:$G2000,5,),"")</f>
        <v/>
      </c>
      <c r="K1670" s="185" t="str">
        <f>IFERROR(VLOOKUP(A1670,Ativos!A:H,8,),"")</f>
        <v/>
      </c>
      <c r="L1670" s="186">
        <f t="shared" si="3"/>
        <v>0</v>
      </c>
    </row>
    <row r="1671" ht="21.0" customHeight="1">
      <c r="A1671" s="187"/>
      <c r="B1671" s="187"/>
      <c r="C1671" s="188"/>
      <c r="D1671" s="135"/>
      <c r="E1671" s="189"/>
      <c r="F1671" s="182" t="str">
        <f t="shared" si="1"/>
        <v/>
      </c>
      <c r="G1671" s="183">
        <f>IFERROR(__xludf.DUMMYFUNCTION("IFERROR(lookup(9999999999,FILTER('Operações-BR'!$M:$M,'Operações-BR'!$C:$C=A1671,'Operações-BR'!$A:$A&lt;=C1671)),0)"),0.0)</f>
        <v>0</v>
      </c>
      <c r="H1671" s="184">
        <f t="shared" si="2"/>
        <v>0</v>
      </c>
      <c r="I1671" s="184">
        <f>IFERROR(__xludf.DUMMYFUNCTION("IFERROR(lookup(9999999999,FILTER('Operações-BR'!Q:Q,'Operações-BR'!$C:$C=A1671,'Operações-BR'!$A:$A&lt;=C1671))/G1671,0)"),0.0)</f>
        <v>0</v>
      </c>
      <c r="J1671" s="185" t="str">
        <f>IFERROR(VLOOKUP(A1671,Ativos!$A$1:$G2000,5,),"")</f>
        <v/>
      </c>
      <c r="K1671" s="185" t="str">
        <f>IFERROR(VLOOKUP(A1671,Ativos!A:H,8,),"")</f>
        <v/>
      </c>
      <c r="L1671" s="186">
        <f t="shared" si="3"/>
        <v>0</v>
      </c>
    </row>
    <row r="1672" ht="21.0" customHeight="1">
      <c r="A1672" s="187"/>
      <c r="B1672" s="187"/>
      <c r="C1672" s="188"/>
      <c r="D1672" s="135"/>
      <c r="E1672" s="189"/>
      <c r="F1672" s="182" t="str">
        <f t="shared" si="1"/>
        <v/>
      </c>
      <c r="G1672" s="183">
        <f>IFERROR(__xludf.DUMMYFUNCTION("IFERROR(lookup(9999999999,FILTER('Operações-BR'!$M:$M,'Operações-BR'!$C:$C=A1672,'Operações-BR'!$A:$A&lt;=C1672)),0)"),0.0)</f>
        <v>0</v>
      </c>
      <c r="H1672" s="184">
        <f t="shared" si="2"/>
        <v>0</v>
      </c>
      <c r="I1672" s="184">
        <f>IFERROR(__xludf.DUMMYFUNCTION("IFERROR(lookup(9999999999,FILTER('Operações-BR'!Q:Q,'Operações-BR'!$C:$C=A1672,'Operações-BR'!$A:$A&lt;=C1672))/G1672,0)"),0.0)</f>
        <v>0</v>
      </c>
      <c r="J1672" s="185" t="str">
        <f>IFERROR(VLOOKUP(A1672,Ativos!$A$1:$G2000,5,),"")</f>
        <v/>
      </c>
      <c r="K1672" s="185" t="str">
        <f>IFERROR(VLOOKUP(A1672,Ativos!A:H,8,),"")</f>
        <v/>
      </c>
      <c r="L1672" s="186">
        <f t="shared" si="3"/>
        <v>0</v>
      </c>
    </row>
    <row r="1673" ht="21.0" customHeight="1">
      <c r="A1673" s="187"/>
      <c r="B1673" s="187"/>
      <c r="C1673" s="188"/>
      <c r="D1673" s="135"/>
      <c r="E1673" s="189"/>
      <c r="F1673" s="182" t="str">
        <f t="shared" si="1"/>
        <v/>
      </c>
      <c r="G1673" s="183">
        <f>IFERROR(__xludf.DUMMYFUNCTION("IFERROR(lookup(9999999999,FILTER('Operações-BR'!$M:$M,'Operações-BR'!$C:$C=A1673,'Operações-BR'!$A:$A&lt;=C1673)),0)"),0.0)</f>
        <v>0</v>
      </c>
      <c r="H1673" s="184">
        <f t="shared" si="2"/>
        <v>0</v>
      </c>
      <c r="I1673" s="184">
        <f>IFERROR(__xludf.DUMMYFUNCTION("IFERROR(lookup(9999999999,FILTER('Operações-BR'!Q:Q,'Operações-BR'!$C:$C=A1673,'Operações-BR'!$A:$A&lt;=C1673))/G1673,0)"),0.0)</f>
        <v>0</v>
      </c>
      <c r="J1673" s="185" t="str">
        <f>IFERROR(VLOOKUP(A1673,Ativos!$A$1:$G2000,5,),"")</f>
        <v/>
      </c>
      <c r="K1673" s="185" t="str">
        <f>IFERROR(VLOOKUP(A1673,Ativos!A:H,8,),"")</f>
        <v/>
      </c>
      <c r="L1673" s="186">
        <f t="shared" si="3"/>
        <v>0</v>
      </c>
    </row>
    <row r="1674" ht="21.0" customHeight="1">
      <c r="A1674" s="187"/>
      <c r="B1674" s="187"/>
      <c r="C1674" s="188"/>
      <c r="D1674" s="135"/>
      <c r="E1674" s="189"/>
      <c r="F1674" s="182" t="str">
        <f t="shared" si="1"/>
        <v/>
      </c>
      <c r="G1674" s="183">
        <f>IFERROR(__xludf.DUMMYFUNCTION("IFERROR(lookup(9999999999,FILTER('Operações-BR'!$M:$M,'Operações-BR'!$C:$C=A1674,'Operações-BR'!$A:$A&lt;=C1674)),0)"),0.0)</f>
        <v>0</v>
      </c>
      <c r="H1674" s="184">
        <f t="shared" si="2"/>
        <v>0</v>
      </c>
      <c r="I1674" s="184">
        <f>IFERROR(__xludf.DUMMYFUNCTION("IFERROR(lookup(9999999999,FILTER('Operações-BR'!Q:Q,'Operações-BR'!$C:$C=A1674,'Operações-BR'!$A:$A&lt;=C1674))/G1674,0)"),0.0)</f>
        <v>0</v>
      </c>
      <c r="J1674" s="185" t="str">
        <f>IFERROR(VLOOKUP(A1674,Ativos!$A$1:$G2000,5,),"")</f>
        <v/>
      </c>
      <c r="K1674" s="185" t="str">
        <f>IFERROR(VLOOKUP(A1674,Ativos!A:H,8,),"")</f>
        <v/>
      </c>
      <c r="L1674" s="186">
        <f t="shared" si="3"/>
        <v>0</v>
      </c>
    </row>
    <row r="1675" ht="21.0" customHeight="1">
      <c r="A1675" s="187"/>
      <c r="B1675" s="187"/>
      <c r="C1675" s="188"/>
      <c r="D1675" s="135"/>
      <c r="E1675" s="189"/>
      <c r="F1675" s="182" t="str">
        <f t="shared" si="1"/>
        <v/>
      </c>
      <c r="G1675" s="183">
        <f>IFERROR(__xludf.DUMMYFUNCTION("IFERROR(lookup(9999999999,FILTER('Operações-BR'!$M:$M,'Operações-BR'!$C:$C=A1675,'Operações-BR'!$A:$A&lt;=C1675)),0)"),0.0)</f>
        <v>0</v>
      </c>
      <c r="H1675" s="184">
        <f t="shared" si="2"/>
        <v>0</v>
      </c>
      <c r="I1675" s="184">
        <f>IFERROR(__xludf.DUMMYFUNCTION("IFERROR(lookup(9999999999,FILTER('Operações-BR'!Q:Q,'Operações-BR'!$C:$C=A1675,'Operações-BR'!$A:$A&lt;=C1675))/G1675,0)"),0.0)</f>
        <v>0</v>
      </c>
      <c r="J1675" s="185" t="str">
        <f>IFERROR(VLOOKUP(A1675,Ativos!$A$1:$G2000,5,),"")</f>
        <v/>
      </c>
      <c r="K1675" s="185" t="str">
        <f>IFERROR(VLOOKUP(A1675,Ativos!A:H,8,),"")</f>
        <v/>
      </c>
      <c r="L1675" s="186">
        <f t="shared" si="3"/>
        <v>0</v>
      </c>
    </row>
    <row r="1676" ht="21.0" customHeight="1">
      <c r="A1676" s="187"/>
      <c r="B1676" s="187"/>
      <c r="C1676" s="188"/>
      <c r="D1676" s="135"/>
      <c r="E1676" s="189"/>
      <c r="F1676" s="182" t="str">
        <f t="shared" si="1"/>
        <v/>
      </c>
      <c r="G1676" s="183">
        <f>IFERROR(__xludf.DUMMYFUNCTION("IFERROR(lookup(9999999999,FILTER('Operações-BR'!$M:$M,'Operações-BR'!$C:$C=A1676,'Operações-BR'!$A:$A&lt;=C1676)),0)"),0.0)</f>
        <v>0</v>
      </c>
      <c r="H1676" s="184">
        <f t="shared" si="2"/>
        <v>0</v>
      </c>
      <c r="I1676" s="184">
        <f>IFERROR(__xludf.DUMMYFUNCTION("IFERROR(lookup(9999999999,FILTER('Operações-BR'!Q:Q,'Operações-BR'!$C:$C=A1676,'Operações-BR'!$A:$A&lt;=C1676))/G1676,0)"),0.0)</f>
        <v>0</v>
      </c>
      <c r="J1676" s="185" t="str">
        <f>IFERROR(VLOOKUP(A1676,Ativos!$A$1:$G2000,5,),"")</f>
        <v/>
      </c>
      <c r="K1676" s="185" t="str">
        <f>IFERROR(VLOOKUP(A1676,Ativos!A:H,8,),"")</f>
        <v/>
      </c>
      <c r="L1676" s="186">
        <f t="shared" si="3"/>
        <v>0</v>
      </c>
    </row>
    <row r="1677" ht="21.0" customHeight="1">
      <c r="A1677" s="187"/>
      <c r="B1677" s="187"/>
      <c r="C1677" s="188"/>
      <c r="D1677" s="135"/>
      <c r="E1677" s="189"/>
      <c r="F1677" s="182" t="str">
        <f t="shared" si="1"/>
        <v/>
      </c>
      <c r="G1677" s="183">
        <f>IFERROR(__xludf.DUMMYFUNCTION("IFERROR(lookup(9999999999,FILTER('Operações-BR'!$M:$M,'Operações-BR'!$C:$C=A1677,'Operações-BR'!$A:$A&lt;=C1677)),0)"),0.0)</f>
        <v>0</v>
      </c>
      <c r="H1677" s="184">
        <f t="shared" si="2"/>
        <v>0</v>
      </c>
      <c r="I1677" s="184">
        <f>IFERROR(__xludf.DUMMYFUNCTION("IFERROR(lookup(9999999999,FILTER('Operações-BR'!Q:Q,'Operações-BR'!$C:$C=A1677,'Operações-BR'!$A:$A&lt;=C1677))/G1677,0)"),0.0)</f>
        <v>0</v>
      </c>
      <c r="J1677" s="185" t="str">
        <f>IFERROR(VLOOKUP(A1677,Ativos!$A$1:$G2000,5,),"")</f>
        <v/>
      </c>
      <c r="K1677" s="185" t="str">
        <f>IFERROR(VLOOKUP(A1677,Ativos!A:H,8,),"")</f>
        <v/>
      </c>
      <c r="L1677" s="186">
        <f t="shared" si="3"/>
        <v>0</v>
      </c>
    </row>
    <row r="1678" ht="21.0" customHeight="1">
      <c r="A1678" s="187"/>
      <c r="B1678" s="187"/>
      <c r="C1678" s="188"/>
      <c r="D1678" s="135"/>
      <c r="E1678" s="189"/>
      <c r="F1678" s="182" t="str">
        <f t="shared" si="1"/>
        <v/>
      </c>
      <c r="G1678" s="183">
        <f>IFERROR(__xludf.DUMMYFUNCTION("IFERROR(lookup(9999999999,FILTER('Operações-BR'!$M:$M,'Operações-BR'!$C:$C=A1678,'Operações-BR'!$A:$A&lt;=C1678)),0)"),0.0)</f>
        <v>0</v>
      </c>
      <c r="H1678" s="184">
        <f t="shared" si="2"/>
        <v>0</v>
      </c>
      <c r="I1678" s="184">
        <f>IFERROR(__xludf.DUMMYFUNCTION("IFERROR(lookup(9999999999,FILTER('Operações-BR'!Q:Q,'Operações-BR'!$C:$C=A1678,'Operações-BR'!$A:$A&lt;=C1678))/G1678,0)"),0.0)</f>
        <v>0</v>
      </c>
      <c r="J1678" s="185" t="str">
        <f>IFERROR(VLOOKUP(A1678,Ativos!$A$1:$G2000,5,),"")</f>
        <v/>
      </c>
      <c r="K1678" s="185" t="str">
        <f>IFERROR(VLOOKUP(A1678,Ativos!A:H,8,),"")</f>
        <v/>
      </c>
      <c r="L1678" s="186">
        <f t="shared" si="3"/>
        <v>0</v>
      </c>
    </row>
    <row r="1679" ht="21.0" customHeight="1">
      <c r="A1679" s="187"/>
      <c r="B1679" s="187"/>
      <c r="C1679" s="188"/>
      <c r="D1679" s="135"/>
      <c r="E1679" s="189"/>
      <c r="F1679" s="182" t="str">
        <f t="shared" si="1"/>
        <v/>
      </c>
      <c r="G1679" s="183">
        <f>IFERROR(__xludf.DUMMYFUNCTION("IFERROR(lookup(9999999999,FILTER('Operações-BR'!$M:$M,'Operações-BR'!$C:$C=A1679,'Operações-BR'!$A:$A&lt;=C1679)),0)"),0.0)</f>
        <v>0</v>
      </c>
      <c r="H1679" s="184">
        <f t="shared" si="2"/>
        <v>0</v>
      </c>
      <c r="I1679" s="184">
        <f>IFERROR(__xludf.DUMMYFUNCTION("IFERROR(lookup(9999999999,FILTER('Operações-BR'!Q:Q,'Operações-BR'!$C:$C=A1679,'Operações-BR'!$A:$A&lt;=C1679))/G1679,0)"),0.0)</f>
        <v>0</v>
      </c>
      <c r="J1679" s="185" t="str">
        <f>IFERROR(VLOOKUP(A1679,Ativos!$A$1:$G2000,5,),"")</f>
        <v/>
      </c>
      <c r="K1679" s="185" t="str">
        <f>IFERROR(VLOOKUP(A1679,Ativos!A:H,8,),"")</f>
        <v/>
      </c>
      <c r="L1679" s="186">
        <f t="shared" si="3"/>
        <v>0</v>
      </c>
    </row>
    <row r="1680" ht="21.0" customHeight="1">
      <c r="A1680" s="187"/>
      <c r="B1680" s="187"/>
      <c r="C1680" s="188"/>
      <c r="D1680" s="135"/>
      <c r="E1680" s="189"/>
      <c r="F1680" s="182" t="str">
        <f t="shared" si="1"/>
        <v/>
      </c>
      <c r="G1680" s="183">
        <f>IFERROR(__xludf.DUMMYFUNCTION("IFERROR(lookup(9999999999,FILTER('Operações-BR'!$M:$M,'Operações-BR'!$C:$C=A1680,'Operações-BR'!$A:$A&lt;=C1680)),0)"),0.0)</f>
        <v>0</v>
      </c>
      <c r="H1680" s="184">
        <f t="shared" si="2"/>
        <v>0</v>
      </c>
      <c r="I1680" s="184">
        <f>IFERROR(__xludf.DUMMYFUNCTION("IFERROR(lookup(9999999999,FILTER('Operações-BR'!Q:Q,'Operações-BR'!$C:$C=A1680,'Operações-BR'!$A:$A&lt;=C1680))/G1680,0)"),0.0)</f>
        <v>0</v>
      </c>
      <c r="J1680" s="185" t="str">
        <f>IFERROR(VLOOKUP(A1680,Ativos!$A$1:$G2000,5,),"")</f>
        <v/>
      </c>
      <c r="K1680" s="185" t="str">
        <f>IFERROR(VLOOKUP(A1680,Ativos!A:H,8,),"")</f>
        <v/>
      </c>
      <c r="L1680" s="186">
        <f t="shared" si="3"/>
        <v>0</v>
      </c>
    </row>
    <row r="1681" ht="21.0" customHeight="1">
      <c r="A1681" s="187"/>
      <c r="B1681" s="187"/>
      <c r="C1681" s="188"/>
      <c r="D1681" s="135"/>
      <c r="E1681" s="189"/>
      <c r="F1681" s="182" t="str">
        <f t="shared" si="1"/>
        <v/>
      </c>
      <c r="G1681" s="183">
        <f>IFERROR(__xludf.DUMMYFUNCTION("IFERROR(lookup(9999999999,FILTER('Operações-BR'!$M:$M,'Operações-BR'!$C:$C=A1681,'Operações-BR'!$A:$A&lt;=C1681)),0)"),0.0)</f>
        <v>0</v>
      </c>
      <c r="H1681" s="184">
        <f t="shared" si="2"/>
        <v>0</v>
      </c>
      <c r="I1681" s="184">
        <f>IFERROR(__xludf.DUMMYFUNCTION("IFERROR(lookup(9999999999,FILTER('Operações-BR'!Q:Q,'Operações-BR'!$C:$C=A1681,'Operações-BR'!$A:$A&lt;=C1681))/G1681,0)"),0.0)</f>
        <v>0</v>
      </c>
      <c r="J1681" s="185" t="str">
        <f>IFERROR(VLOOKUP(A1681,Ativos!$A$1:$G2000,5,),"")</f>
        <v/>
      </c>
      <c r="K1681" s="185" t="str">
        <f>IFERROR(VLOOKUP(A1681,Ativos!A:H,8,),"")</f>
        <v/>
      </c>
      <c r="L1681" s="186">
        <f t="shared" si="3"/>
        <v>0</v>
      </c>
    </row>
    <row r="1682" ht="21.0" customHeight="1">
      <c r="A1682" s="187"/>
      <c r="B1682" s="187"/>
      <c r="C1682" s="188"/>
      <c r="D1682" s="135"/>
      <c r="E1682" s="189"/>
      <c r="F1682" s="182" t="str">
        <f t="shared" si="1"/>
        <v/>
      </c>
      <c r="G1682" s="183">
        <f>IFERROR(__xludf.DUMMYFUNCTION("IFERROR(lookup(9999999999,FILTER('Operações-BR'!$M:$M,'Operações-BR'!$C:$C=A1682,'Operações-BR'!$A:$A&lt;=C1682)),0)"),0.0)</f>
        <v>0</v>
      </c>
      <c r="H1682" s="184">
        <f t="shared" si="2"/>
        <v>0</v>
      </c>
      <c r="I1682" s="184">
        <f>IFERROR(__xludf.DUMMYFUNCTION("IFERROR(lookup(9999999999,FILTER('Operações-BR'!Q:Q,'Operações-BR'!$C:$C=A1682,'Operações-BR'!$A:$A&lt;=C1682))/G1682,0)"),0.0)</f>
        <v>0</v>
      </c>
      <c r="J1682" s="185" t="str">
        <f>IFERROR(VLOOKUP(A1682,Ativos!$A$1:$G2000,5,),"")</f>
        <v/>
      </c>
      <c r="K1682" s="185" t="str">
        <f>IFERROR(VLOOKUP(A1682,Ativos!A:H,8,),"")</f>
        <v/>
      </c>
      <c r="L1682" s="186">
        <f t="shared" si="3"/>
        <v>0</v>
      </c>
    </row>
    <row r="1683" ht="21.0" customHeight="1">
      <c r="A1683" s="187"/>
      <c r="B1683" s="187"/>
      <c r="C1683" s="188"/>
      <c r="D1683" s="135"/>
      <c r="E1683" s="189"/>
      <c r="F1683" s="182" t="str">
        <f t="shared" si="1"/>
        <v/>
      </c>
      <c r="G1683" s="183">
        <f>IFERROR(__xludf.DUMMYFUNCTION("IFERROR(lookup(9999999999,FILTER('Operações-BR'!$M:$M,'Operações-BR'!$C:$C=A1683,'Operações-BR'!$A:$A&lt;=C1683)),0)"),0.0)</f>
        <v>0</v>
      </c>
      <c r="H1683" s="184">
        <f t="shared" si="2"/>
        <v>0</v>
      </c>
      <c r="I1683" s="184">
        <f>IFERROR(__xludf.DUMMYFUNCTION("IFERROR(lookup(9999999999,FILTER('Operações-BR'!Q:Q,'Operações-BR'!$C:$C=A1683,'Operações-BR'!$A:$A&lt;=C1683))/G1683,0)"),0.0)</f>
        <v>0</v>
      </c>
      <c r="J1683" s="185" t="str">
        <f>IFERROR(VLOOKUP(A1683,Ativos!$A$1:$G2000,5,),"")</f>
        <v/>
      </c>
      <c r="K1683" s="185" t="str">
        <f>IFERROR(VLOOKUP(A1683,Ativos!A:H,8,),"")</f>
        <v/>
      </c>
      <c r="L1683" s="186">
        <f t="shared" si="3"/>
        <v>0</v>
      </c>
    </row>
    <row r="1684" ht="21.0" customHeight="1">
      <c r="A1684" s="187"/>
      <c r="B1684" s="187"/>
      <c r="C1684" s="188"/>
      <c r="D1684" s="135"/>
      <c r="E1684" s="189"/>
      <c r="F1684" s="182" t="str">
        <f t="shared" si="1"/>
        <v/>
      </c>
      <c r="G1684" s="183">
        <f>IFERROR(__xludf.DUMMYFUNCTION("IFERROR(lookup(9999999999,FILTER('Operações-BR'!$M:$M,'Operações-BR'!$C:$C=A1684,'Operações-BR'!$A:$A&lt;=C1684)),0)"),0.0)</f>
        <v>0</v>
      </c>
      <c r="H1684" s="184">
        <f t="shared" si="2"/>
        <v>0</v>
      </c>
      <c r="I1684" s="184">
        <f>IFERROR(__xludf.DUMMYFUNCTION("IFERROR(lookup(9999999999,FILTER('Operações-BR'!Q:Q,'Operações-BR'!$C:$C=A1684,'Operações-BR'!$A:$A&lt;=C1684))/G1684,0)"),0.0)</f>
        <v>0</v>
      </c>
      <c r="J1684" s="185" t="str">
        <f>IFERROR(VLOOKUP(A1684,Ativos!$A$1:$G2000,5,),"")</f>
        <v/>
      </c>
      <c r="K1684" s="185" t="str">
        <f>IFERROR(VLOOKUP(A1684,Ativos!A:H,8,),"")</f>
        <v/>
      </c>
      <c r="L1684" s="186">
        <f t="shared" si="3"/>
        <v>0</v>
      </c>
    </row>
    <row r="1685" ht="21.0" customHeight="1">
      <c r="A1685" s="187"/>
      <c r="B1685" s="187"/>
      <c r="C1685" s="188"/>
      <c r="D1685" s="135"/>
      <c r="E1685" s="189"/>
      <c r="F1685" s="182" t="str">
        <f t="shared" si="1"/>
        <v/>
      </c>
      <c r="G1685" s="183">
        <f>IFERROR(__xludf.DUMMYFUNCTION("IFERROR(lookup(9999999999,FILTER('Operações-BR'!$M:$M,'Operações-BR'!$C:$C=A1685,'Operações-BR'!$A:$A&lt;=C1685)),0)"),0.0)</f>
        <v>0</v>
      </c>
      <c r="H1685" s="184">
        <f t="shared" si="2"/>
        <v>0</v>
      </c>
      <c r="I1685" s="184">
        <f>IFERROR(__xludf.DUMMYFUNCTION("IFERROR(lookup(9999999999,FILTER('Operações-BR'!Q:Q,'Operações-BR'!$C:$C=A1685,'Operações-BR'!$A:$A&lt;=C1685))/G1685,0)"),0.0)</f>
        <v>0</v>
      </c>
      <c r="J1685" s="185" t="str">
        <f>IFERROR(VLOOKUP(A1685,Ativos!$A$1:$G2000,5,),"")</f>
        <v/>
      </c>
      <c r="K1685" s="185" t="str">
        <f>IFERROR(VLOOKUP(A1685,Ativos!A:H,8,),"")</f>
        <v/>
      </c>
      <c r="L1685" s="186">
        <f t="shared" si="3"/>
        <v>0</v>
      </c>
    </row>
    <row r="1686" ht="21.0" customHeight="1">
      <c r="A1686" s="187"/>
      <c r="B1686" s="187"/>
      <c r="C1686" s="188"/>
      <c r="D1686" s="135"/>
      <c r="E1686" s="189"/>
      <c r="F1686" s="182" t="str">
        <f t="shared" si="1"/>
        <v/>
      </c>
      <c r="G1686" s="183">
        <f>IFERROR(__xludf.DUMMYFUNCTION("IFERROR(lookup(9999999999,FILTER('Operações-BR'!$M:$M,'Operações-BR'!$C:$C=A1686,'Operações-BR'!$A:$A&lt;=C1686)),0)"),0.0)</f>
        <v>0</v>
      </c>
      <c r="H1686" s="184">
        <f t="shared" si="2"/>
        <v>0</v>
      </c>
      <c r="I1686" s="184">
        <f>IFERROR(__xludf.DUMMYFUNCTION("IFERROR(lookup(9999999999,FILTER('Operações-BR'!Q:Q,'Operações-BR'!$C:$C=A1686,'Operações-BR'!$A:$A&lt;=C1686))/G1686,0)"),0.0)</f>
        <v>0</v>
      </c>
      <c r="J1686" s="185" t="str">
        <f>IFERROR(VLOOKUP(A1686,Ativos!$A$1:$G2000,5,),"")</f>
        <v/>
      </c>
      <c r="K1686" s="185" t="str">
        <f>IFERROR(VLOOKUP(A1686,Ativos!A:H,8,),"")</f>
        <v/>
      </c>
      <c r="L1686" s="186">
        <f t="shared" si="3"/>
        <v>0</v>
      </c>
    </row>
    <row r="1687" ht="21.0" customHeight="1">
      <c r="A1687" s="187"/>
      <c r="B1687" s="187"/>
      <c r="C1687" s="188"/>
      <c r="D1687" s="135"/>
      <c r="E1687" s="189"/>
      <c r="F1687" s="182" t="str">
        <f t="shared" si="1"/>
        <v/>
      </c>
      <c r="G1687" s="183">
        <f>IFERROR(__xludf.DUMMYFUNCTION("IFERROR(lookup(9999999999,FILTER('Operações-BR'!$M:$M,'Operações-BR'!$C:$C=A1687,'Operações-BR'!$A:$A&lt;=C1687)),0)"),0.0)</f>
        <v>0</v>
      </c>
      <c r="H1687" s="184">
        <f t="shared" si="2"/>
        <v>0</v>
      </c>
      <c r="I1687" s="184">
        <f>IFERROR(__xludf.DUMMYFUNCTION("IFERROR(lookup(9999999999,FILTER('Operações-BR'!Q:Q,'Operações-BR'!$C:$C=A1687,'Operações-BR'!$A:$A&lt;=C1687))/G1687,0)"),0.0)</f>
        <v>0</v>
      </c>
      <c r="J1687" s="185" t="str">
        <f>IFERROR(VLOOKUP(A1687,Ativos!$A$1:$G2000,5,),"")</f>
        <v/>
      </c>
      <c r="K1687" s="185" t="str">
        <f>IFERROR(VLOOKUP(A1687,Ativos!A:H,8,),"")</f>
        <v/>
      </c>
      <c r="L1687" s="186">
        <f t="shared" si="3"/>
        <v>0</v>
      </c>
    </row>
    <row r="1688" ht="21.0" customHeight="1">
      <c r="A1688" s="187"/>
      <c r="B1688" s="187"/>
      <c r="C1688" s="188"/>
      <c r="D1688" s="135"/>
      <c r="E1688" s="189"/>
      <c r="F1688" s="182" t="str">
        <f t="shared" si="1"/>
        <v/>
      </c>
      <c r="G1688" s="183">
        <f>IFERROR(__xludf.DUMMYFUNCTION("IFERROR(lookup(9999999999,FILTER('Operações-BR'!$M:$M,'Operações-BR'!$C:$C=A1688,'Operações-BR'!$A:$A&lt;=C1688)),0)"),0.0)</f>
        <v>0</v>
      </c>
      <c r="H1688" s="184">
        <f t="shared" si="2"/>
        <v>0</v>
      </c>
      <c r="I1688" s="184">
        <f>IFERROR(__xludf.DUMMYFUNCTION("IFERROR(lookup(9999999999,FILTER('Operações-BR'!Q:Q,'Operações-BR'!$C:$C=A1688,'Operações-BR'!$A:$A&lt;=C1688))/G1688,0)"),0.0)</f>
        <v>0</v>
      </c>
      <c r="J1688" s="185" t="str">
        <f>IFERROR(VLOOKUP(A1688,Ativos!$A$1:$G2000,5,),"")</f>
        <v/>
      </c>
      <c r="K1688" s="185" t="str">
        <f>IFERROR(VLOOKUP(A1688,Ativos!A:H,8,),"")</f>
        <v/>
      </c>
      <c r="L1688" s="186">
        <f t="shared" si="3"/>
        <v>0</v>
      </c>
    </row>
    <row r="1689" ht="21.0" customHeight="1">
      <c r="A1689" s="187"/>
      <c r="B1689" s="187"/>
      <c r="C1689" s="188"/>
      <c r="D1689" s="135"/>
      <c r="E1689" s="189"/>
      <c r="F1689" s="182" t="str">
        <f t="shared" si="1"/>
        <v/>
      </c>
      <c r="G1689" s="183">
        <f>IFERROR(__xludf.DUMMYFUNCTION("IFERROR(lookup(9999999999,FILTER('Operações-BR'!$M:$M,'Operações-BR'!$C:$C=A1689,'Operações-BR'!$A:$A&lt;=C1689)),0)"),0.0)</f>
        <v>0</v>
      </c>
      <c r="H1689" s="184">
        <f t="shared" si="2"/>
        <v>0</v>
      </c>
      <c r="I1689" s="184">
        <f>IFERROR(__xludf.DUMMYFUNCTION("IFERROR(lookup(9999999999,FILTER('Operações-BR'!Q:Q,'Operações-BR'!$C:$C=A1689,'Operações-BR'!$A:$A&lt;=C1689))/G1689,0)"),0.0)</f>
        <v>0</v>
      </c>
      <c r="J1689" s="185" t="str">
        <f>IFERROR(VLOOKUP(A1689,Ativos!$A$1:$G2000,5,),"")</f>
        <v/>
      </c>
      <c r="K1689" s="185" t="str">
        <f>IFERROR(VLOOKUP(A1689,Ativos!A:H,8,),"")</f>
        <v/>
      </c>
      <c r="L1689" s="186">
        <f t="shared" si="3"/>
        <v>0</v>
      </c>
    </row>
    <row r="1690" ht="21.0" customHeight="1">
      <c r="A1690" s="187"/>
      <c r="B1690" s="187"/>
      <c r="C1690" s="188"/>
      <c r="D1690" s="135"/>
      <c r="E1690" s="189"/>
      <c r="F1690" s="182" t="str">
        <f t="shared" si="1"/>
        <v/>
      </c>
      <c r="G1690" s="183">
        <f>IFERROR(__xludf.DUMMYFUNCTION("IFERROR(lookup(9999999999,FILTER('Operações-BR'!$M:$M,'Operações-BR'!$C:$C=A1690,'Operações-BR'!$A:$A&lt;=C1690)),0)"),0.0)</f>
        <v>0</v>
      </c>
      <c r="H1690" s="184">
        <f t="shared" si="2"/>
        <v>0</v>
      </c>
      <c r="I1690" s="184">
        <f>IFERROR(__xludf.DUMMYFUNCTION("IFERROR(lookup(9999999999,FILTER('Operações-BR'!Q:Q,'Operações-BR'!$C:$C=A1690,'Operações-BR'!$A:$A&lt;=C1690))/G1690,0)"),0.0)</f>
        <v>0</v>
      </c>
      <c r="J1690" s="185" t="str">
        <f>IFERROR(VLOOKUP(A1690,Ativos!$A$1:$G2000,5,),"")</f>
        <v/>
      </c>
      <c r="K1690" s="185" t="str">
        <f>IFERROR(VLOOKUP(A1690,Ativos!A:H,8,),"")</f>
        <v/>
      </c>
      <c r="L1690" s="186">
        <f t="shared" si="3"/>
        <v>0</v>
      </c>
    </row>
    <row r="1691" ht="21.0" customHeight="1">
      <c r="A1691" s="187"/>
      <c r="B1691" s="187"/>
      <c r="C1691" s="188"/>
      <c r="D1691" s="135"/>
      <c r="E1691" s="189"/>
      <c r="F1691" s="182" t="str">
        <f t="shared" si="1"/>
        <v/>
      </c>
      <c r="G1691" s="183">
        <f>IFERROR(__xludf.DUMMYFUNCTION("IFERROR(lookup(9999999999,FILTER('Operações-BR'!$M:$M,'Operações-BR'!$C:$C=A1691,'Operações-BR'!$A:$A&lt;=C1691)),0)"),0.0)</f>
        <v>0</v>
      </c>
      <c r="H1691" s="184">
        <f t="shared" si="2"/>
        <v>0</v>
      </c>
      <c r="I1691" s="184">
        <f>IFERROR(__xludf.DUMMYFUNCTION("IFERROR(lookup(9999999999,FILTER('Operações-BR'!Q:Q,'Operações-BR'!$C:$C=A1691,'Operações-BR'!$A:$A&lt;=C1691))/G1691,0)"),0.0)</f>
        <v>0</v>
      </c>
      <c r="J1691" s="185" t="str">
        <f>IFERROR(VLOOKUP(A1691,Ativos!$A$1:$G2000,5,),"")</f>
        <v/>
      </c>
      <c r="K1691" s="185" t="str">
        <f>IFERROR(VLOOKUP(A1691,Ativos!A:H,8,),"")</f>
        <v/>
      </c>
      <c r="L1691" s="186">
        <f t="shared" si="3"/>
        <v>0</v>
      </c>
    </row>
    <row r="1692" ht="21.0" customHeight="1">
      <c r="A1692" s="187"/>
      <c r="B1692" s="187"/>
      <c r="C1692" s="188"/>
      <c r="D1692" s="135"/>
      <c r="E1692" s="189"/>
      <c r="F1692" s="182" t="str">
        <f t="shared" si="1"/>
        <v/>
      </c>
      <c r="G1692" s="183">
        <f>IFERROR(__xludf.DUMMYFUNCTION("IFERROR(lookup(9999999999,FILTER('Operações-BR'!$M:$M,'Operações-BR'!$C:$C=A1692,'Operações-BR'!$A:$A&lt;=C1692)),0)"),0.0)</f>
        <v>0</v>
      </c>
      <c r="H1692" s="184">
        <f t="shared" si="2"/>
        <v>0</v>
      </c>
      <c r="I1692" s="184">
        <f>IFERROR(__xludf.DUMMYFUNCTION("IFERROR(lookup(9999999999,FILTER('Operações-BR'!Q:Q,'Operações-BR'!$C:$C=A1692,'Operações-BR'!$A:$A&lt;=C1692))/G1692,0)"),0.0)</f>
        <v>0</v>
      </c>
      <c r="J1692" s="185" t="str">
        <f>IFERROR(VLOOKUP(A1692,Ativos!$A$1:$G2000,5,),"")</f>
        <v/>
      </c>
      <c r="K1692" s="185" t="str">
        <f>IFERROR(VLOOKUP(A1692,Ativos!A:H,8,),"")</f>
        <v/>
      </c>
      <c r="L1692" s="186">
        <f t="shared" si="3"/>
        <v>0</v>
      </c>
    </row>
    <row r="1693" ht="21.0" customHeight="1">
      <c r="A1693" s="187"/>
      <c r="B1693" s="187"/>
      <c r="C1693" s="188"/>
      <c r="D1693" s="135"/>
      <c r="E1693" s="189"/>
      <c r="F1693" s="182" t="str">
        <f t="shared" si="1"/>
        <v/>
      </c>
      <c r="G1693" s="183">
        <f>IFERROR(__xludf.DUMMYFUNCTION("IFERROR(lookup(9999999999,FILTER('Operações-BR'!$M:$M,'Operações-BR'!$C:$C=A1693,'Operações-BR'!$A:$A&lt;=C1693)),0)"),0.0)</f>
        <v>0</v>
      </c>
      <c r="H1693" s="184">
        <f t="shared" si="2"/>
        <v>0</v>
      </c>
      <c r="I1693" s="184">
        <f>IFERROR(__xludf.DUMMYFUNCTION("IFERROR(lookup(9999999999,FILTER('Operações-BR'!Q:Q,'Operações-BR'!$C:$C=A1693,'Operações-BR'!$A:$A&lt;=C1693))/G1693,0)"),0.0)</f>
        <v>0</v>
      </c>
      <c r="J1693" s="185" t="str">
        <f>IFERROR(VLOOKUP(A1693,Ativos!$A$1:$G2000,5,),"")</f>
        <v/>
      </c>
      <c r="K1693" s="185" t="str">
        <f>IFERROR(VLOOKUP(A1693,Ativos!A:H,8,),"")</f>
        <v/>
      </c>
      <c r="L1693" s="186">
        <f t="shared" si="3"/>
        <v>0</v>
      </c>
    </row>
    <row r="1694" ht="21.0" customHeight="1">
      <c r="A1694" s="187"/>
      <c r="B1694" s="187"/>
      <c r="C1694" s="188"/>
      <c r="D1694" s="135"/>
      <c r="E1694" s="189"/>
      <c r="F1694" s="182" t="str">
        <f t="shared" si="1"/>
        <v/>
      </c>
      <c r="G1694" s="183">
        <f>IFERROR(__xludf.DUMMYFUNCTION("IFERROR(lookup(9999999999,FILTER('Operações-BR'!$M:$M,'Operações-BR'!$C:$C=A1694,'Operações-BR'!$A:$A&lt;=C1694)),0)"),0.0)</f>
        <v>0</v>
      </c>
      <c r="H1694" s="184">
        <f t="shared" si="2"/>
        <v>0</v>
      </c>
      <c r="I1694" s="184">
        <f>IFERROR(__xludf.DUMMYFUNCTION("IFERROR(lookup(9999999999,FILTER('Operações-BR'!Q:Q,'Operações-BR'!$C:$C=A1694,'Operações-BR'!$A:$A&lt;=C1694))/G1694,0)"),0.0)</f>
        <v>0</v>
      </c>
      <c r="J1694" s="185" t="str">
        <f>IFERROR(VLOOKUP(A1694,Ativos!$A$1:$G2000,5,),"")</f>
        <v/>
      </c>
      <c r="K1694" s="185" t="str">
        <f>IFERROR(VLOOKUP(A1694,Ativos!A:H,8,),"")</f>
        <v/>
      </c>
      <c r="L1694" s="186">
        <f t="shared" si="3"/>
        <v>0</v>
      </c>
    </row>
    <row r="1695" ht="21.0" customHeight="1">
      <c r="A1695" s="187"/>
      <c r="B1695" s="187"/>
      <c r="C1695" s="188"/>
      <c r="D1695" s="135"/>
      <c r="E1695" s="189"/>
      <c r="F1695" s="182" t="str">
        <f t="shared" si="1"/>
        <v/>
      </c>
      <c r="G1695" s="183">
        <f>IFERROR(__xludf.DUMMYFUNCTION("IFERROR(lookup(9999999999,FILTER('Operações-BR'!$M:$M,'Operações-BR'!$C:$C=A1695,'Operações-BR'!$A:$A&lt;=C1695)),0)"),0.0)</f>
        <v>0</v>
      </c>
      <c r="H1695" s="184">
        <f t="shared" si="2"/>
        <v>0</v>
      </c>
      <c r="I1695" s="184">
        <f>IFERROR(__xludf.DUMMYFUNCTION("IFERROR(lookup(9999999999,FILTER('Operações-BR'!Q:Q,'Operações-BR'!$C:$C=A1695,'Operações-BR'!$A:$A&lt;=C1695))/G1695,0)"),0.0)</f>
        <v>0</v>
      </c>
      <c r="J1695" s="185" t="str">
        <f>IFERROR(VLOOKUP(A1695,Ativos!$A$1:$G2000,5,),"")</f>
        <v/>
      </c>
      <c r="K1695" s="185" t="str">
        <f>IFERROR(VLOOKUP(A1695,Ativos!A:H,8,),"")</f>
        <v/>
      </c>
      <c r="L1695" s="186">
        <f t="shared" si="3"/>
        <v>0</v>
      </c>
    </row>
    <row r="1696" ht="21.0" customHeight="1">
      <c r="A1696" s="187"/>
      <c r="B1696" s="187"/>
      <c r="C1696" s="188"/>
      <c r="D1696" s="135"/>
      <c r="E1696" s="189"/>
      <c r="F1696" s="182" t="str">
        <f t="shared" si="1"/>
        <v/>
      </c>
      <c r="G1696" s="183">
        <f>IFERROR(__xludf.DUMMYFUNCTION("IFERROR(lookup(9999999999,FILTER('Operações-BR'!$M:$M,'Operações-BR'!$C:$C=A1696,'Operações-BR'!$A:$A&lt;=C1696)),0)"),0.0)</f>
        <v>0</v>
      </c>
      <c r="H1696" s="184">
        <f t="shared" si="2"/>
        <v>0</v>
      </c>
      <c r="I1696" s="184">
        <f>IFERROR(__xludf.DUMMYFUNCTION("IFERROR(lookup(9999999999,FILTER('Operações-BR'!Q:Q,'Operações-BR'!$C:$C=A1696,'Operações-BR'!$A:$A&lt;=C1696))/G1696,0)"),0.0)</f>
        <v>0</v>
      </c>
      <c r="J1696" s="185" t="str">
        <f>IFERROR(VLOOKUP(A1696,Ativos!$A$1:$G2000,5,),"")</f>
        <v/>
      </c>
      <c r="K1696" s="185" t="str">
        <f>IFERROR(VLOOKUP(A1696,Ativos!A:H,8,),"")</f>
        <v/>
      </c>
      <c r="L1696" s="186">
        <f t="shared" si="3"/>
        <v>0</v>
      </c>
    </row>
    <row r="1697" ht="21.0" customHeight="1">
      <c r="A1697" s="187"/>
      <c r="B1697" s="187"/>
      <c r="C1697" s="188"/>
      <c r="D1697" s="135"/>
      <c r="E1697" s="189"/>
      <c r="F1697" s="182" t="str">
        <f t="shared" si="1"/>
        <v/>
      </c>
      <c r="G1697" s="183">
        <f>IFERROR(__xludf.DUMMYFUNCTION("IFERROR(lookup(9999999999,FILTER('Operações-BR'!$M:$M,'Operações-BR'!$C:$C=A1697,'Operações-BR'!$A:$A&lt;=C1697)),0)"),0.0)</f>
        <v>0</v>
      </c>
      <c r="H1697" s="184">
        <f t="shared" si="2"/>
        <v>0</v>
      </c>
      <c r="I1697" s="184">
        <f>IFERROR(__xludf.DUMMYFUNCTION("IFERROR(lookup(9999999999,FILTER('Operações-BR'!Q:Q,'Operações-BR'!$C:$C=A1697,'Operações-BR'!$A:$A&lt;=C1697))/G1697,0)"),0.0)</f>
        <v>0</v>
      </c>
      <c r="J1697" s="185" t="str">
        <f>IFERROR(VLOOKUP(A1697,Ativos!$A$1:$G2000,5,),"")</f>
        <v/>
      </c>
      <c r="K1697" s="185" t="str">
        <f>IFERROR(VLOOKUP(A1697,Ativos!A:H,8,),"")</f>
        <v/>
      </c>
      <c r="L1697" s="186">
        <f t="shared" si="3"/>
        <v>0</v>
      </c>
    </row>
    <row r="1698" ht="21.0" customHeight="1">
      <c r="A1698" s="187"/>
      <c r="B1698" s="187"/>
      <c r="C1698" s="188"/>
      <c r="D1698" s="135"/>
      <c r="E1698" s="189"/>
      <c r="F1698" s="182" t="str">
        <f t="shared" si="1"/>
        <v/>
      </c>
      <c r="G1698" s="183">
        <f>IFERROR(__xludf.DUMMYFUNCTION("IFERROR(lookup(9999999999,FILTER('Operações-BR'!$M:$M,'Operações-BR'!$C:$C=A1698,'Operações-BR'!$A:$A&lt;=C1698)),0)"),0.0)</f>
        <v>0</v>
      </c>
      <c r="H1698" s="184">
        <f t="shared" si="2"/>
        <v>0</v>
      </c>
      <c r="I1698" s="184">
        <f>IFERROR(__xludf.DUMMYFUNCTION("IFERROR(lookup(9999999999,FILTER('Operações-BR'!Q:Q,'Operações-BR'!$C:$C=A1698,'Operações-BR'!$A:$A&lt;=C1698))/G1698,0)"),0.0)</f>
        <v>0</v>
      </c>
      <c r="J1698" s="185" t="str">
        <f>IFERROR(VLOOKUP(A1698,Ativos!$A$1:$G2000,5,),"")</f>
        <v/>
      </c>
      <c r="K1698" s="185" t="str">
        <f>IFERROR(VLOOKUP(A1698,Ativos!A:H,8,),"")</f>
        <v/>
      </c>
      <c r="L1698" s="186">
        <f t="shared" si="3"/>
        <v>0</v>
      </c>
    </row>
    <row r="1699" ht="21.0" customHeight="1">
      <c r="A1699" s="187"/>
      <c r="B1699" s="187"/>
      <c r="C1699" s="188"/>
      <c r="D1699" s="135"/>
      <c r="E1699" s="189"/>
      <c r="F1699" s="182" t="str">
        <f t="shared" si="1"/>
        <v/>
      </c>
      <c r="G1699" s="183">
        <f>IFERROR(__xludf.DUMMYFUNCTION("IFERROR(lookup(9999999999,FILTER('Operações-BR'!$M:$M,'Operações-BR'!$C:$C=A1699,'Operações-BR'!$A:$A&lt;=C1699)),0)"),0.0)</f>
        <v>0</v>
      </c>
      <c r="H1699" s="184">
        <f t="shared" si="2"/>
        <v>0</v>
      </c>
      <c r="I1699" s="184">
        <f>IFERROR(__xludf.DUMMYFUNCTION("IFERROR(lookup(9999999999,FILTER('Operações-BR'!Q:Q,'Operações-BR'!$C:$C=A1699,'Operações-BR'!$A:$A&lt;=C1699))/G1699,0)"),0.0)</f>
        <v>0</v>
      </c>
      <c r="J1699" s="185" t="str">
        <f>IFERROR(VLOOKUP(A1699,Ativos!$A$1:$G2000,5,),"")</f>
        <v/>
      </c>
      <c r="K1699" s="185" t="str">
        <f>IFERROR(VLOOKUP(A1699,Ativos!A:H,8,),"")</f>
        <v/>
      </c>
      <c r="L1699" s="186">
        <f t="shared" si="3"/>
        <v>0</v>
      </c>
    </row>
    <row r="1700" ht="21.0" customHeight="1">
      <c r="A1700" s="187"/>
      <c r="B1700" s="187"/>
      <c r="C1700" s="188"/>
      <c r="D1700" s="135"/>
      <c r="E1700" s="189"/>
      <c r="F1700" s="182" t="str">
        <f t="shared" si="1"/>
        <v/>
      </c>
      <c r="G1700" s="183">
        <f>IFERROR(__xludf.DUMMYFUNCTION("IFERROR(lookup(9999999999,FILTER('Operações-BR'!$M:$M,'Operações-BR'!$C:$C=A1700,'Operações-BR'!$A:$A&lt;=C1700)),0)"),0.0)</f>
        <v>0</v>
      </c>
      <c r="H1700" s="184">
        <f t="shared" si="2"/>
        <v>0</v>
      </c>
      <c r="I1700" s="184">
        <f>IFERROR(__xludf.DUMMYFUNCTION("IFERROR(lookup(9999999999,FILTER('Operações-BR'!Q:Q,'Operações-BR'!$C:$C=A1700,'Operações-BR'!$A:$A&lt;=C1700))/G1700,0)"),0.0)</f>
        <v>0</v>
      </c>
      <c r="J1700" s="185" t="str">
        <f>IFERROR(VLOOKUP(A1700,Ativos!$A$1:$G2000,5,),"")</f>
        <v/>
      </c>
      <c r="K1700" s="185" t="str">
        <f>IFERROR(VLOOKUP(A1700,Ativos!A:H,8,),"")</f>
        <v/>
      </c>
      <c r="L1700" s="186">
        <f t="shared" si="3"/>
        <v>0</v>
      </c>
    </row>
    <row r="1701" ht="21.0" customHeight="1">
      <c r="A1701" s="187"/>
      <c r="B1701" s="187"/>
      <c r="C1701" s="188"/>
      <c r="D1701" s="135"/>
      <c r="E1701" s="189"/>
      <c r="F1701" s="182" t="str">
        <f t="shared" si="1"/>
        <v/>
      </c>
      <c r="G1701" s="183">
        <f>IFERROR(__xludf.DUMMYFUNCTION("IFERROR(lookup(9999999999,FILTER('Operações-BR'!$M:$M,'Operações-BR'!$C:$C=A1701,'Operações-BR'!$A:$A&lt;=C1701)),0)"),0.0)</f>
        <v>0</v>
      </c>
      <c r="H1701" s="184">
        <f t="shared" si="2"/>
        <v>0</v>
      </c>
      <c r="I1701" s="184">
        <f>IFERROR(__xludf.DUMMYFUNCTION("IFERROR(lookup(9999999999,FILTER('Operações-BR'!Q:Q,'Operações-BR'!$C:$C=A1701,'Operações-BR'!$A:$A&lt;=C1701))/G1701,0)"),0.0)</f>
        <v>0</v>
      </c>
      <c r="J1701" s="185" t="str">
        <f>IFERROR(VLOOKUP(A1701,Ativos!$A$1:$G2000,5,),"")</f>
        <v/>
      </c>
      <c r="K1701" s="185" t="str">
        <f>IFERROR(VLOOKUP(A1701,Ativos!A:H,8,),"")</f>
        <v/>
      </c>
      <c r="L1701" s="186">
        <f t="shared" si="3"/>
        <v>0</v>
      </c>
    </row>
    <row r="1702" ht="21.0" customHeight="1">
      <c r="A1702" s="187"/>
      <c r="B1702" s="187"/>
      <c r="C1702" s="188"/>
      <c r="D1702" s="135"/>
      <c r="E1702" s="189"/>
      <c r="F1702" s="182" t="str">
        <f t="shared" si="1"/>
        <v/>
      </c>
      <c r="G1702" s="183">
        <f>IFERROR(__xludf.DUMMYFUNCTION("IFERROR(lookup(9999999999,FILTER('Operações-BR'!$M:$M,'Operações-BR'!$C:$C=A1702,'Operações-BR'!$A:$A&lt;=C1702)),0)"),0.0)</f>
        <v>0</v>
      </c>
      <c r="H1702" s="184">
        <f t="shared" si="2"/>
        <v>0</v>
      </c>
      <c r="I1702" s="184">
        <f>IFERROR(__xludf.DUMMYFUNCTION("IFERROR(lookup(9999999999,FILTER('Operações-BR'!Q:Q,'Operações-BR'!$C:$C=A1702,'Operações-BR'!$A:$A&lt;=C1702))/G1702,0)"),0.0)</f>
        <v>0</v>
      </c>
      <c r="J1702" s="185" t="str">
        <f>IFERROR(VLOOKUP(A1702,Ativos!$A$1:$G2000,5,),"")</f>
        <v/>
      </c>
      <c r="K1702" s="185" t="str">
        <f>IFERROR(VLOOKUP(A1702,Ativos!A:H,8,),"")</f>
        <v/>
      </c>
      <c r="L1702" s="186">
        <f t="shared" si="3"/>
        <v>0</v>
      </c>
    </row>
    <row r="1703" ht="21.0" customHeight="1">
      <c r="A1703" s="187"/>
      <c r="B1703" s="187"/>
      <c r="C1703" s="188"/>
      <c r="D1703" s="135"/>
      <c r="E1703" s="189"/>
      <c r="F1703" s="182" t="str">
        <f t="shared" si="1"/>
        <v/>
      </c>
      <c r="G1703" s="183">
        <f>IFERROR(__xludf.DUMMYFUNCTION("IFERROR(lookup(9999999999,FILTER('Operações-BR'!$M:$M,'Operações-BR'!$C:$C=A1703,'Operações-BR'!$A:$A&lt;=C1703)),0)"),0.0)</f>
        <v>0</v>
      </c>
      <c r="H1703" s="184">
        <f t="shared" si="2"/>
        <v>0</v>
      </c>
      <c r="I1703" s="184">
        <f>IFERROR(__xludf.DUMMYFUNCTION("IFERROR(lookup(9999999999,FILTER('Operações-BR'!Q:Q,'Operações-BR'!$C:$C=A1703,'Operações-BR'!$A:$A&lt;=C1703))/G1703,0)"),0.0)</f>
        <v>0</v>
      </c>
      <c r="J1703" s="185" t="str">
        <f>IFERROR(VLOOKUP(A1703,Ativos!$A$1:$G2000,5,),"")</f>
        <v/>
      </c>
      <c r="K1703" s="185" t="str">
        <f>IFERROR(VLOOKUP(A1703,Ativos!A:H,8,),"")</f>
        <v/>
      </c>
      <c r="L1703" s="186">
        <f t="shared" si="3"/>
        <v>0</v>
      </c>
    </row>
    <row r="1704" ht="21.0" customHeight="1">
      <c r="A1704" s="187"/>
      <c r="B1704" s="187"/>
      <c r="C1704" s="188"/>
      <c r="D1704" s="135"/>
      <c r="E1704" s="189"/>
      <c r="F1704" s="182" t="str">
        <f t="shared" si="1"/>
        <v/>
      </c>
      <c r="G1704" s="183">
        <f>IFERROR(__xludf.DUMMYFUNCTION("IFERROR(lookup(9999999999,FILTER('Operações-BR'!$M:$M,'Operações-BR'!$C:$C=A1704,'Operações-BR'!$A:$A&lt;=C1704)),0)"),0.0)</f>
        <v>0</v>
      </c>
      <c r="H1704" s="184">
        <f t="shared" si="2"/>
        <v>0</v>
      </c>
      <c r="I1704" s="184">
        <f>IFERROR(__xludf.DUMMYFUNCTION("IFERROR(lookup(9999999999,FILTER('Operações-BR'!Q:Q,'Operações-BR'!$C:$C=A1704,'Operações-BR'!$A:$A&lt;=C1704))/G1704,0)"),0.0)</f>
        <v>0</v>
      </c>
      <c r="J1704" s="185" t="str">
        <f>IFERROR(VLOOKUP(A1704,Ativos!$A$1:$G2000,5,),"")</f>
        <v/>
      </c>
      <c r="K1704" s="185" t="str">
        <f>IFERROR(VLOOKUP(A1704,Ativos!A:H,8,),"")</f>
        <v/>
      </c>
      <c r="L1704" s="186">
        <f t="shared" si="3"/>
        <v>0</v>
      </c>
    </row>
    <row r="1705" ht="21.0" customHeight="1">
      <c r="A1705" s="187"/>
      <c r="B1705" s="187"/>
      <c r="C1705" s="188"/>
      <c r="D1705" s="135"/>
      <c r="E1705" s="189"/>
      <c r="F1705" s="182" t="str">
        <f t="shared" si="1"/>
        <v/>
      </c>
      <c r="G1705" s="183">
        <f>IFERROR(__xludf.DUMMYFUNCTION("IFERROR(lookup(9999999999,FILTER('Operações-BR'!$M:$M,'Operações-BR'!$C:$C=A1705,'Operações-BR'!$A:$A&lt;=C1705)),0)"),0.0)</f>
        <v>0</v>
      </c>
      <c r="H1705" s="184">
        <f t="shared" si="2"/>
        <v>0</v>
      </c>
      <c r="I1705" s="184">
        <f>IFERROR(__xludf.DUMMYFUNCTION("IFERROR(lookup(9999999999,FILTER('Operações-BR'!Q:Q,'Operações-BR'!$C:$C=A1705,'Operações-BR'!$A:$A&lt;=C1705))/G1705,0)"),0.0)</f>
        <v>0</v>
      </c>
      <c r="J1705" s="185" t="str">
        <f>IFERROR(VLOOKUP(A1705,Ativos!$A$1:$G2000,5,),"")</f>
        <v/>
      </c>
      <c r="K1705" s="185" t="str">
        <f>IFERROR(VLOOKUP(A1705,Ativos!A:H,8,),"")</f>
        <v/>
      </c>
      <c r="L1705" s="186">
        <f t="shared" si="3"/>
        <v>0</v>
      </c>
    </row>
    <row r="1706" ht="21.0" customHeight="1">
      <c r="A1706" s="187"/>
      <c r="B1706" s="187"/>
      <c r="C1706" s="188"/>
      <c r="D1706" s="135"/>
      <c r="E1706" s="189"/>
      <c r="F1706" s="182" t="str">
        <f t="shared" si="1"/>
        <v/>
      </c>
      <c r="G1706" s="183">
        <f>IFERROR(__xludf.DUMMYFUNCTION("IFERROR(lookup(9999999999,FILTER('Operações-BR'!$M:$M,'Operações-BR'!$C:$C=A1706,'Operações-BR'!$A:$A&lt;=C1706)),0)"),0.0)</f>
        <v>0</v>
      </c>
      <c r="H1706" s="184">
        <f t="shared" si="2"/>
        <v>0</v>
      </c>
      <c r="I1706" s="184">
        <f>IFERROR(__xludf.DUMMYFUNCTION("IFERROR(lookup(9999999999,FILTER('Operações-BR'!Q:Q,'Operações-BR'!$C:$C=A1706,'Operações-BR'!$A:$A&lt;=C1706))/G1706,0)"),0.0)</f>
        <v>0</v>
      </c>
      <c r="J1706" s="185" t="str">
        <f>IFERROR(VLOOKUP(A1706,Ativos!$A$1:$G2000,5,),"")</f>
        <v/>
      </c>
      <c r="K1706" s="185" t="str">
        <f>IFERROR(VLOOKUP(A1706,Ativos!A:H,8,),"")</f>
        <v/>
      </c>
      <c r="L1706" s="186">
        <f t="shared" si="3"/>
        <v>0</v>
      </c>
    </row>
    <row r="1707" ht="21.0" customHeight="1">
      <c r="A1707" s="187"/>
      <c r="B1707" s="187"/>
      <c r="C1707" s="188"/>
      <c r="D1707" s="135"/>
      <c r="E1707" s="189"/>
      <c r="F1707" s="182" t="str">
        <f t="shared" si="1"/>
        <v/>
      </c>
      <c r="G1707" s="183">
        <f>IFERROR(__xludf.DUMMYFUNCTION("IFERROR(lookup(9999999999,FILTER('Operações-BR'!$M:$M,'Operações-BR'!$C:$C=A1707,'Operações-BR'!$A:$A&lt;=C1707)),0)"),0.0)</f>
        <v>0</v>
      </c>
      <c r="H1707" s="184">
        <f t="shared" si="2"/>
        <v>0</v>
      </c>
      <c r="I1707" s="184">
        <f>IFERROR(__xludf.DUMMYFUNCTION("IFERROR(lookup(9999999999,FILTER('Operações-BR'!Q:Q,'Operações-BR'!$C:$C=A1707,'Operações-BR'!$A:$A&lt;=C1707))/G1707,0)"),0.0)</f>
        <v>0</v>
      </c>
      <c r="J1707" s="185" t="str">
        <f>IFERROR(VLOOKUP(A1707,Ativos!$A$1:$G2000,5,),"")</f>
        <v/>
      </c>
      <c r="K1707" s="185" t="str">
        <f>IFERROR(VLOOKUP(A1707,Ativos!A:H,8,),"")</f>
        <v/>
      </c>
      <c r="L1707" s="186">
        <f t="shared" si="3"/>
        <v>0</v>
      </c>
    </row>
    <row r="1708" ht="21.0" customHeight="1">
      <c r="A1708" s="187"/>
      <c r="B1708" s="187"/>
      <c r="C1708" s="188"/>
      <c r="D1708" s="135"/>
      <c r="E1708" s="189"/>
      <c r="F1708" s="182" t="str">
        <f t="shared" si="1"/>
        <v/>
      </c>
      <c r="G1708" s="183">
        <f>IFERROR(__xludf.DUMMYFUNCTION("IFERROR(lookup(9999999999,FILTER('Operações-BR'!$M:$M,'Operações-BR'!$C:$C=A1708,'Operações-BR'!$A:$A&lt;=C1708)),0)"),0.0)</f>
        <v>0</v>
      </c>
      <c r="H1708" s="184">
        <f t="shared" si="2"/>
        <v>0</v>
      </c>
      <c r="I1708" s="184">
        <f>IFERROR(__xludf.DUMMYFUNCTION("IFERROR(lookup(9999999999,FILTER('Operações-BR'!Q:Q,'Operações-BR'!$C:$C=A1708,'Operações-BR'!$A:$A&lt;=C1708))/G1708,0)"),0.0)</f>
        <v>0</v>
      </c>
      <c r="J1708" s="185" t="str">
        <f>IFERROR(VLOOKUP(A1708,Ativos!$A$1:$G2000,5,),"")</f>
        <v/>
      </c>
      <c r="K1708" s="185" t="str">
        <f>IFERROR(VLOOKUP(A1708,Ativos!A:H,8,),"")</f>
        <v/>
      </c>
      <c r="L1708" s="186">
        <f t="shared" si="3"/>
        <v>0</v>
      </c>
    </row>
    <row r="1709" ht="21.0" customHeight="1">
      <c r="A1709" s="187"/>
      <c r="B1709" s="187"/>
      <c r="C1709" s="188"/>
      <c r="D1709" s="135"/>
      <c r="E1709" s="189"/>
      <c r="F1709" s="182" t="str">
        <f t="shared" si="1"/>
        <v/>
      </c>
      <c r="G1709" s="183">
        <f>IFERROR(__xludf.DUMMYFUNCTION("IFERROR(lookup(9999999999,FILTER('Operações-BR'!$M:$M,'Operações-BR'!$C:$C=A1709,'Operações-BR'!$A:$A&lt;=C1709)),0)"),0.0)</f>
        <v>0</v>
      </c>
      <c r="H1709" s="184">
        <f t="shared" si="2"/>
        <v>0</v>
      </c>
      <c r="I1709" s="184">
        <f>IFERROR(__xludf.DUMMYFUNCTION("IFERROR(lookup(9999999999,FILTER('Operações-BR'!Q:Q,'Operações-BR'!$C:$C=A1709,'Operações-BR'!$A:$A&lt;=C1709))/G1709,0)"),0.0)</f>
        <v>0</v>
      </c>
      <c r="J1709" s="185" t="str">
        <f>IFERROR(VLOOKUP(A1709,Ativos!$A$1:$G2000,5,),"")</f>
        <v/>
      </c>
      <c r="K1709" s="185" t="str">
        <f>IFERROR(VLOOKUP(A1709,Ativos!A:H,8,),"")</f>
        <v/>
      </c>
      <c r="L1709" s="186">
        <f t="shared" si="3"/>
        <v>0</v>
      </c>
    </row>
    <row r="1710" ht="21.0" customHeight="1">
      <c r="A1710" s="187"/>
      <c r="B1710" s="187"/>
      <c r="C1710" s="188"/>
      <c r="D1710" s="135"/>
      <c r="E1710" s="189"/>
      <c r="F1710" s="182" t="str">
        <f t="shared" si="1"/>
        <v/>
      </c>
      <c r="G1710" s="183">
        <f>IFERROR(__xludf.DUMMYFUNCTION("IFERROR(lookup(9999999999,FILTER('Operações-BR'!$M:$M,'Operações-BR'!$C:$C=A1710,'Operações-BR'!$A:$A&lt;=C1710)),0)"),0.0)</f>
        <v>0</v>
      </c>
      <c r="H1710" s="184">
        <f t="shared" si="2"/>
        <v>0</v>
      </c>
      <c r="I1710" s="184">
        <f>IFERROR(__xludf.DUMMYFUNCTION("IFERROR(lookup(9999999999,FILTER('Operações-BR'!Q:Q,'Operações-BR'!$C:$C=A1710,'Operações-BR'!$A:$A&lt;=C1710))/G1710,0)"),0.0)</f>
        <v>0</v>
      </c>
      <c r="J1710" s="185" t="str">
        <f>IFERROR(VLOOKUP(A1710,Ativos!$A$1:$G2000,5,),"")</f>
        <v/>
      </c>
      <c r="K1710" s="185" t="str">
        <f>IFERROR(VLOOKUP(A1710,Ativos!A:H,8,),"")</f>
        <v/>
      </c>
      <c r="L1710" s="186">
        <f t="shared" si="3"/>
        <v>0</v>
      </c>
    </row>
    <row r="1711" ht="21.0" customHeight="1">
      <c r="A1711" s="187"/>
      <c r="B1711" s="187"/>
      <c r="C1711" s="188"/>
      <c r="D1711" s="135"/>
      <c r="E1711" s="189"/>
      <c r="F1711" s="182" t="str">
        <f t="shared" si="1"/>
        <v/>
      </c>
      <c r="G1711" s="183">
        <f>IFERROR(__xludf.DUMMYFUNCTION("IFERROR(lookup(9999999999,FILTER('Operações-BR'!$M:$M,'Operações-BR'!$C:$C=A1711,'Operações-BR'!$A:$A&lt;=C1711)),0)"),0.0)</f>
        <v>0</v>
      </c>
      <c r="H1711" s="184">
        <f t="shared" si="2"/>
        <v>0</v>
      </c>
      <c r="I1711" s="184">
        <f>IFERROR(__xludf.DUMMYFUNCTION("IFERROR(lookup(9999999999,FILTER('Operações-BR'!Q:Q,'Operações-BR'!$C:$C=A1711,'Operações-BR'!$A:$A&lt;=C1711))/G1711,0)"),0.0)</f>
        <v>0</v>
      </c>
      <c r="J1711" s="185" t="str">
        <f>IFERROR(VLOOKUP(A1711,Ativos!$A$1:$G2000,5,),"")</f>
        <v/>
      </c>
      <c r="K1711" s="185" t="str">
        <f>IFERROR(VLOOKUP(A1711,Ativos!A:H,8,),"")</f>
        <v/>
      </c>
      <c r="L1711" s="186">
        <f t="shared" si="3"/>
        <v>0</v>
      </c>
    </row>
    <row r="1712" ht="21.0" customHeight="1">
      <c r="A1712" s="187"/>
      <c r="B1712" s="187"/>
      <c r="C1712" s="188"/>
      <c r="D1712" s="135"/>
      <c r="E1712" s="189"/>
      <c r="F1712" s="182" t="str">
        <f t="shared" si="1"/>
        <v/>
      </c>
      <c r="G1712" s="183">
        <f>IFERROR(__xludf.DUMMYFUNCTION("IFERROR(lookup(9999999999,FILTER('Operações-BR'!$M:$M,'Operações-BR'!$C:$C=A1712,'Operações-BR'!$A:$A&lt;=C1712)),0)"),0.0)</f>
        <v>0</v>
      </c>
      <c r="H1712" s="184">
        <f t="shared" si="2"/>
        <v>0</v>
      </c>
      <c r="I1712" s="184">
        <f>IFERROR(__xludf.DUMMYFUNCTION("IFERROR(lookup(9999999999,FILTER('Operações-BR'!Q:Q,'Operações-BR'!$C:$C=A1712,'Operações-BR'!$A:$A&lt;=C1712))/G1712,0)"),0.0)</f>
        <v>0</v>
      </c>
      <c r="J1712" s="185" t="str">
        <f>IFERROR(VLOOKUP(A1712,Ativos!$A$1:$G2000,5,),"")</f>
        <v/>
      </c>
      <c r="K1712" s="185" t="str">
        <f>IFERROR(VLOOKUP(A1712,Ativos!A:H,8,),"")</f>
        <v/>
      </c>
      <c r="L1712" s="186">
        <f t="shared" si="3"/>
        <v>0</v>
      </c>
    </row>
    <row r="1713" ht="21.0" customHeight="1">
      <c r="A1713" s="187"/>
      <c r="B1713" s="187"/>
      <c r="C1713" s="188"/>
      <c r="D1713" s="135"/>
      <c r="E1713" s="189"/>
      <c r="F1713" s="182" t="str">
        <f t="shared" si="1"/>
        <v/>
      </c>
      <c r="G1713" s="183">
        <f>IFERROR(__xludf.DUMMYFUNCTION("IFERROR(lookup(9999999999,FILTER('Operações-BR'!$M:$M,'Operações-BR'!$C:$C=A1713,'Operações-BR'!$A:$A&lt;=C1713)),0)"),0.0)</f>
        <v>0</v>
      </c>
      <c r="H1713" s="184">
        <f t="shared" si="2"/>
        <v>0</v>
      </c>
      <c r="I1713" s="184">
        <f>IFERROR(__xludf.DUMMYFUNCTION("IFERROR(lookup(9999999999,FILTER('Operações-BR'!Q:Q,'Operações-BR'!$C:$C=A1713,'Operações-BR'!$A:$A&lt;=C1713))/G1713,0)"),0.0)</f>
        <v>0</v>
      </c>
      <c r="J1713" s="185" t="str">
        <f>IFERROR(VLOOKUP(A1713,Ativos!$A$1:$G2000,5,),"")</f>
        <v/>
      </c>
      <c r="K1713" s="185" t="str">
        <f>IFERROR(VLOOKUP(A1713,Ativos!A:H,8,),"")</f>
        <v/>
      </c>
      <c r="L1713" s="186">
        <f t="shared" si="3"/>
        <v>0</v>
      </c>
    </row>
    <row r="1714" ht="21.0" customHeight="1">
      <c r="A1714" s="187"/>
      <c r="B1714" s="187"/>
      <c r="C1714" s="188"/>
      <c r="D1714" s="135"/>
      <c r="E1714" s="189"/>
      <c r="F1714" s="182" t="str">
        <f t="shared" si="1"/>
        <v/>
      </c>
      <c r="G1714" s="183">
        <f>IFERROR(__xludf.DUMMYFUNCTION("IFERROR(lookup(9999999999,FILTER('Operações-BR'!$M:$M,'Operações-BR'!$C:$C=A1714,'Operações-BR'!$A:$A&lt;=C1714)),0)"),0.0)</f>
        <v>0</v>
      </c>
      <c r="H1714" s="184">
        <f t="shared" si="2"/>
        <v>0</v>
      </c>
      <c r="I1714" s="184">
        <f>IFERROR(__xludf.DUMMYFUNCTION("IFERROR(lookup(9999999999,FILTER('Operações-BR'!Q:Q,'Operações-BR'!$C:$C=A1714,'Operações-BR'!$A:$A&lt;=C1714))/G1714,0)"),0.0)</f>
        <v>0</v>
      </c>
      <c r="J1714" s="185" t="str">
        <f>IFERROR(VLOOKUP(A1714,Ativos!$A$1:$G2000,5,),"")</f>
        <v/>
      </c>
      <c r="K1714" s="185" t="str">
        <f>IFERROR(VLOOKUP(A1714,Ativos!A:H,8,),"")</f>
        <v/>
      </c>
      <c r="L1714" s="186">
        <f t="shared" si="3"/>
        <v>0</v>
      </c>
    </row>
    <row r="1715" ht="21.0" customHeight="1">
      <c r="A1715" s="187"/>
      <c r="B1715" s="187"/>
      <c r="C1715" s="188"/>
      <c r="D1715" s="135"/>
      <c r="E1715" s="189"/>
      <c r="F1715" s="182" t="str">
        <f t="shared" si="1"/>
        <v/>
      </c>
      <c r="G1715" s="183">
        <f>IFERROR(__xludf.DUMMYFUNCTION("IFERROR(lookup(9999999999,FILTER('Operações-BR'!$M:$M,'Operações-BR'!$C:$C=A1715,'Operações-BR'!$A:$A&lt;=C1715)),0)"),0.0)</f>
        <v>0</v>
      </c>
      <c r="H1715" s="184">
        <f t="shared" si="2"/>
        <v>0</v>
      </c>
      <c r="I1715" s="184">
        <f>IFERROR(__xludf.DUMMYFUNCTION("IFERROR(lookup(9999999999,FILTER('Operações-BR'!Q:Q,'Operações-BR'!$C:$C=A1715,'Operações-BR'!$A:$A&lt;=C1715))/G1715,0)"),0.0)</f>
        <v>0</v>
      </c>
      <c r="J1715" s="185" t="str">
        <f>IFERROR(VLOOKUP(A1715,Ativos!$A$1:$G2000,5,),"")</f>
        <v/>
      </c>
      <c r="K1715" s="185" t="str">
        <f>IFERROR(VLOOKUP(A1715,Ativos!A:H,8,),"")</f>
        <v/>
      </c>
      <c r="L1715" s="186">
        <f t="shared" si="3"/>
        <v>0</v>
      </c>
    </row>
    <row r="1716" ht="21.0" customHeight="1">
      <c r="A1716" s="187"/>
      <c r="B1716" s="187"/>
      <c r="C1716" s="188"/>
      <c r="D1716" s="135"/>
      <c r="E1716" s="189"/>
      <c r="F1716" s="182" t="str">
        <f t="shared" si="1"/>
        <v/>
      </c>
      <c r="G1716" s="183">
        <f>IFERROR(__xludf.DUMMYFUNCTION("IFERROR(lookup(9999999999,FILTER('Operações-BR'!$M:$M,'Operações-BR'!$C:$C=A1716,'Operações-BR'!$A:$A&lt;=C1716)),0)"),0.0)</f>
        <v>0</v>
      </c>
      <c r="H1716" s="184">
        <f t="shared" si="2"/>
        <v>0</v>
      </c>
      <c r="I1716" s="184">
        <f>IFERROR(__xludf.DUMMYFUNCTION("IFERROR(lookup(9999999999,FILTER('Operações-BR'!Q:Q,'Operações-BR'!$C:$C=A1716,'Operações-BR'!$A:$A&lt;=C1716))/G1716,0)"),0.0)</f>
        <v>0</v>
      </c>
      <c r="J1716" s="185" t="str">
        <f>IFERROR(VLOOKUP(A1716,Ativos!$A$1:$G2000,5,),"")</f>
        <v/>
      </c>
      <c r="K1716" s="185" t="str">
        <f>IFERROR(VLOOKUP(A1716,Ativos!A:H,8,),"")</f>
        <v/>
      </c>
      <c r="L1716" s="186">
        <f t="shared" si="3"/>
        <v>0</v>
      </c>
    </row>
    <row r="1717" ht="21.0" customHeight="1">
      <c r="A1717" s="187"/>
      <c r="B1717" s="187"/>
      <c r="C1717" s="188"/>
      <c r="D1717" s="135"/>
      <c r="E1717" s="189"/>
      <c r="F1717" s="182" t="str">
        <f t="shared" si="1"/>
        <v/>
      </c>
      <c r="G1717" s="183">
        <f>IFERROR(__xludf.DUMMYFUNCTION("IFERROR(lookup(9999999999,FILTER('Operações-BR'!$M:$M,'Operações-BR'!$C:$C=A1717,'Operações-BR'!$A:$A&lt;=C1717)),0)"),0.0)</f>
        <v>0</v>
      </c>
      <c r="H1717" s="184">
        <f t="shared" si="2"/>
        <v>0</v>
      </c>
      <c r="I1717" s="184">
        <f>IFERROR(__xludf.DUMMYFUNCTION("IFERROR(lookup(9999999999,FILTER('Operações-BR'!Q:Q,'Operações-BR'!$C:$C=A1717,'Operações-BR'!$A:$A&lt;=C1717))/G1717,0)"),0.0)</f>
        <v>0</v>
      </c>
      <c r="J1717" s="185" t="str">
        <f>IFERROR(VLOOKUP(A1717,Ativos!$A$1:$G2000,5,),"")</f>
        <v/>
      </c>
      <c r="K1717" s="185" t="str">
        <f>IFERROR(VLOOKUP(A1717,Ativos!A:H,8,),"")</f>
        <v/>
      </c>
      <c r="L1717" s="186">
        <f t="shared" si="3"/>
        <v>0</v>
      </c>
    </row>
    <row r="1718" ht="21.0" customHeight="1">
      <c r="A1718" s="187"/>
      <c r="B1718" s="187"/>
      <c r="C1718" s="188"/>
      <c r="D1718" s="135"/>
      <c r="E1718" s="189"/>
      <c r="F1718" s="182" t="str">
        <f t="shared" si="1"/>
        <v/>
      </c>
      <c r="G1718" s="183">
        <f>IFERROR(__xludf.DUMMYFUNCTION("IFERROR(lookup(9999999999,FILTER('Operações-BR'!$M:$M,'Operações-BR'!$C:$C=A1718,'Operações-BR'!$A:$A&lt;=C1718)),0)"),0.0)</f>
        <v>0</v>
      </c>
      <c r="H1718" s="184">
        <f t="shared" si="2"/>
        <v>0</v>
      </c>
      <c r="I1718" s="184">
        <f>IFERROR(__xludf.DUMMYFUNCTION("IFERROR(lookup(9999999999,FILTER('Operações-BR'!Q:Q,'Operações-BR'!$C:$C=A1718,'Operações-BR'!$A:$A&lt;=C1718))/G1718,0)"),0.0)</f>
        <v>0</v>
      </c>
      <c r="J1718" s="185" t="str">
        <f>IFERROR(VLOOKUP(A1718,Ativos!$A$1:$G2000,5,),"")</f>
        <v/>
      </c>
      <c r="K1718" s="185" t="str">
        <f>IFERROR(VLOOKUP(A1718,Ativos!A:H,8,),"")</f>
        <v/>
      </c>
      <c r="L1718" s="186">
        <f t="shared" si="3"/>
        <v>0</v>
      </c>
    </row>
    <row r="1719" ht="21.0" customHeight="1">
      <c r="A1719" s="187"/>
      <c r="B1719" s="187"/>
      <c r="C1719" s="188"/>
      <c r="D1719" s="135"/>
      <c r="E1719" s="189"/>
      <c r="F1719" s="182" t="str">
        <f t="shared" si="1"/>
        <v/>
      </c>
      <c r="G1719" s="183">
        <f>IFERROR(__xludf.DUMMYFUNCTION("IFERROR(lookup(9999999999,FILTER('Operações-BR'!$M:$M,'Operações-BR'!$C:$C=A1719,'Operações-BR'!$A:$A&lt;=C1719)),0)"),0.0)</f>
        <v>0</v>
      </c>
      <c r="H1719" s="184">
        <f t="shared" si="2"/>
        <v>0</v>
      </c>
      <c r="I1719" s="184">
        <f>IFERROR(__xludf.DUMMYFUNCTION("IFERROR(lookup(9999999999,FILTER('Operações-BR'!Q:Q,'Operações-BR'!$C:$C=A1719,'Operações-BR'!$A:$A&lt;=C1719))/G1719,0)"),0.0)</f>
        <v>0</v>
      </c>
      <c r="J1719" s="185" t="str">
        <f>IFERROR(VLOOKUP(A1719,Ativos!$A$1:$G2000,5,),"")</f>
        <v/>
      </c>
      <c r="K1719" s="185" t="str">
        <f>IFERROR(VLOOKUP(A1719,Ativos!A:H,8,),"")</f>
        <v/>
      </c>
      <c r="L1719" s="186">
        <f t="shared" si="3"/>
        <v>0</v>
      </c>
    </row>
    <row r="1720" ht="21.0" customHeight="1">
      <c r="A1720" s="187"/>
      <c r="B1720" s="187"/>
      <c r="C1720" s="188"/>
      <c r="D1720" s="135"/>
      <c r="E1720" s="189"/>
      <c r="F1720" s="182" t="str">
        <f t="shared" si="1"/>
        <v/>
      </c>
      <c r="G1720" s="183">
        <f>IFERROR(__xludf.DUMMYFUNCTION("IFERROR(lookup(9999999999,FILTER('Operações-BR'!$M:$M,'Operações-BR'!$C:$C=A1720,'Operações-BR'!$A:$A&lt;=C1720)),0)"),0.0)</f>
        <v>0</v>
      </c>
      <c r="H1720" s="184">
        <f t="shared" si="2"/>
        <v>0</v>
      </c>
      <c r="I1720" s="184">
        <f>IFERROR(__xludf.DUMMYFUNCTION("IFERROR(lookup(9999999999,FILTER('Operações-BR'!Q:Q,'Operações-BR'!$C:$C=A1720,'Operações-BR'!$A:$A&lt;=C1720))/G1720,0)"),0.0)</f>
        <v>0</v>
      </c>
      <c r="J1720" s="185" t="str">
        <f>IFERROR(VLOOKUP(A1720,Ativos!$A$1:$G2000,5,),"")</f>
        <v/>
      </c>
      <c r="K1720" s="185" t="str">
        <f>IFERROR(VLOOKUP(A1720,Ativos!A:H,8,),"")</f>
        <v/>
      </c>
      <c r="L1720" s="186">
        <f t="shared" si="3"/>
        <v>0</v>
      </c>
    </row>
    <row r="1721" ht="21.0" customHeight="1">
      <c r="A1721" s="187"/>
      <c r="B1721" s="187"/>
      <c r="C1721" s="188"/>
      <c r="D1721" s="135"/>
      <c r="E1721" s="189"/>
      <c r="F1721" s="182" t="str">
        <f t="shared" si="1"/>
        <v/>
      </c>
      <c r="G1721" s="183">
        <f>IFERROR(__xludf.DUMMYFUNCTION("IFERROR(lookup(9999999999,FILTER('Operações-BR'!$M:$M,'Operações-BR'!$C:$C=A1721,'Operações-BR'!$A:$A&lt;=C1721)),0)"),0.0)</f>
        <v>0</v>
      </c>
      <c r="H1721" s="184">
        <f t="shared" si="2"/>
        <v>0</v>
      </c>
      <c r="I1721" s="184">
        <f>IFERROR(__xludf.DUMMYFUNCTION("IFERROR(lookup(9999999999,FILTER('Operações-BR'!Q:Q,'Operações-BR'!$C:$C=A1721,'Operações-BR'!$A:$A&lt;=C1721))/G1721,0)"),0.0)</f>
        <v>0</v>
      </c>
      <c r="J1721" s="185" t="str">
        <f>IFERROR(VLOOKUP(A1721,Ativos!$A$1:$G2000,5,),"")</f>
        <v/>
      </c>
      <c r="K1721" s="185" t="str">
        <f>IFERROR(VLOOKUP(A1721,Ativos!A:H,8,),"")</f>
        <v/>
      </c>
      <c r="L1721" s="186">
        <f t="shared" si="3"/>
        <v>0</v>
      </c>
    </row>
    <row r="1722" ht="21.0" customHeight="1">
      <c r="A1722" s="187"/>
      <c r="B1722" s="187"/>
      <c r="C1722" s="188"/>
      <c r="D1722" s="135"/>
      <c r="E1722" s="189"/>
      <c r="F1722" s="182" t="str">
        <f t="shared" si="1"/>
        <v/>
      </c>
      <c r="G1722" s="183">
        <f>IFERROR(__xludf.DUMMYFUNCTION("IFERROR(lookup(9999999999,FILTER('Operações-BR'!$M:$M,'Operações-BR'!$C:$C=A1722,'Operações-BR'!$A:$A&lt;=C1722)),0)"),0.0)</f>
        <v>0</v>
      </c>
      <c r="H1722" s="184">
        <f t="shared" si="2"/>
        <v>0</v>
      </c>
      <c r="I1722" s="184">
        <f>IFERROR(__xludf.DUMMYFUNCTION("IFERROR(lookup(9999999999,FILTER('Operações-BR'!Q:Q,'Operações-BR'!$C:$C=A1722,'Operações-BR'!$A:$A&lt;=C1722))/G1722,0)"),0.0)</f>
        <v>0</v>
      </c>
      <c r="J1722" s="185" t="str">
        <f>IFERROR(VLOOKUP(A1722,Ativos!$A$1:$G2000,5,),"")</f>
        <v/>
      </c>
      <c r="K1722" s="185" t="str">
        <f>IFERROR(VLOOKUP(A1722,Ativos!A:H,8,),"")</f>
        <v/>
      </c>
      <c r="L1722" s="186">
        <f t="shared" si="3"/>
        <v>0</v>
      </c>
    </row>
    <row r="1723" ht="21.0" customHeight="1">
      <c r="A1723" s="187"/>
      <c r="B1723" s="187"/>
      <c r="C1723" s="188"/>
      <c r="D1723" s="135"/>
      <c r="E1723" s="189"/>
      <c r="F1723" s="182" t="str">
        <f t="shared" si="1"/>
        <v/>
      </c>
      <c r="G1723" s="183">
        <f>IFERROR(__xludf.DUMMYFUNCTION("IFERROR(lookup(9999999999,FILTER('Operações-BR'!$M:$M,'Operações-BR'!$C:$C=A1723,'Operações-BR'!$A:$A&lt;=C1723)),0)"),0.0)</f>
        <v>0</v>
      </c>
      <c r="H1723" s="184">
        <f t="shared" si="2"/>
        <v>0</v>
      </c>
      <c r="I1723" s="184">
        <f>IFERROR(__xludf.DUMMYFUNCTION("IFERROR(lookup(9999999999,FILTER('Operações-BR'!Q:Q,'Operações-BR'!$C:$C=A1723,'Operações-BR'!$A:$A&lt;=C1723))/G1723,0)"),0.0)</f>
        <v>0</v>
      </c>
      <c r="J1723" s="185" t="str">
        <f>IFERROR(VLOOKUP(A1723,Ativos!$A$1:$G2000,5,),"")</f>
        <v/>
      </c>
      <c r="K1723" s="185" t="str">
        <f>IFERROR(VLOOKUP(A1723,Ativos!A:H,8,),"")</f>
        <v/>
      </c>
      <c r="L1723" s="186">
        <f t="shared" si="3"/>
        <v>0</v>
      </c>
    </row>
    <row r="1724" ht="21.0" customHeight="1">
      <c r="A1724" s="187"/>
      <c r="B1724" s="187"/>
      <c r="C1724" s="188"/>
      <c r="D1724" s="135"/>
      <c r="E1724" s="189"/>
      <c r="F1724" s="182" t="str">
        <f t="shared" si="1"/>
        <v/>
      </c>
      <c r="G1724" s="183">
        <f>IFERROR(__xludf.DUMMYFUNCTION("IFERROR(lookup(9999999999,FILTER('Operações-BR'!$M:$M,'Operações-BR'!$C:$C=A1724,'Operações-BR'!$A:$A&lt;=C1724)),0)"),0.0)</f>
        <v>0</v>
      </c>
      <c r="H1724" s="184">
        <f t="shared" si="2"/>
        <v>0</v>
      </c>
      <c r="I1724" s="184">
        <f>IFERROR(__xludf.DUMMYFUNCTION("IFERROR(lookup(9999999999,FILTER('Operações-BR'!Q:Q,'Operações-BR'!$C:$C=A1724,'Operações-BR'!$A:$A&lt;=C1724))/G1724,0)"),0.0)</f>
        <v>0</v>
      </c>
      <c r="J1724" s="185" t="str">
        <f>IFERROR(VLOOKUP(A1724,Ativos!$A$1:$G2000,5,),"")</f>
        <v/>
      </c>
      <c r="K1724" s="185" t="str">
        <f>IFERROR(VLOOKUP(A1724,Ativos!A:H,8,),"")</f>
        <v/>
      </c>
      <c r="L1724" s="186">
        <f t="shared" si="3"/>
        <v>0</v>
      </c>
    </row>
    <row r="1725" ht="21.0" customHeight="1">
      <c r="A1725" s="187"/>
      <c r="B1725" s="187"/>
      <c r="C1725" s="188"/>
      <c r="D1725" s="135"/>
      <c r="E1725" s="189"/>
      <c r="F1725" s="182" t="str">
        <f t="shared" si="1"/>
        <v/>
      </c>
      <c r="G1725" s="183">
        <f>IFERROR(__xludf.DUMMYFUNCTION("IFERROR(lookup(9999999999,FILTER('Operações-BR'!$M:$M,'Operações-BR'!$C:$C=A1725,'Operações-BR'!$A:$A&lt;=C1725)),0)"),0.0)</f>
        <v>0</v>
      </c>
      <c r="H1725" s="184">
        <f t="shared" si="2"/>
        <v>0</v>
      </c>
      <c r="I1725" s="184">
        <f>IFERROR(__xludf.DUMMYFUNCTION("IFERROR(lookup(9999999999,FILTER('Operações-BR'!Q:Q,'Operações-BR'!$C:$C=A1725,'Operações-BR'!$A:$A&lt;=C1725))/G1725,0)"),0.0)</f>
        <v>0</v>
      </c>
      <c r="J1725" s="185" t="str">
        <f>IFERROR(VLOOKUP(A1725,Ativos!$A$1:$G2000,5,),"")</f>
        <v/>
      </c>
      <c r="K1725" s="185" t="str">
        <f>IFERROR(VLOOKUP(A1725,Ativos!A:H,8,),"")</f>
        <v/>
      </c>
      <c r="L1725" s="186">
        <f t="shared" si="3"/>
        <v>0</v>
      </c>
    </row>
    <row r="1726" ht="21.0" customHeight="1">
      <c r="A1726" s="187"/>
      <c r="B1726" s="187"/>
      <c r="C1726" s="188"/>
      <c r="D1726" s="135"/>
      <c r="E1726" s="189"/>
      <c r="F1726" s="182" t="str">
        <f t="shared" si="1"/>
        <v/>
      </c>
      <c r="G1726" s="183">
        <f>IFERROR(__xludf.DUMMYFUNCTION("IFERROR(lookup(9999999999,FILTER('Operações-BR'!$M:$M,'Operações-BR'!$C:$C=A1726,'Operações-BR'!$A:$A&lt;=C1726)),0)"),0.0)</f>
        <v>0</v>
      </c>
      <c r="H1726" s="184">
        <f t="shared" si="2"/>
        <v>0</v>
      </c>
      <c r="I1726" s="184">
        <f>IFERROR(__xludf.DUMMYFUNCTION("IFERROR(lookup(9999999999,FILTER('Operações-BR'!Q:Q,'Operações-BR'!$C:$C=A1726,'Operações-BR'!$A:$A&lt;=C1726))/G1726,0)"),0.0)</f>
        <v>0</v>
      </c>
      <c r="J1726" s="185" t="str">
        <f>IFERROR(VLOOKUP(A1726,Ativos!$A$1:$G2000,5,),"")</f>
        <v/>
      </c>
      <c r="K1726" s="185" t="str">
        <f>IFERROR(VLOOKUP(A1726,Ativos!A:H,8,),"")</f>
        <v/>
      </c>
      <c r="L1726" s="186">
        <f t="shared" si="3"/>
        <v>0</v>
      </c>
    </row>
    <row r="1727" ht="21.0" customHeight="1">
      <c r="A1727" s="187"/>
      <c r="B1727" s="187"/>
      <c r="C1727" s="188"/>
      <c r="D1727" s="135"/>
      <c r="E1727" s="189"/>
      <c r="F1727" s="182" t="str">
        <f t="shared" si="1"/>
        <v/>
      </c>
      <c r="G1727" s="183">
        <f>IFERROR(__xludf.DUMMYFUNCTION("IFERROR(lookup(9999999999,FILTER('Operações-BR'!$M:$M,'Operações-BR'!$C:$C=A1727,'Operações-BR'!$A:$A&lt;=C1727)),0)"),0.0)</f>
        <v>0</v>
      </c>
      <c r="H1727" s="184">
        <f t="shared" si="2"/>
        <v>0</v>
      </c>
      <c r="I1727" s="184">
        <f>IFERROR(__xludf.DUMMYFUNCTION("IFERROR(lookup(9999999999,FILTER('Operações-BR'!Q:Q,'Operações-BR'!$C:$C=A1727,'Operações-BR'!$A:$A&lt;=C1727))/G1727,0)"),0.0)</f>
        <v>0</v>
      </c>
      <c r="J1727" s="185" t="str">
        <f>IFERROR(VLOOKUP(A1727,Ativos!$A$1:$G2000,5,),"")</f>
        <v/>
      </c>
      <c r="K1727" s="185" t="str">
        <f>IFERROR(VLOOKUP(A1727,Ativos!A:H,8,),"")</f>
        <v/>
      </c>
      <c r="L1727" s="186">
        <f t="shared" si="3"/>
        <v>0</v>
      </c>
    </row>
    <row r="1728" ht="21.0" customHeight="1">
      <c r="A1728" s="187"/>
      <c r="B1728" s="187"/>
      <c r="C1728" s="188"/>
      <c r="D1728" s="135"/>
      <c r="E1728" s="189"/>
      <c r="F1728" s="182" t="str">
        <f t="shared" si="1"/>
        <v/>
      </c>
      <c r="G1728" s="183">
        <f>IFERROR(__xludf.DUMMYFUNCTION("IFERROR(lookup(9999999999,FILTER('Operações-BR'!$M:$M,'Operações-BR'!$C:$C=A1728,'Operações-BR'!$A:$A&lt;=C1728)),0)"),0.0)</f>
        <v>0</v>
      </c>
      <c r="H1728" s="184">
        <f t="shared" si="2"/>
        <v>0</v>
      </c>
      <c r="I1728" s="184">
        <f>IFERROR(__xludf.DUMMYFUNCTION("IFERROR(lookup(9999999999,FILTER('Operações-BR'!Q:Q,'Operações-BR'!$C:$C=A1728,'Operações-BR'!$A:$A&lt;=C1728))/G1728,0)"),0.0)</f>
        <v>0</v>
      </c>
      <c r="J1728" s="185" t="str">
        <f>IFERROR(VLOOKUP(A1728,Ativos!$A$1:$G2000,5,),"")</f>
        <v/>
      </c>
      <c r="K1728" s="185" t="str">
        <f>IFERROR(VLOOKUP(A1728,Ativos!A:H,8,),"")</f>
        <v/>
      </c>
      <c r="L1728" s="186">
        <f t="shared" si="3"/>
        <v>0</v>
      </c>
    </row>
    <row r="1729" ht="21.0" customHeight="1">
      <c r="A1729" s="187"/>
      <c r="B1729" s="187"/>
      <c r="C1729" s="188"/>
      <c r="D1729" s="135"/>
      <c r="E1729" s="189"/>
      <c r="F1729" s="182" t="str">
        <f t="shared" si="1"/>
        <v/>
      </c>
      <c r="G1729" s="183">
        <f>IFERROR(__xludf.DUMMYFUNCTION("IFERROR(lookup(9999999999,FILTER('Operações-BR'!$M:$M,'Operações-BR'!$C:$C=A1729,'Operações-BR'!$A:$A&lt;=C1729)),0)"),0.0)</f>
        <v>0</v>
      </c>
      <c r="H1729" s="184">
        <f t="shared" si="2"/>
        <v>0</v>
      </c>
      <c r="I1729" s="184">
        <f>IFERROR(__xludf.DUMMYFUNCTION("IFERROR(lookup(9999999999,FILTER('Operações-BR'!Q:Q,'Operações-BR'!$C:$C=A1729,'Operações-BR'!$A:$A&lt;=C1729))/G1729,0)"),0.0)</f>
        <v>0</v>
      </c>
      <c r="J1729" s="185" t="str">
        <f>IFERROR(VLOOKUP(A1729,Ativos!$A$1:$G2000,5,),"")</f>
        <v/>
      </c>
      <c r="K1729" s="185" t="str">
        <f>IFERROR(VLOOKUP(A1729,Ativos!A:H,8,),"")</f>
        <v/>
      </c>
      <c r="L1729" s="186">
        <f t="shared" si="3"/>
        <v>0</v>
      </c>
    </row>
    <row r="1730" ht="21.0" customHeight="1">
      <c r="A1730" s="187"/>
      <c r="B1730" s="187"/>
      <c r="C1730" s="188"/>
      <c r="D1730" s="135"/>
      <c r="E1730" s="189"/>
      <c r="F1730" s="182" t="str">
        <f t="shared" si="1"/>
        <v/>
      </c>
      <c r="G1730" s="183">
        <f>IFERROR(__xludf.DUMMYFUNCTION("IFERROR(lookup(9999999999,FILTER('Operações-BR'!$M:$M,'Operações-BR'!$C:$C=A1730,'Operações-BR'!$A:$A&lt;=C1730)),0)"),0.0)</f>
        <v>0</v>
      </c>
      <c r="H1730" s="184">
        <f t="shared" si="2"/>
        <v>0</v>
      </c>
      <c r="I1730" s="184">
        <f>IFERROR(__xludf.DUMMYFUNCTION("IFERROR(lookup(9999999999,FILTER('Operações-BR'!Q:Q,'Operações-BR'!$C:$C=A1730,'Operações-BR'!$A:$A&lt;=C1730))/G1730,0)"),0.0)</f>
        <v>0</v>
      </c>
      <c r="J1730" s="185" t="str">
        <f>IFERROR(VLOOKUP(A1730,Ativos!$A$1:$G2000,5,),"")</f>
        <v/>
      </c>
      <c r="K1730" s="185" t="str">
        <f>IFERROR(VLOOKUP(A1730,Ativos!A:H,8,),"")</f>
        <v/>
      </c>
      <c r="L1730" s="186">
        <f t="shared" si="3"/>
        <v>0</v>
      </c>
    </row>
    <row r="1731" ht="21.0" customHeight="1">
      <c r="A1731" s="187"/>
      <c r="B1731" s="187"/>
      <c r="C1731" s="188"/>
      <c r="D1731" s="135"/>
      <c r="E1731" s="189"/>
      <c r="F1731" s="182" t="str">
        <f t="shared" si="1"/>
        <v/>
      </c>
      <c r="G1731" s="183">
        <f>IFERROR(__xludf.DUMMYFUNCTION("IFERROR(lookup(9999999999,FILTER('Operações-BR'!$M:$M,'Operações-BR'!$C:$C=A1731,'Operações-BR'!$A:$A&lt;=C1731)),0)"),0.0)</f>
        <v>0</v>
      </c>
      <c r="H1731" s="184">
        <f t="shared" si="2"/>
        <v>0</v>
      </c>
      <c r="I1731" s="184">
        <f>IFERROR(__xludf.DUMMYFUNCTION("IFERROR(lookup(9999999999,FILTER('Operações-BR'!Q:Q,'Operações-BR'!$C:$C=A1731,'Operações-BR'!$A:$A&lt;=C1731))/G1731,0)"),0.0)</f>
        <v>0</v>
      </c>
      <c r="J1731" s="185" t="str">
        <f>IFERROR(VLOOKUP(A1731,Ativos!$A$1:$G2000,5,),"")</f>
        <v/>
      </c>
      <c r="K1731" s="185" t="str">
        <f>IFERROR(VLOOKUP(A1731,Ativos!A:H,8,),"")</f>
        <v/>
      </c>
      <c r="L1731" s="186">
        <f t="shared" si="3"/>
        <v>0</v>
      </c>
    </row>
    <row r="1732" ht="21.0" customHeight="1">
      <c r="A1732" s="187"/>
      <c r="B1732" s="187"/>
      <c r="C1732" s="188"/>
      <c r="D1732" s="135"/>
      <c r="E1732" s="189"/>
      <c r="F1732" s="182" t="str">
        <f t="shared" si="1"/>
        <v/>
      </c>
      <c r="G1732" s="183">
        <f>IFERROR(__xludf.DUMMYFUNCTION("IFERROR(lookup(9999999999,FILTER('Operações-BR'!$M:$M,'Operações-BR'!$C:$C=A1732,'Operações-BR'!$A:$A&lt;=C1732)),0)"),0.0)</f>
        <v>0</v>
      </c>
      <c r="H1732" s="184">
        <f t="shared" si="2"/>
        <v>0</v>
      </c>
      <c r="I1732" s="184">
        <f>IFERROR(__xludf.DUMMYFUNCTION("IFERROR(lookup(9999999999,FILTER('Operações-BR'!Q:Q,'Operações-BR'!$C:$C=A1732,'Operações-BR'!$A:$A&lt;=C1732))/G1732,0)"),0.0)</f>
        <v>0</v>
      </c>
      <c r="J1732" s="185" t="str">
        <f>IFERROR(VLOOKUP(A1732,Ativos!$A$1:$G2000,5,),"")</f>
        <v/>
      </c>
      <c r="K1732" s="185" t="str">
        <f>IFERROR(VLOOKUP(A1732,Ativos!A:H,8,),"")</f>
        <v/>
      </c>
      <c r="L1732" s="186">
        <f t="shared" si="3"/>
        <v>0</v>
      </c>
    </row>
    <row r="1733" ht="21.0" customHeight="1">
      <c r="A1733" s="187"/>
      <c r="B1733" s="187"/>
      <c r="C1733" s="188"/>
      <c r="D1733" s="135"/>
      <c r="E1733" s="189"/>
      <c r="F1733" s="182" t="str">
        <f t="shared" si="1"/>
        <v/>
      </c>
      <c r="G1733" s="183">
        <f>IFERROR(__xludf.DUMMYFUNCTION("IFERROR(lookup(9999999999,FILTER('Operações-BR'!$M:$M,'Operações-BR'!$C:$C=A1733,'Operações-BR'!$A:$A&lt;=C1733)),0)"),0.0)</f>
        <v>0</v>
      </c>
      <c r="H1733" s="184">
        <f t="shared" si="2"/>
        <v>0</v>
      </c>
      <c r="I1733" s="184">
        <f>IFERROR(__xludf.DUMMYFUNCTION("IFERROR(lookup(9999999999,FILTER('Operações-BR'!Q:Q,'Operações-BR'!$C:$C=A1733,'Operações-BR'!$A:$A&lt;=C1733))/G1733,0)"),0.0)</f>
        <v>0</v>
      </c>
      <c r="J1733" s="185" t="str">
        <f>IFERROR(VLOOKUP(A1733,Ativos!$A$1:$G2000,5,),"")</f>
        <v/>
      </c>
      <c r="K1733" s="185" t="str">
        <f>IFERROR(VLOOKUP(A1733,Ativos!A:H,8,),"")</f>
        <v/>
      </c>
      <c r="L1733" s="186">
        <f t="shared" si="3"/>
        <v>0</v>
      </c>
    </row>
    <row r="1734" ht="21.0" customHeight="1">
      <c r="A1734" s="187"/>
      <c r="B1734" s="187"/>
      <c r="C1734" s="188"/>
      <c r="D1734" s="135"/>
      <c r="E1734" s="189"/>
      <c r="F1734" s="182" t="str">
        <f t="shared" si="1"/>
        <v/>
      </c>
      <c r="G1734" s="183">
        <f>IFERROR(__xludf.DUMMYFUNCTION("IFERROR(lookup(9999999999,FILTER('Operações-BR'!$M:$M,'Operações-BR'!$C:$C=A1734,'Operações-BR'!$A:$A&lt;=C1734)),0)"),0.0)</f>
        <v>0</v>
      </c>
      <c r="H1734" s="184">
        <f t="shared" si="2"/>
        <v>0</v>
      </c>
      <c r="I1734" s="184">
        <f>IFERROR(__xludf.DUMMYFUNCTION("IFERROR(lookup(9999999999,FILTER('Operações-BR'!Q:Q,'Operações-BR'!$C:$C=A1734,'Operações-BR'!$A:$A&lt;=C1734))/G1734,0)"),0.0)</f>
        <v>0</v>
      </c>
      <c r="J1734" s="185" t="str">
        <f>IFERROR(VLOOKUP(A1734,Ativos!$A$1:$G2000,5,),"")</f>
        <v/>
      </c>
      <c r="K1734" s="185" t="str">
        <f>IFERROR(VLOOKUP(A1734,Ativos!A:H,8,),"")</f>
        <v/>
      </c>
      <c r="L1734" s="186">
        <f t="shared" si="3"/>
        <v>0</v>
      </c>
    </row>
    <row r="1735" ht="21.0" customHeight="1">
      <c r="A1735" s="187"/>
      <c r="B1735" s="187"/>
      <c r="C1735" s="188"/>
      <c r="D1735" s="135"/>
      <c r="E1735" s="189"/>
      <c r="F1735" s="182" t="str">
        <f t="shared" si="1"/>
        <v/>
      </c>
      <c r="G1735" s="183">
        <f>IFERROR(__xludf.DUMMYFUNCTION("IFERROR(lookup(9999999999,FILTER('Operações-BR'!$M:$M,'Operações-BR'!$C:$C=A1735,'Operações-BR'!$A:$A&lt;=C1735)),0)"),0.0)</f>
        <v>0</v>
      </c>
      <c r="H1735" s="184">
        <f t="shared" si="2"/>
        <v>0</v>
      </c>
      <c r="I1735" s="184">
        <f>IFERROR(__xludf.DUMMYFUNCTION("IFERROR(lookup(9999999999,FILTER('Operações-BR'!Q:Q,'Operações-BR'!$C:$C=A1735,'Operações-BR'!$A:$A&lt;=C1735))/G1735,0)"),0.0)</f>
        <v>0</v>
      </c>
      <c r="J1735" s="185" t="str">
        <f>IFERROR(VLOOKUP(A1735,Ativos!$A$1:$G2000,5,),"")</f>
        <v/>
      </c>
      <c r="K1735" s="185" t="str">
        <f>IFERROR(VLOOKUP(A1735,Ativos!A:H,8,),"")</f>
        <v/>
      </c>
      <c r="L1735" s="186">
        <f t="shared" si="3"/>
        <v>0</v>
      </c>
    </row>
    <row r="1736" ht="21.0" customHeight="1">
      <c r="A1736" s="187"/>
      <c r="B1736" s="187"/>
      <c r="C1736" s="188"/>
      <c r="D1736" s="135"/>
      <c r="E1736" s="189"/>
      <c r="F1736" s="182" t="str">
        <f t="shared" si="1"/>
        <v/>
      </c>
      <c r="G1736" s="183">
        <f>IFERROR(__xludf.DUMMYFUNCTION("IFERROR(lookup(9999999999,FILTER('Operações-BR'!$M:$M,'Operações-BR'!$C:$C=A1736,'Operações-BR'!$A:$A&lt;=C1736)),0)"),0.0)</f>
        <v>0</v>
      </c>
      <c r="H1736" s="184">
        <f t="shared" si="2"/>
        <v>0</v>
      </c>
      <c r="I1736" s="184">
        <f>IFERROR(__xludf.DUMMYFUNCTION("IFERROR(lookup(9999999999,FILTER('Operações-BR'!Q:Q,'Operações-BR'!$C:$C=A1736,'Operações-BR'!$A:$A&lt;=C1736))/G1736,0)"),0.0)</f>
        <v>0</v>
      </c>
      <c r="J1736" s="185" t="str">
        <f>IFERROR(VLOOKUP(A1736,Ativos!$A$1:$G2000,5,),"")</f>
        <v/>
      </c>
      <c r="K1736" s="185" t="str">
        <f>IFERROR(VLOOKUP(A1736,Ativos!A:H,8,),"")</f>
        <v/>
      </c>
      <c r="L1736" s="186">
        <f t="shared" si="3"/>
        <v>0</v>
      </c>
    </row>
    <row r="1737" ht="21.0" customHeight="1">
      <c r="A1737" s="187"/>
      <c r="B1737" s="187"/>
      <c r="C1737" s="188"/>
      <c r="D1737" s="135"/>
      <c r="E1737" s="189"/>
      <c r="F1737" s="182" t="str">
        <f t="shared" si="1"/>
        <v/>
      </c>
      <c r="G1737" s="183">
        <f>IFERROR(__xludf.DUMMYFUNCTION("IFERROR(lookup(9999999999,FILTER('Operações-BR'!$M:$M,'Operações-BR'!$C:$C=A1737,'Operações-BR'!$A:$A&lt;=C1737)),0)"),0.0)</f>
        <v>0</v>
      </c>
      <c r="H1737" s="184">
        <f t="shared" si="2"/>
        <v>0</v>
      </c>
      <c r="I1737" s="184">
        <f>IFERROR(__xludf.DUMMYFUNCTION("IFERROR(lookup(9999999999,FILTER('Operações-BR'!Q:Q,'Operações-BR'!$C:$C=A1737,'Operações-BR'!$A:$A&lt;=C1737))/G1737,0)"),0.0)</f>
        <v>0</v>
      </c>
      <c r="J1737" s="185" t="str">
        <f>IFERROR(VLOOKUP(A1737,Ativos!$A$1:$G2000,5,),"")</f>
        <v/>
      </c>
      <c r="K1737" s="185" t="str">
        <f>IFERROR(VLOOKUP(A1737,Ativos!A:H,8,),"")</f>
        <v/>
      </c>
      <c r="L1737" s="186">
        <f t="shared" si="3"/>
        <v>0</v>
      </c>
    </row>
    <row r="1738" ht="21.0" customHeight="1">
      <c r="A1738" s="187"/>
      <c r="B1738" s="187"/>
      <c r="C1738" s="188"/>
      <c r="D1738" s="135"/>
      <c r="E1738" s="189"/>
      <c r="F1738" s="182" t="str">
        <f t="shared" si="1"/>
        <v/>
      </c>
      <c r="G1738" s="183">
        <f>IFERROR(__xludf.DUMMYFUNCTION("IFERROR(lookup(9999999999,FILTER('Operações-BR'!$M:$M,'Operações-BR'!$C:$C=A1738,'Operações-BR'!$A:$A&lt;=C1738)),0)"),0.0)</f>
        <v>0</v>
      </c>
      <c r="H1738" s="184">
        <f t="shared" si="2"/>
        <v>0</v>
      </c>
      <c r="I1738" s="184">
        <f>IFERROR(__xludf.DUMMYFUNCTION("IFERROR(lookup(9999999999,FILTER('Operações-BR'!Q:Q,'Operações-BR'!$C:$C=A1738,'Operações-BR'!$A:$A&lt;=C1738))/G1738,0)"),0.0)</f>
        <v>0</v>
      </c>
      <c r="J1738" s="185" t="str">
        <f>IFERROR(VLOOKUP(A1738,Ativos!$A$1:$G2000,5,),"")</f>
        <v/>
      </c>
      <c r="K1738" s="185" t="str">
        <f>IFERROR(VLOOKUP(A1738,Ativos!A:H,8,),"")</f>
        <v/>
      </c>
      <c r="L1738" s="186">
        <f t="shared" si="3"/>
        <v>0</v>
      </c>
    </row>
    <row r="1739" ht="21.0" customHeight="1">
      <c r="A1739" s="187"/>
      <c r="B1739" s="187"/>
      <c r="C1739" s="188"/>
      <c r="D1739" s="135"/>
      <c r="E1739" s="189"/>
      <c r="F1739" s="182" t="str">
        <f t="shared" si="1"/>
        <v/>
      </c>
      <c r="G1739" s="183">
        <f>IFERROR(__xludf.DUMMYFUNCTION("IFERROR(lookup(9999999999,FILTER('Operações-BR'!$M:$M,'Operações-BR'!$C:$C=A1739,'Operações-BR'!$A:$A&lt;=C1739)),0)"),0.0)</f>
        <v>0</v>
      </c>
      <c r="H1739" s="184">
        <f t="shared" si="2"/>
        <v>0</v>
      </c>
      <c r="I1739" s="184">
        <f>IFERROR(__xludf.DUMMYFUNCTION("IFERROR(lookup(9999999999,FILTER('Operações-BR'!Q:Q,'Operações-BR'!$C:$C=A1739,'Operações-BR'!$A:$A&lt;=C1739))/G1739,0)"),0.0)</f>
        <v>0</v>
      </c>
      <c r="J1739" s="185" t="str">
        <f>IFERROR(VLOOKUP(A1739,Ativos!$A$1:$G2000,5,),"")</f>
        <v/>
      </c>
      <c r="K1739" s="185" t="str">
        <f>IFERROR(VLOOKUP(A1739,Ativos!A:H,8,),"")</f>
        <v/>
      </c>
      <c r="L1739" s="186">
        <f t="shared" si="3"/>
        <v>0</v>
      </c>
    </row>
    <row r="1740" ht="21.0" customHeight="1">
      <c r="A1740" s="187"/>
      <c r="B1740" s="187"/>
      <c r="C1740" s="188"/>
      <c r="D1740" s="135"/>
      <c r="E1740" s="189"/>
      <c r="F1740" s="182" t="str">
        <f t="shared" si="1"/>
        <v/>
      </c>
      <c r="G1740" s="183">
        <f>IFERROR(__xludf.DUMMYFUNCTION("IFERROR(lookup(9999999999,FILTER('Operações-BR'!$M:$M,'Operações-BR'!$C:$C=A1740,'Operações-BR'!$A:$A&lt;=C1740)),0)"),0.0)</f>
        <v>0</v>
      </c>
      <c r="H1740" s="184">
        <f t="shared" si="2"/>
        <v>0</v>
      </c>
      <c r="I1740" s="184">
        <f>IFERROR(__xludf.DUMMYFUNCTION("IFERROR(lookup(9999999999,FILTER('Operações-BR'!Q:Q,'Operações-BR'!$C:$C=A1740,'Operações-BR'!$A:$A&lt;=C1740))/G1740,0)"),0.0)</f>
        <v>0</v>
      </c>
      <c r="J1740" s="185" t="str">
        <f>IFERROR(VLOOKUP(A1740,Ativos!$A$1:$G2000,5,),"")</f>
        <v/>
      </c>
      <c r="K1740" s="185" t="str">
        <f>IFERROR(VLOOKUP(A1740,Ativos!A:H,8,),"")</f>
        <v/>
      </c>
      <c r="L1740" s="186">
        <f t="shared" si="3"/>
        <v>0</v>
      </c>
    </row>
    <row r="1741" ht="21.0" customHeight="1">
      <c r="A1741" s="187"/>
      <c r="B1741" s="187"/>
      <c r="C1741" s="188"/>
      <c r="D1741" s="135"/>
      <c r="E1741" s="189"/>
      <c r="F1741" s="182" t="str">
        <f t="shared" si="1"/>
        <v/>
      </c>
      <c r="G1741" s="183">
        <f>IFERROR(__xludf.DUMMYFUNCTION("IFERROR(lookup(9999999999,FILTER('Operações-BR'!$M:$M,'Operações-BR'!$C:$C=A1741,'Operações-BR'!$A:$A&lt;=C1741)),0)"),0.0)</f>
        <v>0</v>
      </c>
      <c r="H1741" s="184">
        <f t="shared" si="2"/>
        <v>0</v>
      </c>
      <c r="I1741" s="184">
        <f>IFERROR(__xludf.DUMMYFUNCTION("IFERROR(lookup(9999999999,FILTER('Operações-BR'!Q:Q,'Operações-BR'!$C:$C=A1741,'Operações-BR'!$A:$A&lt;=C1741))/G1741,0)"),0.0)</f>
        <v>0</v>
      </c>
      <c r="J1741" s="185" t="str">
        <f>IFERROR(VLOOKUP(A1741,Ativos!$A$1:$G2000,5,),"")</f>
        <v/>
      </c>
      <c r="K1741" s="185" t="str">
        <f>IFERROR(VLOOKUP(A1741,Ativos!A:H,8,),"")</f>
        <v/>
      </c>
      <c r="L1741" s="186">
        <f t="shared" si="3"/>
        <v>0</v>
      </c>
    </row>
    <row r="1742" ht="21.0" customHeight="1">
      <c r="A1742" s="187"/>
      <c r="B1742" s="187"/>
      <c r="C1742" s="188"/>
      <c r="D1742" s="135"/>
      <c r="E1742" s="189"/>
      <c r="F1742" s="182" t="str">
        <f t="shared" si="1"/>
        <v/>
      </c>
      <c r="G1742" s="183">
        <f>IFERROR(__xludf.DUMMYFUNCTION("IFERROR(lookup(9999999999,FILTER('Operações-BR'!$M:$M,'Operações-BR'!$C:$C=A1742,'Operações-BR'!$A:$A&lt;=C1742)),0)"),0.0)</f>
        <v>0</v>
      </c>
      <c r="H1742" s="184">
        <f t="shared" si="2"/>
        <v>0</v>
      </c>
      <c r="I1742" s="184">
        <f>IFERROR(__xludf.DUMMYFUNCTION("IFERROR(lookup(9999999999,FILTER('Operações-BR'!Q:Q,'Operações-BR'!$C:$C=A1742,'Operações-BR'!$A:$A&lt;=C1742))/G1742,0)"),0.0)</f>
        <v>0</v>
      </c>
      <c r="J1742" s="185" t="str">
        <f>IFERROR(VLOOKUP(A1742,Ativos!$A$1:$G2000,5,),"")</f>
        <v/>
      </c>
      <c r="K1742" s="185" t="str">
        <f>IFERROR(VLOOKUP(A1742,Ativos!A:H,8,),"")</f>
        <v/>
      </c>
      <c r="L1742" s="186">
        <f t="shared" si="3"/>
        <v>0</v>
      </c>
    </row>
    <row r="1743" ht="21.0" customHeight="1">
      <c r="A1743" s="187"/>
      <c r="B1743" s="187"/>
      <c r="C1743" s="188"/>
      <c r="D1743" s="135"/>
      <c r="E1743" s="189"/>
      <c r="F1743" s="182" t="str">
        <f t="shared" si="1"/>
        <v/>
      </c>
      <c r="G1743" s="183">
        <f>IFERROR(__xludf.DUMMYFUNCTION("IFERROR(lookup(9999999999,FILTER('Operações-BR'!$M:$M,'Operações-BR'!$C:$C=A1743,'Operações-BR'!$A:$A&lt;=C1743)),0)"),0.0)</f>
        <v>0</v>
      </c>
      <c r="H1743" s="184">
        <f t="shared" si="2"/>
        <v>0</v>
      </c>
      <c r="I1743" s="184">
        <f>IFERROR(__xludf.DUMMYFUNCTION("IFERROR(lookup(9999999999,FILTER('Operações-BR'!Q:Q,'Operações-BR'!$C:$C=A1743,'Operações-BR'!$A:$A&lt;=C1743))/G1743,0)"),0.0)</f>
        <v>0</v>
      </c>
      <c r="J1743" s="185" t="str">
        <f>IFERROR(VLOOKUP(A1743,Ativos!$A$1:$G2000,5,),"")</f>
        <v/>
      </c>
      <c r="K1743" s="185" t="str">
        <f>IFERROR(VLOOKUP(A1743,Ativos!A:H,8,),"")</f>
        <v/>
      </c>
      <c r="L1743" s="186">
        <f t="shared" si="3"/>
        <v>0</v>
      </c>
    </row>
    <row r="1744" ht="21.0" customHeight="1">
      <c r="A1744" s="187"/>
      <c r="B1744" s="187"/>
      <c r="C1744" s="188"/>
      <c r="D1744" s="135"/>
      <c r="E1744" s="189"/>
      <c r="F1744" s="182" t="str">
        <f t="shared" si="1"/>
        <v/>
      </c>
      <c r="G1744" s="183">
        <f>IFERROR(__xludf.DUMMYFUNCTION("IFERROR(lookup(9999999999,FILTER('Operações-BR'!$M:$M,'Operações-BR'!$C:$C=A1744,'Operações-BR'!$A:$A&lt;=C1744)),0)"),0.0)</f>
        <v>0</v>
      </c>
      <c r="H1744" s="184">
        <f t="shared" si="2"/>
        <v>0</v>
      </c>
      <c r="I1744" s="184">
        <f>IFERROR(__xludf.DUMMYFUNCTION("IFERROR(lookup(9999999999,FILTER('Operações-BR'!Q:Q,'Operações-BR'!$C:$C=A1744,'Operações-BR'!$A:$A&lt;=C1744))/G1744,0)"),0.0)</f>
        <v>0</v>
      </c>
      <c r="J1744" s="185" t="str">
        <f>IFERROR(VLOOKUP(A1744,Ativos!$A$1:$G2000,5,),"")</f>
        <v/>
      </c>
      <c r="K1744" s="185" t="str">
        <f>IFERROR(VLOOKUP(A1744,Ativos!A:H,8,),"")</f>
        <v/>
      </c>
      <c r="L1744" s="186">
        <f t="shared" si="3"/>
        <v>0</v>
      </c>
    </row>
    <row r="1745" ht="21.0" customHeight="1">
      <c r="A1745" s="187"/>
      <c r="B1745" s="187"/>
      <c r="C1745" s="188"/>
      <c r="D1745" s="135"/>
      <c r="E1745" s="189"/>
      <c r="F1745" s="182" t="str">
        <f t="shared" si="1"/>
        <v/>
      </c>
      <c r="G1745" s="183">
        <f>IFERROR(__xludf.DUMMYFUNCTION("IFERROR(lookup(9999999999,FILTER('Operações-BR'!$M:$M,'Operações-BR'!$C:$C=A1745,'Operações-BR'!$A:$A&lt;=C1745)),0)"),0.0)</f>
        <v>0</v>
      </c>
      <c r="H1745" s="184">
        <f t="shared" si="2"/>
        <v>0</v>
      </c>
      <c r="I1745" s="184">
        <f>IFERROR(__xludf.DUMMYFUNCTION("IFERROR(lookup(9999999999,FILTER('Operações-BR'!Q:Q,'Operações-BR'!$C:$C=A1745,'Operações-BR'!$A:$A&lt;=C1745))/G1745,0)"),0.0)</f>
        <v>0</v>
      </c>
      <c r="J1745" s="185" t="str">
        <f>IFERROR(VLOOKUP(A1745,Ativos!$A$1:$G2000,5,),"")</f>
        <v/>
      </c>
      <c r="K1745" s="185" t="str">
        <f>IFERROR(VLOOKUP(A1745,Ativos!A:H,8,),"")</f>
        <v/>
      </c>
      <c r="L1745" s="186">
        <f t="shared" si="3"/>
        <v>0</v>
      </c>
    </row>
    <row r="1746" ht="21.0" customHeight="1">
      <c r="A1746" s="187"/>
      <c r="B1746" s="187"/>
      <c r="C1746" s="188"/>
      <c r="D1746" s="135"/>
      <c r="E1746" s="189"/>
      <c r="F1746" s="182" t="str">
        <f t="shared" si="1"/>
        <v/>
      </c>
      <c r="G1746" s="183">
        <f>IFERROR(__xludf.DUMMYFUNCTION("IFERROR(lookup(9999999999,FILTER('Operações-BR'!$M:$M,'Operações-BR'!$C:$C=A1746,'Operações-BR'!$A:$A&lt;=C1746)),0)"),0.0)</f>
        <v>0</v>
      </c>
      <c r="H1746" s="184">
        <f t="shared" si="2"/>
        <v>0</v>
      </c>
      <c r="I1746" s="184">
        <f>IFERROR(__xludf.DUMMYFUNCTION("IFERROR(lookup(9999999999,FILTER('Operações-BR'!Q:Q,'Operações-BR'!$C:$C=A1746,'Operações-BR'!$A:$A&lt;=C1746))/G1746,0)"),0.0)</f>
        <v>0</v>
      </c>
      <c r="J1746" s="185" t="str">
        <f>IFERROR(VLOOKUP(A1746,Ativos!$A$1:$G2000,5,),"")</f>
        <v/>
      </c>
      <c r="K1746" s="185" t="str">
        <f>IFERROR(VLOOKUP(A1746,Ativos!A:H,8,),"")</f>
        <v/>
      </c>
      <c r="L1746" s="186">
        <f t="shared" si="3"/>
        <v>0</v>
      </c>
    </row>
    <row r="1747" ht="21.0" customHeight="1">
      <c r="A1747" s="187"/>
      <c r="B1747" s="187"/>
      <c r="C1747" s="188"/>
      <c r="D1747" s="135"/>
      <c r="E1747" s="189"/>
      <c r="F1747" s="182" t="str">
        <f t="shared" si="1"/>
        <v/>
      </c>
      <c r="G1747" s="183">
        <f>IFERROR(__xludf.DUMMYFUNCTION("IFERROR(lookup(9999999999,FILTER('Operações-BR'!$M:$M,'Operações-BR'!$C:$C=A1747,'Operações-BR'!$A:$A&lt;=C1747)),0)"),0.0)</f>
        <v>0</v>
      </c>
      <c r="H1747" s="184">
        <f t="shared" si="2"/>
        <v>0</v>
      </c>
      <c r="I1747" s="184">
        <f>IFERROR(__xludf.DUMMYFUNCTION("IFERROR(lookup(9999999999,FILTER('Operações-BR'!Q:Q,'Operações-BR'!$C:$C=A1747,'Operações-BR'!$A:$A&lt;=C1747))/G1747,0)"),0.0)</f>
        <v>0</v>
      </c>
      <c r="J1747" s="185" t="str">
        <f>IFERROR(VLOOKUP(A1747,Ativos!$A$1:$G2000,5,),"")</f>
        <v/>
      </c>
      <c r="K1747" s="185" t="str">
        <f>IFERROR(VLOOKUP(A1747,Ativos!A:H,8,),"")</f>
        <v/>
      </c>
      <c r="L1747" s="186">
        <f t="shared" si="3"/>
        <v>0</v>
      </c>
    </row>
    <row r="1748" ht="21.0" customHeight="1">
      <c r="A1748" s="187"/>
      <c r="B1748" s="187"/>
      <c r="C1748" s="188"/>
      <c r="D1748" s="135"/>
      <c r="E1748" s="189"/>
      <c r="F1748" s="182" t="str">
        <f t="shared" si="1"/>
        <v/>
      </c>
      <c r="G1748" s="183">
        <f>IFERROR(__xludf.DUMMYFUNCTION("IFERROR(lookup(9999999999,FILTER('Operações-BR'!$M:$M,'Operações-BR'!$C:$C=A1748,'Operações-BR'!$A:$A&lt;=C1748)),0)"),0.0)</f>
        <v>0</v>
      </c>
      <c r="H1748" s="184">
        <f t="shared" si="2"/>
        <v>0</v>
      </c>
      <c r="I1748" s="184">
        <f>IFERROR(__xludf.DUMMYFUNCTION("IFERROR(lookup(9999999999,FILTER('Operações-BR'!Q:Q,'Operações-BR'!$C:$C=A1748,'Operações-BR'!$A:$A&lt;=C1748))/G1748,0)"),0.0)</f>
        <v>0</v>
      </c>
      <c r="J1748" s="185" t="str">
        <f>IFERROR(VLOOKUP(A1748,Ativos!$A$1:$G2000,5,),"")</f>
        <v/>
      </c>
      <c r="K1748" s="185" t="str">
        <f>IFERROR(VLOOKUP(A1748,Ativos!A:H,8,),"")</f>
        <v/>
      </c>
      <c r="L1748" s="186">
        <f t="shared" si="3"/>
        <v>0</v>
      </c>
    </row>
    <row r="1749" ht="21.0" customHeight="1">
      <c r="A1749" s="187"/>
      <c r="B1749" s="187"/>
      <c r="C1749" s="188"/>
      <c r="D1749" s="135"/>
      <c r="E1749" s="189"/>
      <c r="F1749" s="182" t="str">
        <f t="shared" si="1"/>
        <v/>
      </c>
      <c r="G1749" s="183">
        <f>IFERROR(__xludf.DUMMYFUNCTION("IFERROR(lookup(9999999999,FILTER('Operações-BR'!$M:$M,'Operações-BR'!$C:$C=A1749,'Operações-BR'!$A:$A&lt;=C1749)),0)"),0.0)</f>
        <v>0</v>
      </c>
      <c r="H1749" s="184">
        <f t="shared" si="2"/>
        <v>0</v>
      </c>
      <c r="I1749" s="184">
        <f>IFERROR(__xludf.DUMMYFUNCTION("IFERROR(lookup(9999999999,FILTER('Operações-BR'!Q:Q,'Operações-BR'!$C:$C=A1749,'Operações-BR'!$A:$A&lt;=C1749))/G1749,0)"),0.0)</f>
        <v>0</v>
      </c>
      <c r="J1749" s="185" t="str">
        <f>IFERROR(VLOOKUP(A1749,Ativos!$A$1:$G2000,5,),"")</f>
        <v/>
      </c>
      <c r="K1749" s="185" t="str">
        <f>IFERROR(VLOOKUP(A1749,Ativos!A:H,8,),"")</f>
        <v/>
      </c>
      <c r="L1749" s="186">
        <f t="shared" si="3"/>
        <v>0</v>
      </c>
    </row>
    <row r="1750" ht="21.0" customHeight="1">
      <c r="A1750" s="187"/>
      <c r="B1750" s="187"/>
      <c r="C1750" s="188"/>
      <c r="D1750" s="135"/>
      <c r="E1750" s="189"/>
      <c r="F1750" s="182" t="str">
        <f t="shared" si="1"/>
        <v/>
      </c>
      <c r="G1750" s="183">
        <f>IFERROR(__xludf.DUMMYFUNCTION("IFERROR(lookup(9999999999,FILTER('Operações-BR'!$M:$M,'Operações-BR'!$C:$C=A1750,'Operações-BR'!$A:$A&lt;=C1750)),0)"),0.0)</f>
        <v>0</v>
      </c>
      <c r="H1750" s="184">
        <f t="shared" si="2"/>
        <v>0</v>
      </c>
      <c r="I1750" s="184">
        <f>IFERROR(__xludf.DUMMYFUNCTION("IFERROR(lookup(9999999999,FILTER('Operações-BR'!Q:Q,'Operações-BR'!$C:$C=A1750,'Operações-BR'!$A:$A&lt;=C1750))/G1750,0)"),0.0)</f>
        <v>0</v>
      </c>
      <c r="J1750" s="185" t="str">
        <f>IFERROR(VLOOKUP(A1750,Ativos!$A$1:$G2000,5,),"")</f>
        <v/>
      </c>
      <c r="K1750" s="185" t="str">
        <f>IFERROR(VLOOKUP(A1750,Ativos!A:H,8,),"")</f>
        <v/>
      </c>
      <c r="L1750" s="186">
        <f t="shared" si="3"/>
        <v>0</v>
      </c>
    </row>
    <row r="1751" ht="21.0" customHeight="1">
      <c r="A1751" s="187"/>
      <c r="B1751" s="187"/>
      <c r="C1751" s="188"/>
      <c r="D1751" s="135"/>
      <c r="E1751" s="189"/>
      <c r="F1751" s="182" t="str">
        <f t="shared" si="1"/>
        <v/>
      </c>
      <c r="G1751" s="183">
        <f>IFERROR(__xludf.DUMMYFUNCTION("IFERROR(lookup(9999999999,FILTER('Operações-BR'!$M:$M,'Operações-BR'!$C:$C=A1751,'Operações-BR'!$A:$A&lt;=C1751)),0)"),0.0)</f>
        <v>0</v>
      </c>
      <c r="H1751" s="184">
        <f t="shared" si="2"/>
        <v>0</v>
      </c>
      <c r="I1751" s="184">
        <f>IFERROR(__xludf.DUMMYFUNCTION("IFERROR(lookup(9999999999,FILTER('Operações-BR'!Q:Q,'Operações-BR'!$C:$C=A1751,'Operações-BR'!$A:$A&lt;=C1751))/G1751,0)"),0.0)</f>
        <v>0</v>
      </c>
      <c r="J1751" s="185" t="str">
        <f>IFERROR(VLOOKUP(A1751,Ativos!$A$1:$G2000,5,),"")</f>
        <v/>
      </c>
      <c r="K1751" s="185" t="str">
        <f>IFERROR(VLOOKUP(A1751,Ativos!A:H,8,),"")</f>
        <v/>
      </c>
      <c r="L1751" s="186">
        <f t="shared" si="3"/>
        <v>0</v>
      </c>
    </row>
    <row r="1752" ht="21.0" customHeight="1">
      <c r="A1752" s="187"/>
      <c r="B1752" s="187"/>
      <c r="C1752" s="188"/>
      <c r="D1752" s="135"/>
      <c r="E1752" s="189"/>
      <c r="F1752" s="182" t="str">
        <f t="shared" si="1"/>
        <v/>
      </c>
      <c r="G1752" s="183">
        <f>IFERROR(__xludf.DUMMYFUNCTION("IFERROR(lookup(9999999999,FILTER('Operações-BR'!$M:$M,'Operações-BR'!$C:$C=A1752,'Operações-BR'!$A:$A&lt;=C1752)),0)"),0.0)</f>
        <v>0</v>
      </c>
      <c r="H1752" s="184">
        <f t="shared" si="2"/>
        <v>0</v>
      </c>
      <c r="I1752" s="184">
        <f>IFERROR(__xludf.DUMMYFUNCTION("IFERROR(lookup(9999999999,FILTER('Operações-BR'!Q:Q,'Operações-BR'!$C:$C=A1752,'Operações-BR'!$A:$A&lt;=C1752))/G1752,0)"),0.0)</f>
        <v>0</v>
      </c>
      <c r="J1752" s="185" t="str">
        <f>IFERROR(VLOOKUP(A1752,Ativos!$A$1:$G2000,5,),"")</f>
        <v/>
      </c>
      <c r="K1752" s="185" t="str">
        <f>IFERROR(VLOOKUP(A1752,Ativos!A:H,8,),"")</f>
        <v/>
      </c>
      <c r="L1752" s="186">
        <f t="shared" si="3"/>
        <v>0</v>
      </c>
    </row>
    <row r="1753" ht="21.0" customHeight="1">
      <c r="A1753" s="187"/>
      <c r="B1753" s="187"/>
      <c r="C1753" s="188"/>
      <c r="D1753" s="135"/>
      <c r="E1753" s="189"/>
      <c r="F1753" s="182" t="str">
        <f t="shared" si="1"/>
        <v/>
      </c>
      <c r="G1753" s="183">
        <f>IFERROR(__xludf.DUMMYFUNCTION("IFERROR(lookup(9999999999,FILTER('Operações-BR'!$M:$M,'Operações-BR'!$C:$C=A1753,'Operações-BR'!$A:$A&lt;=C1753)),0)"),0.0)</f>
        <v>0</v>
      </c>
      <c r="H1753" s="184">
        <f t="shared" si="2"/>
        <v>0</v>
      </c>
      <c r="I1753" s="184">
        <f>IFERROR(__xludf.DUMMYFUNCTION("IFERROR(lookup(9999999999,FILTER('Operações-BR'!Q:Q,'Operações-BR'!$C:$C=A1753,'Operações-BR'!$A:$A&lt;=C1753))/G1753,0)"),0.0)</f>
        <v>0</v>
      </c>
      <c r="J1753" s="185" t="str">
        <f>IFERROR(VLOOKUP(A1753,Ativos!$A$1:$G2000,5,),"")</f>
        <v/>
      </c>
      <c r="K1753" s="185" t="str">
        <f>IFERROR(VLOOKUP(A1753,Ativos!A:H,8,),"")</f>
        <v/>
      </c>
      <c r="L1753" s="186">
        <f t="shared" si="3"/>
        <v>0</v>
      </c>
    </row>
    <row r="1754" ht="21.0" customHeight="1">
      <c r="A1754" s="187"/>
      <c r="B1754" s="187"/>
      <c r="C1754" s="188"/>
      <c r="D1754" s="135"/>
      <c r="E1754" s="189"/>
      <c r="F1754" s="182" t="str">
        <f t="shared" si="1"/>
        <v/>
      </c>
      <c r="G1754" s="183">
        <f>IFERROR(__xludf.DUMMYFUNCTION("IFERROR(lookup(9999999999,FILTER('Operações-BR'!$M:$M,'Operações-BR'!$C:$C=A1754,'Operações-BR'!$A:$A&lt;=C1754)),0)"),0.0)</f>
        <v>0</v>
      </c>
      <c r="H1754" s="184">
        <f t="shared" si="2"/>
        <v>0</v>
      </c>
      <c r="I1754" s="184">
        <f>IFERROR(__xludf.DUMMYFUNCTION("IFERROR(lookup(9999999999,FILTER('Operações-BR'!Q:Q,'Operações-BR'!$C:$C=A1754,'Operações-BR'!$A:$A&lt;=C1754))/G1754,0)"),0.0)</f>
        <v>0</v>
      </c>
      <c r="J1754" s="185" t="str">
        <f>IFERROR(VLOOKUP(A1754,Ativos!$A$1:$G2000,5,),"")</f>
        <v/>
      </c>
      <c r="K1754" s="185" t="str">
        <f>IFERROR(VLOOKUP(A1754,Ativos!A:H,8,),"")</f>
        <v/>
      </c>
      <c r="L1754" s="186">
        <f t="shared" si="3"/>
        <v>0</v>
      </c>
    </row>
    <row r="1755" ht="21.0" customHeight="1">
      <c r="A1755" s="187"/>
      <c r="B1755" s="187"/>
      <c r="C1755" s="188"/>
      <c r="D1755" s="135"/>
      <c r="E1755" s="189"/>
      <c r="F1755" s="182" t="str">
        <f t="shared" si="1"/>
        <v/>
      </c>
      <c r="G1755" s="183">
        <f>IFERROR(__xludf.DUMMYFUNCTION("IFERROR(lookup(9999999999,FILTER('Operações-BR'!$M:$M,'Operações-BR'!$C:$C=A1755,'Operações-BR'!$A:$A&lt;=C1755)),0)"),0.0)</f>
        <v>0</v>
      </c>
      <c r="H1755" s="184">
        <f t="shared" si="2"/>
        <v>0</v>
      </c>
      <c r="I1755" s="184">
        <f>IFERROR(__xludf.DUMMYFUNCTION("IFERROR(lookup(9999999999,FILTER('Operações-BR'!Q:Q,'Operações-BR'!$C:$C=A1755,'Operações-BR'!$A:$A&lt;=C1755))/G1755,0)"),0.0)</f>
        <v>0</v>
      </c>
      <c r="J1755" s="185" t="str">
        <f>IFERROR(VLOOKUP(A1755,Ativos!$A$1:$G2000,5,),"")</f>
        <v/>
      </c>
      <c r="K1755" s="185" t="str">
        <f>IFERROR(VLOOKUP(A1755,Ativos!A:H,8,),"")</f>
        <v/>
      </c>
      <c r="L1755" s="186">
        <f t="shared" si="3"/>
        <v>0</v>
      </c>
    </row>
    <row r="1756" ht="21.0" customHeight="1">
      <c r="A1756" s="187"/>
      <c r="B1756" s="187"/>
      <c r="C1756" s="188"/>
      <c r="D1756" s="135"/>
      <c r="E1756" s="189"/>
      <c r="F1756" s="182" t="str">
        <f t="shared" si="1"/>
        <v/>
      </c>
      <c r="G1756" s="183">
        <f>IFERROR(__xludf.DUMMYFUNCTION("IFERROR(lookup(9999999999,FILTER('Operações-BR'!$M:$M,'Operações-BR'!$C:$C=A1756,'Operações-BR'!$A:$A&lt;=C1756)),0)"),0.0)</f>
        <v>0</v>
      </c>
      <c r="H1756" s="184">
        <f t="shared" si="2"/>
        <v>0</v>
      </c>
      <c r="I1756" s="184">
        <f>IFERROR(__xludf.DUMMYFUNCTION("IFERROR(lookup(9999999999,FILTER('Operações-BR'!Q:Q,'Operações-BR'!$C:$C=A1756,'Operações-BR'!$A:$A&lt;=C1756))/G1756,0)"),0.0)</f>
        <v>0</v>
      </c>
      <c r="J1756" s="185" t="str">
        <f>IFERROR(VLOOKUP(A1756,Ativos!$A$1:$G2000,5,),"")</f>
        <v/>
      </c>
      <c r="K1756" s="185" t="str">
        <f>IFERROR(VLOOKUP(A1756,Ativos!A:H,8,),"")</f>
        <v/>
      </c>
      <c r="L1756" s="186">
        <f t="shared" si="3"/>
        <v>0</v>
      </c>
    </row>
    <row r="1757" ht="21.0" customHeight="1">
      <c r="A1757" s="187"/>
      <c r="B1757" s="187"/>
      <c r="C1757" s="188"/>
      <c r="D1757" s="135"/>
      <c r="E1757" s="189"/>
      <c r="F1757" s="182" t="str">
        <f t="shared" si="1"/>
        <v/>
      </c>
      <c r="G1757" s="183">
        <f>IFERROR(__xludf.DUMMYFUNCTION("IFERROR(lookup(9999999999,FILTER('Operações-BR'!$M:$M,'Operações-BR'!$C:$C=A1757,'Operações-BR'!$A:$A&lt;=C1757)),0)"),0.0)</f>
        <v>0</v>
      </c>
      <c r="H1757" s="184">
        <f t="shared" si="2"/>
        <v>0</v>
      </c>
      <c r="I1757" s="184">
        <f>IFERROR(__xludf.DUMMYFUNCTION("IFERROR(lookup(9999999999,FILTER('Operações-BR'!Q:Q,'Operações-BR'!$C:$C=A1757,'Operações-BR'!$A:$A&lt;=C1757))/G1757,0)"),0.0)</f>
        <v>0</v>
      </c>
      <c r="J1757" s="185" t="str">
        <f>IFERROR(VLOOKUP(A1757,Ativos!$A$1:$G2000,5,),"")</f>
        <v/>
      </c>
      <c r="K1757" s="185" t="str">
        <f>IFERROR(VLOOKUP(A1757,Ativos!A:H,8,),"")</f>
        <v/>
      </c>
      <c r="L1757" s="186">
        <f t="shared" si="3"/>
        <v>0</v>
      </c>
    </row>
    <row r="1758" ht="21.0" customHeight="1">
      <c r="A1758" s="187"/>
      <c r="B1758" s="187"/>
      <c r="C1758" s="188"/>
      <c r="D1758" s="135"/>
      <c r="E1758" s="189"/>
      <c r="F1758" s="182" t="str">
        <f t="shared" si="1"/>
        <v/>
      </c>
      <c r="G1758" s="183">
        <f>IFERROR(__xludf.DUMMYFUNCTION("IFERROR(lookup(9999999999,FILTER('Operações-BR'!$M:$M,'Operações-BR'!$C:$C=A1758,'Operações-BR'!$A:$A&lt;=C1758)),0)"),0.0)</f>
        <v>0</v>
      </c>
      <c r="H1758" s="184">
        <f t="shared" si="2"/>
        <v>0</v>
      </c>
      <c r="I1758" s="184">
        <f>IFERROR(__xludf.DUMMYFUNCTION("IFERROR(lookup(9999999999,FILTER('Operações-BR'!Q:Q,'Operações-BR'!$C:$C=A1758,'Operações-BR'!$A:$A&lt;=C1758))/G1758,0)"),0.0)</f>
        <v>0</v>
      </c>
      <c r="J1758" s="185" t="str">
        <f>IFERROR(VLOOKUP(A1758,Ativos!$A$1:$G2000,5,),"")</f>
        <v/>
      </c>
      <c r="K1758" s="185" t="str">
        <f>IFERROR(VLOOKUP(A1758,Ativos!A:H,8,),"")</f>
        <v/>
      </c>
      <c r="L1758" s="186">
        <f t="shared" si="3"/>
        <v>0</v>
      </c>
    </row>
    <row r="1759" ht="21.0" customHeight="1">
      <c r="A1759" s="187"/>
      <c r="B1759" s="187"/>
      <c r="C1759" s="188"/>
      <c r="D1759" s="135"/>
      <c r="E1759" s="189"/>
      <c r="F1759" s="182" t="str">
        <f t="shared" si="1"/>
        <v/>
      </c>
      <c r="G1759" s="183">
        <f>IFERROR(__xludf.DUMMYFUNCTION("IFERROR(lookup(9999999999,FILTER('Operações-BR'!$M:$M,'Operações-BR'!$C:$C=A1759,'Operações-BR'!$A:$A&lt;=C1759)),0)"),0.0)</f>
        <v>0</v>
      </c>
      <c r="H1759" s="184">
        <f t="shared" si="2"/>
        <v>0</v>
      </c>
      <c r="I1759" s="184">
        <f>IFERROR(__xludf.DUMMYFUNCTION("IFERROR(lookup(9999999999,FILTER('Operações-BR'!Q:Q,'Operações-BR'!$C:$C=A1759,'Operações-BR'!$A:$A&lt;=C1759))/G1759,0)"),0.0)</f>
        <v>0</v>
      </c>
      <c r="J1759" s="185" t="str">
        <f>IFERROR(VLOOKUP(A1759,Ativos!$A$1:$G2000,5,),"")</f>
        <v/>
      </c>
      <c r="K1759" s="185" t="str">
        <f>IFERROR(VLOOKUP(A1759,Ativos!A:H,8,),"")</f>
        <v/>
      </c>
      <c r="L1759" s="186">
        <f t="shared" si="3"/>
        <v>0</v>
      </c>
    </row>
    <row r="1760" ht="21.0" customHeight="1">
      <c r="A1760" s="187"/>
      <c r="B1760" s="187"/>
      <c r="C1760" s="188"/>
      <c r="D1760" s="135"/>
      <c r="E1760" s="189"/>
      <c r="F1760" s="182" t="str">
        <f t="shared" si="1"/>
        <v/>
      </c>
      <c r="G1760" s="183">
        <f>IFERROR(__xludf.DUMMYFUNCTION("IFERROR(lookup(9999999999,FILTER('Operações-BR'!$M:$M,'Operações-BR'!$C:$C=A1760,'Operações-BR'!$A:$A&lt;=C1760)),0)"),0.0)</f>
        <v>0</v>
      </c>
      <c r="H1760" s="184">
        <f t="shared" si="2"/>
        <v>0</v>
      </c>
      <c r="I1760" s="184">
        <f>IFERROR(__xludf.DUMMYFUNCTION("IFERROR(lookup(9999999999,FILTER('Operações-BR'!Q:Q,'Operações-BR'!$C:$C=A1760,'Operações-BR'!$A:$A&lt;=C1760))/G1760,0)"),0.0)</f>
        <v>0</v>
      </c>
      <c r="J1760" s="185" t="str">
        <f>IFERROR(VLOOKUP(A1760,Ativos!$A$1:$G2000,5,),"")</f>
        <v/>
      </c>
      <c r="K1760" s="185" t="str">
        <f>IFERROR(VLOOKUP(A1760,Ativos!A:H,8,),"")</f>
        <v/>
      </c>
      <c r="L1760" s="186">
        <f t="shared" si="3"/>
        <v>0</v>
      </c>
    </row>
    <row r="1761" ht="21.0" customHeight="1">
      <c r="A1761" s="187"/>
      <c r="B1761" s="187"/>
      <c r="C1761" s="188"/>
      <c r="D1761" s="135"/>
      <c r="E1761" s="189"/>
      <c r="F1761" s="182" t="str">
        <f t="shared" si="1"/>
        <v/>
      </c>
      <c r="G1761" s="183">
        <f>IFERROR(__xludf.DUMMYFUNCTION("IFERROR(lookup(9999999999,FILTER('Operações-BR'!$M:$M,'Operações-BR'!$C:$C=A1761,'Operações-BR'!$A:$A&lt;=C1761)),0)"),0.0)</f>
        <v>0</v>
      </c>
      <c r="H1761" s="184">
        <f t="shared" si="2"/>
        <v>0</v>
      </c>
      <c r="I1761" s="184">
        <f>IFERROR(__xludf.DUMMYFUNCTION("IFERROR(lookup(9999999999,FILTER('Operações-BR'!Q:Q,'Operações-BR'!$C:$C=A1761,'Operações-BR'!$A:$A&lt;=C1761))/G1761,0)"),0.0)</f>
        <v>0</v>
      </c>
      <c r="J1761" s="185" t="str">
        <f>IFERROR(VLOOKUP(A1761,Ativos!$A$1:$G2000,5,),"")</f>
        <v/>
      </c>
      <c r="K1761" s="185" t="str">
        <f>IFERROR(VLOOKUP(A1761,Ativos!A:H,8,),"")</f>
        <v/>
      </c>
      <c r="L1761" s="186">
        <f t="shared" si="3"/>
        <v>0</v>
      </c>
    </row>
    <row r="1762" ht="21.0" customHeight="1">
      <c r="A1762" s="187"/>
      <c r="B1762" s="187"/>
      <c r="C1762" s="188"/>
      <c r="D1762" s="135"/>
      <c r="E1762" s="189"/>
      <c r="F1762" s="182" t="str">
        <f t="shared" si="1"/>
        <v/>
      </c>
      <c r="G1762" s="183">
        <f>IFERROR(__xludf.DUMMYFUNCTION("IFERROR(lookup(9999999999,FILTER('Operações-BR'!$M:$M,'Operações-BR'!$C:$C=A1762,'Operações-BR'!$A:$A&lt;=C1762)),0)"),0.0)</f>
        <v>0</v>
      </c>
      <c r="H1762" s="184">
        <f t="shared" si="2"/>
        <v>0</v>
      </c>
      <c r="I1762" s="184">
        <f>IFERROR(__xludf.DUMMYFUNCTION("IFERROR(lookup(9999999999,FILTER('Operações-BR'!Q:Q,'Operações-BR'!$C:$C=A1762,'Operações-BR'!$A:$A&lt;=C1762))/G1762,0)"),0.0)</f>
        <v>0</v>
      </c>
      <c r="J1762" s="185" t="str">
        <f>IFERROR(VLOOKUP(A1762,Ativos!$A$1:$G2000,5,),"")</f>
        <v/>
      </c>
      <c r="K1762" s="185" t="str">
        <f>IFERROR(VLOOKUP(A1762,Ativos!A:H,8,),"")</f>
        <v/>
      </c>
      <c r="L1762" s="186">
        <f t="shared" si="3"/>
        <v>0</v>
      </c>
    </row>
    <row r="1763" ht="21.0" customHeight="1">
      <c r="A1763" s="187"/>
      <c r="B1763" s="187"/>
      <c r="C1763" s="188"/>
      <c r="D1763" s="135"/>
      <c r="E1763" s="189"/>
      <c r="F1763" s="182" t="str">
        <f t="shared" si="1"/>
        <v/>
      </c>
      <c r="G1763" s="183">
        <f>IFERROR(__xludf.DUMMYFUNCTION("IFERROR(lookup(9999999999,FILTER('Operações-BR'!$M:$M,'Operações-BR'!$C:$C=A1763,'Operações-BR'!$A:$A&lt;=C1763)),0)"),0.0)</f>
        <v>0</v>
      </c>
      <c r="H1763" s="184">
        <f t="shared" si="2"/>
        <v>0</v>
      </c>
      <c r="I1763" s="184">
        <f>IFERROR(__xludf.DUMMYFUNCTION("IFERROR(lookup(9999999999,FILTER('Operações-BR'!Q:Q,'Operações-BR'!$C:$C=A1763,'Operações-BR'!$A:$A&lt;=C1763))/G1763,0)"),0.0)</f>
        <v>0</v>
      </c>
      <c r="J1763" s="185" t="str">
        <f>IFERROR(VLOOKUP(A1763,Ativos!$A$1:$G2000,5,),"")</f>
        <v/>
      </c>
      <c r="K1763" s="185" t="str">
        <f>IFERROR(VLOOKUP(A1763,Ativos!A:H,8,),"")</f>
        <v/>
      </c>
      <c r="L1763" s="186">
        <f t="shared" si="3"/>
        <v>0</v>
      </c>
    </row>
    <row r="1764" ht="21.0" customHeight="1">
      <c r="A1764" s="187"/>
      <c r="B1764" s="187"/>
      <c r="C1764" s="188"/>
      <c r="D1764" s="135"/>
      <c r="E1764" s="189"/>
      <c r="F1764" s="182" t="str">
        <f t="shared" si="1"/>
        <v/>
      </c>
      <c r="G1764" s="183">
        <f>IFERROR(__xludf.DUMMYFUNCTION("IFERROR(lookup(9999999999,FILTER('Operações-BR'!$M:$M,'Operações-BR'!$C:$C=A1764,'Operações-BR'!$A:$A&lt;=C1764)),0)"),0.0)</f>
        <v>0</v>
      </c>
      <c r="H1764" s="184">
        <f t="shared" si="2"/>
        <v>0</v>
      </c>
      <c r="I1764" s="184">
        <f>IFERROR(__xludf.DUMMYFUNCTION("IFERROR(lookup(9999999999,FILTER('Operações-BR'!Q:Q,'Operações-BR'!$C:$C=A1764,'Operações-BR'!$A:$A&lt;=C1764))/G1764,0)"),0.0)</f>
        <v>0</v>
      </c>
      <c r="J1764" s="185" t="str">
        <f>IFERROR(VLOOKUP(A1764,Ativos!$A$1:$G2000,5,),"")</f>
        <v/>
      </c>
      <c r="K1764" s="185" t="str">
        <f>IFERROR(VLOOKUP(A1764,Ativos!A:H,8,),"")</f>
        <v/>
      </c>
      <c r="L1764" s="186">
        <f t="shared" si="3"/>
        <v>0</v>
      </c>
    </row>
    <row r="1765" ht="21.0" customHeight="1">
      <c r="A1765" s="187"/>
      <c r="B1765" s="187"/>
      <c r="C1765" s="188"/>
      <c r="D1765" s="135"/>
      <c r="E1765" s="189"/>
      <c r="F1765" s="182" t="str">
        <f t="shared" si="1"/>
        <v/>
      </c>
      <c r="G1765" s="183">
        <f>IFERROR(__xludf.DUMMYFUNCTION("IFERROR(lookup(9999999999,FILTER('Operações-BR'!$M:$M,'Operações-BR'!$C:$C=A1765,'Operações-BR'!$A:$A&lt;=C1765)),0)"),0.0)</f>
        <v>0</v>
      </c>
      <c r="H1765" s="184">
        <f t="shared" si="2"/>
        <v>0</v>
      </c>
      <c r="I1765" s="184">
        <f>IFERROR(__xludf.DUMMYFUNCTION("IFERROR(lookup(9999999999,FILTER('Operações-BR'!Q:Q,'Operações-BR'!$C:$C=A1765,'Operações-BR'!$A:$A&lt;=C1765))/G1765,0)"),0.0)</f>
        <v>0</v>
      </c>
      <c r="J1765" s="185" t="str">
        <f>IFERROR(VLOOKUP(A1765,Ativos!$A$1:$G2000,5,),"")</f>
        <v/>
      </c>
      <c r="K1765" s="185" t="str">
        <f>IFERROR(VLOOKUP(A1765,Ativos!A:H,8,),"")</f>
        <v/>
      </c>
      <c r="L1765" s="186">
        <f t="shared" si="3"/>
        <v>0</v>
      </c>
    </row>
    <row r="1766" ht="21.0" customHeight="1">
      <c r="A1766" s="187"/>
      <c r="B1766" s="187"/>
      <c r="C1766" s="188"/>
      <c r="D1766" s="135"/>
      <c r="E1766" s="189"/>
      <c r="F1766" s="182" t="str">
        <f t="shared" si="1"/>
        <v/>
      </c>
      <c r="G1766" s="183">
        <f>IFERROR(__xludf.DUMMYFUNCTION("IFERROR(lookup(9999999999,FILTER('Operações-BR'!$M:$M,'Operações-BR'!$C:$C=A1766,'Operações-BR'!$A:$A&lt;=C1766)),0)"),0.0)</f>
        <v>0</v>
      </c>
      <c r="H1766" s="184">
        <f t="shared" si="2"/>
        <v>0</v>
      </c>
      <c r="I1766" s="184">
        <f>IFERROR(__xludf.DUMMYFUNCTION("IFERROR(lookup(9999999999,FILTER('Operações-BR'!Q:Q,'Operações-BR'!$C:$C=A1766,'Operações-BR'!$A:$A&lt;=C1766))/G1766,0)"),0.0)</f>
        <v>0</v>
      </c>
      <c r="J1766" s="185" t="str">
        <f>IFERROR(VLOOKUP(A1766,Ativos!$A$1:$G2000,5,),"")</f>
        <v/>
      </c>
      <c r="K1766" s="185" t="str">
        <f>IFERROR(VLOOKUP(A1766,Ativos!A:H,8,),"")</f>
        <v/>
      </c>
      <c r="L1766" s="186">
        <f t="shared" si="3"/>
        <v>0</v>
      </c>
    </row>
    <row r="1767" ht="21.0" customHeight="1">
      <c r="A1767" s="187"/>
      <c r="B1767" s="187"/>
      <c r="C1767" s="188"/>
      <c r="D1767" s="135"/>
      <c r="E1767" s="189"/>
      <c r="F1767" s="182" t="str">
        <f t="shared" si="1"/>
        <v/>
      </c>
      <c r="G1767" s="183">
        <f>IFERROR(__xludf.DUMMYFUNCTION("IFERROR(lookup(9999999999,FILTER('Operações-BR'!$M:$M,'Operações-BR'!$C:$C=A1767,'Operações-BR'!$A:$A&lt;=C1767)),0)"),0.0)</f>
        <v>0</v>
      </c>
      <c r="H1767" s="184">
        <f t="shared" si="2"/>
        <v>0</v>
      </c>
      <c r="I1767" s="184">
        <f>IFERROR(__xludf.DUMMYFUNCTION("IFERROR(lookup(9999999999,FILTER('Operações-BR'!Q:Q,'Operações-BR'!$C:$C=A1767,'Operações-BR'!$A:$A&lt;=C1767))/G1767,0)"),0.0)</f>
        <v>0</v>
      </c>
      <c r="J1767" s="185" t="str">
        <f>IFERROR(VLOOKUP(A1767,Ativos!$A$1:$G2000,5,),"")</f>
        <v/>
      </c>
      <c r="K1767" s="185" t="str">
        <f>IFERROR(VLOOKUP(A1767,Ativos!A:H,8,),"")</f>
        <v/>
      </c>
      <c r="L1767" s="186">
        <f t="shared" si="3"/>
        <v>0</v>
      </c>
    </row>
    <row r="1768" ht="21.0" customHeight="1">
      <c r="A1768" s="187"/>
      <c r="B1768" s="187"/>
      <c r="C1768" s="188"/>
      <c r="D1768" s="135"/>
      <c r="E1768" s="189"/>
      <c r="F1768" s="182" t="str">
        <f t="shared" si="1"/>
        <v/>
      </c>
      <c r="G1768" s="183">
        <f>IFERROR(__xludf.DUMMYFUNCTION("IFERROR(lookup(9999999999,FILTER('Operações-BR'!$M:$M,'Operações-BR'!$C:$C=A1768,'Operações-BR'!$A:$A&lt;=C1768)),0)"),0.0)</f>
        <v>0</v>
      </c>
      <c r="H1768" s="184">
        <f t="shared" si="2"/>
        <v>0</v>
      </c>
      <c r="I1768" s="184">
        <f>IFERROR(__xludf.DUMMYFUNCTION("IFERROR(lookup(9999999999,FILTER('Operações-BR'!Q:Q,'Operações-BR'!$C:$C=A1768,'Operações-BR'!$A:$A&lt;=C1768))/G1768,0)"),0.0)</f>
        <v>0</v>
      </c>
      <c r="J1768" s="185" t="str">
        <f>IFERROR(VLOOKUP(A1768,Ativos!$A$1:$G2000,5,),"")</f>
        <v/>
      </c>
      <c r="K1768" s="185" t="str">
        <f>IFERROR(VLOOKUP(A1768,Ativos!A:H,8,),"")</f>
        <v/>
      </c>
      <c r="L1768" s="186">
        <f t="shared" si="3"/>
        <v>0</v>
      </c>
    </row>
    <row r="1769" ht="21.0" customHeight="1">
      <c r="A1769" s="187"/>
      <c r="B1769" s="187"/>
      <c r="C1769" s="188"/>
      <c r="D1769" s="135"/>
      <c r="E1769" s="189"/>
      <c r="F1769" s="182" t="str">
        <f t="shared" si="1"/>
        <v/>
      </c>
      <c r="G1769" s="183">
        <f>IFERROR(__xludf.DUMMYFUNCTION("IFERROR(lookup(9999999999,FILTER('Operações-BR'!$M:$M,'Operações-BR'!$C:$C=A1769,'Operações-BR'!$A:$A&lt;=C1769)),0)"),0.0)</f>
        <v>0</v>
      </c>
      <c r="H1769" s="184">
        <f t="shared" si="2"/>
        <v>0</v>
      </c>
      <c r="I1769" s="184">
        <f>IFERROR(__xludf.DUMMYFUNCTION("IFERROR(lookup(9999999999,FILTER('Operações-BR'!Q:Q,'Operações-BR'!$C:$C=A1769,'Operações-BR'!$A:$A&lt;=C1769))/G1769,0)"),0.0)</f>
        <v>0</v>
      </c>
      <c r="J1769" s="185" t="str">
        <f>IFERROR(VLOOKUP(A1769,Ativos!$A$1:$G2000,5,),"")</f>
        <v/>
      </c>
      <c r="K1769" s="185" t="str">
        <f>IFERROR(VLOOKUP(A1769,Ativos!A:H,8,),"")</f>
        <v/>
      </c>
      <c r="L1769" s="186">
        <f t="shared" si="3"/>
        <v>0</v>
      </c>
    </row>
    <row r="1770" ht="21.0" customHeight="1">
      <c r="A1770" s="187"/>
      <c r="B1770" s="187"/>
      <c r="C1770" s="188"/>
      <c r="D1770" s="135"/>
      <c r="E1770" s="189"/>
      <c r="F1770" s="182" t="str">
        <f t="shared" si="1"/>
        <v/>
      </c>
      <c r="G1770" s="183">
        <f>IFERROR(__xludf.DUMMYFUNCTION("IFERROR(lookup(9999999999,FILTER('Operações-BR'!$M:$M,'Operações-BR'!$C:$C=A1770,'Operações-BR'!$A:$A&lt;=C1770)),0)"),0.0)</f>
        <v>0</v>
      </c>
      <c r="H1770" s="184">
        <f t="shared" si="2"/>
        <v>0</v>
      </c>
      <c r="I1770" s="184">
        <f>IFERROR(__xludf.DUMMYFUNCTION("IFERROR(lookup(9999999999,FILTER('Operações-BR'!Q:Q,'Operações-BR'!$C:$C=A1770,'Operações-BR'!$A:$A&lt;=C1770))/G1770,0)"),0.0)</f>
        <v>0</v>
      </c>
      <c r="J1770" s="185" t="str">
        <f>IFERROR(VLOOKUP(A1770,Ativos!$A$1:$G2000,5,),"")</f>
        <v/>
      </c>
      <c r="K1770" s="185" t="str">
        <f>IFERROR(VLOOKUP(A1770,Ativos!A:H,8,),"")</f>
        <v/>
      </c>
      <c r="L1770" s="186">
        <f t="shared" si="3"/>
        <v>0</v>
      </c>
    </row>
    <row r="1771" ht="21.0" customHeight="1">
      <c r="A1771" s="187"/>
      <c r="B1771" s="187"/>
      <c r="C1771" s="188"/>
      <c r="D1771" s="135"/>
      <c r="E1771" s="189"/>
      <c r="F1771" s="182" t="str">
        <f t="shared" si="1"/>
        <v/>
      </c>
      <c r="G1771" s="183">
        <f>IFERROR(__xludf.DUMMYFUNCTION("IFERROR(lookup(9999999999,FILTER('Operações-BR'!$M:$M,'Operações-BR'!$C:$C=A1771,'Operações-BR'!$A:$A&lt;=C1771)),0)"),0.0)</f>
        <v>0</v>
      </c>
      <c r="H1771" s="184">
        <f t="shared" si="2"/>
        <v>0</v>
      </c>
      <c r="I1771" s="184">
        <f>IFERROR(__xludf.DUMMYFUNCTION("IFERROR(lookup(9999999999,FILTER('Operações-BR'!Q:Q,'Operações-BR'!$C:$C=A1771,'Operações-BR'!$A:$A&lt;=C1771))/G1771,0)"),0.0)</f>
        <v>0</v>
      </c>
      <c r="J1771" s="185" t="str">
        <f>IFERROR(VLOOKUP(A1771,Ativos!$A$1:$G2000,5,),"")</f>
        <v/>
      </c>
      <c r="K1771" s="185" t="str">
        <f>IFERROR(VLOOKUP(A1771,Ativos!A:H,8,),"")</f>
        <v/>
      </c>
      <c r="L1771" s="186">
        <f t="shared" si="3"/>
        <v>0</v>
      </c>
    </row>
    <row r="1772" ht="21.0" customHeight="1">
      <c r="A1772" s="187"/>
      <c r="B1772" s="187"/>
      <c r="C1772" s="188"/>
      <c r="D1772" s="135"/>
      <c r="E1772" s="189"/>
      <c r="F1772" s="182" t="str">
        <f t="shared" si="1"/>
        <v/>
      </c>
      <c r="G1772" s="183">
        <f>IFERROR(__xludf.DUMMYFUNCTION("IFERROR(lookup(9999999999,FILTER('Operações-BR'!$M:$M,'Operações-BR'!$C:$C=A1772,'Operações-BR'!$A:$A&lt;=C1772)),0)"),0.0)</f>
        <v>0</v>
      </c>
      <c r="H1772" s="184">
        <f t="shared" si="2"/>
        <v>0</v>
      </c>
      <c r="I1772" s="184">
        <f>IFERROR(__xludf.DUMMYFUNCTION("IFERROR(lookup(9999999999,FILTER('Operações-BR'!Q:Q,'Operações-BR'!$C:$C=A1772,'Operações-BR'!$A:$A&lt;=C1772))/G1772,0)"),0.0)</f>
        <v>0</v>
      </c>
      <c r="J1772" s="185" t="str">
        <f>IFERROR(VLOOKUP(A1772,Ativos!$A$1:$G2000,5,),"")</f>
        <v/>
      </c>
      <c r="K1772" s="185" t="str">
        <f>IFERROR(VLOOKUP(A1772,Ativos!A:H,8,),"")</f>
        <v/>
      </c>
      <c r="L1772" s="186">
        <f t="shared" si="3"/>
        <v>0</v>
      </c>
    </row>
    <row r="1773" ht="21.0" customHeight="1">
      <c r="A1773" s="187"/>
      <c r="B1773" s="187"/>
      <c r="C1773" s="188"/>
      <c r="D1773" s="135"/>
      <c r="E1773" s="189"/>
      <c r="F1773" s="182" t="str">
        <f t="shared" si="1"/>
        <v/>
      </c>
      <c r="G1773" s="183">
        <f>IFERROR(__xludf.DUMMYFUNCTION("IFERROR(lookup(9999999999,FILTER('Operações-BR'!$M:$M,'Operações-BR'!$C:$C=A1773,'Operações-BR'!$A:$A&lt;=C1773)),0)"),0.0)</f>
        <v>0</v>
      </c>
      <c r="H1773" s="184">
        <f t="shared" si="2"/>
        <v>0</v>
      </c>
      <c r="I1773" s="184">
        <f>IFERROR(__xludf.DUMMYFUNCTION("IFERROR(lookup(9999999999,FILTER('Operações-BR'!Q:Q,'Operações-BR'!$C:$C=A1773,'Operações-BR'!$A:$A&lt;=C1773))/G1773,0)"),0.0)</f>
        <v>0</v>
      </c>
      <c r="J1773" s="185" t="str">
        <f>IFERROR(VLOOKUP(A1773,Ativos!$A$1:$G2000,5,),"")</f>
        <v/>
      </c>
      <c r="K1773" s="185" t="str">
        <f>IFERROR(VLOOKUP(A1773,Ativos!A:H,8,),"")</f>
        <v/>
      </c>
      <c r="L1773" s="186">
        <f t="shared" si="3"/>
        <v>0</v>
      </c>
    </row>
    <row r="1774" ht="21.0" customHeight="1">
      <c r="A1774" s="187"/>
      <c r="B1774" s="187"/>
      <c r="C1774" s="188"/>
      <c r="D1774" s="135"/>
      <c r="E1774" s="189"/>
      <c r="F1774" s="182" t="str">
        <f t="shared" si="1"/>
        <v/>
      </c>
      <c r="G1774" s="183">
        <f>IFERROR(__xludf.DUMMYFUNCTION("IFERROR(lookup(9999999999,FILTER('Operações-BR'!$M:$M,'Operações-BR'!$C:$C=A1774,'Operações-BR'!$A:$A&lt;=C1774)),0)"),0.0)</f>
        <v>0</v>
      </c>
      <c r="H1774" s="184">
        <f t="shared" si="2"/>
        <v>0</v>
      </c>
      <c r="I1774" s="184">
        <f>IFERROR(__xludf.DUMMYFUNCTION("IFERROR(lookup(9999999999,FILTER('Operações-BR'!Q:Q,'Operações-BR'!$C:$C=A1774,'Operações-BR'!$A:$A&lt;=C1774))/G1774,0)"),0.0)</f>
        <v>0</v>
      </c>
      <c r="J1774" s="185" t="str">
        <f>IFERROR(VLOOKUP(A1774,Ativos!$A$1:$G2000,5,),"")</f>
        <v/>
      </c>
      <c r="K1774" s="185" t="str">
        <f>IFERROR(VLOOKUP(A1774,Ativos!A:H,8,),"")</f>
        <v/>
      </c>
      <c r="L1774" s="186">
        <f t="shared" si="3"/>
        <v>0</v>
      </c>
    </row>
    <row r="1775" ht="21.0" customHeight="1">
      <c r="A1775" s="187"/>
      <c r="B1775" s="187"/>
      <c r="C1775" s="188"/>
      <c r="D1775" s="135"/>
      <c r="E1775" s="189"/>
      <c r="F1775" s="182" t="str">
        <f t="shared" si="1"/>
        <v/>
      </c>
      <c r="G1775" s="183">
        <f>IFERROR(__xludf.DUMMYFUNCTION("IFERROR(lookup(9999999999,FILTER('Operações-BR'!$M:$M,'Operações-BR'!$C:$C=A1775,'Operações-BR'!$A:$A&lt;=C1775)),0)"),0.0)</f>
        <v>0</v>
      </c>
      <c r="H1775" s="184">
        <f t="shared" si="2"/>
        <v>0</v>
      </c>
      <c r="I1775" s="184">
        <f>IFERROR(__xludf.DUMMYFUNCTION("IFERROR(lookup(9999999999,FILTER('Operações-BR'!Q:Q,'Operações-BR'!$C:$C=A1775,'Operações-BR'!$A:$A&lt;=C1775))/G1775,0)"),0.0)</f>
        <v>0</v>
      </c>
      <c r="J1775" s="185" t="str">
        <f>IFERROR(VLOOKUP(A1775,Ativos!$A$1:$G2000,5,),"")</f>
        <v/>
      </c>
      <c r="K1775" s="185" t="str">
        <f>IFERROR(VLOOKUP(A1775,Ativos!A:H,8,),"")</f>
        <v/>
      </c>
      <c r="L1775" s="186">
        <f t="shared" si="3"/>
        <v>0</v>
      </c>
    </row>
    <row r="1776" ht="21.0" customHeight="1">
      <c r="A1776" s="187"/>
      <c r="B1776" s="187"/>
      <c r="C1776" s="188"/>
      <c r="D1776" s="135"/>
      <c r="E1776" s="189"/>
      <c r="F1776" s="182" t="str">
        <f t="shared" si="1"/>
        <v/>
      </c>
      <c r="G1776" s="183">
        <f>IFERROR(__xludf.DUMMYFUNCTION("IFERROR(lookup(9999999999,FILTER('Operações-BR'!$M:$M,'Operações-BR'!$C:$C=A1776,'Operações-BR'!$A:$A&lt;=C1776)),0)"),0.0)</f>
        <v>0</v>
      </c>
      <c r="H1776" s="184">
        <f t="shared" si="2"/>
        <v>0</v>
      </c>
      <c r="I1776" s="184">
        <f>IFERROR(__xludf.DUMMYFUNCTION("IFERROR(lookup(9999999999,FILTER('Operações-BR'!Q:Q,'Operações-BR'!$C:$C=A1776,'Operações-BR'!$A:$A&lt;=C1776))/G1776,0)"),0.0)</f>
        <v>0</v>
      </c>
      <c r="J1776" s="185" t="str">
        <f>IFERROR(VLOOKUP(A1776,Ativos!$A$1:$G2000,5,),"")</f>
        <v/>
      </c>
      <c r="K1776" s="185" t="str">
        <f>IFERROR(VLOOKUP(A1776,Ativos!A:H,8,),"")</f>
        <v/>
      </c>
      <c r="L1776" s="186">
        <f t="shared" si="3"/>
        <v>0</v>
      </c>
    </row>
    <row r="1777" ht="21.0" customHeight="1">
      <c r="A1777" s="187"/>
      <c r="B1777" s="187"/>
      <c r="C1777" s="188"/>
      <c r="D1777" s="135"/>
      <c r="E1777" s="189"/>
      <c r="F1777" s="182" t="str">
        <f t="shared" si="1"/>
        <v/>
      </c>
      <c r="G1777" s="183">
        <f>IFERROR(__xludf.DUMMYFUNCTION("IFERROR(lookup(9999999999,FILTER('Operações-BR'!$M:$M,'Operações-BR'!$C:$C=A1777,'Operações-BR'!$A:$A&lt;=C1777)),0)"),0.0)</f>
        <v>0</v>
      </c>
      <c r="H1777" s="184">
        <f t="shared" si="2"/>
        <v>0</v>
      </c>
      <c r="I1777" s="184">
        <f>IFERROR(__xludf.DUMMYFUNCTION("IFERROR(lookup(9999999999,FILTER('Operações-BR'!Q:Q,'Operações-BR'!$C:$C=A1777,'Operações-BR'!$A:$A&lt;=C1777))/G1777,0)"),0.0)</f>
        <v>0</v>
      </c>
      <c r="J1777" s="185" t="str">
        <f>IFERROR(VLOOKUP(A1777,Ativos!$A$1:$G2000,5,),"")</f>
        <v/>
      </c>
      <c r="K1777" s="185" t="str">
        <f>IFERROR(VLOOKUP(A1777,Ativos!A:H,8,),"")</f>
        <v/>
      </c>
      <c r="L1777" s="186">
        <f t="shared" si="3"/>
        <v>0</v>
      </c>
    </row>
    <row r="1778" ht="21.0" customHeight="1">
      <c r="A1778" s="187"/>
      <c r="B1778" s="187"/>
      <c r="C1778" s="188"/>
      <c r="D1778" s="135"/>
      <c r="E1778" s="189"/>
      <c r="F1778" s="182" t="str">
        <f t="shared" si="1"/>
        <v/>
      </c>
      <c r="G1778" s="183">
        <f>IFERROR(__xludf.DUMMYFUNCTION("IFERROR(lookup(9999999999,FILTER('Operações-BR'!$M:$M,'Operações-BR'!$C:$C=A1778,'Operações-BR'!$A:$A&lt;=C1778)),0)"),0.0)</f>
        <v>0</v>
      </c>
      <c r="H1778" s="184">
        <f t="shared" si="2"/>
        <v>0</v>
      </c>
      <c r="I1778" s="184">
        <f>IFERROR(__xludf.DUMMYFUNCTION("IFERROR(lookup(9999999999,FILTER('Operações-BR'!Q:Q,'Operações-BR'!$C:$C=A1778,'Operações-BR'!$A:$A&lt;=C1778))/G1778,0)"),0.0)</f>
        <v>0</v>
      </c>
      <c r="J1778" s="185" t="str">
        <f>IFERROR(VLOOKUP(A1778,Ativos!$A$1:$G2000,5,),"")</f>
        <v/>
      </c>
      <c r="K1778" s="185" t="str">
        <f>IFERROR(VLOOKUP(A1778,Ativos!A:H,8,),"")</f>
        <v/>
      </c>
      <c r="L1778" s="186">
        <f t="shared" si="3"/>
        <v>0</v>
      </c>
    </row>
    <row r="1779" ht="21.0" customHeight="1">
      <c r="A1779" s="187"/>
      <c r="B1779" s="187"/>
      <c r="C1779" s="188"/>
      <c r="D1779" s="135"/>
      <c r="E1779" s="189"/>
      <c r="F1779" s="182" t="str">
        <f t="shared" si="1"/>
        <v/>
      </c>
      <c r="G1779" s="183">
        <f>IFERROR(__xludf.DUMMYFUNCTION("IFERROR(lookup(9999999999,FILTER('Operações-BR'!$M:$M,'Operações-BR'!$C:$C=A1779,'Operações-BR'!$A:$A&lt;=C1779)),0)"),0.0)</f>
        <v>0</v>
      </c>
      <c r="H1779" s="184">
        <f t="shared" si="2"/>
        <v>0</v>
      </c>
      <c r="I1779" s="184">
        <f>IFERROR(__xludf.DUMMYFUNCTION("IFERROR(lookup(9999999999,FILTER('Operações-BR'!Q:Q,'Operações-BR'!$C:$C=A1779,'Operações-BR'!$A:$A&lt;=C1779))/G1779,0)"),0.0)</f>
        <v>0</v>
      </c>
      <c r="J1779" s="185" t="str">
        <f>IFERROR(VLOOKUP(A1779,Ativos!$A$1:$G2000,5,),"")</f>
        <v/>
      </c>
      <c r="K1779" s="185" t="str">
        <f>IFERROR(VLOOKUP(A1779,Ativos!A:H,8,),"")</f>
        <v/>
      </c>
      <c r="L1779" s="186">
        <f t="shared" si="3"/>
        <v>0</v>
      </c>
    </row>
    <row r="1780" ht="21.0" customHeight="1">
      <c r="A1780" s="187"/>
      <c r="B1780" s="187"/>
      <c r="C1780" s="188"/>
      <c r="D1780" s="135"/>
      <c r="E1780" s="189"/>
      <c r="F1780" s="182" t="str">
        <f t="shared" si="1"/>
        <v/>
      </c>
      <c r="G1780" s="183">
        <f>IFERROR(__xludf.DUMMYFUNCTION("IFERROR(lookup(9999999999,FILTER('Operações-BR'!$M:$M,'Operações-BR'!$C:$C=A1780,'Operações-BR'!$A:$A&lt;=C1780)),0)"),0.0)</f>
        <v>0</v>
      </c>
      <c r="H1780" s="184">
        <f t="shared" si="2"/>
        <v>0</v>
      </c>
      <c r="I1780" s="184">
        <f>IFERROR(__xludf.DUMMYFUNCTION("IFERROR(lookup(9999999999,FILTER('Operações-BR'!Q:Q,'Operações-BR'!$C:$C=A1780,'Operações-BR'!$A:$A&lt;=C1780))/G1780,0)"),0.0)</f>
        <v>0</v>
      </c>
      <c r="J1780" s="185" t="str">
        <f>IFERROR(VLOOKUP(A1780,Ativos!$A$1:$G2000,5,),"")</f>
        <v/>
      </c>
      <c r="K1780" s="185" t="str">
        <f>IFERROR(VLOOKUP(A1780,Ativos!A:H,8,),"")</f>
        <v/>
      </c>
      <c r="L1780" s="186">
        <f t="shared" si="3"/>
        <v>0</v>
      </c>
    </row>
    <row r="1781" ht="21.0" customHeight="1">
      <c r="A1781" s="187"/>
      <c r="B1781" s="187"/>
      <c r="C1781" s="188"/>
      <c r="D1781" s="135"/>
      <c r="E1781" s="189"/>
      <c r="F1781" s="182" t="str">
        <f t="shared" si="1"/>
        <v/>
      </c>
      <c r="G1781" s="183">
        <f>IFERROR(__xludf.DUMMYFUNCTION("IFERROR(lookup(9999999999,FILTER('Operações-BR'!$M:$M,'Operações-BR'!$C:$C=A1781,'Operações-BR'!$A:$A&lt;=C1781)),0)"),0.0)</f>
        <v>0</v>
      </c>
      <c r="H1781" s="184">
        <f t="shared" si="2"/>
        <v>0</v>
      </c>
      <c r="I1781" s="184">
        <f>IFERROR(__xludf.DUMMYFUNCTION("IFERROR(lookup(9999999999,FILTER('Operações-BR'!Q:Q,'Operações-BR'!$C:$C=A1781,'Operações-BR'!$A:$A&lt;=C1781))/G1781,0)"),0.0)</f>
        <v>0</v>
      </c>
      <c r="J1781" s="185" t="str">
        <f>IFERROR(VLOOKUP(A1781,Ativos!$A$1:$G2000,5,),"")</f>
        <v/>
      </c>
      <c r="K1781" s="185" t="str">
        <f>IFERROR(VLOOKUP(A1781,Ativos!A:H,8,),"")</f>
        <v/>
      </c>
      <c r="L1781" s="186">
        <f t="shared" si="3"/>
        <v>0</v>
      </c>
    </row>
    <row r="1782" ht="21.0" customHeight="1">
      <c r="A1782" s="187"/>
      <c r="B1782" s="187"/>
      <c r="C1782" s="188"/>
      <c r="D1782" s="135"/>
      <c r="E1782" s="189"/>
      <c r="F1782" s="182" t="str">
        <f t="shared" si="1"/>
        <v/>
      </c>
      <c r="G1782" s="183">
        <f>IFERROR(__xludf.DUMMYFUNCTION("IFERROR(lookup(9999999999,FILTER('Operações-BR'!$M:$M,'Operações-BR'!$C:$C=A1782,'Operações-BR'!$A:$A&lt;=C1782)),0)"),0.0)</f>
        <v>0</v>
      </c>
      <c r="H1782" s="184">
        <f t="shared" si="2"/>
        <v>0</v>
      </c>
      <c r="I1782" s="184">
        <f>IFERROR(__xludf.DUMMYFUNCTION("IFERROR(lookup(9999999999,FILTER('Operações-BR'!Q:Q,'Operações-BR'!$C:$C=A1782,'Operações-BR'!$A:$A&lt;=C1782))/G1782,0)"),0.0)</f>
        <v>0</v>
      </c>
      <c r="J1782" s="185" t="str">
        <f>IFERROR(VLOOKUP(A1782,Ativos!$A$1:$G2000,5,),"")</f>
        <v/>
      </c>
      <c r="K1782" s="185" t="str">
        <f>IFERROR(VLOOKUP(A1782,Ativos!A:H,8,),"")</f>
        <v/>
      </c>
      <c r="L1782" s="186">
        <f t="shared" si="3"/>
        <v>0</v>
      </c>
    </row>
    <row r="1783" ht="21.0" customHeight="1">
      <c r="A1783" s="187"/>
      <c r="B1783" s="187"/>
      <c r="C1783" s="188"/>
      <c r="D1783" s="135"/>
      <c r="E1783" s="189"/>
      <c r="F1783" s="182" t="str">
        <f t="shared" si="1"/>
        <v/>
      </c>
      <c r="G1783" s="183">
        <f>IFERROR(__xludf.DUMMYFUNCTION("IFERROR(lookup(9999999999,FILTER('Operações-BR'!$M:$M,'Operações-BR'!$C:$C=A1783,'Operações-BR'!$A:$A&lt;=C1783)),0)"),0.0)</f>
        <v>0</v>
      </c>
      <c r="H1783" s="184">
        <f t="shared" si="2"/>
        <v>0</v>
      </c>
      <c r="I1783" s="184">
        <f>IFERROR(__xludf.DUMMYFUNCTION("IFERROR(lookup(9999999999,FILTER('Operações-BR'!Q:Q,'Operações-BR'!$C:$C=A1783,'Operações-BR'!$A:$A&lt;=C1783))/G1783,0)"),0.0)</f>
        <v>0</v>
      </c>
      <c r="J1783" s="185" t="str">
        <f>IFERROR(VLOOKUP(A1783,Ativos!$A$1:$G2000,5,),"")</f>
        <v/>
      </c>
      <c r="K1783" s="185" t="str">
        <f>IFERROR(VLOOKUP(A1783,Ativos!A:H,8,),"")</f>
        <v/>
      </c>
      <c r="L1783" s="186">
        <f t="shared" si="3"/>
        <v>0</v>
      </c>
    </row>
    <row r="1784" ht="21.0" customHeight="1">
      <c r="A1784" s="187"/>
      <c r="B1784" s="187"/>
      <c r="C1784" s="188"/>
      <c r="D1784" s="135"/>
      <c r="E1784" s="189"/>
      <c r="F1784" s="182" t="str">
        <f t="shared" si="1"/>
        <v/>
      </c>
      <c r="G1784" s="183">
        <f>IFERROR(__xludf.DUMMYFUNCTION("IFERROR(lookup(9999999999,FILTER('Operações-BR'!$M:$M,'Operações-BR'!$C:$C=A1784,'Operações-BR'!$A:$A&lt;=C1784)),0)"),0.0)</f>
        <v>0</v>
      </c>
      <c r="H1784" s="184">
        <f t="shared" si="2"/>
        <v>0</v>
      </c>
      <c r="I1784" s="184">
        <f>IFERROR(__xludf.DUMMYFUNCTION("IFERROR(lookup(9999999999,FILTER('Operações-BR'!Q:Q,'Operações-BR'!$C:$C=A1784,'Operações-BR'!$A:$A&lt;=C1784))/G1784,0)"),0.0)</f>
        <v>0</v>
      </c>
      <c r="J1784" s="185" t="str">
        <f>IFERROR(VLOOKUP(A1784,Ativos!$A$1:$G2000,5,),"")</f>
        <v/>
      </c>
      <c r="K1784" s="185" t="str">
        <f>IFERROR(VLOOKUP(A1784,Ativos!A:H,8,),"")</f>
        <v/>
      </c>
      <c r="L1784" s="186">
        <f t="shared" si="3"/>
        <v>0</v>
      </c>
    </row>
    <row r="1785" ht="21.0" customHeight="1">
      <c r="A1785" s="187"/>
      <c r="B1785" s="187"/>
      <c r="C1785" s="188"/>
      <c r="D1785" s="135"/>
      <c r="E1785" s="189"/>
      <c r="F1785" s="182" t="str">
        <f t="shared" si="1"/>
        <v/>
      </c>
      <c r="G1785" s="183">
        <f>IFERROR(__xludf.DUMMYFUNCTION("IFERROR(lookup(9999999999,FILTER('Operações-BR'!$M:$M,'Operações-BR'!$C:$C=A1785,'Operações-BR'!$A:$A&lt;=C1785)),0)"),0.0)</f>
        <v>0</v>
      </c>
      <c r="H1785" s="184">
        <f t="shared" si="2"/>
        <v>0</v>
      </c>
      <c r="I1785" s="184">
        <f>IFERROR(__xludf.DUMMYFUNCTION("IFERROR(lookup(9999999999,FILTER('Operações-BR'!Q:Q,'Operações-BR'!$C:$C=A1785,'Operações-BR'!$A:$A&lt;=C1785))/G1785,0)"),0.0)</f>
        <v>0</v>
      </c>
      <c r="J1785" s="185" t="str">
        <f>IFERROR(VLOOKUP(A1785,Ativos!$A$1:$G2000,5,),"")</f>
        <v/>
      </c>
      <c r="K1785" s="185" t="str">
        <f>IFERROR(VLOOKUP(A1785,Ativos!A:H,8,),"")</f>
        <v/>
      </c>
      <c r="L1785" s="186">
        <f t="shared" si="3"/>
        <v>0</v>
      </c>
    </row>
    <row r="1786" ht="21.0" customHeight="1">
      <c r="A1786" s="187"/>
      <c r="B1786" s="187"/>
      <c r="C1786" s="188"/>
      <c r="D1786" s="135"/>
      <c r="E1786" s="189"/>
      <c r="F1786" s="182" t="str">
        <f t="shared" si="1"/>
        <v/>
      </c>
      <c r="G1786" s="183">
        <f>IFERROR(__xludf.DUMMYFUNCTION("IFERROR(lookup(9999999999,FILTER('Operações-BR'!$M:$M,'Operações-BR'!$C:$C=A1786,'Operações-BR'!$A:$A&lt;=C1786)),0)"),0.0)</f>
        <v>0</v>
      </c>
      <c r="H1786" s="184">
        <f t="shared" si="2"/>
        <v>0</v>
      </c>
      <c r="I1786" s="184">
        <f>IFERROR(__xludf.DUMMYFUNCTION("IFERROR(lookup(9999999999,FILTER('Operações-BR'!Q:Q,'Operações-BR'!$C:$C=A1786,'Operações-BR'!$A:$A&lt;=C1786))/G1786,0)"),0.0)</f>
        <v>0</v>
      </c>
      <c r="J1786" s="185" t="str">
        <f>IFERROR(VLOOKUP(A1786,Ativos!$A$1:$G2000,5,),"")</f>
        <v/>
      </c>
      <c r="K1786" s="185" t="str">
        <f>IFERROR(VLOOKUP(A1786,Ativos!A:H,8,),"")</f>
        <v/>
      </c>
      <c r="L1786" s="186">
        <f t="shared" si="3"/>
        <v>0</v>
      </c>
    </row>
    <row r="1787" ht="21.0" customHeight="1">
      <c r="A1787" s="187"/>
      <c r="B1787" s="187"/>
      <c r="C1787" s="188"/>
      <c r="D1787" s="135"/>
      <c r="E1787" s="189"/>
      <c r="F1787" s="182" t="str">
        <f t="shared" si="1"/>
        <v/>
      </c>
      <c r="G1787" s="183">
        <f>IFERROR(__xludf.DUMMYFUNCTION("IFERROR(lookup(9999999999,FILTER('Operações-BR'!$M:$M,'Operações-BR'!$C:$C=A1787,'Operações-BR'!$A:$A&lt;=C1787)),0)"),0.0)</f>
        <v>0</v>
      </c>
      <c r="H1787" s="184">
        <f t="shared" si="2"/>
        <v>0</v>
      </c>
      <c r="I1787" s="184">
        <f>IFERROR(__xludf.DUMMYFUNCTION("IFERROR(lookup(9999999999,FILTER('Operações-BR'!Q:Q,'Operações-BR'!$C:$C=A1787,'Operações-BR'!$A:$A&lt;=C1787))/G1787,0)"),0.0)</f>
        <v>0</v>
      </c>
      <c r="J1787" s="185" t="str">
        <f>IFERROR(VLOOKUP(A1787,Ativos!$A$1:$G2000,5,),"")</f>
        <v/>
      </c>
      <c r="K1787" s="185" t="str">
        <f>IFERROR(VLOOKUP(A1787,Ativos!A:H,8,),"")</f>
        <v/>
      </c>
      <c r="L1787" s="186">
        <f t="shared" si="3"/>
        <v>0</v>
      </c>
    </row>
    <row r="1788" ht="21.0" customHeight="1">
      <c r="A1788" s="187"/>
      <c r="B1788" s="187"/>
      <c r="C1788" s="188"/>
      <c r="D1788" s="135"/>
      <c r="E1788" s="189"/>
      <c r="F1788" s="182" t="str">
        <f t="shared" si="1"/>
        <v/>
      </c>
      <c r="G1788" s="183">
        <f>IFERROR(__xludf.DUMMYFUNCTION("IFERROR(lookup(9999999999,FILTER('Operações-BR'!$M:$M,'Operações-BR'!$C:$C=A1788,'Operações-BR'!$A:$A&lt;=C1788)),0)"),0.0)</f>
        <v>0</v>
      </c>
      <c r="H1788" s="184">
        <f t="shared" si="2"/>
        <v>0</v>
      </c>
      <c r="I1788" s="184">
        <f>IFERROR(__xludf.DUMMYFUNCTION("IFERROR(lookup(9999999999,FILTER('Operações-BR'!Q:Q,'Operações-BR'!$C:$C=A1788,'Operações-BR'!$A:$A&lt;=C1788))/G1788,0)"),0.0)</f>
        <v>0</v>
      </c>
      <c r="J1788" s="185" t="str">
        <f>IFERROR(VLOOKUP(A1788,Ativos!$A$1:$G2000,5,),"")</f>
        <v/>
      </c>
      <c r="K1788" s="185" t="str">
        <f>IFERROR(VLOOKUP(A1788,Ativos!A:H,8,),"")</f>
        <v/>
      </c>
      <c r="L1788" s="186">
        <f t="shared" si="3"/>
        <v>0</v>
      </c>
    </row>
    <row r="1789" ht="21.0" customHeight="1">
      <c r="A1789" s="187"/>
      <c r="B1789" s="187"/>
      <c r="C1789" s="188"/>
      <c r="D1789" s="135"/>
      <c r="E1789" s="189"/>
      <c r="F1789" s="182" t="str">
        <f t="shared" si="1"/>
        <v/>
      </c>
      <c r="G1789" s="183">
        <f>IFERROR(__xludf.DUMMYFUNCTION("IFERROR(lookup(9999999999,FILTER('Operações-BR'!$M:$M,'Operações-BR'!$C:$C=A1789,'Operações-BR'!$A:$A&lt;=C1789)),0)"),0.0)</f>
        <v>0</v>
      </c>
      <c r="H1789" s="184">
        <f t="shared" si="2"/>
        <v>0</v>
      </c>
      <c r="I1789" s="184">
        <f>IFERROR(__xludf.DUMMYFUNCTION("IFERROR(lookup(9999999999,FILTER('Operações-BR'!Q:Q,'Operações-BR'!$C:$C=A1789,'Operações-BR'!$A:$A&lt;=C1789))/G1789,0)"),0.0)</f>
        <v>0</v>
      </c>
      <c r="J1789" s="185" t="str">
        <f>IFERROR(VLOOKUP(A1789,Ativos!$A$1:$G2000,5,),"")</f>
        <v/>
      </c>
      <c r="K1789" s="185" t="str">
        <f>IFERROR(VLOOKUP(A1789,Ativos!A:H,8,),"")</f>
        <v/>
      </c>
      <c r="L1789" s="186">
        <f t="shared" si="3"/>
        <v>0</v>
      </c>
    </row>
    <row r="1790" ht="21.0" customHeight="1">
      <c r="A1790" s="187"/>
      <c r="B1790" s="187"/>
      <c r="C1790" s="188"/>
      <c r="D1790" s="135"/>
      <c r="E1790" s="189"/>
      <c r="F1790" s="182" t="str">
        <f t="shared" si="1"/>
        <v/>
      </c>
      <c r="G1790" s="183">
        <f>IFERROR(__xludf.DUMMYFUNCTION("IFERROR(lookup(9999999999,FILTER('Operações-BR'!$M:$M,'Operações-BR'!$C:$C=A1790,'Operações-BR'!$A:$A&lt;=C1790)),0)"),0.0)</f>
        <v>0</v>
      </c>
      <c r="H1790" s="184">
        <f t="shared" si="2"/>
        <v>0</v>
      </c>
      <c r="I1790" s="184">
        <f>IFERROR(__xludf.DUMMYFUNCTION("IFERROR(lookup(9999999999,FILTER('Operações-BR'!Q:Q,'Operações-BR'!$C:$C=A1790,'Operações-BR'!$A:$A&lt;=C1790))/G1790,0)"),0.0)</f>
        <v>0</v>
      </c>
      <c r="J1790" s="185" t="str">
        <f>IFERROR(VLOOKUP(A1790,Ativos!$A$1:$G2000,5,),"")</f>
        <v/>
      </c>
      <c r="K1790" s="185" t="str">
        <f>IFERROR(VLOOKUP(A1790,Ativos!A:H,8,),"")</f>
        <v/>
      </c>
      <c r="L1790" s="186">
        <f t="shared" si="3"/>
        <v>0</v>
      </c>
    </row>
    <row r="1791" ht="21.0" customHeight="1">
      <c r="A1791" s="187"/>
      <c r="B1791" s="187"/>
      <c r="C1791" s="188"/>
      <c r="D1791" s="135"/>
      <c r="E1791" s="189"/>
      <c r="F1791" s="182" t="str">
        <f t="shared" si="1"/>
        <v/>
      </c>
      <c r="G1791" s="183">
        <f>IFERROR(__xludf.DUMMYFUNCTION("IFERROR(lookup(9999999999,FILTER('Operações-BR'!$M:$M,'Operações-BR'!$C:$C=A1791,'Operações-BR'!$A:$A&lt;=C1791)),0)"),0.0)</f>
        <v>0</v>
      </c>
      <c r="H1791" s="184">
        <f t="shared" si="2"/>
        <v>0</v>
      </c>
      <c r="I1791" s="184">
        <f>IFERROR(__xludf.DUMMYFUNCTION("IFERROR(lookup(9999999999,FILTER('Operações-BR'!Q:Q,'Operações-BR'!$C:$C=A1791,'Operações-BR'!$A:$A&lt;=C1791))/G1791,0)"),0.0)</f>
        <v>0</v>
      </c>
      <c r="J1791" s="185" t="str">
        <f>IFERROR(VLOOKUP(A1791,Ativos!$A$1:$G2000,5,),"")</f>
        <v/>
      </c>
      <c r="K1791" s="185" t="str">
        <f>IFERROR(VLOOKUP(A1791,Ativos!A:H,8,),"")</f>
        <v/>
      </c>
      <c r="L1791" s="186">
        <f t="shared" si="3"/>
        <v>0</v>
      </c>
    </row>
    <row r="1792" ht="21.0" customHeight="1">
      <c r="A1792" s="187"/>
      <c r="B1792" s="187"/>
      <c r="C1792" s="188"/>
      <c r="D1792" s="135"/>
      <c r="E1792" s="189"/>
      <c r="F1792" s="182" t="str">
        <f t="shared" si="1"/>
        <v/>
      </c>
      <c r="G1792" s="183">
        <f>IFERROR(__xludf.DUMMYFUNCTION("IFERROR(lookup(9999999999,FILTER('Operações-BR'!$M:$M,'Operações-BR'!$C:$C=A1792,'Operações-BR'!$A:$A&lt;=C1792)),0)"),0.0)</f>
        <v>0</v>
      </c>
      <c r="H1792" s="184">
        <f t="shared" si="2"/>
        <v>0</v>
      </c>
      <c r="I1792" s="184">
        <f>IFERROR(__xludf.DUMMYFUNCTION("IFERROR(lookup(9999999999,FILTER('Operações-BR'!Q:Q,'Operações-BR'!$C:$C=A1792,'Operações-BR'!$A:$A&lt;=C1792))/G1792,0)"),0.0)</f>
        <v>0</v>
      </c>
      <c r="J1792" s="185" t="str">
        <f>IFERROR(VLOOKUP(A1792,Ativos!$A$1:$G2000,5,),"")</f>
        <v/>
      </c>
      <c r="K1792" s="185" t="str">
        <f>IFERROR(VLOOKUP(A1792,Ativos!A:H,8,),"")</f>
        <v/>
      </c>
      <c r="L1792" s="186">
        <f t="shared" si="3"/>
        <v>0</v>
      </c>
    </row>
    <row r="1793" ht="21.0" customHeight="1">
      <c r="A1793" s="187"/>
      <c r="B1793" s="187"/>
      <c r="C1793" s="188"/>
      <c r="D1793" s="135"/>
      <c r="E1793" s="189"/>
      <c r="F1793" s="182" t="str">
        <f t="shared" si="1"/>
        <v/>
      </c>
      <c r="G1793" s="183">
        <f>IFERROR(__xludf.DUMMYFUNCTION("IFERROR(lookup(9999999999,FILTER('Operações-BR'!$M:$M,'Operações-BR'!$C:$C=A1793,'Operações-BR'!$A:$A&lt;=C1793)),0)"),0.0)</f>
        <v>0</v>
      </c>
      <c r="H1793" s="184">
        <f t="shared" si="2"/>
        <v>0</v>
      </c>
      <c r="I1793" s="184">
        <f>IFERROR(__xludf.DUMMYFUNCTION("IFERROR(lookup(9999999999,FILTER('Operações-BR'!Q:Q,'Operações-BR'!$C:$C=A1793,'Operações-BR'!$A:$A&lt;=C1793))/G1793,0)"),0.0)</f>
        <v>0</v>
      </c>
      <c r="J1793" s="185" t="str">
        <f>IFERROR(VLOOKUP(A1793,Ativos!$A$1:$G2000,5,),"")</f>
        <v/>
      </c>
      <c r="K1793" s="185" t="str">
        <f>IFERROR(VLOOKUP(A1793,Ativos!A:H,8,),"")</f>
        <v/>
      </c>
      <c r="L1793" s="186">
        <f t="shared" si="3"/>
        <v>0</v>
      </c>
    </row>
    <row r="1794" ht="21.0" customHeight="1">
      <c r="A1794" s="187"/>
      <c r="B1794" s="187"/>
      <c r="C1794" s="188"/>
      <c r="D1794" s="135"/>
      <c r="E1794" s="189"/>
      <c r="F1794" s="182" t="str">
        <f t="shared" si="1"/>
        <v/>
      </c>
      <c r="G1794" s="183">
        <f>IFERROR(__xludf.DUMMYFUNCTION("IFERROR(lookup(9999999999,FILTER('Operações-BR'!$M:$M,'Operações-BR'!$C:$C=A1794,'Operações-BR'!$A:$A&lt;=C1794)),0)"),0.0)</f>
        <v>0</v>
      </c>
      <c r="H1794" s="184">
        <f t="shared" si="2"/>
        <v>0</v>
      </c>
      <c r="I1794" s="184">
        <f>IFERROR(__xludf.DUMMYFUNCTION("IFERROR(lookup(9999999999,FILTER('Operações-BR'!Q:Q,'Operações-BR'!$C:$C=A1794,'Operações-BR'!$A:$A&lt;=C1794))/G1794,0)"),0.0)</f>
        <v>0</v>
      </c>
      <c r="J1794" s="185" t="str">
        <f>IFERROR(VLOOKUP(A1794,Ativos!$A$1:$G2000,5,),"")</f>
        <v/>
      </c>
      <c r="K1794" s="185" t="str">
        <f>IFERROR(VLOOKUP(A1794,Ativos!A:H,8,),"")</f>
        <v/>
      </c>
      <c r="L1794" s="186">
        <f t="shared" si="3"/>
        <v>0</v>
      </c>
    </row>
    <row r="1795" ht="21.0" customHeight="1">
      <c r="A1795" s="187"/>
      <c r="B1795" s="187"/>
      <c r="C1795" s="188"/>
      <c r="D1795" s="135"/>
      <c r="E1795" s="189"/>
      <c r="F1795" s="182" t="str">
        <f t="shared" si="1"/>
        <v/>
      </c>
      <c r="G1795" s="183">
        <f>IFERROR(__xludf.DUMMYFUNCTION("IFERROR(lookup(9999999999,FILTER('Operações-BR'!$M:$M,'Operações-BR'!$C:$C=A1795,'Operações-BR'!$A:$A&lt;=C1795)),0)"),0.0)</f>
        <v>0</v>
      </c>
      <c r="H1795" s="184">
        <f t="shared" si="2"/>
        <v>0</v>
      </c>
      <c r="I1795" s="184">
        <f>IFERROR(__xludf.DUMMYFUNCTION("IFERROR(lookup(9999999999,FILTER('Operações-BR'!Q:Q,'Operações-BR'!$C:$C=A1795,'Operações-BR'!$A:$A&lt;=C1795))/G1795,0)"),0.0)</f>
        <v>0</v>
      </c>
      <c r="J1795" s="185" t="str">
        <f>IFERROR(VLOOKUP(A1795,Ativos!$A$1:$G2000,5,),"")</f>
        <v/>
      </c>
      <c r="K1795" s="185" t="str">
        <f>IFERROR(VLOOKUP(A1795,Ativos!A:H,8,),"")</f>
        <v/>
      </c>
      <c r="L1795" s="186">
        <f t="shared" si="3"/>
        <v>0</v>
      </c>
    </row>
    <row r="1796" ht="21.0" customHeight="1">
      <c r="A1796" s="187"/>
      <c r="B1796" s="187"/>
      <c r="C1796" s="188"/>
      <c r="D1796" s="135"/>
      <c r="E1796" s="189"/>
      <c r="F1796" s="182" t="str">
        <f t="shared" si="1"/>
        <v/>
      </c>
      <c r="G1796" s="183">
        <f>IFERROR(__xludf.DUMMYFUNCTION("IFERROR(lookup(9999999999,FILTER('Operações-BR'!$M:$M,'Operações-BR'!$C:$C=A1796,'Operações-BR'!$A:$A&lt;=C1796)),0)"),0.0)</f>
        <v>0</v>
      </c>
      <c r="H1796" s="184">
        <f t="shared" si="2"/>
        <v>0</v>
      </c>
      <c r="I1796" s="184">
        <f>IFERROR(__xludf.DUMMYFUNCTION("IFERROR(lookup(9999999999,FILTER('Operações-BR'!Q:Q,'Operações-BR'!$C:$C=A1796,'Operações-BR'!$A:$A&lt;=C1796))/G1796,0)"),0.0)</f>
        <v>0</v>
      </c>
      <c r="J1796" s="185" t="str">
        <f>IFERROR(VLOOKUP(A1796,Ativos!$A$1:$G2000,5,),"")</f>
        <v/>
      </c>
      <c r="K1796" s="185" t="str">
        <f>IFERROR(VLOOKUP(A1796,Ativos!A:H,8,),"")</f>
        <v/>
      </c>
      <c r="L1796" s="186">
        <f t="shared" si="3"/>
        <v>0</v>
      </c>
    </row>
    <row r="1797" ht="21.0" customHeight="1">
      <c r="A1797" s="187"/>
      <c r="B1797" s="187"/>
      <c r="C1797" s="188"/>
      <c r="D1797" s="135"/>
      <c r="E1797" s="189"/>
      <c r="F1797" s="182" t="str">
        <f t="shared" si="1"/>
        <v/>
      </c>
      <c r="G1797" s="183">
        <f>IFERROR(__xludf.DUMMYFUNCTION("IFERROR(lookup(9999999999,FILTER('Operações-BR'!$M:$M,'Operações-BR'!$C:$C=A1797,'Operações-BR'!$A:$A&lt;=C1797)),0)"),0.0)</f>
        <v>0</v>
      </c>
      <c r="H1797" s="184">
        <f t="shared" si="2"/>
        <v>0</v>
      </c>
      <c r="I1797" s="184">
        <f>IFERROR(__xludf.DUMMYFUNCTION("IFERROR(lookup(9999999999,FILTER('Operações-BR'!Q:Q,'Operações-BR'!$C:$C=A1797,'Operações-BR'!$A:$A&lt;=C1797))/G1797,0)"),0.0)</f>
        <v>0</v>
      </c>
      <c r="J1797" s="185" t="str">
        <f>IFERROR(VLOOKUP(A1797,Ativos!$A$1:$G2000,5,),"")</f>
        <v/>
      </c>
      <c r="K1797" s="185" t="str">
        <f>IFERROR(VLOOKUP(A1797,Ativos!A:H,8,),"")</f>
        <v/>
      </c>
      <c r="L1797" s="186">
        <f t="shared" si="3"/>
        <v>0</v>
      </c>
    </row>
    <row r="1798" ht="21.0" customHeight="1">
      <c r="A1798" s="187"/>
      <c r="B1798" s="187"/>
      <c r="C1798" s="188"/>
      <c r="D1798" s="135"/>
      <c r="E1798" s="189"/>
      <c r="F1798" s="182" t="str">
        <f t="shared" si="1"/>
        <v/>
      </c>
      <c r="G1798" s="183">
        <f>IFERROR(__xludf.DUMMYFUNCTION("IFERROR(lookup(9999999999,FILTER('Operações-BR'!$M:$M,'Operações-BR'!$C:$C=A1798,'Operações-BR'!$A:$A&lt;=C1798)),0)"),0.0)</f>
        <v>0</v>
      </c>
      <c r="H1798" s="184">
        <f t="shared" si="2"/>
        <v>0</v>
      </c>
      <c r="I1798" s="184">
        <f>IFERROR(__xludf.DUMMYFUNCTION("IFERROR(lookup(9999999999,FILTER('Operações-BR'!Q:Q,'Operações-BR'!$C:$C=A1798,'Operações-BR'!$A:$A&lt;=C1798))/G1798,0)"),0.0)</f>
        <v>0</v>
      </c>
      <c r="J1798" s="185" t="str">
        <f>IFERROR(VLOOKUP(A1798,Ativos!$A$1:$G2000,5,),"")</f>
        <v/>
      </c>
      <c r="K1798" s="185" t="str">
        <f>IFERROR(VLOOKUP(A1798,Ativos!A:H,8,),"")</f>
        <v/>
      </c>
      <c r="L1798" s="186">
        <f t="shared" si="3"/>
        <v>0</v>
      </c>
    </row>
    <row r="1799" ht="21.0" customHeight="1">
      <c r="A1799" s="187"/>
      <c r="B1799" s="187"/>
      <c r="C1799" s="188"/>
      <c r="D1799" s="135"/>
      <c r="E1799" s="189"/>
      <c r="F1799" s="182" t="str">
        <f t="shared" si="1"/>
        <v/>
      </c>
      <c r="G1799" s="183">
        <f>IFERROR(__xludf.DUMMYFUNCTION("IFERROR(lookup(9999999999,FILTER('Operações-BR'!$M:$M,'Operações-BR'!$C:$C=A1799,'Operações-BR'!$A:$A&lt;=C1799)),0)"),0.0)</f>
        <v>0</v>
      </c>
      <c r="H1799" s="184">
        <f t="shared" si="2"/>
        <v>0</v>
      </c>
      <c r="I1799" s="184">
        <f>IFERROR(__xludf.DUMMYFUNCTION("IFERROR(lookup(9999999999,FILTER('Operações-BR'!Q:Q,'Operações-BR'!$C:$C=A1799,'Operações-BR'!$A:$A&lt;=C1799))/G1799,0)"),0.0)</f>
        <v>0</v>
      </c>
      <c r="J1799" s="185" t="str">
        <f>IFERROR(VLOOKUP(A1799,Ativos!$A$1:$G2000,5,),"")</f>
        <v/>
      </c>
      <c r="K1799" s="185" t="str">
        <f>IFERROR(VLOOKUP(A1799,Ativos!A:H,8,),"")</f>
        <v/>
      </c>
      <c r="L1799" s="186">
        <f t="shared" si="3"/>
        <v>0</v>
      </c>
    </row>
    <row r="1800" ht="21.0" customHeight="1">
      <c r="A1800" s="187"/>
      <c r="B1800" s="187"/>
      <c r="C1800" s="188"/>
      <c r="D1800" s="135"/>
      <c r="E1800" s="189"/>
      <c r="F1800" s="182" t="str">
        <f t="shared" si="1"/>
        <v/>
      </c>
      <c r="G1800" s="183">
        <f>IFERROR(__xludf.DUMMYFUNCTION("IFERROR(lookup(9999999999,FILTER('Operações-BR'!$M:$M,'Operações-BR'!$C:$C=A1800,'Operações-BR'!$A:$A&lt;=C1800)),0)"),0.0)</f>
        <v>0</v>
      </c>
      <c r="H1800" s="184">
        <f t="shared" si="2"/>
        <v>0</v>
      </c>
      <c r="I1800" s="184">
        <f>IFERROR(__xludf.DUMMYFUNCTION("IFERROR(lookup(9999999999,FILTER('Operações-BR'!Q:Q,'Operações-BR'!$C:$C=A1800,'Operações-BR'!$A:$A&lt;=C1800))/G1800,0)"),0.0)</f>
        <v>0</v>
      </c>
      <c r="J1800" s="185" t="str">
        <f>IFERROR(VLOOKUP(A1800,Ativos!$A$1:$G2000,5,),"")</f>
        <v/>
      </c>
      <c r="K1800" s="185" t="str">
        <f>IFERROR(VLOOKUP(A1800,Ativos!A:H,8,),"")</f>
        <v/>
      </c>
      <c r="L1800" s="186">
        <f t="shared" si="3"/>
        <v>0</v>
      </c>
    </row>
    <row r="1801" ht="21.0" customHeight="1">
      <c r="A1801" s="187"/>
      <c r="B1801" s="187"/>
      <c r="C1801" s="188"/>
      <c r="D1801" s="135"/>
      <c r="E1801" s="189"/>
      <c r="F1801" s="182" t="str">
        <f t="shared" si="1"/>
        <v/>
      </c>
      <c r="G1801" s="183">
        <f>IFERROR(__xludf.DUMMYFUNCTION("IFERROR(lookup(9999999999,FILTER('Operações-BR'!$M:$M,'Operações-BR'!$C:$C=A1801,'Operações-BR'!$A:$A&lt;=C1801)),0)"),0.0)</f>
        <v>0</v>
      </c>
      <c r="H1801" s="184">
        <f t="shared" si="2"/>
        <v>0</v>
      </c>
      <c r="I1801" s="184">
        <f>IFERROR(__xludf.DUMMYFUNCTION("IFERROR(lookup(9999999999,FILTER('Operações-BR'!Q:Q,'Operações-BR'!$C:$C=A1801,'Operações-BR'!$A:$A&lt;=C1801))/G1801,0)"),0.0)</f>
        <v>0</v>
      </c>
      <c r="J1801" s="185" t="str">
        <f>IFERROR(VLOOKUP(A1801,Ativos!$A$1:$G2000,5,),"")</f>
        <v/>
      </c>
      <c r="K1801" s="185" t="str">
        <f>IFERROR(VLOOKUP(A1801,Ativos!A:H,8,),"")</f>
        <v/>
      </c>
      <c r="L1801" s="186">
        <f t="shared" si="3"/>
        <v>0</v>
      </c>
    </row>
    <row r="1802" ht="21.0" customHeight="1">
      <c r="A1802" s="187"/>
      <c r="B1802" s="187"/>
      <c r="C1802" s="188"/>
      <c r="D1802" s="135"/>
      <c r="E1802" s="189"/>
      <c r="F1802" s="182" t="str">
        <f t="shared" si="1"/>
        <v/>
      </c>
      <c r="G1802" s="183">
        <f>IFERROR(__xludf.DUMMYFUNCTION("IFERROR(lookup(9999999999,FILTER('Operações-BR'!$M:$M,'Operações-BR'!$C:$C=A1802,'Operações-BR'!$A:$A&lt;=C1802)),0)"),0.0)</f>
        <v>0</v>
      </c>
      <c r="H1802" s="184">
        <f t="shared" si="2"/>
        <v>0</v>
      </c>
      <c r="I1802" s="184">
        <f>IFERROR(__xludf.DUMMYFUNCTION("IFERROR(lookup(9999999999,FILTER('Operações-BR'!Q:Q,'Operações-BR'!$C:$C=A1802,'Operações-BR'!$A:$A&lt;=C1802))/G1802,0)"),0.0)</f>
        <v>0</v>
      </c>
      <c r="J1802" s="185" t="str">
        <f>IFERROR(VLOOKUP(A1802,Ativos!$A$1:$G2000,5,),"")</f>
        <v/>
      </c>
      <c r="K1802" s="185" t="str">
        <f>IFERROR(VLOOKUP(A1802,Ativos!A:H,8,),"")</f>
        <v/>
      </c>
      <c r="L1802" s="186">
        <f t="shared" si="3"/>
        <v>0</v>
      </c>
    </row>
    <row r="1803" ht="21.0" customHeight="1">
      <c r="A1803" s="187"/>
      <c r="B1803" s="187"/>
      <c r="C1803" s="188"/>
      <c r="D1803" s="135"/>
      <c r="E1803" s="189"/>
      <c r="F1803" s="182" t="str">
        <f t="shared" si="1"/>
        <v/>
      </c>
      <c r="G1803" s="183">
        <f>IFERROR(__xludf.DUMMYFUNCTION("IFERROR(lookup(9999999999,FILTER('Operações-BR'!$M:$M,'Operações-BR'!$C:$C=A1803,'Operações-BR'!$A:$A&lt;=C1803)),0)"),0.0)</f>
        <v>0</v>
      </c>
      <c r="H1803" s="184">
        <f t="shared" si="2"/>
        <v>0</v>
      </c>
      <c r="I1803" s="184">
        <f>IFERROR(__xludf.DUMMYFUNCTION("IFERROR(lookup(9999999999,FILTER('Operações-BR'!Q:Q,'Operações-BR'!$C:$C=A1803,'Operações-BR'!$A:$A&lt;=C1803))/G1803,0)"),0.0)</f>
        <v>0</v>
      </c>
      <c r="J1803" s="185" t="str">
        <f>IFERROR(VLOOKUP(A1803,Ativos!$A$1:$G2000,5,),"")</f>
        <v/>
      </c>
      <c r="K1803" s="185" t="str">
        <f>IFERROR(VLOOKUP(A1803,Ativos!A:H,8,),"")</f>
        <v/>
      </c>
      <c r="L1803" s="186">
        <f t="shared" si="3"/>
        <v>0</v>
      </c>
    </row>
    <row r="1804" ht="21.0" customHeight="1">
      <c r="A1804" s="187"/>
      <c r="B1804" s="187"/>
      <c r="C1804" s="188"/>
      <c r="D1804" s="135"/>
      <c r="E1804" s="189"/>
      <c r="F1804" s="182" t="str">
        <f t="shared" si="1"/>
        <v/>
      </c>
      <c r="G1804" s="183">
        <f>IFERROR(__xludf.DUMMYFUNCTION("IFERROR(lookup(9999999999,FILTER('Operações-BR'!$M:$M,'Operações-BR'!$C:$C=A1804,'Operações-BR'!$A:$A&lt;=C1804)),0)"),0.0)</f>
        <v>0</v>
      </c>
      <c r="H1804" s="184">
        <f t="shared" si="2"/>
        <v>0</v>
      </c>
      <c r="I1804" s="184">
        <f>IFERROR(__xludf.DUMMYFUNCTION("IFERROR(lookup(9999999999,FILTER('Operações-BR'!Q:Q,'Operações-BR'!$C:$C=A1804,'Operações-BR'!$A:$A&lt;=C1804))/G1804,0)"),0.0)</f>
        <v>0</v>
      </c>
      <c r="J1804" s="185" t="str">
        <f>IFERROR(VLOOKUP(A1804,Ativos!$A$1:$G2000,5,),"")</f>
        <v/>
      </c>
      <c r="K1804" s="185" t="str">
        <f>IFERROR(VLOOKUP(A1804,Ativos!A:H,8,),"")</f>
        <v/>
      </c>
      <c r="L1804" s="186">
        <f t="shared" si="3"/>
        <v>0</v>
      </c>
    </row>
    <row r="1805" ht="21.0" customHeight="1">
      <c r="A1805" s="187"/>
      <c r="B1805" s="187"/>
      <c r="C1805" s="188"/>
      <c r="D1805" s="135"/>
      <c r="E1805" s="189"/>
      <c r="F1805" s="182" t="str">
        <f t="shared" si="1"/>
        <v/>
      </c>
      <c r="G1805" s="183">
        <f>IFERROR(__xludf.DUMMYFUNCTION("IFERROR(lookup(9999999999,FILTER('Operações-BR'!$M:$M,'Operações-BR'!$C:$C=A1805,'Operações-BR'!$A:$A&lt;=C1805)),0)"),0.0)</f>
        <v>0</v>
      </c>
      <c r="H1805" s="184">
        <f t="shared" si="2"/>
        <v>0</v>
      </c>
      <c r="I1805" s="184">
        <f>IFERROR(__xludf.DUMMYFUNCTION("IFERROR(lookup(9999999999,FILTER('Operações-BR'!Q:Q,'Operações-BR'!$C:$C=A1805,'Operações-BR'!$A:$A&lt;=C1805))/G1805,0)"),0.0)</f>
        <v>0</v>
      </c>
      <c r="J1805" s="185" t="str">
        <f>IFERROR(VLOOKUP(A1805,Ativos!$A$1:$G2000,5,),"")</f>
        <v/>
      </c>
      <c r="K1805" s="185" t="str">
        <f>IFERROR(VLOOKUP(A1805,Ativos!A:H,8,),"")</f>
        <v/>
      </c>
      <c r="L1805" s="186">
        <f t="shared" si="3"/>
        <v>0</v>
      </c>
    </row>
    <row r="1806" ht="21.0" customHeight="1">
      <c r="A1806" s="187"/>
      <c r="B1806" s="187"/>
      <c r="C1806" s="188"/>
      <c r="D1806" s="135"/>
      <c r="E1806" s="189"/>
      <c r="F1806" s="182" t="str">
        <f t="shared" si="1"/>
        <v/>
      </c>
      <c r="G1806" s="183">
        <f>IFERROR(__xludf.DUMMYFUNCTION("IFERROR(lookup(9999999999,FILTER('Operações-BR'!$M:$M,'Operações-BR'!$C:$C=A1806,'Operações-BR'!$A:$A&lt;=C1806)),0)"),0.0)</f>
        <v>0</v>
      </c>
      <c r="H1806" s="184">
        <f t="shared" si="2"/>
        <v>0</v>
      </c>
      <c r="I1806" s="184">
        <f>IFERROR(__xludf.DUMMYFUNCTION("IFERROR(lookup(9999999999,FILTER('Operações-BR'!Q:Q,'Operações-BR'!$C:$C=A1806,'Operações-BR'!$A:$A&lt;=C1806))/G1806,0)"),0.0)</f>
        <v>0</v>
      </c>
      <c r="J1806" s="185" t="str">
        <f>IFERROR(VLOOKUP(A1806,Ativos!$A$1:$G2000,5,),"")</f>
        <v/>
      </c>
      <c r="K1806" s="185" t="str">
        <f>IFERROR(VLOOKUP(A1806,Ativos!A:H,8,),"")</f>
        <v/>
      </c>
      <c r="L1806" s="186">
        <f t="shared" si="3"/>
        <v>0</v>
      </c>
    </row>
    <row r="1807" ht="21.0" customHeight="1">
      <c r="A1807" s="187"/>
      <c r="B1807" s="187"/>
      <c r="C1807" s="188"/>
      <c r="D1807" s="135"/>
      <c r="E1807" s="189"/>
      <c r="F1807" s="182" t="str">
        <f t="shared" si="1"/>
        <v/>
      </c>
      <c r="G1807" s="183">
        <f>IFERROR(__xludf.DUMMYFUNCTION("IFERROR(lookup(9999999999,FILTER('Operações-BR'!$M:$M,'Operações-BR'!$C:$C=A1807,'Operações-BR'!$A:$A&lt;=C1807)),0)"),0.0)</f>
        <v>0</v>
      </c>
      <c r="H1807" s="184">
        <f t="shared" si="2"/>
        <v>0</v>
      </c>
      <c r="I1807" s="184">
        <f>IFERROR(__xludf.DUMMYFUNCTION("IFERROR(lookup(9999999999,FILTER('Operações-BR'!Q:Q,'Operações-BR'!$C:$C=A1807,'Operações-BR'!$A:$A&lt;=C1807))/G1807,0)"),0.0)</f>
        <v>0</v>
      </c>
      <c r="J1807" s="185" t="str">
        <f>IFERROR(VLOOKUP(A1807,Ativos!$A$1:$G2000,5,),"")</f>
        <v/>
      </c>
      <c r="K1807" s="185" t="str">
        <f>IFERROR(VLOOKUP(A1807,Ativos!A:H,8,),"")</f>
        <v/>
      </c>
      <c r="L1807" s="186">
        <f t="shared" si="3"/>
        <v>0</v>
      </c>
    </row>
    <row r="1808" ht="21.0" customHeight="1">
      <c r="A1808" s="187"/>
      <c r="B1808" s="187"/>
      <c r="C1808" s="188"/>
      <c r="D1808" s="135"/>
      <c r="E1808" s="189"/>
      <c r="F1808" s="182" t="str">
        <f t="shared" si="1"/>
        <v/>
      </c>
      <c r="G1808" s="183">
        <f>IFERROR(__xludf.DUMMYFUNCTION("IFERROR(lookup(9999999999,FILTER('Operações-BR'!$M:$M,'Operações-BR'!$C:$C=A1808,'Operações-BR'!$A:$A&lt;=C1808)),0)"),0.0)</f>
        <v>0</v>
      </c>
      <c r="H1808" s="184">
        <f t="shared" si="2"/>
        <v>0</v>
      </c>
      <c r="I1808" s="184">
        <f>IFERROR(__xludf.DUMMYFUNCTION("IFERROR(lookup(9999999999,FILTER('Operações-BR'!Q:Q,'Operações-BR'!$C:$C=A1808,'Operações-BR'!$A:$A&lt;=C1808))/G1808,0)"),0.0)</f>
        <v>0</v>
      </c>
      <c r="J1808" s="185" t="str">
        <f>IFERROR(VLOOKUP(A1808,Ativos!$A$1:$G2000,5,),"")</f>
        <v/>
      </c>
      <c r="K1808" s="185" t="str">
        <f>IFERROR(VLOOKUP(A1808,Ativos!A:H,8,),"")</f>
        <v/>
      </c>
      <c r="L1808" s="186">
        <f t="shared" si="3"/>
        <v>0</v>
      </c>
    </row>
    <row r="1809" ht="21.0" customHeight="1">
      <c r="A1809" s="187"/>
      <c r="B1809" s="187"/>
      <c r="C1809" s="188"/>
      <c r="D1809" s="135"/>
      <c r="E1809" s="189"/>
      <c r="F1809" s="182" t="str">
        <f t="shared" si="1"/>
        <v/>
      </c>
      <c r="G1809" s="183">
        <f>IFERROR(__xludf.DUMMYFUNCTION("IFERROR(lookup(9999999999,FILTER('Operações-BR'!$M:$M,'Operações-BR'!$C:$C=A1809,'Operações-BR'!$A:$A&lt;=C1809)),0)"),0.0)</f>
        <v>0</v>
      </c>
      <c r="H1809" s="184">
        <f t="shared" si="2"/>
        <v>0</v>
      </c>
      <c r="I1809" s="184">
        <f>IFERROR(__xludf.DUMMYFUNCTION("IFERROR(lookup(9999999999,FILTER('Operações-BR'!Q:Q,'Operações-BR'!$C:$C=A1809,'Operações-BR'!$A:$A&lt;=C1809))/G1809,0)"),0.0)</f>
        <v>0</v>
      </c>
      <c r="J1809" s="185" t="str">
        <f>IFERROR(VLOOKUP(A1809,Ativos!$A$1:$G2000,5,),"")</f>
        <v/>
      </c>
      <c r="K1809" s="185" t="str">
        <f>IFERROR(VLOOKUP(A1809,Ativos!A:H,8,),"")</f>
        <v/>
      </c>
      <c r="L1809" s="186">
        <f t="shared" si="3"/>
        <v>0</v>
      </c>
    </row>
    <row r="1810" ht="21.0" customHeight="1">
      <c r="A1810" s="187"/>
      <c r="B1810" s="187"/>
      <c r="C1810" s="188"/>
      <c r="D1810" s="135"/>
      <c r="E1810" s="189"/>
      <c r="F1810" s="182" t="str">
        <f t="shared" si="1"/>
        <v/>
      </c>
      <c r="G1810" s="183">
        <f>IFERROR(__xludf.DUMMYFUNCTION("IFERROR(lookup(9999999999,FILTER('Operações-BR'!$M:$M,'Operações-BR'!$C:$C=A1810,'Operações-BR'!$A:$A&lt;=C1810)),0)"),0.0)</f>
        <v>0</v>
      </c>
      <c r="H1810" s="184">
        <f t="shared" si="2"/>
        <v>0</v>
      </c>
      <c r="I1810" s="184">
        <f>IFERROR(__xludf.DUMMYFUNCTION("IFERROR(lookup(9999999999,FILTER('Operações-BR'!Q:Q,'Operações-BR'!$C:$C=A1810,'Operações-BR'!$A:$A&lt;=C1810))/G1810,0)"),0.0)</f>
        <v>0</v>
      </c>
      <c r="J1810" s="185" t="str">
        <f>IFERROR(VLOOKUP(A1810,Ativos!$A$1:$G2000,5,),"")</f>
        <v/>
      </c>
      <c r="K1810" s="185" t="str">
        <f>IFERROR(VLOOKUP(A1810,Ativos!A:H,8,),"")</f>
        <v/>
      </c>
      <c r="L1810" s="186">
        <f t="shared" si="3"/>
        <v>0</v>
      </c>
    </row>
    <row r="1811" ht="21.0" customHeight="1">
      <c r="A1811" s="187"/>
      <c r="B1811" s="187"/>
      <c r="C1811" s="188"/>
      <c r="D1811" s="135"/>
      <c r="E1811" s="189"/>
      <c r="F1811" s="182" t="str">
        <f t="shared" si="1"/>
        <v/>
      </c>
      <c r="G1811" s="183">
        <f>IFERROR(__xludf.DUMMYFUNCTION("IFERROR(lookup(9999999999,FILTER('Operações-BR'!$M:$M,'Operações-BR'!$C:$C=A1811,'Operações-BR'!$A:$A&lt;=C1811)),0)"),0.0)</f>
        <v>0</v>
      </c>
      <c r="H1811" s="184">
        <f t="shared" si="2"/>
        <v>0</v>
      </c>
      <c r="I1811" s="184">
        <f>IFERROR(__xludf.DUMMYFUNCTION("IFERROR(lookup(9999999999,FILTER('Operações-BR'!Q:Q,'Operações-BR'!$C:$C=A1811,'Operações-BR'!$A:$A&lt;=C1811))/G1811,0)"),0.0)</f>
        <v>0</v>
      </c>
      <c r="J1811" s="185" t="str">
        <f>IFERROR(VLOOKUP(A1811,Ativos!$A$1:$G2000,5,),"")</f>
        <v/>
      </c>
      <c r="K1811" s="185" t="str">
        <f>IFERROR(VLOOKUP(A1811,Ativos!A:H,8,),"")</f>
        <v/>
      </c>
      <c r="L1811" s="186">
        <f t="shared" si="3"/>
        <v>0</v>
      </c>
    </row>
    <row r="1812" ht="21.0" customHeight="1">
      <c r="A1812" s="187"/>
      <c r="B1812" s="187"/>
      <c r="C1812" s="188"/>
      <c r="D1812" s="135"/>
      <c r="E1812" s="189"/>
      <c r="F1812" s="182" t="str">
        <f t="shared" si="1"/>
        <v/>
      </c>
      <c r="G1812" s="183">
        <f>IFERROR(__xludf.DUMMYFUNCTION("IFERROR(lookup(9999999999,FILTER('Operações-BR'!$M:$M,'Operações-BR'!$C:$C=A1812,'Operações-BR'!$A:$A&lt;=C1812)),0)"),0.0)</f>
        <v>0</v>
      </c>
      <c r="H1812" s="184">
        <f t="shared" si="2"/>
        <v>0</v>
      </c>
      <c r="I1812" s="184">
        <f>IFERROR(__xludf.DUMMYFUNCTION("IFERROR(lookup(9999999999,FILTER('Operações-BR'!Q:Q,'Operações-BR'!$C:$C=A1812,'Operações-BR'!$A:$A&lt;=C1812))/G1812,0)"),0.0)</f>
        <v>0</v>
      </c>
      <c r="J1812" s="185" t="str">
        <f>IFERROR(VLOOKUP(A1812,Ativos!$A$1:$G2000,5,),"")</f>
        <v/>
      </c>
      <c r="K1812" s="185" t="str">
        <f>IFERROR(VLOOKUP(A1812,Ativos!A:H,8,),"")</f>
        <v/>
      </c>
      <c r="L1812" s="186">
        <f t="shared" si="3"/>
        <v>0</v>
      </c>
    </row>
    <row r="1813" ht="21.0" customHeight="1">
      <c r="A1813" s="187"/>
      <c r="B1813" s="187"/>
      <c r="C1813" s="188"/>
      <c r="D1813" s="135"/>
      <c r="E1813" s="189"/>
      <c r="F1813" s="182" t="str">
        <f t="shared" si="1"/>
        <v/>
      </c>
      <c r="G1813" s="183">
        <f>IFERROR(__xludf.DUMMYFUNCTION("IFERROR(lookup(9999999999,FILTER('Operações-BR'!$M:$M,'Operações-BR'!$C:$C=A1813,'Operações-BR'!$A:$A&lt;=C1813)),0)"),0.0)</f>
        <v>0</v>
      </c>
      <c r="H1813" s="184">
        <f t="shared" si="2"/>
        <v>0</v>
      </c>
      <c r="I1813" s="184">
        <f>IFERROR(__xludf.DUMMYFUNCTION("IFERROR(lookup(9999999999,FILTER('Operações-BR'!Q:Q,'Operações-BR'!$C:$C=A1813,'Operações-BR'!$A:$A&lt;=C1813))/G1813,0)"),0.0)</f>
        <v>0</v>
      </c>
      <c r="J1813" s="185" t="str">
        <f>IFERROR(VLOOKUP(A1813,Ativos!$A$1:$G2000,5,),"")</f>
        <v/>
      </c>
      <c r="K1813" s="185" t="str">
        <f>IFERROR(VLOOKUP(A1813,Ativos!A:H,8,),"")</f>
        <v/>
      </c>
      <c r="L1813" s="186">
        <f t="shared" si="3"/>
        <v>0</v>
      </c>
    </row>
    <row r="1814" ht="21.0" customHeight="1">
      <c r="A1814" s="187"/>
      <c r="B1814" s="187"/>
      <c r="C1814" s="188"/>
      <c r="D1814" s="135"/>
      <c r="E1814" s="189"/>
      <c r="F1814" s="182" t="str">
        <f t="shared" si="1"/>
        <v/>
      </c>
      <c r="G1814" s="183">
        <f>IFERROR(__xludf.DUMMYFUNCTION("IFERROR(lookup(9999999999,FILTER('Operações-BR'!$M:$M,'Operações-BR'!$C:$C=A1814,'Operações-BR'!$A:$A&lt;=C1814)),0)"),0.0)</f>
        <v>0</v>
      </c>
      <c r="H1814" s="184">
        <f t="shared" si="2"/>
        <v>0</v>
      </c>
      <c r="I1814" s="184">
        <f>IFERROR(__xludf.DUMMYFUNCTION("IFERROR(lookup(9999999999,FILTER('Operações-BR'!Q:Q,'Operações-BR'!$C:$C=A1814,'Operações-BR'!$A:$A&lt;=C1814))/G1814,0)"),0.0)</f>
        <v>0</v>
      </c>
      <c r="J1814" s="185" t="str">
        <f>IFERROR(VLOOKUP(A1814,Ativos!$A$1:$G2000,5,),"")</f>
        <v/>
      </c>
      <c r="K1814" s="185" t="str">
        <f>IFERROR(VLOOKUP(A1814,Ativos!A:H,8,),"")</f>
        <v/>
      </c>
      <c r="L1814" s="186">
        <f t="shared" si="3"/>
        <v>0</v>
      </c>
    </row>
    <row r="1815" ht="21.0" customHeight="1">
      <c r="A1815" s="187"/>
      <c r="B1815" s="187"/>
      <c r="C1815" s="188"/>
      <c r="D1815" s="135"/>
      <c r="E1815" s="189"/>
      <c r="F1815" s="182" t="str">
        <f t="shared" si="1"/>
        <v/>
      </c>
      <c r="G1815" s="183">
        <f>IFERROR(__xludf.DUMMYFUNCTION("IFERROR(lookup(9999999999,FILTER('Operações-BR'!$M:$M,'Operações-BR'!$C:$C=A1815,'Operações-BR'!$A:$A&lt;=C1815)),0)"),0.0)</f>
        <v>0</v>
      </c>
      <c r="H1815" s="184">
        <f t="shared" si="2"/>
        <v>0</v>
      </c>
      <c r="I1815" s="184">
        <f>IFERROR(__xludf.DUMMYFUNCTION("IFERROR(lookup(9999999999,FILTER('Operações-BR'!Q:Q,'Operações-BR'!$C:$C=A1815,'Operações-BR'!$A:$A&lt;=C1815))/G1815,0)"),0.0)</f>
        <v>0</v>
      </c>
      <c r="J1815" s="185" t="str">
        <f>IFERROR(VLOOKUP(A1815,Ativos!$A$1:$G2000,5,),"")</f>
        <v/>
      </c>
      <c r="K1815" s="185" t="str">
        <f>IFERROR(VLOOKUP(A1815,Ativos!A:H,8,),"")</f>
        <v/>
      </c>
      <c r="L1815" s="186">
        <f t="shared" si="3"/>
        <v>0</v>
      </c>
    </row>
    <row r="1816" ht="21.0" customHeight="1">
      <c r="A1816" s="187"/>
      <c r="B1816" s="187"/>
      <c r="C1816" s="188"/>
      <c r="D1816" s="135"/>
      <c r="E1816" s="189"/>
      <c r="F1816" s="182" t="str">
        <f t="shared" si="1"/>
        <v/>
      </c>
      <c r="G1816" s="183">
        <f>IFERROR(__xludf.DUMMYFUNCTION("IFERROR(lookup(9999999999,FILTER('Operações-BR'!$M:$M,'Operações-BR'!$C:$C=A1816,'Operações-BR'!$A:$A&lt;=C1816)),0)"),0.0)</f>
        <v>0</v>
      </c>
      <c r="H1816" s="184">
        <f t="shared" si="2"/>
        <v>0</v>
      </c>
      <c r="I1816" s="184">
        <f>IFERROR(__xludf.DUMMYFUNCTION("IFERROR(lookup(9999999999,FILTER('Operações-BR'!Q:Q,'Operações-BR'!$C:$C=A1816,'Operações-BR'!$A:$A&lt;=C1816))/G1816,0)"),0.0)</f>
        <v>0</v>
      </c>
      <c r="J1816" s="185" t="str">
        <f>IFERROR(VLOOKUP(A1816,Ativos!$A$1:$G2000,5,),"")</f>
        <v/>
      </c>
      <c r="K1816" s="185" t="str">
        <f>IFERROR(VLOOKUP(A1816,Ativos!A:H,8,),"")</f>
        <v/>
      </c>
      <c r="L1816" s="186">
        <f t="shared" si="3"/>
        <v>0</v>
      </c>
    </row>
    <row r="1817" ht="21.0" customHeight="1">
      <c r="A1817" s="187"/>
      <c r="B1817" s="187"/>
      <c r="C1817" s="188"/>
      <c r="D1817" s="135"/>
      <c r="E1817" s="189"/>
      <c r="F1817" s="182" t="str">
        <f t="shared" si="1"/>
        <v/>
      </c>
      <c r="G1817" s="183">
        <f>IFERROR(__xludf.DUMMYFUNCTION("IFERROR(lookup(9999999999,FILTER('Operações-BR'!$M:$M,'Operações-BR'!$C:$C=A1817,'Operações-BR'!$A:$A&lt;=C1817)),0)"),0.0)</f>
        <v>0</v>
      </c>
      <c r="H1817" s="184">
        <f t="shared" si="2"/>
        <v>0</v>
      </c>
      <c r="I1817" s="184">
        <f>IFERROR(__xludf.DUMMYFUNCTION("IFERROR(lookup(9999999999,FILTER('Operações-BR'!Q:Q,'Operações-BR'!$C:$C=A1817,'Operações-BR'!$A:$A&lt;=C1817))/G1817,0)"),0.0)</f>
        <v>0</v>
      </c>
      <c r="J1817" s="185" t="str">
        <f>IFERROR(VLOOKUP(A1817,Ativos!$A$1:$G2000,5,),"")</f>
        <v/>
      </c>
      <c r="K1817" s="185" t="str">
        <f>IFERROR(VLOOKUP(A1817,Ativos!A:H,8,),"")</f>
        <v/>
      </c>
      <c r="L1817" s="186">
        <f t="shared" si="3"/>
        <v>0</v>
      </c>
    </row>
    <row r="1818" ht="21.0" customHeight="1">
      <c r="A1818" s="187"/>
      <c r="B1818" s="187"/>
      <c r="C1818" s="188"/>
      <c r="D1818" s="135"/>
      <c r="E1818" s="189"/>
      <c r="F1818" s="182" t="str">
        <f t="shared" si="1"/>
        <v/>
      </c>
      <c r="G1818" s="183">
        <f>IFERROR(__xludf.DUMMYFUNCTION("IFERROR(lookup(9999999999,FILTER('Operações-BR'!$M:$M,'Operações-BR'!$C:$C=A1818,'Operações-BR'!$A:$A&lt;=C1818)),0)"),0.0)</f>
        <v>0</v>
      </c>
      <c r="H1818" s="184">
        <f t="shared" si="2"/>
        <v>0</v>
      </c>
      <c r="I1818" s="184">
        <f>IFERROR(__xludf.DUMMYFUNCTION("IFERROR(lookup(9999999999,FILTER('Operações-BR'!Q:Q,'Operações-BR'!$C:$C=A1818,'Operações-BR'!$A:$A&lt;=C1818))/G1818,0)"),0.0)</f>
        <v>0</v>
      </c>
      <c r="J1818" s="185" t="str">
        <f>IFERROR(VLOOKUP(A1818,Ativos!$A$1:$G2000,5,),"")</f>
        <v/>
      </c>
      <c r="K1818" s="185" t="str">
        <f>IFERROR(VLOOKUP(A1818,Ativos!A:H,8,),"")</f>
        <v/>
      </c>
      <c r="L1818" s="186">
        <f t="shared" si="3"/>
        <v>0</v>
      </c>
    </row>
    <row r="1819" ht="21.0" customHeight="1">
      <c r="A1819" s="187"/>
      <c r="B1819" s="187"/>
      <c r="C1819" s="188"/>
      <c r="D1819" s="135"/>
      <c r="E1819" s="189"/>
      <c r="F1819" s="182" t="str">
        <f t="shared" si="1"/>
        <v/>
      </c>
      <c r="G1819" s="183">
        <f>IFERROR(__xludf.DUMMYFUNCTION("IFERROR(lookup(9999999999,FILTER('Operações-BR'!$M:$M,'Operações-BR'!$C:$C=A1819,'Operações-BR'!$A:$A&lt;=C1819)),0)"),0.0)</f>
        <v>0</v>
      </c>
      <c r="H1819" s="184">
        <f t="shared" si="2"/>
        <v>0</v>
      </c>
      <c r="I1819" s="184">
        <f>IFERROR(__xludf.DUMMYFUNCTION("IFERROR(lookup(9999999999,FILTER('Operações-BR'!Q:Q,'Operações-BR'!$C:$C=A1819,'Operações-BR'!$A:$A&lt;=C1819))/G1819,0)"),0.0)</f>
        <v>0</v>
      </c>
      <c r="J1819" s="185" t="str">
        <f>IFERROR(VLOOKUP(A1819,Ativos!$A$1:$G2000,5,),"")</f>
        <v/>
      </c>
      <c r="K1819" s="185" t="str">
        <f>IFERROR(VLOOKUP(A1819,Ativos!A:H,8,),"")</f>
        <v/>
      </c>
      <c r="L1819" s="186">
        <f t="shared" si="3"/>
        <v>0</v>
      </c>
    </row>
    <row r="1820" ht="21.0" customHeight="1">
      <c r="A1820" s="187"/>
      <c r="B1820" s="187"/>
      <c r="C1820" s="188"/>
      <c r="D1820" s="135"/>
      <c r="E1820" s="189"/>
      <c r="F1820" s="182" t="str">
        <f t="shared" si="1"/>
        <v/>
      </c>
      <c r="G1820" s="183">
        <f>IFERROR(__xludf.DUMMYFUNCTION("IFERROR(lookup(9999999999,FILTER('Operações-BR'!$M:$M,'Operações-BR'!$C:$C=A1820,'Operações-BR'!$A:$A&lt;=C1820)),0)"),0.0)</f>
        <v>0</v>
      </c>
      <c r="H1820" s="184">
        <f t="shared" si="2"/>
        <v>0</v>
      </c>
      <c r="I1820" s="184">
        <f>IFERROR(__xludf.DUMMYFUNCTION("IFERROR(lookup(9999999999,FILTER('Operações-BR'!Q:Q,'Operações-BR'!$C:$C=A1820,'Operações-BR'!$A:$A&lt;=C1820))/G1820,0)"),0.0)</f>
        <v>0</v>
      </c>
      <c r="J1820" s="185" t="str">
        <f>IFERROR(VLOOKUP(A1820,Ativos!$A$1:$G2000,5,),"")</f>
        <v/>
      </c>
      <c r="K1820" s="185" t="str">
        <f>IFERROR(VLOOKUP(A1820,Ativos!A:H,8,),"")</f>
        <v/>
      </c>
      <c r="L1820" s="186">
        <f t="shared" si="3"/>
        <v>0</v>
      </c>
    </row>
    <row r="1821" ht="21.0" customHeight="1">
      <c r="A1821" s="187"/>
      <c r="B1821" s="187"/>
      <c r="C1821" s="188"/>
      <c r="D1821" s="135"/>
      <c r="E1821" s="189"/>
      <c r="F1821" s="182" t="str">
        <f t="shared" si="1"/>
        <v/>
      </c>
      <c r="G1821" s="183">
        <f>IFERROR(__xludf.DUMMYFUNCTION("IFERROR(lookup(9999999999,FILTER('Operações-BR'!$M:$M,'Operações-BR'!$C:$C=A1821,'Operações-BR'!$A:$A&lt;=C1821)),0)"),0.0)</f>
        <v>0</v>
      </c>
      <c r="H1821" s="184">
        <f t="shared" si="2"/>
        <v>0</v>
      </c>
      <c r="I1821" s="184">
        <f>IFERROR(__xludf.DUMMYFUNCTION("IFERROR(lookup(9999999999,FILTER('Operações-BR'!Q:Q,'Operações-BR'!$C:$C=A1821,'Operações-BR'!$A:$A&lt;=C1821))/G1821,0)"),0.0)</f>
        <v>0</v>
      </c>
      <c r="J1821" s="185" t="str">
        <f>IFERROR(VLOOKUP(A1821,Ativos!$A$1:$G2000,5,),"")</f>
        <v/>
      </c>
      <c r="K1821" s="185" t="str">
        <f>IFERROR(VLOOKUP(A1821,Ativos!A:H,8,),"")</f>
        <v/>
      </c>
      <c r="L1821" s="186">
        <f t="shared" si="3"/>
        <v>0</v>
      </c>
    </row>
    <row r="1822" ht="21.0" customHeight="1">
      <c r="A1822" s="187"/>
      <c r="B1822" s="187"/>
      <c r="C1822" s="188"/>
      <c r="D1822" s="135"/>
      <c r="E1822" s="189"/>
      <c r="F1822" s="182" t="str">
        <f t="shared" si="1"/>
        <v/>
      </c>
      <c r="G1822" s="183">
        <f>IFERROR(__xludf.DUMMYFUNCTION("IFERROR(lookup(9999999999,FILTER('Operações-BR'!$M:$M,'Operações-BR'!$C:$C=A1822,'Operações-BR'!$A:$A&lt;=C1822)),0)"),0.0)</f>
        <v>0</v>
      </c>
      <c r="H1822" s="184">
        <f t="shared" si="2"/>
        <v>0</v>
      </c>
      <c r="I1822" s="184">
        <f>IFERROR(__xludf.DUMMYFUNCTION("IFERROR(lookup(9999999999,FILTER('Operações-BR'!Q:Q,'Operações-BR'!$C:$C=A1822,'Operações-BR'!$A:$A&lt;=C1822))/G1822,0)"),0.0)</f>
        <v>0</v>
      </c>
      <c r="J1822" s="185" t="str">
        <f>IFERROR(VLOOKUP(A1822,Ativos!$A$1:$G2000,5,),"")</f>
        <v/>
      </c>
      <c r="K1822" s="185" t="str">
        <f>IFERROR(VLOOKUP(A1822,Ativos!A:H,8,),"")</f>
        <v/>
      </c>
      <c r="L1822" s="186">
        <f t="shared" si="3"/>
        <v>0</v>
      </c>
    </row>
    <row r="1823" ht="21.0" customHeight="1">
      <c r="A1823" s="187"/>
      <c r="B1823" s="187"/>
      <c r="C1823" s="188"/>
      <c r="D1823" s="135"/>
      <c r="E1823" s="189"/>
      <c r="F1823" s="182" t="str">
        <f t="shared" si="1"/>
        <v/>
      </c>
      <c r="G1823" s="183">
        <f>IFERROR(__xludf.DUMMYFUNCTION("IFERROR(lookup(9999999999,FILTER('Operações-BR'!$M:$M,'Operações-BR'!$C:$C=A1823,'Operações-BR'!$A:$A&lt;=C1823)),0)"),0.0)</f>
        <v>0</v>
      </c>
      <c r="H1823" s="184">
        <f t="shared" si="2"/>
        <v>0</v>
      </c>
      <c r="I1823" s="184">
        <f>IFERROR(__xludf.DUMMYFUNCTION("IFERROR(lookup(9999999999,FILTER('Operações-BR'!Q:Q,'Operações-BR'!$C:$C=A1823,'Operações-BR'!$A:$A&lt;=C1823))/G1823,0)"),0.0)</f>
        <v>0</v>
      </c>
      <c r="J1823" s="185" t="str">
        <f>IFERROR(VLOOKUP(A1823,Ativos!$A$1:$G2000,5,),"")</f>
        <v/>
      </c>
      <c r="K1823" s="185" t="str">
        <f>IFERROR(VLOOKUP(A1823,Ativos!A:H,8,),"")</f>
        <v/>
      </c>
      <c r="L1823" s="186">
        <f t="shared" si="3"/>
        <v>0</v>
      </c>
    </row>
    <row r="1824" ht="21.0" customHeight="1">
      <c r="A1824" s="187"/>
      <c r="B1824" s="187"/>
      <c r="C1824" s="188"/>
      <c r="D1824" s="135"/>
      <c r="E1824" s="189"/>
      <c r="F1824" s="182" t="str">
        <f t="shared" si="1"/>
        <v/>
      </c>
      <c r="G1824" s="183">
        <f>IFERROR(__xludf.DUMMYFUNCTION("IFERROR(lookup(9999999999,FILTER('Operações-BR'!$M:$M,'Operações-BR'!$C:$C=A1824,'Operações-BR'!$A:$A&lt;=C1824)),0)"),0.0)</f>
        <v>0</v>
      </c>
      <c r="H1824" s="184">
        <f t="shared" si="2"/>
        <v>0</v>
      </c>
      <c r="I1824" s="184">
        <f>IFERROR(__xludf.DUMMYFUNCTION("IFERROR(lookup(9999999999,FILTER('Operações-BR'!Q:Q,'Operações-BR'!$C:$C=A1824,'Operações-BR'!$A:$A&lt;=C1824))/G1824,0)"),0.0)</f>
        <v>0</v>
      </c>
      <c r="J1824" s="185" t="str">
        <f>IFERROR(VLOOKUP(A1824,Ativos!$A$1:$G2000,5,),"")</f>
        <v/>
      </c>
      <c r="K1824" s="185" t="str">
        <f>IFERROR(VLOOKUP(A1824,Ativos!A:H,8,),"")</f>
        <v/>
      </c>
      <c r="L1824" s="186">
        <f t="shared" si="3"/>
        <v>0</v>
      </c>
    </row>
    <row r="1825" ht="21.0" customHeight="1">
      <c r="A1825" s="187"/>
      <c r="B1825" s="187"/>
      <c r="C1825" s="188"/>
      <c r="D1825" s="135"/>
      <c r="E1825" s="189"/>
      <c r="F1825" s="182" t="str">
        <f t="shared" si="1"/>
        <v/>
      </c>
      <c r="G1825" s="183">
        <f>IFERROR(__xludf.DUMMYFUNCTION("IFERROR(lookup(9999999999,FILTER('Operações-BR'!$M:$M,'Operações-BR'!$C:$C=A1825,'Operações-BR'!$A:$A&lt;=C1825)),0)"),0.0)</f>
        <v>0</v>
      </c>
      <c r="H1825" s="184">
        <f t="shared" si="2"/>
        <v>0</v>
      </c>
      <c r="I1825" s="184">
        <f>IFERROR(__xludf.DUMMYFUNCTION("IFERROR(lookup(9999999999,FILTER('Operações-BR'!Q:Q,'Operações-BR'!$C:$C=A1825,'Operações-BR'!$A:$A&lt;=C1825))/G1825,0)"),0.0)</f>
        <v>0</v>
      </c>
      <c r="J1825" s="185" t="str">
        <f>IFERROR(VLOOKUP(A1825,Ativos!$A$1:$G2000,5,),"")</f>
        <v/>
      </c>
      <c r="K1825" s="185" t="str">
        <f>IFERROR(VLOOKUP(A1825,Ativos!A:H,8,),"")</f>
        <v/>
      </c>
      <c r="L1825" s="186">
        <f t="shared" si="3"/>
        <v>0</v>
      </c>
    </row>
    <row r="1826" ht="21.0" customHeight="1">
      <c r="A1826" s="187"/>
      <c r="B1826" s="187"/>
      <c r="C1826" s="188"/>
      <c r="D1826" s="135"/>
      <c r="E1826" s="189"/>
      <c r="F1826" s="182" t="str">
        <f t="shared" si="1"/>
        <v/>
      </c>
      <c r="G1826" s="183">
        <f>IFERROR(__xludf.DUMMYFUNCTION("IFERROR(lookup(9999999999,FILTER('Operações-BR'!$M:$M,'Operações-BR'!$C:$C=A1826,'Operações-BR'!$A:$A&lt;=C1826)),0)"),0.0)</f>
        <v>0</v>
      </c>
      <c r="H1826" s="184">
        <f t="shared" si="2"/>
        <v>0</v>
      </c>
      <c r="I1826" s="184">
        <f>IFERROR(__xludf.DUMMYFUNCTION("IFERROR(lookup(9999999999,FILTER('Operações-BR'!Q:Q,'Operações-BR'!$C:$C=A1826,'Operações-BR'!$A:$A&lt;=C1826))/G1826,0)"),0.0)</f>
        <v>0</v>
      </c>
      <c r="J1826" s="185" t="str">
        <f>IFERROR(VLOOKUP(A1826,Ativos!$A$1:$G2000,5,),"")</f>
        <v/>
      </c>
      <c r="K1826" s="185" t="str">
        <f>IFERROR(VLOOKUP(A1826,Ativos!A:H,8,),"")</f>
        <v/>
      </c>
      <c r="L1826" s="186">
        <f t="shared" si="3"/>
        <v>0</v>
      </c>
    </row>
    <row r="1827" ht="21.0" customHeight="1">
      <c r="A1827" s="187"/>
      <c r="B1827" s="187"/>
      <c r="C1827" s="188"/>
      <c r="D1827" s="135"/>
      <c r="E1827" s="189"/>
      <c r="F1827" s="182" t="str">
        <f t="shared" si="1"/>
        <v/>
      </c>
      <c r="G1827" s="183">
        <f>IFERROR(__xludf.DUMMYFUNCTION("IFERROR(lookup(9999999999,FILTER('Operações-BR'!$M:$M,'Operações-BR'!$C:$C=A1827,'Operações-BR'!$A:$A&lt;=C1827)),0)"),0.0)</f>
        <v>0</v>
      </c>
      <c r="H1827" s="184">
        <f t="shared" si="2"/>
        <v>0</v>
      </c>
      <c r="I1827" s="184">
        <f>IFERROR(__xludf.DUMMYFUNCTION("IFERROR(lookup(9999999999,FILTER('Operações-BR'!Q:Q,'Operações-BR'!$C:$C=A1827,'Operações-BR'!$A:$A&lt;=C1827))/G1827,0)"),0.0)</f>
        <v>0</v>
      </c>
      <c r="J1827" s="185" t="str">
        <f>IFERROR(VLOOKUP(A1827,Ativos!$A$1:$G2000,5,),"")</f>
        <v/>
      </c>
      <c r="K1827" s="185" t="str">
        <f>IFERROR(VLOOKUP(A1827,Ativos!A:H,8,),"")</f>
        <v/>
      </c>
      <c r="L1827" s="186">
        <f t="shared" si="3"/>
        <v>0</v>
      </c>
    </row>
    <row r="1828" ht="21.0" customHeight="1">
      <c r="A1828" s="187"/>
      <c r="B1828" s="187"/>
      <c r="C1828" s="188"/>
      <c r="D1828" s="135"/>
      <c r="E1828" s="189"/>
      <c r="F1828" s="182" t="str">
        <f t="shared" si="1"/>
        <v/>
      </c>
      <c r="G1828" s="183">
        <f>IFERROR(__xludf.DUMMYFUNCTION("IFERROR(lookup(9999999999,FILTER('Operações-BR'!$M:$M,'Operações-BR'!$C:$C=A1828,'Operações-BR'!$A:$A&lt;=C1828)),0)"),0.0)</f>
        <v>0</v>
      </c>
      <c r="H1828" s="184">
        <f t="shared" si="2"/>
        <v>0</v>
      </c>
      <c r="I1828" s="184">
        <f>IFERROR(__xludf.DUMMYFUNCTION("IFERROR(lookup(9999999999,FILTER('Operações-BR'!Q:Q,'Operações-BR'!$C:$C=A1828,'Operações-BR'!$A:$A&lt;=C1828))/G1828,0)"),0.0)</f>
        <v>0</v>
      </c>
      <c r="J1828" s="185" t="str">
        <f>IFERROR(VLOOKUP(A1828,Ativos!$A$1:$G2000,5,),"")</f>
        <v/>
      </c>
      <c r="K1828" s="185" t="str">
        <f>IFERROR(VLOOKUP(A1828,Ativos!A:H,8,),"")</f>
        <v/>
      </c>
      <c r="L1828" s="186">
        <f t="shared" si="3"/>
        <v>0</v>
      </c>
    </row>
    <row r="1829" ht="21.0" customHeight="1">
      <c r="A1829" s="187"/>
      <c r="B1829" s="187"/>
      <c r="C1829" s="188"/>
      <c r="D1829" s="135"/>
      <c r="E1829" s="189"/>
      <c r="F1829" s="182" t="str">
        <f t="shared" si="1"/>
        <v/>
      </c>
      <c r="G1829" s="183">
        <f>IFERROR(__xludf.DUMMYFUNCTION("IFERROR(lookup(9999999999,FILTER('Operações-BR'!$M:$M,'Operações-BR'!$C:$C=A1829,'Operações-BR'!$A:$A&lt;=C1829)),0)"),0.0)</f>
        <v>0</v>
      </c>
      <c r="H1829" s="184">
        <f t="shared" si="2"/>
        <v>0</v>
      </c>
      <c r="I1829" s="184">
        <f>IFERROR(__xludf.DUMMYFUNCTION("IFERROR(lookup(9999999999,FILTER('Operações-BR'!Q:Q,'Operações-BR'!$C:$C=A1829,'Operações-BR'!$A:$A&lt;=C1829))/G1829,0)"),0.0)</f>
        <v>0</v>
      </c>
      <c r="J1829" s="185" t="str">
        <f>IFERROR(VLOOKUP(A1829,Ativos!$A$1:$G2000,5,),"")</f>
        <v/>
      </c>
      <c r="K1829" s="185" t="str">
        <f>IFERROR(VLOOKUP(A1829,Ativos!A:H,8,),"")</f>
        <v/>
      </c>
      <c r="L1829" s="186">
        <f t="shared" si="3"/>
        <v>0</v>
      </c>
    </row>
    <row r="1830" ht="21.0" customHeight="1">
      <c r="A1830" s="187"/>
      <c r="B1830" s="187"/>
      <c r="C1830" s="188"/>
      <c r="D1830" s="135"/>
      <c r="E1830" s="189"/>
      <c r="F1830" s="182" t="str">
        <f t="shared" si="1"/>
        <v/>
      </c>
      <c r="G1830" s="183">
        <f>IFERROR(__xludf.DUMMYFUNCTION("IFERROR(lookup(9999999999,FILTER('Operações-BR'!$M:$M,'Operações-BR'!$C:$C=A1830,'Operações-BR'!$A:$A&lt;=C1830)),0)"),0.0)</f>
        <v>0</v>
      </c>
      <c r="H1830" s="184">
        <f t="shared" si="2"/>
        <v>0</v>
      </c>
      <c r="I1830" s="184">
        <f>IFERROR(__xludf.DUMMYFUNCTION("IFERROR(lookup(9999999999,FILTER('Operações-BR'!Q:Q,'Operações-BR'!$C:$C=A1830,'Operações-BR'!$A:$A&lt;=C1830))/G1830,0)"),0.0)</f>
        <v>0</v>
      </c>
      <c r="J1830" s="185" t="str">
        <f>IFERROR(VLOOKUP(A1830,Ativos!$A$1:$G2000,5,),"")</f>
        <v/>
      </c>
      <c r="K1830" s="185" t="str">
        <f>IFERROR(VLOOKUP(A1830,Ativos!A:H,8,),"")</f>
        <v/>
      </c>
      <c r="L1830" s="186">
        <f t="shared" si="3"/>
        <v>0</v>
      </c>
    </row>
    <row r="1831" ht="21.0" customHeight="1">
      <c r="A1831" s="187"/>
      <c r="B1831" s="187"/>
      <c r="C1831" s="188"/>
      <c r="D1831" s="135"/>
      <c r="E1831" s="189"/>
      <c r="F1831" s="182" t="str">
        <f t="shared" si="1"/>
        <v/>
      </c>
      <c r="G1831" s="183">
        <f>IFERROR(__xludf.DUMMYFUNCTION("IFERROR(lookup(9999999999,FILTER('Operações-BR'!$M:$M,'Operações-BR'!$C:$C=A1831,'Operações-BR'!$A:$A&lt;=C1831)),0)"),0.0)</f>
        <v>0</v>
      </c>
      <c r="H1831" s="184">
        <f t="shared" si="2"/>
        <v>0</v>
      </c>
      <c r="I1831" s="184">
        <f>IFERROR(__xludf.DUMMYFUNCTION("IFERROR(lookup(9999999999,FILTER('Operações-BR'!Q:Q,'Operações-BR'!$C:$C=A1831,'Operações-BR'!$A:$A&lt;=C1831))/G1831,0)"),0.0)</f>
        <v>0</v>
      </c>
      <c r="J1831" s="185" t="str">
        <f>IFERROR(VLOOKUP(A1831,Ativos!$A$1:$G2000,5,),"")</f>
        <v/>
      </c>
      <c r="K1831" s="185" t="str">
        <f>IFERROR(VLOOKUP(A1831,Ativos!A:H,8,),"")</f>
        <v/>
      </c>
      <c r="L1831" s="186">
        <f t="shared" si="3"/>
        <v>0</v>
      </c>
    </row>
    <row r="1832" ht="21.0" customHeight="1">
      <c r="A1832" s="187"/>
      <c r="B1832" s="187"/>
      <c r="C1832" s="188"/>
      <c r="D1832" s="135"/>
      <c r="E1832" s="189"/>
      <c r="F1832" s="182" t="str">
        <f t="shared" si="1"/>
        <v/>
      </c>
      <c r="G1832" s="183">
        <f>IFERROR(__xludf.DUMMYFUNCTION("IFERROR(lookup(9999999999,FILTER('Operações-BR'!$M:$M,'Operações-BR'!$C:$C=A1832,'Operações-BR'!$A:$A&lt;=C1832)),0)"),0.0)</f>
        <v>0</v>
      </c>
      <c r="H1832" s="184">
        <f t="shared" si="2"/>
        <v>0</v>
      </c>
      <c r="I1832" s="184">
        <f>IFERROR(__xludf.DUMMYFUNCTION("IFERROR(lookup(9999999999,FILTER('Operações-BR'!Q:Q,'Operações-BR'!$C:$C=A1832,'Operações-BR'!$A:$A&lt;=C1832))/G1832,0)"),0.0)</f>
        <v>0</v>
      </c>
      <c r="J1832" s="185" t="str">
        <f>IFERROR(VLOOKUP(A1832,Ativos!$A$1:$G2000,5,),"")</f>
        <v/>
      </c>
      <c r="K1832" s="185" t="str">
        <f>IFERROR(VLOOKUP(A1832,Ativos!A:H,8,),"")</f>
        <v/>
      </c>
      <c r="L1832" s="186">
        <f t="shared" si="3"/>
        <v>0</v>
      </c>
    </row>
    <row r="1833" ht="21.0" customHeight="1">
      <c r="A1833" s="187"/>
      <c r="B1833" s="187"/>
      <c r="C1833" s="188"/>
      <c r="D1833" s="135"/>
      <c r="E1833" s="189"/>
      <c r="F1833" s="182" t="str">
        <f t="shared" si="1"/>
        <v/>
      </c>
      <c r="G1833" s="183">
        <f>IFERROR(__xludf.DUMMYFUNCTION("IFERROR(lookup(9999999999,FILTER('Operações-BR'!$M:$M,'Operações-BR'!$C:$C=A1833,'Operações-BR'!$A:$A&lt;=C1833)),0)"),0.0)</f>
        <v>0</v>
      </c>
      <c r="H1833" s="184">
        <f t="shared" si="2"/>
        <v>0</v>
      </c>
      <c r="I1833" s="184">
        <f>IFERROR(__xludf.DUMMYFUNCTION("IFERROR(lookup(9999999999,FILTER('Operações-BR'!Q:Q,'Operações-BR'!$C:$C=A1833,'Operações-BR'!$A:$A&lt;=C1833))/G1833,0)"),0.0)</f>
        <v>0</v>
      </c>
      <c r="J1833" s="185" t="str">
        <f>IFERROR(VLOOKUP(A1833,Ativos!$A$1:$G2000,5,),"")</f>
        <v/>
      </c>
      <c r="K1833" s="185" t="str">
        <f>IFERROR(VLOOKUP(A1833,Ativos!A:H,8,),"")</f>
        <v/>
      </c>
      <c r="L1833" s="186">
        <f t="shared" si="3"/>
        <v>0</v>
      </c>
    </row>
    <row r="1834" ht="21.0" customHeight="1">
      <c r="A1834" s="187"/>
      <c r="B1834" s="187"/>
      <c r="C1834" s="188"/>
      <c r="D1834" s="135"/>
      <c r="E1834" s="189"/>
      <c r="F1834" s="182" t="str">
        <f t="shared" si="1"/>
        <v/>
      </c>
      <c r="G1834" s="183">
        <f>IFERROR(__xludf.DUMMYFUNCTION("IFERROR(lookup(9999999999,FILTER('Operações-BR'!$M:$M,'Operações-BR'!$C:$C=A1834,'Operações-BR'!$A:$A&lt;=C1834)),0)"),0.0)</f>
        <v>0</v>
      </c>
      <c r="H1834" s="184">
        <f t="shared" si="2"/>
        <v>0</v>
      </c>
      <c r="I1834" s="184">
        <f>IFERROR(__xludf.DUMMYFUNCTION("IFERROR(lookup(9999999999,FILTER('Operações-BR'!Q:Q,'Operações-BR'!$C:$C=A1834,'Operações-BR'!$A:$A&lt;=C1834))/G1834,0)"),0.0)</f>
        <v>0</v>
      </c>
      <c r="J1834" s="185" t="str">
        <f>IFERROR(VLOOKUP(A1834,Ativos!$A$1:$G2000,5,),"")</f>
        <v/>
      </c>
      <c r="K1834" s="185" t="str">
        <f>IFERROR(VLOOKUP(A1834,Ativos!A:H,8,),"")</f>
        <v/>
      </c>
      <c r="L1834" s="186">
        <f t="shared" si="3"/>
        <v>0</v>
      </c>
    </row>
    <row r="1835" ht="21.0" customHeight="1">
      <c r="A1835" s="187"/>
      <c r="B1835" s="187"/>
      <c r="C1835" s="188"/>
      <c r="D1835" s="135"/>
      <c r="E1835" s="189"/>
      <c r="F1835" s="182" t="str">
        <f t="shared" si="1"/>
        <v/>
      </c>
      <c r="G1835" s="183">
        <f>IFERROR(__xludf.DUMMYFUNCTION("IFERROR(lookup(9999999999,FILTER('Operações-BR'!$M:$M,'Operações-BR'!$C:$C=A1835,'Operações-BR'!$A:$A&lt;=C1835)),0)"),0.0)</f>
        <v>0</v>
      </c>
      <c r="H1835" s="184">
        <f t="shared" si="2"/>
        <v>0</v>
      </c>
      <c r="I1835" s="184">
        <f>IFERROR(__xludf.DUMMYFUNCTION("IFERROR(lookup(9999999999,FILTER('Operações-BR'!Q:Q,'Operações-BR'!$C:$C=A1835,'Operações-BR'!$A:$A&lt;=C1835))/G1835,0)"),0.0)</f>
        <v>0</v>
      </c>
      <c r="J1835" s="185" t="str">
        <f>IFERROR(VLOOKUP(A1835,Ativos!$A$1:$G2000,5,),"")</f>
        <v/>
      </c>
      <c r="K1835" s="185" t="str">
        <f>IFERROR(VLOOKUP(A1835,Ativos!A:H,8,),"")</f>
        <v/>
      </c>
      <c r="L1835" s="186">
        <f t="shared" si="3"/>
        <v>0</v>
      </c>
    </row>
    <row r="1836" ht="21.0" customHeight="1">
      <c r="A1836" s="187"/>
      <c r="B1836" s="187"/>
      <c r="C1836" s="188"/>
      <c r="D1836" s="135"/>
      <c r="E1836" s="189"/>
      <c r="F1836" s="182" t="str">
        <f t="shared" si="1"/>
        <v/>
      </c>
      <c r="G1836" s="183">
        <f>IFERROR(__xludf.DUMMYFUNCTION("IFERROR(lookup(9999999999,FILTER('Operações-BR'!$M:$M,'Operações-BR'!$C:$C=A1836,'Operações-BR'!$A:$A&lt;=C1836)),0)"),0.0)</f>
        <v>0</v>
      </c>
      <c r="H1836" s="184">
        <f t="shared" si="2"/>
        <v>0</v>
      </c>
      <c r="I1836" s="184">
        <f>IFERROR(__xludf.DUMMYFUNCTION("IFERROR(lookup(9999999999,FILTER('Operações-BR'!Q:Q,'Operações-BR'!$C:$C=A1836,'Operações-BR'!$A:$A&lt;=C1836))/G1836,0)"),0.0)</f>
        <v>0</v>
      </c>
      <c r="J1836" s="185" t="str">
        <f>IFERROR(VLOOKUP(A1836,Ativos!$A$1:$G2000,5,),"")</f>
        <v/>
      </c>
      <c r="K1836" s="185" t="str">
        <f>IFERROR(VLOOKUP(A1836,Ativos!A:H,8,),"")</f>
        <v/>
      </c>
      <c r="L1836" s="186">
        <f t="shared" si="3"/>
        <v>0</v>
      </c>
    </row>
    <row r="1837" ht="21.0" customHeight="1">
      <c r="A1837" s="187"/>
      <c r="B1837" s="187"/>
      <c r="C1837" s="188"/>
      <c r="D1837" s="135"/>
      <c r="E1837" s="189"/>
      <c r="F1837" s="182" t="str">
        <f t="shared" si="1"/>
        <v/>
      </c>
      <c r="G1837" s="183">
        <f>IFERROR(__xludf.DUMMYFUNCTION("IFERROR(lookup(9999999999,FILTER('Operações-BR'!$M:$M,'Operações-BR'!$C:$C=A1837,'Operações-BR'!$A:$A&lt;=C1837)),0)"),0.0)</f>
        <v>0</v>
      </c>
      <c r="H1837" s="184">
        <f t="shared" si="2"/>
        <v>0</v>
      </c>
      <c r="I1837" s="184">
        <f>IFERROR(__xludf.DUMMYFUNCTION("IFERROR(lookup(9999999999,FILTER('Operações-BR'!Q:Q,'Operações-BR'!$C:$C=A1837,'Operações-BR'!$A:$A&lt;=C1837))/G1837,0)"),0.0)</f>
        <v>0</v>
      </c>
      <c r="J1837" s="185" t="str">
        <f>IFERROR(VLOOKUP(A1837,Ativos!$A$1:$G2000,5,),"")</f>
        <v/>
      </c>
      <c r="K1837" s="185" t="str">
        <f>IFERROR(VLOOKUP(A1837,Ativos!A:H,8,),"")</f>
        <v/>
      </c>
      <c r="L1837" s="186">
        <f t="shared" si="3"/>
        <v>0</v>
      </c>
    </row>
    <row r="1838" ht="21.0" customHeight="1">
      <c r="A1838" s="187"/>
      <c r="B1838" s="187"/>
      <c r="C1838" s="188"/>
      <c r="D1838" s="135"/>
      <c r="E1838" s="189"/>
      <c r="F1838" s="182" t="str">
        <f t="shared" si="1"/>
        <v/>
      </c>
      <c r="G1838" s="183">
        <f>IFERROR(__xludf.DUMMYFUNCTION("IFERROR(lookup(9999999999,FILTER('Operações-BR'!$M:$M,'Operações-BR'!$C:$C=A1838,'Operações-BR'!$A:$A&lt;=C1838)),0)"),0.0)</f>
        <v>0</v>
      </c>
      <c r="H1838" s="184">
        <f t="shared" si="2"/>
        <v>0</v>
      </c>
      <c r="I1838" s="184">
        <f>IFERROR(__xludf.DUMMYFUNCTION("IFERROR(lookup(9999999999,FILTER('Operações-BR'!Q:Q,'Operações-BR'!$C:$C=A1838,'Operações-BR'!$A:$A&lt;=C1838))/G1838,0)"),0.0)</f>
        <v>0</v>
      </c>
      <c r="J1838" s="185" t="str">
        <f>IFERROR(VLOOKUP(A1838,Ativos!$A$1:$G2000,5,),"")</f>
        <v/>
      </c>
      <c r="K1838" s="185" t="str">
        <f>IFERROR(VLOOKUP(A1838,Ativos!A:H,8,),"")</f>
        <v/>
      </c>
      <c r="L1838" s="186">
        <f t="shared" si="3"/>
        <v>0</v>
      </c>
    </row>
    <row r="1839" ht="21.0" customHeight="1">
      <c r="A1839" s="187"/>
      <c r="B1839" s="187"/>
      <c r="C1839" s="188"/>
      <c r="D1839" s="135"/>
      <c r="E1839" s="189"/>
      <c r="F1839" s="182" t="str">
        <f t="shared" si="1"/>
        <v/>
      </c>
      <c r="G1839" s="183">
        <f>IFERROR(__xludf.DUMMYFUNCTION("IFERROR(lookup(9999999999,FILTER('Operações-BR'!$M:$M,'Operações-BR'!$C:$C=A1839,'Operações-BR'!$A:$A&lt;=C1839)),0)"),0.0)</f>
        <v>0</v>
      </c>
      <c r="H1839" s="184">
        <f t="shared" si="2"/>
        <v>0</v>
      </c>
      <c r="I1839" s="184">
        <f>IFERROR(__xludf.DUMMYFUNCTION("IFERROR(lookup(9999999999,FILTER('Operações-BR'!Q:Q,'Operações-BR'!$C:$C=A1839,'Operações-BR'!$A:$A&lt;=C1839))/G1839,0)"),0.0)</f>
        <v>0</v>
      </c>
      <c r="J1839" s="185" t="str">
        <f>IFERROR(VLOOKUP(A1839,Ativos!$A$1:$G2000,5,),"")</f>
        <v/>
      </c>
      <c r="K1839" s="185" t="str">
        <f>IFERROR(VLOOKUP(A1839,Ativos!A:H,8,),"")</f>
        <v/>
      </c>
      <c r="L1839" s="186">
        <f t="shared" si="3"/>
        <v>0</v>
      </c>
    </row>
    <row r="1840" ht="21.0" customHeight="1">
      <c r="A1840" s="187"/>
      <c r="B1840" s="187"/>
      <c r="C1840" s="188"/>
      <c r="D1840" s="135"/>
      <c r="E1840" s="189"/>
      <c r="F1840" s="182" t="str">
        <f t="shared" si="1"/>
        <v/>
      </c>
      <c r="G1840" s="183">
        <f>IFERROR(__xludf.DUMMYFUNCTION("IFERROR(lookup(9999999999,FILTER('Operações-BR'!$M:$M,'Operações-BR'!$C:$C=A1840,'Operações-BR'!$A:$A&lt;=C1840)),0)"),0.0)</f>
        <v>0</v>
      </c>
      <c r="H1840" s="184">
        <f t="shared" si="2"/>
        <v>0</v>
      </c>
      <c r="I1840" s="184">
        <f>IFERROR(__xludf.DUMMYFUNCTION("IFERROR(lookup(9999999999,FILTER('Operações-BR'!Q:Q,'Operações-BR'!$C:$C=A1840,'Operações-BR'!$A:$A&lt;=C1840))/G1840,0)"),0.0)</f>
        <v>0</v>
      </c>
      <c r="J1840" s="185" t="str">
        <f>IFERROR(VLOOKUP(A1840,Ativos!$A$1:$G2000,5,),"")</f>
        <v/>
      </c>
      <c r="K1840" s="185" t="str">
        <f>IFERROR(VLOOKUP(A1840,Ativos!A:H,8,),"")</f>
        <v/>
      </c>
      <c r="L1840" s="186">
        <f t="shared" si="3"/>
        <v>0</v>
      </c>
    </row>
    <row r="1841" ht="21.0" customHeight="1">
      <c r="A1841" s="187"/>
      <c r="B1841" s="187"/>
      <c r="C1841" s="188"/>
      <c r="D1841" s="135"/>
      <c r="E1841" s="189"/>
      <c r="F1841" s="182" t="str">
        <f t="shared" si="1"/>
        <v/>
      </c>
      <c r="G1841" s="183">
        <f>IFERROR(__xludf.DUMMYFUNCTION("IFERROR(lookup(9999999999,FILTER('Operações-BR'!$M:$M,'Operações-BR'!$C:$C=A1841,'Operações-BR'!$A:$A&lt;=C1841)),0)"),0.0)</f>
        <v>0</v>
      </c>
      <c r="H1841" s="184">
        <f t="shared" si="2"/>
        <v>0</v>
      </c>
      <c r="I1841" s="184">
        <f>IFERROR(__xludf.DUMMYFUNCTION("IFERROR(lookup(9999999999,FILTER('Operações-BR'!Q:Q,'Operações-BR'!$C:$C=A1841,'Operações-BR'!$A:$A&lt;=C1841))/G1841,0)"),0.0)</f>
        <v>0</v>
      </c>
      <c r="J1841" s="185" t="str">
        <f>IFERROR(VLOOKUP(A1841,Ativos!$A$1:$G2000,5,),"")</f>
        <v/>
      </c>
      <c r="K1841" s="185" t="str">
        <f>IFERROR(VLOOKUP(A1841,Ativos!A:H,8,),"")</f>
        <v/>
      </c>
      <c r="L1841" s="186">
        <f t="shared" si="3"/>
        <v>0</v>
      </c>
    </row>
    <row r="1842" ht="21.0" customHeight="1">
      <c r="A1842" s="187"/>
      <c r="B1842" s="187"/>
      <c r="C1842" s="188"/>
      <c r="D1842" s="135"/>
      <c r="E1842" s="189"/>
      <c r="F1842" s="182" t="str">
        <f t="shared" si="1"/>
        <v/>
      </c>
      <c r="G1842" s="183">
        <f>IFERROR(__xludf.DUMMYFUNCTION("IFERROR(lookup(9999999999,FILTER('Operações-BR'!$M:$M,'Operações-BR'!$C:$C=A1842,'Operações-BR'!$A:$A&lt;=C1842)),0)"),0.0)</f>
        <v>0</v>
      </c>
      <c r="H1842" s="184">
        <f t="shared" si="2"/>
        <v>0</v>
      </c>
      <c r="I1842" s="184">
        <f>IFERROR(__xludf.DUMMYFUNCTION("IFERROR(lookup(9999999999,FILTER('Operações-BR'!Q:Q,'Operações-BR'!$C:$C=A1842,'Operações-BR'!$A:$A&lt;=C1842))/G1842,0)"),0.0)</f>
        <v>0</v>
      </c>
      <c r="J1842" s="185" t="str">
        <f>IFERROR(VLOOKUP(A1842,Ativos!$A$1:$G2000,5,),"")</f>
        <v/>
      </c>
      <c r="K1842" s="185" t="str">
        <f>IFERROR(VLOOKUP(A1842,Ativos!A:H,8,),"")</f>
        <v/>
      </c>
      <c r="L1842" s="186">
        <f t="shared" si="3"/>
        <v>0</v>
      </c>
    </row>
    <row r="1843" ht="21.0" customHeight="1">
      <c r="A1843" s="187"/>
      <c r="B1843" s="187"/>
      <c r="C1843" s="188"/>
      <c r="D1843" s="135"/>
      <c r="E1843" s="189"/>
      <c r="F1843" s="182" t="str">
        <f t="shared" si="1"/>
        <v/>
      </c>
      <c r="G1843" s="183">
        <f>IFERROR(__xludf.DUMMYFUNCTION("IFERROR(lookup(9999999999,FILTER('Operações-BR'!$M:$M,'Operações-BR'!$C:$C=A1843,'Operações-BR'!$A:$A&lt;=C1843)),0)"),0.0)</f>
        <v>0</v>
      </c>
      <c r="H1843" s="184">
        <f t="shared" si="2"/>
        <v>0</v>
      </c>
      <c r="I1843" s="184">
        <f>IFERROR(__xludf.DUMMYFUNCTION("IFERROR(lookup(9999999999,FILTER('Operações-BR'!Q:Q,'Operações-BR'!$C:$C=A1843,'Operações-BR'!$A:$A&lt;=C1843))/G1843,0)"),0.0)</f>
        <v>0</v>
      </c>
      <c r="J1843" s="185" t="str">
        <f>IFERROR(VLOOKUP(A1843,Ativos!$A$1:$G2000,5,),"")</f>
        <v/>
      </c>
      <c r="K1843" s="185" t="str">
        <f>IFERROR(VLOOKUP(A1843,Ativos!A:H,8,),"")</f>
        <v/>
      </c>
      <c r="L1843" s="186">
        <f t="shared" si="3"/>
        <v>0</v>
      </c>
    </row>
    <row r="1844" ht="21.0" customHeight="1">
      <c r="A1844" s="187"/>
      <c r="B1844" s="187"/>
      <c r="C1844" s="188"/>
      <c r="D1844" s="135"/>
      <c r="E1844" s="189"/>
      <c r="F1844" s="182" t="str">
        <f t="shared" si="1"/>
        <v/>
      </c>
      <c r="G1844" s="183">
        <f>IFERROR(__xludf.DUMMYFUNCTION("IFERROR(lookup(9999999999,FILTER('Operações-BR'!$M:$M,'Operações-BR'!$C:$C=A1844,'Operações-BR'!$A:$A&lt;=C1844)),0)"),0.0)</f>
        <v>0</v>
      </c>
      <c r="H1844" s="184">
        <f t="shared" si="2"/>
        <v>0</v>
      </c>
      <c r="I1844" s="184">
        <f>IFERROR(__xludf.DUMMYFUNCTION("IFERROR(lookup(9999999999,FILTER('Operações-BR'!Q:Q,'Operações-BR'!$C:$C=A1844,'Operações-BR'!$A:$A&lt;=C1844))/G1844,0)"),0.0)</f>
        <v>0</v>
      </c>
      <c r="J1844" s="185" t="str">
        <f>IFERROR(VLOOKUP(A1844,Ativos!$A$1:$G2000,5,),"")</f>
        <v/>
      </c>
      <c r="K1844" s="185" t="str">
        <f>IFERROR(VLOOKUP(A1844,Ativos!A:H,8,),"")</f>
        <v/>
      </c>
      <c r="L1844" s="186">
        <f t="shared" si="3"/>
        <v>0</v>
      </c>
    </row>
    <row r="1845" ht="21.0" customHeight="1">
      <c r="A1845" s="187"/>
      <c r="B1845" s="187"/>
      <c r="C1845" s="188"/>
      <c r="D1845" s="135"/>
      <c r="E1845" s="189"/>
      <c r="F1845" s="182" t="str">
        <f t="shared" si="1"/>
        <v/>
      </c>
      <c r="G1845" s="183">
        <f>IFERROR(__xludf.DUMMYFUNCTION("IFERROR(lookup(9999999999,FILTER('Operações-BR'!$M:$M,'Operações-BR'!$C:$C=A1845,'Operações-BR'!$A:$A&lt;=C1845)),0)"),0.0)</f>
        <v>0</v>
      </c>
      <c r="H1845" s="184">
        <f t="shared" si="2"/>
        <v>0</v>
      </c>
      <c r="I1845" s="184">
        <f>IFERROR(__xludf.DUMMYFUNCTION("IFERROR(lookup(9999999999,FILTER('Operações-BR'!Q:Q,'Operações-BR'!$C:$C=A1845,'Operações-BR'!$A:$A&lt;=C1845))/G1845,0)"),0.0)</f>
        <v>0</v>
      </c>
      <c r="J1845" s="185" t="str">
        <f>IFERROR(VLOOKUP(A1845,Ativos!$A$1:$G2000,5,),"")</f>
        <v/>
      </c>
      <c r="K1845" s="185" t="str">
        <f>IFERROR(VLOOKUP(A1845,Ativos!A:H,8,),"")</f>
        <v/>
      </c>
      <c r="L1845" s="186">
        <f t="shared" si="3"/>
        <v>0</v>
      </c>
    </row>
    <row r="1846" ht="21.0" customHeight="1">
      <c r="A1846" s="187"/>
      <c r="B1846" s="187"/>
      <c r="C1846" s="188"/>
      <c r="D1846" s="135"/>
      <c r="E1846" s="189"/>
      <c r="F1846" s="182" t="str">
        <f t="shared" si="1"/>
        <v/>
      </c>
      <c r="G1846" s="183">
        <f>IFERROR(__xludf.DUMMYFUNCTION("IFERROR(lookup(9999999999,FILTER('Operações-BR'!$M:$M,'Operações-BR'!$C:$C=A1846,'Operações-BR'!$A:$A&lt;=C1846)),0)"),0.0)</f>
        <v>0</v>
      </c>
      <c r="H1846" s="184">
        <f t="shared" si="2"/>
        <v>0</v>
      </c>
      <c r="I1846" s="184">
        <f>IFERROR(__xludf.DUMMYFUNCTION("IFERROR(lookup(9999999999,FILTER('Operações-BR'!Q:Q,'Operações-BR'!$C:$C=A1846,'Operações-BR'!$A:$A&lt;=C1846))/G1846,0)"),0.0)</f>
        <v>0</v>
      </c>
      <c r="J1846" s="185" t="str">
        <f>IFERROR(VLOOKUP(A1846,Ativos!$A$1:$G2000,5,),"")</f>
        <v/>
      </c>
      <c r="K1846" s="185" t="str">
        <f>IFERROR(VLOOKUP(A1846,Ativos!A:H,8,),"")</f>
        <v/>
      </c>
      <c r="L1846" s="186">
        <f t="shared" si="3"/>
        <v>0</v>
      </c>
    </row>
    <row r="1847" ht="21.0" customHeight="1">
      <c r="A1847" s="187"/>
      <c r="B1847" s="187"/>
      <c r="C1847" s="188"/>
      <c r="D1847" s="135"/>
      <c r="E1847" s="189"/>
      <c r="F1847" s="182" t="str">
        <f t="shared" si="1"/>
        <v/>
      </c>
      <c r="G1847" s="183">
        <f>IFERROR(__xludf.DUMMYFUNCTION("IFERROR(lookup(9999999999,FILTER('Operações-BR'!$M:$M,'Operações-BR'!$C:$C=A1847,'Operações-BR'!$A:$A&lt;=C1847)),0)"),0.0)</f>
        <v>0</v>
      </c>
      <c r="H1847" s="184">
        <f t="shared" si="2"/>
        <v>0</v>
      </c>
      <c r="I1847" s="184">
        <f>IFERROR(__xludf.DUMMYFUNCTION("IFERROR(lookup(9999999999,FILTER('Operações-BR'!Q:Q,'Operações-BR'!$C:$C=A1847,'Operações-BR'!$A:$A&lt;=C1847))/G1847,0)"),0.0)</f>
        <v>0</v>
      </c>
      <c r="J1847" s="185" t="str">
        <f>IFERROR(VLOOKUP(A1847,Ativos!$A$1:$G2000,5,),"")</f>
        <v/>
      </c>
      <c r="K1847" s="185" t="str">
        <f>IFERROR(VLOOKUP(A1847,Ativos!A:H,8,),"")</f>
        <v/>
      </c>
      <c r="L1847" s="186">
        <f t="shared" si="3"/>
        <v>0</v>
      </c>
    </row>
    <row r="1848" ht="21.0" customHeight="1">
      <c r="A1848" s="187"/>
      <c r="B1848" s="187"/>
      <c r="C1848" s="188"/>
      <c r="D1848" s="135"/>
      <c r="E1848" s="189"/>
      <c r="F1848" s="182" t="str">
        <f t="shared" si="1"/>
        <v/>
      </c>
      <c r="G1848" s="183">
        <f>IFERROR(__xludf.DUMMYFUNCTION("IFERROR(lookup(9999999999,FILTER('Operações-BR'!$M:$M,'Operações-BR'!$C:$C=A1848,'Operações-BR'!$A:$A&lt;=C1848)),0)"),0.0)</f>
        <v>0</v>
      </c>
      <c r="H1848" s="184">
        <f t="shared" si="2"/>
        <v>0</v>
      </c>
      <c r="I1848" s="184">
        <f>IFERROR(__xludf.DUMMYFUNCTION("IFERROR(lookup(9999999999,FILTER('Operações-BR'!Q:Q,'Operações-BR'!$C:$C=A1848,'Operações-BR'!$A:$A&lt;=C1848))/G1848,0)"),0.0)</f>
        <v>0</v>
      </c>
      <c r="J1848" s="185" t="str">
        <f>IFERROR(VLOOKUP(A1848,Ativos!$A$1:$G2000,5,),"")</f>
        <v/>
      </c>
      <c r="K1848" s="185" t="str">
        <f>IFERROR(VLOOKUP(A1848,Ativos!A:H,8,),"")</f>
        <v/>
      </c>
      <c r="L1848" s="186">
        <f t="shared" si="3"/>
        <v>0</v>
      </c>
    </row>
    <row r="1849" ht="21.0" customHeight="1">
      <c r="A1849" s="187"/>
      <c r="B1849" s="187"/>
      <c r="C1849" s="188"/>
      <c r="D1849" s="135"/>
      <c r="E1849" s="189"/>
      <c r="F1849" s="182" t="str">
        <f t="shared" si="1"/>
        <v/>
      </c>
      <c r="G1849" s="183">
        <f>IFERROR(__xludf.DUMMYFUNCTION("IFERROR(lookup(9999999999,FILTER('Operações-BR'!$M:$M,'Operações-BR'!$C:$C=A1849,'Operações-BR'!$A:$A&lt;=C1849)),0)"),0.0)</f>
        <v>0</v>
      </c>
      <c r="H1849" s="184">
        <f t="shared" si="2"/>
        <v>0</v>
      </c>
      <c r="I1849" s="184">
        <f>IFERROR(__xludf.DUMMYFUNCTION("IFERROR(lookup(9999999999,FILTER('Operações-BR'!Q:Q,'Operações-BR'!$C:$C=A1849,'Operações-BR'!$A:$A&lt;=C1849))/G1849,0)"),0.0)</f>
        <v>0</v>
      </c>
      <c r="J1849" s="185" t="str">
        <f>IFERROR(VLOOKUP(A1849,Ativos!$A$1:$G2000,5,),"")</f>
        <v/>
      </c>
      <c r="K1849" s="185" t="str">
        <f>IFERROR(VLOOKUP(A1849,Ativos!A:H,8,),"")</f>
        <v/>
      </c>
      <c r="L1849" s="186">
        <f t="shared" si="3"/>
        <v>0</v>
      </c>
    </row>
    <row r="1850" ht="21.0" customHeight="1">
      <c r="A1850" s="187"/>
      <c r="B1850" s="187"/>
      <c r="C1850" s="188"/>
      <c r="D1850" s="135"/>
      <c r="E1850" s="189"/>
      <c r="F1850" s="182" t="str">
        <f t="shared" si="1"/>
        <v/>
      </c>
      <c r="G1850" s="183">
        <f>IFERROR(__xludf.DUMMYFUNCTION("IFERROR(lookup(9999999999,FILTER('Operações-BR'!$M:$M,'Operações-BR'!$C:$C=A1850,'Operações-BR'!$A:$A&lt;=C1850)),0)"),0.0)</f>
        <v>0</v>
      </c>
      <c r="H1850" s="184">
        <f t="shared" si="2"/>
        <v>0</v>
      </c>
      <c r="I1850" s="184">
        <f>IFERROR(__xludf.DUMMYFUNCTION("IFERROR(lookup(9999999999,FILTER('Operações-BR'!Q:Q,'Operações-BR'!$C:$C=A1850,'Operações-BR'!$A:$A&lt;=C1850))/G1850,0)"),0.0)</f>
        <v>0</v>
      </c>
      <c r="J1850" s="185" t="str">
        <f>IFERROR(VLOOKUP(A1850,Ativos!$A$1:$G2000,5,),"")</f>
        <v/>
      </c>
      <c r="K1850" s="185" t="str">
        <f>IFERROR(VLOOKUP(A1850,Ativos!A:H,8,),"")</f>
        <v/>
      </c>
      <c r="L1850" s="186">
        <f t="shared" si="3"/>
        <v>0</v>
      </c>
    </row>
    <row r="1851" ht="21.0" customHeight="1">
      <c r="A1851" s="187"/>
      <c r="B1851" s="187"/>
      <c r="C1851" s="188"/>
      <c r="D1851" s="135"/>
      <c r="E1851" s="189"/>
      <c r="F1851" s="182" t="str">
        <f t="shared" si="1"/>
        <v/>
      </c>
      <c r="G1851" s="183">
        <f>IFERROR(__xludf.DUMMYFUNCTION("IFERROR(lookup(9999999999,FILTER('Operações-BR'!$M:$M,'Operações-BR'!$C:$C=A1851,'Operações-BR'!$A:$A&lt;=C1851)),0)"),0.0)</f>
        <v>0</v>
      </c>
      <c r="H1851" s="184">
        <f t="shared" si="2"/>
        <v>0</v>
      </c>
      <c r="I1851" s="184">
        <f>IFERROR(__xludf.DUMMYFUNCTION("IFERROR(lookup(9999999999,FILTER('Operações-BR'!Q:Q,'Operações-BR'!$C:$C=A1851,'Operações-BR'!$A:$A&lt;=C1851))/G1851,0)"),0.0)</f>
        <v>0</v>
      </c>
      <c r="J1851" s="185" t="str">
        <f>IFERROR(VLOOKUP(A1851,Ativos!$A$1:$G2000,5,),"")</f>
        <v/>
      </c>
      <c r="K1851" s="185" t="str">
        <f>IFERROR(VLOOKUP(A1851,Ativos!A:H,8,),"")</f>
        <v/>
      </c>
      <c r="L1851" s="186">
        <f t="shared" si="3"/>
        <v>0</v>
      </c>
    </row>
    <row r="1852" ht="21.0" customHeight="1">
      <c r="A1852" s="187"/>
      <c r="B1852" s="187"/>
      <c r="C1852" s="188"/>
      <c r="D1852" s="135"/>
      <c r="E1852" s="189"/>
      <c r="F1852" s="182" t="str">
        <f t="shared" si="1"/>
        <v/>
      </c>
      <c r="G1852" s="183">
        <f>IFERROR(__xludf.DUMMYFUNCTION("IFERROR(lookup(9999999999,FILTER('Operações-BR'!$M:$M,'Operações-BR'!$C:$C=A1852,'Operações-BR'!$A:$A&lt;=C1852)),0)"),0.0)</f>
        <v>0</v>
      </c>
      <c r="H1852" s="184">
        <f t="shared" si="2"/>
        <v>0</v>
      </c>
      <c r="I1852" s="184">
        <f>IFERROR(__xludf.DUMMYFUNCTION("IFERROR(lookup(9999999999,FILTER('Operações-BR'!Q:Q,'Operações-BR'!$C:$C=A1852,'Operações-BR'!$A:$A&lt;=C1852))/G1852,0)"),0.0)</f>
        <v>0</v>
      </c>
      <c r="J1852" s="185" t="str">
        <f>IFERROR(VLOOKUP(A1852,Ativos!$A$1:$G2000,5,),"")</f>
        <v/>
      </c>
      <c r="K1852" s="185" t="str">
        <f>IFERROR(VLOOKUP(A1852,Ativos!A:H,8,),"")</f>
        <v/>
      </c>
      <c r="L1852" s="186">
        <f t="shared" si="3"/>
        <v>0</v>
      </c>
    </row>
    <row r="1853" ht="21.0" customHeight="1">
      <c r="A1853" s="187"/>
      <c r="B1853" s="187"/>
      <c r="C1853" s="188"/>
      <c r="D1853" s="135"/>
      <c r="E1853" s="189"/>
      <c r="F1853" s="182" t="str">
        <f t="shared" si="1"/>
        <v/>
      </c>
      <c r="G1853" s="183">
        <f>IFERROR(__xludf.DUMMYFUNCTION("IFERROR(lookup(9999999999,FILTER('Operações-BR'!$M:$M,'Operações-BR'!$C:$C=A1853,'Operações-BR'!$A:$A&lt;=C1853)),0)"),0.0)</f>
        <v>0</v>
      </c>
      <c r="H1853" s="184">
        <f t="shared" si="2"/>
        <v>0</v>
      </c>
      <c r="I1853" s="184">
        <f>IFERROR(__xludf.DUMMYFUNCTION("IFERROR(lookup(9999999999,FILTER('Operações-BR'!Q:Q,'Operações-BR'!$C:$C=A1853,'Operações-BR'!$A:$A&lt;=C1853))/G1853,0)"),0.0)</f>
        <v>0</v>
      </c>
      <c r="J1853" s="185" t="str">
        <f>IFERROR(VLOOKUP(A1853,Ativos!$A$1:$G2000,5,),"")</f>
        <v/>
      </c>
      <c r="K1853" s="185" t="str">
        <f>IFERROR(VLOOKUP(A1853,Ativos!A:H,8,),"")</f>
        <v/>
      </c>
      <c r="L1853" s="186">
        <f t="shared" si="3"/>
        <v>0</v>
      </c>
    </row>
    <row r="1854" ht="21.0" customHeight="1">
      <c r="A1854" s="187"/>
      <c r="B1854" s="187"/>
      <c r="C1854" s="188"/>
      <c r="D1854" s="135"/>
      <c r="E1854" s="189"/>
      <c r="F1854" s="182" t="str">
        <f t="shared" si="1"/>
        <v/>
      </c>
      <c r="G1854" s="183">
        <f>IFERROR(__xludf.DUMMYFUNCTION("IFERROR(lookup(9999999999,FILTER('Operações-BR'!$M:$M,'Operações-BR'!$C:$C=A1854,'Operações-BR'!$A:$A&lt;=C1854)),0)"),0.0)</f>
        <v>0</v>
      </c>
      <c r="H1854" s="184">
        <f t="shared" si="2"/>
        <v>0</v>
      </c>
      <c r="I1854" s="184">
        <f>IFERROR(__xludf.DUMMYFUNCTION("IFERROR(lookup(9999999999,FILTER('Operações-BR'!Q:Q,'Operações-BR'!$C:$C=A1854,'Operações-BR'!$A:$A&lt;=C1854))/G1854,0)"),0.0)</f>
        <v>0</v>
      </c>
      <c r="J1854" s="185" t="str">
        <f>IFERROR(VLOOKUP(A1854,Ativos!$A$1:$G2000,5,),"")</f>
        <v/>
      </c>
      <c r="K1854" s="185" t="str">
        <f>IFERROR(VLOOKUP(A1854,Ativos!A:H,8,),"")</f>
        <v/>
      </c>
      <c r="L1854" s="186">
        <f t="shared" si="3"/>
        <v>0</v>
      </c>
    </row>
    <row r="1855" ht="21.0" customHeight="1">
      <c r="A1855" s="187"/>
      <c r="B1855" s="187"/>
      <c r="C1855" s="188"/>
      <c r="D1855" s="135"/>
      <c r="E1855" s="189"/>
      <c r="F1855" s="182" t="str">
        <f t="shared" si="1"/>
        <v/>
      </c>
      <c r="G1855" s="183">
        <f>IFERROR(__xludf.DUMMYFUNCTION("IFERROR(lookup(9999999999,FILTER('Operações-BR'!$M:$M,'Operações-BR'!$C:$C=A1855,'Operações-BR'!$A:$A&lt;=C1855)),0)"),0.0)</f>
        <v>0</v>
      </c>
      <c r="H1855" s="184">
        <f t="shared" si="2"/>
        <v>0</v>
      </c>
      <c r="I1855" s="184">
        <f>IFERROR(__xludf.DUMMYFUNCTION("IFERROR(lookup(9999999999,FILTER('Operações-BR'!Q:Q,'Operações-BR'!$C:$C=A1855,'Operações-BR'!$A:$A&lt;=C1855))/G1855,0)"),0.0)</f>
        <v>0</v>
      </c>
      <c r="J1855" s="185" t="str">
        <f>IFERROR(VLOOKUP(A1855,Ativos!$A$1:$G2000,5,),"")</f>
        <v/>
      </c>
      <c r="K1855" s="185" t="str">
        <f>IFERROR(VLOOKUP(A1855,Ativos!A:H,8,),"")</f>
        <v/>
      </c>
      <c r="L1855" s="186">
        <f t="shared" si="3"/>
        <v>0</v>
      </c>
    </row>
    <row r="1856" ht="21.0" customHeight="1">
      <c r="A1856" s="187"/>
      <c r="B1856" s="187"/>
      <c r="C1856" s="188"/>
      <c r="D1856" s="135"/>
      <c r="E1856" s="189"/>
      <c r="F1856" s="182" t="str">
        <f t="shared" si="1"/>
        <v/>
      </c>
      <c r="G1856" s="183">
        <f>IFERROR(__xludf.DUMMYFUNCTION("IFERROR(lookup(9999999999,FILTER('Operações-BR'!$M:$M,'Operações-BR'!$C:$C=A1856,'Operações-BR'!$A:$A&lt;=C1856)),0)"),0.0)</f>
        <v>0</v>
      </c>
      <c r="H1856" s="184">
        <f t="shared" si="2"/>
        <v>0</v>
      </c>
      <c r="I1856" s="184">
        <f>IFERROR(__xludf.DUMMYFUNCTION("IFERROR(lookup(9999999999,FILTER('Operações-BR'!Q:Q,'Operações-BR'!$C:$C=A1856,'Operações-BR'!$A:$A&lt;=C1856))/G1856,0)"),0.0)</f>
        <v>0</v>
      </c>
      <c r="J1856" s="185" t="str">
        <f>IFERROR(VLOOKUP(A1856,Ativos!$A$1:$G2000,5,),"")</f>
        <v/>
      </c>
      <c r="K1856" s="185" t="str">
        <f>IFERROR(VLOOKUP(A1856,Ativos!A:H,8,),"")</f>
        <v/>
      </c>
      <c r="L1856" s="186">
        <f t="shared" si="3"/>
        <v>0</v>
      </c>
    </row>
    <row r="1857" ht="21.0" customHeight="1">
      <c r="A1857" s="187"/>
      <c r="B1857" s="187"/>
      <c r="C1857" s="188"/>
      <c r="D1857" s="135"/>
      <c r="E1857" s="189"/>
      <c r="F1857" s="182" t="str">
        <f t="shared" si="1"/>
        <v/>
      </c>
      <c r="G1857" s="183">
        <f>IFERROR(__xludf.DUMMYFUNCTION("IFERROR(lookup(9999999999,FILTER('Operações-BR'!$M:$M,'Operações-BR'!$C:$C=A1857,'Operações-BR'!$A:$A&lt;=C1857)),0)"),0.0)</f>
        <v>0</v>
      </c>
      <c r="H1857" s="184">
        <f t="shared" si="2"/>
        <v>0</v>
      </c>
      <c r="I1857" s="184">
        <f>IFERROR(__xludf.DUMMYFUNCTION("IFERROR(lookup(9999999999,FILTER('Operações-BR'!Q:Q,'Operações-BR'!$C:$C=A1857,'Operações-BR'!$A:$A&lt;=C1857))/G1857,0)"),0.0)</f>
        <v>0</v>
      </c>
      <c r="J1857" s="185" t="str">
        <f>IFERROR(VLOOKUP(A1857,Ativos!$A$1:$G2000,5,),"")</f>
        <v/>
      </c>
      <c r="K1857" s="185" t="str">
        <f>IFERROR(VLOOKUP(A1857,Ativos!A:H,8,),"")</f>
        <v/>
      </c>
      <c r="L1857" s="186">
        <f t="shared" si="3"/>
        <v>0</v>
      </c>
    </row>
    <row r="1858" ht="21.0" customHeight="1">
      <c r="A1858" s="187"/>
      <c r="B1858" s="187"/>
      <c r="C1858" s="188"/>
      <c r="D1858" s="135"/>
      <c r="E1858" s="189"/>
      <c r="F1858" s="182" t="str">
        <f t="shared" si="1"/>
        <v/>
      </c>
      <c r="G1858" s="183">
        <f>IFERROR(__xludf.DUMMYFUNCTION("IFERROR(lookup(9999999999,FILTER('Operações-BR'!$M:$M,'Operações-BR'!$C:$C=A1858,'Operações-BR'!$A:$A&lt;=C1858)),0)"),0.0)</f>
        <v>0</v>
      </c>
      <c r="H1858" s="184">
        <f t="shared" si="2"/>
        <v>0</v>
      </c>
      <c r="I1858" s="184">
        <f>IFERROR(__xludf.DUMMYFUNCTION("IFERROR(lookup(9999999999,FILTER('Operações-BR'!Q:Q,'Operações-BR'!$C:$C=A1858,'Operações-BR'!$A:$A&lt;=C1858))/G1858,0)"),0.0)</f>
        <v>0</v>
      </c>
      <c r="J1858" s="185" t="str">
        <f>IFERROR(VLOOKUP(A1858,Ativos!$A$1:$G2000,5,),"")</f>
        <v/>
      </c>
      <c r="K1858" s="185" t="str">
        <f>IFERROR(VLOOKUP(A1858,Ativos!A:H,8,),"")</f>
        <v/>
      </c>
      <c r="L1858" s="186">
        <f t="shared" si="3"/>
        <v>0</v>
      </c>
    </row>
    <row r="1859" ht="21.0" customHeight="1">
      <c r="A1859" s="187"/>
      <c r="B1859" s="187"/>
      <c r="C1859" s="188"/>
      <c r="D1859" s="135"/>
      <c r="E1859" s="189"/>
      <c r="F1859" s="182" t="str">
        <f t="shared" si="1"/>
        <v/>
      </c>
      <c r="G1859" s="183">
        <f>IFERROR(__xludf.DUMMYFUNCTION("IFERROR(lookup(9999999999,FILTER('Operações-BR'!$M:$M,'Operações-BR'!$C:$C=A1859,'Operações-BR'!$A:$A&lt;=C1859)),0)"),0.0)</f>
        <v>0</v>
      </c>
      <c r="H1859" s="184">
        <f t="shared" si="2"/>
        <v>0</v>
      </c>
      <c r="I1859" s="184">
        <f>IFERROR(__xludf.DUMMYFUNCTION("IFERROR(lookup(9999999999,FILTER('Operações-BR'!Q:Q,'Operações-BR'!$C:$C=A1859,'Operações-BR'!$A:$A&lt;=C1859))/G1859,0)"),0.0)</f>
        <v>0</v>
      </c>
      <c r="J1859" s="185" t="str">
        <f>IFERROR(VLOOKUP(A1859,Ativos!$A$1:$G2000,5,),"")</f>
        <v/>
      </c>
      <c r="K1859" s="185" t="str">
        <f>IFERROR(VLOOKUP(A1859,Ativos!A:H,8,),"")</f>
        <v/>
      </c>
      <c r="L1859" s="186">
        <f t="shared" si="3"/>
        <v>0</v>
      </c>
    </row>
    <row r="1860" ht="21.0" customHeight="1">
      <c r="A1860" s="187"/>
      <c r="B1860" s="187"/>
      <c r="C1860" s="188"/>
      <c r="D1860" s="135"/>
      <c r="E1860" s="189"/>
      <c r="F1860" s="182" t="str">
        <f t="shared" si="1"/>
        <v/>
      </c>
      <c r="G1860" s="183">
        <f>IFERROR(__xludf.DUMMYFUNCTION("IFERROR(lookup(9999999999,FILTER('Operações-BR'!$M:$M,'Operações-BR'!$C:$C=A1860,'Operações-BR'!$A:$A&lt;=C1860)),0)"),0.0)</f>
        <v>0</v>
      </c>
      <c r="H1860" s="184">
        <f t="shared" si="2"/>
        <v>0</v>
      </c>
      <c r="I1860" s="184">
        <f>IFERROR(__xludf.DUMMYFUNCTION("IFERROR(lookup(9999999999,FILTER('Operações-BR'!Q:Q,'Operações-BR'!$C:$C=A1860,'Operações-BR'!$A:$A&lt;=C1860))/G1860,0)"),0.0)</f>
        <v>0</v>
      </c>
      <c r="J1860" s="185" t="str">
        <f>IFERROR(VLOOKUP(A1860,Ativos!$A$1:$G2000,5,),"")</f>
        <v/>
      </c>
      <c r="K1860" s="185" t="str">
        <f>IFERROR(VLOOKUP(A1860,Ativos!A:H,8,),"")</f>
        <v/>
      </c>
      <c r="L1860" s="186">
        <f t="shared" si="3"/>
        <v>0</v>
      </c>
    </row>
    <row r="1861" ht="21.0" customHeight="1">
      <c r="A1861" s="187"/>
      <c r="B1861" s="187"/>
      <c r="C1861" s="188"/>
      <c r="D1861" s="135"/>
      <c r="E1861" s="189"/>
      <c r="F1861" s="182" t="str">
        <f t="shared" si="1"/>
        <v/>
      </c>
      <c r="G1861" s="183">
        <f>IFERROR(__xludf.DUMMYFUNCTION("IFERROR(lookup(9999999999,FILTER('Operações-BR'!$M:$M,'Operações-BR'!$C:$C=A1861,'Operações-BR'!$A:$A&lt;=C1861)),0)"),0.0)</f>
        <v>0</v>
      </c>
      <c r="H1861" s="184">
        <f t="shared" si="2"/>
        <v>0</v>
      </c>
      <c r="I1861" s="184">
        <f>IFERROR(__xludf.DUMMYFUNCTION("IFERROR(lookup(9999999999,FILTER('Operações-BR'!Q:Q,'Operações-BR'!$C:$C=A1861,'Operações-BR'!$A:$A&lt;=C1861))/G1861,0)"),0.0)</f>
        <v>0</v>
      </c>
      <c r="J1861" s="185" t="str">
        <f>IFERROR(VLOOKUP(A1861,Ativos!$A$1:$G2000,5,),"")</f>
        <v/>
      </c>
      <c r="K1861" s="185" t="str">
        <f>IFERROR(VLOOKUP(A1861,Ativos!A:H,8,),"")</f>
        <v/>
      </c>
      <c r="L1861" s="186">
        <f t="shared" si="3"/>
        <v>0</v>
      </c>
    </row>
    <row r="1862" ht="21.0" customHeight="1">
      <c r="A1862" s="187"/>
      <c r="B1862" s="187"/>
      <c r="C1862" s="188"/>
      <c r="D1862" s="135"/>
      <c r="E1862" s="189"/>
      <c r="F1862" s="182" t="str">
        <f t="shared" si="1"/>
        <v/>
      </c>
      <c r="G1862" s="183">
        <f>IFERROR(__xludf.DUMMYFUNCTION("IFERROR(lookup(9999999999,FILTER('Operações-BR'!$M:$M,'Operações-BR'!$C:$C=A1862,'Operações-BR'!$A:$A&lt;=C1862)),0)"),0.0)</f>
        <v>0</v>
      </c>
      <c r="H1862" s="184">
        <f t="shared" si="2"/>
        <v>0</v>
      </c>
      <c r="I1862" s="184">
        <f>IFERROR(__xludf.DUMMYFUNCTION("IFERROR(lookup(9999999999,FILTER('Operações-BR'!Q:Q,'Operações-BR'!$C:$C=A1862,'Operações-BR'!$A:$A&lt;=C1862))/G1862,0)"),0.0)</f>
        <v>0</v>
      </c>
      <c r="J1862" s="185" t="str">
        <f>IFERROR(VLOOKUP(A1862,Ativos!$A$1:$G2000,5,),"")</f>
        <v/>
      </c>
      <c r="K1862" s="185" t="str">
        <f>IFERROR(VLOOKUP(A1862,Ativos!A:H,8,),"")</f>
        <v/>
      </c>
      <c r="L1862" s="186">
        <f t="shared" si="3"/>
        <v>0</v>
      </c>
    </row>
    <row r="1863" ht="21.0" customHeight="1">
      <c r="A1863" s="187"/>
      <c r="B1863" s="187"/>
      <c r="C1863" s="188"/>
      <c r="D1863" s="135"/>
      <c r="E1863" s="189"/>
      <c r="F1863" s="182" t="str">
        <f t="shared" si="1"/>
        <v/>
      </c>
      <c r="G1863" s="183">
        <f>IFERROR(__xludf.DUMMYFUNCTION("IFERROR(lookup(9999999999,FILTER('Operações-BR'!$M:$M,'Operações-BR'!$C:$C=A1863,'Operações-BR'!$A:$A&lt;=C1863)),0)"),0.0)</f>
        <v>0</v>
      </c>
      <c r="H1863" s="184">
        <f t="shared" si="2"/>
        <v>0</v>
      </c>
      <c r="I1863" s="184">
        <f>IFERROR(__xludf.DUMMYFUNCTION("IFERROR(lookup(9999999999,FILTER('Operações-BR'!Q:Q,'Operações-BR'!$C:$C=A1863,'Operações-BR'!$A:$A&lt;=C1863))/G1863,0)"),0.0)</f>
        <v>0</v>
      </c>
      <c r="J1863" s="185" t="str">
        <f>IFERROR(VLOOKUP(A1863,Ativos!$A$1:$G2000,5,),"")</f>
        <v/>
      </c>
      <c r="K1863" s="185" t="str">
        <f>IFERROR(VLOOKUP(A1863,Ativos!A:H,8,),"")</f>
        <v/>
      </c>
      <c r="L1863" s="186">
        <f t="shared" si="3"/>
        <v>0</v>
      </c>
    </row>
    <row r="1864" ht="21.0" customHeight="1">
      <c r="A1864" s="187"/>
      <c r="B1864" s="187"/>
      <c r="C1864" s="188"/>
      <c r="D1864" s="135"/>
      <c r="E1864" s="189"/>
      <c r="F1864" s="182" t="str">
        <f t="shared" si="1"/>
        <v/>
      </c>
      <c r="G1864" s="183">
        <f>IFERROR(__xludf.DUMMYFUNCTION("IFERROR(lookup(9999999999,FILTER('Operações-BR'!$M:$M,'Operações-BR'!$C:$C=A1864,'Operações-BR'!$A:$A&lt;=C1864)),0)"),0.0)</f>
        <v>0</v>
      </c>
      <c r="H1864" s="184">
        <f t="shared" si="2"/>
        <v>0</v>
      </c>
      <c r="I1864" s="184">
        <f>IFERROR(__xludf.DUMMYFUNCTION("IFERROR(lookup(9999999999,FILTER('Operações-BR'!Q:Q,'Operações-BR'!$C:$C=A1864,'Operações-BR'!$A:$A&lt;=C1864))/G1864,0)"),0.0)</f>
        <v>0</v>
      </c>
      <c r="J1864" s="185" t="str">
        <f>IFERROR(VLOOKUP(A1864,Ativos!$A$1:$G2000,5,),"")</f>
        <v/>
      </c>
      <c r="K1864" s="185" t="str">
        <f>IFERROR(VLOOKUP(A1864,Ativos!A:H,8,),"")</f>
        <v/>
      </c>
      <c r="L1864" s="186">
        <f t="shared" si="3"/>
        <v>0</v>
      </c>
    </row>
    <row r="1865" ht="21.0" customHeight="1">
      <c r="A1865" s="187"/>
      <c r="B1865" s="187"/>
      <c r="C1865" s="188"/>
      <c r="D1865" s="135"/>
      <c r="E1865" s="189"/>
      <c r="F1865" s="182" t="str">
        <f t="shared" si="1"/>
        <v/>
      </c>
      <c r="G1865" s="183">
        <f>IFERROR(__xludf.DUMMYFUNCTION("IFERROR(lookup(9999999999,FILTER('Operações-BR'!$M:$M,'Operações-BR'!$C:$C=A1865,'Operações-BR'!$A:$A&lt;=C1865)),0)"),0.0)</f>
        <v>0</v>
      </c>
      <c r="H1865" s="184">
        <f t="shared" si="2"/>
        <v>0</v>
      </c>
      <c r="I1865" s="184">
        <f>IFERROR(__xludf.DUMMYFUNCTION("IFERROR(lookup(9999999999,FILTER('Operações-BR'!Q:Q,'Operações-BR'!$C:$C=A1865,'Operações-BR'!$A:$A&lt;=C1865))/G1865,0)"),0.0)</f>
        <v>0</v>
      </c>
      <c r="J1865" s="185" t="str">
        <f>IFERROR(VLOOKUP(A1865,Ativos!$A$1:$G2000,5,),"")</f>
        <v/>
      </c>
      <c r="K1865" s="185" t="str">
        <f>IFERROR(VLOOKUP(A1865,Ativos!A:H,8,),"")</f>
        <v/>
      </c>
      <c r="L1865" s="186">
        <f t="shared" si="3"/>
        <v>0</v>
      </c>
    </row>
    <row r="1866" ht="21.0" customHeight="1">
      <c r="A1866" s="187"/>
      <c r="B1866" s="187"/>
      <c r="C1866" s="188"/>
      <c r="D1866" s="135"/>
      <c r="E1866" s="189"/>
      <c r="F1866" s="182" t="str">
        <f t="shared" si="1"/>
        <v/>
      </c>
      <c r="G1866" s="183">
        <f>IFERROR(__xludf.DUMMYFUNCTION("IFERROR(lookup(9999999999,FILTER('Operações-BR'!$M:$M,'Operações-BR'!$C:$C=A1866,'Operações-BR'!$A:$A&lt;=C1866)),0)"),0.0)</f>
        <v>0</v>
      </c>
      <c r="H1866" s="184">
        <f t="shared" si="2"/>
        <v>0</v>
      </c>
      <c r="I1866" s="184">
        <f>IFERROR(__xludf.DUMMYFUNCTION("IFERROR(lookup(9999999999,FILTER('Operações-BR'!Q:Q,'Operações-BR'!$C:$C=A1866,'Operações-BR'!$A:$A&lt;=C1866))/G1866,0)"),0.0)</f>
        <v>0</v>
      </c>
      <c r="J1866" s="185" t="str">
        <f>IFERROR(VLOOKUP(A1866,Ativos!$A$1:$G2000,5,),"")</f>
        <v/>
      </c>
      <c r="K1866" s="185" t="str">
        <f>IFERROR(VLOOKUP(A1866,Ativos!A:H,8,),"")</f>
        <v/>
      </c>
      <c r="L1866" s="186">
        <f t="shared" si="3"/>
        <v>0</v>
      </c>
    </row>
    <row r="1867" ht="21.0" customHeight="1">
      <c r="A1867" s="187"/>
      <c r="B1867" s="187"/>
      <c r="C1867" s="188"/>
      <c r="D1867" s="135"/>
      <c r="E1867" s="189"/>
      <c r="F1867" s="182" t="str">
        <f t="shared" si="1"/>
        <v/>
      </c>
      <c r="G1867" s="183">
        <f>IFERROR(__xludf.DUMMYFUNCTION("IFERROR(lookup(9999999999,FILTER('Operações-BR'!$M:$M,'Operações-BR'!$C:$C=A1867,'Operações-BR'!$A:$A&lt;=C1867)),0)"),0.0)</f>
        <v>0</v>
      </c>
      <c r="H1867" s="184">
        <f t="shared" si="2"/>
        <v>0</v>
      </c>
      <c r="I1867" s="184">
        <f>IFERROR(__xludf.DUMMYFUNCTION("IFERROR(lookup(9999999999,FILTER('Operações-BR'!Q:Q,'Operações-BR'!$C:$C=A1867,'Operações-BR'!$A:$A&lt;=C1867))/G1867,0)"),0.0)</f>
        <v>0</v>
      </c>
      <c r="J1867" s="185" t="str">
        <f>IFERROR(VLOOKUP(A1867,Ativos!$A$1:$G2000,5,),"")</f>
        <v/>
      </c>
      <c r="K1867" s="185" t="str">
        <f>IFERROR(VLOOKUP(A1867,Ativos!A:H,8,),"")</f>
        <v/>
      </c>
      <c r="L1867" s="186">
        <f t="shared" si="3"/>
        <v>0</v>
      </c>
    </row>
    <row r="1868" ht="21.0" customHeight="1">
      <c r="A1868" s="187"/>
      <c r="B1868" s="187"/>
      <c r="C1868" s="188"/>
      <c r="D1868" s="135"/>
      <c r="E1868" s="189"/>
      <c r="F1868" s="182" t="str">
        <f t="shared" si="1"/>
        <v/>
      </c>
      <c r="G1868" s="183">
        <f>IFERROR(__xludf.DUMMYFUNCTION("IFERROR(lookup(9999999999,FILTER('Operações-BR'!$M:$M,'Operações-BR'!$C:$C=A1868,'Operações-BR'!$A:$A&lt;=C1868)),0)"),0.0)</f>
        <v>0</v>
      </c>
      <c r="H1868" s="184">
        <f t="shared" si="2"/>
        <v>0</v>
      </c>
      <c r="I1868" s="184">
        <f>IFERROR(__xludf.DUMMYFUNCTION("IFERROR(lookup(9999999999,FILTER('Operações-BR'!Q:Q,'Operações-BR'!$C:$C=A1868,'Operações-BR'!$A:$A&lt;=C1868))/G1868,0)"),0.0)</f>
        <v>0</v>
      </c>
      <c r="J1868" s="185" t="str">
        <f>IFERROR(VLOOKUP(A1868,Ativos!$A$1:$G2000,5,),"")</f>
        <v/>
      </c>
      <c r="K1868" s="185" t="str">
        <f>IFERROR(VLOOKUP(A1868,Ativos!A:H,8,),"")</f>
        <v/>
      </c>
      <c r="L1868" s="186">
        <f t="shared" si="3"/>
        <v>0</v>
      </c>
    </row>
    <row r="1869" ht="21.0" customHeight="1">
      <c r="A1869" s="187"/>
      <c r="B1869" s="187"/>
      <c r="C1869" s="188"/>
      <c r="D1869" s="135"/>
      <c r="E1869" s="189"/>
      <c r="F1869" s="182" t="str">
        <f t="shared" si="1"/>
        <v/>
      </c>
      <c r="G1869" s="183">
        <f>IFERROR(__xludf.DUMMYFUNCTION("IFERROR(lookup(9999999999,FILTER('Operações-BR'!$M:$M,'Operações-BR'!$C:$C=A1869,'Operações-BR'!$A:$A&lt;=C1869)),0)"),0.0)</f>
        <v>0</v>
      </c>
      <c r="H1869" s="184">
        <f t="shared" si="2"/>
        <v>0</v>
      </c>
      <c r="I1869" s="184">
        <f>IFERROR(__xludf.DUMMYFUNCTION("IFERROR(lookup(9999999999,FILTER('Operações-BR'!Q:Q,'Operações-BR'!$C:$C=A1869,'Operações-BR'!$A:$A&lt;=C1869))/G1869,0)"),0.0)</f>
        <v>0</v>
      </c>
      <c r="J1869" s="185" t="str">
        <f>IFERROR(VLOOKUP(A1869,Ativos!$A$1:$G2000,5,),"")</f>
        <v/>
      </c>
      <c r="K1869" s="185" t="str">
        <f>IFERROR(VLOOKUP(A1869,Ativos!A:H,8,),"")</f>
        <v/>
      </c>
      <c r="L1869" s="186">
        <f t="shared" si="3"/>
        <v>0</v>
      </c>
    </row>
    <row r="1870" ht="21.0" customHeight="1">
      <c r="A1870" s="187"/>
      <c r="B1870" s="187"/>
      <c r="C1870" s="188"/>
      <c r="D1870" s="135"/>
      <c r="E1870" s="189"/>
      <c r="F1870" s="182" t="str">
        <f t="shared" si="1"/>
        <v/>
      </c>
      <c r="G1870" s="183">
        <f>IFERROR(__xludf.DUMMYFUNCTION("IFERROR(lookup(9999999999,FILTER('Operações-BR'!$M:$M,'Operações-BR'!$C:$C=A1870,'Operações-BR'!$A:$A&lt;=C1870)),0)"),0.0)</f>
        <v>0</v>
      </c>
      <c r="H1870" s="184">
        <f t="shared" si="2"/>
        <v>0</v>
      </c>
      <c r="I1870" s="184">
        <f>IFERROR(__xludf.DUMMYFUNCTION("IFERROR(lookup(9999999999,FILTER('Operações-BR'!Q:Q,'Operações-BR'!$C:$C=A1870,'Operações-BR'!$A:$A&lt;=C1870))/G1870,0)"),0.0)</f>
        <v>0</v>
      </c>
      <c r="J1870" s="185" t="str">
        <f>IFERROR(VLOOKUP(A1870,Ativos!$A$1:$G2000,5,),"")</f>
        <v/>
      </c>
      <c r="K1870" s="185" t="str">
        <f>IFERROR(VLOOKUP(A1870,Ativos!A:H,8,),"")</f>
        <v/>
      </c>
      <c r="L1870" s="186">
        <f t="shared" si="3"/>
        <v>0</v>
      </c>
    </row>
    <row r="1871" ht="21.0" customHeight="1">
      <c r="A1871" s="187"/>
      <c r="B1871" s="187"/>
      <c r="C1871" s="188"/>
      <c r="D1871" s="135"/>
      <c r="E1871" s="189"/>
      <c r="F1871" s="182" t="str">
        <f t="shared" si="1"/>
        <v/>
      </c>
      <c r="G1871" s="183">
        <f>IFERROR(__xludf.DUMMYFUNCTION("IFERROR(lookup(9999999999,FILTER('Operações-BR'!$M:$M,'Operações-BR'!$C:$C=A1871,'Operações-BR'!$A:$A&lt;=C1871)),0)"),0.0)</f>
        <v>0</v>
      </c>
      <c r="H1871" s="184">
        <f t="shared" si="2"/>
        <v>0</v>
      </c>
      <c r="I1871" s="184">
        <f>IFERROR(__xludf.DUMMYFUNCTION("IFERROR(lookup(9999999999,FILTER('Operações-BR'!Q:Q,'Operações-BR'!$C:$C=A1871,'Operações-BR'!$A:$A&lt;=C1871))/G1871,0)"),0.0)</f>
        <v>0</v>
      </c>
      <c r="J1871" s="185" t="str">
        <f>IFERROR(VLOOKUP(A1871,Ativos!$A$1:$G2000,5,),"")</f>
        <v/>
      </c>
      <c r="K1871" s="185" t="str">
        <f>IFERROR(VLOOKUP(A1871,Ativos!A:H,8,),"")</f>
        <v/>
      </c>
      <c r="L1871" s="186">
        <f t="shared" si="3"/>
        <v>0</v>
      </c>
    </row>
    <row r="1872" ht="21.0" customHeight="1">
      <c r="A1872" s="187"/>
      <c r="B1872" s="187"/>
      <c r="C1872" s="188"/>
      <c r="D1872" s="135"/>
      <c r="E1872" s="189"/>
      <c r="F1872" s="182" t="str">
        <f t="shared" si="1"/>
        <v/>
      </c>
      <c r="G1872" s="183">
        <f>IFERROR(__xludf.DUMMYFUNCTION("IFERROR(lookup(9999999999,FILTER('Operações-BR'!$M:$M,'Operações-BR'!$C:$C=A1872,'Operações-BR'!$A:$A&lt;=C1872)),0)"),0.0)</f>
        <v>0</v>
      </c>
      <c r="H1872" s="184">
        <f t="shared" si="2"/>
        <v>0</v>
      </c>
      <c r="I1872" s="184">
        <f>IFERROR(__xludf.DUMMYFUNCTION("IFERROR(lookup(9999999999,FILTER('Operações-BR'!Q:Q,'Operações-BR'!$C:$C=A1872,'Operações-BR'!$A:$A&lt;=C1872))/G1872,0)"),0.0)</f>
        <v>0</v>
      </c>
      <c r="J1872" s="185" t="str">
        <f>IFERROR(VLOOKUP(A1872,Ativos!$A$1:$G2000,5,),"")</f>
        <v/>
      </c>
      <c r="K1872" s="185" t="str">
        <f>IFERROR(VLOOKUP(A1872,Ativos!A:H,8,),"")</f>
        <v/>
      </c>
      <c r="L1872" s="186">
        <f t="shared" si="3"/>
        <v>0</v>
      </c>
    </row>
    <row r="1873" ht="21.0" customHeight="1">
      <c r="A1873" s="187"/>
      <c r="B1873" s="187"/>
      <c r="C1873" s="188"/>
      <c r="D1873" s="135"/>
      <c r="E1873" s="189"/>
      <c r="F1873" s="182" t="str">
        <f t="shared" si="1"/>
        <v/>
      </c>
      <c r="G1873" s="183">
        <f>IFERROR(__xludf.DUMMYFUNCTION("IFERROR(lookup(9999999999,FILTER('Operações-BR'!$M:$M,'Operações-BR'!$C:$C=A1873,'Operações-BR'!$A:$A&lt;=C1873)),0)"),0.0)</f>
        <v>0</v>
      </c>
      <c r="H1873" s="184">
        <f t="shared" si="2"/>
        <v>0</v>
      </c>
      <c r="I1873" s="184">
        <f>IFERROR(__xludf.DUMMYFUNCTION("IFERROR(lookup(9999999999,FILTER('Operações-BR'!Q:Q,'Operações-BR'!$C:$C=A1873,'Operações-BR'!$A:$A&lt;=C1873))/G1873,0)"),0.0)</f>
        <v>0</v>
      </c>
      <c r="J1873" s="185" t="str">
        <f>IFERROR(VLOOKUP(A1873,Ativos!$A$1:$G2000,5,),"")</f>
        <v/>
      </c>
      <c r="K1873" s="185" t="str">
        <f>IFERROR(VLOOKUP(A1873,Ativos!A:H,8,),"")</f>
        <v/>
      </c>
      <c r="L1873" s="186">
        <f t="shared" si="3"/>
        <v>0</v>
      </c>
    </row>
    <row r="1874" ht="21.0" customHeight="1">
      <c r="A1874" s="187"/>
      <c r="B1874" s="187"/>
      <c r="C1874" s="188"/>
      <c r="D1874" s="135"/>
      <c r="E1874" s="189"/>
      <c r="F1874" s="182" t="str">
        <f t="shared" si="1"/>
        <v/>
      </c>
      <c r="G1874" s="183">
        <f>IFERROR(__xludf.DUMMYFUNCTION("IFERROR(lookup(9999999999,FILTER('Operações-BR'!$M:$M,'Operações-BR'!$C:$C=A1874,'Operações-BR'!$A:$A&lt;=C1874)),0)"),0.0)</f>
        <v>0</v>
      </c>
      <c r="H1874" s="184">
        <f t="shared" si="2"/>
        <v>0</v>
      </c>
      <c r="I1874" s="184">
        <f>IFERROR(__xludf.DUMMYFUNCTION("IFERROR(lookup(9999999999,FILTER('Operações-BR'!Q:Q,'Operações-BR'!$C:$C=A1874,'Operações-BR'!$A:$A&lt;=C1874))/G1874,0)"),0.0)</f>
        <v>0</v>
      </c>
      <c r="J1874" s="185" t="str">
        <f>IFERROR(VLOOKUP(A1874,Ativos!$A$1:$G2000,5,),"")</f>
        <v/>
      </c>
      <c r="K1874" s="185" t="str">
        <f>IFERROR(VLOOKUP(A1874,Ativos!A:H,8,),"")</f>
        <v/>
      </c>
      <c r="L1874" s="186">
        <f t="shared" si="3"/>
        <v>0</v>
      </c>
    </row>
    <row r="1875" ht="21.0" customHeight="1">
      <c r="A1875" s="187"/>
      <c r="B1875" s="187"/>
      <c r="C1875" s="188"/>
      <c r="D1875" s="135"/>
      <c r="E1875" s="189"/>
      <c r="F1875" s="182" t="str">
        <f t="shared" si="1"/>
        <v/>
      </c>
      <c r="G1875" s="183">
        <f>IFERROR(__xludf.DUMMYFUNCTION("IFERROR(lookup(9999999999,FILTER('Operações-BR'!$M:$M,'Operações-BR'!$C:$C=A1875,'Operações-BR'!$A:$A&lt;=C1875)),0)"),0.0)</f>
        <v>0</v>
      </c>
      <c r="H1875" s="184">
        <f t="shared" si="2"/>
        <v>0</v>
      </c>
      <c r="I1875" s="184">
        <f>IFERROR(__xludf.DUMMYFUNCTION("IFERROR(lookup(9999999999,FILTER('Operações-BR'!Q:Q,'Operações-BR'!$C:$C=A1875,'Operações-BR'!$A:$A&lt;=C1875))/G1875,0)"),0.0)</f>
        <v>0</v>
      </c>
      <c r="J1875" s="185" t="str">
        <f>IFERROR(VLOOKUP(A1875,Ativos!$A$1:$G2000,5,),"")</f>
        <v/>
      </c>
      <c r="K1875" s="185" t="str">
        <f>IFERROR(VLOOKUP(A1875,Ativos!A:H,8,),"")</f>
        <v/>
      </c>
      <c r="L1875" s="186">
        <f t="shared" si="3"/>
        <v>0</v>
      </c>
    </row>
    <row r="1876" ht="21.0" customHeight="1">
      <c r="A1876" s="187"/>
      <c r="B1876" s="187"/>
      <c r="C1876" s="188"/>
      <c r="D1876" s="135"/>
      <c r="E1876" s="189"/>
      <c r="F1876" s="182" t="str">
        <f t="shared" si="1"/>
        <v/>
      </c>
      <c r="G1876" s="183">
        <f>IFERROR(__xludf.DUMMYFUNCTION("IFERROR(lookup(9999999999,FILTER('Operações-BR'!$M:$M,'Operações-BR'!$C:$C=A1876,'Operações-BR'!$A:$A&lt;=C1876)),0)"),0.0)</f>
        <v>0</v>
      </c>
      <c r="H1876" s="184">
        <f t="shared" si="2"/>
        <v>0</v>
      </c>
      <c r="I1876" s="184">
        <f>IFERROR(__xludf.DUMMYFUNCTION("IFERROR(lookup(9999999999,FILTER('Operações-BR'!Q:Q,'Operações-BR'!$C:$C=A1876,'Operações-BR'!$A:$A&lt;=C1876))/G1876,0)"),0.0)</f>
        <v>0</v>
      </c>
      <c r="J1876" s="185" t="str">
        <f>IFERROR(VLOOKUP(A1876,Ativos!$A$1:$G2000,5,),"")</f>
        <v/>
      </c>
      <c r="K1876" s="185" t="str">
        <f>IFERROR(VLOOKUP(A1876,Ativos!A:H,8,),"")</f>
        <v/>
      </c>
      <c r="L1876" s="186">
        <f t="shared" si="3"/>
        <v>0</v>
      </c>
    </row>
    <row r="1877" ht="21.0" customHeight="1">
      <c r="A1877" s="187"/>
      <c r="B1877" s="187"/>
      <c r="C1877" s="188"/>
      <c r="D1877" s="135"/>
      <c r="E1877" s="189"/>
      <c r="F1877" s="182" t="str">
        <f t="shared" si="1"/>
        <v/>
      </c>
      <c r="G1877" s="183">
        <f>IFERROR(__xludf.DUMMYFUNCTION("IFERROR(lookup(9999999999,FILTER('Operações-BR'!$M:$M,'Operações-BR'!$C:$C=A1877,'Operações-BR'!$A:$A&lt;=C1877)),0)"),0.0)</f>
        <v>0</v>
      </c>
      <c r="H1877" s="184">
        <f t="shared" si="2"/>
        <v>0</v>
      </c>
      <c r="I1877" s="184">
        <f>IFERROR(__xludf.DUMMYFUNCTION("IFERROR(lookup(9999999999,FILTER('Operações-BR'!Q:Q,'Operações-BR'!$C:$C=A1877,'Operações-BR'!$A:$A&lt;=C1877))/G1877,0)"),0.0)</f>
        <v>0</v>
      </c>
      <c r="J1877" s="185" t="str">
        <f>IFERROR(VLOOKUP(A1877,Ativos!$A$1:$G2000,5,),"")</f>
        <v/>
      </c>
      <c r="K1877" s="185" t="str">
        <f>IFERROR(VLOOKUP(A1877,Ativos!A:H,8,),"")</f>
        <v/>
      </c>
      <c r="L1877" s="186">
        <f t="shared" si="3"/>
        <v>0</v>
      </c>
    </row>
    <row r="1878" ht="21.0" customHeight="1">
      <c r="A1878" s="187"/>
      <c r="B1878" s="187"/>
      <c r="C1878" s="188"/>
      <c r="D1878" s="135"/>
      <c r="E1878" s="189"/>
      <c r="F1878" s="182" t="str">
        <f t="shared" si="1"/>
        <v/>
      </c>
      <c r="G1878" s="183">
        <f>IFERROR(__xludf.DUMMYFUNCTION("IFERROR(lookup(9999999999,FILTER('Operações-BR'!$M:$M,'Operações-BR'!$C:$C=A1878,'Operações-BR'!$A:$A&lt;=C1878)),0)"),0.0)</f>
        <v>0</v>
      </c>
      <c r="H1878" s="184">
        <f t="shared" si="2"/>
        <v>0</v>
      </c>
      <c r="I1878" s="184">
        <f>IFERROR(__xludf.DUMMYFUNCTION("IFERROR(lookup(9999999999,FILTER('Operações-BR'!Q:Q,'Operações-BR'!$C:$C=A1878,'Operações-BR'!$A:$A&lt;=C1878))/G1878,0)"),0.0)</f>
        <v>0</v>
      </c>
      <c r="J1878" s="185" t="str">
        <f>IFERROR(VLOOKUP(A1878,Ativos!$A$1:$G2000,5,),"")</f>
        <v/>
      </c>
      <c r="K1878" s="185" t="str">
        <f>IFERROR(VLOOKUP(A1878,Ativos!A:H,8,),"")</f>
        <v/>
      </c>
      <c r="L1878" s="186">
        <f t="shared" si="3"/>
        <v>0</v>
      </c>
    </row>
    <row r="1879" ht="21.0" customHeight="1">
      <c r="A1879" s="187"/>
      <c r="B1879" s="187"/>
      <c r="C1879" s="188"/>
      <c r="D1879" s="135"/>
      <c r="E1879" s="189"/>
      <c r="F1879" s="182" t="str">
        <f t="shared" si="1"/>
        <v/>
      </c>
      <c r="G1879" s="183">
        <f>IFERROR(__xludf.DUMMYFUNCTION("IFERROR(lookup(9999999999,FILTER('Operações-BR'!$M:$M,'Operações-BR'!$C:$C=A1879,'Operações-BR'!$A:$A&lt;=C1879)),0)"),0.0)</f>
        <v>0</v>
      </c>
      <c r="H1879" s="184">
        <f t="shared" si="2"/>
        <v>0</v>
      </c>
      <c r="I1879" s="184">
        <f>IFERROR(__xludf.DUMMYFUNCTION("IFERROR(lookup(9999999999,FILTER('Operações-BR'!Q:Q,'Operações-BR'!$C:$C=A1879,'Operações-BR'!$A:$A&lt;=C1879))/G1879,0)"),0.0)</f>
        <v>0</v>
      </c>
      <c r="J1879" s="185" t="str">
        <f>IFERROR(VLOOKUP(A1879,Ativos!$A$1:$G2000,5,),"")</f>
        <v/>
      </c>
      <c r="K1879" s="185" t="str">
        <f>IFERROR(VLOOKUP(A1879,Ativos!A:H,8,),"")</f>
        <v/>
      </c>
      <c r="L1879" s="186">
        <f t="shared" si="3"/>
        <v>0</v>
      </c>
    </row>
    <row r="1880" ht="21.0" customHeight="1">
      <c r="A1880" s="187"/>
      <c r="B1880" s="187"/>
      <c r="C1880" s="188"/>
      <c r="D1880" s="135"/>
      <c r="E1880" s="189"/>
      <c r="F1880" s="182" t="str">
        <f t="shared" si="1"/>
        <v/>
      </c>
      <c r="G1880" s="183">
        <f>IFERROR(__xludf.DUMMYFUNCTION("IFERROR(lookup(9999999999,FILTER('Operações-BR'!$M:$M,'Operações-BR'!$C:$C=A1880,'Operações-BR'!$A:$A&lt;=C1880)),0)"),0.0)</f>
        <v>0</v>
      </c>
      <c r="H1880" s="184">
        <f t="shared" si="2"/>
        <v>0</v>
      </c>
      <c r="I1880" s="184">
        <f>IFERROR(__xludf.DUMMYFUNCTION("IFERROR(lookup(9999999999,FILTER('Operações-BR'!Q:Q,'Operações-BR'!$C:$C=A1880,'Operações-BR'!$A:$A&lt;=C1880))/G1880,0)"),0.0)</f>
        <v>0</v>
      </c>
      <c r="J1880" s="185" t="str">
        <f>IFERROR(VLOOKUP(A1880,Ativos!$A$1:$G2000,5,),"")</f>
        <v/>
      </c>
      <c r="K1880" s="185" t="str">
        <f>IFERROR(VLOOKUP(A1880,Ativos!A:H,8,),"")</f>
        <v/>
      </c>
      <c r="L1880" s="186">
        <f t="shared" si="3"/>
        <v>0</v>
      </c>
    </row>
    <row r="1881" ht="21.0" customHeight="1">
      <c r="A1881" s="187"/>
      <c r="B1881" s="187"/>
      <c r="C1881" s="188"/>
      <c r="D1881" s="135"/>
      <c r="E1881" s="189"/>
      <c r="F1881" s="182" t="str">
        <f t="shared" si="1"/>
        <v/>
      </c>
      <c r="G1881" s="183">
        <f>IFERROR(__xludf.DUMMYFUNCTION("IFERROR(lookup(9999999999,FILTER('Operações-BR'!$M:$M,'Operações-BR'!$C:$C=A1881,'Operações-BR'!$A:$A&lt;=C1881)),0)"),0.0)</f>
        <v>0</v>
      </c>
      <c r="H1881" s="184">
        <f t="shared" si="2"/>
        <v>0</v>
      </c>
      <c r="I1881" s="184">
        <f>IFERROR(__xludf.DUMMYFUNCTION("IFERROR(lookup(9999999999,FILTER('Operações-BR'!Q:Q,'Operações-BR'!$C:$C=A1881,'Operações-BR'!$A:$A&lt;=C1881))/G1881,0)"),0.0)</f>
        <v>0</v>
      </c>
      <c r="J1881" s="185" t="str">
        <f>IFERROR(VLOOKUP(A1881,Ativos!$A$1:$G2000,5,),"")</f>
        <v/>
      </c>
      <c r="K1881" s="185" t="str">
        <f>IFERROR(VLOOKUP(A1881,Ativos!A:H,8,),"")</f>
        <v/>
      </c>
      <c r="L1881" s="186">
        <f t="shared" si="3"/>
        <v>0</v>
      </c>
    </row>
    <row r="1882" ht="21.0" customHeight="1">
      <c r="A1882" s="187"/>
      <c r="B1882" s="187"/>
      <c r="C1882" s="188"/>
      <c r="D1882" s="135"/>
      <c r="E1882" s="189"/>
      <c r="F1882" s="182" t="str">
        <f t="shared" si="1"/>
        <v/>
      </c>
      <c r="G1882" s="183">
        <f>IFERROR(__xludf.DUMMYFUNCTION("IFERROR(lookup(9999999999,FILTER('Operações-BR'!$M:$M,'Operações-BR'!$C:$C=A1882,'Operações-BR'!$A:$A&lt;=C1882)),0)"),0.0)</f>
        <v>0</v>
      </c>
      <c r="H1882" s="184">
        <f t="shared" si="2"/>
        <v>0</v>
      </c>
      <c r="I1882" s="184">
        <f>IFERROR(__xludf.DUMMYFUNCTION("IFERROR(lookup(9999999999,FILTER('Operações-BR'!Q:Q,'Operações-BR'!$C:$C=A1882,'Operações-BR'!$A:$A&lt;=C1882))/G1882,0)"),0.0)</f>
        <v>0</v>
      </c>
      <c r="J1882" s="185" t="str">
        <f>IFERROR(VLOOKUP(A1882,Ativos!$A$1:$G2000,5,),"")</f>
        <v/>
      </c>
      <c r="K1882" s="185" t="str">
        <f>IFERROR(VLOOKUP(A1882,Ativos!A:H,8,),"")</f>
        <v/>
      </c>
      <c r="L1882" s="186">
        <f t="shared" si="3"/>
        <v>0</v>
      </c>
    </row>
    <row r="1883" ht="21.0" customHeight="1">
      <c r="A1883" s="187"/>
      <c r="B1883" s="187"/>
      <c r="C1883" s="188"/>
      <c r="D1883" s="135"/>
      <c r="E1883" s="189"/>
      <c r="F1883" s="182" t="str">
        <f t="shared" si="1"/>
        <v/>
      </c>
      <c r="G1883" s="183">
        <f>IFERROR(__xludf.DUMMYFUNCTION("IFERROR(lookup(9999999999,FILTER('Operações-BR'!$M:$M,'Operações-BR'!$C:$C=A1883,'Operações-BR'!$A:$A&lt;=C1883)),0)"),0.0)</f>
        <v>0</v>
      </c>
      <c r="H1883" s="184">
        <f t="shared" si="2"/>
        <v>0</v>
      </c>
      <c r="I1883" s="184">
        <f>IFERROR(__xludf.DUMMYFUNCTION("IFERROR(lookup(9999999999,FILTER('Operações-BR'!Q:Q,'Operações-BR'!$C:$C=A1883,'Operações-BR'!$A:$A&lt;=C1883))/G1883,0)"),0.0)</f>
        <v>0</v>
      </c>
      <c r="J1883" s="185" t="str">
        <f>IFERROR(VLOOKUP(A1883,Ativos!$A$1:$G2000,5,),"")</f>
        <v/>
      </c>
      <c r="K1883" s="185" t="str">
        <f>IFERROR(VLOOKUP(A1883,Ativos!A:H,8,),"")</f>
        <v/>
      </c>
      <c r="L1883" s="186">
        <f t="shared" si="3"/>
        <v>0</v>
      </c>
    </row>
    <row r="1884" ht="21.0" customHeight="1">
      <c r="A1884" s="187"/>
      <c r="B1884" s="187"/>
      <c r="C1884" s="188"/>
      <c r="D1884" s="135"/>
      <c r="E1884" s="189"/>
      <c r="F1884" s="182" t="str">
        <f t="shared" si="1"/>
        <v/>
      </c>
      <c r="G1884" s="183">
        <f>IFERROR(__xludf.DUMMYFUNCTION("IFERROR(lookup(9999999999,FILTER('Operações-BR'!$M:$M,'Operações-BR'!$C:$C=A1884,'Operações-BR'!$A:$A&lt;=C1884)),0)"),0.0)</f>
        <v>0</v>
      </c>
      <c r="H1884" s="184">
        <f t="shared" si="2"/>
        <v>0</v>
      </c>
      <c r="I1884" s="184">
        <f>IFERROR(__xludf.DUMMYFUNCTION("IFERROR(lookup(9999999999,FILTER('Operações-BR'!Q:Q,'Operações-BR'!$C:$C=A1884,'Operações-BR'!$A:$A&lt;=C1884))/G1884,0)"),0.0)</f>
        <v>0</v>
      </c>
      <c r="J1884" s="185" t="str">
        <f>IFERROR(VLOOKUP(A1884,Ativos!$A$1:$G2000,5,),"")</f>
        <v/>
      </c>
      <c r="K1884" s="185" t="str">
        <f>IFERROR(VLOOKUP(A1884,Ativos!A:H,8,),"")</f>
        <v/>
      </c>
      <c r="L1884" s="186">
        <f t="shared" si="3"/>
        <v>0</v>
      </c>
    </row>
    <row r="1885" ht="21.0" customHeight="1">
      <c r="A1885" s="187"/>
      <c r="B1885" s="187"/>
      <c r="C1885" s="188"/>
      <c r="D1885" s="135"/>
      <c r="E1885" s="189"/>
      <c r="F1885" s="182" t="str">
        <f t="shared" si="1"/>
        <v/>
      </c>
      <c r="G1885" s="183">
        <f>IFERROR(__xludf.DUMMYFUNCTION("IFERROR(lookup(9999999999,FILTER('Operações-BR'!$M:$M,'Operações-BR'!$C:$C=A1885,'Operações-BR'!$A:$A&lt;=C1885)),0)"),0.0)</f>
        <v>0</v>
      </c>
      <c r="H1885" s="184">
        <f t="shared" si="2"/>
        <v>0</v>
      </c>
      <c r="I1885" s="184">
        <f>IFERROR(__xludf.DUMMYFUNCTION("IFERROR(lookup(9999999999,FILTER('Operações-BR'!Q:Q,'Operações-BR'!$C:$C=A1885,'Operações-BR'!$A:$A&lt;=C1885))/G1885,0)"),0.0)</f>
        <v>0</v>
      </c>
      <c r="J1885" s="185" t="str">
        <f>IFERROR(VLOOKUP(A1885,Ativos!$A$1:$G2000,5,),"")</f>
        <v/>
      </c>
      <c r="K1885" s="185" t="str">
        <f>IFERROR(VLOOKUP(A1885,Ativos!A:H,8,),"")</f>
        <v/>
      </c>
      <c r="L1885" s="186">
        <f t="shared" si="3"/>
        <v>0</v>
      </c>
    </row>
    <row r="1886" ht="21.0" customHeight="1">
      <c r="A1886" s="187"/>
      <c r="B1886" s="187"/>
      <c r="C1886" s="188"/>
      <c r="D1886" s="135"/>
      <c r="E1886" s="189"/>
      <c r="F1886" s="182" t="str">
        <f t="shared" si="1"/>
        <v/>
      </c>
      <c r="G1886" s="183">
        <f>IFERROR(__xludf.DUMMYFUNCTION("IFERROR(lookup(9999999999,FILTER('Operações-BR'!$M:$M,'Operações-BR'!$C:$C=A1886,'Operações-BR'!$A:$A&lt;=C1886)),0)"),0.0)</f>
        <v>0</v>
      </c>
      <c r="H1886" s="184">
        <f t="shared" si="2"/>
        <v>0</v>
      </c>
      <c r="I1886" s="184">
        <f>IFERROR(__xludf.DUMMYFUNCTION("IFERROR(lookup(9999999999,FILTER('Operações-BR'!Q:Q,'Operações-BR'!$C:$C=A1886,'Operações-BR'!$A:$A&lt;=C1886))/G1886,0)"),0.0)</f>
        <v>0</v>
      </c>
      <c r="J1886" s="185" t="str">
        <f>IFERROR(VLOOKUP(A1886,Ativos!$A$1:$G2000,5,),"")</f>
        <v/>
      </c>
      <c r="K1886" s="185" t="str">
        <f>IFERROR(VLOOKUP(A1886,Ativos!A:H,8,),"")</f>
        <v/>
      </c>
      <c r="L1886" s="186">
        <f t="shared" si="3"/>
        <v>0</v>
      </c>
    </row>
    <row r="1887" ht="21.0" customHeight="1">
      <c r="A1887" s="187"/>
      <c r="B1887" s="187"/>
      <c r="C1887" s="188"/>
      <c r="D1887" s="135"/>
      <c r="E1887" s="189"/>
      <c r="F1887" s="182" t="str">
        <f t="shared" si="1"/>
        <v/>
      </c>
      <c r="G1887" s="183">
        <f>IFERROR(__xludf.DUMMYFUNCTION("IFERROR(lookup(9999999999,FILTER('Operações-BR'!$M:$M,'Operações-BR'!$C:$C=A1887,'Operações-BR'!$A:$A&lt;=C1887)),0)"),0.0)</f>
        <v>0</v>
      </c>
      <c r="H1887" s="184">
        <f t="shared" si="2"/>
        <v>0</v>
      </c>
      <c r="I1887" s="184">
        <f>IFERROR(__xludf.DUMMYFUNCTION("IFERROR(lookup(9999999999,FILTER('Operações-BR'!Q:Q,'Operações-BR'!$C:$C=A1887,'Operações-BR'!$A:$A&lt;=C1887))/G1887,0)"),0.0)</f>
        <v>0</v>
      </c>
      <c r="J1887" s="185" t="str">
        <f>IFERROR(VLOOKUP(A1887,Ativos!$A$1:$G2000,5,),"")</f>
        <v/>
      </c>
      <c r="K1887" s="185" t="str">
        <f>IFERROR(VLOOKUP(A1887,Ativos!A:H,8,),"")</f>
        <v/>
      </c>
      <c r="L1887" s="186">
        <f t="shared" si="3"/>
        <v>0</v>
      </c>
    </row>
    <row r="1888" ht="21.0" customHeight="1">
      <c r="A1888" s="187"/>
      <c r="B1888" s="187"/>
      <c r="C1888" s="188"/>
      <c r="D1888" s="135"/>
      <c r="E1888" s="189"/>
      <c r="F1888" s="182" t="str">
        <f t="shared" si="1"/>
        <v/>
      </c>
      <c r="G1888" s="183">
        <f>IFERROR(__xludf.DUMMYFUNCTION("IFERROR(lookup(9999999999,FILTER('Operações-BR'!$M:$M,'Operações-BR'!$C:$C=A1888,'Operações-BR'!$A:$A&lt;=C1888)),0)"),0.0)</f>
        <v>0</v>
      </c>
      <c r="H1888" s="184">
        <f t="shared" si="2"/>
        <v>0</v>
      </c>
      <c r="I1888" s="184">
        <f>IFERROR(__xludf.DUMMYFUNCTION("IFERROR(lookup(9999999999,FILTER('Operações-BR'!Q:Q,'Operações-BR'!$C:$C=A1888,'Operações-BR'!$A:$A&lt;=C1888))/G1888,0)"),0.0)</f>
        <v>0</v>
      </c>
      <c r="J1888" s="185" t="str">
        <f>IFERROR(VLOOKUP(A1888,Ativos!$A$1:$G2000,5,),"")</f>
        <v/>
      </c>
      <c r="K1888" s="185" t="str">
        <f>IFERROR(VLOOKUP(A1888,Ativos!A:H,8,),"")</f>
        <v/>
      </c>
      <c r="L1888" s="186">
        <f t="shared" si="3"/>
        <v>0</v>
      </c>
    </row>
    <row r="1889" ht="21.0" customHeight="1">
      <c r="A1889" s="187"/>
      <c r="B1889" s="187"/>
      <c r="C1889" s="188"/>
      <c r="D1889" s="135"/>
      <c r="E1889" s="189"/>
      <c r="F1889" s="182" t="str">
        <f t="shared" si="1"/>
        <v/>
      </c>
      <c r="G1889" s="183">
        <f>IFERROR(__xludf.DUMMYFUNCTION("IFERROR(lookup(9999999999,FILTER('Operações-BR'!$M:$M,'Operações-BR'!$C:$C=A1889,'Operações-BR'!$A:$A&lt;=C1889)),0)"),0.0)</f>
        <v>0</v>
      </c>
      <c r="H1889" s="184">
        <f t="shared" si="2"/>
        <v>0</v>
      </c>
      <c r="I1889" s="184">
        <f>IFERROR(__xludf.DUMMYFUNCTION("IFERROR(lookup(9999999999,FILTER('Operações-BR'!Q:Q,'Operações-BR'!$C:$C=A1889,'Operações-BR'!$A:$A&lt;=C1889))/G1889,0)"),0.0)</f>
        <v>0</v>
      </c>
      <c r="J1889" s="185" t="str">
        <f>IFERROR(VLOOKUP(A1889,Ativos!$A$1:$G2000,5,),"")</f>
        <v/>
      </c>
      <c r="K1889" s="185" t="str">
        <f>IFERROR(VLOOKUP(A1889,Ativos!A:H,8,),"")</f>
        <v/>
      </c>
      <c r="L1889" s="186">
        <f t="shared" si="3"/>
        <v>0</v>
      </c>
    </row>
    <row r="1890" ht="21.0" customHeight="1">
      <c r="A1890" s="187"/>
      <c r="B1890" s="187"/>
      <c r="C1890" s="188"/>
      <c r="D1890" s="135"/>
      <c r="E1890" s="189"/>
      <c r="F1890" s="182" t="str">
        <f t="shared" si="1"/>
        <v/>
      </c>
      <c r="G1890" s="183">
        <f>IFERROR(__xludf.DUMMYFUNCTION("IFERROR(lookup(9999999999,FILTER('Operações-BR'!$M:$M,'Operações-BR'!$C:$C=A1890,'Operações-BR'!$A:$A&lt;=C1890)),0)"),0.0)</f>
        <v>0</v>
      </c>
      <c r="H1890" s="184">
        <f t="shared" si="2"/>
        <v>0</v>
      </c>
      <c r="I1890" s="184">
        <f>IFERROR(__xludf.DUMMYFUNCTION("IFERROR(lookup(9999999999,FILTER('Operações-BR'!Q:Q,'Operações-BR'!$C:$C=A1890,'Operações-BR'!$A:$A&lt;=C1890))/G1890,0)"),0.0)</f>
        <v>0</v>
      </c>
      <c r="J1890" s="185" t="str">
        <f>IFERROR(VLOOKUP(A1890,Ativos!$A$1:$G2000,5,),"")</f>
        <v/>
      </c>
      <c r="K1890" s="185" t="str">
        <f>IFERROR(VLOOKUP(A1890,Ativos!A:H,8,),"")</f>
        <v/>
      </c>
      <c r="L1890" s="186">
        <f t="shared" si="3"/>
        <v>0</v>
      </c>
    </row>
    <row r="1891" ht="21.0" customHeight="1">
      <c r="A1891" s="187"/>
      <c r="B1891" s="187"/>
      <c r="C1891" s="188"/>
      <c r="D1891" s="135"/>
      <c r="E1891" s="189"/>
      <c r="F1891" s="182" t="str">
        <f t="shared" si="1"/>
        <v/>
      </c>
      <c r="G1891" s="183">
        <f>IFERROR(__xludf.DUMMYFUNCTION("IFERROR(lookup(9999999999,FILTER('Operações-BR'!$M:$M,'Operações-BR'!$C:$C=A1891,'Operações-BR'!$A:$A&lt;=C1891)),0)"),0.0)</f>
        <v>0</v>
      </c>
      <c r="H1891" s="184">
        <f t="shared" si="2"/>
        <v>0</v>
      </c>
      <c r="I1891" s="184">
        <f>IFERROR(__xludf.DUMMYFUNCTION("IFERROR(lookup(9999999999,FILTER('Operações-BR'!Q:Q,'Operações-BR'!$C:$C=A1891,'Operações-BR'!$A:$A&lt;=C1891))/G1891,0)"),0.0)</f>
        <v>0</v>
      </c>
      <c r="J1891" s="185" t="str">
        <f>IFERROR(VLOOKUP(A1891,Ativos!$A$1:$G2000,5,),"")</f>
        <v/>
      </c>
      <c r="K1891" s="185" t="str">
        <f>IFERROR(VLOOKUP(A1891,Ativos!A:H,8,),"")</f>
        <v/>
      </c>
      <c r="L1891" s="186">
        <f t="shared" si="3"/>
        <v>0</v>
      </c>
    </row>
    <row r="1892" ht="21.0" customHeight="1">
      <c r="A1892" s="187"/>
      <c r="B1892" s="187"/>
      <c r="C1892" s="188"/>
      <c r="D1892" s="135"/>
      <c r="E1892" s="189"/>
      <c r="F1892" s="182" t="str">
        <f t="shared" si="1"/>
        <v/>
      </c>
      <c r="G1892" s="183">
        <f>IFERROR(__xludf.DUMMYFUNCTION("IFERROR(lookup(9999999999,FILTER('Operações-BR'!$M:$M,'Operações-BR'!$C:$C=A1892,'Operações-BR'!$A:$A&lt;=C1892)),0)"),0.0)</f>
        <v>0</v>
      </c>
      <c r="H1892" s="184">
        <f t="shared" si="2"/>
        <v>0</v>
      </c>
      <c r="I1892" s="184">
        <f>IFERROR(__xludf.DUMMYFUNCTION("IFERROR(lookup(9999999999,FILTER('Operações-BR'!Q:Q,'Operações-BR'!$C:$C=A1892,'Operações-BR'!$A:$A&lt;=C1892))/G1892,0)"),0.0)</f>
        <v>0</v>
      </c>
      <c r="J1892" s="185" t="str">
        <f>IFERROR(VLOOKUP(A1892,Ativos!$A$1:$G2000,5,),"")</f>
        <v/>
      </c>
      <c r="K1892" s="185" t="str">
        <f>IFERROR(VLOOKUP(A1892,Ativos!A:H,8,),"")</f>
        <v/>
      </c>
      <c r="L1892" s="186">
        <f t="shared" si="3"/>
        <v>0</v>
      </c>
    </row>
    <row r="1893" ht="21.0" customHeight="1">
      <c r="A1893" s="187"/>
      <c r="B1893" s="187"/>
      <c r="C1893" s="188"/>
      <c r="D1893" s="135"/>
      <c r="E1893" s="189"/>
      <c r="F1893" s="182" t="str">
        <f t="shared" si="1"/>
        <v/>
      </c>
      <c r="G1893" s="183">
        <f>IFERROR(__xludf.DUMMYFUNCTION("IFERROR(lookup(9999999999,FILTER('Operações-BR'!$M:$M,'Operações-BR'!$C:$C=A1893,'Operações-BR'!$A:$A&lt;=C1893)),0)"),0.0)</f>
        <v>0</v>
      </c>
      <c r="H1893" s="184">
        <f t="shared" si="2"/>
        <v>0</v>
      </c>
      <c r="I1893" s="184">
        <f>IFERROR(__xludf.DUMMYFUNCTION("IFERROR(lookup(9999999999,FILTER('Operações-BR'!Q:Q,'Operações-BR'!$C:$C=A1893,'Operações-BR'!$A:$A&lt;=C1893))/G1893,0)"),0.0)</f>
        <v>0</v>
      </c>
      <c r="J1893" s="185" t="str">
        <f>IFERROR(VLOOKUP(A1893,Ativos!$A$1:$G2000,5,),"")</f>
        <v/>
      </c>
      <c r="K1893" s="185" t="str">
        <f>IFERROR(VLOOKUP(A1893,Ativos!A:H,8,),"")</f>
        <v/>
      </c>
      <c r="L1893" s="186">
        <f t="shared" si="3"/>
        <v>0</v>
      </c>
    </row>
    <row r="1894" ht="21.0" customHeight="1">
      <c r="A1894" s="187"/>
      <c r="B1894" s="187"/>
      <c r="C1894" s="188"/>
      <c r="D1894" s="135"/>
      <c r="E1894" s="189"/>
      <c r="F1894" s="182" t="str">
        <f t="shared" si="1"/>
        <v/>
      </c>
      <c r="G1894" s="183">
        <f>IFERROR(__xludf.DUMMYFUNCTION("IFERROR(lookup(9999999999,FILTER('Operações-BR'!$M:$M,'Operações-BR'!$C:$C=A1894,'Operações-BR'!$A:$A&lt;=C1894)),0)"),0.0)</f>
        <v>0</v>
      </c>
      <c r="H1894" s="184">
        <f t="shared" si="2"/>
        <v>0</v>
      </c>
      <c r="I1894" s="184">
        <f>IFERROR(__xludf.DUMMYFUNCTION("IFERROR(lookup(9999999999,FILTER('Operações-BR'!Q:Q,'Operações-BR'!$C:$C=A1894,'Operações-BR'!$A:$A&lt;=C1894))/G1894,0)"),0.0)</f>
        <v>0</v>
      </c>
      <c r="J1894" s="185" t="str">
        <f>IFERROR(VLOOKUP(A1894,Ativos!$A$1:$G2000,5,),"")</f>
        <v/>
      </c>
      <c r="K1894" s="185" t="str">
        <f>IFERROR(VLOOKUP(A1894,Ativos!A:H,8,),"")</f>
        <v/>
      </c>
      <c r="L1894" s="186">
        <f t="shared" si="3"/>
        <v>0</v>
      </c>
    </row>
    <row r="1895" ht="21.0" customHeight="1">
      <c r="A1895" s="187"/>
      <c r="B1895" s="187"/>
      <c r="C1895" s="188"/>
      <c r="D1895" s="135"/>
      <c r="E1895" s="189"/>
      <c r="F1895" s="182" t="str">
        <f t="shared" si="1"/>
        <v/>
      </c>
      <c r="G1895" s="183">
        <f>IFERROR(__xludf.DUMMYFUNCTION("IFERROR(lookup(9999999999,FILTER('Operações-BR'!$M:$M,'Operações-BR'!$C:$C=A1895,'Operações-BR'!$A:$A&lt;=C1895)),0)"),0.0)</f>
        <v>0</v>
      </c>
      <c r="H1895" s="184">
        <f t="shared" si="2"/>
        <v>0</v>
      </c>
      <c r="I1895" s="184">
        <f>IFERROR(__xludf.DUMMYFUNCTION("IFERROR(lookup(9999999999,FILTER('Operações-BR'!Q:Q,'Operações-BR'!$C:$C=A1895,'Operações-BR'!$A:$A&lt;=C1895))/G1895,0)"),0.0)</f>
        <v>0</v>
      </c>
      <c r="J1895" s="185" t="str">
        <f>IFERROR(VLOOKUP(A1895,Ativos!$A$1:$G2000,5,),"")</f>
        <v/>
      </c>
      <c r="K1895" s="185" t="str">
        <f>IFERROR(VLOOKUP(A1895,Ativos!A:H,8,),"")</f>
        <v/>
      </c>
      <c r="L1895" s="186">
        <f t="shared" si="3"/>
        <v>0</v>
      </c>
    </row>
    <row r="1896" ht="21.0" customHeight="1">
      <c r="A1896" s="187"/>
      <c r="B1896" s="187"/>
      <c r="C1896" s="188"/>
      <c r="D1896" s="135"/>
      <c r="E1896" s="189"/>
      <c r="F1896" s="182" t="str">
        <f t="shared" si="1"/>
        <v/>
      </c>
      <c r="G1896" s="183">
        <f>IFERROR(__xludf.DUMMYFUNCTION("IFERROR(lookup(9999999999,FILTER('Operações-BR'!$M:$M,'Operações-BR'!$C:$C=A1896,'Operações-BR'!$A:$A&lt;=C1896)),0)"),0.0)</f>
        <v>0</v>
      </c>
      <c r="H1896" s="184">
        <f t="shared" si="2"/>
        <v>0</v>
      </c>
      <c r="I1896" s="184">
        <f>IFERROR(__xludf.DUMMYFUNCTION("IFERROR(lookup(9999999999,FILTER('Operações-BR'!Q:Q,'Operações-BR'!$C:$C=A1896,'Operações-BR'!$A:$A&lt;=C1896))/G1896,0)"),0.0)</f>
        <v>0</v>
      </c>
      <c r="J1896" s="185" t="str">
        <f>IFERROR(VLOOKUP(A1896,Ativos!$A$1:$G2000,5,),"")</f>
        <v/>
      </c>
      <c r="K1896" s="185" t="str">
        <f>IFERROR(VLOOKUP(A1896,Ativos!A:H,8,),"")</f>
        <v/>
      </c>
      <c r="L1896" s="186">
        <f t="shared" si="3"/>
        <v>0</v>
      </c>
    </row>
    <row r="1897" ht="21.0" customHeight="1">
      <c r="A1897" s="187"/>
      <c r="B1897" s="187"/>
      <c r="C1897" s="188"/>
      <c r="D1897" s="135"/>
      <c r="E1897" s="189"/>
      <c r="F1897" s="182" t="str">
        <f t="shared" si="1"/>
        <v/>
      </c>
      <c r="G1897" s="183">
        <f>IFERROR(__xludf.DUMMYFUNCTION("IFERROR(lookup(9999999999,FILTER('Operações-BR'!$M:$M,'Operações-BR'!$C:$C=A1897,'Operações-BR'!$A:$A&lt;=C1897)),0)"),0.0)</f>
        <v>0</v>
      </c>
      <c r="H1897" s="184">
        <f t="shared" si="2"/>
        <v>0</v>
      </c>
      <c r="I1897" s="184">
        <f>IFERROR(__xludf.DUMMYFUNCTION("IFERROR(lookup(9999999999,FILTER('Operações-BR'!Q:Q,'Operações-BR'!$C:$C=A1897,'Operações-BR'!$A:$A&lt;=C1897))/G1897,0)"),0.0)</f>
        <v>0</v>
      </c>
      <c r="J1897" s="185" t="str">
        <f>IFERROR(VLOOKUP(A1897,Ativos!$A$1:$G2000,5,),"")</f>
        <v/>
      </c>
      <c r="K1897" s="185" t="str">
        <f>IFERROR(VLOOKUP(A1897,Ativos!A:H,8,),"")</f>
        <v/>
      </c>
      <c r="L1897" s="186">
        <f t="shared" si="3"/>
        <v>0</v>
      </c>
    </row>
    <row r="1898" ht="21.0" customHeight="1">
      <c r="A1898" s="187"/>
      <c r="B1898" s="187"/>
      <c r="C1898" s="188"/>
      <c r="D1898" s="135"/>
      <c r="E1898" s="189"/>
      <c r="F1898" s="182" t="str">
        <f t="shared" si="1"/>
        <v/>
      </c>
      <c r="G1898" s="183">
        <f>IFERROR(__xludf.DUMMYFUNCTION("IFERROR(lookup(9999999999,FILTER('Operações-BR'!$M:$M,'Operações-BR'!$C:$C=A1898,'Operações-BR'!$A:$A&lt;=C1898)),0)"),0.0)</f>
        <v>0</v>
      </c>
      <c r="H1898" s="184">
        <f t="shared" si="2"/>
        <v>0</v>
      </c>
      <c r="I1898" s="184">
        <f>IFERROR(__xludf.DUMMYFUNCTION("IFERROR(lookup(9999999999,FILTER('Operações-BR'!Q:Q,'Operações-BR'!$C:$C=A1898,'Operações-BR'!$A:$A&lt;=C1898))/G1898,0)"),0.0)</f>
        <v>0</v>
      </c>
      <c r="J1898" s="185" t="str">
        <f>IFERROR(VLOOKUP(A1898,Ativos!$A$1:$G2000,5,),"")</f>
        <v/>
      </c>
      <c r="K1898" s="185" t="str">
        <f>IFERROR(VLOOKUP(A1898,Ativos!A:H,8,),"")</f>
        <v/>
      </c>
      <c r="L1898" s="186">
        <f t="shared" si="3"/>
        <v>0</v>
      </c>
    </row>
    <row r="1899" ht="21.0" customHeight="1">
      <c r="A1899" s="187"/>
      <c r="B1899" s="187"/>
      <c r="C1899" s="188"/>
      <c r="D1899" s="135"/>
      <c r="E1899" s="189"/>
      <c r="F1899" s="182" t="str">
        <f t="shared" si="1"/>
        <v/>
      </c>
      <c r="G1899" s="183">
        <f>IFERROR(__xludf.DUMMYFUNCTION("IFERROR(lookup(9999999999,FILTER('Operações-BR'!$M:$M,'Operações-BR'!$C:$C=A1899,'Operações-BR'!$A:$A&lt;=C1899)),0)"),0.0)</f>
        <v>0</v>
      </c>
      <c r="H1899" s="184">
        <f t="shared" si="2"/>
        <v>0</v>
      </c>
      <c r="I1899" s="184">
        <f>IFERROR(__xludf.DUMMYFUNCTION("IFERROR(lookup(9999999999,FILTER('Operações-BR'!Q:Q,'Operações-BR'!$C:$C=A1899,'Operações-BR'!$A:$A&lt;=C1899))/G1899,0)"),0.0)</f>
        <v>0</v>
      </c>
      <c r="J1899" s="185" t="str">
        <f>IFERROR(VLOOKUP(A1899,Ativos!$A$1:$G2000,5,),"")</f>
        <v/>
      </c>
      <c r="K1899" s="185" t="str">
        <f>IFERROR(VLOOKUP(A1899,Ativos!A:H,8,),"")</f>
        <v/>
      </c>
      <c r="L1899" s="186">
        <f t="shared" si="3"/>
        <v>0</v>
      </c>
    </row>
    <row r="1900" ht="21.0" customHeight="1">
      <c r="A1900" s="187"/>
      <c r="B1900" s="187"/>
      <c r="C1900" s="188"/>
      <c r="D1900" s="135"/>
      <c r="E1900" s="189"/>
      <c r="F1900" s="182" t="str">
        <f t="shared" si="1"/>
        <v/>
      </c>
      <c r="G1900" s="183">
        <f>IFERROR(__xludf.DUMMYFUNCTION("IFERROR(lookup(9999999999,FILTER('Operações-BR'!$M:$M,'Operações-BR'!$C:$C=A1900,'Operações-BR'!$A:$A&lt;=C1900)),0)"),0.0)</f>
        <v>0</v>
      </c>
      <c r="H1900" s="184">
        <f t="shared" si="2"/>
        <v>0</v>
      </c>
      <c r="I1900" s="184">
        <f>IFERROR(__xludf.DUMMYFUNCTION("IFERROR(lookup(9999999999,FILTER('Operações-BR'!Q:Q,'Operações-BR'!$C:$C=A1900,'Operações-BR'!$A:$A&lt;=C1900))/G1900,0)"),0.0)</f>
        <v>0</v>
      </c>
      <c r="J1900" s="185" t="str">
        <f>IFERROR(VLOOKUP(A1900,Ativos!$A$1:$G2000,5,),"")</f>
        <v/>
      </c>
      <c r="K1900" s="185" t="str">
        <f>IFERROR(VLOOKUP(A1900,Ativos!A:H,8,),"")</f>
        <v/>
      </c>
      <c r="L1900" s="186">
        <f t="shared" si="3"/>
        <v>0</v>
      </c>
    </row>
    <row r="1901" ht="21.0" customHeight="1">
      <c r="A1901" s="187"/>
      <c r="B1901" s="187"/>
      <c r="C1901" s="188"/>
      <c r="D1901" s="135"/>
      <c r="E1901" s="189"/>
      <c r="F1901" s="182" t="str">
        <f t="shared" si="1"/>
        <v/>
      </c>
      <c r="G1901" s="183">
        <f>IFERROR(__xludf.DUMMYFUNCTION("IFERROR(lookup(9999999999,FILTER('Operações-BR'!$M:$M,'Operações-BR'!$C:$C=A1901,'Operações-BR'!$A:$A&lt;=C1901)),0)"),0.0)</f>
        <v>0</v>
      </c>
      <c r="H1901" s="184">
        <f t="shared" si="2"/>
        <v>0</v>
      </c>
      <c r="I1901" s="184">
        <f>IFERROR(__xludf.DUMMYFUNCTION("IFERROR(lookup(9999999999,FILTER('Operações-BR'!Q:Q,'Operações-BR'!$C:$C=A1901,'Operações-BR'!$A:$A&lt;=C1901))/G1901,0)"),0.0)</f>
        <v>0</v>
      </c>
      <c r="J1901" s="185" t="str">
        <f>IFERROR(VLOOKUP(A1901,Ativos!$A$1:$G2000,5,),"")</f>
        <v/>
      </c>
      <c r="K1901" s="185" t="str">
        <f>IFERROR(VLOOKUP(A1901,Ativos!A:H,8,),"")</f>
        <v/>
      </c>
      <c r="L1901" s="186">
        <f t="shared" si="3"/>
        <v>0</v>
      </c>
    </row>
    <row r="1902" ht="21.0" customHeight="1">
      <c r="A1902" s="187"/>
      <c r="B1902" s="187"/>
      <c r="C1902" s="188"/>
      <c r="D1902" s="135"/>
      <c r="E1902" s="189"/>
      <c r="F1902" s="182" t="str">
        <f t="shared" si="1"/>
        <v/>
      </c>
      <c r="G1902" s="183">
        <f>IFERROR(__xludf.DUMMYFUNCTION("IFERROR(lookup(9999999999,FILTER('Operações-BR'!$M:$M,'Operações-BR'!$C:$C=A1902,'Operações-BR'!$A:$A&lt;=C1902)),0)"),0.0)</f>
        <v>0</v>
      </c>
      <c r="H1902" s="184">
        <f t="shared" si="2"/>
        <v>0</v>
      </c>
      <c r="I1902" s="184">
        <f>IFERROR(__xludf.DUMMYFUNCTION("IFERROR(lookup(9999999999,FILTER('Operações-BR'!Q:Q,'Operações-BR'!$C:$C=A1902,'Operações-BR'!$A:$A&lt;=C1902))/G1902,0)"),0.0)</f>
        <v>0</v>
      </c>
      <c r="J1902" s="185" t="str">
        <f>IFERROR(VLOOKUP(A1902,Ativos!$A$1:$G2000,5,),"")</f>
        <v/>
      </c>
      <c r="K1902" s="185" t="str">
        <f>IFERROR(VLOOKUP(A1902,Ativos!A:H,8,),"")</f>
        <v/>
      </c>
      <c r="L1902" s="186">
        <f t="shared" si="3"/>
        <v>0</v>
      </c>
    </row>
    <row r="1903" ht="21.0" customHeight="1">
      <c r="A1903" s="187"/>
      <c r="B1903" s="187"/>
      <c r="C1903" s="188"/>
      <c r="D1903" s="135"/>
      <c r="E1903" s="189"/>
      <c r="F1903" s="182" t="str">
        <f t="shared" si="1"/>
        <v/>
      </c>
      <c r="G1903" s="183">
        <f>IFERROR(__xludf.DUMMYFUNCTION("IFERROR(lookup(9999999999,FILTER('Operações-BR'!$M:$M,'Operações-BR'!$C:$C=A1903,'Operações-BR'!$A:$A&lt;=C1903)),0)"),0.0)</f>
        <v>0</v>
      </c>
      <c r="H1903" s="184">
        <f t="shared" si="2"/>
        <v>0</v>
      </c>
      <c r="I1903" s="184">
        <f>IFERROR(__xludf.DUMMYFUNCTION("IFERROR(lookup(9999999999,FILTER('Operações-BR'!Q:Q,'Operações-BR'!$C:$C=A1903,'Operações-BR'!$A:$A&lt;=C1903))/G1903,0)"),0.0)</f>
        <v>0</v>
      </c>
      <c r="J1903" s="185" t="str">
        <f>IFERROR(VLOOKUP(A1903,Ativos!$A$1:$G2000,5,),"")</f>
        <v/>
      </c>
      <c r="K1903" s="185" t="str">
        <f>IFERROR(VLOOKUP(A1903,Ativos!A:H,8,),"")</f>
        <v/>
      </c>
      <c r="L1903" s="186">
        <f t="shared" si="3"/>
        <v>0</v>
      </c>
    </row>
    <row r="1904" ht="21.0" customHeight="1">
      <c r="A1904" s="187"/>
      <c r="B1904" s="187"/>
      <c r="C1904" s="188"/>
      <c r="D1904" s="135"/>
      <c r="E1904" s="189"/>
      <c r="F1904" s="182" t="str">
        <f t="shared" si="1"/>
        <v/>
      </c>
      <c r="G1904" s="183">
        <f>IFERROR(__xludf.DUMMYFUNCTION("IFERROR(lookup(9999999999,FILTER('Operações-BR'!$M:$M,'Operações-BR'!$C:$C=A1904,'Operações-BR'!$A:$A&lt;=C1904)),0)"),0.0)</f>
        <v>0</v>
      </c>
      <c r="H1904" s="184">
        <f t="shared" si="2"/>
        <v>0</v>
      </c>
      <c r="I1904" s="184">
        <f>IFERROR(__xludf.DUMMYFUNCTION("IFERROR(lookup(9999999999,FILTER('Operações-BR'!Q:Q,'Operações-BR'!$C:$C=A1904,'Operações-BR'!$A:$A&lt;=C1904))/G1904,0)"),0.0)</f>
        <v>0</v>
      </c>
      <c r="J1904" s="185" t="str">
        <f>IFERROR(VLOOKUP(A1904,Ativos!$A$1:$G2000,5,),"")</f>
        <v/>
      </c>
      <c r="K1904" s="185" t="str">
        <f>IFERROR(VLOOKUP(A1904,Ativos!A:H,8,),"")</f>
        <v/>
      </c>
      <c r="L1904" s="186">
        <f t="shared" si="3"/>
        <v>0</v>
      </c>
    </row>
    <row r="1905" ht="21.0" customHeight="1">
      <c r="A1905" s="187"/>
      <c r="B1905" s="187"/>
      <c r="C1905" s="188"/>
      <c r="D1905" s="135"/>
      <c r="E1905" s="189"/>
      <c r="F1905" s="182" t="str">
        <f t="shared" si="1"/>
        <v/>
      </c>
      <c r="G1905" s="183">
        <f>IFERROR(__xludf.DUMMYFUNCTION("IFERROR(lookup(9999999999,FILTER('Operações-BR'!$M:$M,'Operações-BR'!$C:$C=A1905,'Operações-BR'!$A:$A&lt;=C1905)),0)"),0.0)</f>
        <v>0</v>
      </c>
      <c r="H1905" s="184">
        <f t="shared" si="2"/>
        <v>0</v>
      </c>
      <c r="I1905" s="184">
        <f>IFERROR(__xludf.DUMMYFUNCTION("IFERROR(lookup(9999999999,FILTER('Operações-BR'!Q:Q,'Operações-BR'!$C:$C=A1905,'Operações-BR'!$A:$A&lt;=C1905))/G1905,0)"),0.0)</f>
        <v>0</v>
      </c>
      <c r="J1905" s="185" t="str">
        <f>IFERROR(VLOOKUP(A1905,Ativos!$A$1:$G2000,5,),"")</f>
        <v/>
      </c>
      <c r="K1905" s="185" t="str">
        <f>IFERROR(VLOOKUP(A1905,Ativos!A:H,8,),"")</f>
        <v/>
      </c>
      <c r="L1905" s="186">
        <f t="shared" si="3"/>
        <v>0</v>
      </c>
    </row>
    <row r="1906" ht="21.0" customHeight="1">
      <c r="A1906" s="187"/>
      <c r="B1906" s="187"/>
      <c r="C1906" s="188"/>
      <c r="D1906" s="135"/>
      <c r="E1906" s="189"/>
      <c r="F1906" s="182" t="str">
        <f t="shared" si="1"/>
        <v/>
      </c>
      <c r="G1906" s="183">
        <f>IFERROR(__xludf.DUMMYFUNCTION("IFERROR(lookup(9999999999,FILTER('Operações-BR'!$M:$M,'Operações-BR'!$C:$C=A1906,'Operações-BR'!$A:$A&lt;=C1906)),0)"),0.0)</f>
        <v>0</v>
      </c>
      <c r="H1906" s="184">
        <f t="shared" si="2"/>
        <v>0</v>
      </c>
      <c r="I1906" s="184">
        <f>IFERROR(__xludf.DUMMYFUNCTION("IFERROR(lookup(9999999999,FILTER('Operações-BR'!Q:Q,'Operações-BR'!$C:$C=A1906,'Operações-BR'!$A:$A&lt;=C1906))/G1906,0)"),0.0)</f>
        <v>0</v>
      </c>
      <c r="J1906" s="185" t="str">
        <f>IFERROR(VLOOKUP(A1906,Ativos!$A$1:$G2000,5,),"")</f>
        <v/>
      </c>
      <c r="K1906" s="185" t="str">
        <f>IFERROR(VLOOKUP(A1906,Ativos!A:H,8,),"")</f>
        <v/>
      </c>
      <c r="L1906" s="186">
        <f t="shared" si="3"/>
        <v>0</v>
      </c>
    </row>
    <row r="1907" ht="21.0" customHeight="1">
      <c r="A1907" s="187"/>
      <c r="B1907" s="187"/>
      <c r="C1907" s="188"/>
      <c r="D1907" s="135"/>
      <c r="E1907" s="189"/>
      <c r="F1907" s="182" t="str">
        <f t="shared" si="1"/>
        <v/>
      </c>
      <c r="G1907" s="183">
        <f>IFERROR(__xludf.DUMMYFUNCTION("IFERROR(lookup(9999999999,FILTER('Operações-BR'!$M:$M,'Operações-BR'!$C:$C=A1907,'Operações-BR'!$A:$A&lt;=C1907)),0)"),0.0)</f>
        <v>0</v>
      </c>
      <c r="H1907" s="184">
        <f t="shared" si="2"/>
        <v>0</v>
      </c>
      <c r="I1907" s="184">
        <f>IFERROR(__xludf.DUMMYFUNCTION("IFERROR(lookup(9999999999,FILTER('Operações-BR'!Q:Q,'Operações-BR'!$C:$C=A1907,'Operações-BR'!$A:$A&lt;=C1907))/G1907,0)"),0.0)</f>
        <v>0</v>
      </c>
      <c r="J1907" s="185" t="str">
        <f>IFERROR(VLOOKUP(A1907,Ativos!$A$1:$G2000,5,),"")</f>
        <v/>
      </c>
      <c r="K1907" s="185" t="str">
        <f>IFERROR(VLOOKUP(A1907,Ativos!A:H,8,),"")</f>
        <v/>
      </c>
      <c r="L1907" s="186">
        <f t="shared" si="3"/>
        <v>0</v>
      </c>
    </row>
    <row r="1908" ht="21.0" customHeight="1">
      <c r="A1908" s="187"/>
      <c r="B1908" s="187"/>
      <c r="C1908" s="188"/>
      <c r="D1908" s="135"/>
      <c r="E1908" s="189"/>
      <c r="F1908" s="182" t="str">
        <f t="shared" si="1"/>
        <v/>
      </c>
      <c r="G1908" s="183">
        <f>IFERROR(__xludf.DUMMYFUNCTION("IFERROR(lookup(9999999999,FILTER('Operações-BR'!$M:$M,'Operações-BR'!$C:$C=A1908,'Operações-BR'!$A:$A&lt;=C1908)),0)"),0.0)</f>
        <v>0</v>
      </c>
      <c r="H1908" s="184">
        <f t="shared" si="2"/>
        <v>0</v>
      </c>
      <c r="I1908" s="184">
        <f>IFERROR(__xludf.DUMMYFUNCTION("IFERROR(lookup(9999999999,FILTER('Operações-BR'!Q:Q,'Operações-BR'!$C:$C=A1908,'Operações-BR'!$A:$A&lt;=C1908))/G1908,0)"),0.0)</f>
        <v>0</v>
      </c>
      <c r="J1908" s="185" t="str">
        <f>IFERROR(VLOOKUP(A1908,Ativos!$A$1:$G2000,5,),"")</f>
        <v/>
      </c>
      <c r="K1908" s="185" t="str">
        <f>IFERROR(VLOOKUP(A1908,Ativos!A:H,8,),"")</f>
        <v/>
      </c>
      <c r="L1908" s="186">
        <f t="shared" si="3"/>
        <v>0</v>
      </c>
    </row>
    <row r="1909" ht="21.0" customHeight="1">
      <c r="A1909" s="187"/>
      <c r="B1909" s="187"/>
      <c r="C1909" s="188"/>
      <c r="D1909" s="135"/>
      <c r="E1909" s="189"/>
      <c r="F1909" s="182" t="str">
        <f t="shared" si="1"/>
        <v/>
      </c>
      <c r="G1909" s="183">
        <f>IFERROR(__xludf.DUMMYFUNCTION("IFERROR(lookup(9999999999,FILTER('Operações-BR'!$M:$M,'Operações-BR'!$C:$C=A1909,'Operações-BR'!$A:$A&lt;=C1909)),0)"),0.0)</f>
        <v>0</v>
      </c>
      <c r="H1909" s="184">
        <f t="shared" si="2"/>
        <v>0</v>
      </c>
      <c r="I1909" s="184">
        <f>IFERROR(__xludf.DUMMYFUNCTION("IFERROR(lookup(9999999999,FILTER('Operações-BR'!Q:Q,'Operações-BR'!$C:$C=A1909,'Operações-BR'!$A:$A&lt;=C1909))/G1909,0)"),0.0)</f>
        <v>0</v>
      </c>
      <c r="J1909" s="185" t="str">
        <f>IFERROR(VLOOKUP(A1909,Ativos!$A$1:$G2000,5,),"")</f>
        <v/>
      </c>
      <c r="K1909" s="185" t="str">
        <f>IFERROR(VLOOKUP(A1909,Ativos!A:H,8,),"")</f>
        <v/>
      </c>
      <c r="L1909" s="186">
        <f t="shared" si="3"/>
        <v>0</v>
      </c>
    </row>
    <row r="1910" ht="21.0" customHeight="1">
      <c r="A1910" s="187"/>
      <c r="B1910" s="187"/>
      <c r="C1910" s="188"/>
      <c r="D1910" s="135"/>
      <c r="E1910" s="189"/>
      <c r="F1910" s="182" t="str">
        <f t="shared" si="1"/>
        <v/>
      </c>
      <c r="G1910" s="183">
        <f>IFERROR(__xludf.DUMMYFUNCTION("IFERROR(lookup(9999999999,FILTER('Operações-BR'!$M:$M,'Operações-BR'!$C:$C=A1910,'Operações-BR'!$A:$A&lt;=C1910)),0)"),0.0)</f>
        <v>0</v>
      </c>
      <c r="H1910" s="184">
        <f t="shared" si="2"/>
        <v>0</v>
      </c>
      <c r="I1910" s="184">
        <f>IFERROR(__xludf.DUMMYFUNCTION("IFERROR(lookup(9999999999,FILTER('Operações-BR'!Q:Q,'Operações-BR'!$C:$C=A1910,'Operações-BR'!$A:$A&lt;=C1910))/G1910,0)"),0.0)</f>
        <v>0</v>
      </c>
      <c r="J1910" s="185" t="str">
        <f>IFERROR(VLOOKUP(A1910,Ativos!$A$1:$G2000,5,),"")</f>
        <v/>
      </c>
      <c r="K1910" s="185" t="str">
        <f>IFERROR(VLOOKUP(A1910,Ativos!A:H,8,),"")</f>
        <v/>
      </c>
      <c r="L1910" s="186">
        <f t="shared" si="3"/>
        <v>0</v>
      </c>
    </row>
    <row r="1911" ht="21.0" customHeight="1">
      <c r="A1911" s="187"/>
      <c r="B1911" s="187"/>
      <c r="C1911" s="188"/>
      <c r="D1911" s="135"/>
      <c r="E1911" s="189"/>
      <c r="F1911" s="182" t="str">
        <f t="shared" si="1"/>
        <v/>
      </c>
      <c r="G1911" s="183">
        <f>IFERROR(__xludf.DUMMYFUNCTION("IFERROR(lookup(9999999999,FILTER('Operações-BR'!$M:$M,'Operações-BR'!$C:$C=A1911,'Operações-BR'!$A:$A&lt;=C1911)),0)"),0.0)</f>
        <v>0</v>
      </c>
      <c r="H1911" s="184">
        <f t="shared" si="2"/>
        <v>0</v>
      </c>
      <c r="I1911" s="184">
        <f>IFERROR(__xludf.DUMMYFUNCTION("IFERROR(lookup(9999999999,FILTER('Operações-BR'!Q:Q,'Operações-BR'!$C:$C=A1911,'Operações-BR'!$A:$A&lt;=C1911))/G1911,0)"),0.0)</f>
        <v>0</v>
      </c>
      <c r="J1911" s="185" t="str">
        <f>IFERROR(VLOOKUP(A1911,Ativos!$A$1:$G2000,5,),"")</f>
        <v/>
      </c>
      <c r="K1911" s="185" t="str">
        <f>IFERROR(VLOOKUP(A1911,Ativos!A:H,8,),"")</f>
        <v/>
      </c>
      <c r="L1911" s="186">
        <f t="shared" si="3"/>
        <v>0</v>
      </c>
    </row>
    <row r="1912" ht="21.0" customHeight="1">
      <c r="A1912" s="187"/>
      <c r="B1912" s="187"/>
      <c r="C1912" s="188"/>
      <c r="D1912" s="135"/>
      <c r="E1912" s="189"/>
      <c r="F1912" s="182" t="str">
        <f t="shared" si="1"/>
        <v/>
      </c>
      <c r="G1912" s="183">
        <f>IFERROR(__xludf.DUMMYFUNCTION("IFERROR(lookup(9999999999,FILTER('Operações-BR'!$M:$M,'Operações-BR'!$C:$C=A1912,'Operações-BR'!$A:$A&lt;=C1912)),0)"),0.0)</f>
        <v>0</v>
      </c>
      <c r="H1912" s="184">
        <f t="shared" si="2"/>
        <v>0</v>
      </c>
      <c r="I1912" s="184">
        <f>IFERROR(__xludf.DUMMYFUNCTION("IFERROR(lookup(9999999999,FILTER('Operações-BR'!Q:Q,'Operações-BR'!$C:$C=A1912,'Operações-BR'!$A:$A&lt;=C1912))/G1912,0)"),0.0)</f>
        <v>0</v>
      </c>
      <c r="J1912" s="185" t="str">
        <f>IFERROR(VLOOKUP(A1912,Ativos!$A$1:$G2000,5,),"")</f>
        <v/>
      </c>
      <c r="K1912" s="185" t="str">
        <f>IFERROR(VLOOKUP(A1912,Ativos!A:H,8,),"")</f>
        <v/>
      </c>
      <c r="L1912" s="186">
        <f t="shared" si="3"/>
        <v>0</v>
      </c>
    </row>
    <row r="1913" ht="21.0" customHeight="1">
      <c r="A1913" s="187"/>
      <c r="B1913" s="187"/>
      <c r="C1913" s="188"/>
      <c r="D1913" s="135"/>
      <c r="E1913" s="189"/>
      <c r="F1913" s="182" t="str">
        <f t="shared" si="1"/>
        <v/>
      </c>
      <c r="G1913" s="183">
        <f>IFERROR(__xludf.DUMMYFUNCTION("IFERROR(lookup(9999999999,FILTER('Operações-BR'!$M:$M,'Operações-BR'!$C:$C=A1913,'Operações-BR'!$A:$A&lt;=C1913)),0)"),0.0)</f>
        <v>0</v>
      </c>
      <c r="H1913" s="184">
        <f t="shared" si="2"/>
        <v>0</v>
      </c>
      <c r="I1913" s="184">
        <f>IFERROR(__xludf.DUMMYFUNCTION("IFERROR(lookup(9999999999,FILTER('Operações-BR'!Q:Q,'Operações-BR'!$C:$C=A1913,'Operações-BR'!$A:$A&lt;=C1913))/G1913,0)"),0.0)</f>
        <v>0</v>
      </c>
      <c r="J1913" s="185" t="str">
        <f>IFERROR(VLOOKUP(A1913,Ativos!$A$1:$G2000,5,),"")</f>
        <v/>
      </c>
      <c r="K1913" s="185" t="str">
        <f>IFERROR(VLOOKUP(A1913,Ativos!A:H,8,),"")</f>
        <v/>
      </c>
      <c r="L1913" s="186">
        <f t="shared" si="3"/>
        <v>0</v>
      </c>
    </row>
    <row r="1914" ht="21.0" customHeight="1">
      <c r="A1914" s="187"/>
      <c r="B1914" s="187"/>
      <c r="C1914" s="188"/>
      <c r="D1914" s="135"/>
      <c r="E1914" s="189"/>
      <c r="F1914" s="182" t="str">
        <f t="shared" si="1"/>
        <v/>
      </c>
      <c r="G1914" s="183">
        <f>IFERROR(__xludf.DUMMYFUNCTION("IFERROR(lookup(9999999999,FILTER('Operações-BR'!$M:$M,'Operações-BR'!$C:$C=A1914,'Operações-BR'!$A:$A&lt;=C1914)),0)"),0.0)</f>
        <v>0</v>
      </c>
      <c r="H1914" s="184">
        <f t="shared" si="2"/>
        <v>0</v>
      </c>
      <c r="I1914" s="184">
        <f>IFERROR(__xludf.DUMMYFUNCTION("IFERROR(lookup(9999999999,FILTER('Operações-BR'!Q:Q,'Operações-BR'!$C:$C=A1914,'Operações-BR'!$A:$A&lt;=C1914))/G1914,0)"),0.0)</f>
        <v>0</v>
      </c>
      <c r="J1914" s="185" t="str">
        <f>IFERROR(VLOOKUP(A1914,Ativos!$A$1:$G2000,5,),"")</f>
        <v/>
      </c>
      <c r="K1914" s="185" t="str">
        <f>IFERROR(VLOOKUP(A1914,Ativos!A:H,8,),"")</f>
        <v/>
      </c>
      <c r="L1914" s="186">
        <f t="shared" si="3"/>
        <v>0</v>
      </c>
    </row>
    <row r="1915" ht="21.0" customHeight="1">
      <c r="A1915" s="187"/>
      <c r="B1915" s="187"/>
      <c r="C1915" s="188"/>
      <c r="D1915" s="135"/>
      <c r="E1915" s="189"/>
      <c r="F1915" s="182" t="str">
        <f t="shared" si="1"/>
        <v/>
      </c>
      <c r="G1915" s="183">
        <f>IFERROR(__xludf.DUMMYFUNCTION("IFERROR(lookup(9999999999,FILTER('Operações-BR'!$M:$M,'Operações-BR'!$C:$C=A1915,'Operações-BR'!$A:$A&lt;=C1915)),0)"),0.0)</f>
        <v>0</v>
      </c>
      <c r="H1915" s="184">
        <f t="shared" si="2"/>
        <v>0</v>
      </c>
      <c r="I1915" s="184">
        <f>IFERROR(__xludf.DUMMYFUNCTION("IFERROR(lookup(9999999999,FILTER('Operações-BR'!Q:Q,'Operações-BR'!$C:$C=A1915,'Operações-BR'!$A:$A&lt;=C1915))/G1915,0)"),0.0)</f>
        <v>0</v>
      </c>
      <c r="J1915" s="185" t="str">
        <f>IFERROR(VLOOKUP(A1915,Ativos!$A$1:$G2000,5,),"")</f>
        <v/>
      </c>
      <c r="K1915" s="185" t="str">
        <f>IFERROR(VLOOKUP(A1915,Ativos!A:H,8,),"")</f>
        <v/>
      </c>
      <c r="L1915" s="186">
        <f t="shared" si="3"/>
        <v>0</v>
      </c>
    </row>
    <row r="1916" ht="21.0" customHeight="1">
      <c r="A1916" s="187"/>
      <c r="B1916" s="187"/>
      <c r="C1916" s="188"/>
      <c r="D1916" s="135"/>
      <c r="E1916" s="189"/>
      <c r="F1916" s="182" t="str">
        <f t="shared" si="1"/>
        <v/>
      </c>
      <c r="G1916" s="183">
        <f>IFERROR(__xludf.DUMMYFUNCTION("IFERROR(lookup(9999999999,FILTER('Operações-BR'!$M:$M,'Operações-BR'!$C:$C=A1916,'Operações-BR'!$A:$A&lt;=C1916)),0)"),0.0)</f>
        <v>0</v>
      </c>
      <c r="H1916" s="184">
        <f t="shared" si="2"/>
        <v>0</v>
      </c>
      <c r="I1916" s="184">
        <f>IFERROR(__xludf.DUMMYFUNCTION("IFERROR(lookup(9999999999,FILTER('Operações-BR'!Q:Q,'Operações-BR'!$C:$C=A1916,'Operações-BR'!$A:$A&lt;=C1916))/G1916,0)"),0.0)</f>
        <v>0</v>
      </c>
      <c r="J1916" s="185" t="str">
        <f>IFERROR(VLOOKUP(A1916,Ativos!$A$1:$G2000,5,),"")</f>
        <v/>
      </c>
      <c r="K1916" s="185" t="str">
        <f>IFERROR(VLOOKUP(A1916,Ativos!A:H,8,),"")</f>
        <v/>
      </c>
      <c r="L1916" s="186">
        <f t="shared" si="3"/>
        <v>0</v>
      </c>
    </row>
    <row r="1917" ht="21.0" customHeight="1">
      <c r="A1917" s="187"/>
      <c r="B1917" s="187"/>
      <c r="C1917" s="188"/>
      <c r="D1917" s="135"/>
      <c r="E1917" s="189"/>
      <c r="F1917" s="182" t="str">
        <f t="shared" si="1"/>
        <v/>
      </c>
      <c r="G1917" s="183">
        <f>IFERROR(__xludf.DUMMYFUNCTION("IFERROR(lookup(9999999999,FILTER('Operações-BR'!$M:$M,'Operações-BR'!$C:$C=A1917,'Operações-BR'!$A:$A&lt;=C1917)),0)"),0.0)</f>
        <v>0</v>
      </c>
      <c r="H1917" s="184">
        <f t="shared" si="2"/>
        <v>0</v>
      </c>
      <c r="I1917" s="184">
        <f>IFERROR(__xludf.DUMMYFUNCTION("IFERROR(lookup(9999999999,FILTER('Operações-BR'!Q:Q,'Operações-BR'!$C:$C=A1917,'Operações-BR'!$A:$A&lt;=C1917))/G1917,0)"),0.0)</f>
        <v>0</v>
      </c>
      <c r="J1917" s="185" t="str">
        <f>IFERROR(VLOOKUP(A1917,Ativos!$A$1:$G2000,5,),"")</f>
        <v/>
      </c>
      <c r="K1917" s="185" t="str">
        <f>IFERROR(VLOOKUP(A1917,Ativos!A:H,8,),"")</f>
        <v/>
      </c>
      <c r="L1917" s="186">
        <f t="shared" si="3"/>
        <v>0</v>
      </c>
    </row>
    <row r="1918" ht="21.0" customHeight="1">
      <c r="A1918" s="187"/>
      <c r="B1918" s="187"/>
      <c r="C1918" s="188"/>
      <c r="D1918" s="135"/>
      <c r="E1918" s="189"/>
      <c r="F1918" s="182" t="str">
        <f t="shared" si="1"/>
        <v/>
      </c>
      <c r="G1918" s="183">
        <f>IFERROR(__xludf.DUMMYFUNCTION("IFERROR(lookup(9999999999,FILTER('Operações-BR'!$M:$M,'Operações-BR'!$C:$C=A1918,'Operações-BR'!$A:$A&lt;=C1918)),0)"),0.0)</f>
        <v>0</v>
      </c>
      <c r="H1918" s="184">
        <f t="shared" si="2"/>
        <v>0</v>
      </c>
      <c r="I1918" s="184">
        <f>IFERROR(__xludf.DUMMYFUNCTION("IFERROR(lookup(9999999999,FILTER('Operações-BR'!Q:Q,'Operações-BR'!$C:$C=A1918,'Operações-BR'!$A:$A&lt;=C1918))/G1918,0)"),0.0)</f>
        <v>0</v>
      </c>
      <c r="J1918" s="185" t="str">
        <f>IFERROR(VLOOKUP(A1918,Ativos!$A$1:$G2000,5,),"")</f>
        <v/>
      </c>
      <c r="K1918" s="185" t="str">
        <f>IFERROR(VLOOKUP(A1918,Ativos!A:H,8,),"")</f>
        <v/>
      </c>
      <c r="L1918" s="186">
        <f t="shared" si="3"/>
        <v>0</v>
      </c>
    </row>
    <row r="1919" ht="21.0" customHeight="1">
      <c r="A1919" s="187"/>
      <c r="B1919" s="187"/>
      <c r="C1919" s="188"/>
      <c r="D1919" s="135"/>
      <c r="E1919" s="189"/>
      <c r="F1919" s="182" t="str">
        <f t="shared" si="1"/>
        <v/>
      </c>
      <c r="G1919" s="183">
        <f>IFERROR(__xludf.DUMMYFUNCTION("IFERROR(lookup(9999999999,FILTER('Operações-BR'!$M:$M,'Operações-BR'!$C:$C=A1919,'Operações-BR'!$A:$A&lt;=C1919)),0)"),0.0)</f>
        <v>0</v>
      </c>
      <c r="H1919" s="184">
        <f t="shared" si="2"/>
        <v>0</v>
      </c>
      <c r="I1919" s="184">
        <f>IFERROR(__xludf.DUMMYFUNCTION("IFERROR(lookup(9999999999,FILTER('Operações-BR'!Q:Q,'Operações-BR'!$C:$C=A1919,'Operações-BR'!$A:$A&lt;=C1919))/G1919,0)"),0.0)</f>
        <v>0</v>
      </c>
      <c r="J1919" s="185" t="str">
        <f>IFERROR(VLOOKUP(A1919,Ativos!$A$1:$G2000,5,),"")</f>
        <v/>
      </c>
      <c r="K1919" s="185" t="str">
        <f>IFERROR(VLOOKUP(A1919,Ativos!A:H,8,),"")</f>
        <v/>
      </c>
      <c r="L1919" s="186">
        <f t="shared" si="3"/>
        <v>0</v>
      </c>
    </row>
    <row r="1920" ht="21.0" customHeight="1">
      <c r="A1920" s="187"/>
      <c r="B1920" s="187"/>
      <c r="C1920" s="188"/>
      <c r="D1920" s="135"/>
      <c r="E1920" s="189"/>
      <c r="F1920" s="182" t="str">
        <f t="shared" si="1"/>
        <v/>
      </c>
      <c r="G1920" s="183">
        <f>IFERROR(__xludf.DUMMYFUNCTION("IFERROR(lookup(9999999999,FILTER('Operações-BR'!$M:$M,'Operações-BR'!$C:$C=A1920,'Operações-BR'!$A:$A&lt;=C1920)),0)"),0.0)</f>
        <v>0</v>
      </c>
      <c r="H1920" s="184">
        <f t="shared" si="2"/>
        <v>0</v>
      </c>
      <c r="I1920" s="184">
        <f>IFERROR(__xludf.DUMMYFUNCTION("IFERROR(lookup(9999999999,FILTER('Operações-BR'!Q:Q,'Operações-BR'!$C:$C=A1920,'Operações-BR'!$A:$A&lt;=C1920))/G1920,0)"),0.0)</f>
        <v>0</v>
      </c>
      <c r="J1920" s="185" t="str">
        <f>IFERROR(VLOOKUP(A1920,Ativos!$A$1:$G2000,5,),"")</f>
        <v/>
      </c>
      <c r="K1920" s="185" t="str">
        <f>IFERROR(VLOOKUP(A1920,Ativos!A:H,8,),"")</f>
        <v/>
      </c>
      <c r="L1920" s="186">
        <f t="shared" si="3"/>
        <v>0</v>
      </c>
    </row>
    <row r="1921" ht="21.0" customHeight="1">
      <c r="A1921" s="187"/>
      <c r="B1921" s="187"/>
      <c r="C1921" s="188"/>
      <c r="D1921" s="135"/>
      <c r="E1921" s="189"/>
      <c r="F1921" s="182" t="str">
        <f t="shared" si="1"/>
        <v/>
      </c>
      <c r="G1921" s="183">
        <f>IFERROR(__xludf.DUMMYFUNCTION("IFERROR(lookup(9999999999,FILTER('Operações-BR'!$M:$M,'Operações-BR'!$C:$C=A1921,'Operações-BR'!$A:$A&lt;=C1921)),0)"),0.0)</f>
        <v>0</v>
      </c>
      <c r="H1921" s="184">
        <f t="shared" si="2"/>
        <v>0</v>
      </c>
      <c r="I1921" s="184">
        <f>IFERROR(__xludf.DUMMYFUNCTION("IFERROR(lookup(9999999999,FILTER('Operações-BR'!Q:Q,'Operações-BR'!$C:$C=A1921,'Operações-BR'!$A:$A&lt;=C1921))/G1921,0)"),0.0)</f>
        <v>0</v>
      </c>
      <c r="J1921" s="185" t="str">
        <f>IFERROR(VLOOKUP(A1921,Ativos!$A$1:$G2000,5,),"")</f>
        <v/>
      </c>
      <c r="K1921" s="185" t="str">
        <f>IFERROR(VLOOKUP(A1921,Ativos!A:H,8,),"")</f>
        <v/>
      </c>
      <c r="L1921" s="186">
        <f t="shared" si="3"/>
        <v>0</v>
      </c>
    </row>
    <row r="1922" ht="21.0" customHeight="1">
      <c r="A1922" s="187"/>
      <c r="B1922" s="187"/>
      <c r="C1922" s="188"/>
      <c r="D1922" s="135"/>
      <c r="E1922" s="189"/>
      <c r="F1922" s="182" t="str">
        <f t="shared" si="1"/>
        <v/>
      </c>
      <c r="G1922" s="183">
        <f>IFERROR(__xludf.DUMMYFUNCTION("IFERROR(lookup(9999999999,FILTER('Operações-BR'!$M:$M,'Operações-BR'!$C:$C=A1922,'Operações-BR'!$A:$A&lt;=C1922)),0)"),0.0)</f>
        <v>0</v>
      </c>
      <c r="H1922" s="184">
        <f t="shared" si="2"/>
        <v>0</v>
      </c>
      <c r="I1922" s="184">
        <f>IFERROR(__xludf.DUMMYFUNCTION("IFERROR(lookup(9999999999,FILTER('Operações-BR'!Q:Q,'Operações-BR'!$C:$C=A1922,'Operações-BR'!$A:$A&lt;=C1922))/G1922,0)"),0.0)</f>
        <v>0</v>
      </c>
      <c r="J1922" s="185" t="str">
        <f>IFERROR(VLOOKUP(A1922,Ativos!$A$1:$G2000,5,),"")</f>
        <v/>
      </c>
      <c r="K1922" s="185" t="str">
        <f>IFERROR(VLOOKUP(A1922,Ativos!A:H,8,),"")</f>
        <v/>
      </c>
      <c r="L1922" s="186">
        <f t="shared" si="3"/>
        <v>0</v>
      </c>
    </row>
    <row r="1923" ht="21.0" customHeight="1">
      <c r="A1923" s="187"/>
      <c r="B1923" s="187"/>
      <c r="C1923" s="188"/>
      <c r="D1923" s="135"/>
      <c r="E1923" s="189"/>
      <c r="F1923" s="182" t="str">
        <f t="shared" si="1"/>
        <v/>
      </c>
      <c r="G1923" s="183">
        <f>IFERROR(__xludf.DUMMYFUNCTION("IFERROR(lookup(9999999999,FILTER('Operações-BR'!$M:$M,'Operações-BR'!$C:$C=A1923,'Operações-BR'!$A:$A&lt;=C1923)),0)"),0.0)</f>
        <v>0</v>
      </c>
      <c r="H1923" s="184">
        <f t="shared" si="2"/>
        <v>0</v>
      </c>
      <c r="I1923" s="184">
        <f>IFERROR(__xludf.DUMMYFUNCTION("IFERROR(lookup(9999999999,FILTER('Operações-BR'!Q:Q,'Operações-BR'!$C:$C=A1923,'Operações-BR'!$A:$A&lt;=C1923))/G1923,0)"),0.0)</f>
        <v>0</v>
      </c>
      <c r="J1923" s="185" t="str">
        <f>IFERROR(VLOOKUP(A1923,Ativos!$A$1:$G2000,5,),"")</f>
        <v/>
      </c>
      <c r="K1923" s="185" t="str">
        <f>IFERROR(VLOOKUP(A1923,Ativos!A:H,8,),"")</f>
        <v/>
      </c>
      <c r="L1923" s="186">
        <f t="shared" si="3"/>
        <v>0</v>
      </c>
    </row>
    <row r="1924" ht="21.0" customHeight="1">
      <c r="A1924" s="187"/>
      <c r="B1924" s="187"/>
      <c r="C1924" s="188"/>
      <c r="D1924" s="135"/>
      <c r="E1924" s="189"/>
      <c r="F1924" s="182" t="str">
        <f t="shared" si="1"/>
        <v/>
      </c>
      <c r="G1924" s="183">
        <f>IFERROR(__xludf.DUMMYFUNCTION("IFERROR(lookup(9999999999,FILTER('Operações-BR'!$M:$M,'Operações-BR'!$C:$C=A1924,'Operações-BR'!$A:$A&lt;=C1924)),0)"),0.0)</f>
        <v>0</v>
      </c>
      <c r="H1924" s="184">
        <f t="shared" si="2"/>
        <v>0</v>
      </c>
      <c r="I1924" s="184">
        <f>IFERROR(__xludf.DUMMYFUNCTION("IFERROR(lookup(9999999999,FILTER('Operações-BR'!Q:Q,'Operações-BR'!$C:$C=A1924,'Operações-BR'!$A:$A&lt;=C1924))/G1924,0)"),0.0)</f>
        <v>0</v>
      </c>
      <c r="J1924" s="185" t="str">
        <f>IFERROR(VLOOKUP(A1924,Ativos!$A$1:$G2000,5,),"")</f>
        <v/>
      </c>
      <c r="K1924" s="185" t="str">
        <f>IFERROR(VLOOKUP(A1924,Ativos!A:H,8,),"")</f>
        <v/>
      </c>
      <c r="L1924" s="186">
        <f t="shared" si="3"/>
        <v>0</v>
      </c>
    </row>
    <row r="1925" ht="21.0" customHeight="1">
      <c r="A1925" s="187"/>
      <c r="B1925" s="187"/>
      <c r="C1925" s="188"/>
      <c r="D1925" s="135"/>
      <c r="E1925" s="189"/>
      <c r="F1925" s="182" t="str">
        <f t="shared" si="1"/>
        <v/>
      </c>
      <c r="G1925" s="183">
        <f>IFERROR(__xludf.DUMMYFUNCTION("IFERROR(lookup(9999999999,FILTER('Operações-BR'!$M:$M,'Operações-BR'!$C:$C=A1925,'Operações-BR'!$A:$A&lt;=C1925)),0)"),0.0)</f>
        <v>0</v>
      </c>
      <c r="H1925" s="184">
        <f t="shared" si="2"/>
        <v>0</v>
      </c>
      <c r="I1925" s="184">
        <f>IFERROR(__xludf.DUMMYFUNCTION("IFERROR(lookup(9999999999,FILTER('Operações-BR'!Q:Q,'Operações-BR'!$C:$C=A1925,'Operações-BR'!$A:$A&lt;=C1925))/G1925,0)"),0.0)</f>
        <v>0</v>
      </c>
      <c r="J1925" s="185" t="str">
        <f>IFERROR(VLOOKUP(A1925,Ativos!$A$1:$G2000,5,),"")</f>
        <v/>
      </c>
      <c r="K1925" s="185" t="str">
        <f>IFERROR(VLOOKUP(A1925,Ativos!A:H,8,),"")</f>
        <v/>
      </c>
      <c r="L1925" s="186">
        <f t="shared" si="3"/>
        <v>0</v>
      </c>
    </row>
    <row r="1926" ht="21.0" customHeight="1">
      <c r="A1926" s="187"/>
      <c r="B1926" s="187"/>
      <c r="C1926" s="188"/>
      <c r="D1926" s="135"/>
      <c r="E1926" s="189"/>
      <c r="F1926" s="182" t="str">
        <f t="shared" si="1"/>
        <v/>
      </c>
      <c r="G1926" s="183">
        <f>IFERROR(__xludf.DUMMYFUNCTION("IFERROR(lookup(9999999999,FILTER('Operações-BR'!$M:$M,'Operações-BR'!$C:$C=A1926,'Operações-BR'!$A:$A&lt;=C1926)),0)"),0.0)</f>
        <v>0</v>
      </c>
      <c r="H1926" s="184">
        <f t="shared" si="2"/>
        <v>0</v>
      </c>
      <c r="I1926" s="184">
        <f>IFERROR(__xludf.DUMMYFUNCTION("IFERROR(lookup(9999999999,FILTER('Operações-BR'!Q:Q,'Operações-BR'!$C:$C=A1926,'Operações-BR'!$A:$A&lt;=C1926))/G1926,0)"),0.0)</f>
        <v>0</v>
      </c>
      <c r="J1926" s="185" t="str">
        <f>IFERROR(VLOOKUP(A1926,Ativos!$A$1:$G2000,5,),"")</f>
        <v/>
      </c>
      <c r="K1926" s="185" t="str">
        <f>IFERROR(VLOOKUP(A1926,Ativos!A:H,8,),"")</f>
        <v/>
      </c>
      <c r="L1926" s="186">
        <f t="shared" si="3"/>
        <v>0</v>
      </c>
    </row>
    <row r="1927" ht="21.0" customHeight="1">
      <c r="A1927" s="187"/>
      <c r="B1927" s="187"/>
      <c r="C1927" s="188"/>
      <c r="D1927" s="135"/>
      <c r="E1927" s="189"/>
      <c r="F1927" s="182" t="str">
        <f t="shared" si="1"/>
        <v/>
      </c>
      <c r="G1927" s="183">
        <f>IFERROR(__xludf.DUMMYFUNCTION("IFERROR(lookup(9999999999,FILTER('Operações-BR'!$M:$M,'Operações-BR'!$C:$C=A1927,'Operações-BR'!$A:$A&lt;=C1927)),0)"),0.0)</f>
        <v>0</v>
      </c>
      <c r="H1927" s="184">
        <f t="shared" si="2"/>
        <v>0</v>
      </c>
      <c r="I1927" s="184">
        <f>IFERROR(__xludf.DUMMYFUNCTION("IFERROR(lookup(9999999999,FILTER('Operações-BR'!Q:Q,'Operações-BR'!$C:$C=A1927,'Operações-BR'!$A:$A&lt;=C1927))/G1927,0)"),0.0)</f>
        <v>0</v>
      </c>
      <c r="J1927" s="185" t="str">
        <f>IFERROR(VLOOKUP(A1927,Ativos!$A$1:$G2000,5,),"")</f>
        <v/>
      </c>
      <c r="K1927" s="185" t="str">
        <f>IFERROR(VLOOKUP(A1927,Ativos!A:H,8,),"")</f>
        <v/>
      </c>
      <c r="L1927" s="186">
        <f t="shared" si="3"/>
        <v>0</v>
      </c>
    </row>
    <row r="1928" ht="21.0" customHeight="1">
      <c r="A1928" s="187"/>
      <c r="B1928" s="187"/>
      <c r="C1928" s="188"/>
      <c r="D1928" s="135"/>
      <c r="E1928" s="189"/>
      <c r="F1928" s="182" t="str">
        <f t="shared" si="1"/>
        <v/>
      </c>
      <c r="G1928" s="183">
        <f>IFERROR(__xludf.DUMMYFUNCTION("IFERROR(lookup(9999999999,FILTER('Operações-BR'!$M:$M,'Operações-BR'!$C:$C=A1928,'Operações-BR'!$A:$A&lt;=C1928)),0)"),0.0)</f>
        <v>0</v>
      </c>
      <c r="H1928" s="184">
        <f t="shared" si="2"/>
        <v>0</v>
      </c>
      <c r="I1928" s="184">
        <f>IFERROR(__xludf.DUMMYFUNCTION("IFERROR(lookup(9999999999,FILTER('Operações-BR'!Q:Q,'Operações-BR'!$C:$C=A1928,'Operações-BR'!$A:$A&lt;=C1928))/G1928,0)"),0.0)</f>
        <v>0</v>
      </c>
      <c r="J1928" s="185" t="str">
        <f>IFERROR(VLOOKUP(A1928,Ativos!$A$1:$G2000,5,),"")</f>
        <v/>
      </c>
      <c r="K1928" s="185" t="str">
        <f>IFERROR(VLOOKUP(A1928,Ativos!A:H,8,),"")</f>
        <v/>
      </c>
      <c r="L1928" s="186">
        <f t="shared" si="3"/>
        <v>0</v>
      </c>
    </row>
    <row r="1929" ht="21.0" customHeight="1">
      <c r="A1929" s="187"/>
      <c r="B1929" s="187"/>
      <c r="C1929" s="188"/>
      <c r="D1929" s="135"/>
      <c r="E1929" s="189"/>
      <c r="F1929" s="182" t="str">
        <f t="shared" si="1"/>
        <v/>
      </c>
      <c r="G1929" s="183">
        <f>IFERROR(__xludf.DUMMYFUNCTION("IFERROR(lookup(9999999999,FILTER('Operações-BR'!$M:$M,'Operações-BR'!$C:$C=A1929,'Operações-BR'!$A:$A&lt;=C1929)),0)"),0.0)</f>
        <v>0</v>
      </c>
      <c r="H1929" s="184">
        <f t="shared" si="2"/>
        <v>0</v>
      </c>
      <c r="I1929" s="184">
        <f>IFERROR(__xludf.DUMMYFUNCTION("IFERROR(lookup(9999999999,FILTER('Operações-BR'!Q:Q,'Operações-BR'!$C:$C=A1929,'Operações-BR'!$A:$A&lt;=C1929))/G1929,0)"),0.0)</f>
        <v>0</v>
      </c>
      <c r="J1929" s="185" t="str">
        <f>IFERROR(VLOOKUP(A1929,Ativos!$A$1:$G2000,5,),"")</f>
        <v/>
      </c>
      <c r="K1929" s="185" t="str">
        <f>IFERROR(VLOOKUP(A1929,Ativos!A:H,8,),"")</f>
        <v/>
      </c>
      <c r="L1929" s="186">
        <f t="shared" si="3"/>
        <v>0</v>
      </c>
    </row>
    <row r="1930" ht="21.0" customHeight="1">
      <c r="A1930" s="187"/>
      <c r="B1930" s="187"/>
      <c r="C1930" s="188"/>
      <c r="D1930" s="135"/>
      <c r="E1930" s="189"/>
      <c r="F1930" s="182" t="str">
        <f t="shared" si="1"/>
        <v/>
      </c>
      <c r="G1930" s="183">
        <f>IFERROR(__xludf.DUMMYFUNCTION("IFERROR(lookup(9999999999,FILTER('Operações-BR'!$M:$M,'Operações-BR'!$C:$C=A1930,'Operações-BR'!$A:$A&lt;=C1930)),0)"),0.0)</f>
        <v>0</v>
      </c>
      <c r="H1930" s="184">
        <f t="shared" si="2"/>
        <v>0</v>
      </c>
      <c r="I1930" s="184">
        <f>IFERROR(__xludf.DUMMYFUNCTION("IFERROR(lookup(9999999999,FILTER('Operações-BR'!Q:Q,'Operações-BR'!$C:$C=A1930,'Operações-BR'!$A:$A&lt;=C1930))/G1930,0)"),0.0)</f>
        <v>0</v>
      </c>
      <c r="J1930" s="185" t="str">
        <f>IFERROR(VLOOKUP(A1930,Ativos!$A$1:$G2000,5,),"")</f>
        <v/>
      </c>
      <c r="K1930" s="185" t="str">
        <f>IFERROR(VLOOKUP(A1930,Ativos!A:H,8,),"")</f>
        <v/>
      </c>
      <c r="L1930" s="186">
        <f t="shared" si="3"/>
        <v>0</v>
      </c>
    </row>
    <row r="1931" ht="21.0" customHeight="1">
      <c r="A1931" s="187"/>
      <c r="B1931" s="187"/>
      <c r="C1931" s="188"/>
      <c r="D1931" s="135"/>
      <c r="E1931" s="189"/>
      <c r="F1931" s="182" t="str">
        <f t="shared" si="1"/>
        <v/>
      </c>
      <c r="G1931" s="183">
        <f>IFERROR(__xludf.DUMMYFUNCTION("IFERROR(lookup(9999999999,FILTER('Operações-BR'!$M:$M,'Operações-BR'!$C:$C=A1931,'Operações-BR'!$A:$A&lt;=C1931)),0)"),0.0)</f>
        <v>0</v>
      </c>
      <c r="H1931" s="184">
        <f t="shared" si="2"/>
        <v>0</v>
      </c>
      <c r="I1931" s="184">
        <f>IFERROR(__xludf.DUMMYFUNCTION("IFERROR(lookup(9999999999,FILTER('Operações-BR'!Q:Q,'Operações-BR'!$C:$C=A1931,'Operações-BR'!$A:$A&lt;=C1931))/G1931,0)"),0.0)</f>
        <v>0</v>
      </c>
      <c r="J1931" s="185" t="str">
        <f>IFERROR(VLOOKUP(A1931,Ativos!$A$1:$G2000,5,),"")</f>
        <v/>
      </c>
      <c r="K1931" s="185" t="str">
        <f>IFERROR(VLOOKUP(A1931,Ativos!A:H,8,),"")</f>
        <v/>
      </c>
      <c r="L1931" s="186">
        <f t="shared" si="3"/>
        <v>0</v>
      </c>
    </row>
    <row r="1932" ht="21.0" customHeight="1">
      <c r="A1932" s="187"/>
      <c r="B1932" s="187"/>
      <c r="C1932" s="188"/>
      <c r="D1932" s="135"/>
      <c r="E1932" s="189"/>
      <c r="F1932" s="182" t="str">
        <f t="shared" si="1"/>
        <v/>
      </c>
      <c r="G1932" s="183">
        <f>IFERROR(__xludf.DUMMYFUNCTION("IFERROR(lookup(9999999999,FILTER('Operações-BR'!$M:$M,'Operações-BR'!$C:$C=A1932,'Operações-BR'!$A:$A&lt;=C1932)),0)"),0.0)</f>
        <v>0</v>
      </c>
      <c r="H1932" s="184">
        <f t="shared" si="2"/>
        <v>0</v>
      </c>
      <c r="I1932" s="184">
        <f>IFERROR(__xludf.DUMMYFUNCTION("IFERROR(lookup(9999999999,FILTER('Operações-BR'!Q:Q,'Operações-BR'!$C:$C=A1932,'Operações-BR'!$A:$A&lt;=C1932))/G1932,0)"),0.0)</f>
        <v>0</v>
      </c>
      <c r="J1932" s="185" t="str">
        <f>IFERROR(VLOOKUP(A1932,Ativos!$A$1:$G2000,5,),"")</f>
        <v/>
      </c>
      <c r="K1932" s="185" t="str">
        <f>IFERROR(VLOOKUP(A1932,Ativos!A:H,8,),"")</f>
        <v/>
      </c>
      <c r="L1932" s="186">
        <f t="shared" si="3"/>
        <v>0</v>
      </c>
    </row>
    <row r="1933" ht="21.0" customHeight="1">
      <c r="A1933" s="187"/>
      <c r="B1933" s="187"/>
      <c r="C1933" s="188"/>
      <c r="D1933" s="135"/>
      <c r="E1933" s="189"/>
      <c r="F1933" s="182" t="str">
        <f t="shared" si="1"/>
        <v/>
      </c>
      <c r="G1933" s="183">
        <f>IFERROR(__xludf.DUMMYFUNCTION("IFERROR(lookup(9999999999,FILTER('Operações-BR'!$M:$M,'Operações-BR'!$C:$C=A1933,'Operações-BR'!$A:$A&lt;=C1933)),0)"),0.0)</f>
        <v>0</v>
      </c>
      <c r="H1933" s="184">
        <f t="shared" si="2"/>
        <v>0</v>
      </c>
      <c r="I1933" s="184">
        <f>IFERROR(__xludf.DUMMYFUNCTION("IFERROR(lookup(9999999999,FILTER('Operações-BR'!Q:Q,'Operações-BR'!$C:$C=A1933,'Operações-BR'!$A:$A&lt;=C1933))/G1933,0)"),0.0)</f>
        <v>0</v>
      </c>
      <c r="J1933" s="185" t="str">
        <f>IFERROR(VLOOKUP(A1933,Ativos!$A$1:$G2000,5,),"")</f>
        <v/>
      </c>
      <c r="K1933" s="185" t="str">
        <f>IFERROR(VLOOKUP(A1933,Ativos!A:H,8,),"")</f>
        <v/>
      </c>
      <c r="L1933" s="186">
        <f t="shared" si="3"/>
        <v>0</v>
      </c>
    </row>
    <row r="1934" ht="21.0" customHeight="1">
      <c r="A1934" s="187"/>
      <c r="B1934" s="187"/>
      <c r="C1934" s="188"/>
      <c r="D1934" s="135"/>
      <c r="E1934" s="189"/>
      <c r="F1934" s="182" t="str">
        <f t="shared" si="1"/>
        <v/>
      </c>
      <c r="G1934" s="183">
        <f>IFERROR(__xludf.DUMMYFUNCTION("IFERROR(lookup(9999999999,FILTER('Operações-BR'!$M:$M,'Operações-BR'!$C:$C=A1934,'Operações-BR'!$A:$A&lt;=C1934)),0)"),0.0)</f>
        <v>0</v>
      </c>
      <c r="H1934" s="184">
        <f t="shared" si="2"/>
        <v>0</v>
      </c>
      <c r="I1934" s="184">
        <f>IFERROR(__xludf.DUMMYFUNCTION("IFERROR(lookup(9999999999,FILTER('Operações-BR'!Q:Q,'Operações-BR'!$C:$C=A1934,'Operações-BR'!$A:$A&lt;=C1934))/G1934,0)"),0.0)</f>
        <v>0</v>
      </c>
      <c r="J1934" s="185" t="str">
        <f>IFERROR(VLOOKUP(A1934,Ativos!$A$1:$G2000,5,),"")</f>
        <v/>
      </c>
      <c r="K1934" s="185" t="str">
        <f>IFERROR(VLOOKUP(A1934,Ativos!A:H,8,),"")</f>
        <v/>
      </c>
      <c r="L1934" s="186">
        <f t="shared" si="3"/>
        <v>0</v>
      </c>
    </row>
    <row r="1935" ht="21.0" customHeight="1">
      <c r="A1935" s="187"/>
      <c r="B1935" s="187"/>
      <c r="C1935" s="188"/>
      <c r="D1935" s="135"/>
      <c r="E1935" s="189"/>
      <c r="F1935" s="182" t="str">
        <f t="shared" si="1"/>
        <v/>
      </c>
      <c r="G1935" s="183">
        <f>IFERROR(__xludf.DUMMYFUNCTION("IFERROR(lookup(9999999999,FILTER('Operações-BR'!$M:$M,'Operações-BR'!$C:$C=A1935,'Operações-BR'!$A:$A&lt;=C1935)),0)"),0.0)</f>
        <v>0</v>
      </c>
      <c r="H1935" s="184">
        <f t="shared" si="2"/>
        <v>0</v>
      </c>
      <c r="I1935" s="184">
        <f>IFERROR(__xludf.DUMMYFUNCTION("IFERROR(lookup(9999999999,FILTER('Operações-BR'!Q:Q,'Operações-BR'!$C:$C=A1935,'Operações-BR'!$A:$A&lt;=C1935))/G1935,0)"),0.0)</f>
        <v>0</v>
      </c>
      <c r="J1935" s="185" t="str">
        <f>IFERROR(VLOOKUP(A1935,Ativos!$A$1:$G2000,5,),"")</f>
        <v/>
      </c>
      <c r="K1935" s="185" t="str">
        <f>IFERROR(VLOOKUP(A1935,Ativos!A:H,8,),"")</f>
        <v/>
      </c>
      <c r="L1935" s="186">
        <f t="shared" si="3"/>
        <v>0</v>
      </c>
    </row>
    <row r="1936" ht="21.0" customHeight="1">
      <c r="A1936" s="187"/>
      <c r="B1936" s="187"/>
      <c r="C1936" s="188"/>
      <c r="D1936" s="135"/>
      <c r="E1936" s="189"/>
      <c r="F1936" s="182" t="str">
        <f t="shared" si="1"/>
        <v/>
      </c>
      <c r="G1936" s="183">
        <f>IFERROR(__xludf.DUMMYFUNCTION("IFERROR(lookup(9999999999,FILTER('Operações-BR'!$M:$M,'Operações-BR'!$C:$C=A1936,'Operações-BR'!$A:$A&lt;=C1936)),0)"),0.0)</f>
        <v>0</v>
      </c>
      <c r="H1936" s="184">
        <f t="shared" si="2"/>
        <v>0</v>
      </c>
      <c r="I1936" s="184">
        <f>IFERROR(__xludf.DUMMYFUNCTION("IFERROR(lookup(9999999999,FILTER('Operações-BR'!Q:Q,'Operações-BR'!$C:$C=A1936,'Operações-BR'!$A:$A&lt;=C1936))/G1936,0)"),0.0)</f>
        <v>0</v>
      </c>
      <c r="J1936" s="185" t="str">
        <f>IFERROR(VLOOKUP(A1936,Ativos!$A$1:$G2000,5,),"")</f>
        <v/>
      </c>
      <c r="K1936" s="185" t="str">
        <f>IFERROR(VLOOKUP(A1936,Ativos!A:H,8,),"")</f>
        <v/>
      </c>
      <c r="L1936" s="186">
        <f t="shared" si="3"/>
        <v>0</v>
      </c>
    </row>
    <row r="1937" ht="21.0" customHeight="1">
      <c r="A1937" s="187"/>
      <c r="B1937" s="187"/>
      <c r="C1937" s="188"/>
      <c r="D1937" s="135"/>
      <c r="E1937" s="189"/>
      <c r="F1937" s="182" t="str">
        <f t="shared" si="1"/>
        <v/>
      </c>
      <c r="G1937" s="183">
        <f>IFERROR(__xludf.DUMMYFUNCTION("IFERROR(lookup(9999999999,FILTER('Operações-BR'!$M:$M,'Operações-BR'!$C:$C=A1937,'Operações-BR'!$A:$A&lt;=C1937)),0)"),0.0)</f>
        <v>0</v>
      </c>
      <c r="H1937" s="184">
        <f t="shared" si="2"/>
        <v>0</v>
      </c>
      <c r="I1937" s="184">
        <f>IFERROR(__xludf.DUMMYFUNCTION("IFERROR(lookup(9999999999,FILTER('Operações-BR'!Q:Q,'Operações-BR'!$C:$C=A1937,'Operações-BR'!$A:$A&lt;=C1937))/G1937,0)"),0.0)</f>
        <v>0</v>
      </c>
      <c r="J1937" s="185" t="str">
        <f>IFERROR(VLOOKUP(A1937,Ativos!$A$1:$G2000,5,),"")</f>
        <v/>
      </c>
      <c r="K1937" s="185" t="str">
        <f>IFERROR(VLOOKUP(A1937,Ativos!A:H,8,),"")</f>
        <v/>
      </c>
      <c r="L1937" s="186">
        <f t="shared" si="3"/>
        <v>0</v>
      </c>
    </row>
    <row r="1938" ht="21.0" customHeight="1">
      <c r="A1938" s="187"/>
      <c r="B1938" s="187"/>
      <c r="C1938" s="188"/>
      <c r="D1938" s="135"/>
      <c r="E1938" s="189"/>
      <c r="F1938" s="182" t="str">
        <f t="shared" si="1"/>
        <v/>
      </c>
      <c r="G1938" s="183">
        <f>IFERROR(__xludf.DUMMYFUNCTION("IFERROR(lookup(9999999999,FILTER('Operações-BR'!$M:$M,'Operações-BR'!$C:$C=A1938,'Operações-BR'!$A:$A&lt;=C1938)),0)"),0.0)</f>
        <v>0</v>
      </c>
      <c r="H1938" s="184">
        <f t="shared" si="2"/>
        <v>0</v>
      </c>
      <c r="I1938" s="184">
        <f>IFERROR(__xludf.DUMMYFUNCTION("IFERROR(lookup(9999999999,FILTER('Operações-BR'!Q:Q,'Operações-BR'!$C:$C=A1938,'Operações-BR'!$A:$A&lt;=C1938))/G1938,0)"),0.0)</f>
        <v>0</v>
      </c>
      <c r="J1938" s="185" t="str">
        <f>IFERROR(VLOOKUP(A1938,Ativos!$A$1:$G2000,5,),"")</f>
        <v/>
      </c>
      <c r="K1938" s="185" t="str">
        <f>IFERROR(VLOOKUP(A1938,Ativos!A:H,8,),"")</f>
        <v/>
      </c>
      <c r="L1938" s="186">
        <f t="shared" si="3"/>
        <v>0</v>
      </c>
    </row>
    <row r="1939" ht="21.0" customHeight="1">
      <c r="A1939" s="187"/>
      <c r="B1939" s="187"/>
      <c r="C1939" s="188"/>
      <c r="D1939" s="135"/>
      <c r="E1939" s="189"/>
      <c r="F1939" s="182" t="str">
        <f t="shared" si="1"/>
        <v/>
      </c>
      <c r="G1939" s="183">
        <f>IFERROR(__xludf.DUMMYFUNCTION("IFERROR(lookup(9999999999,FILTER('Operações-BR'!$M:$M,'Operações-BR'!$C:$C=A1939,'Operações-BR'!$A:$A&lt;=C1939)),0)"),0.0)</f>
        <v>0</v>
      </c>
      <c r="H1939" s="184">
        <f t="shared" si="2"/>
        <v>0</v>
      </c>
      <c r="I1939" s="184">
        <f>IFERROR(__xludf.DUMMYFUNCTION("IFERROR(lookup(9999999999,FILTER('Operações-BR'!Q:Q,'Operações-BR'!$C:$C=A1939,'Operações-BR'!$A:$A&lt;=C1939))/G1939,0)"),0.0)</f>
        <v>0</v>
      </c>
      <c r="J1939" s="185" t="str">
        <f>IFERROR(VLOOKUP(A1939,Ativos!$A$1:$G2000,5,),"")</f>
        <v/>
      </c>
      <c r="K1939" s="185" t="str">
        <f>IFERROR(VLOOKUP(A1939,Ativos!A:H,8,),"")</f>
        <v/>
      </c>
      <c r="L1939" s="186">
        <f t="shared" si="3"/>
        <v>0</v>
      </c>
    </row>
    <row r="1940" ht="21.0" customHeight="1">
      <c r="A1940" s="187"/>
      <c r="B1940" s="187"/>
      <c r="C1940" s="188"/>
      <c r="D1940" s="135"/>
      <c r="E1940" s="189"/>
      <c r="F1940" s="182" t="str">
        <f t="shared" si="1"/>
        <v/>
      </c>
      <c r="G1940" s="183">
        <f>IFERROR(__xludf.DUMMYFUNCTION("IFERROR(lookup(9999999999,FILTER('Operações-BR'!$M:$M,'Operações-BR'!$C:$C=A1940,'Operações-BR'!$A:$A&lt;=C1940)),0)"),0.0)</f>
        <v>0</v>
      </c>
      <c r="H1940" s="184">
        <f t="shared" si="2"/>
        <v>0</v>
      </c>
      <c r="I1940" s="184">
        <f>IFERROR(__xludf.DUMMYFUNCTION("IFERROR(lookup(9999999999,FILTER('Operações-BR'!Q:Q,'Operações-BR'!$C:$C=A1940,'Operações-BR'!$A:$A&lt;=C1940))/G1940,0)"),0.0)</f>
        <v>0</v>
      </c>
      <c r="J1940" s="185" t="str">
        <f>IFERROR(VLOOKUP(A1940,Ativos!$A$1:$G2000,5,),"")</f>
        <v/>
      </c>
      <c r="K1940" s="185" t="str">
        <f>IFERROR(VLOOKUP(A1940,Ativos!A:H,8,),"")</f>
        <v/>
      </c>
      <c r="L1940" s="186">
        <f t="shared" si="3"/>
        <v>0</v>
      </c>
    </row>
    <row r="1941" ht="21.0" customHeight="1">
      <c r="A1941" s="187"/>
      <c r="B1941" s="187"/>
      <c r="C1941" s="188"/>
      <c r="D1941" s="135"/>
      <c r="E1941" s="189"/>
      <c r="F1941" s="182" t="str">
        <f t="shared" si="1"/>
        <v/>
      </c>
      <c r="G1941" s="183">
        <f>IFERROR(__xludf.DUMMYFUNCTION("IFERROR(lookup(9999999999,FILTER('Operações-BR'!$M:$M,'Operações-BR'!$C:$C=A1941,'Operações-BR'!$A:$A&lt;=C1941)),0)"),0.0)</f>
        <v>0</v>
      </c>
      <c r="H1941" s="184">
        <f t="shared" si="2"/>
        <v>0</v>
      </c>
      <c r="I1941" s="184">
        <f>IFERROR(__xludf.DUMMYFUNCTION("IFERROR(lookup(9999999999,FILTER('Operações-BR'!Q:Q,'Operações-BR'!$C:$C=A1941,'Operações-BR'!$A:$A&lt;=C1941))/G1941,0)"),0.0)</f>
        <v>0</v>
      </c>
      <c r="J1941" s="185" t="str">
        <f>IFERROR(VLOOKUP(A1941,Ativos!$A$1:$G2000,5,),"")</f>
        <v/>
      </c>
      <c r="K1941" s="185" t="str">
        <f>IFERROR(VLOOKUP(A1941,Ativos!A:H,8,),"")</f>
        <v/>
      </c>
      <c r="L1941" s="186">
        <f t="shared" si="3"/>
        <v>0</v>
      </c>
    </row>
    <row r="1942" ht="21.0" customHeight="1">
      <c r="A1942" s="187"/>
      <c r="B1942" s="187"/>
      <c r="C1942" s="188"/>
      <c r="D1942" s="135"/>
      <c r="E1942" s="189"/>
      <c r="F1942" s="182" t="str">
        <f t="shared" si="1"/>
        <v/>
      </c>
      <c r="G1942" s="183">
        <f>IFERROR(__xludf.DUMMYFUNCTION("IFERROR(lookup(9999999999,FILTER('Operações-BR'!$M:$M,'Operações-BR'!$C:$C=A1942,'Operações-BR'!$A:$A&lt;=C1942)),0)"),0.0)</f>
        <v>0</v>
      </c>
      <c r="H1942" s="184">
        <f t="shared" si="2"/>
        <v>0</v>
      </c>
      <c r="I1942" s="184">
        <f>IFERROR(__xludf.DUMMYFUNCTION("IFERROR(lookup(9999999999,FILTER('Operações-BR'!Q:Q,'Operações-BR'!$C:$C=A1942,'Operações-BR'!$A:$A&lt;=C1942))/G1942,0)"),0.0)</f>
        <v>0</v>
      </c>
      <c r="J1942" s="185" t="str">
        <f>IFERROR(VLOOKUP(A1942,Ativos!$A$1:$G2000,5,),"")</f>
        <v/>
      </c>
      <c r="K1942" s="185" t="str">
        <f>IFERROR(VLOOKUP(A1942,Ativos!A:H,8,),"")</f>
        <v/>
      </c>
      <c r="L1942" s="186">
        <f t="shared" si="3"/>
        <v>0</v>
      </c>
    </row>
    <row r="1943" ht="21.0" customHeight="1">
      <c r="A1943" s="187"/>
      <c r="B1943" s="187"/>
      <c r="C1943" s="188"/>
      <c r="D1943" s="135"/>
      <c r="E1943" s="189"/>
      <c r="F1943" s="182" t="str">
        <f t="shared" si="1"/>
        <v/>
      </c>
      <c r="G1943" s="183">
        <f>IFERROR(__xludf.DUMMYFUNCTION("IFERROR(lookup(9999999999,FILTER('Operações-BR'!$M:$M,'Operações-BR'!$C:$C=A1943,'Operações-BR'!$A:$A&lt;=C1943)),0)"),0.0)</f>
        <v>0</v>
      </c>
      <c r="H1943" s="184">
        <f t="shared" si="2"/>
        <v>0</v>
      </c>
      <c r="I1943" s="184">
        <f>IFERROR(__xludf.DUMMYFUNCTION("IFERROR(lookup(9999999999,FILTER('Operações-BR'!Q:Q,'Operações-BR'!$C:$C=A1943,'Operações-BR'!$A:$A&lt;=C1943))/G1943,0)"),0.0)</f>
        <v>0</v>
      </c>
      <c r="J1943" s="185" t="str">
        <f>IFERROR(VLOOKUP(A1943,Ativos!$A$1:$G2000,5,),"")</f>
        <v/>
      </c>
      <c r="K1943" s="185" t="str">
        <f>IFERROR(VLOOKUP(A1943,Ativos!A:H,8,),"")</f>
        <v/>
      </c>
      <c r="L1943" s="186">
        <f t="shared" si="3"/>
        <v>0</v>
      </c>
    </row>
    <row r="1944" ht="21.0" customHeight="1">
      <c r="A1944" s="187"/>
      <c r="B1944" s="187"/>
      <c r="C1944" s="188"/>
      <c r="D1944" s="135"/>
      <c r="E1944" s="189"/>
      <c r="F1944" s="182" t="str">
        <f t="shared" si="1"/>
        <v/>
      </c>
      <c r="G1944" s="183">
        <f>IFERROR(__xludf.DUMMYFUNCTION("IFERROR(lookup(9999999999,FILTER('Operações-BR'!$M:$M,'Operações-BR'!$C:$C=A1944,'Operações-BR'!$A:$A&lt;=C1944)),0)"),0.0)</f>
        <v>0</v>
      </c>
      <c r="H1944" s="184">
        <f t="shared" si="2"/>
        <v>0</v>
      </c>
      <c r="I1944" s="184">
        <f>IFERROR(__xludf.DUMMYFUNCTION("IFERROR(lookup(9999999999,FILTER('Operações-BR'!Q:Q,'Operações-BR'!$C:$C=A1944,'Operações-BR'!$A:$A&lt;=C1944))/G1944,0)"),0.0)</f>
        <v>0</v>
      </c>
      <c r="J1944" s="185" t="str">
        <f>IFERROR(VLOOKUP(A1944,Ativos!$A$1:$G2000,5,),"")</f>
        <v/>
      </c>
      <c r="K1944" s="185" t="str">
        <f>IFERROR(VLOOKUP(A1944,Ativos!A:H,8,),"")</f>
        <v/>
      </c>
      <c r="L1944" s="186">
        <f t="shared" si="3"/>
        <v>0</v>
      </c>
    </row>
    <row r="1945" ht="21.0" customHeight="1">
      <c r="A1945" s="187"/>
      <c r="B1945" s="187"/>
      <c r="C1945" s="188"/>
      <c r="D1945" s="135"/>
      <c r="E1945" s="189"/>
      <c r="F1945" s="182" t="str">
        <f t="shared" si="1"/>
        <v/>
      </c>
      <c r="G1945" s="183">
        <f>IFERROR(__xludf.DUMMYFUNCTION("IFERROR(lookup(9999999999,FILTER('Operações-BR'!$M:$M,'Operações-BR'!$C:$C=A1945,'Operações-BR'!$A:$A&lt;=C1945)),0)"),0.0)</f>
        <v>0</v>
      </c>
      <c r="H1945" s="184">
        <f t="shared" si="2"/>
        <v>0</v>
      </c>
      <c r="I1945" s="184">
        <f>IFERROR(__xludf.DUMMYFUNCTION("IFERROR(lookup(9999999999,FILTER('Operações-BR'!Q:Q,'Operações-BR'!$C:$C=A1945,'Operações-BR'!$A:$A&lt;=C1945))/G1945,0)"),0.0)</f>
        <v>0</v>
      </c>
      <c r="J1945" s="185" t="str">
        <f>IFERROR(VLOOKUP(A1945,Ativos!$A$1:$G2000,5,),"")</f>
        <v/>
      </c>
      <c r="K1945" s="185" t="str">
        <f>IFERROR(VLOOKUP(A1945,Ativos!A:H,8,),"")</f>
        <v/>
      </c>
      <c r="L1945" s="186">
        <f t="shared" si="3"/>
        <v>0</v>
      </c>
    </row>
    <row r="1946" ht="21.0" customHeight="1">
      <c r="A1946" s="187"/>
      <c r="B1946" s="187"/>
      <c r="C1946" s="188"/>
      <c r="D1946" s="135"/>
      <c r="E1946" s="189"/>
      <c r="F1946" s="182" t="str">
        <f t="shared" si="1"/>
        <v/>
      </c>
      <c r="G1946" s="183">
        <f>IFERROR(__xludf.DUMMYFUNCTION("IFERROR(lookup(9999999999,FILTER('Operações-BR'!$M:$M,'Operações-BR'!$C:$C=A1946,'Operações-BR'!$A:$A&lt;=C1946)),0)"),0.0)</f>
        <v>0</v>
      </c>
      <c r="H1946" s="184">
        <f t="shared" si="2"/>
        <v>0</v>
      </c>
      <c r="I1946" s="184">
        <f>IFERROR(__xludf.DUMMYFUNCTION("IFERROR(lookup(9999999999,FILTER('Operações-BR'!Q:Q,'Operações-BR'!$C:$C=A1946,'Operações-BR'!$A:$A&lt;=C1946))/G1946,0)"),0.0)</f>
        <v>0</v>
      </c>
      <c r="J1946" s="185" t="str">
        <f>IFERROR(VLOOKUP(A1946,Ativos!$A$1:$G2000,5,),"")</f>
        <v/>
      </c>
      <c r="K1946" s="185" t="str">
        <f>IFERROR(VLOOKUP(A1946,Ativos!A:H,8,),"")</f>
        <v/>
      </c>
      <c r="L1946" s="186">
        <f t="shared" si="3"/>
        <v>0</v>
      </c>
    </row>
    <row r="1947" ht="21.0" customHeight="1">
      <c r="A1947" s="187"/>
      <c r="B1947" s="187"/>
      <c r="C1947" s="188"/>
      <c r="D1947" s="135"/>
      <c r="E1947" s="189"/>
      <c r="F1947" s="182" t="str">
        <f t="shared" si="1"/>
        <v/>
      </c>
      <c r="G1947" s="183">
        <f>IFERROR(__xludf.DUMMYFUNCTION("IFERROR(lookup(9999999999,FILTER('Operações-BR'!$M:$M,'Operações-BR'!$C:$C=A1947,'Operações-BR'!$A:$A&lt;=C1947)),0)"),0.0)</f>
        <v>0</v>
      </c>
      <c r="H1947" s="184">
        <f t="shared" si="2"/>
        <v>0</v>
      </c>
      <c r="I1947" s="184">
        <f>IFERROR(__xludf.DUMMYFUNCTION("IFERROR(lookup(9999999999,FILTER('Operações-BR'!Q:Q,'Operações-BR'!$C:$C=A1947,'Operações-BR'!$A:$A&lt;=C1947))/G1947,0)"),0.0)</f>
        <v>0</v>
      </c>
      <c r="J1947" s="185" t="str">
        <f>IFERROR(VLOOKUP(A1947,Ativos!$A$1:$G2000,5,),"")</f>
        <v/>
      </c>
      <c r="K1947" s="185" t="str">
        <f>IFERROR(VLOOKUP(A1947,Ativos!A:H,8,),"")</f>
        <v/>
      </c>
      <c r="L1947" s="186">
        <f t="shared" si="3"/>
        <v>0</v>
      </c>
    </row>
    <row r="1948" ht="21.0" customHeight="1">
      <c r="A1948" s="187"/>
      <c r="B1948" s="187"/>
      <c r="C1948" s="188"/>
      <c r="D1948" s="135"/>
      <c r="E1948" s="189"/>
      <c r="F1948" s="182" t="str">
        <f t="shared" si="1"/>
        <v/>
      </c>
      <c r="G1948" s="183">
        <f>IFERROR(__xludf.DUMMYFUNCTION("IFERROR(lookup(9999999999,FILTER('Operações-BR'!$M:$M,'Operações-BR'!$C:$C=A1948,'Operações-BR'!$A:$A&lt;=C1948)),0)"),0.0)</f>
        <v>0</v>
      </c>
      <c r="H1948" s="184">
        <f t="shared" si="2"/>
        <v>0</v>
      </c>
      <c r="I1948" s="184">
        <f>IFERROR(__xludf.DUMMYFUNCTION("IFERROR(lookup(9999999999,FILTER('Operações-BR'!Q:Q,'Operações-BR'!$C:$C=A1948,'Operações-BR'!$A:$A&lt;=C1948))/G1948,0)"),0.0)</f>
        <v>0</v>
      </c>
      <c r="J1948" s="185" t="str">
        <f>IFERROR(VLOOKUP(A1948,Ativos!$A$1:$G2000,5,),"")</f>
        <v/>
      </c>
      <c r="K1948" s="185" t="str">
        <f>IFERROR(VLOOKUP(A1948,Ativos!A:H,8,),"")</f>
        <v/>
      </c>
      <c r="L1948" s="186">
        <f t="shared" si="3"/>
        <v>0</v>
      </c>
    </row>
    <row r="1949" ht="21.0" customHeight="1">
      <c r="A1949" s="187"/>
      <c r="B1949" s="187"/>
      <c r="C1949" s="188"/>
      <c r="D1949" s="135"/>
      <c r="E1949" s="189"/>
      <c r="F1949" s="182" t="str">
        <f t="shared" si="1"/>
        <v/>
      </c>
      <c r="G1949" s="183">
        <f>IFERROR(__xludf.DUMMYFUNCTION("IFERROR(lookup(9999999999,FILTER('Operações-BR'!$M:$M,'Operações-BR'!$C:$C=A1949,'Operações-BR'!$A:$A&lt;=C1949)),0)"),0.0)</f>
        <v>0</v>
      </c>
      <c r="H1949" s="184">
        <f t="shared" si="2"/>
        <v>0</v>
      </c>
      <c r="I1949" s="184">
        <f>IFERROR(__xludf.DUMMYFUNCTION("IFERROR(lookup(9999999999,FILTER('Operações-BR'!Q:Q,'Operações-BR'!$C:$C=A1949,'Operações-BR'!$A:$A&lt;=C1949))/G1949,0)"),0.0)</f>
        <v>0</v>
      </c>
      <c r="J1949" s="185" t="str">
        <f>IFERROR(VLOOKUP(A1949,Ativos!$A$1:$G2000,5,),"")</f>
        <v/>
      </c>
      <c r="K1949" s="185" t="str">
        <f>IFERROR(VLOOKUP(A1949,Ativos!A:H,8,),"")</f>
        <v/>
      </c>
      <c r="L1949" s="186">
        <f t="shared" si="3"/>
        <v>0</v>
      </c>
    </row>
    <row r="1950" ht="21.0" customHeight="1">
      <c r="A1950" s="187"/>
      <c r="B1950" s="187"/>
      <c r="C1950" s="188"/>
      <c r="D1950" s="135"/>
      <c r="E1950" s="189"/>
      <c r="F1950" s="182" t="str">
        <f t="shared" si="1"/>
        <v/>
      </c>
      <c r="G1950" s="183">
        <f>IFERROR(__xludf.DUMMYFUNCTION("IFERROR(lookup(9999999999,FILTER('Operações-BR'!$M:$M,'Operações-BR'!$C:$C=A1950,'Operações-BR'!$A:$A&lt;=C1950)),0)"),0.0)</f>
        <v>0</v>
      </c>
      <c r="H1950" s="184">
        <f t="shared" si="2"/>
        <v>0</v>
      </c>
      <c r="I1950" s="184">
        <f>IFERROR(__xludf.DUMMYFUNCTION("IFERROR(lookup(9999999999,FILTER('Operações-BR'!Q:Q,'Operações-BR'!$C:$C=A1950,'Operações-BR'!$A:$A&lt;=C1950))/G1950,0)"),0.0)</f>
        <v>0</v>
      </c>
      <c r="J1950" s="185" t="str">
        <f>IFERROR(VLOOKUP(A1950,Ativos!$A$1:$G2000,5,),"")</f>
        <v/>
      </c>
      <c r="K1950" s="185" t="str">
        <f>IFERROR(VLOOKUP(A1950,Ativos!A:H,8,),"")</f>
        <v/>
      </c>
      <c r="L1950" s="186">
        <f t="shared" si="3"/>
        <v>0</v>
      </c>
    </row>
    <row r="1951" ht="21.0" customHeight="1">
      <c r="A1951" s="187"/>
      <c r="B1951" s="187"/>
      <c r="C1951" s="188"/>
      <c r="D1951" s="135"/>
      <c r="E1951" s="189"/>
      <c r="F1951" s="182" t="str">
        <f t="shared" si="1"/>
        <v/>
      </c>
      <c r="G1951" s="183">
        <f>IFERROR(__xludf.DUMMYFUNCTION("IFERROR(lookup(9999999999,FILTER('Operações-BR'!$M:$M,'Operações-BR'!$C:$C=A1951,'Operações-BR'!$A:$A&lt;=C1951)),0)"),0.0)</f>
        <v>0</v>
      </c>
      <c r="H1951" s="184">
        <f t="shared" si="2"/>
        <v>0</v>
      </c>
      <c r="I1951" s="184">
        <f>IFERROR(__xludf.DUMMYFUNCTION("IFERROR(lookup(9999999999,FILTER('Operações-BR'!Q:Q,'Operações-BR'!$C:$C=A1951,'Operações-BR'!$A:$A&lt;=C1951))/G1951,0)"),0.0)</f>
        <v>0</v>
      </c>
      <c r="J1951" s="185" t="str">
        <f>IFERROR(VLOOKUP(A1951,Ativos!$A$1:$G2000,5,),"")</f>
        <v/>
      </c>
      <c r="K1951" s="185" t="str">
        <f>IFERROR(VLOOKUP(A1951,Ativos!A:H,8,),"")</f>
        <v/>
      </c>
      <c r="L1951" s="186">
        <f t="shared" si="3"/>
        <v>0</v>
      </c>
    </row>
    <row r="1952" ht="21.0" customHeight="1">
      <c r="A1952" s="187"/>
      <c r="B1952" s="187"/>
      <c r="C1952" s="188"/>
      <c r="D1952" s="135"/>
      <c r="E1952" s="189"/>
      <c r="F1952" s="182" t="str">
        <f t="shared" si="1"/>
        <v/>
      </c>
      <c r="G1952" s="183">
        <f>IFERROR(__xludf.DUMMYFUNCTION("IFERROR(lookup(9999999999,FILTER('Operações-BR'!$M:$M,'Operações-BR'!$C:$C=A1952,'Operações-BR'!$A:$A&lt;=C1952)),0)"),0.0)</f>
        <v>0</v>
      </c>
      <c r="H1952" s="184">
        <f t="shared" si="2"/>
        <v>0</v>
      </c>
      <c r="I1952" s="184">
        <f>IFERROR(__xludf.DUMMYFUNCTION("IFERROR(lookup(9999999999,FILTER('Operações-BR'!Q:Q,'Operações-BR'!$C:$C=A1952,'Operações-BR'!$A:$A&lt;=C1952))/G1952,0)"),0.0)</f>
        <v>0</v>
      </c>
      <c r="J1952" s="185" t="str">
        <f>IFERROR(VLOOKUP(A1952,Ativos!$A$1:$G2000,5,),"")</f>
        <v/>
      </c>
      <c r="K1952" s="185" t="str">
        <f>IFERROR(VLOOKUP(A1952,Ativos!A:H,8,),"")</f>
        <v/>
      </c>
      <c r="L1952" s="186">
        <f t="shared" si="3"/>
        <v>0</v>
      </c>
    </row>
    <row r="1953" ht="21.0" customHeight="1">
      <c r="A1953" s="187"/>
      <c r="B1953" s="187"/>
      <c r="C1953" s="188"/>
      <c r="D1953" s="135"/>
      <c r="E1953" s="189"/>
      <c r="F1953" s="182" t="str">
        <f t="shared" si="1"/>
        <v/>
      </c>
      <c r="G1953" s="183">
        <f>IFERROR(__xludf.DUMMYFUNCTION("IFERROR(lookup(9999999999,FILTER('Operações-BR'!$M:$M,'Operações-BR'!$C:$C=A1953,'Operações-BR'!$A:$A&lt;=C1953)),0)"),0.0)</f>
        <v>0</v>
      </c>
      <c r="H1953" s="184">
        <f t="shared" si="2"/>
        <v>0</v>
      </c>
      <c r="I1953" s="184">
        <f>IFERROR(__xludf.DUMMYFUNCTION("IFERROR(lookup(9999999999,FILTER('Operações-BR'!Q:Q,'Operações-BR'!$C:$C=A1953,'Operações-BR'!$A:$A&lt;=C1953))/G1953,0)"),0.0)</f>
        <v>0</v>
      </c>
      <c r="J1953" s="185" t="str">
        <f>IFERROR(VLOOKUP(A1953,Ativos!$A$1:$G2000,5,),"")</f>
        <v/>
      </c>
      <c r="K1953" s="185" t="str">
        <f>IFERROR(VLOOKUP(A1953,Ativos!A:H,8,),"")</f>
        <v/>
      </c>
      <c r="L1953" s="186">
        <f t="shared" si="3"/>
        <v>0</v>
      </c>
    </row>
    <row r="1954" ht="21.0" customHeight="1">
      <c r="A1954" s="187"/>
      <c r="B1954" s="187"/>
      <c r="C1954" s="188"/>
      <c r="D1954" s="135"/>
      <c r="E1954" s="189"/>
      <c r="F1954" s="182" t="str">
        <f t="shared" si="1"/>
        <v/>
      </c>
      <c r="G1954" s="183">
        <f>IFERROR(__xludf.DUMMYFUNCTION("IFERROR(lookup(9999999999,FILTER('Operações-BR'!$M:$M,'Operações-BR'!$C:$C=A1954,'Operações-BR'!$A:$A&lt;=C1954)),0)"),0.0)</f>
        <v>0</v>
      </c>
      <c r="H1954" s="184">
        <f t="shared" si="2"/>
        <v>0</v>
      </c>
      <c r="I1954" s="184">
        <f>IFERROR(__xludf.DUMMYFUNCTION("IFERROR(lookup(9999999999,FILTER('Operações-BR'!Q:Q,'Operações-BR'!$C:$C=A1954,'Operações-BR'!$A:$A&lt;=C1954))/G1954,0)"),0.0)</f>
        <v>0</v>
      </c>
      <c r="J1954" s="185" t="str">
        <f>IFERROR(VLOOKUP(A1954,Ativos!$A$1:$G2000,5,),"")</f>
        <v/>
      </c>
      <c r="K1954" s="185" t="str">
        <f>IFERROR(VLOOKUP(A1954,Ativos!A:H,8,),"")</f>
        <v/>
      </c>
      <c r="L1954" s="186">
        <f t="shared" si="3"/>
        <v>0</v>
      </c>
    </row>
    <row r="1955" ht="21.0" customHeight="1">
      <c r="A1955" s="187"/>
      <c r="B1955" s="187"/>
      <c r="C1955" s="188"/>
      <c r="D1955" s="135"/>
      <c r="E1955" s="189"/>
      <c r="F1955" s="182" t="str">
        <f t="shared" si="1"/>
        <v/>
      </c>
      <c r="G1955" s="183">
        <f>IFERROR(__xludf.DUMMYFUNCTION("IFERROR(lookup(9999999999,FILTER('Operações-BR'!$M:$M,'Operações-BR'!$C:$C=A1955,'Operações-BR'!$A:$A&lt;=C1955)),0)"),0.0)</f>
        <v>0</v>
      </c>
      <c r="H1955" s="184">
        <f t="shared" si="2"/>
        <v>0</v>
      </c>
      <c r="I1955" s="184">
        <f>IFERROR(__xludf.DUMMYFUNCTION("IFERROR(lookup(9999999999,FILTER('Operações-BR'!Q:Q,'Operações-BR'!$C:$C=A1955,'Operações-BR'!$A:$A&lt;=C1955))/G1955,0)"),0.0)</f>
        <v>0</v>
      </c>
      <c r="J1955" s="185" t="str">
        <f>IFERROR(VLOOKUP(A1955,Ativos!$A$1:$G2000,5,),"")</f>
        <v/>
      </c>
      <c r="K1955" s="185" t="str">
        <f>IFERROR(VLOOKUP(A1955,Ativos!A:H,8,),"")</f>
        <v/>
      </c>
      <c r="L1955" s="186">
        <f t="shared" si="3"/>
        <v>0</v>
      </c>
    </row>
    <row r="1956" ht="21.0" customHeight="1">
      <c r="A1956" s="187"/>
      <c r="B1956" s="187"/>
      <c r="C1956" s="188"/>
      <c r="D1956" s="135"/>
      <c r="E1956" s="189"/>
      <c r="F1956" s="182" t="str">
        <f t="shared" si="1"/>
        <v/>
      </c>
      <c r="G1956" s="183">
        <f>IFERROR(__xludf.DUMMYFUNCTION("IFERROR(lookup(9999999999,FILTER('Operações-BR'!$M:$M,'Operações-BR'!$C:$C=A1956,'Operações-BR'!$A:$A&lt;=C1956)),0)"),0.0)</f>
        <v>0</v>
      </c>
      <c r="H1956" s="184">
        <f t="shared" si="2"/>
        <v>0</v>
      </c>
      <c r="I1956" s="184">
        <f>IFERROR(__xludf.DUMMYFUNCTION("IFERROR(lookup(9999999999,FILTER('Operações-BR'!Q:Q,'Operações-BR'!$C:$C=A1956,'Operações-BR'!$A:$A&lt;=C1956))/G1956,0)"),0.0)</f>
        <v>0</v>
      </c>
      <c r="J1956" s="185" t="str">
        <f>IFERROR(VLOOKUP(A1956,Ativos!$A$1:$G2000,5,),"")</f>
        <v/>
      </c>
      <c r="K1956" s="185" t="str">
        <f>IFERROR(VLOOKUP(A1956,Ativos!A:H,8,),"")</f>
        <v/>
      </c>
      <c r="L1956" s="186">
        <f t="shared" si="3"/>
        <v>0</v>
      </c>
    </row>
    <row r="1957" ht="21.0" customHeight="1">
      <c r="A1957" s="187"/>
      <c r="B1957" s="187"/>
      <c r="C1957" s="188"/>
      <c r="D1957" s="135"/>
      <c r="E1957" s="189"/>
      <c r="F1957" s="182" t="str">
        <f t="shared" si="1"/>
        <v/>
      </c>
      <c r="G1957" s="183">
        <f>IFERROR(__xludf.DUMMYFUNCTION("IFERROR(lookup(9999999999,FILTER('Operações-BR'!$M:$M,'Operações-BR'!$C:$C=A1957,'Operações-BR'!$A:$A&lt;=C1957)),0)"),0.0)</f>
        <v>0</v>
      </c>
      <c r="H1957" s="184">
        <f t="shared" si="2"/>
        <v>0</v>
      </c>
      <c r="I1957" s="184">
        <f>IFERROR(__xludf.DUMMYFUNCTION("IFERROR(lookup(9999999999,FILTER('Operações-BR'!Q:Q,'Operações-BR'!$C:$C=A1957,'Operações-BR'!$A:$A&lt;=C1957))/G1957,0)"),0.0)</f>
        <v>0</v>
      </c>
      <c r="J1957" s="185" t="str">
        <f>IFERROR(VLOOKUP(A1957,Ativos!$A$1:$G2000,5,),"")</f>
        <v/>
      </c>
      <c r="K1957" s="185" t="str">
        <f>IFERROR(VLOOKUP(A1957,Ativos!A:H,8,),"")</f>
        <v/>
      </c>
      <c r="L1957" s="186">
        <f t="shared" si="3"/>
        <v>0</v>
      </c>
    </row>
    <row r="1958" ht="21.0" customHeight="1">
      <c r="A1958" s="187"/>
      <c r="B1958" s="187"/>
      <c r="C1958" s="188"/>
      <c r="D1958" s="135"/>
      <c r="E1958" s="189"/>
      <c r="F1958" s="182" t="str">
        <f t="shared" si="1"/>
        <v/>
      </c>
      <c r="G1958" s="183">
        <f>IFERROR(__xludf.DUMMYFUNCTION("IFERROR(lookup(9999999999,FILTER('Operações-BR'!$M:$M,'Operações-BR'!$C:$C=A1958,'Operações-BR'!$A:$A&lt;=C1958)),0)"),0.0)</f>
        <v>0</v>
      </c>
      <c r="H1958" s="184">
        <f t="shared" si="2"/>
        <v>0</v>
      </c>
      <c r="I1958" s="184">
        <f>IFERROR(__xludf.DUMMYFUNCTION("IFERROR(lookup(9999999999,FILTER('Operações-BR'!Q:Q,'Operações-BR'!$C:$C=A1958,'Operações-BR'!$A:$A&lt;=C1958))/G1958,0)"),0.0)</f>
        <v>0</v>
      </c>
      <c r="J1958" s="185" t="str">
        <f>IFERROR(VLOOKUP(A1958,Ativos!$A$1:$G2000,5,),"")</f>
        <v/>
      </c>
      <c r="K1958" s="185" t="str">
        <f>IFERROR(VLOOKUP(A1958,Ativos!A:H,8,),"")</f>
        <v/>
      </c>
      <c r="L1958" s="186">
        <f t="shared" si="3"/>
        <v>0</v>
      </c>
    </row>
    <row r="1959" ht="21.0" customHeight="1">
      <c r="A1959" s="187"/>
      <c r="B1959" s="187"/>
      <c r="C1959" s="188"/>
      <c r="D1959" s="135"/>
      <c r="E1959" s="189"/>
      <c r="F1959" s="182" t="str">
        <f t="shared" si="1"/>
        <v/>
      </c>
      <c r="G1959" s="183">
        <f>IFERROR(__xludf.DUMMYFUNCTION("IFERROR(lookup(9999999999,FILTER('Operações-BR'!$M:$M,'Operações-BR'!$C:$C=A1959,'Operações-BR'!$A:$A&lt;=C1959)),0)"),0.0)</f>
        <v>0</v>
      </c>
      <c r="H1959" s="184">
        <f t="shared" si="2"/>
        <v>0</v>
      </c>
      <c r="I1959" s="184">
        <f>IFERROR(__xludf.DUMMYFUNCTION("IFERROR(lookup(9999999999,FILTER('Operações-BR'!Q:Q,'Operações-BR'!$C:$C=A1959,'Operações-BR'!$A:$A&lt;=C1959))/G1959,0)"),0.0)</f>
        <v>0</v>
      </c>
      <c r="J1959" s="185" t="str">
        <f>IFERROR(VLOOKUP(A1959,Ativos!$A$1:$G2000,5,),"")</f>
        <v/>
      </c>
      <c r="K1959" s="185" t="str">
        <f>IFERROR(VLOOKUP(A1959,Ativos!A:H,8,),"")</f>
        <v/>
      </c>
      <c r="L1959" s="186">
        <f t="shared" si="3"/>
        <v>0</v>
      </c>
    </row>
    <row r="1960" ht="21.0" customHeight="1">
      <c r="A1960" s="187"/>
      <c r="B1960" s="187"/>
      <c r="C1960" s="188"/>
      <c r="D1960" s="135"/>
      <c r="E1960" s="189"/>
      <c r="F1960" s="182" t="str">
        <f t="shared" si="1"/>
        <v/>
      </c>
      <c r="G1960" s="183">
        <f>IFERROR(__xludf.DUMMYFUNCTION("IFERROR(lookup(9999999999,FILTER('Operações-BR'!$M:$M,'Operações-BR'!$C:$C=A1960,'Operações-BR'!$A:$A&lt;=C1960)),0)"),0.0)</f>
        <v>0</v>
      </c>
      <c r="H1960" s="184">
        <f t="shared" si="2"/>
        <v>0</v>
      </c>
      <c r="I1960" s="184">
        <f>IFERROR(__xludf.DUMMYFUNCTION("IFERROR(lookup(9999999999,FILTER('Operações-BR'!Q:Q,'Operações-BR'!$C:$C=A1960,'Operações-BR'!$A:$A&lt;=C1960))/G1960,0)"),0.0)</f>
        <v>0</v>
      </c>
      <c r="J1960" s="185" t="str">
        <f>IFERROR(VLOOKUP(A1960,Ativos!$A$1:$G2000,5,),"")</f>
        <v/>
      </c>
      <c r="K1960" s="185" t="str">
        <f>IFERROR(VLOOKUP(A1960,Ativos!A:H,8,),"")</f>
        <v/>
      </c>
      <c r="L1960" s="186">
        <f t="shared" si="3"/>
        <v>0</v>
      </c>
    </row>
    <row r="1961" ht="21.0" customHeight="1">
      <c r="A1961" s="187"/>
      <c r="B1961" s="187"/>
      <c r="C1961" s="188"/>
      <c r="D1961" s="135"/>
      <c r="E1961" s="189"/>
      <c r="F1961" s="182" t="str">
        <f t="shared" si="1"/>
        <v/>
      </c>
      <c r="G1961" s="183">
        <f>IFERROR(__xludf.DUMMYFUNCTION("IFERROR(lookup(9999999999,FILTER('Operações-BR'!$M:$M,'Operações-BR'!$C:$C=A1961,'Operações-BR'!$A:$A&lt;=C1961)),0)"),0.0)</f>
        <v>0</v>
      </c>
      <c r="H1961" s="184">
        <f t="shared" si="2"/>
        <v>0</v>
      </c>
      <c r="I1961" s="184">
        <f>IFERROR(__xludf.DUMMYFUNCTION("IFERROR(lookup(9999999999,FILTER('Operações-BR'!Q:Q,'Operações-BR'!$C:$C=A1961,'Operações-BR'!$A:$A&lt;=C1961))/G1961,0)"),0.0)</f>
        <v>0</v>
      </c>
      <c r="J1961" s="185" t="str">
        <f>IFERROR(VLOOKUP(A1961,Ativos!$A$1:$G2000,5,),"")</f>
        <v/>
      </c>
      <c r="K1961" s="185" t="str">
        <f>IFERROR(VLOOKUP(A1961,Ativos!A:H,8,),"")</f>
        <v/>
      </c>
      <c r="L1961" s="186">
        <f t="shared" si="3"/>
        <v>0</v>
      </c>
    </row>
    <row r="1962" ht="21.0" customHeight="1">
      <c r="A1962" s="187"/>
      <c r="B1962" s="187"/>
      <c r="C1962" s="188"/>
      <c r="D1962" s="135"/>
      <c r="E1962" s="189"/>
      <c r="F1962" s="182" t="str">
        <f t="shared" si="1"/>
        <v/>
      </c>
      <c r="G1962" s="183">
        <f>IFERROR(__xludf.DUMMYFUNCTION("IFERROR(lookup(9999999999,FILTER('Operações-BR'!$M:$M,'Operações-BR'!$C:$C=A1962,'Operações-BR'!$A:$A&lt;=C1962)),0)"),0.0)</f>
        <v>0</v>
      </c>
      <c r="H1962" s="184">
        <f t="shared" si="2"/>
        <v>0</v>
      </c>
      <c r="I1962" s="184">
        <f>IFERROR(__xludf.DUMMYFUNCTION("IFERROR(lookup(9999999999,FILTER('Operações-BR'!Q:Q,'Operações-BR'!$C:$C=A1962,'Operações-BR'!$A:$A&lt;=C1962))/G1962,0)"),0.0)</f>
        <v>0</v>
      </c>
      <c r="J1962" s="185" t="str">
        <f>IFERROR(VLOOKUP(A1962,Ativos!$A$1:$G2000,5,),"")</f>
        <v/>
      </c>
      <c r="K1962" s="185" t="str">
        <f>IFERROR(VLOOKUP(A1962,Ativos!A:H,8,),"")</f>
        <v/>
      </c>
      <c r="L1962" s="186">
        <f t="shared" si="3"/>
        <v>0</v>
      </c>
    </row>
    <row r="1963" ht="21.0" customHeight="1">
      <c r="A1963" s="187"/>
      <c r="B1963" s="187"/>
      <c r="C1963" s="188"/>
      <c r="D1963" s="135"/>
      <c r="E1963" s="189"/>
      <c r="F1963" s="182" t="str">
        <f t="shared" si="1"/>
        <v/>
      </c>
      <c r="G1963" s="183">
        <f>IFERROR(__xludf.DUMMYFUNCTION("IFERROR(lookup(9999999999,FILTER('Operações-BR'!$M:$M,'Operações-BR'!$C:$C=A1963,'Operações-BR'!$A:$A&lt;=C1963)),0)"),0.0)</f>
        <v>0</v>
      </c>
      <c r="H1963" s="184">
        <f t="shared" si="2"/>
        <v>0</v>
      </c>
      <c r="I1963" s="184">
        <f>IFERROR(__xludf.DUMMYFUNCTION("IFERROR(lookup(9999999999,FILTER('Operações-BR'!Q:Q,'Operações-BR'!$C:$C=A1963,'Operações-BR'!$A:$A&lt;=C1963))/G1963,0)"),0.0)</f>
        <v>0</v>
      </c>
      <c r="J1963" s="185" t="str">
        <f>IFERROR(VLOOKUP(A1963,Ativos!$A$1:$G2000,5,),"")</f>
        <v/>
      </c>
      <c r="K1963" s="185" t="str">
        <f>IFERROR(VLOOKUP(A1963,Ativos!A:H,8,),"")</f>
        <v/>
      </c>
      <c r="L1963" s="186">
        <f t="shared" si="3"/>
        <v>0</v>
      </c>
    </row>
    <row r="1964" ht="21.0" customHeight="1">
      <c r="A1964" s="187"/>
      <c r="B1964" s="187"/>
      <c r="C1964" s="188"/>
      <c r="D1964" s="135"/>
      <c r="E1964" s="189"/>
      <c r="F1964" s="182" t="str">
        <f t="shared" si="1"/>
        <v/>
      </c>
      <c r="G1964" s="183">
        <f>IFERROR(__xludf.DUMMYFUNCTION("IFERROR(lookup(9999999999,FILTER('Operações-BR'!$M:$M,'Operações-BR'!$C:$C=A1964,'Operações-BR'!$A:$A&lt;=C1964)),0)"),0.0)</f>
        <v>0</v>
      </c>
      <c r="H1964" s="184">
        <f t="shared" si="2"/>
        <v>0</v>
      </c>
      <c r="I1964" s="184">
        <f>IFERROR(__xludf.DUMMYFUNCTION("IFERROR(lookup(9999999999,FILTER('Operações-BR'!Q:Q,'Operações-BR'!$C:$C=A1964,'Operações-BR'!$A:$A&lt;=C1964))/G1964,0)"),0.0)</f>
        <v>0</v>
      </c>
      <c r="J1964" s="185" t="str">
        <f>IFERROR(VLOOKUP(A1964,Ativos!$A$1:$G2000,5,),"")</f>
        <v/>
      </c>
      <c r="K1964" s="185" t="str">
        <f>IFERROR(VLOOKUP(A1964,Ativos!A:H,8,),"")</f>
        <v/>
      </c>
      <c r="L1964" s="186">
        <f t="shared" si="3"/>
        <v>0</v>
      </c>
    </row>
    <row r="1965" ht="21.0" customHeight="1">
      <c r="A1965" s="187"/>
      <c r="B1965" s="187"/>
      <c r="C1965" s="188"/>
      <c r="D1965" s="135"/>
      <c r="E1965" s="189"/>
      <c r="F1965" s="182" t="str">
        <f t="shared" si="1"/>
        <v/>
      </c>
      <c r="G1965" s="183">
        <f>IFERROR(__xludf.DUMMYFUNCTION("IFERROR(lookup(9999999999,FILTER('Operações-BR'!$M:$M,'Operações-BR'!$C:$C=A1965,'Operações-BR'!$A:$A&lt;=C1965)),0)"),0.0)</f>
        <v>0</v>
      </c>
      <c r="H1965" s="184">
        <f t="shared" si="2"/>
        <v>0</v>
      </c>
      <c r="I1965" s="184">
        <f>IFERROR(__xludf.DUMMYFUNCTION("IFERROR(lookup(9999999999,FILTER('Operações-BR'!Q:Q,'Operações-BR'!$C:$C=A1965,'Operações-BR'!$A:$A&lt;=C1965))/G1965,0)"),0.0)</f>
        <v>0</v>
      </c>
      <c r="J1965" s="185" t="str">
        <f>IFERROR(VLOOKUP(A1965,Ativos!$A$1:$G2000,5,),"")</f>
        <v/>
      </c>
      <c r="K1965" s="185" t="str">
        <f>IFERROR(VLOOKUP(A1965,Ativos!A:H,8,),"")</f>
        <v/>
      </c>
      <c r="L1965" s="186">
        <f t="shared" si="3"/>
        <v>0</v>
      </c>
    </row>
    <row r="1966" ht="21.0" customHeight="1">
      <c r="A1966" s="187"/>
      <c r="B1966" s="187"/>
      <c r="C1966" s="188"/>
      <c r="D1966" s="135"/>
      <c r="E1966" s="189"/>
      <c r="F1966" s="182" t="str">
        <f t="shared" si="1"/>
        <v/>
      </c>
      <c r="G1966" s="183">
        <f>IFERROR(__xludf.DUMMYFUNCTION("IFERROR(lookup(9999999999,FILTER('Operações-BR'!$M:$M,'Operações-BR'!$C:$C=A1966,'Operações-BR'!$A:$A&lt;=C1966)),0)"),0.0)</f>
        <v>0</v>
      </c>
      <c r="H1966" s="184">
        <f t="shared" si="2"/>
        <v>0</v>
      </c>
      <c r="I1966" s="184">
        <f>IFERROR(__xludf.DUMMYFUNCTION("IFERROR(lookup(9999999999,FILTER('Operações-BR'!Q:Q,'Operações-BR'!$C:$C=A1966,'Operações-BR'!$A:$A&lt;=C1966))/G1966,0)"),0.0)</f>
        <v>0</v>
      </c>
      <c r="J1966" s="185" t="str">
        <f>IFERROR(VLOOKUP(A1966,Ativos!$A$1:$G2000,5,),"")</f>
        <v/>
      </c>
      <c r="K1966" s="185" t="str">
        <f>IFERROR(VLOOKUP(A1966,Ativos!A:H,8,),"")</f>
        <v/>
      </c>
      <c r="L1966" s="186">
        <f t="shared" si="3"/>
        <v>0</v>
      </c>
    </row>
    <row r="1967" ht="21.0" customHeight="1">
      <c r="A1967" s="187"/>
      <c r="B1967" s="187"/>
      <c r="C1967" s="188"/>
      <c r="D1967" s="135"/>
      <c r="E1967" s="189"/>
      <c r="F1967" s="182" t="str">
        <f t="shared" si="1"/>
        <v/>
      </c>
      <c r="G1967" s="183">
        <f>IFERROR(__xludf.DUMMYFUNCTION("IFERROR(lookup(9999999999,FILTER('Operações-BR'!$M:$M,'Operações-BR'!$C:$C=A1967,'Operações-BR'!$A:$A&lt;=C1967)),0)"),0.0)</f>
        <v>0</v>
      </c>
      <c r="H1967" s="184">
        <f t="shared" si="2"/>
        <v>0</v>
      </c>
      <c r="I1967" s="184">
        <f>IFERROR(__xludf.DUMMYFUNCTION("IFERROR(lookup(9999999999,FILTER('Operações-BR'!Q:Q,'Operações-BR'!$C:$C=A1967,'Operações-BR'!$A:$A&lt;=C1967))/G1967,0)"),0.0)</f>
        <v>0</v>
      </c>
      <c r="J1967" s="185" t="str">
        <f>IFERROR(VLOOKUP(A1967,Ativos!$A$1:$G2000,5,),"")</f>
        <v/>
      </c>
      <c r="K1967" s="185" t="str">
        <f>IFERROR(VLOOKUP(A1967,Ativos!A:H,8,),"")</f>
        <v/>
      </c>
      <c r="L1967" s="186">
        <f t="shared" si="3"/>
        <v>0</v>
      </c>
    </row>
    <row r="1968" ht="21.0" customHeight="1">
      <c r="A1968" s="187"/>
      <c r="B1968" s="187"/>
      <c r="C1968" s="188"/>
      <c r="D1968" s="135"/>
      <c r="E1968" s="189"/>
      <c r="F1968" s="182" t="str">
        <f t="shared" si="1"/>
        <v/>
      </c>
      <c r="G1968" s="183">
        <f>IFERROR(__xludf.DUMMYFUNCTION("IFERROR(lookup(9999999999,FILTER('Operações-BR'!$M:$M,'Operações-BR'!$C:$C=A1968,'Operações-BR'!$A:$A&lt;=C1968)),0)"),0.0)</f>
        <v>0</v>
      </c>
      <c r="H1968" s="184">
        <f t="shared" si="2"/>
        <v>0</v>
      </c>
      <c r="I1968" s="184">
        <f>IFERROR(__xludf.DUMMYFUNCTION("IFERROR(lookup(9999999999,FILTER('Operações-BR'!Q:Q,'Operações-BR'!$C:$C=A1968,'Operações-BR'!$A:$A&lt;=C1968))/G1968,0)"),0.0)</f>
        <v>0</v>
      </c>
      <c r="J1968" s="185" t="str">
        <f>IFERROR(VLOOKUP(A1968,Ativos!$A$1:$G2000,5,),"")</f>
        <v/>
      </c>
      <c r="K1968" s="185" t="str">
        <f>IFERROR(VLOOKUP(A1968,Ativos!A:H,8,),"")</f>
        <v/>
      </c>
      <c r="L1968" s="186">
        <f t="shared" si="3"/>
        <v>0</v>
      </c>
    </row>
    <row r="1969" ht="21.0" customHeight="1">
      <c r="A1969" s="187"/>
      <c r="B1969" s="187"/>
      <c r="C1969" s="188"/>
      <c r="D1969" s="135"/>
      <c r="E1969" s="189"/>
      <c r="F1969" s="182" t="str">
        <f t="shared" si="1"/>
        <v/>
      </c>
      <c r="G1969" s="183">
        <f>IFERROR(__xludf.DUMMYFUNCTION("IFERROR(lookup(9999999999,FILTER('Operações-BR'!$M:$M,'Operações-BR'!$C:$C=A1969,'Operações-BR'!$A:$A&lt;=C1969)),0)"),0.0)</f>
        <v>0</v>
      </c>
      <c r="H1969" s="184">
        <f t="shared" si="2"/>
        <v>0</v>
      </c>
      <c r="I1969" s="184">
        <f>IFERROR(__xludf.DUMMYFUNCTION("IFERROR(lookup(9999999999,FILTER('Operações-BR'!Q:Q,'Operações-BR'!$C:$C=A1969,'Operações-BR'!$A:$A&lt;=C1969))/G1969,0)"),0.0)</f>
        <v>0</v>
      </c>
      <c r="J1969" s="185" t="str">
        <f>IFERROR(VLOOKUP(A1969,Ativos!$A$1:$G2000,5,),"")</f>
        <v/>
      </c>
      <c r="K1969" s="185" t="str">
        <f>IFERROR(VLOOKUP(A1969,Ativos!A:H,8,),"")</f>
        <v/>
      </c>
      <c r="L1969" s="186">
        <f t="shared" si="3"/>
        <v>0</v>
      </c>
    </row>
    <row r="1970" ht="21.0" customHeight="1">
      <c r="A1970" s="187"/>
      <c r="B1970" s="187"/>
      <c r="C1970" s="188"/>
      <c r="D1970" s="135"/>
      <c r="E1970" s="189"/>
      <c r="F1970" s="182" t="str">
        <f t="shared" si="1"/>
        <v/>
      </c>
      <c r="G1970" s="183">
        <f>IFERROR(__xludf.DUMMYFUNCTION("IFERROR(lookup(9999999999,FILTER('Operações-BR'!$M:$M,'Operações-BR'!$C:$C=A1970,'Operações-BR'!$A:$A&lt;=C1970)),0)"),0.0)</f>
        <v>0</v>
      </c>
      <c r="H1970" s="184">
        <f t="shared" si="2"/>
        <v>0</v>
      </c>
      <c r="I1970" s="184">
        <f>IFERROR(__xludf.DUMMYFUNCTION("IFERROR(lookup(9999999999,FILTER('Operações-BR'!Q:Q,'Operações-BR'!$C:$C=A1970,'Operações-BR'!$A:$A&lt;=C1970))/G1970,0)"),0.0)</f>
        <v>0</v>
      </c>
      <c r="J1970" s="185" t="str">
        <f>IFERROR(VLOOKUP(A1970,Ativos!$A$1:$G2000,5,),"")</f>
        <v/>
      </c>
      <c r="K1970" s="185" t="str">
        <f>IFERROR(VLOOKUP(A1970,Ativos!A:H,8,),"")</f>
        <v/>
      </c>
      <c r="L1970" s="186">
        <f t="shared" si="3"/>
        <v>0</v>
      </c>
    </row>
    <row r="1971" ht="21.0" customHeight="1">
      <c r="A1971" s="187"/>
      <c r="B1971" s="187"/>
      <c r="C1971" s="188"/>
      <c r="D1971" s="135"/>
      <c r="E1971" s="189"/>
      <c r="F1971" s="182" t="str">
        <f t="shared" si="1"/>
        <v/>
      </c>
      <c r="G1971" s="183">
        <f>IFERROR(__xludf.DUMMYFUNCTION("IFERROR(lookup(9999999999,FILTER('Operações-BR'!$M:$M,'Operações-BR'!$C:$C=A1971,'Operações-BR'!$A:$A&lt;=C1971)),0)"),0.0)</f>
        <v>0</v>
      </c>
      <c r="H1971" s="184">
        <f t="shared" si="2"/>
        <v>0</v>
      </c>
      <c r="I1971" s="184">
        <f>IFERROR(__xludf.DUMMYFUNCTION("IFERROR(lookup(9999999999,FILTER('Operações-BR'!Q:Q,'Operações-BR'!$C:$C=A1971,'Operações-BR'!$A:$A&lt;=C1971))/G1971,0)"),0.0)</f>
        <v>0</v>
      </c>
      <c r="J1971" s="185" t="str">
        <f>IFERROR(VLOOKUP(A1971,Ativos!$A$1:$G2000,5,),"")</f>
        <v/>
      </c>
      <c r="K1971" s="185" t="str">
        <f>IFERROR(VLOOKUP(A1971,Ativos!A:H,8,),"")</f>
        <v/>
      </c>
      <c r="L1971" s="186">
        <f t="shared" si="3"/>
        <v>0</v>
      </c>
    </row>
    <row r="1972" ht="21.0" customHeight="1">
      <c r="A1972" s="187"/>
      <c r="B1972" s="187"/>
      <c r="C1972" s="188"/>
      <c r="D1972" s="135"/>
      <c r="E1972" s="189"/>
      <c r="F1972" s="182" t="str">
        <f t="shared" si="1"/>
        <v/>
      </c>
      <c r="G1972" s="183">
        <f>IFERROR(__xludf.DUMMYFUNCTION("IFERROR(lookup(9999999999,FILTER('Operações-BR'!$M:$M,'Operações-BR'!$C:$C=A1972,'Operações-BR'!$A:$A&lt;=C1972)),0)"),0.0)</f>
        <v>0</v>
      </c>
      <c r="H1972" s="184">
        <f t="shared" si="2"/>
        <v>0</v>
      </c>
      <c r="I1972" s="184">
        <f>IFERROR(__xludf.DUMMYFUNCTION("IFERROR(lookup(9999999999,FILTER('Operações-BR'!Q:Q,'Operações-BR'!$C:$C=A1972,'Operações-BR'!$A:$A&lt;=C1972))/G1972,0)"),0.0)</f>
        <v>0</v>
      </c>
      <c r="J1972" s="185" t="str">
        <f>IFERROR(VLOOKUP(A1972,Ativos!$A$1:$G2000,5,),"")</f>
        <v/>
      </c>
      <c r="K1972" s="185" t="str">
        <f>IFERROR(VLOOKUP(A1972,Ativos!A:H,8,),"")</f>
        <v/>
      </c>
      <c r="L1972" s="186">
        <f t="shared" si="3"/>
        <v>0</v>
      </c>
    </row>
    <row r="1973" ht="21.0" customHeight="1">
      <c r="A1973" s="187"/>
      <c r="B1973" s="187"/>
      <c r="C1973" s="188"/>
      <c r="D1973" s="135"/>
      <c r="E1973" s="189"/>
      <c r="F1973" s="182" t="str">
        <f t="shared" si="1"/>
        <v/>
      </c>
      <c r="G1973" s="183">
        <f>IFERROR(__xludf.DUMMYFUNCTION("IFERROR(lookup(9999999999,FILTER('Operações-BR'!$M:$M,'Operações-BR'!$C:$C=A1973,'Operações-BR'!$A:$A&lt;=C1973)),0)"),0.0)</f>
        <v>0</v>
      </c>
      <c r="H1973" s="184">
        <f t="shared" si="2"/>
        <v>0</v>
      </c>
      <c r="I1973" s="184">
        <f>IFERROR(__xludf.DUMMYFUNCTION("IFERROR(lookup(9999999999,FILTER('Operações-BR'!Q:Q,'Operações-BR'!$C:$C=A1973,'Operações-BR'!$A:$A&lt;=C1973))/G1973,0)"),0.0)</f>
        <v>0</v>
      </c>
      <c r="J1973" s="185" t="str">
        <f>IFERROR(VLOOKUP(A1973,Ativos!$A$1:$G2000,5,),"")</f>
        <v/>
      </c>
      <c r="K1973" s="185" t="str">
        <f>IFERROR(VLOOKUP(A1973,Ativos!A:H,8,),"")</f>
        <v/>
      </c>
      <c r="L1973" s="186">
        <f t="shared" si="3"/>
        <v>0</v>
      </c>
    </row>
    <row r="1974" ht="21.0" customHeight="1">
      <c r="A1974" s="187"/>
      <c r="B1974" s="187"/>
      <c r="C1974" s="188"/>
      <c r="D1974" s="135"/>
      <c r="E1974" s="189"/>
      <c r="F1974" s="182" t="str">
        <f t="shared" si="1"/>
        <v/>
      </c>
      <c r="G1974" s="183">
        <f>IFERROR(__xludf.DUMMYFUNCTION("IFERROR(lookup(9999999999,FILTER('Operações-BR'!$M:$M,'Operações-BR'!$C:$C=A1974,'Operações-BR'!$A:$A&lt;=C1974)),0)"),0.0)</f>
        <v>0</v>
      </c>
      <c r="H1974" s="184">
        <f t="shared" si="2"/>
        <v>0</v>
      </c>
      <c r="I1974" s="184">
        <f>IFERROR(__xludf.DUMMYFUNCTION("IFERROR(lookup(9999999999,FILTER('Operações-BR'!Q:Q,'Operações-BR'!$C:$C=A1974,'Operações-BR'!$A:$A&lt;=C1974))/G1974,0)"),0.0)</f>
        <v>0</v>
      </c>
      <c r="J1974" s="185" t="str">
        <f>IFERROR(VLOOKUP(A1974,Ativos!$A$1:$G2000,5,),"")</f>
        <v/>
      </c>
      <c r="K1974" s="185" t="str">
        <f>IFERROR(VLOOKUP(A1974,Ativos!A:H,8,),"")</f>
        <v/>
      </c>
      <c r="L1974" s="186">
        <f t="shared" si="3"/>
        <v>0</v>
      </c>
    </row>
    <row r="1975" ht="21.0" customHeight="1">
      <c r="A1975" s="187"/>
      <c r="B1975" s="187"/>
      <c r="C1975" s="188"/>
      <c r="D1975" s="135"/>
      <c r="E1975" s="189"/>
      <c r="F1975" s="182" t="str">
        <f t="shared" si="1"/>
        <v/>
      </c>
      <c r="G1975" s="183">
        <f>IFERROR(__xludf.DUMMYFUNCTION("IFERROR(lookup(9999999999,FILTER('Operações-BR'!$M:$M,'Operações-BR'!$C:$C=A1975,'Operações-BR'!$A:$A&lt;=C1975)),0)"),0.0)</f>
        <v>0</v>
      </c>
      <c r="H1975" s="184">
        <f t="shared" si="2"/>
        <v>0</v>
      </c>
      <c r="I1975" s="184">
        <f>IFERROR(__xludf.DUMMYFUNCTION("IFERROR(lookup(9999999999,FILTER('Operações-BR'!Q:Q,'Operações-BR'!$C:$C=A1975,'Operações-BR'!$A:$A&lt;=C1975))/G1975,0)"),0.0)</f>
        <v>0</v>
      </c>
      <c r="J1975" s="185" t="str">
        <f>IFERROR(VLOOKUP(A1975,Ativos!$A$1:$G2000,5,),"")</f>
        <v/>
      </c>
      <c r="K1975" s="185" t="str">
        <f>IFERROR(VLOOKUP(A1975,Ativos!A:H,8,),"")</f>
        <v/>
      </c>
      <c r="L1975" s="186">
        <f t="shared" si="3"/>
        <v>0</v>
      </c>
    </row>
    <row r="1976" ht="21.0" customHeight="1">
      <c r="A1976" s="187"/>
      <c r="B1976" s="187"/>
      <c r="C1976" s="188"/>
      <c r="D1976" s="135"/>
      <c r="E1976" s="189"/>
      <c r="F1976" s="182" t="str">
        <f t="shared" si="1"/>
        <v/>
      </c>
      <c r="G1976" s="183">
        <f>IFERROR(__xludf.DUMMYFUNCTION("IFERROR(lookup(9999999999,FILTER('Operações-BR'!$M:$M,'Operações-BR'!$C:$C=A1976,'Operações-BR'!$A:$A&lt;=C1976)),0)"),0.0)</f>
        <v>0</v>
      </c>
      <c r="H1976" s="184">
        <f t="shared" si="2"/>
        <v>0</v>
      </c>
      <c r="I1976" s="184">
        <f>IFERROR(__xludf.DUMMYFUNCTION("IFERROR(lookup(9999999999,FILTER('Operações-BR'!Q:Q,'Operações-BR'!$C:$C=A1976,'Operações-BR'!$A:$A&lt;=C1976))/G1976,0)"),0.0)</f>
        <v>0</v>
      </c>
      <c r="J1976" s="185" t="str">
        <f>IFERROR(VLOOKUP(A1976,Ativos!$A$1:$G2000,5,),"")</f>
        <v/>
      </c>
      <c r="K1976" s="185" t="str">
        <f>IFERROR(VLOOKUP(A1976,Ativos!A:H,8,),"")</f>
        <v/>
      </c>
      <c r="L1976" s="186">
        <f t="shared" si="3"/>
        <v>0</v>
      </c>
    </row>
    <row r="1977" ht="21.0" customHeight="1">
      <c r="A1977" s="187"/>
      <c r="B1977" s="187"/>
      <c r="C1977" s="188"/>
      <c r="D1977" s="135"/>
      <c r="E1977" s="189"/>
      <c r="F1977" s="182" t="str">
        <f t="shared" si="1"/>
        <v/>
      </c>
      <c r="G1977" s="183">
        <f>IFERROR(__xludf.DUMMYFUNCTION("IFERROR(lookup(9999999999,FILTER('Operações-BR'!$M:$M,'Operações-BR'!$C:$C=A1977,'Operações-BR'!$A:$A&lt;=C1977)),0)"),0.0)</f>
        <v>0</v>
      </c>
      <c r="H1977" s="184">
        <f t="shared" si="2"/>
        <v>0</v>
      </c>
      <c r="I1977" s="184">
        <f>IFERROR(__xludf.DUMMYFUNCTION("IFERROR(lookup(9999999999,FILTER('Operações-BR'!Q:Q,'Operações-BR'!$C:$C=A1977,'Operações-BR'!$A:$A&lt;=C1977))/G1977,0)"),0.0)</f>
        <v>0</v>
      </c>
      <c r="J1977" s="185" t="str">
        <f>IFERROR(VLOOKUP(A1977,Ativos!$A$1:$G2000,5,),"")</f>
        <v/>
      </c>
      <c r="K1977" s="185" t="str">
        <f>IFERROR(VLOOKUP(A1977,Ativos!A:H,8,),"")</f>
        <v/>
      </c>
      <c r="L1977" s="186">
        <f t="shared" si="3"/>
        <v>0</v>
      </c>
    </row>
    <row r="1978" ht="21.0" customHeight="1">
      <c r="A1978" s="187"/>
      <c r="B1978" s="187"/>
      <c r="C1978" s="188"/>
      <c r="D1978" s="135"/>
      <c r="E1978" s="189"/>
      <c r="F1978" s="182" t="str">
        <f t="shared" si="1"/>
        <v/>
      </c>
      <c r="G1978" s="183">
        <f>IFERROR(__xludf.DUMMYFUNCTION("IFERROR(lookup(9999999999,FILTER('Operações-BR'!$M:$M,'Operações-BR'!$C:$C=A1978,'Operações-BR'!$A:$A&lt;=C1978)),0)"),0.0)</f>
        <v>0</v>
      </c>
      <c r="H1978" s="184">
        <f t="shared" si="2"/>
        <v>0</v>
      </c>
      <c r="I1978" s="184">
        <f>IFERROR(__xludf.DUMMYFUNCTION("IFERROR(lookup(9999999999,FILTER('Operações-BR'!Q:Q,'Operações-BR'!$C:$C=A1978,'Operações-BR'!$A:$A&lt;=C1978))/G1978,0)"),0.0)</f>
        <v>0</v>
      </c>
      <c r="J1978" s="185" t="str">
        <f>IFERROR(VLOOKUP(A1978,Ativos!$A$1:$G2000,5,),"")</f>
        <v/>
      </c>
      <c r="K1978" s="185" t="str">
        <f>IFERROR(VLOOKUP(A1978,Ativos!A:H,8,),"")</f>
        <v/>
      </c>
      <c r="L1978" s="186">
        <f t="shared" si="3"/>
        <v>0</v>
      </c>
    </row>
    <row r="1979" ht="21.0" customHeight="1">
      <c r="A1979" s="187"/>
      <c r="B1979" s="187"/>
      <c r="C1979" s="188"/>
      <c r="D1979" s="135"/>
      <c r="E1979" s="189"/>
      <c r="F1979" s="182" t="str">
        <f t="shared" si="1"/>
        <v/>
      </c>
      <c r="G1979" s="183">
        <f>IFERROR(__xludf.DUMMYFUNCTION("IFERROR(lookup(9999999999,FILTER('Operações-BR'!$M:$M,'Operações-BR'!$C:$C=A1979,'Operações-BR'!$A:$A&lt;=C1979)),0)"),0.0)</f>
        <v>0</v>
      </c>
      <c r="H1979" s="184">
        <f t="shared" si="2"/>
        <v>0</v>
      </c>
      <c r="I1979" s="184">
        <f>IFERROR(__xludf.DUMMYFUNCTION("IFERROR(lookup(9999999999,FILTER('Operações-BR'!Q:Q,'Operações-BR'!$C:$C=A1979,'Operações-BR'!$A:$A&lt;=C1979))/G1979,0)"),0.0)</f>
        <v>0</v>
      </c>
      <c r="J1979" s="185" t="str">
        <f>IFERROR(VLOOKUP(A1979,Ativos!$A$1:$G2000,5,),"")</f>
        <v/>
      </c>
      <c r="K1979" s="185" t="str">
        <f>IFERROR(VLOOKUP(A1979,Ativos!A:H,8,),"")</f>
        <v/>
      </c>
      <c r="L1979" s="186">
        <f t="shared" si="3"/>
        <v>0</v>
      </c>
    </row>
    <row r="1980" ht="21.0" customHeight="1">
      <c r="A1980" s="187"/>
      <c r="B1980" s="187"/>
      <c r="C1980" s="188"/>
      <c r="D1980" s="135"/>
      <c r="E1980" s="189"/>
      <c r="F1980" s="182" t="str">
        <f t="shared" si="1"/>
        <v/>
      </c>
      <c r="G1980" s="183">
        <f>IFERROR(__xludf.DUMMYFUNCTION("IFERROR(lookup(9999999999,FILTER('Operações-BR'!$M:$M,'Operações-BR'!$C:$C=A1980,'Operações-BR'!$A:$A&lt;=C1980)),0)"),0.0)</f>
        <v>0</v>
      </c>
      <c r="H1980" s="184">
        <f t="shared" si="2"/>
        <v>0</v>
      </c>
      <c r="I1980" s="184">
        <f>IFERROR(__xludf.DUMMYFUNCTION("IFERROR(lookup(9999999999,FILTER('Operações-BR'!Q:Q,'Operações-BR'!$C:$C=A1980,'Operações-BR'!$A:$A&lt;=C1980))/G1980,0)"),0.0)</f>
        <v>0</v>
      </c>
      <c r="J1980" s="185" t="str">
        <f>IFERROR(VLOOKUP(A1980,Ativos!$A$1:$G2000,5,),"")</f>
        <v/>
      </c>
      <c r="K1980" s="185" t="str">
        <f>IFERROR(VLOOKUP(A1980,Ativos!A:H,8,),"")</f>
        <v/>
      </c>
      <c r="L1980" s="186">
        <f t="shared" si="3"/>
        <v>0</v>
      </c>
    </row>
    <row r="1981" ht="21.0" customHeight="1">
      <c r="A1981" s="187"/>
      <c r="B1981" s="187"/>
      <c r="C1981" s="188"/>
      <c r="D1981" s="135"/>
      <c r="E1981" s="189"/>
      <c r="F1981" s="182" t="str">
        <f t="shared" si="1"/>
        <v/>
      </c>
      <c r="G1981" s="183">
        <f>IFERROR(__xludf.DUMMYFUNCTION("IFERROR(lookup(9999999999,FILTER('Operações-BR'!$M:$M,'Operações-BR'!$C:$C=A1981,'Operações-BR'!$A:$A&lt;=C1981)),0)"),0.0)</f>
        <v>0</v>
      </c>
      <c r="H1981" s="184">
        <f t="shared" si="2"/>
        <v>0</v>
      </c>
      <c r="I1981" s="184">
        <f>IFERROR(__xludf.DUMMYFUNCTION("IFERROR(lookup(9999999999,FILTER('Operações-BR'!Q:Q,'Operações-BR'!$C:$C=A1981,'Operações-BR'!$A:$A&lt;=C1981))/G1981,0)"),0.0)</f>
        <v>0</v>
      </c>
      <c r="J1981" s="185" t="str">
        <f>IFERROR(VLOOKUP(A1981,Ativos!$A$1:$G2000,5,),"")</f>
        <v/>
      </c>
      <c r="K1981" s="185" t="str">
        <f>IFERROR(VLOOKUP(A1981,Ativos!A:H,8,),"")</f>
        <v/>
      </c>
      <c r="L1981" s="186">
        <f t="shared" si="3"/>
        <v>0</v>
      </c>
    </row>
    <row r="1982" ht="21.0" customHeight="1">
      <c r="A1982" s="187"/>
      <c r="B1982" s="187"/>
      <c r="C1982" s="188"/>
      <c r="D1982" s="135"/>
      <c r="E1982" s="189"/>
      <c r="F1982" s="182" t="str">
        <f t="shared" si="1"/>
        <v/>
      </c>
      <c r="G1982" s="183">
        <f>IFERROR(__xludf.DUMMYFUNCTION("IFERROR(lookup(9999999999,FILTER('Operações-BR'!$M:$M,'Operações-BR'!$C:$C=A1982,'Operações-BR'!$A:$A&lt;=C1982)),0)"),0.0)</f>
        <v>0</v>
      </c>
      <c r="H1982" s="184">
        <f t="shared" si="2"/>
        <v>0</v>
      </c>
      <c r="I1982" s="184">
        <f>IFERROR(__xludf.DUMMYFUNCTION("IFERROR(lookup(9999999999,FILTER('Operações-BR'!Q:Q,'Operações-BR'!$C:$C=A1982,'Operações-BR'!$A:$A&lt;=C1982))/G1982,0)"),0.0)</f>
        <v>0</v>
      </c>
      <c r="J1982" s="185" t="str">
        <f>IFERROR(VLOOKUP(A1982,Ativos!$A$1:$G2000,5,),"")</f>
        <v/>
      </c>
      <c r="K1982" s="185" t="str">
        <f>IFERROR(VLOOKUP(A1982,Ativos!A:H,8,),"")</f>
        <v/>
      </c>
      <c r="L1982" s="186">
        <f t="shared" si="3"/>
        <v>0</v>
      </c>
    </row>
    <row r="1983" ht="21.0" customHeight="1">
      <c r="A1983" s="187"/>
      <c r="B1983" s="187"/>
      <c r="C1983" s="188"/>
      <c r="D1983" s="135"/>
      <c r="E1983" s="189"/>
      <c r="F1983" s="182" t="str">
        <f t="shared" si="1"/>
        <v/>
      </c>
      <c r="G1983" s="183">
        <f>IFERROR(__xludf.DUMMYFUNCTION("IFERROR(lookup(9999999999,FILTER('Operações-BR'!$M:$M,'Operações-BR'!$C:$C=A1983,'Operações-BR'!$A:$A&lt;=C1983)),0)"),0.0)</f>
        <v>0</v>
      </c>
      <c r="H1983" s="184">
        <f t="shared" si="2"/>
        <v>0</v>
      </c>
      <c r="I1983" s="184">
        <f>IFERROR(__xludf.DUMMYFUNCTION("IFERROR(lookup(9999999999,FILTER('Operações-BR'!Q:Q,'Operações-BR'!$C:$C=A1983,'Operações-BR'!$A:$A&lt;=C1983))/G1983,0)"),0.0)</f>
        <v>0</v>
      </c>
      <c r="J1983" s="185" t="str">
        <f>IFERROR(VLOOKUP(A1983,Ativos!$A$1:$G2000,5,),"")</f>
        <v/>
      </c>
      <c r="K1983" s="185" t="str">
        <f>IFERROR(VLOOKUP(A1983,Ativos!A:H,8,),"")</f>
        <v/>
      </c>
      <c r="L1983" s="186">
        <f t="shared" si="3"/>
        <v>0</v>
      </c>
    </row>
    <row r="1984" ht="21.0" customHeight="1">
      <c r="A1984" s="187"/>
      <c r="B1984" s="187"/>
      <c r="C1984" s="188"/>
      <c r="D1984" s="135"/>
      <c r="E1984" s="189"/>
      <c r="F1984" s="182" t="str">
        <f t="shared" si="1"/>
        <v/>
      </c>
      <c r="G1984" s="183">
        <f>IFERROR(__xludf.DUMMYFUNCTION("IFERROR(lookup(9999999999,FILTER('Operações-BR'!$M:$M,'Operações-BR'!$C:$C=A1984,'Operações-BR'!$A:$A&lt;=C1984)),0)"),0.0)</f>
        <v>0</v>
      </c>
      <c r="H1984" s="184">
        <f t="shared" si="2"/>
        <v>0</v>
      </c>
      <c r="I1984" s="184">
        <f>IFERROR(__xludf.DUMMYFUNCTION("IFERROR(lookup(9999999999,FILTER('Operações-BR'!Q:Q,'Operações-BR'!$C:$C=A1984,'Operações-BR'!$A:$A&lt;=C1984))/G1984,0)"),0.0)</f>
        <v>0</v>
      </c>
      <c r="J1984" s="185" t="str">
        <f>IFERROR(VLOOKUP(A1984,Ativos!$A$1:$G2000,5,),"")</f>
        <v/>
      </c>
      <c r="K1984" s="185" t="str">
        <f>IFERROR(VLOOKUP(A1984,Ativos!A:H,8,),"")</f>
        <v/>
      </c>
      <c r="L1984" s="186">
        <f t="shared" si="3"/>
        <v>0</v>
      </c>
    </row>
    <row r="1985" ht="21.0" customHeight="1">
      <c r="A1985" s="187"/>
      <c r="B1985" s="187"/>
      <c r="C1985" s="188"/>
      <c r="D1985" s="135"/>
      <c r="E1985" s="189"/>
      <c r="F1985" s="182" t="str">
        <f t="shared" si="1"/>
        <v/>
      </c>
      <c r="G1985" s="183">
        <f>IFERROR(__xludf.DUMMYFUNCTION("IFERROR(lookup(9999999999,FILTER('Operações-BR'!$M:$M,'Operações-BR'!$C:$C=A1985,'Operações-BR'!$A:$A&lt;=C1985)),0)"),0.0)</f>
        <v>0</v>
      </c>
      <c r="H1985" s="184">
        <f t="shared" si="2"/>
        <v>0</v>
      </c>
      <c r="I1985" s="184">
        <f>IFERROR(__xludf.DUMMYFUNCTION("IFERROR(lookup(9999999999,FILTER('Operações-BR'!Q:Q,'Operações-BR'!$C:$C=A1985,'Operações-BR'!$A:$A&lt;=C1985))/G1985,0)"),0.0)</f>
        <v>0</v>
      </c>
      <c r="J1985" s="185" t="str">
        <f>IFERROR(VLOOKUP(A1985,Ativos!$A$1:$G2000,5,),"")</f>
        <v/>
      </c>
      <c r="K1985" s="185" t="str">
        <f>IFERROR(VLOOKUP(A1985,Ativos!A:H,8,),"")</f>
        <v/>
      </c>
      <c r="L1985" s="186">
        <f t="shared" si="3"/>
        <v>0</v>
      </c>
    </row>
    <row r="1986" ht="21.0" customHeight="1">
      <c r="A1986" s="187"/>
      <c r="B1986" s="187"/>
      <c r="C1986" s="188"/>
      <c r="D1986" s="135"/>
      <c r="E1986" s="189"/>
      <c r="F1986" s="182" t="str">
        <f t="shared" si="1"/>
        <v/>
      </c>
      <c r="G1986" s="183">
        <f>IFERROR(__xludf.DUMMYFUNCTION("IFERROR(lookup(9999999999,FILTER('Operações-BR'!$M:$M,'Operações-BR'!$C:$C=A1986,'Operações-BR'!$A:$A&lt;=C1986)),0)"),0.0)</f>
        <v>0</v>
      </c>
      <c r="H1986" s="184">
        <f t="shared" si="2"/>
        <v>0</v>
      </c>
      <c r="I1986" s="184">
        <f>IFERROR(__xludf.DUMMYFUNCTION("IFERROR(lookup(9999999999,FILTER('Operações-BR'!Q:Q,'Operações-BR'!$C:$C=A1986,'Operações-BR'!$A:$A&lt;=C1986))/G1986,0)"),0.0)</f>
        <v>0</v>
      </c>
      <c r="J1986" s="185" t="str">
        <f>IFERROR(VLOOKUP(A1986,Ativos!$A$1:$G2000,5,),"")</f>
        <v/>
      </c>
      <c r="K1986" s="185" t="str">
        <f>IFERROR(VLOOKUP(A1986,Ativos!A:H,8,),"")</f>
        <v/>
      </c>
      <c r="L1986" s="186">
        <f t="shared" si="3"/>
        <v>0</v>
      </c>
    </row>
    <row r="1987" ht="21.0" customHeight="1">
      <c r="A1987" s="187"/>
      <c r="B1987" s="187"/>
      <c r="C1987" s="188"/>
      <c r="D1987" s="135"/>
      <c r="E1987" s="189"/>
      <c r="F1987" s="182" t="str">
        <f t="shared" si="1"/>
        <v/>
      </c>
      <c r="G1987" s="183">
        <f>IFERROR(__xludf.DUMMYFUNCTION("IFERROR(lookup(9999999999,FILTER('Operações-BR'!$M:$M,'Operações-BR'!$C:$C=A1987,'Operações-BR'!$A:$A&lt;=C1987)),0)"),0.0)</f>
        <v>0</v>
      </c>
      <c r="H1987" s="184">
        <f t="shared" si="2"/>
        <v>0</v>
      </c>
      <c r="I1987" s="184">
        <f>IFERROR(__xludf.DUMMYFUNCTION("IFERROR(lookup(9999999999,FILTER('Operações-BR'!Q:Q,'Operações-BR'!$C:$C=A1987,'Operações-BR'!$A:$A&lt;=C1987))/G1987,0)"),0.0)</f>
        <v>0</v>
      </c>
      <c r="J1987" s="185" t="str">
        <f>IFERROR(VLOOKUP(A1987,Ativos!$A$1:$G2000,5,),"")</f>
        <v/>
      </c>
      <c r="K1987" s="185" t="str">
        <f>IFERROR(VLOOKUP(A1987,Ativos!A:H,8,),"")</f>
        <v/>
      </c>
      <c r="L1987" s="186">
        <f t="shared" si="3"/>
        <v>0</v>
      </c>
    </row>
    <row r="1988" ht="21.0" customHeight="1">
      <c r="A1988" s="187"/>
      <c r="B1988" s="187"/>
      <c r="C1988" s="188"/>
      <c r="D1988" s="135"/>
      <c r="E1988" s="189"/>
      <c r="F1988" s="182" t="str">
        <f t="shared" si="1"/>
        <v/>
      </c>
      <c r="G1988" s="183">
        <f>IFERROR(__xludf.DUMMYFUNCTION("IFERROR(lookup(9999999999,FILTER('Operações-BR'!$M:$M,'Operações-BR'!$C:$C=A1988,'Operações-BR'!$A:$A&lt;=C1988)),0)"),0.0)</f>
        <v>0</v>
      </c>
      <c r="H1988" s="184">
        <f t="shared" si="2"/>
        <v>0</v>
      </c>
      <c r="I1988" s="184">
        <f>IFERROR(__xludf.DUMMYFUNCTION("IFERROR(lookup(9999999999,FILTER('Operações-BR'!Q:Q,'Operações-BR'!$C:$C=A1988,'Operações-BR'!$A:$A&lt;=C1988))/G1988,0)"),0.0)</f>
        <v>0</v>
      </c>
      <c r="J1988" s="185" t="str">
        <f>IFERROR(VLOOKUP(A1988,Ativos!$A$1:$G2000,5,),"")</f>
        <v/>
      </c>
      <c r="K1988" s="185" t="str">
        <f>IFERROR(VLOOKUP(A1988,Ativos!A:H,8,),"")</f>
        <v/>
      </c>
      <c r="L1988" s="186">
        <f t="shared" si="3"/>
        <v>0</v>
      </c>
    </row>
    <row r="1989" ht="21.0" customHeight="1">
      <c r="A1989" s="187"/>
      <c r="B1989" s="187"/>
      <c r="C1989" s="188"/>
      <c r="D1989" s="135"/>
      <c r="E1989" s="189"/>
      <c r="F1989" s="182" t="str">
        <f t="shared" si="1"/>
        <v/>
      </c>
      <c r="G1989" s="183">
        <f>IFERROR(__xludf.DUMMYFUNCTION("IFERROR(lookup(9999999999,FILTER('Operações-BR'!$M:$M,'Operações-BR'!$C:$C=A1989,'Operações-BR'!$A:$A&lt;=C1989)),0)"),0.0)</f>
        <v>0</v>
      </c>
      <c r="H1989" s="184">
        <f t="shared" si="2"/>
        <v>0</v>
      </c>
      <c r="I1989" s="184">
        <f>IFERROR(__xludf.DUMMYFUNCTION("IFERROR(lookup(9999999999,FILTER('Operações-BR'!Q:Q,'Operações-BR'!$C:$C=A1989,'Operações-BR'!$A:$A&lt;=C1989))/G1989,0)"),0.0)</f>
        <v>0</v>
      </c>
      <c r="J1989" s="185" t="str">
        <f>IFERROR(VLOOKUP(A1989,Ativos!$A$1:$G2000,5,),"")</f>
        <v/>
      </c>
      <c r="K1989" s="185" t="str">
        <f>IFERROR(VLOOKUP(A1989,Ativos!A:H,8,),"")</f>
        <v/>
      </c>
      <c r="L1989" s="186">
        <f t="shared" si="3"/>
        <v>0</v>
      </c>
    </row>
    <row r="1990" ht="21.0" customHeight="1">
      <c r="A1990" s="187"/>
      <c r="B1990" s="187"/>
      <c r="C1990" s="188"/>
      <c r="D1990" s="135"/>
      <c r="E1990" s="189"/>
      <c r="F1990" s="182" t="str">
        <f t="shared" si="1"/>
        <v/>
      </c>
      <c r="G1990" s="183">
        <f>IFERROR(__xludf.DUMMYFUNCTION("IFERROR(lookup(9999999999,FILTER('Operações-BR'!$M:$M,'Operações-BR'!$C:$C=A1990,'Operações-BR'!$A:$A&lt;=C1990)),0)"),0.0)</f>
        <v>0</v>
      </c>
      <c r="H1990" s="184">
        <f t="shared" si="2"/>
        <v>0</v>
      </c>
      <c r="I1990" s="184">
        <f>IFERROR(__xludf.DUMMYFUNCTION("IFERROR(lookup(9999999999,FILTER('Operações-BR'!Q:Q,'Operações-BR'!$C:$C=A1990,'Operações-BR'!$A:$A&lt;=C1990))/G1990,0)"),0.0)</f>
        <v>0</v>
      </c>
      <c r="J1990" s="185" t="str">
        <f>IFERROR(VLOOKUP(A1990,Ativos!$A$1:$G2000,5,),"")</f>
        <v/>
      </c>
      <c r="K1990" s="185" t="str">
        <f>IFERROR(VLOOKUP(A1990,Ativos!A:H,8,),"")</f>
        <v/>
      </c>
      <c r="L1990" s="186">
        <f t="shared" si="3"/>
        <v>0</v>
      </c>
    </row>
    <row r="1991" ht="21.0" customHeight="1">
      <c r="A1991" s="187"/>
      <c r="B1991" s="187"/>
      <c r="C1991" s="188"/>
      <c r="D1991" s="135"/>
      <c r="E1991" s="189"/>
      <c r="F1991" s="182" t="str">
        <f t="shared" si="1"/>
        <v/>
      </c>
      <c r="G1991" s="183">
        <f>IFERROR(__xludf.DUMMYFUNCTION("IFERROR(lookup(9999999999,FILTER('Operações-BR'!$M:$M,'Operações-BR'!$C:$C=A1991,'Operações-BR'!$A:$A&lt;=C1991)),0)"),0.0)</f>
        <v>0</v>
      </c>
      <c r="H1991" s="184">
        <f t="shared" si="2"/>
        <v>0</v>
      </c>
      <c r="I1991" s="184">
        <f>IFERROR(__xludf.DUMMYFUNCTION("IFERROR(lookup(9999999999,FILTER('Operações-BR'!Q:Q,'Operações-BR'!$C:$C=A1991,'Operações-BR'!$A:$A&lt;=C1991))/G1991,0)"),0.0)</f>
        <v>0</v>
      </c>
      <c r="J1991" s="185" t="str">
        <f>IFERROR(VLOOKUP(A1991,Ativos!$A$1:$G2000,5,),"")</f>
        <v/>
      </c>
      <c r="K1991" s="185" t="str">
        <f>IFERROR(VLOOKUP(A1991,Ativos!A:H,8,),"")</f>
        <v/>
      </c>
      <c r="L1991" s="186">
        <f t="shared" si="3"/>
        <v>0</v>
      </c>
    </row>
    <row r="1992" ht="21.0" customHeight="1">
      <c r="A1992" s="187"/>
      <c r="B1992" s="187"/>
      <c r="C1992" s="188"/>
      <c r="D1992" s="135"/>
      <c r="E1992" s="189"/>
      <c r="F1992" s="182" t="str">
        <f t="shared" si="1"/>
        <v/>
      </c>
      <c r="G1992" s="183">
        <f>IFERROR(__xludf.DUMMYFUNCTION("IFERROR(lookup(9999999999,FILTER('Operações-BR'!$M:$M,'Operações-BR'!$C:$C=A1992,'Operações-BR'!$A:$A&lt;=C1992)),0)"),0.0)</f>
        <v>0</v>
      </c>
      <c r="H1992" s="184">
        <f t="shared" si="2"/>
        <v>0</v>
      </c>
      <c r="I1992" s="184">
        <f>IFERROR(__xludf.DUMMYFUNCTION("IFERROR(lookup(9999999999,FILTER('Operações-BR'!Q:Q,'Operações-BR'!$C:$C=A1992,'Operações-BR'!$A:$A&lt;=C1992))/G1992,0)"),0.0)</f>
        <v>0</v>
      </c>
      <c r="J1992" s="185" t="str">
        <f>IFERROR(VLOOKUP(A1992,Ativos!$A$1:$G2000,5,),"")</f>
        <v/>
      </c>
      <c r="K1992" s="185" t="str">
        <f>IFERROR(VLOOKUP(A1992,Ativos!A:H,8,),"")</f>
        <v/>
      </c>
      <c r="L1992" s="186">
        <f t="shared" si="3"/>
        <v>0</v>
      </c>
    </row>
    <row r="1993" ht="21.0" customHeight="1">
      <c r="A1993" s="187"/>
      <c r="B1993" s="187"/>
      <c r="C1993" s="188"/>
      <c r="D1993" s="135"/>
      <c r="E1993" s="189"/>
      <c r="F1993" s="182" t="str">
        <f t="shared" si="1"/>
        <v/>
      </c>
      <c r="G1993" s="183">
        <f>IFERROR(__xludf.DUMMYFUNCTION("IFERROR(lookup(9999999999,FILTER('Operações-BR'!$M:$M,'Operações-BR'!$C:$C=A1993,'Operações-BR'!$A:$A&lt;=C1993)),0)"),0.0)</f>
        <v>0</v>
      </c>
      <c r="H1993" s="184">
        <f t="shared" si="2"/>
        <v>0</v>
      </c>
      <c r="I1993" s="184">
        <f>IFERROR(__xludf.DUMMYFUNCTION("IFERROR(lookup(9999999999,FILTER('Operações-BR'!Q:Q,'Operações-BR'!$C:$C=A1993,'Operações-BR'!$A:$A&lt;=C1993))/G1993,0)"),0.0)</f>
        <v>0</v>
      </c>
      <c r="J1993" s="185" t="str">
        <f>IFERROR(VLOOKUP(A1993,Ativos!$A$1:$G2000,5,),"")</f>
        <v/>
      </c>
      <c r="K1993" s="185" t="str">
        <f>IFERROR(VLOOKUP(A1993,Ativos!A:H,8,),"")</f>
        <v/>
      </c>
      <c r="L1993" s="186">
        <f t="shared" si="3"/>
        <v>0</v>
      </c>
    </row>
    <row r="1994" ht="21.0" customHeight="1">
      <c r="A1994" s="187"/>
      <c r="B1994" s="187"/>
      <c r="C1994" s="188"/>
      <c r="D1994" s="135"/>
      <c r="E1994" s="189"/>
      <c r="F1994" s="182" t="str">
        <f t="shared" si="1"/>
        <v/>
      </c>
      <c r="G1994" s="183">
        <f>IFERROR(__xludf.DUMMYFUNCTION("IFERROR(lookup(9999999999,FILTER('Operações-BR'!$M:$M,'Operações-BR'!$C:$C=A1994,'Operações-BR'!$A:$A&lt;=C1994)),0)"),0.0)</f>
        <v>0</v>
      </c>
      <c r="H1994" s="184">
        <f t="shared" si="2"/>
        <v>0</v>
      </c>
      <c r="I1994" s="184">
        <f>IFERROR(__xludf.DUMMYFUNCTION("IFERROR(lookup(9999999999,FILTER('Operações-BR'!Q:Q,'Operações-BR'!$C:$C=A1994,'Operações-BR'!$A:$A&lt;=C1994))/G1994,0)"),0.0)</f>
        <v>0</v>
      </c>
      <c r="J1994" s="185" t="str">
        <f>IFERROR(VLOOKUP(A1994,Ativos!$A$1:$G2000,5,),"")</f>
        <v/>
      </c>
      <c r="K1994" s="185" t="str">
        <f>IFERROR(VLOOKUP(A1994,Ativos!A:H,8,),"")</f>
        <v/>
      </c>
      <c r="L1994" s="186">
        <f t="shared" si="3"/>
        <v>0</v>
      </c>
    </row>
    <row r="1995" ht="21.0" customHeight="1">
      <c r="A1995" s="187"/>
      <c r="B1995" s="187"/>
      <c r="C1995" s="188"/>
      <c r="D1995" s="135"/>
      <c r="E1995" s="189"/>
      <c r="F1995" s="182" t="str">
        <f t="shared" si="1"/>
        <v/>
      </c>
      <c r="G1995" s="183">
        <f>IFERROR(__xludf.DUMMYFUNCTION("IFERROR(lookup(9999999999,FILTER('Operações-BR'!$M:$M,'Operações-BR'!$C:$C=A1995,'Operações-BR'!$A:$A&lt;=C1995)),0)"),0.0)</f>
        <v>0</v>
      </c>
      <c r="H1995" s="184">
        <f t="shared" si="2"/>
        <v>0</v>
      </c>
      <c r="I1995" s="184">
        <f>IFERROR(__xludf.DUMMYFUNCTION("IFERROR(lookup(9999999999,FILTER('Operações-BR'!Q:Q,'Operações-BR'!$C:$C=A1995,'Operações-BR'!$A:$A&lt;=C1995))/G1995,0)"),0.0)</f>
        <v>0</v>
      </c>
      <c r="J1995" s="185" t="str">
        <f>IFERROR(VLOOKUP(A1995,Ativos!$A$1:$G2000,5,),"")</f>
        <v/>
      </c>
      <c r="K1995" s="185" t="str">
        <f>IFERROR(VLOOKUP(A1995,Ativos!A:H,8,),"")</f>
        <v/>
      </c>
      <c r="L1995" s="186">
        <f t="shared" si="3"/>
        <v>0</v>
      </c>
    </row>
    <row r="1996" ht="21.0" customHeight="1">
      <c r="A1996" s="187"/>
      <c r="B1996" s="187"/>
      <c r="C1996" s="188"/>
      <c r="D1996" s="135"/>
      <c r="E1996" s="189"/>
      <c r="F1996" s="182" t="str">
        <f t="shared" si="1"/>
        <v/>
      </c>
      <c r="G1996" s="183">
        <f>IFERROR(__xludf.DUMMYFUNCTION("IFERROR(lookup(9999999999,FILTER('Operações-BR'!$M:$M,'Operações-BR'!$C:$C=A1996,'Operações-BR'!$A:$A&lt;=C1996)),0)"),0.0)</f>
        <v>0</v>
      </c>
      <c r="H1996" s="184">
        <f t="shared" si="2"/>
        <v>0</v>
      </c>
      <c r="I1996" s="184">
        <f>IFERROR(__xludf.DUMMYFUNCTION("IFERROR(lookup(9999999999,FILTER('Operações-BR'!Q:Q,'Operações-BR'!$C:$C=A1996,'Operações-BR'!$A:$A&lt;=C1996))/G1996,0)"),0.0)</f>
        <v>0</v>
      </c>
      <c r="J1996" s="185" t="str">
        <f>IFERROR(VLOOKUP(A1996,Ativos!$A$1:$G2000,5,),"")</f>
        <v/>
      </c>
      <c r="K1996" s="185" t="str">
        <f>IFERROR(VLOOKUP(A1996,Ativos!A:H,8,),"")</f>
        <v/>
      </c>
      <c r="L1996" s="186">
        <f t="shared" si="3"/>
        <v>0</v>
      </c>
    </row>
    <row r="1997" ht="21.0" customHeight="1">
      <c r="A1997" s="187"/>
      <c r="B1997" s="187"/>
      <c r="C1997" s="188"/>
      <c r="D1997" s="135"/>
      <c r="E1997" s="189"/>
      <c r="F1997" s="182" t="str">
        <f t="shared" si="1"/>
        <v/>
      </c>
      <c r="G1997" s="183">
        <f>IFERROR(__xludf.DUMMYFUNCTION("IFERROR(lookup(9999999999,FILTER('Operações-BR'!$M:$M,'Operações-BR'!$C:$C=A1997,'Operações-BR'!$A:$A&lt;=C1997)),0)"),0.0)</f>
        <v>0</v>
      </c>
      <c r="H1997" s="184">
        <f t="shared" si="2"/>
        <v>0</v>
      </c>
      <c r="I1997" s="184">
        <f>IFERROR(__xludf.DUMMYFUNCTION("IFERROR(lookup(9999999999,FILTER('Operações-BR'!Q:Q,'Operações-BR'!$C:$C=A1997,'Operações-BR'!$A:$A&lt;=C1997))/G1997,0)"),0.0)</f>
        <v>0</v>
      </c>
      <c r="J1997" s="185" t="str">
        <f>IFERROR(VLOOKUP(A1997,Ativos!$A$1:$G2000,5,),"")</f>
        <v/>
      </c>
      <c r="K1997" s="185" t="str">
        <f>IFERROR(VLOOKUP(A1997,Ativos!A:H,8,),"")</f>
        <v/>
      </c>
      <c r="L1997" s="186">
        <f t="shared" si="3"/>
        <v>0</v>
      </c>
    </row>
    <row r="1998" ht="21.0" customHeight="1">
      <c r="A1998" s="187"/>
      <c r="B1998" s="187"/>
      <c r="C1998" s="188"/>
      <c r="D1998" s="135"/>
      <c r="E1998" s="189"/>
      <c r="F1998" s="182" t="str">
        <f t="shared" si="1"/>
        <v/>
      </c>
      <c r="G1998" s="183">
        <f>IFERROR(__xludf.DUMMYFUNCTION("IFERROR(lookup(9999999999,FILTER('Operações-BR'!$M:$M,'Operações-BR'!$C:$C=A1998,'Operações-BR'!$A:$A&lt;=C1998)),0)"),0.0)</f>
        <v>0</v>
      </c>
      <c r="H1998" s="184">
        <f t="shared" si="2"/>
        <v>0</v>
      </c>
      <c r="I1998" s="184">
        <f>IFERROR(__xludf.DUMMYFUNCTION("IFERROR(lookup(9999999999,FILTER('Operações-BR'!Q:Q,'Operações-BR'!$C:$C=A1998,'Operações-BR'!$A:$A&lt;=C1998))/G1998,0)"),0.0)</f>
        <v>0</v>
      </c>
      <c r="J1998" s="185" t="str">
        <f>IFERROR(VLOOKUP(A1998,Ativos!$A$1:$G2000,5,),"")</f>
        <v/>
      </c>
      <c r="K1998" s="185" t="str">
        <f>IFERROR(VLOOKUP(A1998,Ativos!A:H,8,),"")</f>
        <v/>
      </c>
      <c r="L1998" s="186">
        <f t="shared" si="3"/>
        <v>0</v>
      </c>
    </row>
    <row r="1999" ht="21.0" customHeight="1">
      <c r="A1999" s="187"/>
      <c r="B1999" s="187"/>
      <c r="C1999" s="188"/>
      <c r="D1999" s="135"/>
      <c r="E1999" s="189"/>
      <c r="F1999" s="182" t="str">
        <f t="shared" si="1"/>
        <v/>
      </c>
      <c r="G1999" s="183">
        <f>IFERROR(__xludf.DUMMYFUNCTION("IFERROR(lookup(9999999999,FILTER('Operações-BR'!$M:$M,'Operações-BR'!$C:$C=A1999,'Operações-BR'!$A:$A&lt;=C1999)),0)"),0.0)</f>
        <v>0</v>
      </c>
      <c r="H1999" s="184">
        <f t="shared" si="2"/>
        <v>0</v>
      </c>
      <c r="I1999" s="184">
        <f>IFERROR(__xludf.DUMMYFUNCTION("IFERROR(lookup(9999999999,FILTER('Operações-BR'!Q:Q,'Operações-BR'!$C:$C=A1999,'Operações-BR'!$A:$A&lt;=C1999))/G1999,0)"),0.0)</f>
        <v>0</v>
      </c>
      <c r="J1999" s="185" t="str">
        <f>IFERROR(VLOOKUP(A1999,Ativos!$A$1:$G2000,5,),"")</f>
        <v/>
      </c>
      <c r="K1999" s="185" t="str">
        <f>IFERROR(VLOOKUP(A1999,Ativos!A:H,8,),"")</f>
        <v/>
      </c>
      <c r="L1999" s="186">
        <f t="shared" si="3"/>
        <v>0</v>
      </c>
    </row>
    <row r="2000" ht="21.0" customHeight="1">
      <c r="A2000" s="187"/>
      <c r="B2000" s="187"/>
      <c r="C2000" s="188"/>
      <c r="D2000" s="135"/>
      <c r="E2000" s="189"/>
      <c r="F2000" s="182" t="str">
        <f t="shared" si="1"/>
        <v/>
      </c>
      <c r="G2000" s="183">
        <f>IFERROR(__xludf.DUMMYFUNCTION("IFERROR(lookup(9999999999,FILTER('Operações-BR'!$M:$M,'Operações-BR'!$C:$C=A2000,'Operações-BR'!$A:$A&lt;=C2000)),0)"),0.0)</f>
        <v>0</v>
      </c>
      <c r="H2000" s="184">
        <f t="shared" si="2"/>
        <v>0</v>
      </c>
      <c r="I2000" s="184">
        <f>IFERROR(__xludf.DUMMYFUNCTION("IFERROR(lookup(9999999999,FILTER('Operações-BR'!Q:Q,'Operações-BR'!$C:$C=A2000,'Operações-BR'!$A:$A&lt;=C2000))/G2000,0)"),0.0)</f>
        <v>0</v>
      </c>
      <c r="J2000" s="185" t="str">
        <f>IFERROR(VLOOKUP(A2000,Ativos!$A$1:$G2000,5,),"")</f>
        <v/>
      </c>
      <c r="K2000" s="185" t="str">
        <f>IFERROR(VLOOKUP(A2000,Ativos!A:H,8,),"")</f>
        <v/>
      </c>
      <c r="L2000" s="186">
        <f t="shared" si="3"/>
        <v>0</v>
      </c>
    </row>
  </sheetData>
  <conditionalFormatting sqref="B1:B2000">
    <cfRule type="cellIs" dxfId="1" priority="1" operator="equal">
      <formula>"R"</formula>
    </cfRule>
  </conditionalFormatting>
  <conditionalFormatting sqref="B1:B2000">
    <cfRule type="cellIs" dxfId="2" priority="2" operator="equal">
      <formula>"J"</formula>
    </cfRule>
  </conditionalFormatting>
  <conditionalFormatting sqref="B1:B2000">
    <cfRule type="cellIs" dxfId="18" priority="3" operator="equal">
      <formula>"D"</formula>
    </cfRule>
  </conditionalFormatting>
  <conditionalFormatting sqref="H1:I2000 L1:L2000 F2:G2000">
    <cfRule type="cellIs" dxfId="19" priority="4" operator="equal">
      <formula>0</formula>
    </cfRule>
  </conditionalFormatting>
  <conditionalFormatting sqref="F1:G2000">
    <cfRule type="cellIs" dxfId="19" priority="5" operator="equal">
      <formula>0</formula>
    </cfRule>
  </conditionalFormatting>
  <dataValidations>
    <dataValidation type="list" allowBlank="1" showInputMessage="1" showErrorMessage="1" prompt="Clique e insira uma das opções disponíveis." sqref="B2:B2000">
      <formula1>"R,D,J"</formula1>
    </dataValidation>
    <dataValidation type="list" allowBlank="1" showErrorMessage="1" sqref="A2:A2000">
      <formula1>Data!$J$2:$J2000</formula1>
    </dataValidation>
  </dataValidations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B5394"/>
    <outlinePr summaryBelow="0" summaryRight="0"/>
  </sheetPr>
  <sheetViews>
    <sheetView showGridLines="0"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75"/>
  <cols>
    <col customWidth="1" min="1" max="2" width="15.71"/>
    <col customWidth="1" min="3" max="3" width="7.0"/>
    <col customWidth="1" min="4" max="13" width="15.71"/>
  </cols>
  <sheetData>
    <row r="1" ht="11.25" customHeight="1">
      <c r="A1" s="199"/>
      <c r="B1" s="199"/>
      <c r="C1" s="199"/>
      <c r="D1" s="199"/>
      <c r="E1" s="199"/>
      <c r="F1" s="199"/>
      <c r="G1" s="199"/>
      <c r="H1" s="199"/>
      <c r="I1" s="199"/>
      <c r="J1" s="10"/>
      <c r="K1" s="10"/>
      <c r="L1" s="10"/>
      <c r="M1" s="10"/>
    </row>
    <row r="2" ht="18.75" customHeight="1">
      <c r="A2" s="199"/>
      <c r="B2" s="199"/>
      <c r="C2" s="199"/>
      <c r="D2" s="200" t="s">
        <v>177</v>
      </c>
      <c r="E2" s="201">
        <v>0.0</v>
      </c>
      <c r="G2" s="199"/>
      <c r="H2" s="200" t="s">
        <v>178</v>
      </c>
      <c r="I2" s="201">
        <f>Dashboard!C4+E2</f>
        <v>66644.86349</v>
      </c>
      <c r="K2" s="10"/>
      <c r="L2" s="10"/>
      <c r="M2" s="10"/>
    </row>
    <row r="3" ht="11.25" customHeight="1">
      <c r="A3" s="199"/>
      <c r="B3" s="199"/>
      <c r="C3" s="199"/>
      <c r="D3" s="202"/>
      <c r="E3" s="199"/>
      <c r="F3" s="199"/>
      <c r="G3" s="202"/>
      <c r="H3" s="202"/>
      <c r="I3" s="202"/>
      <c r="J3" s="202"/>
      <c r="K3" s="202"/>
      <c r="L3" s="203"/>
      <c r="M3" s="203"/>
    </row>
    <row r="4" ht="30.75" customHeight="1">
      <c r="A4" s="10"/>
      <c r="B4" s="10"/>
      <c r="C4" s="10"/>
      <c r="D4" s="204" t="s">
        <v>179</v>
      </c>
      <c r="F4" s="205"/>
      <c r="G4" s="206" t="s">
        <v>180</v>
      </c>
      <c r="I4" s="205"/>
      <c r="J4" s="206" t="s">
        <v>181</v>
      </c>
      <c r="L4" s="205"/>
      <c r="M4" s="10"/>
    </row>
    <row r="5" ht="30.75" customHeight="1">
      <c r="A5" s="10" t="s">
        <v>23</v>
      </c>
      <c r="B5" s="10" t="s">
        <v>11</v>
      </c>
      <c r="C5" s="10" t="s">
        <v>63</v>
      </c>
      <c r="D5" s="204" t="s">
        <v>182</v>
      </c>
      <c r="E5" s="10" t="s">
        <v>183</v>
      </c>
      <c r="F5" s="207" t="s">
        <v>184</v>
      </c>
      <c r="G5" s="206" t="s">
        <v>182</v>
      </c>
      <c r="H5" s="206" t="s">
        <v>183</v>
      </c>
      <c r="I5" s="208" t="s">
        <v>184</v>
      </c>
      <c r="J5" s="206" t="s">
        <v>182</v>
      </c>
      <c r="K5" s="206" t="s">
        <v>183</v>
      </c>
      <c r="L5" s="207" t="s">
        <v>184</v>
      </c>
      <c r="M5" s="10" t="s">
        <v>185</v>
      </c>
    </row>
    <row r="6" ht="30.75" customHeight="1">
      <c r="A6" s="209" t="str">
        <f>IFERROR(__xludf.DUMMYFUNCTION("IFERROR(UNIQUE(SORT(FILTER(DataCarteira!A2:A100,DataCarteira!C2:C100&gt;0,DataCarteira!I2:I100&lt;&gt;Data!$A$11),1,TRUE,2,FALSE)),"""")"),"AAPL34")</f>
        <v>AAPL34</v>
      </c>
      <c r="B6" s="210">
        <f>IFERROR(VLOOKUP(A6,DataCarteira!A:B,2,),0)</f>
        <v>79.19</v>
      </c>
      <c r="C6" s="209">
        <f>IFERROR(VLOOKUP(A6,Ativos!A:I,9,),0)</f>
        <v>0</v>
      </c>
      <c r="D6" s="211">
        <f>IFERROR(__xludf.DUMMYFUNCTION("iferror(INDEX(arrayformula(filter('Operações-BR'!M:M,'Operações-BR'!C:C&lt;&gt;"""",row('Operações-BR'!C:C)=max(if('Operações-BR'!C:C=A6,row('Operações-BR'!C:C),0)))) ,1),0)"),100.0)</f>
        <v>100</v>
      </c>
      <c r="E6" s="210">
        <f t="shared" ref="E6:E100" si="1">IFERROR(B6*D6,0)</f>
        <v>7919</v>
      </c>
      <c r="F6" s="212">
        <f t="shared" ref="F6:F100" si="2">IFERROR((E6/$I$2),0)</f>
        <v>0.1188238611</v>
      </c>
      <c r="G6" s="213">
        <f t="shared" ref="G6:G100" si="3">IFERROR(D6+J6,0)</f>
        <v>0</v>
      </c>
      <c r="H6" s="210">
        <f t="shared" ref="H6:H100" si="4">IFERROR(I6*$I$2,"")</f>
        <v>0</v>
      </c>
      <c r="I6" s="212">
        <f t="shared" ref="I6:I100" si="5">IFERROR(C6/SUM($C$6:$C100),"")</f>
        <v>0</v>
      </c>
      <c r="J6" s="214">
        <f t="shared" ref="J6:J100" si="6">IFERROR(K6/B6,"")</f>
        <v>-100</v>
      </c>
      <c r="K6" s="210">
        <f t="shared" ref="K6:K100" si="7">IFERROR(H6-E6,0)</f>
        <v>-7919</v>
      </c>
      <c r="L6" s="212">
        <f t="shared" ref="L6:L100" si="8">IFERROR((K6/$I$2),0)</f>
        <v>-0.1188238611</v>
      </c>
      <c r="M6" s="215" t="str">
        <f t="shared" ref="M6:M100" si="9">IF(ISBLANK(A6),"",IF(J6&gt;0,"Comprar","Aguardar"))</f>
        <v>Aguardar</v>
      </c>
    </row>
    <row r="7" ht="30.75" customHeight="1">
      <c r="A7" s="215" t="str">
        <f>IFERROR(__xludf.DUMMYFUNCTION("""COMPUTED_VALUE"""),"ABEV3")</f>
        <v>ABEV3</v>
      </c>
      <c r="B7" s="210">
        <f>IFERROR(VLOOKUP(A7,DataCarteira!A:B,2,),0)</f>
        <v>13.38</v>
      </c>
      <c r="C7" s="209">
        <f>IFERROR(VLOOKUP(A7,Ativos!A:I,9,),0)</f>
        <v>8</v>
      </c>
      <c r="D7" s="211">
        <f>IFERROR(__xludf.DUMMYFUNCTION("iferror(INDEX(arrayformula(filter('Operações-BR'!M:M,'Operações-BR'!C:C&lt;&gt;"""",row('Operações-BR'!C:C)=max(if('Operações-BR'!C:C=A7,row('Operações-BR'!C:C),0)))) ,1),0)"),100.0)</f>
        <v>100</v>
      </c>
      <c r="E7" s="210">
        <f t="shared" si="1"/>
        <v>1338</v>
      </c>
      <c r="F7" s="212">
        <f t="shared" si="2"/>
        <v>0.02007656599</v>
      </c>
      <c r="G7" s="213">
        <f t="shared" si="3"/>
        <v>675.3805426</v>
      </c>
      <c r="H7" s="210">
        <f t="shared" si="4"/>
        <v>9036.59166</v>
      </c>
      <c r="I7" s="212">
        <f t="shared" si="5"/>
        <v>0.1355932203</v>
      </c>
      <c r="J7" s="214">
        <f t="shared" si="6"/>
        <v>575.3805426</v>
      </c>
      <c r="K7" s="210">
        <f t="shared" si="7"/>
        <v>7698.59166</v>
      </c>
      <c r="L7" s="212">
        <f t="shared" si="8"/>
        <v>0.1155166543</v>
      </c>
      <c r="M7" s="215" t="str">
        <f t="shared" si="9"/>
        <v>Comprar</v>
      </c>
    </row>
    <row r="8" ht="30.75" customHeight="1">
      <c r="A8" s="209" t="str">
        <f>IFERROR(__xludf.DUMMYFUNCTION("""COMPUTED_VALUE"""),"HGBS11")</f>
        <v>HGBS11</v>
      </c>
      <c r="B8" s="210">
        <f>IFERROR(VLOOKUP(A8,DataCarteira!A:B,2,),0)</f>
        <v>163.7</v>
      </c>
      <c r="C8" s="209">
        <f>IFERROR(VLOOKUP(A8,Ativos!A:I,9,),0)</f>
        <v>8</v>
      </c>
      <c r="D8" s="211">
        <f>IFERROR(__xludf.DUMMYFUNCTION("iferror(INDEX(arrayformula(filter('Operações-BR'!M:M,'Operações-BR'!C:C&lt;&gt;"""",row('Operações-BR'!C:C)=max(if('Operações-BR'!C:C=A8,row('Operações-BR'!C:C),0)))) ,1),0)"),50.0)</f>
        <v>50</v>
      </c>
      <c r="E8" s="210">
        <f t="shared" si="1"/>
        <v>8185</v>
      </c>
      <c r="F8" s="212">
        <f t="shared" si="2"/>
        <v>0.1228151664</v>
      </c>
      <c r="G8" s="213">
        <f t="shared" si="3"/>
        <v>55.2021482</v>
      </c>
      <c r="H8" s="210">
        <f t="shared" si="4"/>
        <v>9036.59166</v>
      </c>
      <c r="I8" s="212">
        <f t="shared" si="5"/>
        <v>0.1355932203</v>
      </c>
      <c r="J8" s="214">
        <f t="shared" si="6"/>
        <v>5.202148195</v>
      </c>
      <c r="K8" s="210">
        <f t="shared" si="7"/>
        <v>851.5916595</v>
      </c>
      <c r="L8" s="212">
        <f t="shared" si="8"/>
        <v>0.01277805393</v>
      </c>
      <c r="M8" s="215" t="str">
        <f t="shared" si="9"/>
        <v>Comprar</v>
      </c>
    </row>
    <row r="9" ht="30.75" customHeight="1">
      <c r="A9" s="209" t="str">
        <f>IFERROR(__xludf.DUMMYFUNCTION("""COMPUTED_VALUE"""),"HGLG11")</f>
        <v>HGLG11</v>
      </c>
      <c r="B9" s="210">
        <f>IFERROR(VLOOKUP(A9,DataCarteira!A:B,2,),0)</f>
        <v>161.05</v>
      </c>
      <c r="C9" s="209">
        <f>IFERROR(VLOOKUP(A9,Ativos!A:I,9,),0)</f>
        <v>10</v>
      </c>
      <c r="D9" s="211">
        <f>IFERROR(__xludf.DUMMYFUNCTION("iferror(INDEX(arrayformula(filter('Operações-BR'!M:M,'Operações-BR'!C:C&lt;&gt;"""",row('Operações-BR'!C:C)=max(if('Operações-BR'!C:C=A9,row('Operações-BR'!C:C),0)))) ,1),0)"),100.0)</f>
        <v>100</v>
      </c>
      <c r="E9" s="210">
        <f t="shared" si="1"/>
        <v>16105</v>
      </c>
      <c r="F9" s="212">
        <f t="shared" si="2"/>
        <v>0.2416540324</v>
      </c>
      <c r="G9" s="213">
        <f t="shared" si="3"/>
        <v>70.13809112</v>
      </c>
      <c r="H9" s="210">
        <f t="shared" si="4"/>
        <v>11295.73957</v>
      </c>
      <c r="I9" s="212">
        <f t="shared" si="5"/>
        <v>0.1694915254</v>
      </c>
      <c r="J9" s="214">
        <f t="shared" si="6"/>
        <v>-29.86190888</v>
      </c>
      <c r="K9" s="210">
        <f t="shared" si="7"/>
        <v>-4809.260426</v>
      </c>
      <c r="L9" s="212">
        <f t="shared" si="8"/>
        <v>-0.07216250696</v>
      </c>
      <c r="M9" s="215" t="str">
        <f t="shared" si="9"/>
        <v>Aguardar</v>
      </c>
    </row>
    <row r="10" ht="30.75" customHeight="1">
      <c r="A10" s="209" t="str">
        <f>IFERROR(__xludf.DUMMYFUNCTION("""COMPUTED_VALUE"""),"KNRI11")</f>
        <v>KNRI11</v>
      </c>
      <c r="B10" s="210">
        <f>IFERROR(VLOOKUP(A10,DataCarteira!A:B,2,),0)</f>
        <v>130.1</v>
      </c>
      <c r="C10" s="209">
        <f>IFERROR(VLOOKUP(A10,Ativos!A:I,9,),0)</f>
        <v>10</v>
      </c>
      <c r="D10" s="211">
        <f>IFERROR(__xludf.DUMMYFUNCTION("iferror(INDEX(arrayformula(filter('Operações-BR'!M:M,'Operações-BR'!C:C&lt;&gt;"""",row('Operações-BR'!C:C)=max(if('Operações-BR'!C:C=A10,row('Operações-BR'!C:C),0)))) ,1),0)"),125.0)</f>
        <v>125</v>
      </c>
      <c r="E10" s="210">
        <f t="shared" si="1"/>
        <v>16262.5</v>
      </c>
      <c r="F10" s="212">
        <f t="shared" si="2"/>
        <v>0.2440173053</v>
      </c>
      <c r="G10" s="213">
        <f t="shared" si="3"/>
        <v>86.8235171</v>
      </c>
      <c r="H10" s="210">
        <f t="shared" si="4"/>
        <v>11295.73957</v>
      </c>
      <c r="I10" s="212">
        <f t="shared" si="5"/>
        <v>0.1694915254</v>
      </c>
      <c r="J10" s="214">
        <f t="shared" si="6"/>
        <v>-38.1764829</v>
      </c>
      <c r="K10" s="210">
        <f t="shared" si="7"/>
        <v>-4966.760426</v>
      </c>
      <c r="L10" s="212">
        <f t="shared" si="8"/>
        <v>-0.07452577987</v>
      </c>
      <c r="M10" s="215" t="str">
        <f t="shared" si="9"/>
        <v>Aguardar</v>
      </c>
    </row>
    <row r="11" ht="30.75" customHeight="1">
      <c r="A11" s="209" t="str">
        <f>IFERROR(__xludf.DUMMYFUNCTION("""COMPUTED_VALUE"""),"ODPV3")</f>
        <v>ODPV3</v>
      </c>
      <c r="B11" s="210">
        <f>IFERROR(VLOOKUP(A11,DataCarteira!A:B,2,),0)</f>
        <v>12.19</v>
      </c>
      <c r="C11" s="209">
        <f>IFERROR(VLOOKUP(A11,Ativos!A:I,9,),0)</f>
        <v>6</v>
      </c>
      <c r="D11" s="211">
        <f>IFERROR(__xludf.DUMMYFUNCTION("iferror(INDEX(arrayformula(filter('Operações-BR'!M:M,'Operações-BR'!C:C&lt;&gt;"""",row('Operações-BR'!C:C)=max(if('Operações-BR'!C:C=A11,row('Operações-BR'!C:C),0)))) ,1),0)"),150.0)</f>
        <v>150</v>
      </c>
      <c r="E11" s="210">
        <f t="shared" si="1"/>
        <v>1828.5</v>
      </c>
      <c r="F11" s="212">
        <f t="shared" si="2"/>
        <v>0.02743647303</v>
      </c>
      <c r="G11" s="213">
        <f t="shared" si="3"/>
        <v>555.9839003</v>
      </c>
      <c r="H11" s="210">
        <f t="shared" si="4"/>
        <v>6777.443745</v>
      </c>
      <c r="I11" s="212">
        <f t="shared" si="5"/>
        <v>0.1016949153</v>
      </c>
      <c r="J11" s="214">
        <f t="shared" si="6"/>
        <v>405.9839003</v>
      </c>
      <c r="K11" s="210">
        <f t="shared" si="7"/>
        <v>4948.943745</v>
      </c>
      <c r="L11" s="212">
        <f t="shared" si="8"/>
        <v>0.07425844222</v>
      </c>
      <c r="M11" s="215" t="str">
        <f t="shared" si="9"/>
        <v>Comprar</v>
      </c>
    </row>
    <row r="12" ht="30.75" customHeight="1">
      <c r="A12" s="215" t="str">
        <f>IFERROR(__xludf.DUMMYFUNCTION("""COMPUTED_VALUE"""),"RADL3")</f>
        <v>RADL3</v>
      </c>
      <c r="B12" s="210">
        <f>IFERROR(VLOOKUP(A12,DataCarteira!A:B,2,),0)</f>
        <v>22.36</v>
      </c>
      <c r="C12" s="209">
        <f>IFERROR(VLOOKUP(A12,Ativos!A:I,9,),0)</f>
        <v>7</v>
      </c>
      <c r="D12" s="211">
        <f>IFERROR(__xludf.DUMMYFUNCTION("iferror(INDEX(arrayformula(filter('Operações-BR'!M:M,'Operações-BR'!C:C&lt;&gt;"""",row('Operações-BR'!C:C)=max(if('Operações-BR'!C:C=A12,row('Operações-BR'!C:C),0)))) ,1),0)"),150.0)</f>
        <v>150</v>
      </c>
      <c r="E12" s="210">
        <f t="shared" si="1"/>
        <v>3354</v>
      </c>
      <c r="F12" s="212">
        <f t="shared" si="2"/>
        <v>0.05032645915</v>
      </c>
      <c r="G12" s="213">
        <f t="shared" si="3"/>
        <v>353.6233319</v>
      </c>
      <c r="H12" s="210">
        <f t="shared" si="4"/>
        <v>7907.017702</v>
      </c>
      <c r="I12" s="212">
        <f t="shared" si="5"/>
        <v>0.1186440678</v>
      </c>
      <c r="J12" s="214">
        <f t="shared" si="6"/>
        <v>203.6233319</v>
      </c>
      <c r="K12" s="210">
        <f t="shared" si="7"/>
        <v>4553.017702</v>
      </c>
      <c r="L12" s="212">
        <f t="shared" si="8"/>
        <v>0.06831760865</v>
      </c>
      <c r="M12" s="215" t="str">
        <f t="shared" si="9"/>
        <v>Comprar</v>
      </c>
    </row>
    <row r="13" ht="30.75" customHeight="1">
      <c r="A13" s="215" t="str">
        <f>IFERROR(__xludf.DUMMYFUNCTION("""COMPUTED_VALUE"""),"WEGE3")</f>
        <v>WEGE3</v>
      </c>
      <c r="B13" s="210">
        <f>IFERROR(VLOOKUP(A13,DataCarteira!A:B,2,),0)</f>
        <v>31.72</v>
      </c>
      <c r="C13" s="209">
        <f>IFERROR(VLOOKUP(A13,Ativos!A:I,9,),0)</f>
        <v>10</v>
      </c>
      <c r="D13" s="211">
        <f>IFERROR(__xludf.DUMMYFUNCTION("iferror(INDEX(arrayformula(filter('Operações-BR'!M:M,'Operações-BR'!C:C&lt;&gt;"""",row('Operações-BR'!C:C)=max(if('Operações-BR'!C:C=A13,row('Operações-BR'!C:C),0)))) ,1),0)"),200.0)</f>
        <v>200</v>
      </c>
      <c r="E13" s="210">
        <f t="shared" si="1"/>
        <v>6344</v>
      </c>
      <c r="F13" s="212">
        <f t="shared" si="2"/>
        <v>0.09519113204</v>
      </c>
      <c r="G13" s="213">
        <f t="shared" si="3"/>
        <v>356.107805</v>
      </c>
      <c r="H13" s="210">
        <f t="shared" si="4"/>
        <v>11295.73957</v>
      </c>
      <c r="I13" s="212">
        <f t="shared" si="5"/>
        <v>0.1694915254</v>
      </c>
      <c r="J13" s="214">
        <f t="shared" si="6"/>
        <v>156.107805</v>
      </c>
      <c r="K13" s="210">
        <f t="shared" si="7"/>
        <v>4951.739574</v>
      </c>
      <c r="L13" s="212">
        <f t="shared" si="8"/>
        <v>0.07430039339</v>
      </c>
      <c r="M13" s="215" t="str">
        <f t="shared" si="9"/>
        <v>Comprar</v>
      </c>
    </row>
    <row r="14" ht="30.75" customHeight="1">
      <c r="A14" s="215"/>
      <c r="B14" s="210">
        <f>IFERROR(VLOOKUP(A14,DataCarteira!A:B,2,),0)</f>
        <v>0</v>
      </c>
      <c r="C14" s="209">
        <f>IFERROR(VLOOKUP(A14,Ativos!A:I,9,),0)</f>
        <v>0</v>
      </c>
      <c r="D14" s="211">
        <f>IFERROR(__xludf.DUMMYFUNCTION("iferror(INDEX(arrayformula(filter('Operações-BR'!M:M,'Operações-BR'!C:C&lt;&gt;"""",row('Operações-BR'!C:C)=max(if('Operações-BR'!C:C=A14,row('Operações-BR'!C:C),0)))) ,1),0)"),0.0)</f>
        <v>0</v>
      </c>
      <c r="E14" s="210">
        <f t="shared" si="1"/>
        <v>0</v>
      </c>
      <c r="F14" s="212">
        <f t="shared" si="2"/>
        <v>0</v>
      </c>
      <c r="G14" s="213">
        <f t="shared" si="3"/>
        <v>0</v>
      </c>
      <c r="H14" s="210">
        <f t="shared" si="4"/>
        <v>0</v>
      </c>
      <c r="I14" s="212">
        <f t="shared" si="5"/>
        <v>0</v>
      </c>
      <c r="J14" s="214" t="str">
        <f t="shared" si="6"/>
        <v/>
      </c>
      <c r="K14" s="210">
        <f t="shared" si="7"/>
        <v>0</v>
      </c>
      <c r="L14" s="212">
        <f t="shared" si="8"/>
        <v>0</v>
      </c>
      <c r="M14" s="215" t="str">
        <f t="shared" si="9"/>
        <v/>
      </c>
    </row>
    <row r="15" ht="30.75" customHeight="1">
      <c r="A15" s="215"/>
      <c r="B15" s="210">
        <f>IFERROR(VLOOKUP(A15,DataCarteira!A:B,2,),0)</f>
        <v>0</v>
      </c>
      <c r="C15" s="209">
        <f>IFERROR(VLOOKUP(A15,Ativos!A:I,9,),0)</f>
        <v>0</v>
      </c>
      <c r="D15" s="211">
        <f>IFERROR(__xludf.DUMMYFUNCTION("iferror(INDEX(arrayformula(filter('Operações-BR'!M:M,'Operações-BR'!C:C&lt;&gt;"""",row('Operações-BR'!C:C)=max(if('Operações-BR'!C:C=A15,row('Operações-BR'!C:C),0)))) ,1),0)"),0.0)</f>
        <v>0</v>
      </c>
      <c r="E15" s="210">
        <f t="shared" si="1"/>
        <v>0</v>
      </c>
      <c r="F15" s="212">
        <f t="shared" si="2"/>
        <v>0</v>
      </c>
      <c r="G15" s="213">
        <f t="shared" si="3"/>
        <v>0</v>
      </c>
      <c r="H15" s="210">
        <f t="shared" si="4"/>
        <v>0</v>
      </c>
      <c r="I15" s="212">
        <f t="shared" si="5"/>
        <v>0</v>
      </c>
      <c r="J15" s="214" t="str">
        <f t="shared" si="6"/>
        <v/>
      </c>
      <c r="K15" s="210">
        <f t="shared" si="7"/>
        <v>0</v>
      </c>
      <c r="L15" s="212">
        <f t="shared" si="8"/>
        <v>0</v>
      </c>
      <c r="M15" s="215" t="str">
        <f t="shared" si="9"/>
        <v/>
      </c>
    </row>
    <row r="16" ht="30.75" customHeight="1">
      <c r="A16" s="209"/>
      <c r="B16" s="210">
        <f>IFERROR(VLOOKUP(A16,DataCarteira!A:B,2,),0)</f>
        <v>0</v>
      </c>
      <c r="C16" s="209">
        <f>IFERROR(VLOOKUP(A16,Ativos!A:I,9,),0)</f>
        <v>0</v>
      </c>
      <c r="D16" s="211">
        <f>IFERROR(__xludf.DUMMYFUNCTION("iferror(INDEX(arrayformula(filter('Operações-BR'!M:M,'Operações-BR'!C:C&lt;&gt;"""",row('Operações-BR'!C:C)=max(if('Operações-BR'!C:C=A16,row('Operações-BR'!C:C),0)))) ,1),0)"),0.0)</f>
        <v>0</v>
      </c>
      <c r="E16" s="210">
        <f t="shared" si="1"/>
        <v>0</v>
      </c>
      <c r="F16" s="212">
        <f t="shared" si="2"/>
        <v>0</v>
      </c>
      <c r="G16" s="213">
        <f t="shared" si="3"/>
        <v>0</v>
      </c>
      <c r="H16" s="210">
        <f t="shared" si="4"/>
        <v>0</v>
      </c>
      <c r="I16" s="212">
        <f t="shared" si="5"/>
        <v>0</v>
      </c>
      <c r="J16" s="214" t="str">
        <f t="shared" si="6"/>
        <v/>
      </c>
      <c r="K16" s="210">
        <f t="shared" si="7"/>
        <v>0</v>
      </c>
      <c r="L16" s="212">
        <f t="shared" si="8"/>
        <v>0</v>
      </c>
      <c r="M16" s="215" t="str">
        <f t="shared" si="9"/>
        <v/>
      </c>
    </row>
    <row r="17" ht="30.75" customHeight="1">
      <c r="A17" s="209"/>
      <c r="B17" s="210">
        <f>IFERROR(VLOOKUP(A17,DataCarteira!A:B,2,),0)</f>
        <v>0</v>
      </c>
      <c r="C17" s="209">
        <f>IFERROR(VLOOKUP(A17,Ativos!A:I,9,),0)</f>
        <v>0</v>
      </c>
      <c r="D17" s="211">
        <f>IFERROR(__xludf.DUMMYFUNCTION("iferror(INDEX(arrayformula(filter('Operações-BR'!M:M,'Operações-BR'!C:C&lt;&gt;"""",row('Operações-BR'!C:C)=max(if('Operações-BR'!C:C=A17,row('Operações-BR'!C:C),0)))) ,1),0)"),0.0)</f>
        <v>0</v>
      </c>
      <c r="E17" s="210">
        <f t="shared" si="1"/>
        <v>0</v>
      </c>
      <c r="F17" s="212">
        <f t="shared" si="2"/>
        <v>0</v>
      </c>
      <c r="G17" s="213">
        <f t="shared" si="3"/>
        <v>0</v>
      </c>
      <c r="H17" s="210">
        <f t="shared" si="4"/>
        <v>0</v>
      </c>
      <c r="I17" s="212">
        <f t="shared" si="5"/>
        <v>0</v>
      </c>
      <c r="J17" s="214" t="str">
        <f t="shared" si="6"/>
        <v/>
      </c>
      <c r="K17" s="210">
        <f t="shared" si="7"/>
        <v>0</v>
      </c>
      <c r="L17" s="212">
        <f t="shared" si="8"/>
        <v>0</v>
      </c>
      <c r="M17" s="215" t="str">
        <f t="shared" si="9"/>
        <v/>
      </c>
    </row>
    <row r="18" ht="30.75" customHeight="1">
      <c r="A18" s="215"/>
      <c r="B18" s="210">
        <f>IFERROR(VLOOKUP(A18,DataCarteira!A:B,2,),0)</f>
        <v>0</v>
      </c>
      <c r="C18" s="209">
        <f>IFERROR(VLOOKUP(A18,Ativos!A:I,9,),0)</f>
        <v>0</v>
      </c>
      <c r="D18" s="211">
        <f>IFERROR(__xludf.DUMMYFUNCTION("iferror(INDEX(arrayformula(filter('Operações-BR'!M:M,'Operações-BR'!C:C&lt;&gt;"""",row('Operações-BR'!C:C)=max(if('Operações-BR'!C:C=A18,row('Operações-BR'!C:C),0)))) ,1),0)"),0.0)</f>
        <v>0</v>
      </c>
      <c r="E18" s="210">
        <f t="shared" si="1"/>
        <v>0</v>
      </c>
      <c r="F18" s="212">
        <f t="shared" si="2"/>
        <v>0</v>
      </c>
      <c r="G18" s="213">
        <f t="shared" si="3"/>
        <v>0</v>
      </c>
      <c r="H18" s="210">
        <f t="shared" si="4"/>
        <v>0</v>
      </c>
      <c r="I18" s="212">
        <f t="shared" si="5"/>
        <v>0</v>
      </c>
      <c r="J18" s="214" t="str">
        <f t="shared" si="6"/>
        <v/>
      </c>
      <c r="K18" s="210">
        <f t="shared" si="7"/>
        <v>0</v>
      </c>
      <c r="L18" s="212">
        <f t="shared" si="8"/>
        <v>0</v>
      </c>
      <c r="M18" s="215" t="str">
        <f t="shared" si="9"/>
        <v/>
      </c>
    </row>
    <row r="19" ht="30.75" customHeight="1">
      <c r="A19" s="215"/>
      <c r="B19" s="210">
        <f>IFERROR(VLOOKUP(A19,DataCarteira!A:B,2,),0)</f>
        <v>0</v>
      </c>
      <c r="C19" s="209">
        <f>IFERROR(VLOOKUP(A19,Ativos!A:I,9,),0)</f>
        <v>0</v>
      </c>
      <c r="D19" s="211">
        <f>IFERROR(__xludf.DUMMYFUNCTION("iferror(INDEX(arrayformula(filter('Operações-BR'!M:M,'Operações-BR'!C:C&lt;&gt;"""",row('Operações-BR'!C:C)=max(if('Operações-BR'!C:C=A19,row('Operações-BR'!C:C),0)))) ,1),0)"),0.0)</f>
        <v>0</v>
      </c>
      <c r="E19" s="210">
        <f t="shared" si="1"/>
        <v>0</v>
      </c>
      <c r="F19" s="212">
        <f t="shared" si="2"/>
        <v>0</v>
      </c>
      <c r="G19" s="213">
        <f t="shared" si="3"/>
        <v>0</v>
      </c>
      <c r="H19" s="210">
        <f t="shared" si="4"/>
        <v>0</v>
      </c>
      <c r="I19" s="212">
        <f t="shared" si="5"/>
        <v>0</v>
      </c>
      <c r="J19" s="214" t="str">
        <f t="shared" si="6"/>
        <v/>
      </c>
      <c r="K19" s="210">
        <f t="shared" si="7"/>
        <v>0</v>
      </c>
      <c r="L19" s="212">
        <f t="shared" si="8"/>
        <v>0</v>
      </c>
      <c r="M19" s="215" t="str">
        <f t="shared" si="9"/>
        <v/>
      </c>
    </row>
    <row r="20" ht="30.75" customHeight="1">
      <c r="A20" s="215"/>
      <c r="B20" s="210">
        <f>IFERROR(VLOOKUP(A20,DataCarteira!A:B,2,),0)</f>
        <v>0</v>
      </c>
      <c r="C20" s="209">
        <f>IFERROR(VLOOKUP(A20,Ativos!A:I,9,),0)</f>
        <v>0</v>
      </c>
      <c r="D20" s="211">
        <f>IFERROR(__xludf.DUMMYFUNCTION("iferror(INDEX(arrayformula(filter('Operações-BR'!M:M,'Operações-BR'!C:C&lt;&gt;"""",row('Operações-BR'!C:C)=max(if('Operações-BR'!C:C=A20,row('Operações-BR'!C:C),0)))) ,1),0)"),0.0)</f>
        <v>0</v>
      </c>
      <c r="E20" s="210">
        <f t="shared" si="1"/>
        <v>0</v>
      </c>
      <c r="F20" s="212">
        <f t="shared" si="2"/>
        <v>0</v>
      </c>
      <c r="G20" s="213">
        <f t="shared" si="3"/>
        <v>0</v>
      </c>
      <c r="H20" s="210">
        <f t="shared" si="4"/>
        <v>0</v>
      </c>
      <c r="I20" s="212">
        <f t="shared" si="5"/>
        <v>0</v>
      </c>
      <c r="J20" s="214" t="str">
        <f t="shared" si="6"/>
        <v/>
      </c>
      <c r="K20" s="210">
        <f t="shared" si="7"/>
        <v>0</v>
      </c>
      <c r="L20" s="212">
        <f t="shared" si="8"/>
        <v>0</v>
      </c>
      <c r="M20" s="215" t="str">
        <f t="shared" si="9"/>
        <v/>
      </c>
    </row>
    <row r="21" ht="30.75" customHeight="1">
      <c r="A21" s="215"/>
      <c r="B21" s="210">
        <f>IFERROR(VLOOKUP(A21,DataCarteira!A:B,2,),0)</f>
        <v>0</v>
      </c>
      <c r="C21" s="209">
        <f>IFERROR(VLOOKUP(A21,Ativos!A:I,9,),0)</f>
        <v>0</v>
      </c>
      <c r="D21" s="211">
        <f>IFERROR(__xludf.DUMMYFUNCTION("iferror(INDEX(arrayformula(filter('Operações-BR'!M:M,'Operações-BR'!C:C&lt;&gt;"""",row('Operações-BR'!C:C)=max(if('Operações-BR'!C:C=A21,row('Operações-BR'!C:C),0)))) ,1),0)"),0.0)</f>
        <v>0</v>
      </c>
      <c r="E21" s="210">
        <f t="shared" si="1"/>
        <v>0</v>
      </c>
      <c r="F21" s="212">
        <f t="shared" si="2"/>
        <v>0</v>
      </c>
      <c r="G21" s="213">
        <f t="shared" si="3"/>
        <v>0</v>
      </c>
      <c r="H21" s="210">
        <f t="shared" si="4"/>
        <v>0</v>
      </c>
      <c r="I21" s="212">
        <f t="shared" si="5"/>
        <v>0</v>
      </c>
      <c r="J21" s="214" t="str">
        <f t="shared" si="6"/>
        <v/>
      </c>
      <c r="K21" s="210">
        <f t="shared" si="7"/>
        <v>0</v>
      </c>
      <c r="L21" s="212">
        <f t="shared" si="8"/>
        <v>0</v>
      </c>
      <c r="M21" s="215" t="str">
        <f t="shared" si="9"/>
        <v/>
      </c>
    </row>
    <row r="22" ht="30.75" customHeight="1">
      <c r="A22" s="215"/>
      <c r="B22" s="210">
        <f>IFERROR(VLOOKUP(A22,DataCarteira!A:B,2,),0)</f>
        <v>0</v>
      </c>
      <c r="C22" s="209">
        <f>IFERROR(VLOOKUP(A22,Ativos!A:I,9,),0)</f>
        <v>0</v>
      </c>
      <c r="D22" s="211">
        <f>IFERROR(__xludf.DUMMYFUNCTION("iferror(INDEX(arrayformula(filter('Operações-BR'!M:M,'Operações-BR'!C:C&lt;&gt;"""",row('Operações-BR'!C:C)=max(if('Operações-BR'!C:C=A22,row('Operações-BR'!C:C),0)))) ,1),0)"),0.0)</f>
        <v>0</v>
      </c>
      <c r="E22" s="210">
        <f t="shared" si="1"/>
        <v>0</v>
      </c>
      <c r="F22" s="212">
        <f t="shared" si="2"/>
        <v>0</v>
      </c>
      <c r="G22" s="213">
        <f t="shared" si="3"/>
        <v>0</v>
      </c>
      <c r="H22" s="210">
        <f t="shared" si="4"/>
        <v>0</v>
      </c>
      <c r="I22" s="212">
        <f t="shared" si="5"/>
        <v>0</v>
      </c>
      <c r="J22" s="214" t="str">
        <f t="shared" si="6"/>
        <v/>
      </c>
      <c r="K22" s="210">
        <f t="shared" si="7"/>
        <v>0</v>
      </c>
      <c r="L22" s="212">
        <f t="shared" si="8"/>
        <v>0</v>
      </c>
      <c r="M22" s="215" t="str">
        <f t="shared" si="9"/>
        <v/>
      </c>
    </row>
    <row r="23" ht="30.75" customHeight="1">
      <c r="A23" s="215"/>
      <c r="B23" s="210">
        <f>IFERROR(VLOOKUP(A23,DataCarteira!A:B,2,),0)</f>
        <v>0</v>
      </c>
      <c r="C23" s="209">
        <f>IFERROR(VLOOKUP(A23,Ativos!A:I,9,),0)</f>
        <v>0</v>
      </c>
      <c r="D23" s="211">
        <f>IFERROR(__xludf.DUMMYFUNCTION("iferror(INDEX(arrayformula(filter('Operações-BR'!M:M,'Operações-BR'!C:C&lt;&gt;"""",row('Operações-BR'!C:C)=max(if('Operações-BR'!C:C=A23,row('Operações-BR'!C:C),0)))) ,1),0)"),0.0)</f>
        <v>0</v>
      </c>
      <c r="E23" s="210">
        <f t="shared" si="1"/>
        <v>0</v>
      </c>
      <c r="F23" s="212">
        <f t="shared" si="2"/>
        <v>0</v>
      </c>
      <c r="G23" s="213">
        <f t="shared" si="3"/>
        <v>0</v>
      </c>
      <c r="H23" s="210">
        <f t="shared" si="4"/>
        <v>0</v>
      </c>
      <c r="I23" s="212">
        <f t="shared" si="5"/>
        <v>0</v>
      </c>
      <c r="J23" s="214" t="str">
        <f t="shared" si="6"/>
        <v/>
      </c>
      <c r="K23" s="210">
        <f t="shared" si="7"/>
        <v>0</v>
      </c>
      <c r="L23" s="212">
        <f t="shared" si="8"/>
        <v>0</v>
      </c>
      <c r="M23" s="215" t="str">
        <f t="shared" si="9"/>
        <v/>
      </c>
    </row>
    <row r="24" ht="30.75" customHeight="1">
      <c r="A24" s="215"/>
      <c r="B24" s="210">
        <f>IFERROR(VLOOKUP(A24,DataCarteira!A:B,2,),0)</f>
        <v>0</v>
      </c>
      <c r="C24" s="209">
        <f>IFERROR(VLOOKUP(A24,Ativos!A:I,9,),0)</f>
        <v>0</v>
      </c>
      <c r="D24" s="211">
        <f>IFERROR(__xludf.DUMMYFUNCTION("iferror(INDEX(arrayformula(filter('Operações-BR'!M:M,'Operações-BR'!C:C&lt;&gt;"""",row('Operações-BR'!C:C)=max(if('Operações-BR'!C:C=A24,row('Operações-BR'!C:C),0)))) ,1),0)"),0.0)</f>
        <v>0</v>
      </c>
      <c r="E24" s="210">
        <f t="shared" si="1"/>
        <v>0</v>
      </c>
      <c r="F24" s="212">
        <f t="shared" si="2"/>
        <v>0</v>
      </c>
      <c r="G24" s="213">
        <f t="shared" si="3"/>
        <v>0</v>
      </c>
      <c r="H24" s="210">
        <f t="shared" si="4"/>
        <v>0</v>
      </c>
      <c r="I24" s="212">
        <f t="shared" si="5"/>
        <v>0</v>
      </c>
      <c r="J24" s="214" t="str">
        <f t="shared" si="6"/>
        <v/>
      </c>
      <c r="K24" s="210">
        <f t="shared" si="7"/>
        <v>0</v>
      </c>
      <c r="L24" s="212">
        <f t="shared" si="8"/>
        <v>0</v>
      </c>
      <c r="M24" s="215" t="str">
        <f t="shared" si="9"/>
        <v/>
      </c>
    </row>
    <row r="25" ht="30.75" customHeight="1">
      <c r="A25" s="215"/>
      <c r="B25" s="210">
        <f>IFERROR(VLOOKUP(A25,DataCarteira!A:B,2,),0)</f>
        <v>0</v>
      </c>
      <c r="C25" s="209">
        <f>IFERROR(VLOOKUP(A25,Ativos!A:I,9,),0)</f>
        <v>0</v>
      </c>
      <c r="D25" s="211">
        <f>IFERROR(__xludf.DUMMYFUNCTION("iferror(INDEX(arrayformula(filter('Operações-BR'!M:M,'Operações-BR'!C:C&lt;&gt;"""",row('Operações-BR'!C:C)=max(if('Operações-BR'!C:C=A25,row('Operações-BR'!C:C),0)))) ,1),0)"),0.0)</f>
        <v>0</v>
      </c>
      <c r="E25" s="210">
        <f t="shared" si="1"/>
        <v>0</v>
      </c>
      <c r="F25" s="212">
        <f t="shared" si="2"/>
        <v>0</v>
      </c>
      <c r="G25" s="213">
        <f t="shared" si="3"/>
        <v>0</v>
      </c>
      <c r="H25" s="210">
        <f t="shared" si="4"/>
        <v>0</v>
      </c>
      <c r="I25" s="212">
        <f t="shared" si="5"/>
        <v>0</v>
      </c>
      <c r="J25" s="214" t="str">
        <f t="shared" si="6"/>
        <v/>
      </c>
      <c r="K25" s="210">
        <f t="shared" si="7"/>
        <v>0</v>
      </c>
      <c r="L25" s="212">
        <f t="shared" si="8"/>
        <v>0</v>
      </c>
      <c r="M25" s="215" t="str">
        <f t="shared" si="9"/>
        <v/>
      </c>
    </row>
    <row r="26" ht="30.75" customHeight="1">
      <c r="A26" s="215"/>
      <c r="B26" s="210">
        <f>IFERROR(VLOOKUP(A26,DataCarteira!A:B,2,),0)</f>
        <v>0</v>
      </c>
      <c r="C26" s="209">
        <f>IFERROR(VLOOKUP(A26,Ativos!A:I,9,),0)</f>
        <v>0</v>
      </c>
      <c r="D26" s="211">
        <f>IFERROR(__xludf.DUMMYFUNCTION("iferror(INDEX(arrayformula(filter('Operações-BR'!M:M,'Operações-BR'!C:C&lt;&gt;"""",row('Operações-BR'!C:C)=max(if('Operações-BR'!C:C=A26,row('Operações-BR'!C:C),0)))) ,1),0)"),0.0)</f>
        <v>0</v>
      </c>
      <c r="E26" s="210">
        <f t="shared" si="1"/>
        <v>0</v>
      </c>
      <c r="F26" s="212">
        <f t="shared" si="2"/>
        <v>0</v>
      </c>
      <c r="G26" s="213">
        <f t="shared" si="3"/>
        <v>0</v>
      </c>
      <c r="H26" s="210">
        <f t="shared" si="4"/>
        <v>0</v>
      </c>
      <c r="I26" s="212">
        <f t="shared" si="5"/>
        <v>0</v>
      </c>
      <c r="J26" s="214" t="str">
        <f t="shared" si="6"/>
        <v/>
      </c>
      <c r="K26" s="210">
        <f t="shared" si="7"/>
        <v>0</v>
      </c>
      <c r="L26" s="212">
        <f t="shared" si="8"/>
        <v>0</v>
      </c>
      <c r="M26" s="215" t="str">
        <f t="shared" si="9"/>
        <v/>
      </c>
    </row>
    <row r="27" ht="30.75" customHeight="1">
      <c r="A27" s="215"/>
      <c r="B27" s="210">
        <f>IFERROR(VLOOKUP(A27,DataCarteira!A:B,2,),0)</f>
        <v>0</v>
      </c>
      <c r="C27" s="209">
        <f>IFERROR(VLOOKUP(A27,Ativos!A:I,9,),0)</f>
        <v>0</v>
      </c>
      <c r="D27" s="211">
        <f>IFERROR(__xludf.DUMMYFUNCTION("iferror(INDEX(arrayformula(filter('Operações-BR'!M:M,'Operações-BR'!C:C&lt;&gt;"""",row('Operações-BR'!C:C)=max(if('Operações-BR'!C:C=A27,row('Operações-BR'!C:C),0)))) ,1),0)"),0.0)</f>
        <v>0</v>
      </c>
      <c r="E27" s="210">
        <f t="shared" si="1"/>
        <v>0</v>
      </c>
      <c r="F27" s="212">
        <f t="shared" si="2"/>
        <v>0</v>
      </c>
      <c r="G27" s="213">
        <f t="shared" si="3"/>
        <v>0</v>
      </c>
      <c r="H27" s="210">
        <f t="shared" si="4"/>
        <v>0</v>
      </c>
      <c r="I27" s="212">
        <f t="shared" si="5"/>
        <v>0</v>
      </c>
      <c r="J27" s="214" t="str">
        <f t="shared" si="6"/>
        <v/>
      </c>
      <c r="K27" s="210">
        <f t="shared" si="7"/>
        <v>0</v>
      </c>
      <c r="L27" s="212">
        <f t="shared" si="8"/>
        <v>0</v>
      </c>
      <c r="M27" s="215" t="str">
        <f t="shared" si="9"/>
        <v/>
      </c>
    </row>
    <row r="28" ht="30.75" customHeight="1">
      <c r="A28" s="215"/>
      <c r="B28" s="210">
        <f>IFERROR(VLOOKUP(A28,DataCarteira!A:B,2,),0)</f>
        <v>0</v>
      </c>
      <c r="C28" s="209">
        <f>IFERROR(VLOOKUP(A28,Ativos!A:I,9,),0)</f>
        <v>0</v>
      </c>
      <c r="D28" s="211">
        <f>IFERROR(__xludf.DUMMYFUNCTION("iferror(INDEX(arrayformula(filter('Operações-BR'!M:M,'Operações-BR'!C:C&lt;&gt;"""",row('Operações-BR'!C:C)=max(if('Operações-BR'!C:C=A28,row('Operações-BR'!C:C),0)))) ,1),0)"),0.0)</f>
        <v>0</v>
      </c>
      <c r="E28" s="210">
        <f t="shared" si="1"/>
        <v>0</v>
      </c>
      <c r="F28" s="212">
        <f t="shared" si="2"/>
        <v>0</v>
      </c>
      <c r="G28" s="213">
        <f t="shared" si="3"/>
        <v>0</v>
      </c>
      <c r="H28" s="210">
        <f t="shared" si="4"/>
        <v>0</v>
      </c>
      <c r="I28" s="212">
        <f t="shared" si="5"/>
        <v>0</v>
      </c>
      <c r="J28" s="214" t="str">
        <f t="shared" si="6"/>
        <v/>
      </c>
      <c r="K28" s="210">
        <f t="shared" si="7"/>
        <v>0</v>
      </c>
      <c r="L28" s="212">
        <f t="shared" si="8"/>
        <v>0</v>
      </c>
      <c r="M28" s="215" t="str">
        <f t="shared" si="9"/>
        <v/>
      </c>
    </row>
    <row r="29" ht="30.75" customHeight="1">
      <c r="A29" s="215"/>
      <c r="B29" s="210">
        <f>IFERROR(VLOOKUP(A29,DataCarteira!A:B,2,),0)</f>
        <v>0</v>
      </c>
      <c r="C29" s="209">
        <f>IFERROR(VLOOKUP(A29,Ativos!A:I,9,),0)</f>
        <v>0</v>
      </c>
      <c r="D29" s="211">
        <f>IFERROR(__xludf.DUMMYFUNCTION("iferror(INDEX(arrayformula(filter('Operações-BR'!M:M,'Operações-BR'!C:C&lt;&gt;"""",row('Operações-BR'!C:C)=max(if('Operações-BR'!C:C=A29,row('Operações-BR'!C:C),0)))) ,1),0)"),0.0)</f>
        <v>0</v>
      </c>
      <c r="E29" s="210">
        <f t="shared" si="1"/>
        <v>0</v>
      </c>
      <c r="F29" s="212">
        <f t="shared" si="2"/>
        <v>0</v>
      </c>
      <c r="G29" s="213">
        <f t="shared" si="3"/>
        <v>0</v>
      </c>
      <c r="H29" s="210">
        <f t="shared" si="4"/>
        <v>0</v>
      </c>
      <c r="I29" s="212">
        <f t="shared" si="5"/>
        <v>0</v>
      </c>
      <c r="J29" s="214" t="str">
        <f t="shared" si="6"/>
        <v/>
      </c>
      <c r="K29" s="210">
        <f t="shared" si="7"/>
        <v>0</v>
      </c>
      <c r="L29" s="212">
        <f t="shared" si="8"/>
        <v>0</v>
      </c>
      <c r="M29" s="215" t="str">
        <f t="shared" si="9"/>
        <v/>
      </c>
    </row>
    <row r="30" ht="30.75" customHeight="1">
      <c r="A30" s="215"/>
      <c r="B30" s="210">
        <f>IFERROR(VLOOKUP(A30,DataCarteira!A:B,2,),0)</f>
        <v>0</v>
      </c>
      <c r="C30" s="209">
        <f>IFERROR(VLOOKUP(A30,Ativos!A:I,9,),0)</f>
        <v>0</v>
      </c>
      <c r="D30" s="211">
        <f>IFERROR(__xludf.DUMMYFUNCTION("iferror(INDEX(arrayformula(filter('Operações-BR'!M:M,'Operações-BR'!C:C&lt;&gt;"""",row('Operações-BR'!C:C)=max(if('Operações-BR'!C:C=A30,row('Operações-BR'!C:C),0)))) ,1),0)"),0.0)</f>
        <v>0</v>
      </c>
      <c r="E30" s="210">
        <f t="shared" si="1"/>
        <v>0</v>
      </c>
      <c r="F30" s="212">
        <f t="shared" si="2"/>
        <v>0</v>
      </c>
      <c r="G30" s="213">
        <f t="shared" si="3"/>
        <v>0</v>
      </c>
      <c r="H30" s="210">
        <f t="shared" si="4"/>
        <v>0</v>
      </c>
      <c r="I30" s="212">
        <f t="shared" si="5"/>
        <v>0</v>
      </c>
      <c r="J30" s="214" t="str">
        <f t="shared" si="6"/>
        <v/>
      </c>
      <c r="K30" s="210">
        <f t="shared" si="7"/>
        <v>0</v>
      </c>
      <c r="L30" s="212">
        <f t="shared" si="8"/>
        <v>0</v>
      </c>
      <c r="M30" s="215" t="str">
        <f t="shared" si="9"/>
        <v/>
      </c>
    </row>
    <row r="31" ht="30.75" customHeight="1">
      <c r="A31" s="215"/>
      <c r="B31" s="210">
        <f>IFERROR(VLOOKUP(A31,DataCarteira!A:B,2,),0)</f>
        <v>0</v>
      </c>
      <c r="C31" s="209">
        <f>IFERROR(VLOOKUP(A31,Ativos!A:I,9,),0)</f>
        <v>0</v>
      </c>
      <c r="D31" s="211">
        <f>IFERROR(__xludf.DUMMYFUNCTION("iferror(INDEX(arrayformula(filter('Operações-BR'!M:M,'Operações-BR'!C:C&lt;&gt;"""",row('Operações-BR'!C:C)=max(if('Operações-BR'!C:C=A31,row('Operações-BR'!C:C),0)))) ,1),0)"),0.0)</f>
        <v>0</v>
      </c>
      <c r="E31" s="210">
        <f t="shared" si="1"/>
        <v>0</v>
      </c>
      <c r="F31" s="212">
        <f t="shared" si="2"/>
        <v>0</v>
      </c>
      <c r="G31" s="213">
        <f t="shared" si="3"/>
        <v>0</v>
      </c>
      <c r="H31" s="210">
        <f t="shared" si="4"/>
        <v>0</v>
      </c>
      <c r="I31" s="212">
        <f t="shared" si="5"/>
        <v>0</v>
      </c>
      <c r="J31" s="214" t="str">
        <f t="shared" si="6"/>
        <v/>
      </c>
      <c r="K31" s="210">
        <f t="shared" si="7"/>
        <v>0</v>
      </c>
      <c r="L31" s="212">
        <f t="shared" si="8"/>
        <v>0</v>
      </c>
      <c r="M31" s="215" t="str">
        <f t="shared" si="9"/>
        <v/>
      </c>
    </row>
    <row r="32" ht="30.75" customHeight="1">
      <c r="A32" s="215"/>
      <c r="B32" s="210">
        <f>IFERROR(VLOOKUP(A32,DataCarteira!A:B,2,),0)</f>
        <v>0</v>
      </c>
      <c r="C32" s="209">
        <f>IFERROR(VLOOKUP(A32,Ativos!A:I,9,),0)</f>
        <v>0</v>
      </c>
      <c r="D32" s="211">
        <f>IFERROR(__xludf.DUMMYFUNCTION("iferror(INDEX(arrayformula(filter('Operações-BR'!M:M,'Operações-BR'!C:C&lt;&gt;"""",row('Operações-BR'!C:C)=max(if('Operações-BR'!C:C=A32,row('Operações-BR'!C:C),0)))) ,1),0)"),0.0)</f>
        <v>0</v>
      </c>
      <c r="E32" s="210">
        <f t="shared" si="1"/>
        <v>0</v>
      </c>
      <c r="F32" s="212">
        <f t="shared" si="2"/>
        <v>0</v>
      </c>
      <c r="G32" s="213">
        <f t="shared" si="3"/>
        <v>0</v>
      </c>
      <c r="H32" s="210">
        <f t="shared" si="4"/>
        <v>0</v>
      </c>
      <c r="I32" s="212">
        <f t="shared" si="5"/>
        <v>0</v>
      </c>
      <c r="J32" s="214" t="str">
        <f t="shared" si="6"/>
        <v/>
      </c>
      <c r="K32" s="210">
        <f t="shared" si="7"/>
        <v>0</v>
      </c>
      <c r="L32" s="212">
        <f t="shared" si="8"/>
        <v>0</v>
      </c>
      <c r="M32" s="215" t="str">
        <f t="shared" si="9"/>
        <v/>
      </c>
    </row>
    <row r="33" ht="30.75" customHeight="1">
      <c r="A33" s="215"/>
      <c r="B33" s="210">
        <f>IFERROR(VLOOKUP(A33,DataCarteira!A:B,2,),0)</f>
        <v>0</v>
      </c>
      <c r="C33" s="209">
        <f>IFERROR(VLOOKUP(A33,Ativos!A:I,9,),0)</f>
        <v>0</v>
      </c>
      <c r="D33" s="211">
        <f>IFERROR(__xludf.DUMMYFUNCTION("iferror(INDEX(arrayformula(filter('Operações-BR'!M:M,'Operações-BR'!C:C&lt;&gt;"""",row('Operações-BR'!C:C)=max(if('Operações-BR'!C:C=A33,row('Operações-BR'!C:C),0)))) ,1),0)"),0.0)</f>
        <v>0</v>
      </c>
      <c r="E33" s="210">
        <f t="shared" si="1"/>
        <v>0</v>
      </c>
      <c r="F33" s="212">
        <f t="shared" si="2"/>
        <v>0</v>
      </c>
      <c r="G33" s="213">
        <f t="shared" si="3"/>
        <v>0</v>
      </c>
      <c r="H33" s="210">
        <f t="shared" si="4"/>
        <v>0</v>
      </c>
      <c r="I33" s="212">
        <f t="shared" si="5"/>
        <v>0</v>
      </c>
      <c r="J33" s="214" t="str">
        <f t="shared" si="6"/>
        <v/>
      </c>
      <c r="K33" s="210">
        <f t="shared" si="7"/>
        <v>0</v>
      </c>
      <c r="L33" s="212">
        <f t="shared" si="8"/>
        <v>0</v>
      </c>
      <c r="M33" s="215" t="str">
        <f t="shared" si="9"/>
        <v/>
      </c>
    </row>
    <row r="34" ht="30.75" customHeight="1">
      <c r="A34" s="215"/>
      <c r="B34" s="210">
        <f>IFERROR(VLOOKUP(A34,DataCarteira!A:B,2,),0)</f>
        <v>0</v>
      </c>
      <c r="C34" s="209">
        <f>IFERROR(VLOOKUP(A34,Ativos!A:I,9,),0)</f>
        <v>0</v>
      </c>
      <c r="D34" s="211">
        <f>IFERROR(__xludf.DUMMYFUNCTION("iferror(INDEX(arrayformula(filter('Operações-BR'!M:M,'Operações-BR'!C:C&lt;&gt;"""",row('Operações-BR'!C:C)=max(if('Operações-BR'!C:C=A34,row('Operações-BR'!C:C),0)))) ,1),0)"),0.0)</f>
        <v>0</v>
      </c>
      <c r="E34" s="210">
        <f t="shared" si="1"/>
        <v>0</v>
      </c>
      <c r="F34" s="212">
        <f t="shared" si="2"/>
        <v>0</v>
      </c>
      <c r="G34" s="213">
        <f t="shared" si="3"/>
        <v>0</v>
      </c>
      <c r="H34" s="210">
        <f t="shared" si="4"/>
        <v>0</v>
      </c>
      <c r="I34" s="212">
        <f t="shared" si="5"/>
        <v>0</v>
      </c>
      <c r="J34" s="214" t="str">
        <f t="shared" si="6"/>
        <v/>
      </c>
      <c r="K34" s="210">
        <f t="shared" si="7"/>
        <v>0</v>
      </c>
      <c r="L34" s="212">
        <f t="shared" si="8"/>
        <v>0</v>
      </c>
      <c r="M34" s="215" t="str">
        <f t="shared" si="9"/>
        <v/>
      </c>
    </row>
    <row r="35" ht="30.75" customHeight="1">
      <c r="A35" s="215"/>
      <c r="B35" s="210">
        <f>IFERROR(VLOOKUP(A35,DataCarteira!A:B,2,),0)</f>
        <v>0</v>
      </c>
      <c r="C35" s="209">
        <f>IFERROR(VLOOKUP(A35,Ativos!A:I,9,),0)</f>
        <v>0</v>
      </c>
      <c r="D35" s="211">
        <f>IFERROR(__xludf.DUMMYFUNCTION("iferror(INDEX(arrayformula(filter('Operações-BR'!M:M,'Operações-BR'!C:C&lt;&gt;"""",row('Operações-BR'!C:C)=max(if('Operações-BR'!C:C=A35,row('Operações-BR'!C:C),0)))) ,1),0)"),0.0)</f>
        <v>0</v>
      </c>
      <c r="E35" s="210">
        <f t="shared" si="1"/>
        <v>0</v>
      </c>
      <c r="F35" s="212">
        <f t="shared" si="2"/>
        <v>0</v>
      </c>
      <c r="G35" s="213">
        <f t="shared" si="3"/>
        <v>0</v>
      </c>
      <c r="H35" s="210">
        <f t="shared" si="4"/>
        <v>0</v>
      </c>
      <c r="I35" s="212">
        <f t="shared" si="5"/>
        <v>0</v>
      </c>
      <c r="J35" s="214" t="str">
        <f t="shared" si="6"/>
        <v/>
      </c>
      <c r="K35" s="210">
        <f t="shared" si="7"/>
        <v>0</v>
      </c>
      <c r="L35" s="212">
        <f t="shared" si="8"/>
        <v>0</v>
      </c>
      <c r="M35" s="215" t="str">
        <f t="shared" si="9"/>
        <v/>
      </c>
    </row>
    <row r="36" ht="30.75" customHeight="1">
      <c r="A36" s="215"/>
      <c r="B36" s="210">
        <f>IFERROR(VLOOKUP(A36,DataCarteira!A:B,2,),0)</f>
        <v>0</v>
      </c>
      <c r="C36" s="209">
        <f>IFERROR(VLOOKUP(A36,Ativos!A:I,9,),0)</f>
        <v>0</v>
      </c>
      <c r="D36" s="211">
        <f>IFERROR(__xludf.DUMMYFUNCTION("iferror(INDEX(arrayformula(filter('Operações-BR'!M:M,'Operações-BR'!C:C&lt;&gt;"""",row('Operações-BR'!C:C)=max(if('Operações-BR'!C:C=A36,row('Operações-BR'!C:C),0)))) ,1),0)"),0.0)</f>
        <v>0</v>
      </c>
      <c r="E36" s="210">
        <f t="shared" si="1"/>
        <v>0</v>
      </c>
      <c r="F36" s="212">
        <f t="shared" si="2"/>
        <v>0</v>
      </c>
      <c r="G36" s="213">
        <f t="shared" si="3"/>
        <v>0</v>
      </c>
      <c r="H36" s="210">
        <f t="shared" si="4"/>
        <v>0</v>
      </c>
      <c r="I36" s="212">
        <f t="shared" si="5"/>
        <v>0</v>
      </c>
      <c r="J36" s="214" t="str">
        <f t="shared" si="6"/>
        <v/>
      </c>
      <c r="K36" s="210">
        <f t="shared" si="7"/>
        <v>0</v>
      </c>
      <c r="L36" s="212">
        <f t="shared" si="8"/>
        <v>0</v>
      </c>
      <c r="M36" s="215" t="str">
        <f t="shared" si="9"/>
        <v/>
      </c>
    </row>
    <row r="37" ht="30.75" customHeight="1">
      <c r="A37" s="215"/>
      <c r="B37" s="210">
        <f>IFERROR(VLOOKUP(A37,DataCarteira!A:B,2,),0)</f>
        <v>0</v>
      </c>
      <c r="C37" s="209">
        <f>IFERROR(VLOOKUP(A37,Ativos!A:I,9,),0)</f>
        <v>0</v>
      </c>
      <c r="D37" s="211">
        <f>IFERROR(__xludf.DUMMYFUNCTION("iferror(INDEX(arrayformula(filter('Operações-BR'!M:M,'Operações-BR'!C:C&lt;&gt;"""",row('Operações-BR'!C:C)=max(if('Operações-BR'!C:C=A37,row('Operações-BR'!C:C),0)))) ,1),0)"),0.0)</f>
        <v>0</v>
      </c>
      <c r="E37" s="210">
        <f t="shared" si="1"/>
        <v>0</v>
      </c>
      <c r="F37" s="212">
        <f t="shared" si="2"/>
        <v>0</v>
      </c>
      <c r="G37" s="213">
        <f t="shared" si="3"/>
        <v>0</v>
      </c>
      <c r="H37" s="210">
        <f t="shared" si="4"/>
        <v>0</v>
      </c>
      <c r="I37" s="212">
        <f t="shared" si="5"/>
        <v>0</v>
      </c>
      <c r="J37" s="214" t="str">
        <f t="shared" si="6"/>
        <v/>
      </c>
      <c r="K37" s="210">
        <f t="shared" si="7"/>
        <v>0</v>
      </c>
      <c r="L37" s="212">
        <f t="shared" si="8"/>
        <v>0</v>
      </c>
      <c r="M37" s="215" t="str">
        <f t="shared" si="9"/>
        <v/>
      </c>
    </row>
    <row r="38" ht="30.75" customHeight="1">
      <c r="A38" s="215"/>
      <c r="B38" s="210">
        <f>IFERROR(VLOOKUP(A38,DataCarteira!A:B,2,),0)</f>
        <v>0</v>
      </c>
      <c r="C38" s="209">
        <f>IFERROR(VLOOKUP(A38,Ativos!A:I,9,),0)</f>
        <v>0</v>
      </c>
      <c r="D38" s="211">
        <f>IFERROR(__xludf.DUMMYFUNCTION("iferror(INDEX(arrayformula(filter('Operações-BR'!M:M,'Operações-BR'!C:C&lt;&gt;"""",row('Operações-BR'!C:C)=max(if('Operações-BR'!C:C=A38,row('Operações-BR'!C:C),0)))) ,1),0)"),0.0)</f>
        <v>0</v>
      </c>
      <c r="E38" s="210">
        <f t="shared" si="1"/>
        <v>0</v>
      </c>
      <c r="F38" s="212">
        <f t="shared" si="2"/>
        <v>0</v>
      </c>
      <c r="G38" s="213">
        <f t="shared" si="3"/>
        <v>0</v>
      </c>
      <c r="H38" s="210">
        <f t="shared" si="4"/>
        <v>0</v>
      </c>
      <c r="I38" s="212">
        <f t="shared" si="5"/>
        <v>0</v>
      </c>
      <c r="J38" s="214" t="str">
        <f t="shared" si="6"/>
        <v/>
      </c>
      <c r="K38" s="210">
        <f t="shared" si="7"/>
        <v>0</v>
      </c>
      <c r="L38" s="212">
        <f t="shared" si="8"/>
        <v>0</v>
      </c>
      <c r="M38" s="215" t="str">
        <f t="shared" si="9"/>
        <v/>
      </c>
    </row>
    <row r="39" ht="30.75" customHeight="1">
      <c r="A39" s="215"/>
      <c r="B39" s="210">
        <f>IFERROR(VLOOKUP(A39,DataCarteira!A:B,2,),0)</f>
        <v>0</v>
      </c>
      <c r="C39" s="209">
        <f>IFERROR(VLOOKUP(A39,Ativos!A:I,9,),0)</f>
        <v>0</v>
      </c>
      <c r="D39" s="211">
        <f>IFERROR(__xludf.DUMMYFUNCTION("iferror(INDEX(arrayformula(filter('Operações-BR'!M:M,'Operações-BR'!C:C&lt;&gt;"""",row('Operações-BR'!C:C)=max(if('Operações-BR'!C:C=A39,row('Operações-BR'!C:C),0)))) ,1),0)"),0.0)</f>
        <v>0</v>
      </c>
      <c r="E39" s="210">
        <f t="shared" si="1"/>
        <v>0</v>
      </c>
      <c r="F39" s="212">
        <f t="shared" si="2"/>
        <v>0</v>
      </c>
      <c r="G39" s="213">
        <f t="shared" si="3"/>
        <v>0</v>
      </c>
      <c r="H39" s="210">
        <f t="shared" si="4"/>
        <v>0</v>
      </c>
      <c r="I39" s="212">
        <f t="shared" si="5"/>
        <v>0</v>
      </c>
      <c r="J39" s="214" t="str">
        <f t="shared" si="6"/>
        <v/>
      </c>
      <c r="K39" s="210">
        <f t="shared" si="7"/>
        <v>0</v>
      </c>
      <c r="L39" s="212">
        <f t="shared" si="8"/>
        <v>0</v>
      </c>
      <c r="M39" s="215" t="str">
        <f t="shared" si="9"/>
        <v/>
      </c>
    </row>
    <row r="40" ht="30.75" customHeight="1">
      <c r="A40" s="215"/>
      <c r="B40" s="210">
        <f>IFERROR(VLOOKUP(A40,DataCarteira!A:B,2,),0)</f>
        <v>0</v>
      </c>
      <c r="C40" s="209">
        <f>IFERROR(VLOOKUP(A40,Ativos!A:I,9,),0)</f>
        <v>0</v>
      </c>
      <c r="D40" s="211">
        <f>IFERROR(__xludf.DUMMYFUNCTION("iferror(INDEX(arrayformula(filter('Operações-BR'!M:M,'Operações-BR'!C:C&lt;&gt;"""",row('Operações-BR'!C:C)=max(if('Operações-BR'!C:C=A40,row('Operações-BR'!C:C),0)))) ,1),0)"),0.0)</f>
        <v>0</v>
      </c>
      <c r="E40" s="210">
        <f t="shared" si="1"/>
        <v>0</v>
      </c>
      <c r="F40" s="212">
        <f t="shared" si="2"/>
        <v>0</v>
      </c>
      <c r="G40" s="213">
        <f t="shared" si="3"/>
        <v>0</v>
      </c>
      <c r="H40" s="210">
        <f t="shared" si="4"/>
        <v>0</v>
      </c>
      <c r="I40" s="212">
        <f t="shared" si="5"/>
        <v>0</v>
      </c>
      <c r="J40" s="214" t="str">
        <f t="shared" si="6"/>
        <v/>
      </c>
      <c r="K40" s="210">
        <f t="shared" si="7"/>
        <v>0</v>
      </c>
      <c r="L40" s="212">
        <f t="shared" si="8"/>
        <v>0</v>
      </c>
      <c r="M40" s="215" t="str">
        <f t="shared" si="9"/>
        <v/>
      </c>
    </row>
    <row r="41" ht="30.75" customHeight="1">
      <c r="A41" s="215"/>
      <c r="B41" s="210">
        <f>IFERROR(VLOOKUP(A41,DataCarteira!A:B,2,),0)</f>
        <v>0</v>
      </c>
      <c r="C41" s="209">
        <f>IFERROR(VLOOKUP(A41,Ativos!A:I,9,),0)</f>
        <v>0</v>
      </c>
      <c r="D41" s="211">
        <f>IFERROR(__xludf.DUMMYFUNCTION("iferror(INDEX(arrayformula(filter('Operações-BR'!M:M,'Operações-BR'!C:C&lt;&gt;"""",row('Operações-BR'!C:C)=max(if('Operações-BR'!C:C=A41,row('Operações-BR'!C:C),0)))) ,1),0)"),0.0)</f>
        <v>0</v>
      </c>
      <c r="E41" s="210">
        <f t="shared" si="1"/>
        <v>0</v>
      </c>
      <c r="F41" s="212">
        <f t="shared" si="2"/>
        <v>0</v>
      </c>
      <c r="G41" s="213">
        <f t="shared" si="3"/>
        <v>0</v>
      </c>
      <c r="H41" s="210">
        <f t="shared" si="4"/>
        <v>0</v>
      </c>
      <c r="I41" s="212">
        <f t="shared" si="5"/>
        <v>0</v>
      </c>
      <c r="J41" s="214" t="str">
        <f t="shared" si="6"/>
        <v/>
      </c>
      <c r="K41" s="210">
        <f t="shared" si="7"/>
        <v>0</v>
      </c>
      <c r="L41" s="212">
        <f t="shared" si="8"/>
        <v>0</v>
      </c>
      <c r="M41" s="215" t="str">
        <f t="shared" si="9"/>
        <v/>
      </c>
    </row>
    <row r="42" ht="30.75" customHeight="1">
      <c r="A42" s="215"/>
      <c r="B42" s="210">
        <f>IFERROR(VLOOKUP(A42,DataCarteira!A:B,2,),0)</f>
        <v>0</v>
      </c>
      <c r="C42" s="209">
        <f>IFERROR(VLOOKUP(A42,Ativos!A:I,9,),0)</f>
        <v>0</v>
      </c>
      <c r="D42" s="211">
        <f>IFERROR(__xludf.DUMMYFUNCTION("iferror(INDEX(arrayformula(filter('Operações-BR'!M:M,'Operações-BR'!C:C&lt;&gt;"""",row('Operações-BR'!C:C)=max(if('Operações-BR'!C:C=A42,row('Operações-BR'!C:C),0)))) ,1),0)"),0.0)</f>
        <v>0</v>
      </c>
      <c r="E42" s="210">
        <f t="shared" si="1"/>
        <v>0</v>
      </c>
      <c r="F42" s="212">
        <f t="shared" si="2"/>
        <v>0</v>
      </c>
      <c r="G42" s="213">
        <f t="shared" si="3"/>
        <v>0</v>
      </c>
      <c r="H42" s="210">
        <f t="shared" si="4"/>
        <v>0</v>
      </c>
      <c r="I42" s="212">
        <f t="shared" si="5"/>
        <v>0</v>
      </c>
      <c r="J42" s="214" t="str">
        <f t="shared" si="6"/>
        <v/>
      </c>
      <c r="K42" s="210">
        <f t="shared" si="7"/>
        <v>0</v>
      </c>
      <c r="L42" s="212">
        <f t="shared" si="8"/>
        <v>0</v>
      </c>
      <c r="M42" s="215" t="str">
        <f t="shared" si="9"/>
        <v/>
      </c>
    </row>
    <row r="43" ht="30.75" customHeight="1">
      <c r="A43" s="215"/>
      <c r="B43" s="210">
        <f>IFERROR(VLOOKUP(A43,DataCarteira!A:B,2,),0)</f>
        <v>0</v>
      </c>
      <c r="C43" s="209">
        <f>IFERROR(VLOOKUP(A43,Ativos!A:I,9,),0)</f>
        <v>0</v>
      </c>
      <c r="D43" s="211">
        <f>IFERROR(__xludf.DUMMYFUNCTION("iferror(INDEX(arrayformula(filter('Operações-BR'!M:M,'Operações-BR'!C:C&lt;&gt;"""",row('Operações-BR'!C:C)=max(if('Operações-BR'!C:C=A43,row('Operações-BR'!C:C),0)))) ,1),0)"),0.0)</f>
        <v>0</v>
      </c>
      <c r="E43" s="210">
        <f t="shared" si="1"/>
        <v>0</v>
      </c>
      <c r="F43" s="212">
        <f t="shared" si="2"/>
        <v>0</v>
      </c>
      <c r="G43" s="213">
        <f t="shared" si="3"/>
        <v>0</v>
      </c>
      <c r="H43" s="210">
        <f t="shared" si="4"/>
        <v>0</v>
      </c>
      <c r="I43" s="212">
        <f t="shared" si="5"/>
        <v>0</v>
      </c>
      <c r="J43" s="214" t="str">
        <f t="shared" si="6"/>
        <v/>
      </c>
      <c r="K43" s="210">
        <f t="shared" si="7"/>
        <v>0</v>
      </c>
      <c r="L43" s="212">
        <f t="shared" si="8"/>
        <v>0</v>
      </c>
      <c r="M43" s="215" t="str">
        <f t="shared" si="9"/>
        <v/>
      </c>
    </row>
    <row r="44" ht="30.75" customHeight="1">
      <c r="A44" s="215"/>
      <c r="B44" s="210">
        <f>IFERROR(VLOOKUP(A44,DataCarteira!A:B,2,),0)</f>
        <v>0</v>
      </c>
      <c r="C44" s="209">
        <f>IFERROR(VLOOKUP(A44,Ativos!A:I,9,),0)</f>
        <v>0</v>
      </c>
      <c r="D44" s="211">
        <f>IFERROR(__xludf.DUMMYFUNCTION("iferror(INDEX(arrayformula(filter('Operações-BR'!M:M,'Operações-BR'!C:C&lt;&gt;"""",row('Operações-BR'!C:C)=max(if('Operações-BR'!C:C=A44,row('Operações-BR'!C:C),0)))) ,1),0)"),0.0)</f>
        <v>0</v>
      </c>
      <c r="E44" s="210">
        <f t="shared" si="1"/>
        <v>0</v>
      </c>
      <c r="F44" s="212">
        <f t="shared" si="2"/>
        <v>0</v>
      </c>
      <c r="G44" s="213">
        <f t="shared" si="3"/>
        <v>0</v>
      </c>
      <c r="H44" s="210">
        <f t="shared" si="4"/>
        <v>0</v>
      </c>
      <c r="I44" s="212">
        <f t="shared" si="5"/>
        <v>0</v>
      </c>
      <c r="J44" s="214" t="str">
        <f t="shared" si="6"/>
        <v/>
      </c>
      <c r="K44" s="210">
        <f t="shared" si="7"/>
        <v>0</v>
      </c>
      <c r="L44" s="212">
        <f t="shared" si="8"/>
        <v>0</v>
      </c>
      <c r="M44" s="215" t="str">
        <f t="shared" si="9"/>
        <v/>
      </c>
    </row>
    <row r="45" ht="30.75" customHeight="1">
      <c r="A45" s="215"/>
      <c r="B45" s="210">
        <f>IFERROR(VLOOKUP(A45,DataCarteira!A:B,2,),0)</f>
        <v>0</v>
      </c>
      <c r="C45" s="209">
        <f>IFERROR(VLOOKUP(A45,Ativos!A:I,9,),0)</f>
        <v>0</v>
      </c>
      <c r="D45" s="211">
        <f>IFERROR(__xludf.DUMMYFUNCTION("iferror(INDEX(arrayformula(filter('Operações-BR'!M:M,'Operações-BR'!C:C&lt;&gt;"""",row('Operações-BR'!C:C)=max(if('Operações-BR'!C:C=A45,row('Operações-BR'!C:C),0)))) ,1),0)"),0.0)</f>
        <v>0</v>
      </c>
      <c r="E45" s="210">
        <f t="shared" si="1"/>
        <v>0</v>
      </c>
      <c r="F45" s="212">
        <f t="shared" si="2"/>
        <v>0</v>
      </c>
      <c r="G45" s="213">
        <f t="shared" si="3"/>
        <v>0</v>
      </c>
      <c r="H45" s="210">
        <f t="shared" si="4"/>
        <v>0</v>
      </c>
      <c r="I45" s="212">
        <f t="shared" si="5"/>
        <v>0</v>
      </c>
      <c r="J45" s="214" t="str">
        <f t="shared" si="6"/>
        <v/>
      </c>
      <c r="K45" s="210">
        <f t="shared" si="7"/>
        <v>0</v>
      </c>
      <c r="L45" s="212">
        <f t="shared" si="8"/>
        <v>0</v>
      </c>
      <c r="M45" s="215" t="str">
        <f t="shared" si="9"/>
        <v/>
      </c>
    </row>
    <row r="46" ht="30.75" customHeight="1">
      <c r="A46" s="215"/>
      <c r="B46" s="210">
        <f>IFERROR(VLOOKUP(A46,DataCarteira!A:B,2,),0)</f>
        <v>0</v>
      </c>
      <c r="C46" s="209">
        <f>IFERROR(VLOOKUP(A46,Ativos!A:I,9,),0)</f>
        <v>0</v>
      </c>
      <c r="D46" s="211">
        <f>IFERROR(__xludf.DUMMYFUNCTION("iferror(INDEX(arrayformula(filter('Operações-BR'!M:M,'Operações-BR'!C:C&lt;&gt;"""",row('Operações-BR'!C:C)=max(if('Operações-BR'!C:C=A46,row('Operações-BR'!C:C),0)))) ,1),0)"),0.0)</f>
        <v>0</v>
      </c>
      <c r="E46" s="210">
        <f t="shared" si="1"/>
        <v>0</v>
      </c>
      <c r="F46" s="212">
        <f t="shared" si="2"/>
        <v>0</v>
      </c>
      <c r="G46" s="213">
        <f t="shared" si="3"/>
        <v>0</v>
      </c>
      <c r="H46" s="210">
        <f t="shared" si="4"/>
        <v>0</v>
      </c>
      <c r="I46" s="212">
        <f t="shared" si="5"/>
        <v>0</v>
      </c>
      <c r="J46" s="214" t="str">
        <f t="shared" si="6"/>
        <v/>
      </c>
      <c r="K46" s="210">
        <f t="shared" si="7"/>
        <v>0</v>
      </c>
      <c r="L46" s="212">
        <f t="shared" si="8"/>
        <v>0</v>
      </c>
      <c r="M46" s="215" t="str">
        <f t="shared" si="9"/>
        <v/>
      </c>
    </row>
    <row r="47" ht="30.75" customHeight="1">
      <c r="A47" s="215"/>
      <c r="B47" s="210">
        <f>IFERROR(VLOOKUP(A47,DataCarteira!A:B,2,),0)</f>
        <v>0</v>
      </c>
      <c r="C47" s="209">
        <f>IFERROR(VLOOKUP(A47,Ativos!A:I,9,),0)</f>
        <v>0</v>
      </c>
      <c r="D47" s="211">
        <f>IFERROR(__xludf.DUMMYFUNCTION("iferror(INDEX(arrayformula(filter('Operações-BR'!M:M,'Operações-BR'!C:C&lt;&gt;"""",row('Operações-BR'!C:C)=max(if('Operações-BR'!C:C=A47,row('Operações-BR'!C:C),0)))) ,1),0)"),0.0)</f>
        <v>0</v>
      </c>
      <c r="E47" s="210">
        <f t="shared" si="1"/>
        <v>0</v>
      </c>
      <c r="F47" s="212">
        <f t="shared" si="2"/>
        <v>0</v>
      </c>
      <c r="G47" s="213">
        <f t="shared" si="3"/>
        <v>0</v>
      </c>
      <c r="H47" s="210">
        <f t="shared" si="4"/>
        <v>0</v>
      </c>
      <c r="I47" s="212">
        <f t="shared" si="5"/>
        <v>0</v>
      </c>
      <c r="J47" s="214" t="str">
        <f t="shared" si="6"/>
        <v/>
      </c>
      <c r="K47" s="210">
        <f t="shared" si="7"/>
        <v>0</v>
      </c>
      <c r="L47" s="212">
        <f t="shared" si="8"/>
        <v>0</v>
      </c>
      <c r="M47" s="215" t="str">
        <f t="shared" si="9"/>
        <v/>
      </c>
    </row>
    <row r="48" ht="30.75" customHeight="1">
      <c r="A48" s="215"/>
      <c r="B48" s="210">
        <f>IFERROR(VLOOKUP(A48,DataCarteira!A:B,2,),0)</f>
        <v>0</v>
      </c>
      <c r="C48" s="209">
        <f>IFERROR(VLOOKUP(A48,Ativos!A:I,9,),0)</f>
        <v>0</v>
      </c>
      <c r="D48" s="211">
        <f>IFERROR(__xludf.DUMMYFUNCTION("iferror(INDEX(arrayformula(filter('Operações-BR'!M:M,'Operações-BR'!C:C&lt;&gt;"""",row('Operações-BR'!C:C)=max(if('Operações-BR'!C:C=A48,row('Operações-BR'!C:C),0)))) ,1),0)"),0.0)</f>
        <v>0</v>
      </c>
      <c r="E48" s="210">
        <f t="shared" si="1"/>
        <v>0</v>
      </c>
      <c r="F48" s="212">
        <f t="shared" si="2"/>
        <v>0</v>
      </c>
      <c r="G48" s="213">
        <f t="shared" si="3"/>
        <v>0</v>
      </c>
      <c r="H48" s="210">
        <f t="shared" si="4"/>
        <v>0</v>
      </c>
      <c r="I48" s="212">
        <f t="shared" si="5"/>
        <v>0</v>
      </c>
      <c r="J48" s="214" t="str">
        <f t="shared" si="6"/>
        <v/>
      </c>
      <c r="K48" s="210">
        <f t="shared" si="7"/>
        <v>0</v>
      </c>
      <c r="L48" s="212">
        <f t="shared" si="8"/>
        <v>0</v>
      </c>
      <c r="M48" s="215" t="str">
        <f t="shared" si="9"/>
        <v/>
      </c>
    </row>
    <row r="49" ht="30.75" customHeight="1">
      <c r="A49" s="215"/>
      <c r="B49" s="210">
        <f>IFERROR(VLOOKUP(A49,DataCarteira!A:B,2,),0)</f>
        <v>0</v>
      </c>
      <c r="C49" s="209">
        <f>IFERROR(VLOOKUP(A49,Ativos!A:I,9,),0)</f>
        <v>0</v>
      </c>
      <c r="D49" s="211">
        <f>IFERROR(__xludf.DUMMYFUNCTION("iferror(INDEX(arrayformula(filter('Operações-BR'!M:M,'Operações-BR'!C:C&lt;&gt;"""",row('Operações-BR'!C:C)=max(if('Operações-BR'!C:C=A49,row('Operações-BR'!C:C),0)))) ,1),0)"),0.0)</f>
        <v>0</v>
      </c>
      <c r="E49" s="210">
        <f t="shared" si="1"/>
        <v>0</v>
      </c>
      <c r="F49" s="212">
        <f t="shared" si="2"/>
        <v>0</v>
      </c>
      <c r="G49" s="213">
        <f t="shared" si="3"/>
        <v>0</v>
      </c>
      <c r="H49" s="210">
        <f t="shared" si="4"/>
        <v>0</v>
      </c>
      <c r="I49" s="212">
        <f t="shared" si="5"/>
        <v>0</v>
      </c>
      <c r="J49" s="214" t="str">
        <f t="shared" si="6"/>
        <v/>
      </c>
      <c r="K49" s="210">
        <f t="shared" si="7"/>
        <v>0</v>
      </c>
      <c r="L49" s="212">
        <f t="shared" si="8"/>
        <v>0</v>
      </c>
      <c r="M49" s="215" t="str">
        <f t="shared" si="9"/>
        <v/>
      </c>
    </row>
    <row r="50" ht="30.75" customHeight="1">
      <c r="A50" s="215"/>
      <c r="B50" s="210">
        <f>IFERROR(VLOOKUP(A50,DataCarteira!A:B,2,),0)</f>
        <v>0</v>
      </c>
      <c r="C50" s="209">
        <f>IFERROR(VLOOKUP(A50,Ativos!A:I,9,),0)</f>
        <v>0</v>
      </c>
      <c r="D50" s="211">
        <f>IFERROR(__xludf.DUMMYFUNCTION("iferror(INDEX(arrayformula(filter('Operações-BR'!M:M,'Operações-BR'!C:C&lt;&gt;"""",row('Operações-BR'!C:C)=max(if('Operações-BR'!C:C=A50,row('Operações-BR'!C:C),0)))) ,1),0)"),0.0)</f>
        <v>0</v>
      </c>
      <c r="E50" s="210">
        <f t="shared" si="1"/>
        <v>0</v>
      </c>
      <c r="F50" s="212">
        <f t="shared" si="2"/>
        <v>0</v>
      </c>
      <c r="G50" s="213">
        <f t="shared" si="3"/>
        <v>0</v>
      </c>
      <c r="H50" s="210">
        <f t="shared" si="4"/>
        <v>0</v>
      </c>
      <c r="I50" s="212">
        <f t="shared" si="5"/>
        <v>0</v>
      </c>
      <c r="J50" s="214" t="str">
        <f t="shared" si="6"/>
        <v/>
      </c>
      <c r="K50" s="210">
        <f t="shared" si="7"/>
        <v>0</v>
      </c>
      <c r="L50" s="212">
        <f t="shared" si="8"/>
        <v>0</v>
      </c>
      <c r="M50" s="215" t="str">
        <f t="shared" si="9"/>
        <v/>
      </c>
    </row>
    <row r="51" ht="30.75" customHeight="1">
      <c r="A51" s="215"/>
      <c r="B51" s="210">
        <f>IFERROR(VLOOKUP(A51,DataCarteira!A:B,2,),0)</f>
        <v>0</v>
      </c>
      <c r="C51" s="209">
        <f>IFERROR(VLOOKUP(A51,Ativos!A:I,9,),0)</f>
        <v>0</v>
      </c>
      <c r="D51" s="211">
        <f>IFERROR(__xludf.DUMMYFUNCTION("iferror(INDEX(arrayformula(filter('Operações-BR'!M:M,'Operações-BR'!C:C&lt;&gt;"""",row('Operações-BR'!C:C)=max(if('Operações-BR'!C:C=A51,row('Operações-BR'!C:C),0)))) ,1),0)"),0.0)</f>
        <v>0</v>
      </c>
      <c r="E51" s="210">
        <f t="shared" si="1"/>
        <v>0</v>
      </c>
      <c r="F51" s="212">
        <f t="shared" si="2"/>
        <v>0</v>
      </c>
      <c r="G51" s="213">
        <f t="shared" si="3"/>
        <v>0</v>
      </c>
      <c r="H51" s="210">
        <f t="shared" si="4"/>
        <v>0</v>
      </c>
      <c r="I51" s="212">
        <f t="shared" si="5"/>
        <v>0</v>
      </c>
      <c r="J51" s="214" t="str">
        <f t="shared" si="6"/>
        <v/>
      </c>
      <c r="K51" s="210">
        <f t="shared" si="7"/>
        <v>0</v>
      </c>
      <c r="L51" s="212">
        <f t="shared" si="8"/>
        <v>0</v>
      </c>
      <c r="M51" s="215" t="str">
        <f t="shared" si="9"/>
        <v/>
      </c>
    </row>
    <row r="52" ht="30.75" customHeight="1">
      <c r="A52" s="215"/>
      <c r="B52" s="210">
        <f>IFERROR(VLOOKUP(A52,DataCarteira!A:B,2,),0)</f>
        <v>0</v>
      </c>
      <c r="C52" s="209">
        <f>IFERROR(VLOOKUP(A52,Ativos!A:I,9,),0)</f>
        <v>0</v>
      </c>
      <c r="D52" s="211">
        <f>IFERROR(__xludf.DUMMYFUNCTION("iferror(INDEX(arrayformula(filter('Operações-BR'!M:M,'Operações-BR'!C:C&lt;&gt;"""",row('Operações-BR'!C:C)=max(if('Operações-BR'!C:C=A52,row('Operações-BR'!C:C),0)))) ,1),0)"),0.0)</f>
        <v>0</v>
      </c>
      <c r="E52" s="210">
        <f t="shared" si="1"/>
        <v>0</v>
      </c>
      <c r="F52" s="212">
        <f t="shared" si="2"/>
        <v>0</v>
      </c>
      <c r="G52" s="213">
        <f t="shared" si="3"/>
        <v>0</v>
      </c>
      <c r="H52" s="210">
        <f t="shared" si="4"/>
        <v>0</v>
      </c>
      <c r="I52" s="212">
        <f t="shared" si="5"/>
        <v>0</v>
      </c>
      <c r="J52" s="214" t="str">
        <f t="shared" si="6"/>
        <v/>
      </c>
      <c r="K52" s="210">
        <f t="shared" si="7"/>
        <v>0</v>
      </c>
      <c r="L52" s="212">
        <f t="shared" si="8"/>
        <v>0</v>
      </c>
      <c r="M52" s="215" t="str">
        <f t="shared" si="9"/>
        <v/>
      </c>
    </row>
    <row r="53" ht="30.75" customHeight="1">
      <c r="A53" s="215"/>
      <c r="B53" s="210">
        <f>IFERROR(VLOOKUP(A53,DataCarteira!A:B,2,),0)</f>
        <v>0</v>
      </c>
      <c r="C53" s="209">
        <f>IFERROR(VLOOKUP(A53,Ativos!A:I,9,),0)</f>
        <v>0</v>
      </c>
      <c r="D53" s="211">
        <f>IFERROR(__xludf.DUMMYFUNCTION("iferror(INDEX(arrayformula(filter('Operações-BR'!M:M,'Operações-BR'!C:C&lt;&gt;"""",row('Operações-BR'!C:C)=max(if('Operações-BR'!C:C=A53,row('Operações-BR'!C:C),0)))) ,1),0)"),0.0)</f>
        <v>0</v>
      </c>
      <c r="E53" s="210">
        <f t="shared" si="1"/>
        <v>0</v>
      </c>
      <c r="F53" s="212">
        <f t="shared" si="2"/>
        <v>0</v>
      </c>
      <c r="G53" s="213">
        <f t="shared" si="3"/>
        <v>0</v>
      </c>
      <c r="H53" s="210">
        <f t="shared" si="4"/>
        <v>0</v>
      </c>
      <c r="I53" s="212">
        <f t="shared" si="5"/>
        <v>0</v>
      </c>
      <c r="J53" s="214" t="str">
        <f t="shared" si="6"/>
        <v/>
      </c>
      <c r="K53" s="210">
        <f t="shared" si="7"/>
        <v>0</v>
      </c>
      <c r="L53" s="212">
        <f t="shared" si="8"/>
        <v>0</v>
      </c>
      <c r="M53" s="215" t="str">
        <f t="shared" si="9"/>
        <v/>
      </c>
    </row>
    <row r="54" ht="30.75" customHeight="1">
      <c r="A54" s="215"/>
      <c r="B54" s="210">
        <f>IFERROR(VLOOKUP(A54,DataCarteira!A:B,2,),0)</f>
        <v>0</v>
      </c>
      <c r="C54" s="209">
        <f>IFERROR(VLOOKUP(A54,Ativos!A:I,9,),0)</f>
        <v>0</v>
      </c>
      <c r="D54" s="211">
        <f>IFERROR(__xludf.DUMMYFUNCTION("iferror(INDEX(arrayformula(filter('Operações-BR'!M:M,'Operações-BR'!C:C&lt;&gt;"""",row('Operações-BR'!C:C)=max(if('Operações-BR'!C:C=A54,row('Operações-BR'!C:C),0)))) ,1),0)"),0.0)</f>
        <v>0</v>
      </c>
      <c r="E54" s="210">
        <f t="shared" si="1"/>
        <v>0</v>
      </c>
      <c r="F54" s="212">
        <f t="shared" si="2"/>
        <v>0</v>
      </c>
      <c r="G54" s="213">
        <f t="shared" si="3"/>
        <v>0</v>
      </c>
      <c r="H54" s="210">
        <f t="shared" si="4"/>
        <v>0</v>
      </c>
      <c r="I54" s="212">
        <f t="shared" si="5"/>
        <v>0</v>
      </c>
      <c r="J54" s="214" t="str">
        <f t="shared" si="6"/>
        <v/>
      </c>
      <c r="K54" s="210">
        <f t="shared" si="7"/>
        <v>0</v>
      </c>
      <c r="L54" s="212">
        <f t="shared" si="8"/>
        <v>0</v>
      </c>
      <c r="M54" s="215" t="str">
        <f t="shared" si="9"/>
        <v/>
      </c>
    </row>
    <row r="55" ht="30.75" customHeight="1">
      <c r="A55" s="215"/>
      <c r="B55" s="210">
        <f>IFERROR(VLOOKUP(A55,DataCarteira!A:B,2,),0)</f>
        <v>0</v>
      </c>
      <c r="C55" s="209">
        <f>IFERROR(VLOOKUP(A55,Ativos!A:I,9,),0)</f>
        <v>0</v>
      </c>
      <c r="D55" s="211">
        <f>IFERROR(__xludf.DUMMYFUNCTION("iferror(INDEX(arrayformula(filter('Operações-BR'!M:M,'Operações-BR'!C:C&lt;&gt;"""",row('Operações-BR'!C:C)=max(if('Operações-BR'!C:C=A55,row('Operações-BR'!C:C),0)))) ,1),0)"),0.0)</f>
        <v>0</v>
      </c>
      <c r="E55" s="210">
        <f t="shared" si="1"/>
        <v>0</v>
      </c>
      <c r="F55" s="212">
        <f t="shared" si="2"/>
        <v>0</v>
      </c>
      <c r="G55" s="213">
        <f t="shared" si="3"/>
        <v>0</v>
      </c>
      <c r="H55" s="210">
        <f t="shared" si="4"/>
        <v>0</v>
      </c>
      <c r="I55" s="212">
        <f t="shared" si="5"/>
        <v>0</v>
      </c>
      <c r="J55" s="214" t="str">
        <f t="shared" si="6"/>
        <v/>
      </c>
      <c r="K55" s="210">
        <f t="shared" si="7"/>
        <v>0</v>
      </c>
      <c r="L55" s="212">
        <f t="shared" si="8"/>
        <v>0</v>
      </c>
      <c r="M55" s="215" t="str">
        <f t="shared" si="9"/>
        <v/>
      </c>
    </row>
    <row r="56" ht="30.75" customHeight="1">
      <c r="A56" s="215"/>
      <c r="B56" s="210">
        <f>IFERROR(VLOOKUP(A56,DataCarteira!A:B,2,),0)</f>
        <v>0</v>
      </c>
      <c r="C56" s="209">
        <f>IFERROR(VLOOKUP(A56,Ativos!A:I,9,),0)</f>
        <v>0</v>
      </c>
      <c r="D56" s="211">
        <f>IFERROR(__xludf.DUMMYFUNCTION("iferror(INDEX(arrayformula(filter('Operações-BR'!M:M,'Operações-BR'!C:C&lt;&gt;"""",row('Operações-BR'!C:C)=max(if('Operações-BR'!C:C=A56,row('Operações-BR'!C:C),0)))) ,1),0)"),0.0)</f>
        <v>0</v>
      </c>
      <c r="E56" s="210">
        <f t="shared" si="1"/>
        <v>0</v>
      </c>
      <c r="F56" s="212">
        <f t="shared" si="2"/>
        <v>0</v>
      </c>
      <c r="G56" s="213">
        <f t="shared" si="3"/>
        <v>0</v>
      </c>
      <c r="H56" s="210">
        <f t="shared" si="4"/>
        <v>0</v>
      </c>
      <c r="I56" s="212">
        <f t="shared" si="5"/>
        <v>0</v>
      </c>
      <c r="J56" s="214" t="str">
        <f t="shared" si="6"/>
        <v/>
      </c>
      <c r="K56" s="210">
        <f t="shared" si="7"/>
        <v>0</v>
      </c>
      <c r="L56" s="212">
        <f t="shared" si="8"/>
        <v>0</v>
      </c>
      <c r="M56" s="215" t="str">
        <f t="shared" si="9"/>
        <v/>
      </c>
    </row>
    <row r="57" ht="30.75" customHeight="1">
      <c r="A57" s="215"/>
      <c r="B57" s="210">
        <f>IFERROR(VLOOKUP(A57,DataCarteira!A:B,2,),0)</f>
        <v>0</v>
      </c>
      <c r="C57" s="209">
        <f>IFERROR(VLOOKUP(A57,Ativos!A:I,9,),0)</f>
        <v>0</v>
      </c>
      <c r="D57" s="211">
        <f>IFERROR(__xludf.DUMMYFUNCTION("iferror(INDEX(arrayformula(filter('Operações-BR'!M:M,'Operações-BR'!C:C&lt;&gt;"""",row('Operações-BR'!C:C)=max(if('Operações-BR'!C:C=A57,row('Operações-BR'!C:C),0)))) ,1),0)"),0.0)</f>
        <v>0</v>
      </c>
      <c r="E57" s="210">
        <f t="shared" si="1"/>
        <v>0</v>
      </c>
      <c r="F57" s="212">
        <f t="shared" si="2"/>
        <v>0</v>
      </c>
      <c r="G57" s="213">
        <f t="shared" si="3"/>
        <v>0</v>
      </c>
      <c r="H57" s="210">
        <f t="shared" si="4"/>
        <v>0</v>
      </c>
      <c r="I57" s="212">
        <f t="shared" si="5"/>
        <v>0</v>
      </c>
      <c r="J57" s="214" t="str">
        <f t="shared" si="6"/>
        <v/>
      </c>
      <c r="K57" s="210">
        <f t="shared" si="7"/>
        <v>0</v>
      </c>
      <c r="L57" s="212">
        <f t="shared" si="8"/>
        <v>0</v>
      </c>
      <c r="M57" s="215" t="str">
        <f t="shared" si="9"/>
        <v/>
      </c>
    </row>
    <row r="58" ht="30.75" customHeight="1">
      <c r="A58" s="215"/>
      <c r="B58" s="210">
        <f>IFERROR(VLOOKUP(A58,DataCarteira!A:B,2,),0)</f>
        <v>0</v>
      </c>
      <c r="C58" s="209">
        <f>IFERROR(VLOOKUP(A58,Ativos!A:I,9,),0)</f>
        <v>0</v>
      </c>
      <c r="D58" s="211">
        <f>IFERROR(__xludf.DUMMYFUNCTION("iferror(INDEX(arrayformula(filter('Operações-BR'!M:M,'Operações-BR'!C:C&lt;&gt;"""",row('Operações-BR'!C:C)=max(if('Operações-BR'!C:C=A58,row('Operações-BR'!C:C),0)))) ,1),0)"),0.0)</f>
        <v>0</v>
      </c>
      <c r="E58" s="210">
        <f t="shared" si="1"/>
        <v>0</v>
      </c>
      <c r="F58" s="212">
        <f t="shared" si="2"/>
        <v>0</v>
      </c>
      <c r="G58" s="213">
        <f t="shared" si="3"/>
        <v>0</v>
      </c>
      <c r="H58" s="210">
        <f t="shared" si="4"/>
        <v>0</v>
      </c>
      <c r="I58" s="212">
        <f t="shared" si="5"/>
        <v>0</v>
      </c>
      <c r="J58" s="214" t="str">
        <f t="shared" si="6"/>
        <v/>
      </c>
      <c r="K58" s="210">
        <f t="shared" si="7"/>
        <v>0</v>
      </c>
      <c r="L58" s="212">
        <f t="shared" si="8"/>
        <v>0</v>
      </c>
      <c r="M58" s="215" t="str">
        <f t="shared" si="9"/>
        <v/>
      </c>
    </row>
    <row r="59" ht="30.75" customHeight="1">
      <c r="A59" s="215"/>
      <c r="B59" s="210">
        <f>IFERROR(VLOOKUP(A59,DataCarteira!A:B,2,),0)</f>
        <v>0</v>
      </c>
      <c r="C59" s="209">
        <f>IFERROR(VLOOKUP(A59,Ativos!A:I,9,),0)</f>
        <v>0</v>
      </c>
      <c r="D59" s="211">
        <f>IFERROR(__xludf.DUMMYFUNCTION("iferror(INDEX(arrayformula(filter('Operações-BR'!M:M,'Operações-BR'!C:C&lt;&gt;"""",row('Operações-BR'!C:C)=max(if('Operações-BR'!C:C=A59,row('Operações-BR'!C:C),0)))) ,1),0)"),0.0)</f>
        <v>0</v>
      </c>
      <c r="E59" s="210">
        <f t="shared" si="1"/>
        <v>0</v>
      </c>
      <c r="F59" s="212">
        <f t="shared" si="2"/>
        <v>0</v>
      </c>
      <c r="G59" s="213">
        <f t="shared" si="3"/>
        <v>0</v>
      </c>
      <c r="H59" s="210">
        <f t="shared" si="4"/>
        <v>0</v>
      </c>
      <c r="I59" s="212">
        <f t="shared" si="5"/>
        <v>0</v>
      </c>
      <c r="J59" s="214" t="str">
        <f t="shared" si="6"/>
        <v/>
      </c>
      <c r="K59" s="210">
        <f t="shared" si="7"/>
        <v>0</v>
      </c>
      <c r="L59" s="212">
        <f t="shared" si="8"/>
        <v>0</v>
      </c>
      <c r="M59" s="215" t="str">
        <f t="shared" si="9"/>
        <v/>
      </c>
    </row>
    <row r="60" ht="30.75" customHeight="1">
      <c r="A60" s="215"/>
      <c r="B60" s="210">
        <f>IFERROR(VLOOKUP(A60,DataCarteira!A:B,2,),0)</f>
        <v>0</v>
      </c>
      <c r="C60" s="209">
        <f>IFERROR(VLOOKUP(A60,Ativos!A:I,9,),0)</f>
        <v>0</v>
      </c>
      <c r="D60" s="211">
        <f>IFERROR(__xludf.DUMMYFUNCTION("iferror(INDEX(arrayformula(filter('Operações-BR'!M:M,'Operações-BR'!C:C&lt;&gt;"""",row('Operações-BR'!C:C)=max(if('Operações-BR'!C:C=A60,row('Operações-BR'!C:C),0)))) ,1),0)"),0.0)</f>
        <v>0</v>
      </c>
      <c r="E60" s="210">
        <f t="shared" si="1"/>
        <v>0</v>
      </c>
      <c r="F60" s="212">
        <f t="shared" si="2"/>
        <v>0</v>
      </c>
      <c r="G60" s="213">
        <f t="shared" si="3"/>
        <v>0</v>
      </c>
      <c r="H60" s="210">
        <f t="shared" si="4"/>
        <v>0</v>
      </c>
      <c r="I60" s="212">
        <f t="shared" si="5"/>
        <v>0</v>
      </c>
      <c r="J60" s="214" t="str">
        <f t="shared" si="6"/>
        <v/>
      </c>
      <c r="K60" s="210">
        <f t="shared" si="7"/>
        <v>0</v>
      </c>
      <c r="L60" s="212">
        <f t="shared" si="8"/>
        <v>0</v>
      </c>
      <c r="M60" s="215" t="str">
        <f t="shared" si="9"/>
        <v/>
      </c>
    </row>
    <row r="61" ht="30.75" customHeight="1">
      <c r="A61" s="215"/>
      <c r="B61" s="210">
        <f>IFERROR(VLOOKUP(A61,DataCarteira!A:B,2,),0)</f>
        <v>0</v>
      </c>
      <c r="C61" s="209">
        <f>IFERROR(VLOOKUP(A61,Ativos!A:I,9,),0)</f>
        <v>0</v>
      </c>
      <c r="D61" s="211">
        <f>IFERROR(__xludf.DUMMYFUNCTION("iferror(INDEX(arrayformula(filter('Operações-BR'!M:M,'Operações-BR'!C:C&lt;&gt;"""",row('Operações-BR'!C:C)=max(if('Operações-BR'!C:C=A61,row('Operações-BR'!C:C),0)))) ,1),0)"),0.0)</f>
        <v>0</v>
      </c>
      <c r="E61" s="210">
        <f t="shared" si="1"/>
        <v>0</v>
      </c>
      <c r="F61" s="212">
        <f t="shared" si="2"/>
        <v>0</v>
      </c>
      <c r="G61" s="213">
        <f t="shared" si="3"/>
        <v>0</v>
      </c>
      <c r="H61" s="210">
        <f t="shared" si="4"/>
        <v>0</v>
      </c>
      <c r="I61" s="212">
        <f t="shared" si="5"/>
        <v>0</v>
      </c>
      <c r="J61" s="214" t="str">
        <f t="shared" si="6"/>
        <v/>
      </c>
      <c r="K61" s="210">
        <f t="shared" si="7"/>
        <v>0</v>
      </c>
      <c r="L61" s="212">
        <f t="shared" si="8"/>
        <v>0</v>
      </c>
      <c r="M61" s="215" t="str">
        <f t="shared" si="9"/>
        <v/>
      </c>
    </row>
    <row r="62" ht="30.75" customHeight="1">
      <c r="A62" s="215"/>
      <c r="B62" s="210">
        <f>IFERROR(VLOOKUP(A62,DataCarteira!A:B,2,),0)</f>
        <v>0</v>
      </c>
      <c r="C62" s="209">
        <f>IFERROR(VLOOKUP(A62,Ativos!A:I,9,),0)</f>
        <v>0</v>
      </c>
      <c r="D62" s="211">
        <f>IFERROR(__xludf.DUMMYFUNCTION("iferror(INDEX(arrayformula(filter('Operações-BR'!M:M,'Operações-BR'!C:C&lt;&gt;"""",row('Operações-BR'!C:C)=max(if('Operações-BR'!C:C=A62,row('Operações-BR'!C:C),0)))) ,1),0)"),0.0)</f>
        <v>0</v>
      </c>
      <c r="E62" s="210">
        <f t="shared" si="1"/>
        <v>0</v>
      </c>
      <c r="F62" s="212">
        <f t="shared" si="2"/>
        <v>0</v>
      </c>
      <c r="G62" s="213">
        <f t="shared" si="3"/>
        <v>0</v>
      </c>
      <c r="H62" s="210">
        <f t="shared" si="4"/>
        <v>0</v>
      </c>
      <c r="I62" s="212">
        <f t="shared" si="5"/>
        <v>0</v>
      </c>
      <c r="J62" s="214" t="str">
        <f t="shared" si="6"/>
        <v/>
      </c>
      <c r="K62" s="210">
        <f t="shared" si="7"/>
        <v>0</v>
      </c>
      <c r="L62" s="212">
        <f t="shared" si="8"/>
        <v>0</v>
      </c>
      <c r="M62" s="215" t="str">
        <f t="shared" si="9"/>
        <v/>
      </c>
    </row>
    <row r="63" ht="30.75" customHeight="1">
      <c r="A63" s="215"/>
      <c r="B63" s="210">
        <f>IFERROR(VLOOKUP(A63,DataCarteira!A:B,2,),0)</f>
        <v>0</v>
      </c>
      <c r="C63" s="209">
        <f>IFERROR(VLOOKUP(A63,Ativos!A:I,9,),0)</f>
        <v>0</v>
      </c>
      <c r="D63" s="211">
        <f>IFERROR(__xludf.DUMMYFUNCTION("iferror(INDEX(arrayformula(filter('Operações-BR'!M:M,'Operações-BR'!C:C&lt;&gt;"""",row('Operações-BR'!C:C)=max(if('Operações-BR'!C:C=A63,row('Operações-BR'!C:C),0)))) ,1),0)"),0.0)</f>
        <v>0</v>
      </c>
      <c r="E63" s="210">
        <f t="shared" si="1"/>
        <v>0</v>
      </c>
      <c r="F63" s="212">
        <f t="shared" si="2"/>
        <v>0</v>
      </c>
      <c r="G63" s="213">
        <f t="shared" si="3"/>
        <v>0</v>
      </c>
      <c r="H63" s="210">
        <f t="shared" si="4"/>
        <v>0</v>
      </c>
      <c r="I63" s="212">
        <f t="shared" si="5"/>
        <v>0</v>
      </c>
      <c r="J63" s="214" t="str">
        <f t="shared" si="6"/>
        <v/>
      </c>
      <c r="K63" s="210">
        <f t="shared" si="7"/>
        <v>0</v>
      </c>
      <c r="L63" s="212">
        <f t="shared" si="8"/>
        <v>0</v>
      </c>
      <c r="M63" s="215" t="str">
        <f t="shared" si="9"/>
        <v/>
      </c>
    </row>
    <row r="64" ht="30.75" customHeight="1">
      <c r="A64" s="215"/>
      <c r="B64" s="210">
        <f>IFERROR(VLOOKUP(A64,DataCarteira!A:B,2,),0)</f>
        <v>0</v>
      </c>
      <c r="C64" s="209">
        <f>IFERROR(VLOOKUP(A64,Ativos!A:I,9,),0)</f>
        <v>0</v>
      </c>
      <c r="D64" s="211">
        <f>IFERROR(__xludf.DUMMYFUNCTION("iferror(INDEX(arrayformula(filter('Operações-BR'!M:M,'Operações-BR'!C:C&lt;&gt;"""",row('Operações-BR'!C:C)=max(if('Operações-BR'!C:C=A64,row('Operações-BR'!C:C),0)))) ,1),0)"),0.0)</f>
        <v>0</v>
      </c>
      <c r="E64" s="210">
        <f t="shared" si="1"/>
        <v>0</v>
      </c>
      <c r="F64" s="212">
        <f t="shared" si="2"/>
        <v>0</v>
      </c>
      <c r="G64" s="213">
        <f t="shared" si="3"/>
        <v>0</v>
      </c>
      <c r="H64" s="210">
        <f t="shared" si="4"/>
        <v>0</v>
      </c>
      <c r="I64" s="212">
        <f t="shared" si="5"/>
        <v>0</v>
      </c>
      <c r="J64" s="214" t="str">
        <f t="shared" si="6"/>
        <v/>
      </c>
      <c r="K64" s="210">
        <f t="shared" si="7"/>
        <v>0</v>
      </c>
      <c r="L64" s="212">
        <f t="shared" si="8"/>
        <v>0</v>
      </c>
      <c r="M64" s="215" t="str">
        <f t="shared" si="9"/>
        <v/>
      </c>
    </row>
    <row r="65" ht="30.75" customHeight="1">
      <c r="A65" s="215"/>
      <c r="B65" s="210">
        <f>IFERROR(VLOOKUP(A65,DataCarteira!A:B,2,),0)</f>
        <v>0</v>
      </c>
      <c r="C65" s="209">
        <f>IFERROR(VLOOKUP(A65,Ativos!A:I,9,),0)</f>
        <v>0</v>
      </c>
      <c r="D65" s="211">
        <f>IFERROR(__xludf.DUMMYFUNCTION("iferror(INDEX(arrayformula(filter('Operações-BR'!M:M,'Operações-BR'!C:C&lt;&gt;"""",row('Operações-BR'!C:C)=max(if('Operações-BR'!C:C=A65,row('Operações-BR'!C:C),0)))) ,1),0)"),0.0)</f>
        <v>0</v>
      </c>
      <c r="E65" s="210">
        <f t="shared" si="1"/>
        <v>0</v>
      </c>
      <c r="F65" s="212">
        <f t="shared" si="2"/>
        <v>0</v>
      </c>
      <c r="G65" s="213">
        <f t="shared" si="3"/>
        <v>0</v>
      </c>
      <c r="H65" s="210">
        <f t="shared" si="4"/>
        <v>0</v>
      </c>
      <c r="I65" s="212">
        <f t="shared" si="5"/>
        <v>0</v>
      </c>
      <c r="J65" s="214" t="str">
        <f t="shared" si="6"/>
        <v/>
      </c>
      <c r="K65" s="210">
        <f t="shared" si="7"/>
        <v>0</v>
      </c>
      <c r="L65" s="212">
        <f t="shared" si="8"/>
        <v>0</v>
      </c>
      <c r="M65" s="215" t="str">
        <f t="shared" si="9"/>
        <v/>
      </c>
    </row>
    <row r="66" ht="30.75" customHeight="1">
      <c r="A66" s="215"/>
      <c r="B66" s="210">
        <f>IFERROR(VLOOKUP(A66,DataCarteira!A:B,2,),0)</f>
        <v>0</v>
      </c>
      <c r="C66" s="209">
        <f>IFERROR(VLOOKUP(A66,Ativos!A:I,9,),0)</f>
        <v>0</v>
      </c>
      <c r="D66" s="211">
        <f>IFERROR(__xludf.DUMMYFUNCTION("iferror(INDEX(arrayformula(filter('Operações-BR'!M:M,'Operações-BR'!C:C&lt;&gt;"""",row('Operações-BR'!C:C)=max(if('Operações-BR'!C:C=A66,row('Operações-BR'!C:C),0)))) ,1),0)"),0.0)</f>
        <v>0</v>
      </c>
      <c r="E66" s="210">
        <f t="shared" si="1"/>
        <v>0</v>
      </c>
      <c r="F66" s="212">
        <f t="shared" si="2"/>
        <v>0</v>
      </c>
      <c r="G66" s="213">
        <f t="shared" si="3"/>
        <v>0</v>
      </c>
      <c r="H66" s="210">
        <f t="shared" si="4"/>
        <v>0</v>
      </c>
      <c r="I66" s="212">
        <f t="shared" si="5"/>
        <v>0</v>
      </c>
      <c r="J66" s="214" t="str">
        <f t="shared" si="6"/>
        <v/>
      </c>
      <c r="K66" s="210">
        <f t="shared" si="7"/>
        <v>0</v>
      </c>
      <c r="L66" s="212">
        <f t="shared" si="8"/>
        <v>0</v>
      </c>
      <c r="M66" s="215" t="str">
        <f t="shared" si="9"/>
        <v/>
      </c>
    </row>
    <row r="67" ht="30.75" customHeight="1">
      <c r="A67" s="215"/>
      <c r="B67" s="210">
        <f>IFERROR(VLOOKUP(A67,DataCarteira!A:B,2,),0)</f>
        <v>0</v>
      </c>
      <c r="C67" s="209">
        <f>IFERROR(VLOOKUP(A67,Ativos!A:I,9,),0)</f>
        <v>0</v>
      </c>
      <c r="D67" s="211">
        <f>IFERROR(__xludf.DUMMYFUNCTION("iferror(INDEX(arrayformula(filter('Operações-BR'!M:M,'Operações-BR'!C:C&lt;&gt;"""",row('Operações-BR'!C:C)=max(if('Operações-BR'!C:C=A67,row('Operações-BR'!C:C),0)))) ,1),0)"),0.0)</f>
        <v>0</v>
      </c>
      <c r="E67" s="210">
        <f t="shared" si="1"/>
        <v>0</v>
      </c>
      <c r="F67" s="212">
        <f t="shared" si="2"/>
        <v>0</v>
      </c>
      <c r="G67" s="213">
        <f t="shared" si="3"/>
        <v>0</v>
      </c>
      <c r="H67" s="210">
        <f t="shared" si="4"/>
        <v>0</v>
      </c>
      <c r="I67" s="212">
        <f t="shared" si="5"/>
        <v>0</v>
      </c>
      <c r="J67" s="214" t="str">
        <f t="shared" si="6"/>
        <v/>
      </c>
      <c r="K67" s="210">
        <f t="shared" si="7"/>
        <v>0</v>
      </c>
      <c r="L67" s="212">
        <f t="shared" si="8"/>
        <v>0</v>
      </c>
      <c r="M67" s="215" t="str">
        <f t="shared" si="9"/>
        <v/>
      </c>
    </row>
    <row r="68" ht="30.75" customHeight="1">
      <c r="A68" s="215"/>
      <c r="B68" s="210">
        <f>IFERROR(VLOOKUP(A68,DataCarteira!A:B,2,),0)</f>
        <v>0</v>
      </c>
      <c r="C68" s="209">
        <f>IFERROR(VLOOKUP(A68,Ativos!A:I,9,),0)</f>
        <v>0</v>
      </c>
      <c r="D68" s="211">
        <f>IFERROR(__xludf.DUMMYFUNCTION("iferror(INDEX(arrayformula(filter('Operações-BR'!M:M,'Operações-BR'!C:C&lt;&gt;"""",row('Operações-BR'!C:C)=max(if('Operações-BR'!C:C=A68,row('Operações-BR'!C:C),0)))) ,1),0)"),0.0)</f>
        <v>0</v>
      </c>
      <c r="E68" s="210">
        <f t="shared" si="1"/>
        <v>0</v>
      </c>
      <c r="F68" s="212">
        <f t="shared" si="2"/>
        <v>0</v>
      </c>
      <c r="G68" s="213">
        <f t="shared" si="3"/>
        <v>0</v>
      </c>
      <c r="H68" s="210">
        <f t="shared" si="4"/>
        <v>0</v>
      </c>
      <c r="I68" s="212">
        <f t="shared" si="5"/>
        <v>0</v>
      </c>
      <c r="J68" s="214" t="str">
        <f t="shared" si="6"/>
        <v/>
      </c>
      <c r="K68" s="210">
        <f t="shared" si="7"/>
        <v>0</v>
      </c>
      <c r="L68" s="212">
        <f t="shared" si="8"/>
        <v>0</v>
      </c>
      <c r="M68" s="215" t="str">
        <f t="shared" si="9"/>
        <v/>
      </c>
    </row>
    <row r="69" ht="30.75" customHeight="1">
      <c r="A69" s="215"/>
      <c r="B69" s="210">
        <f>IFERROR(VLOOKUP(A69,DataCarteira!A:B,2,),0)</f>
        <v>0</v>
      </c>
      <c r="C69" s="209">
        <f>IFERROR(VLOOKUP(A69,Ativos!A:I,9,),0)</f>
        <v>0</v>
      </c>
      <c r="D69" s="211">
        <f>IFERROR(__xludf.DUMMYFUNCTION("iferror(INDEX(arrayformula(filter('Operações-BR'!M:M,'Operações-BR'!C:C&lt;&gt;"""",row('Operações-BR'!C:C)=max(if('Operações-BR'!C:C=A69,row('Operações-BR'!C:C),0)))) ,1),0)"),0.0)</f>
        <v>0</v>
      </c>
      <c r="E69" s="210">
        <f t="shared" si="1"/>
        <v>0</v>
      </c>
      <c r="F69" s="212">
        <f t="shared" si="2"/>
        <v>0</v>
      </c>
      <c r="G69" s="213">
        <f t="shared" si="3"/>
        <v>0</v>
      </c>
      <c r="H69" s="210">
        <f t="shared" si="4"/>
        <v>0</v>
      </c>
      <c r="I69" s="212">
        <f t="shared" si="5"/>
        <v>0</v>
      </c>
      <c r="J69" s="214" t="str">
        <f t="shared" si="6"/>
        <v/>
      </c>
      <c r="K69" s="210">
        <f t="shared" si="7"/>
        <v>0</v>
      </c>
      <c r="L69" s="212">
        <f t="shared" si="8"/>
        <v>0</v>
      </c>
      <c r="M69" s="215" t="str">
        <f t="shared" si="9"/>
        <v/>
      </c>
    </row>
    <row r="70" ht="30.75" customHeight="1">
      <c r="A70" s="215"/>
      <c r="B70" s="210">
        <f>IFERROR(VLOOKUP(A70,DataCarteira!A:B,2,),0)</f>
        <v>0</v>
      </c>
      <c r="C70" s="209">
        <f>IFERROR(VLOOKUP(A70,Ativos!A:I,9,),0)</f>
        <v>0</v>
      </c>
      <c r="D70" s="211">
        <f>IFERROR(__xludf.DUMMYFUNCTION("iferror(INDEX(arrayformula(filter('Operações-BR'!M:M,'Operações-BR'!C:C&lt;&gt;"""",row('Operações-BR'!C:C)=max(if('Operações-BR'!C:C=A70,row('Operações-BR'!C:C),0)))) ,1),0)"),0.0)</f>
        <v>0</v>
      </c>
      <c r="E70" s="210">
        <f t="shared" si="1"/>
        <v>0</v>
      </c>
      <c r="F70" s="212">
        <f t="shared" si="2"/>
        <v>0</v>
      </c>
      <c r="G70" s="213">
        <f t="shared" si="3"/>
        <v>0</v>
      </c>
      <c r="H70" s="210">
        <f t="shared" si="4"/>
        <v>0</v>
      </c>
      <c r="I70" s="212">
        <f t="shared" si="5"/>
        <v>0</v>
      </c>
      <c r="J70" s="214" t="str">
        <f t="shared" si="6"/>
        <v/>
      </c>
      <c r="K70" s="210">
        <f t="shared" si="7"/>
        <v>0</v>
      </c>
      <c r="L70" s="212">
        <f t="shared" si="8"/>
        <v>0</v>
      </c>
      <c r="M70" s="215" t="str">
        <f t="shared" si="9"/>
        <v/>
      </c>
    </row>
    <row r="71" ht="30.75" customHeight="1">
      <c r="A71" s="215"/>
      <c r="B71" s="210">
        <f>IFERROR(VLOOKUP(A71,DataCarteira!A:B,2,),0)</f>
        <v>0</v>
      </c>
      <c r="C71" s="209">
        <f>IFERROR(VLOOKUP(A71,Ativos!A:I,9,),0)</f>
        <v>0</v>
      </c>
      <c r="D71" s="211">
        <f>IFERROR(__xludf.DUMMYFUNCTION("iferror(INDEX(arrayformula(filter('Operações-BR'!M:M,'Operações-BR'!C:C&lt;&gt;"""",row('Operações-BR'!C:C)=max(if('Operações-BR'!C:C=A71,row('Operações-BR'!C:C),0)))) ,1),0)"),0.0)</f>
        <v>0</v>
      </c>
      <c r="E71" s="210">
        <f t="shared" si="1"/>
        <v>0</v>
      </c>
      <c r="F71" s="212">
        <f t="shared" si="2"/>
        <v>0</v>
      </c>
      <c r="G71" s="213">
        <f t="shared" si="3"/>
        <v>0</v>
      </c>
      <c r="H71" s="210">
        <f t="shared" si="4"/>
        <v>0</v>
      </c>
      <c r="I71" s="212">
        <f t="shared" si="5"/>
        <v>0</v>
      </c>
      <c r="J71" s="214" t="str">
        <f t="shared" si="6"/>
        <v/>
      </c>
      <c r="K71" s="210">
        <f t="shared" si="7"/>
        <v>0</v>
      </c>
      <c r="L71" s="212">
        <f t="shared" si="8"/>
        <v>0</v>
      </c>
      <c r="M71" s="215" t="str">
        <f t="shared" si="9"/>
        <v/>
      </c>
    </row>
    <row r="72" ht="30.75" customHeight="1">
      <c r="A72" s="215"/>
      <c r="B72" s="210">
        <f>IFERROR(VLOOKUP(A72,DataCarteira!A:B,2,),0)</f>
        <v>0</v>
      </c>
      <c r="C72" s="209">
        <f>IFERROR(VLOOKUP(A72,Ativos!A:I,9,),0)</f>
        <v>0</v>
      </c>
      <c r="D72" s="211">
        <f>IFERROR(__xludf.DUMMYFUNCTION("iferror(INDEX(arrayformula(filter('Operações-BR'!M:M,'Operações-BR'!C:C&lt;&gt;"""",row('Operações-BR'!C:C)=max(if('Operações-BR'!C:C=A72,row('Operações-BR'!C:C),0)))) ,1),0)"),0.0)</f>
        <v>0</v>
      </c>
      <c r="E72" s="210">
        <f t="shared" si="1"/>
        <v>0</v>
      </c>
      <c r="F72" s="212">
        <f t="shared" si="2"/>
        <v>0</v>
      </c>
      <c r="G72" s="213">
        <f t="shared" si="3"/>
        <v>0</v>
      </c>
      <c r="H72" s="210">
        <f t="shared" si="4"/>
        <v>0</v>
      </c>
      <c r="I72" s="212">
        <f t="shared" si="5"/>
        <v>0</v>
      </c>
      <c r="J72" s="214" t="str">
        <f t="shared" si="6"/>
        <v/>
      </c>
      <c r="K72" s="210">
        <f t="shared" si="7"/>
        <v>0</v>
      </c>
      <c r="L72" s="212">
        <f t="shared" si="8"/>
        <v>0</v>
      </c>
      <c r="M72" s="215" t="str">
        <f t="shared" si="9"/>
        <v/>
      </c>
    </row>
    <row r="73" ht="30.75" customHeight="1">
      <c r="A73" s="215"/>
      <c r="B73" s="210">
        <f>IFERROR(VLOOKUP(A73,DataCarteira!A:B,2,),0)</f>
        <v>0</v>
      </c>
      <c r="C73" s="209">
        <f>IFERROR(VLOOKUP(A73,Ativos!A:I,9,),0)</f>
        <v>0</v>
      </c>
      <c r="D73" s="211">
        <f>IFERROR(__xludf.DUMMYFUNCTION("iferror(INDEX(arrayformula(filter('Operações-BR'!M:M,'Operações-BR'!C:C&lt;&gt;"""",row('Operações-BR'!C:C)=max(if('Operações-BR'!C:C=A73,row('Operações-BR'!C:C),0)))) ,1),0)"),0.0)</f>
        <v>0</v>
      </c>
      <c r="E73" s="210">
        <f t="shared" si="1"/>
        <v>0</v>
      </c>
      <c r="F73" s="212">
        <f t="shared" si="2"/>
        <v>0</v>
      </c>
      <c r="G73" s="213">
        <f t="shared" si="3"/>
        <v>0</v>
      </c>
      <c r="H73" s="210">
        <f t="shared" si="4"/>
        <v>0</v>
      </c>
      <c r="I73" s="212">
        <f t="shared" si="5"/>
        <v>0</v>
      </c>
      <c r="J73" s="214" t="str">
        <f t="shared" si="6"/>
        <v/>
      </c>
      <c r="K73" s="210">
        <f t="shared" si="7"/>
        <v>0</v>
      </c>
      <c r="L73" s="212">
        <f t="shared" si="8"/>
        <v>0</v>
      </c>
      <c r="M73" s="215" t="str">
        <f t="shared" si="9"/>
        <v/>
      </c>
    </row>
    <row r="74" ht="30.75" customHeight="1">
      <c r="A74" s="215"/>
      <c r="B74" s="210">
        <f>IFERROR(VLOOKUP(A74,DataCarteira!A:B,2,),0)</f>
        <v>0</v>
      </c>
      <c r="C74" s="209">
        <f>IFERROR(VLOOKUP(A74,Ativos!A:I,9,),0)</f>
        <v>0</v>
      </c>
      <c r="D74" s="211">
        <f>IFERROR(__xludf.DUMMYFUNCTION("iferror(INDEX(arrayformula(filter('Operações-BR'!M:M,'Operações-BR'!C:C&lt;&gt;"""",row('Operações-BR'!C:C)=max(if('Operações-BR'!C:C=A74,row('Operações-BR'!C:C),0)))) ,1),0)"),0.0)</f>
        <v>0</v>
      </c>
      <c r="E74" s="210">
        <f t="shared" si="1"/>
        <v>0</v>
      </c>
      <c r="F74" s="212">
        <f t="shared" si="2"/>
        <v>0</v>
      </c>
      <c r="G74" s="213">
        <f t="shared" si="3"/>
        <v>0</v>
      </c>
      <c r="H74" s="210">
        <f t="shared" si="4"/>
        <v>0</v>
      </c>
      <c r="I74" s="212">
        <f t="shared" si="5"/>
        <v>0</v>
      </c>
      <c r="J74" s="214" t="str">
        <f t="shared" si="6"/>
        <v/>
      </c>
      <c r="K74" s="210">
        <f t="shared" si="7"/>
        <v>0</v>
      </c>
      <c r="L74" s="212">
        <f t="shared" si="8"/>
        <v>0</v>
      </c>
      <c r="M74" s="215" t="str">
        <f t="shared" si="9"/>
        <v/>
      </c>
    </row>
    <row r="75" ht="30.75" customHeight="1">
      <c r="A75" s="215"/>
      <c r="B75" s="210">
        <f>IFERROR(VLOOKUP(A75,DataCarteira!A:B,2,),0)</f>
        <v>0</v>
      </c>
      <c r="C75" s="209">
        <f>IFERROR(VLOOKUP(A75,Ativos!A:I,9,),0)</f>
        <v>0</v>
      </c>
      <c r="D75" s="211">
        <f>IFERROR(__xludf.DUMMYFUNCTION("iferror(INDEX(arrayformula(filter('Operações-BR'!M:M,'Operações-BR'!C:C&lt;&gt;"""",row('Operações-BR'!C:C)=max(if('Operações-BR'!C:C=A75,row('Operações-BR'!C:C),0)))) ,1),0)"),0.0)</f>
        <v>0</v>
      </c>
      <c r="E75" s="210">
        <f t="shared" si="1"/>
        <v>0</v>
      </c>
      <c r="F75" s="212">
        <f t="shared" si="2"/>
        <v>0</v>
      </c>
      <c r="G75" s="213">
        <f t="shared" si="3"/>
        <v>0</v>
      </c>
      <c r="H75" s="210">
        <f t="shared" si="4"/>
        <v>0</v>
      </c>
      <c r="I75" s="212">
        <f t="shared" si="5"/>
        <v>0</v>
      </c>
      <c r="J75" s="214" t="str">
        <f t="shared" si="6"/>
        <v/>
      </c>
      <c r="K75" s="210">
        <f t="shared" si="7"/>
        <v>0</v>
      </c>
      <c r="L75" s="212">
        <f t="shared" si="8"/>
        <v>0</v>
      </c>
      <c r="M75" s="215" t="str">
        <f t="shared" si="9"/>
        <v/>
      </c>
    </row>
    <row r="76" ht="30.75" customHeight="1">
      <c r="A76" s="215"/>
      <c r="B76" s="210">
        <f>IFERROR(VLOOKUP(A76,DataCarteira!A:B,2,),0)</f>
        <v>0</v>
      </c>
      <c r="C76" s="209">
        <f>IFERROR(VLOOKUP(A76,Ativos!A:I,9,),0)</f>
        <v>0</v>
      </c>
      <c r="D76" s="211">
        <f>IFERROR(__xludf.DUMMYFUNCTION("iferror(INDEX(arrayformula(filter('Operações-BR'!M:M,'Operações-BR'!C:C&lt;&gt;"""",row('Operações-BR'!C:C)=max(if('Operações-BR'!C:C=A76,row('Operações-BR'!C:C),0)))) ,1),0)"),0.0)</f>
        <v>0</v>
      </c>
      <c r="E76" s="210">
        <f t="shared" si="1"/>
        <v>0</v>
      </c>
      <c r="F76" s="212">
        <f t="shared" si="2"/>
        <v>0</v>
      </c>
      <c r="G76" s="213">
        <f t="shared" si="3"/>
        <v>0</v>
      </c>
      <c r="H76" s="210">
        <f t="shared" si="4"/>
        <v>0</v>
      </c>
      <c r="I76" s="212">
        <f t="shared" si="5"/>
        <v>0</v>
      </c>
      <c r="J76" s="214" t="str">
        <f t="shared" si="6"/>
        <v/>
      </c>
      <c r="K76" s="210">
        <f t="shared" si="7"/>
        <v>0</v>
      </c>
      <c r="L76" s="212">
        <f t="shared" si="8"/>
        <v>0</v>
      </c>
      <c r="M76" s="215" t="str">
        <f t="shared" si="9"/>
        <v/>
      </c>
    </row>
    <row r="77" ht="30.75" customHeight="1">
      <c r="A77" s="215"/>
      <c r="B77" s="210">
        <f>IFERROR(VLOOKUP(A77,DataCarteira!A:B,2,),0)</f>
        <v>0</v>
      </c>
      <c r="C77" s="209">
        <f>IFERROR(VLOOKUP(A77,Ativos!A:I,9,),0)</f>
        <v>0</v>
      </c>
      <c r="D77" s="211">
        <f>IFERROR(__xludf.DUMMYFUNCTION("iferror(INDEX(arrayformula(filter('Operações-BR'!M:M,'Operações-BR'!C:C&lt;&gt;"""",row('Operações-BR'!C:C)=max(if('Operações-BR'!C:C=A77,row('Operações-BR'!C:C),0)))) ,1),0)"),0.0)</f>
        <v>0</v>
      </c>
      <c r="E77" s="210">
        <f t="shared" si="1"/>
        <v>0</v>
      </c>
      <c r="F77" s="212">
        <f t="shared" si="2"/>
        <v>0</v>
      </c>
      <c r="G77" s="213">
        <f t="shared" si="3"/>
        <v>0</v>
      </c>
      <c r="H77" s="210">
        <f t="shared" si="4"/>
        <v>0</v>
      </c>
      <c r="I77" s="212">
        <f t="shared" si="5"/>
        <v>0</v>
      </c>
      <c r="J77" s="214" t="str">
        <f t="shared" si="6"/>
        <v/>
      </c>
      <c r="K77" s="210">
        <f t="shared" si="7"/>
        <v>0</v>
      </c>
      <c r="L77" s="212">
        <f t="shared" si="8"/>
        <v>0</v>
      </c>
      <c r="M77" s="215" t="str">
        <f t="shared" si="9"/>
        <v/>
      </c>
    </row>
    <row r="78" ht="30.75" customHeight="1">
      <c r="A78" s="215"/>
      <c r="B78" s="210">
        <f>IFERROR(VLOOKUP(A78,DataCarteira!A:B,2,),0)</f>
        <v>0</v>
      </c>
      <c r="C78" s="209">
        <f>IFERROR(VLOOKUP(A78,Ativos!A:I,9,),0)</f>
        <v>0</v>
      </c>
      <c r="D78" s="211">
        <f>IFERROR(__xludf.DUMMYFUNCTION("iferror(INDEX(arrayformula(filter('Operações-BR'!M:M,'Operações-BR'!C:C&lt;&gt;"""",row('Operações-BR'!C:C)=max(if('Operações-BR'!C:C=A78,row('Operações-BR'!C:C),0)))) ,1),0)"),0.0)</f>
        <v>0</v>
      </c>
      <c r="E78" s="210">
        <f t="shared" si="1"/>
        <v>0</v>
      </c>
      <c r="F78" s="212">
        <f t="shared" si="2"/>
        <v>0</v>
      </c>
      <c r="G78" s="213">
        <f t="shared" si="3"/>
        <v>0</v>
      </c>
      <c r="H78" s="210">
        <f t="shared" si="4"/>
        <v>0</v>
      </c>
      <c r="I78" s="212">
        <f t="shared" si="5"/>
        <v>0</v>
      </c>
      <c r="J78" s="214" t="str">
        <f t="shared" si="6"/>
        <v/>
      </c>
      <c r="K78" s="210">
        <f t="shared" si="7"/>
        <v>0</v>
      </c>
      <c r="L78" s="212">
        <f t="shared" si="8"/>
        <v>0</v>
      </c>
      <c r="M78" s="215" t="str">
        <f t="shared" si="9"/>
        <v/>
      </c>
    </row>
    <row r="79" ht="30.75" customHeight="1">
      <c r="A79" s="215"/>
      <c r="B79" s="210">
        <f>IFERROR(VLOOKUP(A79,DataCarteira!A:B,2,),0)</f>
        <v>0</v>
      </c>
      <c r="C79" s="209">
        <f>IFERROR(VLOOKUP(A79,Ativos!A:I,9,),0)</f>
        <v>0</v>
      </c>
      <c r="D79" s="211">
        <f>IFERROR(__xludf.DUMMYFUNCTION("iferror(INDEX(arrayformula(filter('Operações-BR'!M:M,'Operações-BR'!C:C&lt;&gt;"""",row('Operações-BR'!C:C)=max(if('Operações-BR'!C:C=A79,row('Operações-BR'!C:C),0)))) ,1),0)"),0.0)</f>
        <v>0</v>
      </c>
      <c r="E79" s="210">
        <f t="shared" si="1"/>
        <v>0</v>
      </c>
      <c r="F79" s="212">
        <f t="shared" si="2"/>
        <v>0</v>
      </c>
      <c r="G79" s="213">
        <f t="shared" si="3"/>
        <v>0</v>
      </c>
      <c r="H79" s="210">
        <f t="shared" si="4"/>
        <v>0</v>
      </c>
      <c r="I79" s="212">
        <f t="shared" si="5"/>
        <v>0</v>
      </c>
      <c r="J79" s="214" t="str">
        <f t="shared" si="6"/>
        <v/>
      </c>
      <c r="K79" s="210">
        <f t="shared" si="7"/>
        <v>0</v>
      </c>
      <c r="L79" s="212">
        <f t="shared" si="8"/>
        <v>0</v>
      </c>
      <c r="M79" s="215" t="str">
        <f t="shared" si="9"/>
        <v/>
      </c>
    </row>
    <row r="80" ht="30.75" customHeight="1">
      <c r="A80" s="215"/>
      <c r="B80" s="210">
        <f>IFERROR(VLOOKUP(A80,DataCarteira!A:B,2,),0)</f>
        <v>0</v>
      </c>
      <c r="C80" s="209">
        <f>IFERROR(VLOOKUP(A80,Ativos!A:I,9,),0)</f>
        <v>0</v>
      </c>
      <c r="D80" s="211">
        <f>IFERROR(__xludf.DUMMYFUNCTION("iferror(INDEX(arrayformula(filter('Operações-BR'!M:M,'Operações-BR'!C:C&lt;&gt;"""",row('Operações-BR'!C:C)=max(if('Operações-BR'!C:C=A80,row('Operações-BR'!C:C),0)))) ,1),0)"),0.0)</f>
        <v>0</v>
      </c>
      <c r="E80" s="210">
        <f t="shared" si="1"/>
        <v>0</v>
      </c>
      <c r="F80" s="212">
        <f t="shared" si="2"/>
        <v>0</v>
      </c>
      <c r="G80" s="213">
        <f t="shared" si="3"/>
        <v>0</v>
      </c>
      <c r="H80" s="210">
        <f t="shared" si="4"/>
        <v>0</v>
      </c>
      <c r="I80" s="212">
        <f t="shared" si="5"/>
        <v>0</v>
      </c>
      <c r="J80" s="214" t="str">
        <f t="shared" si="6"/>
        <v/>
      </c>
      <c r="K80" s="210">
        <f t="shared" si="7"/>
        <v>0</v>
      </c>
      <c r="L80" s="212">
        <f t="shared" si="8"/>
        <v>0</v>
      </c>
      <c r="M80" s="215" t="str">
        <f t="shared" si="9"/>
        <v/>
      </c>
    </row>
    <row r="81" ht="30.75" customHeight="1">
      <c r="A81" s="215"/>
      <c r="B81" s="210">
        <f>IFERROR(VLOOKUP(A81,DataCarteira!A:B,2,),0)</f>
        <v>0</v>
      </c>
      <c r="C81" s="209">
        <f>IFERROR(VLOOKUP(A81,Ativos!A:I,9,),0)</f>
        <v>0</v>
      </c>
      <c r="D81" s="211">
        <f>IFERROR(__xludf.DUMMYFUNCTION("iferror(INDEX(arrayformula(filter('Operações-BR'!M:M,'Operações-BR'!C:C&lt;&gt;"""",row('Operações-BR'!C:C)=max(if('Operações-BR'!C:C=A81,row('Operações-BR'!C:C),0)))) ,1),0)"),0.0)</f>
        <v>0</v>
      </c>
      <c r="E81" s="210">
        <f t="shared" si="1"/>
        <v>0</v>
      </c>
      <c r="F81" s="212">
        <f t="shared" si="2"/>
        <v>0</v>
      </c>
      <c r="G81" s="213">
        <f t="shared" si="3"/>
        <v>0</v>
      </c>
      <c r="H81" s="210">
        <f t="shared" si="4"/>
        <v>0</v>
      </c>
      <c r="I81" s="212">
        <f t="shared" si="5"/>
        <v>0</v>
      </c>
      <c r="J81" s="214" t="str">
        <f t="shared" si="6"/>
        <v/>
      </c>
      <c r="K81" s="210">
        <f t="shared" si="7"/>
        <v>0</v>
      </c>
      <c r="L81" s="212">
        <f t="shared" si="8"/>
        <v>0</v>
      </c>
      <c r="M81" s="215" t="str">
        <f t="shared" si="9"/>
        <v/>
      </c>
    </row>
    <row r="82" ht="30.75" customHeight="1">
      <c r="A82" s="215"/>
      <c r="B82" s="210">
        <f>IFERROR(VLOOKUP(A82,DataCarteira!A:B,2,),0)</f>
        <v>0</v>
      </c>
      <c r="C82" s="209">
        <f>IFERROR(VLOOKUP(A82,Ativos!A:I,9,),0)</f>
        <v>0</v>
      </c>
      <c r="D82" s="211">
        <f>IFERROR(__xludf.DUMMYFUNCTION("iferror(INDEX(arrayformula(filter('Operações-BR'!M:M,'Operações-BR'!C:C&lt;&gt;"""",row('Operações-BR'!C:C)=max(if('Operações-BR'!C:C=A82,row('Operações-BR'!C:C),0)))) ,1),0)"),0.0)</f>
        <v>0</v>
      </c>
      <c r="E82" s="210">
        <f t="shared" si="1"/>
        <v>0</v>
      </c>
      <c r="F82" s="212">
        <f t="shared" si="2"/>
        <v>0</v>
      </c>
      <c r="G82" s="213">
        <f t="shared" si="3"/>
        <v>0</v>
      </c>
      <c r="H82" s="210">
        <f t="shared" si="4"/>
        <v>0</v>
      </c>
      <c r="I82" s="212">
        <f t="shared" si="5"/>
        <v>0</v>
      </c>
      <c r="J82" s="214" t="str">
        <f t="shared" si="6"/>
        <v/>
      </c>
      <c r="K82" s="210">
        <f t="shared" si="7"/>
        <v>0</v>
      </c>
      <c r="L82" s="212">
        <f t="shared" si="8"/>
        <v>0</v>
      </c>
      <c r="M82" s="215" t="str">
        <f t="shared" si="9"/>
        <v/>
      </c>
    </row>
    <row r="83" ht="30.75" customHeight="1">
      <c r="A83" s="215"/>
      <c r="B83" s="210">
        <f>IFERROR(VLOOKUP(A83,DataCarteira!A:B,2,),0)</f>
        <v>0</v>
      </c>
      <c r="C83" s="209">
        <f>IFERROR(VLOOKUP(A83,Ativos!A:I,9,),0)</f>
        <v>0</v>
      </c>
      <c r="D83" s="211">
        <f>IFERROR(__xludf.DUMMYFUNCTION("iferror(INDEX(arrayformula(filter('Operações-BR'!M:M,'Operações-BR'!C:C&lt;&gt;"""",row('Operações-BR'!C:C)=max(if('Operações-BR'!C:C=A83,row('Operações-BR'!C:C),0)))) ,1),0)"),0.0)</f>
        <v>0</v>
      </c>
      <c r="E83" s="210">
        <f t="shared" si="1"/>
        <v>0</v>
      </c>
      <c r="F83" s="212">
        <f t="shared" si="2"/>
        <v>0</v>
      </c>
      <c r="G83" s="213">
        <f t="shared" si="3"/>
        <v>0</v>
      </c>
      <c r="H83" s="210">
        <f t="shared" si="4"/>
        <v>0</v>
      </c>
      <c r="I83" s="212">
        <f t="shared" si="5"/>
        <v>0</v>
      </c>
      <c r="J83" s="214" t="str">
        <f t="shared" si="6"/>
        <v/>
      </c>
      <c r="K83" s="210">
        <f t="shared" si="7"/>
        <v>0</v>
      </c>
      <c r="L83" s="212">
        <f t="shared" si="8"/>
        <v>0</v>
      </c>
      <c r="M83" s="215" t="str">
        <f t="shared" si="9"/>
        <v/>
      </c>
    </row>
    <row r="84" ht="30.75" customHeight="1">
      <c r="A84" s="215"/>
      <c r="B84" s="210">
        <f>IFERROR(VLOOKUP(A84,DataCarteira!A:B,2,),0)</f>
        <v>0</v>
      </c>
      <c r="C84" s="209">
        <f>IFERROR(VLOOKUP(A84,Ativos!A:I,9,),0)</f>
        <v>0</v>
      </c>
      <c r="D84" s="211">
        <f>IFERROR(__xludf.DUMMYFUNCTION("iferror(INDEX(arrayformula(filter('Operações-BR'!M:M,'Operações-BR'!C:C&lt;&gt;"""",row('Operações-BR'!C:C)=max(if('Operações-BR'!C:C=A84,row('Operações-BR'!C:C),0)))) ,1),0)"),0.0)</f>
        <v>0</v>
      </c>
      <c r="E84" s="210">
        <f t="shared" si="1"/>
        <v>0</v>
      </c>
      <c r="F84" s="212">
        <f t="shared" si="2"/>
        <v>0</v>
      </c>
      <c r="G84" s="213">
        <f t="shared" si="3"/>
        <v>0</v>
      </c>
      <c r="H84" s="210">
        <f t="shared" si="4"/>
        <v>0</v>
      </c>
      <c r="I84" s="212">
        <f t="shared" si="5"/>
        <v>0</v>
      </c>
      <c r="J84" s="214" t="str">
        <f t="shared" si="6"/>
        <v/>
      </c>
      <c r="K84" s="210">
        <f t="shared" si="7"/>
        <v>0</v>
      </c>
      <c r="L84" s="212">
        <f t="shared" si="8"/>
        <v>0</v>
      </c>
      <c r="M84" s="215" t="str">
        <f t="shared" si="9"/>
        <v/>
      </c>
    </row>
    <row r="85" ht="30.75" customHeight="1">
      <c r="A85" s="215"/>
      <c r="B85" s="210">
        <f>IFERROR(VLOOKUP(A85,DataCarteira!A:B,2,),0)</f>
        <v>0</v>
      </c>
      <c r="C85" s="209">
        <f>IFERROR(VLOOKUP(A85,Ativos!A:I,9,),0)</f>
        <v>0</v>
      </c>
      <c r="D85" s="211">
        <f>IFERROR(__xludf.DUMMYFUNCTION("iferror(INDEX(arrayformula(filter('Operações-BR'!M:M,'Operações-BR'!C:C&lt;&gt;"""",row('Operações-BR'!C:C)=max(if('Operações-BR'!C:C=A85,row('Operações-BR'!C:C),0)))) ,1),0)"),0.0)</f>
        <v>0</v>
      </c>
      <c r="E85" s="210">
        <f t="shared" si="1"/>
        <v>0</v>
      </c>
      <c r="F85" s="212">
        <f t="shared" si="2"/>
        <v>0</v>
      </c>
      <c r="G85" s="213">
        <f t="shared" si="3"/>
        <v>0</v>
      </c>
      <c r="H85" s="210">
        <f t="shared" si="4"/>
        <v>0</v>
      </c>
      <c r="I85" s="212">
        <f t="shared" si="5"/>
        <v>0</v>
      </c>
      <c r="J85" s="214" t="str">
        <f t="shared" si="6"/>
        <v/>
      </c>
      <c r="K85" s="210">
        <f t="shared" si="7"/>
        <v>0</v>
      </c>
      <c r="L85" s="212">
        <f t="shared" si="8"/>
        <v>0</v>
      </c>
      <c r="M85" s="215" t="str">
        <f t="shared" si="9"/>
        <v/>
      </c>
    </row>
    <row r="86" ht="30.75" customHeight="1">
      <c r="A86" s="215"/>
      <c r="B86" s="210">
        <f>IFERROR(VLOOKUP(A86,DataCarteira!A:B,2,),0)</f>
        <v>0</v>
      </c>
      <c r="C86" s="209">
        <f>IFERROR(VLOOKUP(A86,Ativos!A:I,9,),0)</f>
        <v>0</v>
      </c>
      <c r="D86" s="211">
        <f>IFERROR(__xludf.DUMMYFUNCTION("iferror(INDEX(arrayformula(filter('Operações-BR'!M:M,'Operações-BR'!C:C&lt;&gt;"""",row('Operações-BR'!C:C)=max(if('Operações-BR'!C:C=A86,row('Operações-BR'!C:C),0)))) ,1),0)"),0.0)</f>
        <v>0</v>
      </c>
      <c r="E86" s="210">
        <f t="shared" si="1"/>
        <v>0</v>
      </c>
      <c r="F86" s="212">
        <f t="shared" si="2"/>
        <v>0</v>
      </c>
      <c r="G86" s="213">
        <f t="shared" si="3"/>
        <v>0</v>
      </c>
      <c r="H86" s="210">
        <f t="shared" si="4"/>
        <v>0</v>
      </c>
      <c r="I86" s="212">
        <f t="shared" si="5"/>
        <v>0</v>
      </c>
      <c r="J86" s="214" t="str">
        <f t="shared" si="6"/>
        <v/>
      </c>
      <c r="K86" s="210">
        <f t="shared" si="7"/>
        <v>0</v>
      </c>
      <c r="L86" s="212">
        <f t="shared" si="8"/>
        <v>0</v>
      </c>
      <c r="M86" s="215" t="str">
        <f t="shared" si="9"/>
        <v/>
      </c>
    </row>
    <row r="87" ht="30.75" customHeight="1">
      <c r="A87" s="215"/>
      <c r="B87" s="210">
        <f>IFERROR(VLOOKUP(A87,DataCarteira!A:B,2,),0)</f>
        <v>0</v>
      </c>
      <c r="C87" s="209">
        <f>IFERROR(VLOOKUP(A87,Ativos!A:I,9,),0)</f>
        <v>0</v>
      </c>
      <c r="D87" s="211">
        <f>IFERROR(__xludf.DUMMYFUNCTION("iferror(INDEX(arrayformula(filter('Operações-BR'!M:M,'Operações-BR'!C:C&lt;&gt;"""",row('Operações-BR'!C:C)=max(if('Operações-BR'!C:C=A87,row('Operações-BR'!C:C),0)))) ,1),0)"),0.0)</f>
        <v>0</v>
      </c>
      <c r="E87" s="210">
        <f t="shared" si="1"/>
        <v>0</v>
      </c>
      <c r="F87" s="212">
        <f t="shared" si="2"/>
        <v>0</v>
      </c>
      <c r="G87" s="213">
        <f t="shared" si="3"/>
        <v>0</v>
      </c>
      <c r="H87" s="210">
        <f t="shared" si="4"/>
        <v>0</v>
      </c>
      <c r="I87" s="212">
        <f t="shared" si="5"/>
        <v>0</v>
      </c>
      <c r="J87" s="214" t="str">
        <f t="shared" si="6"/>
        <v/>
      </c>
      <c r="K87" s="210">
        <f t="shared" si="7"/>
        <v>0</v>
      </c>
      <c r="L87" s="212">
        <f t="shared" si="8"/>
        <v>0</v>
      </c>
      <c r="M87" s="215" t="str">
        <f t="shared" si="9"/>
        <v/>
      </c>
    </row>
    <row r="88" ht="30.75" customHeight="1">
      <c r="A88" s="215"/>
      <c r="B88" s="210">
        <f>IFERROR(VLOOKUP(A88,DataCarteira!A:B,2,),0)</f>
        <v>0</v>
      </c>
      <c r="C88" s="209">
        <f>IFERROR(VLOOKUP(A88,Ativos!A:I,9,),0)</f>
        <v>0</v>
      </c>
      <c r="D88" s="211">
        <f>IFERROR(__xludf.DUMMYFUNCTION("iferror(INDEX(arrayformula(filter('Operações-BR'!M:M,'Operações-BR'!C:C&lt;&gt;"""",row('Operações-BR'!C:C)=max(if('Operações-BR'!C:C=A88,row('Operações-BR'!C:C),0)))) ,1),0)"),0.0)</f>
        <v>0</v>
      </c>
      <c r="E88" s="210">
        <f t="shared" si="1"/>
        <v>0</v>
      </c>
      <c r="F88" s="212">
        <f t="shared" si="2"/>
        <v>0</v>
      </c>
      <c r="G88" s="213">
        <f t="shared" si="3"/>
        <v>0</v>
      </c>
      <c r="H88" s="210">
        <f t="shared" si="4"/>
        <v>0</v>
      </c>
      <c r="I88" s="212">
        <f t="shared" si="5"/>
        <v>0</v>
      </c>
      <c r="J88" s="214" t="str">
        <f t="shared" si="6"/>
        <v/>
      </c>
      <c r="K88" s="210">
        <f t="shared" si="7"/>
        <v>0</v>
      </c>
      <c r="L88" s="212">
        <f t="shared" si="8"/>
        <v>0</v>
      </c>
      <c r="M88" s="215" t="str">
        <f t="shared" si="9"/>
        <v/>
      </c>
    </row>
    <row r="89" ht="30.75" customHeight="1">
      <c r="A89" s="215"/>
      <c r="B89" s="210">
        <f>IFERROR(VLOOKUP(A89,DataCarteira!A:B,2,),0)</f>
        <v>0</v>
      </c>
      <c r="C89" s="209">
        <f>IFERROR(VLOOKUP(A89,Ativos!A:I,9,),0)</f>
        <v>0</v>
      </c>
      <c r="D89" s="211">
        <f>IFERROR(__xludf.DUMMYFUNCTION("iferror(INDEX(arrayformula(filter('Operações-BR'!M:M,'Operações-BR'!C:C&lt;&gt;"""",row('Operações-BR'!C:C)=max(if('Operações-BR'!C:C=A89,row('Operações-BR'!C:C),0)))) ,1),0)"),0.0)</f>
        <v>0</v>
      </c>
      <c r="E89" s="210">
        <f t="shared" si="1"/>
        <v>0</v>
      </c>
      <c r="F89" s="212">
        <f t="shared" si="2"/>
        <v>0</v>
      </c>
      <c r="G89" s="213">
        <f t="shared" si="3"/>
        <v>0</v>
      </c>
      <c r="H89" s="210">
        <f t="shared" si="4"/>
        <v>0</v>
      </c>
      <c r="I89" s="212">
        <f t="shared" si="5"/>
        <v>0</v>
      </c>
      <c r="J89" s="214" t="str">
        <f t="shared" si="6"/>
        <v/>
      </c>
      <c r="K89" s="210">
        <f t="shared" si="7"/>
        <v>0</v>
      </c>
      <c r="L89" s="212">
        <f t="shared" si="8"/>
        <v>0</v>
      </c>
      <c r="M89" s="215" t="str">
        <f t="shared" si="9"/>
        <v/>
      </c>
    </row>
    <row r="90" ht="30.75" customHeight="1">
      <c r="A90" s="215"/>
      <c r="B90" s="210">
        <f>IFERROR(VLOOKUP(A90,DataCarteira!A:B,2,),0)</f>
        <v>0</v>
      </c>
      <c r="C90" s="209">
        <f>IFERROR(VLOOKUP(A90,Ativos!A:I,9,),0)</f>
        <v>0</v>
      </c>
      <c r="D90" s="211">
        <f>IFERROR(__xludf.DUMMYFUNCTION("iferror(INDEX(arrayformula(filter('Operações-BR'!M:M,'Operações-BR'!C:C&lt;&gt;"""",row('Operações-BR'!C:C)=max(if('Operações-BR'!C:C=A90,row('Operações-BR'!C:C),0)))) ,1),0)"),0.0)</f>
        <v>0</v>
      </c>
      <c r="E90" s="210">
        <f t="shared" si="1"/>
        <v>0</v>
      </c>
      <c r="F90" s="212">
        <f t="shared" si="2"/>
        <v>0</v>
      </c>
      <c r="G90" s="213">
        <f t="shared" si="3"/>
        <v>0</v>
      </c>
      <c r="H90" s="210">
        <f t="shared" si="4"/>
        <v>0</v>
      </c>
      <c r="I90" s="212">
        <f t="shared" si="5"/>
        <v>0</v>
      </c>
      <c r="J90" s="214" t="str">
        <f t="shared" si="6"/>
        <v/>
      </c>
      <c r="K90" s="210">
        <f t="shared" si="7"/>
        <v>0</v>
      </c>
      <c r="L90" s="212">
        <f t="shared" si="8"/>
        <v>0</v>
      </c>
      <c r="M90" s="215" t="str">
        <f t="shared" si="9"/>
        <v/>
      </c>
    </row>
    <row r="91" ht="30.75" customHeight="1">
      <c r="A91" s="215"/>
      <c r="B91" s="210">
        <f>IFERROR(VLOOKUP(A91,DataCarteira!A:B,2,),0)</f>
        <v>0</v>
      </c>
      <c r="C91" s="209">
        <f>IFERROR(VLOOKUP(A91,Ativos!A:I,9,),0)</f>
        <v>0</v>
      </c>
      <c r="D91" s="211">
        <f>IFERROR(__xludf.DUMMYFUNCTION("iferror(INDEX(arrayformula(filter('Operações-BR'!M:M,'Operações-BR'!C:C&lt;&gt;"""",row('Operações-BR'!C:C)=max(if('Operações-BR'!C:C=A91,row('Operações-BR'!C:C),0)))) ,1),0)"),0.0)</f>
        <v>0</v>
      </c>
      <c r="E91" s="210">
        <f t="shared" si="1"/>
        <v>0</v>
      </c>
      <c r="F91" s="212">
        <f t="shared" si="2"/>
        <v>0</v>
      </c>
      <c r="G91" s="213">
        <f t="shared" si="3"/>
        <v>0</v>
      </c>
      <c r="H91" s="210">
        <f t="shared" si="4"/>
        <v>0</v>
      </c>
      <c r="I91" s="212">
        <f t="shared" si="5"/>
        <v>0</v>
      </c>
      <c r="J91" s="214" t="str">
        <f t="shared" si="6"/>
        <v/>
      </c>
      <c r="K91" s="210">
        <f t="shared" si="7"/>
        <v>0</v>
      </c>
      <c r="L91" s="212">
        <f t="shared" si="8"/>
        <v>0</v>
      </c>
      <c r="M91" s="215" t="str">
        <f t="shared" si="9"/>
        <v/>
      </c>
    </row>
    <row r="92" ht="30.75" customHeight="1">
      <c r="A92" s="215"/>
      <c r="B92" s="210">
        <f>IFERROR(VLOOKUP(A92,DataCarteira!A:B,2,),0)</f>
        <v>0</v>
      </c>
      <c r="C92" s="209">
        <f>IFERROR(VLOOKUP(A92,Ativos!A:I,9,),0)</f>
        <v>0</v>
      </c>
      <c r="D92" s="211">
        <f>IFERROR(__xludf.DUMMYFUNCTION("iferror(INDEX(arrayformula(filter('Operações-BR'!M:M,'Operações-BR'!C:C&lt;&gt;"""",row('Operações-BR'!C:C)=max(if('Operações-BR'!C:C=A92,row('Operações-BR'!C:C),0)))) ,1),0)"),0.0)</f>
        <v>0</v>
      </c>
      <c r="E92" s="210">
        <f t="shared" si="1"/>
        <v>0</v>
      </c>
      <c r="F92" s="212">
        <f t="shared" si="2"/>
        <v>0</v>
      </c>
      <c r="G92" s="213">
        <f t="shared" si="3"/>
        <v>0</v>
      </c>
      <c r="H92" s="210">
        <f t="shared" si="4"/>
        <v>0</v>
      </c>
      <c r="I92" s="212">
        <f t="shared" si="5"/>
        <v>0</v>
      </c>
      <c r="J92" s="214" t="str">
        <f t="shared" si="6"/>
        <v/>
      </c>
      <c r="K92" s="210">
        <f t="shared" si="7"/>
        <v>0</v>
      </c>
      <c r="L92" s="212">
        <f t="shared" si="8"/>
        <v>0</v>
      </c>
      <c r="M92" s="215" t="str">
        <f t="shared" si="9"/>
        <v/>
      </c>
    </row>
    <row r="93" ht="30.75" customHeight="1">
      <c r="A93" s="215"/>
      <c r="B93" s="210">
        <f>IFERROR(VLOOKUP(A93,DataCarteira!A:B,2,),0)</f>
        <v>0</v>
      </c>
      <c r="C93" s="209">
        <f>IFERROR(VLOOKUP(A93,Ativos!A:I,9,),0)</f>
        <v>0</v>
      </c>
      <c r="D93" s="211">
        <f>IFERROR(__xludf.DUMMYFUNCTION("iferror(INDEX(arrayformula(filter('Operações-BR'!M:M,'Operações-BR'!C:C&lt;&gt;"""",row('Operações-BR'!C:C)=max(if('Operações-BR'!C:C=A93,row('Operações-BR'!C:C),0)))) ,1),0)"),0.0)</f>
        <v>0</v>
      </c>
      <c r="E93" s="210">
        <f t="shared" si="1"/>
        <v>0</v>
      </c>
      <c r="F93" s="212">
        <f t="shared" si="2"/>
        <v>0</v>
      </c>
      <c r="G93" s="213">
        <f t="shared" si="3"/>
        <v>0</v>
      </c>
      <c r="H93" s="210">
        <f t="shared" si="4"/>
        <v>0</v>
      </c>
      <c r="I93" s="212">
        <f t="shared" si="5"/>
        <v>0</v>
      </c>
      <c r="J93" s="214" t="str">
        <f t="shared" si="6"/>
        <v/>
      </c>
      <c r="K93" s="210">
        <f t="shared" si="7"/>
        <v>0</v>
      </c>
      <c r="L93" s="212">
        <f t="shared" si="8"/>
        <v>0</v>
      </c>
      <c r="M93" s="215" t="str">
        <f t="shared" si="9"/>
        <v/>
      </c>
    </row>
    <row r="94" ht="30.75" customHeight="1">
      <c r="A94" s="215"/>
      <c r="B94" s="210">
        <f>IFERROR(VLOOKUP(A94,DataCarteira!A:B,2,),0)</f>
        <v>0</v>
      </c>
      <c r="C94" s="209">
        <f>IFERROR(VLOOKUP(A94,Ativos!A:I,9,),0)</f>
        <v>0</v>
      </c>
      <c r="D94" s="211">
        <f>IFERROR(__xludf.DUMMYFUNCTION("iferror(INDEX(arrayformula(filter('Operações-BR'!M:M,'Operações-BR'!C:C&lt;&gt;"""",row('Operações-BR'!C:C)=max(if('Operações-BR'!C:C=A94,row('Operações-BR'!C:C),0)))) ,1),0)"),0.0)</f>
        <v>0</v>
      </c>
      <c r="E94" s="210">
        <f t="shared" si="1"/>
        <v>0</v>
      </c>
      <c r="F94" s="212">
        <f t="shared" si="2"/>
        <v>0</v>
      </c>
      <c r="G94" s="213">
        <f t="shared" si="3"/>
        <v>0</v>
      </c>
      <c r="H94" s="210">
        <f t="shared" si="4"/>
        <v>0</v>
      </c>
      <c r="I94" s="212">
        <f t="shared" si="5"/>
        <v>0</v>
      </c>
      <c r="J94" s="214" t="str">
        <f t="shared" si="6"/>
        <v/>
      </c>
      <c r="K94" s="210">
        <f t="shared" si="7"/>
        <v>0</v>
      </c>
      <c r="L94" s="212">
        <f t="shared" si="8"/>
        <v>0</v>
      </c>
      <c r="M94" s="215" t="str">
        <f t="shared" si="9"/>
        <v/>
      </c>
    </row>
    <row r="95" ht="30.75" customHeight="1">
      <c r="A95" s="215"/>
      <c r="B95" s="210">
        <f>IFERROR(VLOOKUP(A95,DataCarteira!A:B,2,),0)</f>
        <v>0</v>
      </c>
      <c r="C95" s="209">
        <f>IFERROR(VLOOKUP(A95,Ativos!A:I,9,),0)</f>
        <v>0</v>
      </c>
      <c r="D95" s="211">
        <f>IFERROR(__xludf.DUMMYFUNCTION("iferror(INDEX(arrayformula(filter('Operações-BR'!M:M,'Operações-BR'!C:C&lt;&gt;"""",row('Operações-BR'!C:C)=max(if('Operações-BR'!C:C=A95,row('Operações-BR'!C:C),0)))) ,1),0)"),0.0)</f>
        <v>0</v>
      </c>
      <c r="E95" s="210">
        <f t="shared" si="1"/>
        <v>0</v>
      </c>
      <c r="F95" s="212">
        <f t="shared" si="2"/>
        <v>0</v>
      </c>
      <c r="G95" s="213">
        <f t="shared" si="3"/>
        <v>0</v>
      </c>
      <c r="H95" s="210">
        <f t="shared" si="4"/>
        <v>0</v>
      </c>
      <c r="I95" s="212">
        <f t="shared" si="5"/>
        <v>0</v>
      </c>
      <c r="J95" s="214" t="str">
        <f t="shared" si="6"/>
        <v/>
      </c>
      <c r="K95" s="210">
        <f t="shared" si="7"/>
        <v>0</v>
      </c>
      <c r="L95" s="212">
        <f t="shared" si="8"/>
        <v>0</v>
      </c>
      <c r="M95" s="215" t="str">
        <f t="shared" si="9"/>
        <v/>
      </c>
    </row>
    <row r="96" ht="30.75" customHeight="1">
      <c r="A96" s="215"/>
      <c r="B96" s="210">
        <f>IFERROR(VLOOKUP(A96,DataCarteira!A:B,2,),0)</f>
        <v>0</v>
      </c>
      <c r="C96" s="209">
        <f>IFERROR(VLOOKUP(A96,Ativos!A:I,9,),0)</f>
        <v>0</v>
      </c>
      <c r="D96" s="211">
        <f>IFERROR(__xludf.DUMMYFUNCTION("iferror(INDEX(arrayformula(filter('Operações-BR'!M:M,'Operações-BR'!C:C&lt;&gt;"""",row('Operações-BR'!C:C)=max(if('Operações-BR'!C:C=A96,row('Operações-BR'!C:C),0)))) ,1),0)"),0.0)</f>
        <v>0</v>
      </c>
      <c r="E96" s="210">
        <f t="shared" si="1"/>
        <v>0</v>
      </c>
      <c r="F96" s="212">
        <f t="shared" si="2"/>
        <v>0</v>
      </c>
      <c r="G96" s="213">
        <f t="shared" si="3"/>
        <v>0</v>
      </c>
      <c r="H96" s="210">
        <f t="shared" si="4"/>
        <v>0</v>
      </c>
      <c r="I96" s="212">
        <f t="shared" si="5"/>
        <v>0</v>
      </c>
      <c r="J96" s="214" t="str">
        <f t="shared" si="6"/>
        <v/>
      </c>
      <c r="K96" s="210">
        <f t="shared" si="7"/>
        <v>0</v>
      </c>
      <c r="L96" s="212">
        <f t="shared" si="8"/>
        <v>0</v>
      </c>
      <c r="M96" s="215" t="str">
        <f t="shared" si="9"/>
        <v/>
      </c>
    </row>
    <row r="97" ht="30.75" customHeight="1">
      <c r="A97" s="215"/>
      <c r="B97" s="210">
        <f>IFERROR(VLOOKUP(A97,DataCarteira!A:B,2,),0)</f>
        <v>0</v>
      </c>
      <c r="C97" s="209">
        <f>IFERROR(VLOOKUP(A97,Ativos!A:I,9,),0)</f>
        <v>0</v>
      </c>
      <c r="D97" s="211">
        <f>IFERROR(__xludf.DUMMYFUNCTION("iferror(INDEX(arrayformula(filter('Operações-BR'!M:M,'Operações-BR'!C:C&lt;&gt;"""",row('Operações-BR'!C:C)=max(if('Operações-BR'!C:C=A97,row('Operações-BR'!C:C),0)))) ,1),0)"),0.0)</f>
        <v>0</v>
      </c>
      <c r="E97" s="210">
        <f t="shared" si="1"/>
        <v>0</v>
      </c>
      <c r="F97" s="212">
        <f t="shared" si="2"/>
        <v>0</v>
      </c>
      <c r="G97" s="213">
        <f t="shared" si="3"/>
        <v>0</v>
      </c>
      <c r="H97" s="210">
        <f t="shared" si="4"/>
        <v>0</v>
      </c>
      <c r="I97" s="212">
        <f t="shared" si="5"/>
        <v>0</v>
      </c>
      <c r="J97" s="214" t="str">
        <f t="shared" si="6"/>
        <v/>
      </c>
      <c r="K97" s="210">
        <f t="shared" si="7"/>
        <v>0</v>
      </c>
      <c r="L97" s="212">
        <f t="shared" si="8"/>
        <v>0</v>
      </c>
      <c r="M97" s="215" t="str">
        <f t="shared" si="9"/>
        <v/>
      </c>
    </row>
    <row r="98" ht="30.75" customHeight="1">
      <c r="A98" s="215"/>
      <c r="B98" s="210">
        <f>IFERROR(VLOOKUP(A98,DataCarteira!A:B,2,),0)</f>
        <v>0</v>
      </c>
      <c r="C98" s="209">
        <f>IFERROR(VLOOKUP(A98,Ativos!A:I,9,),0)</f>
        <v>0</v>
      </c>
      <c r="D98" s="211">
        <f>IFERROR(__xludf.DUMMYFUNCTION("iferror(INDEX(arrayformula(filter('Operações-BR'!M:M,'Operações-BR'!C:C&lt;&gt;"""",row('Operações-BR'!C:C)=max(if('Operações-BR'!C:C=A98,row('Operações-BR'!C:C),0)))) ,1),0)"),0.0)</f>
        <v>0</v>
      </c>
      <c r="E98" s="210">
        <f t="shared" si="1"/>
        <v>0</v>
      </c>
      <c r="F98" s="212">
        <f t="shared" si="2"/>
        <v>0</v>
      </c>
      <c r="G98" s="213">
        <f t="shared" si="3"/>
        <v>0</v>
      </c>
      <c r="H98" s="210">
        <f t="shared" si="4"/>
        <v>0</v>
      </c>
      <c r="I98" s="212">
        <f t="shared" si="5"/>
        <v>0</v>
      </c>
      <c r="J98" s="214" t="str">
        <f t="shared" si="6"/>
        <v/>
      </c>
      <c r="K98" s="210">
        <f t="shared" si="7"/>
        <v>0</v>
      </c>
      <c r="L98" s="212">
        <f t="shared" si="8"/>
        <v>0</v>
      </c>
      <c r="M98" s="215" t="str">
        <f t="shared" si="9"/>
        <v/>
      </c>
    </row>
    <row r="99" ht="30.75" customHeight="1">
      <c r="A99" s="215"/>
      <c r="B99" s="210">
        <f>IFERROR(VLOOKUP(A99,DataCarteira!A:B,2,),0)</f>
        <v>0</v>
      </c>
      <c r="C99" s="209">
        <f>IFERROR(VLOOKUP(A99,Ativos!A:I,9,),0)</f>
        <v>0</v>
      </c>
      <c r="D99" s="211">
        <f>IFERROR(__xludf.DUMMYFUNCTION("iferror(INDEX(arrayformula(filter('Operações-BR'!M:M,'Operações-BR'!C:C&lt;&gt;"""",row('Operações-BR'!C:C)=max(if('Operações-BR'!C:C=A99,row('Operações-BR'!C:C),0)))) ,1),0)"),0.0)</f>
        <v>0</v>
      </c>
      <c r="E99" s="210">
        <f t="shared" si="1"/>
        <v>0</v>
      </c>
      <c r="F99" s="212">
        <f t="shared" si="2"/>
        <v>0</v>
      </c>
      <c r="G99" s="213">
        <f t="shared" si="3"/>
        <v>0</v>
      </c>
      <c r="H99" s="210">
        <f t="shared" si="4"/>
        <v>0</v>
      </c>
      <c r="I99" s="212">
        <f t="shared" si="5"/>
        <v>0</v>
      </c>
      <c r="J99" s="214" t="str">
        <f t="shared" si="6"/>
        <v/>
      </c>
      <c r="K99" s="210">
        <f t="shared" si="7"/>
        <v>0</v>
      </c>
      <c r="L99" s="212">
        <f t="shared" si="8"/>
        <v>0</v>
      </c>
      <c r="M99" s="215" t="str">
        <f t="shared" si="9"/>
        <v/>
      </c>
    </row>
    <row r="100" ht="30.75" customHeight="1">
      <c r="A100" s="215"/>
      <c r="B100" s="210">
        <f>IFERROR(VLOOKUP(A100,DataCarteira!A:B,2,),0)</f>
        <v>0</v>
      </c>
      <c r="C100" s="209">
        <f>IFERROR(VLOOKUP(A100,Ativos!A:I,9,),0)</f>
        <v>0</v>
      </c>
      <c r="D100" s="211">
        <f>IFERROR(__xludf.DUMMYFUNCTION("iferror(INDEX(arrayformula(filter('Operações-BR'!M:M,'Operações-BR'!C:C&lt;&gt;"""",row('Operações-BR'!C:C)=max(if('Operações-BR'!C:C=A100,row('Operações-BR'!C:C),0)))) ,1),0)"),0.0)</f>
        <v>0</v>
      </c>
      <c r="E100" s="210">
        <f t="shared" si="1"/>
        <v>0</v>
      </c>
      <c r="F100" s="212">
        <f t="shared" si="2"/>
        <v>0</v>
      </c>
      <c r="G100" s="213">
        <f t="shared" si="3"/>
        <v>0</v>
      </c>
      <c r="H100" s="210">
        <f t="shared" si="4"/>
        <v>0</v>
      </c>
      <c r="I100" s="212">
        <f t="shared" si="5"/>
        <v>0</v>
      </c>
      <c r="J100" s="214" t="str">
        <f t="shared" si="6"/>
        <v/>
      </c>
      <c r="K100" s="210">
        <f t="shared" si="7"/>
        <v>0</v>
      </c>
      <c r="L100" s="212">
        <f t="shared" si="8"/>
        <v>0</v>
      </c>
      <c r="M100" s="215" t="str">
        <f t="shared" si="9"/>
        <v/>
      </c>
    </row>
  </sheetData>
  <mergeCells count="5">
    <mergeCell ref="E2:F2"/>
    <mergeCell ref="I2:J2"/>
    <mergeCell ref="D4:F4"/>
    <mergeCell ref="G4:I4"/>
    <mergeCell ref="J4:L4"/>
  </mergeCells>
  <conditionalFormatting sqref="M6:M100">
    <cfRule type="cellIs" dxfId="14" priority="1" operator="equal">
      <formula>"Comprar"</formula>
    </cfRule>
  </conditionalFormatting>
  <conditionalFormatting sqref="M6:M100">
    <cfRule type="cellIs" dxfId="20" priority="2" operator="equal">
      <formula>"Aguardar"</formula>
    </cfRule>
  </conditionalFormatting>
  <conditionalFormatting sqref="B6:M100">
    <cfRule type="cellIs" dxfId="19" priority="3" operator="equal">
      <formula>0</formula>
    </cfRule>
  </conditionalFormatting>
  <conditionalFormatting sqref="J6:L100">
    <cfRule type="cellIs" dxfId="21" priority="4" operator="lessThan">
      <formula>0</formula>
    </cfRule>
  </conditionalFormatting>
  <conditionalFormatting sqref="J1 J3:J100">
    <cfRule type="cellIs" dxfId="14" priority="5" operator="greaterThan">
      <formula>0</formula>
    </cfRule>
  </conditionalFormatting>
  <conditionalFormatting sqref="C6:C100">
    <cfRule type="containsBlanks" dxfId="22" priority="6">
      <formula>LEN(TRIM(C6))=0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B5394"/>
    <outlinePr summaryBelow="0" summaryRight="0"/>
    <pageSetUpPr fitToPage="1"/>
  </sheetPr>
  <sheetViews>
    <sheetView showGridLines="0"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75"/>
  <cols>
    <col customWidth="1" min="1" max="2" width="14.86"/>
    <col customWidth="1" min="3" max="12" width="17.71"/>
    <col customWidth="1" min="13" max="13" width="13.43"/>
    <col customWidth="1" hidden="1" min="14" max="14" width="16.29"/>
  </cols>
  <sheetData>
    <row r="1" ht="11.25" customHeight="1">
      <c r="A1" s="216"/>
      <c r="B1" s="216"/>
      <c r="C1" s="216"/>
      <c r="D1" s="216"/>
      <c r="E1" s="216"/>
      <c r="F1" s="216"/>
      <c r="G1" s="216"/>
      <c r="H1" s="216"/>
      <c r="I1" s="216"/>
      <c r="J1" s="216"/>
      <c r="K1" s="216"/>
      <c r="L1" s="216"/>
      <c r="M1" s="216"/>
      <c r="N1" s="216"/>
    </row>
    <row r="2" ht="18.75" customHeight="1">
      <c r="A2" s="216"/>
      <c r="B2" s="216"/>
      <c r="C2" s="216"/>
      <c r="D2" s="216"/>
      <c r="E2" s="216"/>
      <c r="F2" s="217" t="s">
        <v>186</v>
      </c>
      <c r="G2" s="218" t="s">
        <v>8</v>
      </c>
      <c r="H2" s="219">
        <f>COUNTA(A5:A100)</f>
        <v>10</v>
      </c>
      <c r="I2" s="216"/>
      <c r="J2" s="216"/>
      <c r="K2" s="220"/>
      <c r="L2" s="219"/>
      <c r="M2" s="219"/>
      <c r="N2" s="219"/>
    </row>
    <row r="3" ht="11.25" customHeight="1">
      <c r="A3" s="221"/>
      <c r="B3" s="216"/>
      <c r="C3" s="219"/>
      <c r="D3" s="216"/>
      <c r="E3" s="216"/>
      <c r="F3" s="216"/>
      <c r="G3" s="216"/>
      <c r="H3" s="216"/>
      <c r="I3" s="216"/>
      <c r="J3" s="216"/>
      <c r="K3" s="220"/>
      <c r="L3" s="219"/>
      <c r="M3" s="219"/>
      <c r="N3" s="219"/>
    </row>
    <row r="4" ht="30.75" customHeight="1">
      <c r="A4" s="222" t="s">
        <v>57</v>
      </c>
      <c r="B4" s="223" t="s">
        <v>11</v>
      </c>
      <c r="C4" s="224" t="s">
        <v>13</v>
      </c>
      <c r="D4" s="223" t="s">
        <v>183</v>
      </c>
      <c r="E4" s="223" t="s">
        <v>20</v>
      </c>
      <c r="F4" s="223" t="s">
        <v>14</v>
      </c>
      <c r="G4" s="223" t="s">
        <v>187</v>
      </c>
      <c r="H4" s="223" t="s">
        <v>188</v>
      </c>
      <c r="I4" s="223" t="s">
        <v>34</v>
      </c>
      <c r="J4" s="223" t="s">
        <v>189</v>
      </c>
      <c r="K4" s="225" t="s">
        <v>190</v>
      </c>
      <c r="L4" s="224" t="s">
        <v>191</v>
      </c>
      <c r="M4" s="224" t="s">
        <v>192</v>
      </c>
      <c r="N4" s="224" t="s">
        <v>193</v>
      </c>
    </row>
    <row r="5" ht="30.75" customHeight="1">
      <c r="A5" s="221" t="str">
        <f>IFERROR(__xludf.DUMMYFUNCTION("IFERROR(IF(G2=Data!A2,UNIQUE(SORT(FILTER(DataCarteira!A2:A100,DataCarteira!C2:C100&gt;0),1,TRUE,2,FALSE)),UNIQUE(SORT(FILTER(DataCarteira!A2:A100,DataCarteira!C2:C100&gt;0,DataCarteira!I2:I100=G2),1,TRUE,2,FALSE))),"""")"),"AAPL34")</f>
        <v>AAPL34</v>
      </c>
      <c r="B5" s="226">
        <f>IFERROR(VLOOKUP(A5,DataCarteira!A:B,2,),"")</f>
        <v>79.19</v>
      </c>
      <c r="C5" s="227">
        <f>IFERROR(__xludf.DUMMYFUNCTION("IFERROR(IF(N5=Data!$A$11,INDEX(arrayformula(filter('Operações-Criptos'!H:H,'Operações-Criptos'!C:C&lt;&gt;"""",row('Operações-Criptos'!C:C)=max(if('Operações-Criptos'!C:C=A5,row('Operações-Criptos'!C:C),0)))),1),
INDEX(arrayformula(filter('Operações-BR'!M:M,'Op"&amp;"erações-BR'!C:C&lt;&gt;"""",row('Operações-BR'!C:C)=max(if('Operações-BR'!C:C=A5,row('Operações-BR'!C:C),0)))) ,1)),"""")"),100.0)</f>
        <v>100</v>
      </c>
      <c r="D5" s="228">
        <f t="shared" ref="D5:D100" si="1">IF(B5*C5&gt;0,B5*C5,"")</f>
        <v>7919</v>
      </c>
      <c r="E5" s="228">
        <f>IFERROR(__xludf.DUMMYFUNCTION("IFERROR(IF(N5=Data!$A$11,INDEX(arrayformula(filter('Operações-Criptos'!L:L,'Operações-Criptos'!C:C&lt;&gt;"""",row('Operações-Criptos'!C:C)=max(if('Operações-Criptos'!C:C=A5,row('Operações-Criptos'!C:C),0)))),1),
INDEX(arrayformula(filter('Operações-BR'!Q:Q,'Op"&amp;"erações-BR'!C:C&lt;&gt;"""",row('Operações-BR'!C:C)=max(if('Operações-BR'!C:C=A5,row('Operações-BR'!C:C),0)))) ,1)),"""")"),7500.0)</f>
        <v>7500</v>
      </c>
      <c r="F5" s="228">
        <f t="shared" ref="F5:F100" si="2">IFERROR(IF(C5=0,0,E5/C5),"")</f>
        <v>75</v>
      </c>
      <c r="G5" s="228">
        <f>IF(A5&lt;&gt;"",SUMIF(Proventos!$A$2:$A100,A5,Proventos!$H$2:$H100),"")</f>
        <v>0</v>
      </c>
      <c r="H5" s="228">
        <f t="shared" ref="H5:H100" si="3">IFERROR((E5-G5)/C5,"")</f>
        <v>75</v>
      </c>
      <c r="I5" s="228">
        <f t="shared" ref="I5:I100" si="4">IF(A5&lt;&gt;"",D5-E5,"")</f>
        <v>419</v>
      </c>
      <c r="J5" s="228">
        <f t="shared" ref="J5:J100" si="5">IF(A5&lt;&gt;"",I5+G5,"")</f>
        <v>419</v>
      </c>
      <c r="K5" s="229">
        <f t="shared" ref="K5:K100" si="6">IFERROR((B5/F5)-1,"")</f>
        <v>0.05586666667</v>
      </c>
      <c r="L5" s="229">
        <f t="shared" ref="L5:L100" si="7">IFERROR((I5+G5)/E5,"")</f>
        <v>0.05586666667</v>
      </c>
      <c r="M5" s="229">
        <f t="shared" ref="M5:M100" si="8">IFERROR(IF(A5&lt;&gt;"",D5/sum(D:D),""),"")</f>
        <v>0.1188238611</v>
      </c>
      <c r="N5" s="229" t="str">
        <f>IFERROR(VLOOKUP(A5,DataCarteira!A2:K100,9,),"")</f>
        <v>BDR</v>
      </c>
    </row>
    <row r="6" ht="30.75" customHeight="1">
      <c r="A6" s="221" t="str">
        <f>IFERROR(__xludf.DUMMYFUNCTION("""COMPUTED_VALUE"""),"ABEV3")</f>
        <v>ABEV3</v>
      </c>
      <c r="B6" s="226">
        <f>IFERROR(VLOOKUP(A6,DataCarteira!A:B,2,),"")</f>
        <v>13.38</v>
      </c>
      <c r="C6" s="227">
        <f>IFERROR(__xludf.DUMMYFUNCTION("IFERROR(IF(N6=Data!$A$11,INDEX(arrayformula(filter('Operações-Criptos'!H:H,'Operações-Criptos'!C:C&lt;&gt;"""",row('Operações-Criptos'!C:C)=max(if('Operações-Criptos'!C:C=A6,row('Operações-Criptos'!C:C),0)))),1),
INDEX(arrayformula(filter('Operações-BR'!M:M,'Op"&amp;"erações-BR'!C:C&lt;&gt;"""",row('Operações-BR'!C:C)=max(if('Operações-BR'!C:C=A6,row('Operações-BR'!C:C),0)))) ,1)),"""")"),100.0)</f>
        <v>100</v>
      </c>
      <c r="D6" s="228">
        <f t="shared" si="1"/>
        <v>1338</v>
      </c>
      <c r="E6" s="228">
        <f>IFERROR(__xludf.DUMMYFUNCTION("IFERROR(IF(N6=Data!$A$11,INDEX(arrayformula(filter('Operações-Criptos'!L:L,'Operações-Criptos'!C:C&lt;&gt;"""",row('Operações-Criptos'!C:C)=max(if('Operações-Criptos'!C:C=A6,row('Operações-Criptos'!C:C),0)))),1),
INDEX(arrayformula(filter('Operações-BR'!Q:Q,'Op"&amp;"erações-BR'!C:C&lt;&gt;"""",row('Operações-BR'!C:C)=max(if('Operações-BR'!C:C=A6,row('Operações-BR'!C:C),0)))) ,1)),"""")"),1500.0)</f>
        <v>1500</v>
      </c>
      <c r="F6" s="228">
        <f t="shared" si="2"/>
        <v>15</v>
      </c>
      <c r="G6" s="228">
        <f>IF(A6&lt;&gt;"",SUMIF(Proventos!$A$2:$A100,A6,Proventos!$H$2:$H100),"")</f>
        <v>1150.5</v>
      </c>
      <c r="H6" s="228">
        <f t="shared" si="3"/>
        <v>3.495</v>
      </c>
      <c r="I6" s="228">
        <f t="shared" si="4"/>
        <v>-162</v>
      </c>
      <c r="J6" s="228">
        <f t="shared" si="5"/>
        <v>988.5</v>
      </c>
      <c r="K6" s="229">
        <f t="shared" si="6"/>
        <v>-0.108</v>
      </c>
      <c r="L6" s="229">
        <f t="shared" si="7"/>
        <v>0.659</v>
      </c>
      <c r="M6" s="229">
        <f t="shared" si="8"/>
        <v>0.02007656599</v>
      </c>
      <c r="N6" s="229" t="str">
        <f>IFERROR(VLOOKUP(A6,DataCarteira!A3:K100,9,),"")</f>
        <v>AÇÃO</v>
      </c>
    </row>
    <row r="7" ht="30.75" customHeight="1">
      <c r="A7" s="221" t="str">
        <f>IFERROR(__xludf.DUMMYFUNCTION("""COMPUTED_VALUE"""),"BTCBRL")</f>
        <v>BTCBRL</v>
      </c>
      <c r="B7" s="226">
        <f>IFERROR(VLOOKUP(A7,DataCarteira!A:B,2,),"")</f>
        <v>196844.2027</v>
      </c>
      <c r="C7" s="227">
        <f>IFERROR(__xludf.DUMMYFUNCTION("IFERROR(IF(N7=Data!$A$11,INDEX(arrayformula(filter('Operações-Criptos'!H:H,'Operações-Criptos'!C:C&lt;&gt;"""",row('Operações-Criptos'!C:C)=max(if('Operações-Criptos'!C:C=A7,row('Operações-Criptos'!C:C),0)))),1),
INDEX(arrayformula(filter('Operações-BR'!M:M,'Op"&amp;"erações-BR'!C:C&lt;&gt;"""",row('Operações-BR'!C:C)=max(if('Operações-BR'!C:C=A7,row('Operações-BR'!C:C),0)))) ,1)),"""")"),0.02187317)</f>
        <v>0.02187317</v>
      </c>
      <c r="D7" s="228">
        <f t="shared" si="1"/>
        <v>4305.606709</v>
      </c>
      <c r="E7" s="228">
        <f>IFERROR(__xludf.DUMMYFUNCTION("IFERROR(IF(N7=Data!$A$11,INDEX(arrayformula(filter('Operações-Criptos'!L:L,'Operações-Criptos'!C:C&lt;&gt;"""",row('Operações-Criptos'!C:C)=max(if('Operações-Criptos'!C:C=A7,row('Operações-Criptos'!C:C),0)))),1),
INDEX(arrayformula(filter('Operações-BR'!Q:Q,'Op"&amp;"erações-BR'!C:C&lt;&gt;"""",row('Operações-BR'!C:C)=max(if('Operações-BR'!C:C=A7,row('Operações-BR'!C:C),0)))) ,1)),"""")"),5705.737254072301)</f>
        <v>5705.737254</v>
      </c>
      <c r="F7" s="228">
        <f t="shared" si="2"/>
        <v>260855.5255</v>
      </c>
      <c r="G7" s="228">
        <f>IF(A7&lt;&gt;"",SUMIF(Proventos!$A$2:$A100,A7,Proventos!$H$2:$H100),"")</f>
        <v>0</v>
      </c>
      <c r="H7" s="228">
        <f t="shared" si="3"/>
        <v>260855.5255</v>
      </c>
      <c r="I7" s="228">
        <f t="shared" si="4"/>
        <v>-1400.130545</v>
      </c>
      <c r="J7" s="228">
        <f t="shared" si="5"/>
        <v>-1400.130545</v>
      </c>
      <c r="K7" s="229">
        <f t="shared" si="6"/>
        <v>-0.2453899439</v>
      </c>
      <c r="L7" s="229">
        <f t="shared" si="7"/>
        <v>-0.2453899439</v>
      </c>
      <c r="M7" s="229">
        <f t="shared" si="8"/>
        <v>0.06460522963</v>
      </c>
      <c r="N7" s="229" t="str">
        <f>IFERROR(VLOOKUP(A7,DataCarteira!A4:K100,9,),"")</f>
        <v>CRIPTO</v>
      </c>
    </row>
    <row r="8" ht="30.75" customHeight="1">
      <c r="A8" s="221" t="str">
        <f>IFERROR(__xludf.DUMMYFUNCTION("""COMPUTED_VALUE"""),"ETHBRL")</f>
        <v>ETHBRL</v>
      </c>
      <c r="B8" s="226">
        <f>IFERROR(VLOOKUP(A8,DataCarteira!A:B,2,),"")</f>
        <v>13049.39473</v>
      </c>
      <c r="C8" s="227">
        <f>IFERROR(__xludf.DUMMYFUNCTION("IFERROR(IF(N8=Data!$A$11,INDEX(arrayformula(filter('Operações-Criptos'!H:H,'Operações-Criptos'!C:C&lt;&gt;"""",row('Operações-Criptos'!C:C)=max(if('Operações-Criptos'!C:C=A8,row('Operações-Criptos'!C:C),0)))),1),
INDEX(arrayformula(filter('Operações-BR'!M:M,'Op"&amp;"erações-BR'!C:C&lt;&gt;"""",row('Operações-BR'!C:C)=max(if('Operações-BR'!C:C=A8,row('Operações-BR'!C:C),0)))) ,1)),"""")"),0.07688148)</f>
        <v>0.07688148</v>
      </c>
      <c r="D8" s="228">
        <f t="shared" si="1"/>
        <v>1003.25678</v>
      </c>
      <c r="E8" s="228">
        <f>IFERROR(__xludf.DUMMYFUNCTION("IFERROR(IF(N8=Data!$A$11,INDEX(arrayformula(filter('Operações-Criptos'!L:L,'Operações-Criptos'!C:C&lt;&gt;"""",row('Operações-Criptos'!C:C)=max(if('Operações-Criptos'!C:C=A8,row('Operações-Criptos'!C:C),0)))),1),
INDEX(arrayformula(filter('Operações-BR'!Q:Q,'Op"&amp;"erações-BR'!C:C&lt;&gt;"""",row('Operações-BR'!C:C)=max(if('Operações-BR'!C:C=A8,row('Operações-BR'!C:C),0)))) ,1)),"""")"),1343.1167770565)</f>
        <v>1343.116777</v>
      </c>
      <c r="F8" s="228">
        <f t="shared" si="2"/>
        <v>17469.96516</v>
      </c>
      <c r="G8" s="228">
        <f>IF(A8&lt;&gt;"",SUMIF(Proventos!$A$2:$A100,A8,Proventos!$H$2:$H100),"")</f>
        <v>0</v>
      </c>
      <c r="H8" s="228">
        <f t="shared" si="3"/>
        <v>17469.96516</v>
      </c>
      <c r="I8" s="228">
        <f t="shared" si="4"/>
        <v>-339.8599971</v>
      </c>
      <c r="J8" s="228">
        <f t="shared" si="5"/>
        <v>-339.8599971</v>
      </c>
      <c r="K8" s="229">
        <f t="shared" si="6"/>
        <v>-0.2530383083</v>
      </c>
      <c r="L8" s="229">
        <f t="shared" si="7"/>
        <v>-0.2530383083</v>
      </c>
      <c r="M8" s="229">
        <f t="shared" si="8"/>
        <v>0.015053775</v>
      </c>
      <c r="N8" s="229" t="str">
        <f>IFERROR(VLOOKUP(A8,DataCarteira!A5:K100,9,),"")</f>
        <v>CRIPTO</v>
      </c>
    </row>
    <row r="9" ht="30.75" customHeight="1">
      <c r="A9" s="221" t="str">
        <f>IFERROR(__xludf.DUMMYFUNCTION("""COMPUTED_VALUE"""),"HGBS11")</f>
        <v>HGBS11</v>
      </c>
      <c r="B9" s="226">
        <f>IFERROR(VLOOKUP(A9,DataCarteira!A:B,2,),"")</f>
        <v>163.7</v>
      </c>
      <c r="C9" s="227">
        <f>IFERROR(__xludf.DUMMYFUNCTION("IFERROR(IF(N9=Data!$A$11,INDEX(arrayformula(filter('Operações-Criptos'!H:H,'Operações-Criptos'!C:C&lt;&gt;"""",row('Operações-Criptos'!C:C)=max(if('Operações-Criptos'!C:C=A9,row('Operações-Criptos'!C:C),0)))),1),
INDEX(arrayformula(filter('Operações-BR'!M:M,'Op"&amp;"erações-BR'!C:C&lt;&gt;"""",row('Operações-BR'!C:C)=max(if('Operações-BR'!C:C=A9,row('Operações-BR'!C:C),0)))) ,1)),"""")"),50.0)</f>
        <v>50</v>
      </c>
      <c r="D9" s="228">
        <f t="shared" si="1"/>
        <v>8185</v>
      </c>
      <c r="E9" s="228">
        <f>IFERROR(__xludf.DUMMYFUNCTION("IFERROR(IF(N9=Data!$A$11,INDEX(arrayformula(filter('Operações-Criptos'!L:L,'Operações-Criptos'!C:C&lt;&gt;"""",row('Operações-Criptos'!C:C)=max(if('Operações-Criptos'!C:C=A9,row('Operações-Criptos'!C:C),0)))),1),
INDEX(arrayformula(filter('Operações-BR'!Q:Q,'Op"&amp;"erações-BR'!C:C&lt;&gt;"""",row('Operações-BR'!C:C)=max(if('Operações-BR'!C:C=A9,row('Operações-BR'!C:C),0)))) ,1)),"""")"),8500.0)</f>
        <v>8500</v>
      </c>
      <c r="F9" s="228">
        <f t="shared" si="2"/>
        <v>170</v>
      </c>
      <c r="G9" s="228">
        <f>IF(A9&lt;&gt;"",SUMIF(Proventos!$A$2:$A100,A9,Proventos!$H$2:$H100),"")</f>
        <v>1332</v>
      </c>
      <c r="H9" s="228">
        <f t="shared" si="3"/>
        <v>143.36</v>
      </c>
      <c r="I9" s="228">
        <f t="shared" si="4"/>
        <v>-315</v>
      </c>
      <c r="J9" s="228">
        <f t="shared" si="5"/>
        <v>1017</v>
      </c>
      <c r="K9" s="229">
        <f t="shared" si="6"/>
        <v>-0.03705882353</v>
      </c>
      <c r="L9" s="229">
        <f t="shared" si="7"/>
        <v>0.1196470588</v>
      </c>
      <c r="M9" s="229">
        <f t="shared" si="8"/>
        <v>0.1228151664</v>
      </c>
      <c r="N9" s="229" t="str">
        <f>IFERROR(VLOOKUP(A9,DataCarteira!A6:K100,9,),"")</f>
        <v/>
      </c>
    </row>
    <row r="10" ht="30.75" customHeight="1">
      <c r="A10" s="221" t="str">
        <f>IFERROR(__xludf.DUMMYFUNCTION("""COMPUTED_VALUE"""),"HGLG11")</f>
        <v>HGLG11</v>
      </c>
      <c r="B10" s="226">
        <f>IFERROR(VLOOKUP(A10,DataCarteira!A:B,2,),"")</f>
        <v>161.05</v>
      </c>
      <c r="C10" s="227">
        <f>IFERROR(__xludf.DUMMYFUNCTION("IFERROR(IF(N10=Data!$A$11,INDEX(arrayformula(filter('Operações-Criptos'!H:H,'Operações-Criptos'!C:C&lt;&gt;"""",row('Operações-Criptos'!C:C)=max(if('Operações-Criptos'!C:C=A10,row('Operações-Criptos'!C:C),0)))),1),
INDEX(arrayformula(filter('Operações-BR'!M:M,'"&amp;"Operações-BR'!C:C&lt;&gt;"""",row('Operações-BR'!C:C)=max(if('Operações-BR'!C:C=A10,row('Operações-BR'!C:C),0)))) ,1)),"""")"),100.0)</f>
        <v>100</v>
      </c>
      <c r="D10" s="228">
        <f t="shared" si="1"/>
        <v>16105</v>
      </c>
      <c r="E10" s="228">
        <f>IFERROR(__xludf.DUMMYFUNCTION("IFERROR(IF(N10=Data!$A$11,INDEX(arrayformula(filter('Operações-Criptos'!L:L,'Operações-Criptos'!C:C&lt;&gt;"""",row('Operações-Criptos'!C:C)=max(if('Operações-Criptos'!C:C=A10,row('Operações-Criptos'!C:C),0)))),1),
INDEX(arrayformula(filter('Operações-BR'!Q:Q,'"&amp;"Operações-BR'!C:C&lt;&gt;"""",row('Operações-BR'!C:C)=max(if('Operações-BR'!C:C=A10,row('Operações-BR'!C:C),0)))) ,1)),"""")"),15000.0)</f>
        <v>15000</v>
      </c>
      <c r="F10" s="228">
        <f t="shared" si="2"/>
        <v>150</v>
      </c>
      <c r="G10" s="228">
        <f>IF(A10&lt;&gt;"",SUMIF(Proventos!$A$2:$A100,A10,Proventos!$H$2:$H100),"")</f>
        <v>1365</v>
      </c>
      <c r="H10" s="228">
        <f t="shared" si="3"/>
        <v>136.35</v>
      </c>
      <c r="I10" s="228">
        <f t="shared" si="4"/>
        <v>1105</v>
      </c>
      <c r="J10" s="228">
        <f t="shared" si="5"/>
        <v>2470</v>
      </c>
      <c r="K10" s="229">
        <f t="shared" si="6"/>
        <v>0.07366666667</v>
      </c>
      <c r="L10" s="229">
        <f t="shared" si="7"/>
        <v>0.1646666667</v>
      </c>
      <c r="M10" s="229">
        <f t="shared" si="8"/>
        <v>0.2416540324</v>
      </c>
      <c r="N10" s="229" t="str">
        <f>IFERROR(VLOOKUP(A10,DataCarteira!A7:K100,9,),"")</f>
        <v/>
      </c>
    </row>
    <row r="11" ht="30.75" customHeight="1">
      <c r="A11" s="221" t="str">
        <f>IFERROR(__xludf.DUMMYFUNCTION("""COMPUTED_VALUE"""),"KNRI11")</f>
        <v>KNRI11</v>
      </c>
      <c r="B11" s="226">
        <f>IFERROR(VLOOKUP(A11,DataCarteira!A:B,2,),"")</f>
        <v>130.1</v>
      </c>
      <c r="C11" s="227">
        <f>IFERROR(__xludf.DUMMYFUNCTION("IFERROR(IF(N11=Data!$A$11,INDEX(arrayformula(filter('Operações-Criptos'!H:H,'Operações-Criptos'!C:C&lt;&gt;"""",row('Operações-Criptos'!C:C)=max(if('Operações-Criptos'!C:C=A11,row('Operações-Criptos'!C:C),0)))),1),
INDEX(arrayformula(filter('Operações-BR'!M:M,'"&amp;"Operações-BR'!C:C&lt;&gt;"""",row('Operações-BR'!C:C)=max(if('Operações-BR'!C:C=A11,row('Operações-BR'!C:C),0)))) ,1)),"""")"),125.0)</f>
        <v>125</v>
      </c>
      <c r="D11" s="228">
        <f t="shared" si="1"/>
        <v>16262.5</v>
      </c>
      <c r="E11" s="228">
        <f>IFERROR(__xludf.DUMMYFUNCTION("IFERROR(IF(N11=Data!$A$11,INDEX(arrayformula(filter('Operações-Criptos'!L:L,'Operações-Criptos'!C:C&lt;&gt;"""",row('Operações-Criptos'!C:C)=max(if('Operações-Criptos'!C:C=A11,row('Operações-Criptos'!C:C),0)))),1),
INDEX(arrayformula(filter('Operações-BR'!Q:Q,'"&amp;"Operações-BR'!C:C&lt;&gt;"""",row('Operações-BR'!C:C)=max(if('Operações-BR'!C:C=A11,row('Operações-BR'!C:C),0)))) ,1)),"""")"),15625.0)</f>
        <v>15625</v>
      </c>
      <c r="F11" s="228">
        <f t="shared" si="2"/>
        <v>125</v>
      </c>
      <c r="G11" s="228">
        <f>IF(A11&lt;&gt;"",SUMIF(Proventos!$A$2:$A100,A11,Proventos!$H$2:$H100),"")</f>
        <v>97.5</v>
      </c>
      <c r="H11" s="228">
        <f t="shared" si="3"/>
        <v>124.22</v>
      </c>
      <c r="I11" s="228">
        <f t="shared" si="4"/>
        <v>637.5</v>
      </c>
      <c r="J11" s="228">
        <f t="shared" si="5"/>
        <v>735</v>
      </c>
      <c r="K11" s="229">
        <f t="shared" si="6"/>
        <v>0.0408</v>
      </c>
      <c r="L11" s="229">
        <f t="shared" si="7"/>
        <v>0.04704</v>
      </c>
      <c r="M11" s="229">
        <f t="shared" si="8"/>
        <v>0.2440173053</v>
      </c>
      <c r="N11" s="229" t="str">
        <f>IFERROR(VLOOKUP(A11,DataCarteira!A8:K100,9,),"")</f>
        <v/>
      </c>
    </row>
    <row r="12" ht="30.75" customHeight="1">
      <c r="A12" s="221" t="str">
        <f>IFERROR(__xludf.DUMMYFUNCTION("""COMPUTED_VALUE"""),"ODPV3")</f>
        <v>ODPV3</v>
      </c>
      <c r="B12" s="226">
        <f>IFERROR(VLOOKUP(A12,DataCarteira!A:B,2,),"")</f>
        <v>12.19</v>
      </c>
      <c r="C12" s="227">
        <f>IFERROR(__xludf.DUMMYFUNCTION("IFERROR(IF(N12=Data!$A$11,INDEX(arrayformula(filter('Operações-Criptos'!H:H,'Operações-Criptos'!C:C&lt;&gt;"""",row('Operações-Criptos'!C:C)=max(if('Operações-Criptos'!C:C=A12,row('Operações-Criptos'!C:C),0)))),1),
INDEX(arrayformula(filter('Operações-BR'!M:M,'"&amp;"Operações-BR'!C:C&lt;&gt;"""",row('Operações-BR'!C:C)=max(if('Operações-BR'!C:C=A12,row('Operações-BR'!C:C),0)))) ,1)),"""")"),150.0)</f>
        <v>150</v>
      </c>
      <c r="D12" s="228">
        <f t="shared" si="1"/>
        <v>1828.5</v>
      </c>
      <c r="E12" s="228">
        <f>IFERROR(__xludf.DUMMYFUNCTION("IFERROR(IF(N12=Data!$A$11,INDEX(arrayformula(filter('Operações-Criptos'!L:L,'Operações-Criptos'!C:C&lt;&gt;"""",row('Operações-Criptos'!C:C)=max(if('Operações-Criptos'!C:C=A12,row('Operações-Criptos'!C:C),0)))),1),
INDEX(arrayformula(filter('Operações-BR'!Q:Q,'"&amp;"Operações-BR'!C:C&lt;&gt;"""",row('Operações-BR'!C:C)=max(if('Operações-BR'!C:C=A12,row('Operações-BR'!C:C),0)))) ,1)),"""")"),2250.0)</f>
        <v>2250</v>
      </c>
      <c r="F12" s="228">
        <f t="shared" si="2"/>
        <v>15</v>
      </c>
      <c r="G12" s="228">
        <f>IF(A12&lt;&gt;"",SUMIF(Proventos!$A$2:$A100,A12,Proventos!$H$2:$H100),"")</f>
        <v>384</v>
      </c>
      <c r="H12" s="228">
        <f t="shared" si="3"/>
        <v>12.44</v>
      </c>
      <c r="I12" s="228">
        <f t="shared" si="4"/>
        <v>-421.5</v>
      </c>
      <c r="J12" s="228">
        <f t="shared" si="5"/>
        <v>-37.5</v>
      </c>
      <c r="K12" s="229">
        <f t="shared" si="6"/>
        <v>-0.1873333333</v>
      </c>
      <c r="L12" s="229">
        <f t="shared" si="7"/>
        <v>-0.01666666667</v>
      </c>
      <c r="M12" s="229">
        <f t="shared" si="8"/>
        <v>0.02743647303</v>
      </c>
      <c r="N12" s="229" t="str">
        <f>IFERROR(VLOOKUP(A12,DataCarteira!A9:K100,9,),"")</f>
        <v/>
      </c>
    </row>
    <row r="13" ht="30.75" customHeight="1">
      <c r="A13" s="221" t="str">
        <f>IFERROR(__xludf.DUMMYFUNCTION("""COMPUTED_VALUE"""),"RADL3")</f>
        <v>RADL3</v>
      </c>
      <c r="B13" s="226">
        <f>IFERROR(VLOOKUP(A13,DataCarteira!A:B,2,),"")</f>
        <v>22.36</v>
      </c>
      <c r="C13" s="227">
        <f>IFERROR(__xludf.DUMMYFUNCTION("IFERROR(IF(N13=Data!$A$11,INDEX(arrayformula(filter('Operações-Criptos'!H:H,'Operações-Criptos'!C:C&lt;&gt;"""",row('Operações-Criptos'!C:C)=max(if('Operações-Criptos'!C:C=A13,row('Operações-Criptos'!C:C),0)))),1),
INDEX(arrayformula(filter('Operações-BR'!M:M,'"&amp;"Operações-BR'!C:C&lt;&gt;"""",row('Operações-BR'!C:C)=max(if('Operações-BR'!C:C=A13,row('Operações-BR'!C:C),0)))) ,1)),"""")"),150.0)</f>
        <v>150</v>
      </c>
      <c r="D13" s="228">
        <f t="shared" si="1"/>
        <v>3354</v>
      </c>
      <c r="E13" s="228">
        <f>IFERROR(__xludf.DUMMYFUNCTION("IFERROR(IF(N13=Data!$A$11,INDEX(arrayformula(filter('Operações-Criptos'!L:L,'Operações-Criptos'!C:C&lt;&gt;"""",row('Operações-Criptos'!C:C)=max(if('Operações-Criptos'!C:C=A13,row('Operações-Criptos'!C:C),0)))),1),
INDEX(arrayformula(filter('Operações-BR'!Q:Q,'"&amp;"Operações-BR'!C:C&lt;&gt;"""",row('Operações-BR'!C:C)=max(if('Operações-BR'!C:C=A13,row('Operações-BR'!C:C),0)))) ,1)),"""")"),3750.0)</f>
        <v>3750</v>
      </c>
      <c r="F13" s="228">
        <f t="shared" si="2"/>
        <v>25</v>
      </c>
      <c r="G13" s="228">
        <f>IF(A13&lt;&gt;"",SUMIF(Proventos!$A$2:$A100,A13,Proventos!$H$2:$H100),"")</f>
        <v>0</v>
      </c>
      <c r="H13" s="228">
        <f t="shared" si="3"/>
        <v>25</v>
      </c>
      <c r="I13" s="228">
        <f t="shared" si="4"/>
        <v>-396</v>
      </c>
      <c r="J13" s="228">
        <f t="shared" si="5"/>
        <v>-396</v>
      </c>
      <c r="K13" s="229">
        <f t="shared" si="6"/>
        <v>-0.1056</v>
      </c>
      <c r="L13" s="229">
        <f t="shared" si="7"/>
        <v>-0.1056</v>
      </c>
      <c r="M13" s="229">
        <f t="shared" si="8"/>
        <v>0.05032645915</v>
      </c>
      <c r="N13" s="229" t="str">
        <f>IFERROR(VLOOKUP(A13,DataCarteira!A10:K100,9,),"")</f>
        <v/>
      </c>
    </row>
    <row r="14" ht="30.75" customHeight="1">
      <c r="A14" s="221" t="str">
        <f>IFERROR(__xludf.DUMMYFUNCTION("""COMPUTED_VALUE"""),"WEGE3")</f>
        <v>WEGE3</v>
      </c>
      <c r="B14" s="226">
        <f>IFERROR(VLOOKUP(A14,DataCarteira!A:B,2,),"")</f>
        <v>31.72</v>
      </c>
      <c r="C14" s="227">
        <f>IFERROR(__xludf.DUMMYFUNCTION("IFERROR(IF(N14=Data!$A$11,INDEX(arrayformula(filter('Operações-Criptos'!H:H,'Operações-Criptos'!C:C&lt;&gt;"""",row('Operações-Criptos'!C:C)=max(if('Operações-Criptos'!C:C=A14,row('Operações-Criptos'!C:C),0)))),1),
INDEX(arrayformula(filter('Operações-BR'!M:M,'"&amp;"Operações-BR'!C:C&lt;&gt;"""",row('Operações-BR'!C:C)=max(if('Operações-BR'!C:C=A14,row('Operações-BR'!C:C),0)))) ,1)),"""")"),200.0)</f>
        <v>200</v>
      </c>
      <c r="D14" s="228">
        <f t="shared" si="1"/>
        <v>6344</v>
      </c>
      <c r="E14" s="228">
        <f>IFERROR(__xludf.DUMMYFUNCTION("IFERROR(IF(N14=Data!$A$11,INDEX(arrayformula(filter('Operações-Criptos'!L:L,'Operações-Criptos'!C:C&lt;&gt;"""",row('Operações-Criptos'!C:C)=max(if('Operações-Criptos'!C:C=A14,row('Operações-Criptos'!C:C),0)))),1),
INDEX(arrayformula(filter('Operações-BR'!Q:Q,'"&amp;"Operações-BR'!C:C&lt;&gt;"""",row('Operações-BR'!C:C)=max(if('Operações-BR'!C:C=A14,row('Operações-BR'!C:C),0)))) ,1)),"""")"),5000.0)</f>
        <v>5000</v>
      </c>
      <c r="F14" s="228">
        <f t="shared" si="2"/>
        <v>25</v>
      </c>
      <c r="G14" s="228">
        <f>IF(A14&lt;&gt;"",SUMIF(Proventos!$A$2:$A100,A14,Proventos!$H$2:$H100),"")</f>
        <v>1100</v>
      </c>
      <c r="H14" s="228">
        <f t="shared" si="3"/>
        <v>19.5</v>
      </c>
      <c r="I14" s="228">
        <f t="shared" si="4"/>
        <v>1344</v>
      </c>
      <c r="J14" s="228">
        <f t="shared" si="5"/>
        <v>2444</v>
      </c>
      <c r="K14" s="229">
        <f t="shared" si="6"/>
        <v>0.2688</v>
      </c>
      <c r="L14" s="229">
        <f t="shared" si="7"/>
        <v>0.4888</v>
      </c>
      <c r="M14" s="229">
        <f t="shared" si="8"/>
        <v>0.09519113204</v>
      </c>
      <c r="N14" s="229" t="str">
        <f>IFERROR(VLOOKUP(A14,DataCarteira!A11:K100,9,),"")</f>
        <v/>
      </c>
    </row>
    <row r="15" ht="30.75" customHeight="1">
      <c r="A15" s="221"/>
      <c r="B15" s="226" t="str">
        <f>IFERROR(VLOOKUP(A15,DataCarteira!A:B,2,),"")</f>
        <v/>
      </c>
      <c r="C15" s="227" t="str">
        <f>IFERROR(__xludf.DUMMYFUNCTION("IFERROR(IF(N15=Data!$A$11,INDEX(arrayformula(filter('Operações-Criptos'!H:H,'Operações-Criptos'!C:C&lt;&gt;"""",row('Operações-Criptos'!C:C)=max(if('Operações-Criptos'!C:C=A15,row('Operações-Criptos'!C:C),0)))),1),
INDEX(arrayformula(filter('Operações-BR'!M:M,'"&amp;"Operações-BR'!C:C&lt;&gt;"""",row('Operações-BR'!C:C)=max(if('Operações-BR'!C:C=A15,row('Operações-BR'!C:C),0)))) ,1)),"""")"),"")</f>
        <v/>
      </c>
      <c r="D15" s="228" t="str">
        <f t="shared" si="1"/>
        <v/>
      </c>
      <c r="E15" s="228" t="str">
        <f>IFERROR(__xludf.DUMMYFUNCTION("IFERROR(IF(N15=Data!$A$11,INDEX(arrayformula(filter('Operações-Criptos'!L:L,'Operações-Criptos'!C:C&lt;&gt;"""",row('Operações-Criptos'!C:C)=max(if('Operações-Criptos'!C:C=A15,row('Operações-Criptos'!C:C),0)))),1),
INDEX(arrayformula(filter('Operações-BR'!Q:Q,'"&amp;"Operações-BR'!C:C&lt;&gt;"""",row('Operações-BR'!C:C)=max(if('Operações-BR'!C:C=A15,row('Operações-BR'!C:C),0)))) ,1)),"""")"),"")</f>
        <v/>
      </c>
      <c r="F15" s="228" t="str">
        <f t="shared" si="2"/>
        <v/>
      </c>
      <c r="G15" s="228" t="str">
        <f>IF(A15&lt;&gt;"",SUMIF(Proventos!$A$2:$A100,A15,Proventos!$H$2:$H100),"")</f>
        <v/>
      </c>
      <c r="H15" s="228" t="str">
        <f t="shared" si="3"/>
        <v/>
      </c>
      <c r="I15" s="228" t="str">
        <f t="shared" si="4"/>
        <v/>
      </c>
      <c r="J15" s="228" t="str">
        <f t="shared" si="5"/>
        <v/>
      </c>
      <c r="K15" s="229" t="str">
        <f t="shared" si="6"/>
        <v/>
      </c>
      <c r="L15" s="229" t="str">
        <f t="shared" si="7"/>
        <v/>
      </c>
      <c r="M15" s="229" t="str">
        <f t="shared" si="8"/>
        <v/>
      </c>
      <c r="N15" s="229" t="str">
        <f>IFERROR(VLOOKUP(A15,DataCarteira!A12:K100,9,),"")</f>
        <v/>
      </c>
    </row>
    <row r="16" ht="30.75" customHeight="1">
      <c r="A16" s="221"/>
      <c r="B16" s="226" t="str">
        <f>IFERROR(VLOOKUP(A16,DataCarteira!A:B,2,),"")</f>
        <v/>
      </c>
      <c r="C16" s="227" t="str">
        <f>IFERROR(__xludf.DUMMYFUNCTION("IFERROR(IF(N16=Data!$A$11,INDEX(arrayformula(filter('Operações-Criptos'!H:H,'Operações-Criptos'!C:C&lt;&gt;"""",row('Operações-Criptos'!C:C)=max(if('Operações-Criptos'!C:C=A16,row('Operações-Criptos'!C:C),0)))),1),
INDEX(arrayformula(filter('Operações-BR'!M:M,'"&amp;"Operações-BR'!C:C&lt;&gt;"""",row('Operações-BR'!C:C)=max(if('Operações-BR'!C:C=A16,row('Operações-BR'!C:C),0)))) ,1)),"""")"),"")</f>
        <v/>
      </c>
      <c r="D16" s="228" t="str">
        <f t="shared" si="1"/>
        <v/>
      </c>
      <c r="E16" s="228" t="str">
        <f>IFERROR(__xludf.DUMMYFUNCTION("IFERROR(IF(N16=Data!$A$11,INDEX(arrayformula(filter('Operações-Criptos'!L:L,'Operações-Criptos'!C:C&lt;&gt;"""",row('Operações-Criptos'!C:C)=max(if('Operações-Criptos'!C:C=A16,row('Operações-Criptos'!C:C),0)))),1),
INDEX(arrayformula(filter('Operações-BR'!Q:Q,'"&amp;"Operações-BR'!C:C&lt;&gt;"""",row('Operações-BR'!C:C)=max(if('Operações-BR'!C:C=A16,row('Operações-BR'!C:C),0)))) ,1)),"""")"),"")</f>
        <v/>
      </c>
      <c r="F16" s="228" t="str">
        <f t="shared" si="2"/>
        <v/>
      </c>
      <c r="G16" s="228" t="str">
        <f>IF(A16&lt;&gt;"",SUMIF(Proventos!$A$2:$A100,A16,Proventos!$H$2:$H100),"")</f>
        <v/>
      </c>
      <c r="H16" s="228" t="str">
        <f t="shared" si="3"/>
        <v/>
      </c>
      <c r="I16" s="228" t="str">
        <f t="shared" si="4"/>
        <v/>
      </c>
      <c r="J16" s="228" t="str">
        <f t="shared" si="5"/>
        <v/>
      </c>
      <c r="K16" s="229" t="str">
        <f t="shared" si="6"/>
        <v/>
      </c>
      <c r="L16" s="229" t="str">
        <f t="shared" si="7"/>
        <v/>
      </c>
      <c r="M16" s="229" t="str">
        <f t="shared" si="8"/>
        <v/>
      </c>
      <c r="N16" s="229" t="str">
        <f>IFERROR(VLOOKUP(A16,DataCarteira!A13:K100,9,),"")</f>
        <v/>
      </c>
    </row>
    <row r="17" ht="30.75" customHeight="1">
      <c r="A17" s="221"/>
      <c r="B17" s="226" t="str">
        <f>IFERROR(VLOOKUP(A17,DataCarteira!A:B,2,),"")</f>
        <v/>
      </c>
      <c r="C17" s="227" t="str">
        <f>IFERROR(__xludf.DUMMYFUNCTION("IFERROR(IF(N17=Data!$A$11,INDEX(arrayformula(filter('Operações-Criptos'!H:H,'Operações-Criptos'!C:C&lt;&gt;"""",row('Operações-Criptos'!C:C)=max(if('Operações-Criptos'!C:C=A17,row('Operações-Criptos'!C:C),0)))),1),
INDEX(arrayformula(filter('Operações-BR'!M:M,'"&amp;"Operações-BR'!C:C&lt;&gt;"""",row('Operações-BR'!C:C)=max(if('Operações-BR'!C:C=A17,row('Operações-BR'!C:C),0)))) ,1)),"""")"),"")</f>
        <v/>
      </c>
      <c r="D17" s="228" t="str">
        <f t="shared" si="1"/>
        <v/>
      </c>
      <c r="E17" s="228" t="str">
        <f>IFERROR(__xludf.DUMMYFUNCTION("IFERROR(IF(N17=Data!$A$11,INDEX(arrayformula(filter('Operações-Criptos'!L:L,'Operações-Criptos'!C:C&lt;&gt;"""",row('Operações-Criptos'!C:C)=max(if('Operações-Criptos'!C:C=A17,row('Operações-Criptos'!C:C),0)))),1),
INDEX(arrayformula(filter('Operações-BR'!Q:Q,'"&amp;"Operações-BR'!C:C&lt;&gt;"""",row('Operações-BR'!C:C)=max(if('Operações-BR'!C:C=A17,row('Operações-BR'!C:C),0)))) ,1)),"""")"),"")</f>
        <v/>
      </c>
      <c r="F17" s="228" t="str">
        <f t="shared" si="2"/>
        <v/>
      </c>
      <c r="G17" s="228" t="str">
        <f>IF(A17&lt;&gt;"",SUMIF(Proventos!$A$2:$A100,A17,Proventos!$H$2:$H100),"")</f>
        <v/>
      </c>
      <c r="H17" s="228" t="str">
        <f t="shared" si="3"/>
        <v/>
      </c>
      <c r="I17" s="228" t="str">
        <f t="shared" si="4"/>
        <v/>
      </c>
      <c r="J17" s="228" t="str">
        <f t="shared" si="5"/>
        <v/>
      </c>
      <c r="K17" s="229" t="str">
        <f t="shared" si="6"/>
        <v/>
      </c>
      <c r="L17" s="229" t="str">
        <f t="shared" si="7"/>
        <v/>
      </c>
      <c r="M17" s="229" t="str">
        <f t="shared" si="8"/>
        <v/>
      </c>
      <c r="N17" s="229" t="str">
        <f>IFERROR(VLOOKUP(A17,DataCarteira!A14:K100,9,),"")</f>
        <v/>
      </c>
    </row>
    <row r="18" ht="30.75" customHeight="1">
      <c r="A18" s="221"/>
      <c r="B18" s="226" t="str">
        <f>IFERROR(VLOOKUP(A18,DataCarteira!A:B,2,),"")</f>
        <v/>
      </c>
      <c r="C18" s="227" t="str">
        <f>IFERROR(__xludf.DUMMYFUNCTION("IFERROR(IF(N18=Data!$A$11,INDEX(arrayformula(filter('Operações-Criptos'!H:H,'Operações-Criptos'!C:C&lt;&gt;"""",row('Operações-Criptos'!C:C)=max(if('Operações-Criptos'!C:C=A18,row('Operações-Criptos'!C:C),0)))),1),
INDEX(arrayformula(filter('Operações-BR'!M:M,'"&amp;"Operações-BR'!C:C&lt;&gt;"""",row('Operações-BR'!C:C)=max(if('Operações-BR'!C:C=A18,row('Operações-BR'!C:C),0)))) ,1)),"""")"),"")</f>
        <v/>
      </c>
      <c r="D18" s="228" t="str">
        <f t="shared" si="1"/>
        <v/>
      </c>
      <c r="E18" s="228" t="str">
        <f>IFERROR(__xludf.DUMMYFUNCTION("IFERROR(IF(N18=Data!$A$11,INDEX(arrayformula(filter('Operações-Criptos'!L:L,'Operações-Criptos'!C:C&lt;&gt;"""",row('Operações-Criptos'!C:C)=max(if('Operações-Criptos'!C:C=A18,row('Operações-Criptos'!C:C),0)))),1),
INDEX(arrayformula(filter('Operações-BR'!Q:Q,'"&amp;"Operações-BR'!C:C&lt;&gt;"""",row('Operações-BR'!C:C)=max(if('Operações-BR'!C:C=A18,row('Operações-BR'!C:C),0)))) ,1)),"""")"),"")</f>
        <v/>
      </c>
      <c r="F18" s="228" t="str">
        <f t="shared" si="2"/>
        <v/>
      </c>
      <c r="G18" s="228" t="str">
        <f>IF(A18&lt;&gt;"",SUMIF(Proventos!$A$2:$A100,A18,Proventos!$H$2:$H100),"")</f>
        <v/>
      </c>
      <c r="H18" s="228" t="str">
        <f t="shared" si="3"/>
        <v/>
      </c>
      <c r="I18" s="228" t="str">
        <f t="shared" si="4"/>
        <v/>
      </c>
      <c r="J18" s="228" t="str">
        <f t="shared" si="5"/>
        <v/>
      </c>
      <c r="K18" s="229" t="str">
        <f t="shared" si="6"/>
        <v/>
      </c>
      <c r="L18" s="229" t="str">
        <f t="shared" si="7"/>
        <v/>
      </c>
      <c r="M18" s="229" t="str">
        <f t="shared" si="8"/>
        <v/>
      </c>
      <c r="N18" s="229" t="str">
        <f>IFERROR(VLOOKUP(A18,DataCarteira!A15:K100,9,),"")</f>
        <v/>
      </c>
    </row>
    <row r="19" ht="30.75" customHeight="1">
      <c r="A19" s="221"/>
      <c r="B19" s="226" t="str">
        <f>IFERROR(VLOOKUP(A19,DataCarteira!A:B,2,),"")</f>
        <v/>
      </c>
      <c r="C19" s="227" t="str">
        <f>IFERROR(__xludf.DUMMYFUNCTION("IFERROR(IF(N19=Data!$A$11,INDEX(arrayformula(filter('Operações-Criptos'!H:H,'Operações-Criptos'!C:C&lt;&gt;"""",row('Operações-Criptos'!C:C)=max(if('Operações-Criptos'!C:C=A19,row('Operações-Criptos'!C:C),0)))),1),
INDEX(arrayformula(filter('Operações-BR'!M:M,'"&amp;"Operações-BR'!C:C&lt;&gt;"""",row('Operações-BR'!C:C)=max(if('Operações-BR'!C:C=A19,row('Operações-BR'!C:C),0)))) ,1)),"""")"),"")</f>
        <v/>
      </c>
      <c r="D19" s="228" t="str">
        <f t="shared" si="1"/>
        <v/>
      </c>
      <c r="E19" s="228" t="str">
        <f>IFERROR(__xludf.DUMMYFUNCTION("IFERROR(IF(N19=Data!$A$11,INDEX(arrayformula(filter('Operações-Criptos'!L:L,'Operações-Criptos'!C:C&lt;&gt;"""",row('Operações-Criptos'!C:C)=max(if('Operações-Criptos'!C:C=A19,row('Operações-Criptos'!C:C),0)))),1),
INDEX(arrayformula(filter('Operações-BR'!Q:Q,'"&amp;"Operações-BR'!C:C&lt;&gt;"""",row('Operações-BR'!C:C)=max(if('Operações-BR'!C:C=A19,row('Operações-BR'!C:C),0)))) ,1)),"""")"),"")</f>
        <v/>
      </c>
      <c r="F19" s="228" t="str">
        <f t="shared" si="2"/>
        <v/>
      </c>
      <c r="G19" s="228" t="str">
        <f>IF(A19&lt;&gt;"",SUMIF(Proventos!$A$2:$A100,A19,Proventos!$H$2:$H100),"")</f>
        <v/>
      </c>
      <c r="H19" s="228" t="str">
        <f t="shared" si="3"/>
        <v/>
      </c>
      <c r="I19" s="228" t="str">
        <f t="shared" si="4"/>
        <v/>
      </c>
      <c r="J19" s="228" t="str">
        <f t="shared" si="5"/>
        <v/>
      </c>
      <c r="K19" s="229" t="str">
        <f t="shared" si="6"/>
        <v/>
      </c>
      <c r="L19" s="229" t="str">
        <f t="shared" si="7"/>
        <v/>
      </c>
      <c r="M19" s="229" t="str">
        <f t="shared" si="8"/>
        <v/>
      </c>
      <c r="N19" s="229" t="str">
        <f>IFERROR(VLOOKUP(A19,DataCarteira!A16:K100,9,),"")</f>
        <v/>
      </c>
    </row>
    <row r="20" ht="30.75" customHeight="1">
      <c r="A20" s="221"/>
      <c r="B20" s="226" t="str">
        <f>IFERROR(VLOOKUP(A20,DataCarteira!A:B,2,),"")</f>
        <v/>
      </c>
      <c r="C20" s="227" t="str">
        <f>IFERROR(__xludf.DUMMYFUNCTION("IFERROR(IF(N20=Data!$A$11,INDEX(arrayformula(filter('Operações-Criptos'!H:H,'Operações-Criptos'!C:C&lt;&gt;"""",row('Operações-Criptos'!C:C)=max(if('Operações-Criptos'!C:C=A20,row('Operações-Criptos'!C:C),0)))),1),
INDEX(arrayformula(filter('Operações-BR'!M:M,'"&amp;"Operações-BR'!C:C&lt;&gt;"""",row('Operações-BR'!C:C)=max(if('Operações-BR'!C:C=A20,row('Operações-BR'!C:C),0)))) ,1)),"""")"),"")</f>
        <v/>
      </c>
      <c r="D20" s="228" t="str">
        <f t="shared" si="1"/>
        <v/>
      </c>
      <c r="E20" s="228" t="str">
        <f>IFERROR(__xludf.DUMMYFUNCTION("IFERROR(IF(N20=Data!$A$11,INDEX(arrayformula(filter('Operações-Criptos'!L:L,'Operações-Criptos'!C:C&lt;&gt;"""",row('Operações-Criptos'!C:C)=max(if('Operações-Criptos'!C:C=A20,row('Operações-Criptos'!C:C),0)))),1),
INDEX(arrayformula(filter('Operações-BR'!Q:Q,'"&amp;"Operações-BR'!C:C&lt;&gt;"""",row('Operações-BR'!C:C)=max(if('Operações-BR'!C:C=A20,row('Operações-BR'!C:C),0)))) ,1)),"""")"),"")</f>
        <v/>
      </c>
      <c r="F20" s="228" t="str">
        <f t="shared" si="2"/>
        <v/>
      </c>
      <c r="G20" s="228" t="str">
        <f>IF(A20&lt;&gt;"",SUMIF(Proventos!$A$2:$A100,A20,Proventos!$H$2:$H100),"")</f>
        <v/>
      </c>
      <c r="H20" s="228" t="str">
        <f t="shared" si="3"/>
        <v/>
      </c>
      <c r="I20" s="228" t="str">
        <f t="shared" si="4"/>
        <v/>
      </c>
      <c r="J20" s="228" t="str">
        <f t="shared" si="5"/>
        <v/>
      </c>
      <c r="K20" s="229" t="str">
        <f t="shared" si="6"/>
        <v/>
      </c>
      <c r="L20" s="229" t="str">
        <f t="shared" si="7"/>
        <v/>
      </c>
      <c r="M20" s="229" t="str">
        <f t="shared" si="8"/>
        <v/>
      </c>
      <c r="N20" s="229" t="str">
        <f>IFERROR(VLOOKUP(A20,DataCarteira!A17:K100,9,),"")</f>
        <v/>
      </c>
    </row>
    <row r="21" ht="30.75" customHeight="1">
      <c r="A21" s="221"/>
      <c r="B21" s="226" t="str">
        <f>IFERROR(VLOOKUP(A21,DataCarteira!A:B,2,),"")</f>
        <v/>
      </c>
      <c r="C21" s="227" t="str">
        <f>IFERROR(__xludf.DUMMYFUNCTION("IFERROR(IF(N21=Data!$A$11,INDEX(arrayformula(filter('Operações-Criptos'!H:H,'Operações-Criptos'!C:C&lt;&gt;"""",row('Operações-Criptos'!C:C)=max(if('Operações-Criptos'!C:C=A21,row('Operações-Criptos'!C:C),0)))),1),
INDEX(arrayformula(filter('Operações-BR'!M:M,'"&amp;"Operações-BR'!C:C&lt;&gt;"""",row('Operações-BR'!C:C)=max(if('Operações-BR'!C:C=A21,row('Operações-BR'!C:C),0)))) ,1)),"""")"),"")</f>
        <v/>
      </c>
      <c r="D21" s="228" t="str">
        <f t="shared" si="1"/>
        <v/>
      </c>
      <c r="E21" s="228" t="str">
        <f>IFERROR(__xludf.DUMMYFUNCTION("IFERROR(IF(N21=Data!$A$11,INDEX(arrayformula(filter('Operações-Criptos'!L:L,'Operações-Criptos'!C:C&lt;&gt;"""",row('Operações-Criptos'!C:C)=max(if('Operações-Criptos'!C:C=A21,row('Operações-Criptos'!C:C),0)))),1),
INDEX(arrayformula(filter('Operações-BR'!Q:Q,'"&amp;"Operações-BR'!C:C&lt;&gt;"""",row('Operações-BR'!C:C)=max(if('Operações-BR'!C:C=A21,row('Operações-BR'!C:C),0)))) ,1)),"""")"),"")</f>
        <v/>
      </c>
      <c r="F21" s="228" t="str">
        <f t="shared" si="2"/>
        <v/>
      </c>
      <c r="G21" s="228" t="str">
        <f>IF(A21&lt;&gt;"",SUMIF(Proventos!$A$2:$A100,A21,Proventos!$H$2:$H100),"")</f>
        <v/>
      </c>
      <c r="H21" s="228" t="str">
        <f t="shared" si="3"/>
        <v/>
      </c>
      <c r="I21" s="228" t="str">
        <f t="shared" si="4"/>
        <v/>
      </c>
      <c r="J21" s="228" t="str">
        <f t="shared" si="5"/>
        <v/>
      </c>
      <c r="K21" s="229" t="str">
        <f t="shared" si="6"/>
        <v/>
      </c>
      <c r="L21" s="229" t="str">
        <f t="shared" si="7"/>
        <v/>
      </c>
      <c r="M21" s="229" t="str">
        <f t="shared" si="8"/>
        <v/>
      </c>
      <c r="N21" s="229" t="str">
        <f>IFERROR(VLOOKUP(A21,DataCarteira!A18:K100,9,),"")</f>
        <v/>
      </c>
    </row>
    <row r="22" ht="30.75" customHeight="1">
      <c r="A22" s="221"/>
      <c r="B22" s="226" t="str">
        <f>IFERROR(VLOOKUP(A22,DataCarteira!A:B,2,),"")</f>
        <v/>
      </c>
      <c r="C22" s="227" t="str">
        <f>IFERROR(__xludf.DUMMYFUNCTION("IFERROR(IF(N22=Data!$A$11,INDEX(arrayformula(filter('Operações-Criptos'!H:H,'Operações-Criptos'!C:C&lt;&gt;"""",row('Operações-Criptos'!C:C)=max(if('Operações-Criptos'!C:C=A22,row('Operações-Criptos'!C:C),0)))),1),
INDEX(arrayformula(filter('Operações-BR'!M:M,'"&amp;"Operações-BR'!C:C&lt;&gt;"""",row('Operações-BR'!C:C)=max(if('Operações-BR'!C:C=A22,row('Operações-BR'!C:C),0)))) ,1)),"""")"),"")</f>
        <v/>
      </c>
      <c r="D22" s="228" t="str">
        <f t="shared" si="1"/>
        <v/>
      </c>
      <c r="E22" s="228" t="str">
        <f>IFERROR(__xludf.DUMMYFUNCTION("IFERROR(IF(N22=Data!$A$11,INDEX(arrayformula(filter('Operações-Criptos'!L:L,'Operações-Criptos'!C:C&lt;&gt;"""",row('Operações-Criptos'!C:C)=max(if('Operações-Criptos'!C:C=A22,row('Operações-Criptos'!C:C),0)))),1),
INDEX(arrayformula(filter('Operações-BR'!Q:Q,'"&amp;"Operações-BR'!C:C&lt;&gt;"""",row('Operações-BR'!C:C)=max(if('Operações-BR'!C:C=A22,row('Operações-BR'!C:C),0)))) ,1)),"""")"),"")</f>
        <v/>
      </c>
      <c r="F22" s="228" t="str">
        <f t="shared" si="2"/>
        <v/>
      </c>
      <c r="G22" s="228" t="str">
        <f>IF(A22&lt;&gt;"",SUMIF(Proventos!$A$2:$A100,A22,Proventos!$H$2:$H100),"")</f>
        <v/>
      </c>
      <c r="H22" s="228" t="str">
        <f t="shared" si="3"/>
        <v/>
      </c>
      <c r="I22" s="228" t="str">
        <f t="shared" si="4"/>
        <v/>
      </c>
      <c r="J22" s="228" t="str">
        <f t="shared" si="5"/>
        <v/>
      </c>
      <c r="K22" s="229" t="str">
        <f t="shared" si="6"/>
        <v/>
      </c>
      <c r="L22" s="229" t="str">
        <f t="shared" si="7"/>
        <v/>
      </c>
      <c r="M22" s="229" t="str">
        <f t="shared" si="8"/>
        <v/>
      </c>
      <c r="N22" s="229" t="str">
        <f>IFERROR(VLOOKUP(A22,DataCarteira!A19:K100,9,),"")</f>
        <v/>
      </c>
    </row>
    <row r="23" ht="30.75" customHeight="1">
      <c r="A23" s="221"/>
      <c r="B23" s="226" t="str">
        <f>IFERROR(VLOOKUP(A23,DataCarteira!A:B,2,),"")</f>
        <v/>
      </c>
      <c r="C23" s="227" t="str">
        <f>IFERROR(__xludf.DUMMYFUNCTION("IFERROR(IF(N23=Data!$A$11,INDEX(arrayformula(filter('Operações-Criptos'!H:H,'Operações-Criptos'!C:C&lt;&gt;"""",row('Operações-Criptos'!C:C)=max(if('Operações-Criptos'!C:C=A23,row('Operações-Criptos'!C:C),0)))),1),
INDEX(arrayformula(filter('Operações-BR'!M:M,'"&amp;"Operações-BR'!C:C&lt;&gt;"""",row('Operações-BR'!C:C)=max(if('Operações-BR'!C:C=A23,row('Operações-BR'!C:C),0)))) ,1)),"""")"),"")</f>
        <v/>
      </c>
      <c r="D23" s="228" t="str">
        <f t="shared" si="1"/>
        <v/>
      </c>
      <c r="E23" s="228" t="str">
        <f>IFERROR(__xludf.DUMMYFUNCTION("IFERROR(IF(N23=Data!$A$11,INDEX(arrayformula(filter('Operações-Criptos'!L:L,'Operações-Criptos'!C:C&lt;&gt;"""",row('Operações-Criptos'!C:C)=max(if('Operações-Criptos'!C:C=A23,row('Operações-Criptos'!C:C),0)))),1),
INDEX(arrayformula(filter('Operações-BR'!Q:Q,'"&amp;"Operações-BR'!C:C&lt;&gt;"""",row('Operações-BR'!C:C)=max(if('Operações-BR'!C:C=A23,row('Operações-BR'!C:C),0)))) ,1)),"""")"),"")</f>
        <v/>
      </c>
      <c r="F23" s="228" t="str">
        <f t="shared" si="2"/>
        <v/>
      </c>
      <c r="G23" s="228" t="str">
        <f>IF(A23&lt;&gt;"",SUMIF(Proventos!$A$2:$A100,A23,Proventos!$H$2:$H100),"")</f>
        <v/>
      </c>
      <c r="H23" s="228" t="str">
        <f t="shared" si="3"/>
        <v/>
      </c>
      <c r="I23" s="228" t="str">
        <f t="shared" si="4"/>
        <v/>
      </c>
      <c r="J23" s="228" t="str">
        <f t="shared" si="5"/>
        <v/>
      </c>
      <c r="K23" s="229" t="str">
        <f t="shared" si="6"/>
        <v/>
      </c>
      <c r="L23" s="229" t="str">
        <f t="shared" si="7"/>
        <v/>
      </c>
      <c r="M23" s="229" t="str">
        <f t="shared" si="8"/>
        <v/>
      </c>
      <c r="N23" s="229" t="str">
        <f>IFERROR(VLOOKUP(A23,DataCarteira!A20:K100,9,),"")</f>
        <v/>
      </c>
    </row>
    <row r="24" ht="30.75" customHeight="1">
      <c r="A24" s="221"/>
      <c r="B24" s="226" t="str">
        <f>IFERROR(VLOOKUP(A24,DataCarteira!A:B,2,),"")</f>
        <v/>
      </c>
      <c r="C24" s="227" t="str">
        <f>IFERROR(__xludf.DUMMYFUNCTION("IFERROR(IF(N24=Data!$A$11,INDEX(arrayformula(filter('Operações-Criptos'!H:H,'Operações-Criptos'!C:C&lt;&gt;"""",row('Operações-Criptos'!C:C)=max(if('Operações-Criptos'!C:C=A24,row('Operações-Criptos'!C:C),0)))),1),
INDEX(arrayformula(filter('Operações-BR'!M:M,'"&amp;"Operações-BR'!C:C&lt;&gt;"""",row('Operações-BR'!C:C)=max(if('Operações-BR'!C:C=A24,row('Operações-BR'!C:C),0)))) ,1)),"""")"),"")</f>
        <v/>
      </c>
      <c r="D24" s="228" t="str">
        <f t="shared" si="1"/>
        <v/>
      </c>
      <c r="E24" s="228" t="str">
        <f>IFERROR(__xludf.DUMMYFUNCTION("IFERROR(IF(N24=Data!$A$11,INDEX(arrayformula(filter('Operações-Criptos'!L:L,'Operações-Criptos'!C:C&lt;&gt;"""",row('Operações-Criptos'!C:C)=max(if('Operações-Criptos'!C:C=A24,row('Operações-Criptos'!C:C),0)))),1),
INDEX(arrayformula(filter('Operações-BR'!Q:Q,'"&amp;"Operações-BR'!C:C&lt;&gt;"""",row('Operações-BR'!C:C)=max(if('Operações-BR'!C:C=A24,row('Operações-BR'!C:C),0)))) ,1)),"""")"),"")</f>
        <v/>
      </c>
      <c r="F24" s="228" t="str">
        <f t="shared" si="2"/>
        <v/>
      </c>
      <c r="G24" s="228" t="str">
        <f>IF(A24&lt;&gt;"",SUMIF(Proventos!$A$2:$A100,A24,Proventos!$H$2:$H100),"")</f>
        <v/>
      </c>
      <c r="H24" s="228" t="str">
        <f t="shared" si="3"/>
        <v/>
      </c>
      <c r="I24" s="228" t="str">
        <f t="shared" si="4"/>
        <v/>
      </c>
      <c r="J24" s="228" t="str">
        <f t="shared" si="5"/>
        <v/>
      </c>
      <c r="K24" s="229" t="str">
        <f t="shared" si="6"/>
        <v/>
      </c>
      <c r="L24" s="229" t="str">
        <f t="shared" si="7"/>
        <v/>
      </c>
      <c r="M24" s="229" t="str">
        <f t="shared" si="8"/>
        <v/>
      </c>
      <c r="N24" s="229" t="str">
        <f>IFERROR(VLOOKUP(A24,DataCarteira!A21:K100,9,),"")</f>
        <v/>
      </c>
    </row>
    <row r="25" ht="30.75" customHeight="1">
      <c r="A25" s="221"/>
      <c r="B25" s="226" t="str">
        <f>IFERROR(VLOOKUP(A25,DataCarteira!A:B,2,),"")</f>
        <v/>
      </c>
      <c r="C25" s="227" t="str">
        <f>IFERROR(__xludf.DUMMYFUNCTION("IFERROR(IF(N25=Data!$A$11,INDEX(arrayformula(filter('Operações-Criptos'!H:H,'Operações-Criptos'!C:C&lt;&gt;"""",row('Operações-Criptos'!C:C)=max(if('Operações-Criptos'!C:C=A25,row('Operações-Criptos'!C:C),0)))),1),
INDEX(arrayformula(filter('Operações-BR'!M:M,'"&amp;"Operações-BR'!C:C&lt;&gt;"""",row('Operações-BR'!C:C)=max(if('Operações-BR'!C:C=A25,row('Operações-BR'!C:C),0)))) ,1)),"""")"),"")</f>
        <v/>
      </c>
      <c r="D25" s="228" t="str">
        <f t="shared" si="1"/>
        <v/>
      </c>
      <c r="E25" s="228" t="str">
        <f>IFERROR(__xludf.DUMMYFUNCTION("IFERROR(IF(N25=Data!$A$11,INDEX(arrayformula(filter('Operações-Criptos'!L:L,'Operações-Criptos'!C:C&lt;&gt;"""",row('Operações-Criptos'!C:C)=max(if('Operações-Criptos'!C:C=A25,row('Operações-Criptos'!C:C),0)))),1),
INDEX(arrayformula(filter('Operações-BR'!Q:Q,'"&amp;"Operações-BR'!C:C&lt;&gt;"""",row('Operações-BR'!C:C)=max(if('Operações-BR'!C:C=A25,row('Operações-BR'!C:C),0)))) ,1)),"""")"),"")</f>
        <v/>
      </c>
      <c r="F25" s="228" t="str">
        <f t="shared" si="2"/>
        <v/>
      </c>
      <c r="G25" s="228" t="str">
        <f>IF(A25&lt;&gt;"",SUMIF(Proventos!$A$2:$A100,A25,Proventos!$H$2:$H100),"")</f>
        <v/>
      </c>
      <c r="H25" s="228" t="str">
        <f t="shared" si="3"/>
        <v/>
      </c>
      <c r="I25" s="228" t="str">
        <f t="shared" si="4"/>
        <v/>
      </c>
      <c r="J25" s="228" t="str">
        <f t="shared" si="5"/>
        <v/>
      </c>
      <c r="K25" s="229" t="str">
        <f t="shared" si="6"/>
        <v/>
      </c>
      <c r="L25" s="229" t="str">
        <f t="shared" si="7"/>
        <v/>
      </c>
      <c r="M25" s="229" t="str">
        <f t="shared" si="8"/>
        <v/>
      </c>
      <c r="N25" s="229" t="str">
        <f>IFERROR(VLOOKUP(A25,DataCarteira!A22:K100,9,),"")</f>
        <v/>
      </c>
    </row>
    <row r="26" ht="30.75" customHeight="1">
      <c r="A26" s="221"/>
      <c r="B26" s="226" t="str">
        <f>IFERROR(VLOOKUP(A26,DataCarteira!A:B,2,),"")</f>
        <v/>
      </c>
      <c r="C26" s="227" t="str">
        <f>IFERROR(__xludf.DUMMYFUNCTION("IFERROR(IF(N26=Data!$A$11,INDEX(arrayformula(filter('Operações-Criptos'!H:H,'Operações-Criptos'!C:C&lt;&gt;"""",row('Operações-Criptos'!C:C)=max(if('Operações-Criptos'!C:C=A26,row('Operações-Criptos'!C:C),0)))),1),
INDEX(arrayformula(filter('Operações-BR'!M:M,'"&amp;"Operações-BR'!C:C&lt;&gt;"""",row('Operações-BR'!C:C)=max(if('Operações-BR'!C:C=A26,row('Operações-BR'!C:C),0)))) ,1)),"""")"),"")</f>
        <v/>
      </c>
      <c r="D26" s="228" t="str">
        <f t="shared" si="1"/>
        <v/>
      </c>
      <c r="E26" s="228" t="str">
        <f>IFERROR(__xludf.DUMMYFUNCTION("IFERROR(IF(N26=Data!$A$11,INDEX(arrayformula(filter('Operações-Criptos'!L:L,'Operações-Criptos'!C:C&lt;&gt;"""",row('Operações-Criptos'!C:C)=max(if('Operações-Criptos'!C:C=A26,row('Operações-Criptos'!C:C),0)))),1),
INDEX(arrayformula(filter('Operações-BR'!Q:Q,'"&amp;"Operações-BR'!C:C&lt;&gt;"""",row('Operações-BR'!C:C)=max(if('Operações-BR'!C:C=A26,row('Operações-BR'!C:C),0)))) ,1)),"""")"),"")</f>
        <v/>
      </c>
      <c r="F26" s="228" t="str">
        <f t="shared" si="2"/>
        <v/>
      </c>
      <c r="G26" s="228" t="str">
        <f>IF(A26&lt;&gt;"",SUMIF(Proventos!$A$2:$A100,A26,Proventos!$H$2:$H100),"")</f>
        <v/>
      </c>
      <c r="H26" s="228" t="str">
        <f t="shared" si="3"/>
        <v/>
      </c>
      <c r="I26" s="228" t="str">
        <f t="shared" si="4"/>
        <v/>
      </c>
      <c r="J26" s="228" t="str">
        <f t="shared" si="5"/>
        <v/>
      </c>
      <c r="K26" s="229" t="str">
        <f t="shared" si="6"/>
        <v/>
      </c>
      <c r="L26" s="229" t="str">
        <f t="shared" si="7"/>
        <v/>
      </c>
      <c r="M26" s="229" t="str">
        <f t="shared" si="8"/>
        <v/>
      </c>
      <c r="N26" s="229" t="str">
        <f>IFERROR(VLOOKUP(A26,DataCarteira!A23:K100,9,),"")</f>
        <v/>
      </c>
    </row>
    <row r="27" ht="30.75" customHeight="1">
      <c r="A27" s="221"/>
      <c r="B27" s="226" t="str">
        <f>IFERROR(VLOOKUP(A27,DataCarteira!A:B,2,),"")</f>
        <v/>
      </c>
      <c r="C27" s="227" t="str">
        <f>IFERROR(__xludf.DUMMYFUNCTION("IFERROR(IF(N27=Data!$A$11,INDEX(arrayformula(filter('Operações-Criptos'!H:H,'Operações-Criptos'!C:C&lt;&gt;"""",row('Operações-Criptos'!C:C)=max(if('Operações-Criptos'!C:C=A27,row('Operações-Criptos'!C:C),0)))),1),
INDEX(arrayformula(filter('Operações-BR'!M:M,'"&amp;"Operações-BR'!C:C&lt;&gt;"""",row('Operações-BR'!C:C)=max(if('Operações-BR'!C:C=A27,row('Operações-BR'!C:C),0)))) ,1)),"""")"),"")</f>
        <v/>
      </c>
      <c r="D27" s="228" t="str">
        <f t="shared" si="1"/>
        <v/>
      </c>
      <c r="E27" s="228" t="str">
        <f>IFERROR(__xludf.DUMMYFUNCTION("IFERROR(IF(N27=Data!$A$11,INDEX(arrayformula(filter('Operações-Criptos'!L:L,'Operações-Criptos'!C:C&lt;&gt;"""",row('Operações-Criptos'!C:C)=max(if('Operações-Criptos'!C:C=A27,row('Operações-Criptos'!C:C),0)))),1),
INDEX(arrayformula(filter('Operações-BR'!Q:Q,'"&amp;"Operações-BR'!C:C&lt;&gt;"""",row('Operações-BR'!C:C)=max(if('Operações-BR'!C:C=A27,row('Operações-BR'!C:C),0)))) ,1)),"""")"),"")</f>
        <v/>
      </c>
      <c r="F27" s="228" t="str">
        <f t="shared" si="2"/>
        <v/>
      </c>
      <c r="G27" s="228" t="str">
        <f>IF(A27&lt;&gt;"",SUMIF(Proventos!$A$2:$A100,A27,Proventos!$H$2:$H100),"")</f>
        <v/>
      </c>
      <c r="H27" s="228" t="str">
        <f t="shared" si="3"/>
        <v/>
      </c>
      <c r="I27" s="228" t="str">
        <f t="shared" si="4"/>
        <v/>
      </c>
      <c r="J27" s="228" t="str">
        <f t="shared" si="5"/>
        <v/>
      </c>
      <c r="K27" s="229" t="str">
        <f t="shared" si="6"/>
        <v/>
      </c>
      <c r="L27" s="229" t="str">
        <f t="shared" si="7"/>
        <v/>
      </c>
      <c r="M27" s="229" t="str">
        <f t="shared" si="8"/>
        <v/>
      </c>
      <c r="N27" s="229" t="str">
        <f>IFERROR(VLOOKUP(A27,DataCarteira!A24:K100,9,),"")</f>
        <v/>
      </c>
    </row>
    <row r="28" ht="30.75" customHeight="1">
      <c r="A28" s="221"/>
      <c r="B28" s="226" t="str">
        <f>IFERROR(VLOOKUP(A28,DataCarteira!A:B,2,),"")</f>
        <v/>
      </c>
      <c r="C28" s="227" t="str">
        <f>IFERROR(__xludf.DUMMYFUNCTION("IFERROR(IF(N28=Data!$A$11,INDEX(arrayformula(filter('Operações-Criptos'!H:H,'Operações-Criptos'!C:C&lt;&gt;"""",row('Operações-Criptos'!C:C)=max(if('Operações-Criptos'!C:C=A28,row('Operações-Criptos'!C:C),0)))),1),
INDEX(arrayformula(filter('Operações-BR'!M:M,'"&amp;"Operações-BR'!C:C&lt;&gt;"""",row('Operações-BR'!C:C)=max(if('Operações-BR'!C:C=A28,row('Operações-BR'!C:C),0)))) ,1)),"""")"),"")</f>
        <v/>
      </c>
      <c r="D28" s="228" t="str">
        <f t="shared" si="1"/>
        <v/>
      </c>
      <c r="E28" s="228" t="str">
        <f>IFERROR(__xludf.DUMMYFUNCTION("IFERROR(IF(N28=Data!$A$11,INDEX(arrayformula(filter('Operações-Criptos'!L:L,'Operações-Criptos'!C:C&lt;&gt;"""",row('Operações-Criptos'!C:C)=max(if('Operações-Criptos'!C:C=A28,row('Operações-Criptos'!C:C),0)))),1),
INDEX(arrayformula(filter('Operações-BR'!Q:Q,'"&amp;"Operações-BR'!C:C&lt;&gt;"""",row('Operações-BR'!C:C)=max(if('Operações-BR'!C:C=A28,row('Operações-BR'!C:C),0)))) ,1)),"""")"),"")</f>
        <v/>
      </c>
      <c r="F28" s="228" t="str">
        <f t="shared" si="2"/>
        <v/>
      </c>
      <c r="G28" s="228" t="str">
        <f>IF(A28&lt;&gt;"",SUMIF(Proventos!$A$2:$A100,A28,Proventos!$H$2:$H100),"")</f>
        <v/>
      </c>
      <c r="H28" s="228" t="str">
        <f t="shared" si="3"/>
        <v/>
      </c>
      <c r="I28" s="228" t="str">
        <f t="shared" si="4"/>
        <v/>
      </c>
      <c r="J28" s="228" t="str">
        <f t="shared" si="5"/>
        <v/>
      </c>
      <c r="K28" s="229" t="str">
        <f t="shared" si="6"/>
        <v/>
      </c>
      <c r="L28" s="229" t="str">
        <f t="shared" si="7"/>
        <v/>
      </c>
      <c r="M28" s="229" t="str">
        <f t="shared" si="8"/>
        <v/>
      </c>
      <c r="N28" s="229" t="str">
        <f>IFERROR(VLOOKUP(A28,DataCarteira!A25:K100,9,),"")</f>
        <v/>
      </c>
    </row>
    <row r="29" ht="30.75" customHeight="1">
      <c r="A29" s="221"/>
      <c r="B29" s="226" t="str">
        <f>IFERROR(VLOOKUP(A29,DataCarteira!A:B,2,),"")</f>
        <v/>
      </c>
      <c r="C29" s="227" t="str">
        <f>IFERROR(__xludf.DUMMYFUNCTION("IFERROR(IF(N29=Data!$A$11,INDEX(arrayformula(filter('Operações-Criptos'!H:H,'Operações-Criptos'!C:C&lt;&gt;"""",row('Operações-Criptos'!C:C)=max(if('Operações-Criptos'!C:C=A29,row('Operações-Criptos'!C:C),0)))),1),
INDEX(arrayformula(filter('Operações-BR'!M:M,'"&amp;"Operações-BR'!C:C&lt;&gt;"""",row('Operações-BR'!C:C)=max(if('Operações-BR'!C:C=A29,row('Operações-BR'!C:C),0)))) ,1)),"""")"),"")</f>
        <v/>
      </c>
      <c r="D29" s="228" t="str">
        <f t="shared" si="1"/>
        <v/>
      </c>
      <c r="E29" s="228" t="str">
        <f>IFERROR(__xludf.DUMMYFUNCTION("IFERROR(IF(N29=Data!$A$11,INDEX(arrayformula(filter('Operações-Criptos'!L:L,'Operações-Criptos'!C:C&lt;&gt;"""",row('Operações-Criptos'!C:C)=max(if('Operações-Criptos'!C:C=A29,row('Operações-Criptos'!C:C),0)))),1),
INDEX(arrayformula(filter('Operações-BR'!Q:Q,'"&amp;"Operações-BR'!C:C&lt;&gt;"""",row('Operações-BR'!C:C)=max(if('Operações-BR'!C:C=A29,row('Operações-BR'!C:C),0)))) ,1)),"""")"),"")</f>
        <v/>
      </c>
      <c r="F29" s="228" t="str">
        <f t="shared" si="2"/>
        <v/>
      </c>
      <c r="G29" s="228" t="str">
        <f>IF(A29&lt;&gt;"",SUMIF(Proventos!$A$2:$A100,A29,Proventos!$H$2:$H100),"")</f>
        <v/>
      </c>
      <c r="H29" s="228" t="str">
        <f t="shared" si="3"/>
        <v/>
      </c>
      <c r="I29" s="228" t="str">
        <f t="shared" si="4"/>
        <v/>
      </c>
      <c r="J29" s="228" t="str">
        <f t="shared" si="5"/>
        <v/>
      </c>
      <c r="K29" s="229" t="str">
        <f t="shared" si="6"/>
        <v/>
      </c>
      <c r="L29" s="229" t="str">
        <f t="shared" si="7"/>
        <v/>
      </c>
      <c r="M29" s="229" t="str">
        <f t="shared" si="8"/>
        <v/>
      </c>
      <c r="N29" s="229" t="str">
        <f>IFERROR(VLOOKUP(A29,DataCarteira!A26:K100,9,),"")</f>
        <v/>
      </c>
    </row>
    <row r="30" ht="30.75" customHeight="1">
      <c r="A30" s="221"/>
      <c r="B30" s="226" t="str">
        <f>IFERROR(VLOOKUP(A30,DataCarteira!A:B,2,),"")</f>
        <v/>
      </c>
      <c r="C30" s="227" t="str">
        <f>IFERROR(__xludf.DUMMYFUNCTION("IFERROR(IF(N30=Data!$A$11,INDEX(arrayformula(filter('Operações-Criptos'!H:H,'Operações-Criptos'!C:C&lt;&gt;"""",row('Operações-Criptos'!C:C)=max(if('Operações-Criptos'!C:C=A30,row('Operações-Criptos'!C:C),0)))),1),
INDEX(arrayformula(filter('Operações-BR'!M:M,'"&amp;"Operações-BR'!C:C&lt;&gt;"""",row('Operações-BR'!C:C)=max(if('Operações-BR'!C:C=A30,row('Operações-BR'!C:C),0)))) ,1)),"""")"),"")</f>
        <v/>
      </c>
      <c r="D30" s="228" t="str">
        <f t="shared" si="1"/>
        <v/>
      </c>
      <c r="E30" s="228" t="str">
        <f>IFERROR(__xludf.DUMMYFUNCTION("IFERROR(IF(N30=Data!$A$11,INDEX(arrayformula(filter('Operações-Criptos'!L:L,'Operações-Criptos'!C:C&lt;&gt;"""",row('Operações-Criptos'!C:C)=max(if('Operações-Criptos'!C:C=A30,row('Operações-Criptos'!C:C),0)))),1),
INDEX(arrayformula(filter('Operações-BR'!Q:Q,'"&amp;"Operações-BR'!C:C&lt;&gt;"""",row('Operações-BR'!C:C)=max(if('Operações-BR'!C:C=A30,row('Operações-BR'!C:C),0)))) ,1)),"""")"),"")</f>
        <v/>
      </c>
      <c r="F30" s="228" t="str">
        <f t="shared" si="2"/>
        <v/>
      </c>
      <c r="G30" s="228" t="str">
        <f>IF(A30&lt;&gt;"",SUMIF(Proventos!$A$2:$A100,A30,Proventos!$H$2:$H100),"")</f>
        <v/>
      </c>
      <c r="H30" s="228" t="str">
        <f t="shared" si="3"/>
        <v/>
      </c>
      <c r="I30" s="228" t="str">
        <f t="shared" si="4"/>
        <v/>
      </c>
      <c r="J30" s="228" t="str">
        <f t="shared" si="5"/>
        <v/>
      </c>
      <c r="K30" s="229" t="str">
        <f t="shared" si="6"/>
        <v/>
      </c>
      <c r="L30" s="229" t="str">
        <f t="shared" si="7"/>
        <v/>
      </c>
      <c r="M30" s="229" t="str">
        <f t="shared" si="8"/>
        <v/>
      </c>
      <c r="N30" s="229" t="str">
        <f>IFERROR(VLOOKUP(A30,DataCarteira!A27:K100,9,),"")</f>
        <v/>
      </c>
    </row>
    <row r="31" ht="30.75" customHeight="1">
      <c r="A31" s="221"/>
      <c r="B31" s="226" t="str">
        <f>IFERROR(VLOOKUP(A31,DataCarteira!A:B,2,),"")</f>
        <v/>
      </c>
      <c r="C31" s="227" t="str">
        <f>IFERROR(__xludf.DUMMYFUNCTION("IFERROR(IF(N31=Data!$A$11,INDEX(arrayformula(filter('Operações-Criptos'!H:H,'Operações-Criptos'!C:C&lt;&gt;"""",row('Operações-Criptos'!C:C)=max(if('Operações-Criptos'!C:C=A31,row('Operações-Criptos'!C:C),0)))),1),
INDEX(arrayformula(filter('Operações-BR'!M:M,'"&amp;"Operações-BR'!C:C&lt;&gt;"""",row('Operações-BR'!C:C)=max(if('Operações-BR'!C:C=A31,row('Operações-BR'!C:C),0)))) ,1)),"""")"),"")</f>
        <v/>
      </c>
      <c r="D31" s="228" t="str">
        <f t="shared" si="1"/>
        <v/>
      </c>
      <c r="E31" s="228" t="str">
        <f>IFERROR(__xludf.DUMMYFUNCTION("IFERROR(IF(N31=Data!$A$11,INDEX(arrayformula(filter('Operações-Criptos'!L:L,'Operações-Criptos'!C:C&lt;&gt;"""",row('Operações-Criptos'!C:C)=max(if('Operações-Criptos'!C:C=A31,row('Operações-Criptos'!C:C),0)))),1),
INDEX(arrayformula(filter('Operações-BR'!Q:Q,'"&amp;"Operações-BR'!C:C&lt;&gt;"""",row('Operações-BR'!C:C)=max(if('Operações-BR'!C:C=A31,row('Operações-BR'!C:C),0)))) ,1)),"""")"),"")</f>
        <v/>
      </c>
      <c r="F31" s="228" t="str">
        <f t="shared" si="2"/>
        <v/>
      </c>
      <c r="G31" s="228" t="str">
        <f>IF(A31&lt;&gt;"",SUMIF(Proventos!$A$2:$A100,A31,Proventos!$H$2:$H100),"")</f>
        <v/>
      </c>
      <c r="H31" s="228" t="str">
        <f t="shared" si="3"/>
        <v/>
      </c>
      <c r="I31" s="228" t="str">
        <f t="shared" si="4"/>
        <v/>
      </c>
      <c r="J31" s="228" t="str">
        <f t="shared" si="5"/>
        <v/>
      </c>
      <c r="K31" s="229" t="str">
        <f t="shared" si="6"/>
        <v/>
      </c>
      <c r="L31" s="229" t="str">
        <f t="shared" si="7"/>
        <v/>
      </c>
      <c r="M31" s="229" t="str">
        <f t="shared" si="8"/>
        <v/>
      </c>
      <c r="N31" s="229" t="str">
        <f>IFERROR(VLOOKUP(A31,DataCarteira!A28:K100,9,),"")</f>
        <v/>
      </c>
    </row>
    <row r="32" ht="30.75" customHeight="1">
      <c r="A32" s="221"/>
      <c r="B32" s="226" t="str">
        <f>IFERROR(VLOOKUP(A32,DataCarteira!A:B,2,),"")</f>
        <v/>
      </c>
      <c r="C32" s="227" t="str">
        <f>IFERROR(__xludf.DUMMYFUNCTION("IFERROR(IF(N32=Data!$A$11,INDEX(arrayformula(filter('Operações-Criptos'!H:H,'Operações-Criptos'!C:C&lt;&gt;"""",row('Operações-Criptos'!C:C)=max(if('Operações-Criptos'!C:C=A32,row('Operações-Criptos'!C:C),0)))),1),
INDEX(arrayformula(filter('Operações-BR'!M:M,'"&amp;"Operações-BR'!C:C&lt;&gt;"""",row('Operações-BR'!C:C)=max(if('Operações-BR'!C:C=A32,row('Operações-BR'!C:C),0)))) ,1)),"""")"),"")</f>
        <v/>
      </c>
      <c r="D32" s="228" t="str">
        <f t="shared" si="1"/>
        <v/>
      </c>
      <c r="E32" s="228" t="str">
        <f>IFERROR(__xludf.DUMMYFUNCTION("IFERROR(IF(N32=Data!$A$11,INDEX(arrayformula(filter('Operações-Criptos'!L:L,'Operações-Criptos'!C:C&lt;&gt;"""",row('Operações-Criptos'!C:C)=max(if('Operações-Criptos'!C:C=A32,row('Operações-Criptos'!C:C),0)))),1),
INDEX(arrayformula(filter('Operações-BR'!Q:Q,'"&amp;"Operações-BR'!C:C&lt;&gt;"""",row('Operações-BR'!C:C)=max(if('Operações-BR'!C:C=A32,row('Operações-BR'!C:C),0)))) ,1)),"""")"),"")</f>
        <v/>
      </c>
      <c r="F32" s="228" t="str">
        <f t="shared" si="2"/>
        <v/>
      </c>
      <c r="G32" s="228" t="str">
        <f>IF(A32&lt;&gt;"",SUMIF(Proventos!$A$2:$A100,A32,Proventos!$H$2:$H100),"")</f>
        <v/>
      </c>
      <c r="H32" s="228" t="str">
        <f t="shared" si="3"/>
        <v/>
      </c>
      <c r="I32" s="228" t="str">
        <f t="shared" si="4"/>
        <v/>
      </c>
      <c r="J32" s="228" t="str">
        <f t="shared" si="5"/>
        <v/>
      </c>
      <c r="K32" s="229" t="str">
        <f t="shared" si="6"/>
        <v/>
      </c>
      <c r="L32" s="229" t="str">
        <f t="shared" si="7"/>
        <v/>
      </c>
      <c r="M32" s="229" t="str">
        <f t="shared" si="8"/>
        <v/>
      </c>
      <c r="N32" s="229" t="str">
        <f>IFERROR(VLOOKUP(A32,DataCarteira!A29:K100,9,),"")</f>
        <v/>
      </c>
    </row>
    <row r="33" ht="30.75" customHeight="1">
      <c r="A33" s="221"/>
      <c r="B33" s="226" t="str">
        <f>IFERROR(VLOOKUP(A33,DataCarteira!A:B,2,),"")</f>
        <v/>
      </c>
      <c r="C33" s="227" t="str">
        <f>IFERROR(__xludf.DUMMYFUNCTION("IFERROR(IF(N33=Data!$A$11,INDEX(arrayformula(filter('Operações-Criptos'!H:H,'Operações-Criptos'!C:C&lt;&gt;"""",row('Operações-Criptos'!C:C)=max(if('Operações-Criptos'!C:C=A33,row('Operações-Criptos'!C:C),0)))),1),
INDEX(arrayformula(filter('Operações-BR'!M:M,'"&amp;"Operações-BR'!C:C&lt;&gt;"""",row('Operações-BR'!C:C)=max(if('Operações-BR'!C:C=A33,row('Operações-BR'!C:C),0)))) ,1)),"""")"),"")</f>
        <v/>
      </c>
      <c r="D33" s="228" t="str">
        <f t="shared" si="1"/>
        <v/>
      </c>
      <c r="E33" s="228" t="str">
        <f>IFERROR(__xludf.DUMMYFUNCTION("IFERROR(IF(N33=Data!$A$11,INDEX(arrayformula(filter('Operações-Criptos'!L:L,'Operações-Criptos'!C:C&lt;&gt;"""",row('Operações-Criptos'!C:C)=max(if('Operações-Criptos'!C:C=A33,row('Operações-Criptos'!C:C),0)))),1),
INDEX(arrayformula(filter('Operações-BR'!Q:Q,'"&amp;"Operações-BR'!C:C&lt;&gt;"""",row('Operações-BR'!C:C)=max(if('Operações-BR'!C:C=A33,row('Operações-BR'!C:C),0)))) ,1)),"""")"),"")</f>
        <v/>
      </c>
      <c r="F33" s="228" t="str">
        <f t="shared" si="2"/>
        <v/>
      </c>
      <c r="G33" s="228" t="str">
        <f>IF(A33&lt;&gt;"",SUMIF(Proventos!$A$2:$A100,A33,Proventos!$H$2:$H100),"")</f>
        <v/>
      </c>
      <c r="H33" s="228" t="str">
        <f t="shared" si="3"/>
        <v/>
      </c>
      <c r="I33" s="228" t="str">
        <f t="shared" si="4"/>
        <v/>
      </c>
      <c r="J33" s="228" t="str">
        <f t="shared" si="5"/>
        <v/>
      </c>
      <c r="K33" s="229" t="str">
        <f t="shared" si="6"/>
        <v/>
      </c>
      <c r="L33" s="229" t="str">
        <f t="shared" si="7"/>
        <v/>
      </c>
      <c r="M33" s="229" t="str">
        <f t="shared" si="8"/>
        <v/>
      </c>
      <c r="N33" s="229" t="str">
        <f>IFERROR(VLOOKUP(A33,DataCarteira!A30:K100,9,),"")</f>
        <v/>
      </c>
    </row>
    <row r="34" ht="30.75" customHeight="1">
      <c r="A34" s="221"/>
      <c r="B34" s="226" t="str">
        <f>IFERROR(VLOOKUP(A34,DataCarteira!A:B,2,),"")</f>
        <v/>
      </c>
      <c r="C34" s="227" t="str">
        <f>IFERROR(__xludf.DUMMYFUNCTION("IFERROR(IF(N34=Data!$A$11,INDEX(arrayformula(filter('Operações-Criptos'!H:H,'Operações-Criptos'!C:C&lt;&gt;"""",row('Operações-Criptos'!C:C)=max(if('Operações-Criptos'!C:C=A34,row('Operações-Criptos'!C:C),0)))),1),
INDEX(arrayformula(filter('Operações-BR'!M:M,'"&amp;"Operações-BR'!C:C&lt;&gt;"""",row('Operações-BR'!C:C)=max(if('Operações-BR'!C:C=A34,row('Operações-BR'!C:C),0)))) ,1)),"""")"),"")</f>
        <v/>
      </c>
      <c r="D34" s="228" t="str">
        <f t="shared" si="1"/>
        <v/>
      </c>
      <c r="E34" s="228" t="str">
        <f>IFERROR(__xludf.DUMMYFUNCTION("IFERROR(IF(N34=Data!$A$11,INDEX(arrayformula(filter('Operações-Criptos'!L:L,'Operações-Criptos'!C:C&lt;&gt;"""",row('Operações-Criptos'!C:C)=max(if('Operações-Criptos'!C:C=A34,row('Operações-Criptos'!C:C),0)))),1),
INDEX(arrayformula(filter('Operações-BR'!Q:Q,'"&amp;"Operações-BR'!C:C&lt;&gt;"""",row('Operações-BR'!C:C)=max(if('Operações-BR'!C:C=A34,row('Operações-BR'!C:C),0)))) ,1)),"""")"),"")</f>
        <v/>
      </c>
      <c r="F34" s="228" t="str">
        <f t="shared" si="2"/>
        <v/>
      </c>
      <c r="G34" s="228" t="str">
        <f>IF(A34&lt;&gt;"",SUMIF(Proventos!$A$2:$A100,A34,Proventos!$H$2:$H100),"")</f>
        <v/>
      </c>
      <c r="H34" s="228" t="str">
        <f t="shared" si="3"/>
        <v/>
      </c>
      <c r="I34" s="228" t="str">
        <f t="shared" si="4"/>
        <v/>
      </c>
      <c r="J34" s="228" t="str">
        <f t="shared" si="5"/>
        <v/>
      </c>
      <c r="K34" s="229" t="str">
        <f t="shared" si="6"/>
        <v/>
      </c>
      <c r="L34" s="229" t="str">
        <f t="shared" si="7"/>
        <v/>
      </c>
      <c r="M34" s="229" t="str">
        <f t="shared" si="8"/>
        <v/>
      </c>
      <c r="N34" s="229" t="str">
        <f>IFERROR(VLOOKUP(A34,DataCarteira!A31:K100,9,),"")</f>
        <v/>
      </c>
    </row>
    <row r="35" ht="30.75" customHeight="1">
      <c r="A35" s="221"/>
      <c r="B35" s="226" t="str">
        <f>IFERROR(VLOOKUP(A35,DataCarteira!A:B,2,),"")</f>
        <v/>
      </c>
      <c r="C35" s="227" t="str">
        <f>IFERROR(__xludf.DUMMYFUNCTION("IFERROR(IF(N35=Data!$A$11,INDEX(arrayformula(filter('Operações-Criptos'!H:H,'Operações-Criptos'!C:C&lt;&gt;"""",row('Operações-Criptos'!C:C)=max(if('Operações-Criptos'!C:C=A35,row('Operações-Criptos'!C:C),0)))),1),
INDEX(arrayformula(filter('Operações-BR'!M:M,'"&amp;"Operações-BR'!C:C&lt;&gt;"""",row('Operações-BR'!C:C)=max(if('Operações-BR'!C:C=A35,row('Operações-BR'!C:C),0)))) ,1)),"""")"),"")</f>
        <v/>
      </c>
      <c r="D35" s="228" t="str">
        <f t="shared" si="1"/>
        <v/>
      </c>
      <c r="E35" s="228" t="str">
        <f>IFERROR(__xludf.DUMMYFUNCTION("IFERROR(IF(N35=Data!$A$11,INDEX(arrayformula(filter('Operações-Criptos'!L:L,'Operações-Criptos'!C:C&lt;&gt;"""",row('Operações-Criptos'!C:C)=max(if('Operações-Criptos'!C:C=A35,row('Operações-Criptos'!C:C),0)))),1),
INDEX(arrayformula(filter('Operações-BR'!Q:Q,'"&amp;"Operações-BR'!C:C&lt;&gt;"""",row('Operações-BR'!C:C)=max(if('Operações-BR'!C:C=A35,row('Operações-BR'!C:C),0)))) ,1)),"""")"),"")</f>
        <v/>
      </c>
      <c r="F35" s="228" t="str">
        <f t="shared" si="2"/>
        <v/>
      </c>
      <c r="G35" s="228" t="str">
        <f>IF(A35&lt;&gt;"",SUMIF(Proventos!$A$2:$A100,A35,Proventos!$H$2:$H100),"")</f>
        <v/>
      </c>
      <c r="H35" s="228" t="str">
        <f t="shared" si="3"/>
        <v/>
      </c>
      <c r="I35" s="228" t="str">
        <f t="shared" si="4"/>
        <v/>
      </c>
      <c r="J35" s="228" t="str">
        <f t="shared" si="5"/>
        <v/>
      </c>
      <c r="K35" s="229" t="str">
        <f t="shared" si="6"/>
        <v/>
      </c>
      <c r="L35" s="229" t="str">
        <f t="shared" si="7"/>
        <v/>
      </c>
      <c r="M35" s="229" t="str">
        <f t="shared" si="8"/>
        <v/>
      </c>
      <c r="N35" s="229" t="str">
        <f>IFERROR(VLOOKUP(A35,DataCarteira!A32:K100,9,),"")</f>
        <v/>
      </c>
    </row>
    <row r="36" ht="30.75" customHeight="1">
      <c r="A36" s="221"/>
      <c r="B36" s="226" t="str">
        <f>IFERROR(VLOOKUP(A36,DataCarteira!A:B,2,),"")</f>
        <v/>
      </c>
      <c r="C36" s="227" t="str">
        <f>IFERROR(__xludf.DUMMYFUNCTION("IFERROR(IF(N36=Data!$A$11,INDEX(arrayformula(filter('Operações-Criptos'!H:H,'Operações-Criptos'!C:C&lt;&gt;"""",row('Operações-Criptos'!C:C)=max(if('Operações-Criptos'!C:C=A36,row('Operações-Criptos'!C:C),0)))),1),
INDEX(arrayformula(filter('Operações-BR'!M:M,'"&amp;"Operações-BR'!C:C&lt;&gt;"""",row('Operações-BR'!C:C)=max(if('Operações-BR'!C:C=A36,row('Operações-BR'!C:C),0)))) ,1)),"""")"),"")</f>
        <v/>
      </c>
      <c r="D36" s="228" t="str">
        <f t="shared" si="1"/>
        <v/>
      </c>
      <c r="E36" s="228" t="str">
        <f>IFERROR(__xludf.DUMMYFUNCTION("IFERROR(IF(N36=Data!$A$11,INDEX(arrayformula(filter('Operações-Criptos'!L:L,'Operações-Criptos'!C:C&lt;&gt;"""",row('Operações-Criptos'!C:C)=max(if('Operações-Criptos'!C:C=A36,row('Operações-Criptos'!C:C),0)))),1),
INDEX(arrayformula(filter('Operações-BR'!Q:Q,'"&amp;"Operações-BR'!C:C&lt;&gt;"""",row('Operações-BR'!C:C)=max(if('Operações-BR'!C:C=A36,row('Operações-BR'!C:C),0)))) ,1)),"""")"),"")</f>
        <v/>
      </c>
      <c r="F36" s="228" t="str">
        <f t="shared" si="2"/>
        <v/>
      </c>
      <c r="G36" s="228" t="str">
        <f>IF(A36&lt;&gt;"",SUMIF(Proventos!$A$2:$A100,A36,Proventos!$H$2:$H100),"")</f>
        <v/>
      </c>
      <c r="H36" s="228" t="str">
        <f t="shared" si="3"/>
        <v/>
      </c>
      <c r="I36" s="228" t="str">
        <f t="shared" si="4"/>
        <v/>
      </c>
      <c r="J36" s="228" t="str">
        <f t="shared" si="5"/>
        <v/>
      </c>
      <c r="K36" s="229" t="str">
        <f t="shared" si="6"/>
        <v/>
      </c>
      <c r="L36" s="229" t="str">
        <f t="shared" si="7"/>
        <v/>
      </c>
      <c r="M36" s="229" t="str">
        <f t="shared" si="8"/>
        <v/>
      </c>
      <c r="N36" s="229" t="str">
        <f>IFERROR(VLOOKUP(A36,DataCarteira!A33:K100,9,),"")</f>
        <v/>
      </c>
    </row>
    <row r="37" ht="30.75" customHeight="1">
      <c r="A37" s="221"/>
      <c r="B37" s="226" t="str">
        <f>IFERROR(VLOOKUP(A37,DataCarteira!A:B,2,),"")</f>
        <v/>
      </c>
      <c r="C37" s="227" t="str">
        <f>IFERROR(__xludf.DUMMYFUNCTION("IFERROR(IF(N37=Data!$A$11,INDEX(arrayformula(filter('Operações-Criptos'!H:H,'Operações-Criptos'!C:C&lt;&gt;"""",row('Operações-Criptos'!C:C)=max(if('Operações-Criptos'!C:C=A37,row('Operações-Criptos'!C:C),0)))),1),
INDEX(arrayformula(filter('Operações-BR'!M:M,'"&amp;"Operações-BR'!C:C&lt;&gt;"""",row('Operações-BR'!C:C)=max(if('Operações-BR'!C:C=A37,row('Operações-BR'!C:C),0)))) ,1)),"""")"),"")</f>
        <v/>
      </c>
      <c r="D37" s="228" t="str">
        <f t="shared" si="1"/>
        <v/>
      </c>
      <c r="E37" s="228" t="str">
        <f>IFERROR(__xludf.DUMMYFUNCTION("IFERROR(IF(N37=Data!$A$11,INDEX(arrayformula(filter('Operações-Criptos'!L:L,'Operações-Criptos'!C:C&lt;&gt;"""",row('Operações-Criptos'!C:C)=max(if('Operações-Criptos'!C:C=A37,row('Operações-Criptos'!C:C),0)))),1),
INDEX(arrayformula(filter('Operações-BR'!Q:Q,'"&amp;"Operações-BR'!C:C&lt;&gt;"""",row('Operações-BR'!C:C)=max(if('Operações-BR'!C:C=A37,row('Operações-BR'!C:C),0)))) ,1)),"""")"),"")</f>
        <v/>
      </c>
      <c r="F37" s="228" t="str">
        <f t="shared" si="2"/>
        <v/>
      </c>
      <c r="G37" s="228" t="str">
        <f>IF(A37&lt;&gt;"",SUMIF(Proventos!$A$2:$A100,A37,Proventos!$H$2:$H100),"")</f>
        <v/>
      </c>
      <c r="H37" s="228" t="str">
        <f t="shared" si="3"/>
        <v/>
      </c>
      <c r="I37" s="228" t="str">
        <f t="shared" si="4"/>
        <v/>
      </c>
      <c r="J37" s="228" t="str">
        <f t="shared" si="5"/>
        <v/>
      </c>
      <c r="K37" s="229" t="str">
        <f t="shared" si="6"/>
        <v/>
      </c>
      <c r="L37" s="229" t="str">
        <f t="shared" si="7"/>
        <v/>
      </c>
      <c r="M37" s="229" t="str">
        <f t="shared" si="8"/>
        <v/>
      </c>
      <c r="N37" s="229" t="str">
        <f>IFERROR(VLOOKUP(A37,DataCarteira!A34:K100,9,),"")</f>
        <v/>
      </c>
    </row>
    <row r="38" ht="30.75" customHeight="1">
      <c r="A38" s="221"/>
      <c r="B38" s="226" t="str">
        <f>IFERROR(VLOOKUP(A38,DataCarteira!A:B,2,),"")</f>
        <v/>
      </c>
      <c r="C38" s="227" t="str">
        <f>IFERROR(__xludf.DUMMYFUNCTION("IFERROR(IF(N38=Data!$A$11,INDEX(arrayformula(filter('Operações-Criptos'!H:H,'Operações-Criptos'!C:C&lt;&gt;"""",row('Operações-Criptos'!C:C)=max(if('Operações-Criptos'!C:C=A38,row('Operações-Criptos'!C:C),0)))),1),
INDEX(arrayformula(filter('Operações-BR'!M:M,'"&amp;"Operações-BR'!C:C&lt;&gt;"""",row('Operações-BR'!C:C)=max(if('Operações-BR'!C:C=A38,row('Operações-BR'!C:C),0)))) ,1)),"""")"),"")</f>
        <v/>
      </c>
      <c r="D38" s="228" t="str">
        <f t="shared" si="1"/>
        <v/>
      </c>
      <c r="E38" s="228" t="str">
        <f>IFERROR(__xludf.DUMMYFUNCTION("IFERROR(IF(N38=Data!$A$11,INDEX(arrayformula(filter('Operações-Criptos'!L:L,'Operações-Criptos'!C:C&lt;&gt;"""",row('Operações-Criptos'!C:C)=max(if('Operações-Criptos'!C:C=A38,row('Operações-Criptos'!C:C),0)))),1),
INDEX(arrayformula(filter('Operações-BR'!Q:Q,'"&amp;"Operações-BR'!C:C&lt;&gt;"""",row('Operações-BR'!C:C)=max(if('Operações-BR'!C:C=A38,row('Operações-BR'!C:C),0)))) ,1)),"""")"),"")</f>
        <v/>
      </c>
      <c r="F38" s="228" t="str">
        <f t="shared" si="2"/>
        <v/>
      </c>
      <c r="G38" s="228" t="str">
        <f>IF(A38&lt;&gt;"",SUMIF(Proventos!$A$2:$A100,A38,Proventos!$H$2:$H100),"")</f>
        <v/>
      </c>
      <c r="H38" s="228" t="str">
        <f t="shared" si="3"/>
        <v/>
      </c>
      <c r="I38" s="228" t="str">
        <f t="shared" si="4"/>
        <v/>
      </c>
      <c r="J38" s="228" t="str">
        <f t="shared" si="5"/>
        <v/>
      </c>
      <c r="K38" s="229" t="str">
        <f t="shared" si="6"/>
        <v/>
      </c>
      <c r="L38" s="229" t="str">
        <f t="shared" si="7"/>
        <v/>
      </c>
      <c r="M38" s="229" t="str">
        <f t="shared" si="8"/>
        <v/>
      </c>
      <c r="N38" s="229" t="str">
        <f>IFERROR(VLOOKUP(A38,DataCarteira!A35:K100,9,),"")</f>
        <v/>
      </c>
    </row>
    <row r="39" ht="30.75" customHeight="1">
      <c r="A39" s="221"/>
      <c r="B39" s="226" t="str">
        <f>IFERROR(VLOOKUP(A39,DataCarteira!A:B,2,),"")</f>
        <v/>
      </c>
      <c r="C39" s="227" t="str">
        <f>IFERROR(__xludf.DUMMYFUNCTION("IFERROR(IF(N39=Data!$A$11,INDEX(arrayformula(filter('Operações-Criptos'!H:H,'Operações-Criptos'!C:C&lt;&gt;"""",row('Operações-Criptos'!C:C)=max(if('Operações-Criptos'!C:C=A39,row('Operações-Criptos'!C:C),0)))),1),
INDEX(arrayformula(filter('Operações-BR'!M:M,'"&amp;"Operações-BR'!C:C&lt;&gt;"""",row('Operações-BR'!C:C)=max(if('Operações-BR'!C:C=A39,row('Operações-BR'!C:C),0)))) ,1)),"""")"),"")</f>
        <v/>
      </c>
      <c r="D39" s="228" t="str">
        <f t="shared" si="1"/>
        <v/>
      </c>
      <c r="E39" s="228" t="str">
        <f>IFERROR(__xludf.DUMMYFUNCTION("IFERROR(IF(N39=Data!$A$11,INDEX(arrayformula(filter('Operações-Criptos'!L:L,'Operações-Criptos'!C:C&lt;&gt;"""",row('Operações-Criptos'!C:C)=max(if('Operações-Criptos'!C:C=A39,row('Operações-Criptos'!C:C),0)))),1),
INDEX(arrayformula(filter('Operações-BR'!Q:Q,'"&amp;"Operações-BR'!C:C&lt;&gt;"""",row('Operações-BR'!C:C)=max(if('Operações-BR'!C:C=A39,row('Operações-BR'!C:C),0)))) ,1)),"""")"),"")</f>
        <v/>
      </c>
      <c r="F39" s="228" t="str">
        <f t="shared" si="2"/>
        <v/>
      </c>
      <c r="G39" s="228" t="str">
        <f>IF(A39&lt;&gt;"",SUMIF(Proventos!$A$2:$A100,A39,Proventos!$H$2:$H100),"")</f>
        <v/>
      </c>
      <c r="H39" s="228" t="str">
        <f t="shared" si="3"/>
        <v/>
      </c>
      <c r="I39" s="228" t="str">
        <f t="shared" si="4"/>
        <v/>
      </c>
      <c r="J39" s="228" t="str">
        <f t="shared" si="5"/>
        <v/>
      </c>
      <c r="K39" s="229" t="str">
        <f t="shared" si="6"/>
        <v/>
      </c>
      <c r="L39" s="229" t="str">
        <f t="shared" si="7"/>
        <v/>
      </c>
      <c r="M39" s="229" t="str">
        <f t="shared" si="8"/>
        <v/>
      </c>
      <c r="N39" s="229" t="str">
        <f>IFERROR(VLOOKUP(A39,DataCarteira!A36:K100,9,),"")</f>
        <v/>
      </c>
    </row>
    <row r="40" ht="30.75" customHeight="1">
      <c r="A40" s="221"/>
      <c r="B40" s="226" t="str">
        <f>IFERROR(VLOOKUP(A40,DataCarteira!A:B,2,),"")</f>
        <v/>
      </c>
      <c r="C40" s="227" t="str">
        <f>IFERROR(__xludf.DUMMYFUNCTION("IFERROR(IF(N40=Data!$A$11,INDEX(arrayformula(filter('Operações-Criptos'!H:H,'Operações-Criptos'!C:C&lt;&gt;"""",row('Operações-Criptos'!C:C)=max(if('Operações-Criptos'!C:C=A40,row('Operações-Criptos'!C:C),0)))),1),
INDEX(arrayformula(filter('Operações-BR'!M:M,'"&amp;"Operações-BR'!C:C&lt;&gt;"""",row('Operações-BR'!C:C)=max(if('Operações-BR'!C:C=A40,row('Operações-BR'!C:C),0)))) ,1)),"""")"),"")</f>
        <v/>
      </c>
      <c r="D40" s="228" t="str">
        <f t="shared" si="1"/>
        <v/>
      </c>
      <c r="E40" s="228" t="str">
        <f>IFERROR(__xludf.DUMMYFUNCTION("IFERROR(IF(N40=Data!$A$11,INDEX(arrayformula(filter('Operações-Criptos'!L:L,'Operações-Criptos'!C:C&lt;&gt;"""",row('Operações-Criptos'!C:C)=max(if('Operações-Criptos'!C:C=A40,row('Operações-Criptos'!C:C),0)))),1),
INDEX(arrayformula(filter('Operações-BR'!Q:Q,'"&amp;"Operações-BR'!C:C&lt;&gt;"""",row('Operações-BR'!C:C)=max(if('Operações-BR'!C:C=A40,row('Operações-BR'!C:C),0)))) ,1)),"""")"),"")</f>
        <v/>
      </c>
      <c r="F40" s="228" t="str">
        <f t="shared" si="2"/>
        <v/>
      </c>
      <c r="G40" s="228" t="str">
        <f>IF(A40&lt;&gt;"",SUMIF(Proventos!$A$2:$A100,A40,Proventos!$H$2:$H100),"")</f>
        <v/>
      </c>
      <c r="H40" s="228" t="str">
        <f t="shared" si="3"/>
        <v/>
      </c>
      <c r="I40" s="228" t="str">
        <f t="shared" si="4"/>
        <v/>
      </c>
      <c r="J40" s="228" t="str">
        <f t="shared" si="5"/>
        <v/>
      </c>
      <c r="K40" s="229" t="str">
        <f t="shared" si="6"/>
        <v/>
      </c>
      <c r="L40" s="229" t="str">
        <f t="shared" si="7"/>
        <v/>
      </c>
      <c r="M40" s="229" t="str">
        <f t="shared" si="8"/>
        <v/>
      </c>
      <c r="N40" s="229" t="str">
        <f>IFERROR(VLOOKUP(A40,DataCarteira!A37:K100,9,),"")</f>
        <v/>
      </c>
    </row>
    <row r="41" ht="30.75" customHeight="1">
      <c r="A41" s="221"/>
      <c r="B41" s="226" t="str">
        <f>IFERROR(VLOOKUP(A41,DataCarteira!A:B,2,),"")</f>
        <v/>
      </c>
      <c r="C41" s="227" t="str">
        <f>IFERROR(__xludf.DUMMYFUNCTION("IFERROR(IF(N41=Data!$A$11,INDEX(arrayformula(filter('Operações-Criptos'!H:H,'Operações-Criptos'!C:C&lt;&gt;"""",row('Operações-Criptos'!C:C)=max(if('Operações-Criptos'!C:C=A41,row('Operações-Criptos'!C:C),0)))),1),
INDEX(arrayformula(filter('Operações-BR'!M:M,'"&amp;"Operações-BR'!C:C&lt;&gt;"""",row('Operações-BR'!C:C)=max(if('Operações-BR'!C:C=A41,row('Operações-BR'!C:C),0)))) ,1)),"""")"),"")</f>
        <v/>
      </c>
      <c r="D41" s="228" t="str">
        <f t="shared" si="1"/>
        <v/>
      </c>
      <c r="E41" s="228" t="str">
        <f>IFERROR(__xludf.DUMMYFUNCTION("IFERROR(IF(N41=Data!$A$11,INDEX(arrayformula(filter('Operações-Criptos'!L:L,'Operações-Criptos'!C:C&lt;&gt;"""",row('Operações-Criptos'!C:C)=max(if('Operações-Criptos'!C:C=A41,row('Operações-Criptos'!C:C),0)))),1),
INDEX(arrayformula(filter('Operações-BR'!Q:Q,'"&amp;"Operações-BR'!C:C&lt;&gt;"""",row('Operações-BR'!C:C)=max(if('Operações-BR'!C:C=A41,row('Operações-BR'!C:C),0)))) ,1)),"""")"),"")</f>
        <v/>
      </c>
      <c r="F41" s="228" t="str">
        <f t="shared" si="2"/>
        <v/>
      </c>
      <c r="G41" s="228" t="str">
        <f>IF(A41&lt;&gt;"",SUMIF(Proventos!$A$2:$A100,A41,Proventos!$H$2:$H100),"")</f>
        <v/>
      </c>
      <c r="H41" s="228" t="str">
        <f t="shared" si="3"/>
        <v/>
      </c>
      <c r="I41" s="228" t="str">
        <f t="shared" si="4"/>
        <v/>
      </c>
      <c r="J41" s="228" t="str">
        <f t="shared" si="5"/>
        <v/>
      </c>
      <c r="K41" s="229" t="str">
        <f t="shared" si="6"/>
        <v/>
      </c>
      <c r="L41" s="229" t="str">
        <f t="shared" si="7"/>
        <v/>
      </c>
      <c r="M41" s="229" t="str">
        <f t="shared" si="8"/>
        <v/>
      </c>
      <c r="N41" s="229" t="str">
        <f>IFERROR(VLOOKUP(A41,DataCarteira!A38:K100,9,),"")</f>
        <v/>
      </c>
    </row>
    <row r="42" ht="30.75" customHeight="1">
      <c r="A42" s="221"/>
      <c r="B42" s="226" t="str">
        <f>IFERROR(VLOOKUP(A42,DataCarteira!A:B,2,),"")</f>
        <v/>
      </c>
      <c r="C42" s="227" t="str">
        <f>IFERROR(__xludf.DUMMYFUNCTION("IFERROR(IF(N42=Data!$A$11,INDEX(arrayformula(filter('Operações-Criptos'!H:H,'Operações-Criptos'!C:C&lt;&gt;"""",row('Operações-Criptos'!C:C)=max(if('Operações-Criptos'!C:C=A42,row('Operações-Criptos'!C:C),0)))),1),
INDEX(arrayformula(filter('Operações-BR'!M:M,'"&amp;"Operações-BR'!C:C&lt;&gt;"""",row('Operações-BR'!C:C)=max(if('Operações-BR'!C:C=A42,row('Operações-BR'!C:C),0)))) ,1)),"""")"),"")</f>
        <v/>
      </c>
      <c r="D42" s="228" t="str">
        <f t="shared" si="1"/>
        <v/>
      </c>
      <c r="E42" s="228" t="str">
        <f>IFERROR(__xludf.DUMMYFUNCTION("IFERROR(IF(N42=Data!$A$11,INDEX(arrayformula(filter('Operações-Criptos'!L:L,'Operações-Criptos'!C:C&lt;&gt;"""",row('Operações-Criptos'!C:C)=max(if('Operações-Criptos'!C:C=A42,row('Operações-Criptos'!C:C),0)))),1),
INDEX(arrayformula(filter('Operações-BR'!Q:Q,'"&amp;"Operações-BR'!C:C&lt;&gt;"""",row('Operações-BR'!C:C)=max(if('Operações-BR'!C:C=A42,row('Operações-BR'!C:C),0)))) ,1)),"""")"),"")</f>
        <v/>
      </c>
      <c r="F42" s="228" t="str">
        <f t="shared" si="2"/>
        <v/>
      </c>
      <c r="G42" s="228" t="str">
        <f>IF(A42&lt;&gt;"",SUMIF(Proventos!$A$2:$A100,A42,Proventos!$H$2:$H100),"")</f>
        <v/>
      </c>
      <c r="H42" s="228" t="str">
        <f t="shared" si="3"/>
        <v/>
      </c>
      <c r="I42" s="228" t="str">
        <f t="shared" si="4"/>
        <v/>
      </c>
      <c r="J42" s="228" t="str">
        <f t="shared" si="5"/>
        <v/>
      </c>
      <c r="K42" s="229" t="str">
        <f t="shared" si="6"/>
        <v/>
      </c>
      <c r="L42" s="229" t="str">
        <f t="shared" si="7"/>
        <v/>
      </c>
      <c r="M42" s="229" t="str">
        <f t="shared" si="8"/>
        <v/>
      </c>
      <c r="N42" s="229" t="str">
        <f>IFERROR(VLOOKUP(A42,DataCarteira!A39:K100,9,),"")</f>
        <v/>
      </c>
    </row>
    <row r="43" ht="30.75" customHeight="1">
      <c r="A43" s="221"/>
      <c r="B43" s="226" t="str">
        <f>IFERROR(VLOOKUP(A43,DataCarteira!A:B,2,),"")</f>
        <v/>
      </c>
      <c r="C43" s="227" t="str">
        <f>IFERROR(__xludf.DUMMYFUNCTION("IFERROR(IF(N43=Data!$A$11,INDEX(arrayformula(filter('Operações-Criptos'!H:H,'Operações-Criptos'!C:C&lt;&gt;"""",row('Operações-Criptos'!C:C)=max(if('Operações-Criptos'!C:C=A43,row('Operações-Criptos'!C:C),0)))),1),
INDEX(arrayformula(filter('Operações-BR'!M:M,'"&amp;"Operações-BR'!C:C&lt;&gt;"""",row('Operações-BR'!C:C)=max(if('Operações-BR'!C:C=A43,row('Operações-BR'!C:C),0)))) ,1)),"""")"),"")</f>
        <v/>
      </c>
      <c r="D43" s="228" t="str">
        <f t="shared" si="1"/>
        <v/>
      </c>
      <c r="E43" s="228" t="str">
        <f>IFERROR(__xludf.DUMMYFUNCTION("IFERROR(IF(N43=Data!$A$11,INDEX(arrayformula(filter('Operações-Criptos'!L:L,'Operações-Criptos'!C:C&lt;&gt;"""",row('Operações-Criptos'!C:C)=max(if('Operações-Criptos'!C:C=A43,row('Operações-Criptos'!C:C),0)))),1),
INDEX(arrayformula(filter('Operações-BR'!Q:Q,'"&amp;"Operações-BR'!C:C&lt;&gt;"""",row('Operações-BR'!C:C)=max(if('Operações-BR'!C:C=A43,row('Operações-BR'!C:C),0)))) ,1)),"""")"),"")</f>
        <v/>
      </c>
      <c r="F43" s="228" t="str">
        <f t="shared" si="2"/>
        <v/>
      </c>
      <c r="G43" s="228" t="str">
        <f>IF(A43&lt;&gt;"",SUMIF(Proventos!$A$2:$A100,A43,Proventos!$H$2:$H100),"")</f>
        <v/>
      </c>
      <c r="H43" s="228" t="str">
        <f t="shared" si="3"/>
        <v/>
      </c>
      <c r="I43" s="228" t="str">
        <f t="shared" si="4"/>
        <v/>
      </c>
      <c r="J43" s="228" t="str">
        <f t="shared" si="5"/>
        <v/>
      </c>
      <c r="K43" s="229" t="str">
        <f t="shared" si="6"/>
        <v/>
      </c>
      <c r="L43" s="229" t="str">
        <f t="shared" si="7"/>
        <v/>
      </c>
      <c r="M43" s="229" t="str">
        <f t="shared" si="8"/>
        <v/>
      </c>
      <c r="N43" s="229" t="str">
        <f>IFERROR(VLOOKUP(A43,DataCarteira!A40:K100,9,),"")</f>
        <v/>
      </c>
    </row>
    <row r="44" ht="30.75" customHeight="1">
      <c r="A44" s="221"/>
      <c r="B44" s="226" t="str">
        <f>IFERROR(VLOOKUP(A44,DataCarteira!A:B,2,),"")</f>
        <v/>
      </c>
      <c r="C44" s="227" t="str">
        <f>IFERROR(__xludf.DUMMYFUNCTION("IFERROR(IF(N44=Data!$A$11,INDEX(arrayformula(filter('Operações-Criptos'!H:H,'Operações-Criptos'!C:C&lt;&gt;"""",row('Operações-Criptos'!C:C)=max(if('Operações-Criptos'!C:C=A44,row('Operações-Criptos'!C:C),0)))),1),
INDEX(arrayformula(filter('Operações-BR'!M:M,'"&amp;"Operações-BR'!C:C&lt;&gt;"""",row('Operações-BR'!C:C)=max(if('Operações-BR'!C:C=A44,row('Operações-BR'!C:C),0)))) ,1)),"""")"),"")</f>
        <v/>
      </c>
      <c r="D44" s="228" t="str">
        <f t="shared" si="1"/>
        <v/>
      </c>
      <c r="E44" s="228" t="str">
        <f>IFERROR(__xludf.DUMMYFUNCTION("IFERROR(IF(N44=Data!$A$11,INDEX(arrayformula(filter('Operações-Criptos'!L:L,'Operações-Criptos'!C:C&lt;&gt;"""",row('Operações-Criptos'!C:C)=max(if('Operações-Criptos'!C:C=A44,row('Operações-Criptos'!C:C),0)))),1),
INDEX(arrayformula(filter('Operações-BR'!Q:Q,'"&amp;"Operações-BR'!C:C&lt;&gt;"""",row('Operações-BR'!C:C)=max(if('Operações-BR'!C:C=A44,row('Operações-BR'!C:C),0)))) ,1)),"""")"),"")</f>
        <v/>
      </c>
      <c r="F44" s="228" t="str">
        <f t="shared" si="2"/>
        <v/>
      </c>
      <c r="G44" s="228" t="str">
        <f>IF(A44&lt;&gt;"",SUMIF(Proventos!$A$2:$A100,A44,Proventos!$H$2:$H100),"")</f>
        <v/>
      </c>
      <c r="H44" s="228" t="str">
        <f t="shared" si="3"/>
        <v/>
      </c>
      <c r="I44" s="228" t="str">
        <f t="shared" si="4"/>
        <v/>
      </c>
      <c r="J44" s="228" t="str">
        <f t="shared" si="5"/>
        <v/>
      </c>
      <c r="K44" s="229" t="str">
        <f t="shared" si="6"/>
        <v/>
      </c>
      <c r="L44" s="229" t="str">
        <f t="shared" si="7"/>
        <v/>
      </c>
      <c r="M44" s="229" t="str">
        <f t="shared" si="8"/>
        <v/>
      </c>
      <c r="N44" s="229" t="str">
        <f>IFERROR(VLOOKUP(A44,DataCarteira!A41:K100,9,),"")</f>
        <v/>
      </c>
    </row>
    <row r="45" ht="30.75" customHeight="1">
      <c r="A45" s="221"/>
      <c r="B45" s="226" t="str">
        <f>IFERROR(VLOOKUP(A45,DataCarteira!A:B,2,),"")</f>
        <v/>
      </c>
      <c r="C45" s="227" t="str">
        <f>IFERROR(__xludf.DUMMYFUNCTION("IFERROR(IF(N45=Data!$A$11,INDEX(arrayformula(filter('Operações-Criptos'!H:H,'Operações-Criptos'!C:C&lt;&gt;"""",row('Operações-Criptos'!C:C)=max(if('Operações-Criptos'!C:C=A45,row('Operações-Criptos'!C:C),0)))),1),
INDEX(arrayformula(filter('Operações-BR'!M:M,'"&amp;"Operações-BR'!C:C&lt;&gt;"""",row('Operações-BR'!C:C)=max(if('Operações-BR'!C:C=A45,row('Operações-BR'!C:C),0)))) ,1)),"""")"),"")</f>
        <v/>
      </c>
      <c r="D45" s="228" t="str">
        <f t="shared" si="1"/>
        <v/>
      </c>
      <c r="E45" s="228" t="str">
        <f>IFERROR(__xludf.DUMMYFUNCTION("IFERROR(IF(N45=Data!$A$11,INDEX(arrayformula(filter('Operações-Criptos'!L:L,'Operações-Criptos'!C:C&lt;&gt;"""",row('Operações-Criptos'!C:C)=max(if('Operações-Criptos'!C:C=A45,row('Operações-Criptos'!C:C),0)))),1),
INDEX(arrayformula(filter('Operações-BR'!Q:Q,'"&amp;"Operações-BR'!C:C&lt;&gt;"""",row('Operações-BR'!C:C)=max(if('Operações-BR'!C:C=A45,row('Operações-BR'!C:C),0)))) ,1)),"""")"),"")</f>
        <v/>
      </c>
      <c r="F45" s="228" t="str">
        <f t="shared" si="2"/>
        <v/>
      </c>
      <c r="G45" s="228" t="str">
        <f>IF(A45&lt;&gt;"",SUMIF(Proventos!$A$2:$A100,A45,Proventos!$H$2:$H100),"")</f>
        <v/>
      </c>
      <c r="H45" s="228" t="str">
        <f t="shared" si="3"/>
        <v/>
      </c>
      <c r="I45" s="228" t="str">
        <f t="shared" si="4"/>
        <v/>
      </c>
      <c r="J45" s="228" t="str">
        <f t="shared" si="5"/>
        <v/>
      </c>
      <c r="K45" s="229" t="str">
        <f t="shared" si="6"/>
        <v/>
      </c>
      <c r="L45" s="229" t="str">
        <f t="shared" si="7"/>
        <v/>
      </c>
      <c r="M45" s="229" t="str">
        <f t="shared" si="8"/>
        <v/>
      </c>
      <c r="N45" s="229" t="str">
        <f>IFERROR(VLOOKUP(A45,DataCarteira!A42:K100,9,),"")</f>
        <v/>
      </c>
    </row>
    <row r="46" ht="30.75" customHeight="1">
      <c r="A46" s="221"/>
      <c r="B46" s="226" t="str">
        <f>IFERROR(VLOOKUP(A46,DataCarteira!A:B,2,),"")</f>
        <v/>
      </c>
      <c r="C46" s="227" t="str">
        <f>IFERROR(__xludf.DUMMYFUNCTION("IFERROR(IF(N46=Data!$A$11,INDEX(arrayformula(filter('Operações-Criptos'!H:H,'Operações-Criptos'!C:C&lt;&gt;"""",row('Operações-Criptos'!C:C)=max(if('Operações-Criptos'!C:C=A46,row('Operações-Criptos'!C:C),0)))),1),
INDEX(arrayformula(filter('Operações-BR'!M:M,'"&amp;"Operações-BR'!C:C&lt;&gt;"""",row('Operações-BR'!C:C)=max(if('Operações-BR'!C:C=A46,row('Operações-BR'!C:C),0)))) ,1)),"""")"),"")</f>
        <v/>
      </c>
      <c r="D46" s="228" t="str">
        <f t="shared" si="1"/>
        <v/>
      </c>
      <c r="E46" s="228" t="str">
        <f>IFERROR(__xludf.DUMMYFUNCTION("IFERROR(IF(N46=Data!$A$11,INDEX(arrayformula(filter('Operações-Criptos'!L:L,'Operações-Criptos'!C:C&lt;&gt;"""",row('Operações-Criptos'!C:C)=max(if('Operações-Criptos'!C:C=A46,row('Operações-Criptos'!C:C),0)))),1),
INDEX(arrayformula(filter('Operações-BR'!Q:Q,'"&amp;"Operações-BR'!C:C&lt;&gt;"""",row('Operações-BR'!C:C)=max(if('Operações-BR'!C:C=A46,row('Operações-BR'!C:C),0)))) ,1)),"""")"),"")</f>
        <v/>
      </c>
      <c r="F46" s="228" t="str">
        <f t="shared" si="2"/>
        <v/>
      </c>
      <c r="G46" s="228" t="str">
        <f>IF(A46&lt;&gt;"",SUMIF(Proventos!$A$2:$A100,A46,Proventos!$H$2:$H100),"")</f>
        <v/>
      </c>
      <c r="H46" s="228" t="str">
        <f t="shared" si="3"/>
        <v/>
      </c>
      <c r="I46" s="228" t="str">
        <f t="shared" si="4"/>
        <v/>
      </c>
      <c r="J46" s="228" t="str">
        <f t="shared" si="5"/>
        <v/>
      </c>
      <c r="K46" s="229" t="str">
        <f t="shared" si="6"/>
        <v/>
      </c>
      <c r="L46" s="229" t="str">
        <f t="shared" si="7"/>
        <v/>
      </c>
      <c r="M46" s="229" t="str">
        <f t="shared" si="8"/>
        <v/>
      </c>
      <c r="N46" s="229" t="str">
        <f>IFERROR(VLOOKUP(A46,DataCarteira!A43:K100,9,),"")</f>
        <v/>
      </c>
    </row>
    <row r="47" ht="30.75" customHeight="1">
      <c r="A47" s="221"/>
      <c r="B47" s="226" t="str">
        <f>IFERROR(VLOOKUP(A47,DataCarteira!A:B,2,),"")</f>
        <v/>
      </c>
      <c r="C47" s="227" t="str">
        <f>IFERROR(__xludf.DUMMYFUNCTION("IFERROR(IF(N47=Data!$A$11,INDEX(arrayformula(filter('Operações-Criptos'!H:H,'Operações-Criptos'!C:C&lt;&gt;"""",row('Operações-Criptos'!C:C)=max(if('Operações-Criptos'!C:C=A47,row('Operações-Criptos'!C:C),0)))),1),
INDEX(arrayformula(filter('Operações-BR'!M:M,'"&amp;"Operações-BR'!C:C&lt;&gt;"""",row('Operações-BR'!C:C)=max(if('Operações-BR'!C:C=A47,row('Operações-BR'!C:C),0)))) ,1)),"""")"),"")</f>
        <v/>
      </c>
      <c r="D47" s="228" t="str">
        <f t="shared" si="1"/>
        <v/>
      </c>
      <c r="E47" s="228" t="str">
        <f>IFERROR(__xludf.DUMMYFUNCTION("IFERROR(IF(N47=Data!$A$11,INDEX(arrayformula(filter('Operações-Criptos'!L:L,'Operações-Criptos'!C:C&lt;&gt;"""",row('Operações-Criptos'!C:C)=max(if('Operações-Criptos'!C:C=A47,row('Operações-Criptos'!C:C),0)))),1),
INDEX(arrayformula(filter('Operações-BR'!Q:Q,'"&amp;"Operações-BR'!C:C&lt;&gt;"""",row('Operações-BR'!C:C)=max(if('Operações-BR'!C:C=A47,row('Operações-BR'!C:C),0)))) ,1)),"""")"),"")</f>
        <v/>
      </c>
      <c r="F47" s="228" t="str">
        <f t="shared" si="2"/>
        <v/>
      </c>
      <c r="G47" s="228" t="str">
        <f>IF(A47&lt;&gt;"",SUMIF(Proventos!$A$2:$A100,A47,Proventos!$H$2:$H100),"")</f>
        <v/>
      </c>
      <c r="H47" s="228" t="str">
        <f t="shared" si="3"/>
        <v/>
      </c>
      <c r="I47" s="228" t="str">
        <f t="shared" si="4"/>
        <v/>
      </c>
      <c r="J47" s="228" t="str">
        <f t="shared" si="5"/>
        <v/>
      </c>
      <c r="K47" s="229" t="str">
        <f t="shared" si="6"/>
        <v/>
      </c>
      <c r="L47" s="229" t="str">
        <f t="shared" si="7"/>
        <v/>
      </c>
      <c r="M47" s="229" t="str">
        <f t="shared" si="8"/>
        <v/>
      </c>
      <c r="N47" s="229" t="str">
        <f>IFERROR(VLOOKUP(A47,DataCarteira!A44:K100,9,),"")</f>
        <v/>
      </c>
    </row>
    <row r="48" ht="30.75" customHeight="1">
      <c r="A48" s="221"/>
      <c r="B48" s="226" t="str">
        <f>IFERROR(VLOOKUP(A48,DataCarteira!A:B,2,),"")</f>
        <v/>
      </c>
      <c r="C48" s="227" t="str">
        <f>IFERROR(__xludf.DUMMYFUNCTION("IFERROR(IF(N48=Data!$A$11,INDEX(arrayformula(filter('Operações-Criptos'!H:H,'Operações-Criptos'!C:C&lt;&gt;"""",row('Operações-Criptos'!C:C)=max(if('Operações-Criptos'!C:C=A48,row('Operações-Criptos'!C:C),0)))),1),
INDEX(arrayformula(filter('Operações-BR'!M:M,'"&amp;"Operações-BR'!C:C&lt;&gt;"""",row('Operações-BR'!C:C)=max(if('Operações-BR'!C:C=A48,row('Operações-BR'!C:C),0)))) ,1)),"""")"),"")</f>
        <v/>
      </c>
      <c r="D48" s="228" t="str">
        <f t="shared" si="1"/>
        <v/>
      </c>
      <c r="E48" s="228" t="str">
        <f>IFERROR(__xludf.DUMMYFUNCTION("IFERROR(IF(N48=Data!$A$11,INDEX(arrayformula(filter('Operações-Criptos'!L:L,'Operações-Criptos'!C:C&lt;&gt;"""",row('Operações-Criptos'!C:C)=max(if('Operações-Criptos'!C:C=A48,row('Operações-Criptos'!C:C),0)))),1),
INDEX(arrayformula(filter('Operações-BR'!Q:Q,'"&amp;"Operações-BR'!C:C&lt;&gt;"""",row('Operações-BR'!C:C)=max(if('Operações-BR'!C:C=A48,row('Operações-BR'!C:C),0)))) ,1)),"""")"),"")</f>
        <v/>
      </c>
      <c r="F48" s="228" t="str">
        <f t="shared" si="2"/>
        <v/>
      </c>
      <c r="G48" s="228" t="str">
        <f>IF(A48&lt;&gt;"",SUMIF(Proventos!$A$2:$A100,A48,Proventos!$H$2:$H100),"")</f>
        <v/>
      </c>
      <c r="H48" s="228" t="str">
        <f t="shared" si="3"/>
        <v/>
      </c>
      <c r="I48" s="228" t="str">
        <f t="shared" si="4"/>
        <v/>
      </c>
      <c r="J48" s="228" t="str">
        <f t="shared" si="5"/>
        <v/>
      </c>
      <c r="K48" s="229" t="str">
        <f t="shared" si="6"/>
        <v/>
      </c>
      <c r="L48" s="229" t="str">
        <f t="shared" si="7"/>
        <v/>
      </c>
      <c r="M48" s="229" t="str">
        <f t="shared" si="8"/>
        <v/>
      </c>
      <c r="N48" s="229" t="str">
        <f>IFERROR(VLOOKUP(A48,DataCarteira!A45:K100,9,),"")</f>
        <v/>
      </c>
    </row>
    <row r="49" ht="30.75" customHeight="1">
      <c r="A49" s="221"/>
      <c r="B49" s="226" t="str">
        <f>IFERROR(VLOOKUP(A49,DataCarteira!A:B,2,),"")</f>
        <v/>
      </c>
      <c r="C49" s="227" t="str">
        <f>IFERROR(__xludf.DUMMYFUNCTION("IFERROR(IF(N49=Data!$A$11,INDEX(arrayformula(filter('Operações-Criptos'!H:H,'Operações-Criptos'!C:C&lt;&gt;"""",row('Operações-Criptos'!C:C)=max(if('Operações-Criptos'!C:C=A49,row('Operações-Criptos'!C:C),0)))),1),
INDEX(arrayformula(filter('Operações-BR'!M:M,'"&amp;"Operações-BR'!C:C&lt;&gt;"""",row('Operações-BR'!C:C)=max(if('Operações-BR'!C:C=A49,row('Operações-BR'!C:C),0)))) ,1)),"""")"),"")</f>
        <v/>
      </c>
      <c r="D49" s="228" t="str">
        <f t="shared" si="1"/>
        <v/>
      </c>
      <c r="E49" s="228" t="str">
        <f>IFERROR(__xludf.DUMMYFUNCTION("IFERROR(IF(N49=Data!$A$11,INDEX(arrayformula(filter('Operações-Criptos'!L:L,'Operações-Criptos'!C:C&lt;&gt;"""",row('Operações-Criptos'!C:C)=max(if('Operações-Criptos'!C:C=A49,row('Operações-Criptos'!C:C),0)))),1),
INDEX(arrayformula(filter('Operações-BR'!Q:Q,'"&amp;"Operações-BR'!C:C&lt;&gt;"""",row('Operações-BR'!C:C)=max(if('Operações-BR'!C:C=A49,row('Operações-BR'!C:C),0)))) ,1)),"""")"),"")</f>
        <v/>
      </c>
      <c r="F49" s="228" t="str">
        <f t="shared" si="2"/>
        <v/>
      </c>
      <c r="G49" s="228" t="str">
        <f>IF(A49&lt;&gt;"",SUMIF(Proventos!$A$2:$A100,A49,Proventos!$H$2:$H100),"")</f>
        <v/>
      </c>
      <c r="H49" s="228" t="str">
        <f t="shared" si="3"/>
        <v/>
      </c>
      <c r="I49" s="228" t="str">
        <f t="shared" si="4"/>
        <v/>
      </c>
      <c r="J49" s="228" t="str">
        <f t="shared" si="5"/>
        <v/>
      </c>
      <c r="K49" s="229" t="str">
        <f t="shared" si="6"/>
        <v/>
      </c>
      <c r="L49" s="229" t="str">
        <f t="shared" si="7"/>
        <v/>
      </c>
      <c r="M49" s="229" t="str">
        <f t="shared" si="8"/>
        <v/>
      </c>
      <c r="N49" s="229" t="str">
        <f>IFERROR(VLOOKUP(A49,DataCarteira!A46:K100,9,),"")</f>
        <v/>
      </c>
    </row>
    <row r="50" ht="30.75" customHeight="1">
      <c r="A50" s="221"/>
      <c r="B50" s="226" t="str">
        <f>IFERROR(VLOOKUP(A50,DataCarteira!A:B,2,),"")</f>
        <v/>
      </c>
      <c r="C50" s="227" t="str">
        <f>IFERROR(__xludf.DUMMYFUNCTION("IFERROR(IF(N50=Data!$A$11,INDEX(arrayformula(filter('Operações-Criptos'!H:H,'Operações-Criptos'!C:C&lt;&gt;"""",row('Operações-Criptos'!C:C)=max(if('Operações-Criptos'!C:C=A50,row('Operações-Criptos'!C:C),0)))),1),
INDEX(arrayformula(filter('Operações-BR'!M:M,'"&amp;"Operações-BR'!C:C&lt;&gt;"""",row('Operações-BR'!C:C)=max(if('Operações-BR'!C:C=A50,row('Operações-BR'!C:C),0)))) ,1)),"""")"),"")</f>
        <v/>
      </c>
      <c r="D50" s="228" t="str">
        <f t="shared" si="1"/>
        <v/>
      </c>
      <c r="E50" s="228" t="str">
        <f>IFERROR(__xludf.DUMMYFUNCTION("IFERROR(IF(N50=Data!$A$11,INDEX(arrayformula(filter('Operações-Criptos'!L:L,'Operações-Criptos'!C:C&lt;&gt;"""",row('Operações-Criptos'!C:C)=max(if('Operações-Criptos'!C:C=A50,row('Operações-Criptos'!C:C),0)))),1),
INDEX(arrayformula(filter('Operações-BR'!Q:Q,'"&amp;"Operações-BR'!C:C&lt;&gt;"""",row('Operações-BR'!C:C)=max(if('Operações-BR'!C:C=A50,row('Operações-BR'!C:C),0)))) ,1)),"""")"),"")</f>
        <v/>
      </c>
      <c r="F50" s="228" t="str">
        <f t="shared" si="2"/>
        <v/>
      </c>
      <c r="G50" s="228" t="str">
        <f>IF(A50&lt;&gt;"",SUMIF(Proventos!$A$2:$A100,A50,Proventos!$H$2:$H100),"")</f>
        <v/>
      </c>
      <c r="H50" s="228" t="str">
        <f t="shared" si="3"/>
        <v/>
      </c>
      <c r="I50" s="228" t="str">
        <f t="shared" si="4"/>
        <v/>
      </c>
      <c r="J50" s="228" t="str">
        <f t="shared" si="5"/>
        <v/>
      </c>
      <c r="K50" s="229" t="str">
        <f t="shared" si="6"/>
        <v/>
      </c>
      <c r="L50" s="229" t="str">
        <f t="shared" si="7"/>
        <v/>
      </c>
      <c r="M50" s="229" t="str">
        <f t="shared" si="8"/>
        <v/>
      </c>
      <c r="N50" s="229" t="str">
        <f>IFERROR(VLOOKUP(A50,DataCarteira!A47:K100,9,),"")</f>
        <v/>
      </c>
    </row>
    <row r="51" ht="30.75" customHeight="1">
      <c r="A51" s="221"/>
      <c r="B51" s="226" t="str">
        <f>IFERROR(VLOOKUP(A51,DataCarteira!A:B,2,),"")</f>
        <v/>
      </c>
      <c r="C51" s="227" t="str">
        <f>IFERROR(__xludf.DUMMYFUNCTION("IFERROR(IF(N51=Data!$A$11,INDEX(arrayformula(filter('Operações-Criptos'!H:H,'Operações-Criptos'!C:C&lt;&gt;"""",row('Operações-Criptos'!C:C)=max(if('Operações-Criptos'!C:C=A51,row('Operações-Criptos'!C:C),0)))),1),
INDEX(arrayformula(filter('Operações-BR'!M:M,'"&amp;"Operações-BR'!C:C&lt;&gt;"""",row('Operações-BR'!C:C)=max(if('Operações-BR'!C:C=A51,row('Operações-BR'!C:C),0)))) ,1)),"""")"),"")</f>
        <v/>
      </c>
      <c r="D51" s="228" t="str">
        <f t="shared" si="1"/>
        <v/>
      </c>
      <c r="E51" s="228" t="str">
        <f>IFERROR(__xludf.DUMMYFUNCTION("IFERROR(IF(N51=Data!$A$11,INDEX(arrayformula(filter('Operações-Criptos'!L:L,'Operações-Criptos'!C:C&lt;&gt;"""",row('Operações-Criptos'!C:C)=max(if('Operações-Criptos'!C:C=A51,row('Operações-Criptos'!C:C),0)))),1),
INDEX(arrayformula(filter('Operações-BR'!Q:Q,'"&amp;"Operações-BR'!C:C&lt;&gt;"""",row('Operações-BR'!C:C)=max(if('Operações-BR'!C:C=A51,row('Operações-BR'!C:C),0)))) ,1)),"""")"),"")</f>
        <v/>
      </c>
      <c r="F51" s="228" t="str">
        <f t="shared" si="2"/>
        <v/>
      </c>
      <c r="G51" s="228" t="str">
        <f>IF(A51&lt;&gt;"",SUMIF(Proventos!$A$2:$A100,A51,Proventos!$H$2:$H100),"")</f>
        <v/>
      </c>
      <c r="H51" s="228" t="str">
        <f t="shared" si="3"/>
        <v/>
      </c>
      <c r="I51" s="228" t="str">
        <f t="shared" si="4"/>
        <v/>
      </c>
      <c r="J51" s="228" t="str">
        <f t="shared" si="5"/>
        <v/>
      </c>
      <c r="K51" s="229" t="str">
        <f t="shared" si="6"/>
        <v/>
      </c>
      <c r="L51" s="229" t="str">
        <f t="shared" si="7"/>
        <v/>
      </c>
      <c r="M51" s="229" t="str">
        <f t="shared" si="8"/>
        <v/>
      </c>
      <c r="N51" s="229" t="str">
        <f>IFERROR(VLOOKUP(A51,DataCarteira!A48:K100,9,),"")</f>
        <v/>
      </c>
    </row>
    <row r="52" ht="30.75" customHeight="1">
      <c r="A52" s="221"/>
      <c r="B52" s="226" t="str">
        <f>IFERROR(VLOOKUP(A52,DataCarteira!A:B,2,),"")</f>
        <v/>
      </c>
      <c r="C52" s="227" t="str">
        <f>IFERROR(__xludf.DUMMYFUNCTION("IFERROR(IF(N52=Data!$A$11,INDEX(arrayformula(filter('Operações-Criptos'!H:H,'Operações-Criptos'!C:C&lt;&gt;"""",row('Operações-Criptos'!C:C)=max(if('Operações-Criptos'!C:C=A52,row('Operações-Criptos'!C:C),0)))),1),
INDEX(arrayformula(filter('Operações-BR'!M:M,'"&amp;"Operações-BR'!C:C&lt;&gt;"""",row('Operações-BR'!C:C)=max(if('Operações-BR'!C:C=A52,row('Operações-BR'!C:C),0)))) ,1)),"""")"),"")</f>
        <v/>
      </c>
      <c r="D52" s="228" t="str">
        <f t="shared" si="1"/>
        <v/>
      </c>
      <c r="E52" s="228" t="str">
        <f>IFERROR(__xludf.DUMMYFUNCTION("IFERROR(IF(N52=Data!$A$11,INDEX(arrayformula(filter('Operações-Criptos'!L:L,'Operações-Criptos'!C:C&lt;&gt;"""",row('Operações-Criptos'!C:C)=max(if('Operações-Criptos'!C:C=A52,row('Operações-Criptos'!C:C),0)))),1),
INDEX(arrayformula(filter('Operações-BR'!Q:Q,'"&amp;"Operações-BR'!C:C&lt;&gt;"""",row('Operações-BR'!C:C)=max(if('Operações-BR'!C:C=A52,row('Operações-BR'!C:C),0)))) ,1)),"""")"),"")</f>
        <v/>
      </c>
      <c r="F52" s="228" t="str">
        <f t="shared" si="2"/>
        <v/>
      </c>
      <c r="G52" s="228" t="str">
        <f>IF(A52&lt;&gt;"",SUMIF(Proventos!$A$2:$A100,A52,Proventos!$H$2:$H100),"")</f>
        <v/>
      </c>
      <c r="H52" s="228" t="str">
        <f t="shared" si="3"/>
        <v/>
      </c>
      <c r="I52" s="228" t="str">
        <f t="shared" si="4"/>
        <v/>
      </c>
      <c r="J52" s="228" t="str">
        <f t="shared" si="5"/>
        <v/>
      </c>
      <c r="K52" s="229" t="str">
        <f t="shared" si="6"/>
        <v/>
      </c>
      <c r="L52" s="229" t="str">
        <f t="shared" si="7"/>
        <v/>
      </c>
      <c r="M52" s="229" t="str">
        <f t="shared" si="8"/>
        <v/>
      </c>
      <c r="N52" s="229" t="str">
        <f>IFERROR(VLOOKUP(A52,DataCarteira!A49:K100,9,),"")</f>
        <v/>
      </c>
    </row>
    <row r="53" ht="30.75" customHeight="1">
      <c r="A53" s="221"/>
      <c r="B53" s="226" t="str">
        <f>IFERROR(VLOOKUP(A53,DataCarteira!A:B,2,),"")</f>
        <v/>
      </c>
      <c r="C53" s="227" t="str">
        <f>IFERROR(__xludf.DUMMYFUNCTION("IFERROR(IF(N53=Data!$A$11,INDEX(arrayformula(filter('Operações-Criptos'!H:H,'Operações-Criptos'!C:C&lt;&gt;"""",row('Operações-Criptos'!C:C)=max(if('Operações-Criptos'!C:C=A53,row('Operações-Criptos'!C:C),0)))),1),
INDEX(arrayformula(filter('Operações-BR'!M:M,'"&amp;"Operações-BR'!C:C&lt;&gt;"""",row('Operações-BR'!C:C)=max(if('Operações-BR'!C:C=A53,row('Operações-BR'!C:C),0)))) ,1)),"""")"),"")</f>
        <v/>
      </c>
      <c r="D53" s="228" t="str">
        <f t="shared" si="1"/>
        <v/>
      </c>
      <c r="E53" s="228" t="str">
        <f>IFERROR(__xludf.DUMMYFUNCTION("IFERROR(IF(N53=Data!$A$11,INDEX(arrayformula(filter('Operações-Criptos'!L:L,'Operações-Criptos'!C:C&lt;&gt;"""",row('Operações-Criptos'!C:C)=max(if('Operações-Criptos'!C:C=A53,row('Operações-Criptos'!C:C),0)))),1),
INDEX(arrayformula(filter('Operações-BR'!Q:Q,'"&amp;"Operações-BR'!C:C&lt;&gt;"""",row('Operações-BR'!C:C)=max(if('Operações-BR'!C:C=A53,row('Operações-BR'!C:C),0)))) ,1)),"""")"),"")</f>
        <v/>
      </c>
      <c r="F53" s="228" t="str">
        <f t="shared" si="2"/>
        <v/>
      </c>
      <c r="G53" s="228" t="str">
        <f>IF(A53&lt;&gt;"",SUMIF(Proventos!$A$2:$A100,A53,Proventos!$H$2:$H100),"")</f>
        <v/>
      </c>
      <c r="H53" s="228" t="str">
        <f t="shared" si="3"/>
        <v/>
      </c>
      <c r="I53" s="228" t="str">
        <f t="shared" si="4"/>
        <v/>
      </c>
      <c r="J53" s="228" t="str">
        <f t="shared" si="5"/>
        <v/>
      </c>
      <c r="K53" s="229" t="str">
        <f t="shared" si="6"/>
        <v/>
      </c>
      <c r="L53" s="229" t="str">
        <f t="shared" si="7"/>
        <v/>
      </c>
      <c r="M53" s="229" t="str">
        <f t="shared" si="8"/>
        <v/>
      </c>
      <c r="N53" s="229" t="str">
        <f>IFERROR(VLOOKUP(A53,DataCarteira!A50:K100,9,),"")</f>
        <v/>
      </c>
    </row>
    <row r="54" ht="30.75" customHeight="1">
      <c r="A54" s="221"/>
      <c r="B54" s="226" t="str">
        <f>IFERROR(VLOOKUP(A54,DataCarteira!A:B,2,),"")</f>
        <v/>
      </c>
      <c r="C54" s="227" t="str">
        <f>IFERROR(__xludf.DUMMYFUNCTION("IFERROR(IF(N54=Data!$A$11,INDEX(arrayformula(filter('Operações-Criptos'!H:H,'Operações-Criptos'!C:C&lt;&gt;"""",row('Operações-Criptos'!C:C)=max(if('Operações-Criptos'!C:C=A54,row('Operações-Criptos'!C:C),0)))),1),
INDEX(arrayformula(filter('Operações-BR'!M:M,'"&amp;"Operações-BR'!C:C&lt;&gt;"""",row('Operações-BR'!C:C)=max(if('Operações-BR'!C:C=A54,row('Operações-BR'!C:C),0)))) ,1)),"""")"),"")</f>
        <v/>
      </c>
      <c r="D54" s="228" t="str">
        <f t="shared" si="1"/>
        <v/>
      </c>
      <c r="E54" s="228" t="str">
        <f>IFERROR(__xludf.DUMMYFUNCTION("IFERROR(IF(N54=Data!$A$11,INDEX(arrayformula(filter('Operações-Criptos'!L:L,'Operações-Criptos'!C:C&lt;&gt;"""",row('Operações-Criptos'!C:C)=max(if('Operações-Criptos'!C:C=A54,row('Operações-Criptos'!C:C),0)))),1),
INDEX(arrayformula(filter('Operações-BR'!Q:Q,'"&amp;"Operações-BR'!C:C&lt;&gt;"""",row('Operações-BR'!C:C)=max(if('Operações-BR'!C:C=A54,row('Operações-BR'!C:C),0)))) ,1)),"""")"),"")</f>
        <v/>
      </c>
      <c r="F54" s="228" t="str">
        <f t="shared" si="2"/>
        <v/>
      </c>
      <c r="G54" s="228" t="str">
        <f>IF(A54&lt;&gt;"",SUMIF(Proventos!$A$2:$A100,A54,Proventos!$H$2:$H100),"")</f>
        <v/>
      </c>
      <c r="H54" s="228" t="str">
        <f t="shared" si="3"/>
        <v/>
      </c>
      <c r="I54" s="228" t="str">
        <f t="shared" si="4"/>
        <v/>
      </c>
      <c r="J54" s="228" t="str">
        <f t="shared" si="5"/>
        <v/>
      </c>
      <c r="K54" s="229" t="str">
        <f t="shared" si="6"/>
        <v/>
      </c>
      <c r="L54" s="229" t="str">
        <f t="shared" si="7"/>
        <v/>
      </c>
      <c r="M54" s="229" t="str">
        <f t="shared" si="8"/>
        <v/>
      </c>
      <c r="N54" s="229" t="str">
        <f>IFERROR(VLOOKUP(A54,DataCarteira!A51:K100,9,),"")</f>
        <v/>
      </c>
    </row>
    <row r="55" ht="30.75" customHeight="1">
      <c r="A55" s="221"/>
      <c r="B55" s="226" t="str">
        <f>IFERROR(VLOOKUP(A55,DataCarteira!A:B,2,),"")</f>
        <v/>
      </c>
      <c r="C55" s="227" t="str">
        <f>IFERROR(__xludf.DUMMYFUNCTION("IFERROR(IF(N55=Data!$A$11,INDEX(arrayformula(filter('Operações-Criptos'!H:H,'Operações-Criptos'!C:C&lt;&gt;"""",row('Operações-Criptos'!C:C)=max(if('Operações-Criptos'!C:C=A55,row('Operações-Criptos'!C:C),0)))),1),
INDEX(arrayformula(filter('Operações-BR'!M:M,'"&amp;"Operações-BR'!C:C&lt;&gt;"""",row('Operações-BR'!C:C)=max(if('Operações-BR'!C:C=A55,row('Operações-BR'!C:C),0)))) ,1)),"""")"),"")</f>
        <v/>
      </c>
      <c r="D55" s="228" t="str">
        <f t="shared" si="1"/>
        <v/>
      </c>
      <c r="E55" s="228" t="str">
        <f>IFERROR(__xludf.DUMMYFUNCTION("IFERROR(IF(N55=Data!$A$11,INDEX(arrayformula(filter('Operações-Criptos'!L:L,'Operações-Criptos'!C:C&lt;&gt;"""",row('Operações-Criptos'!C:C)=max(if('Operações-Criptos'!C:C=A55,row('Operações-Criptos'!C:C),0)))),1),
INDEX(arrayformula(filter('Operações-BR'!Q:Q,'"&amp;"Operações-BR'!C:C&lt;&gt;"""",row('Operações-BR'!C:C)=max(if('Operações-BR'!C:C=A55,row('Operações-BR'!C:C),0)))) ,1)),"""")"),"")</f>
        <v/>
      </c>
      <c r="F55" s="228" t="str">
        <f t="shared" si="2"/>
        <v/>
      </c>
      <c r="G55" s="228" t="str">
        <f>IF(A55&lt;&gt;"",SUMIF(Proventos!$A$2:$A100,A55,Proventos!$H$2:$H100),"")</f>
        <v/>
      </c>
      <c r="H55" s="228" t="str">
        <f t="shared" si="3"/>
        <v/>
      </c>
      <c r="I55" s="228" t="str">
        <f t="shared" si="4"/>
        <v/>
      </c>
      <c r="J55" s="228" t="str">
        <f t="shared" si="5"/>
        <v/>
      </c>
      <c r="K55" s="229" t="str">
        <f t="shared" si="6"/>
        <v/>
      </c>
      <c r="L55" s="229" t="str">
        <f t="shared" si="7"/>
        <v/>
      </c>
      <c r="M55" s="229" t="str">
        <f t="shared" si="8"/>
        <v/>
      </c>
      <c r="N55" s="229" t="str">
        <f>IFERROR(VLOOKUP(A55,DataCarteira!A52:K100,9,),"")</f>
        <v/>
      </c>
    </row>
    <row r="56" ht="30.75" customHeight="1">
      <c r="A56" s="221"/>
      <c r="B56" s="226" t="str">
        <f>IFERROR(VLOOKUP(A56,DataCarteira!A:B,2,),"")</f>
        <v/>
      </c>
      <c r="C56" s="227" t="str">
        <f>IFERROR(__xludf.DUMMYFUNCTION("IFERROR(IF(N56=Data!$A$11,INDEX(arrayformula(filter('Operações-Criptos'!H:H,'Operações-Criptos'!C:C&lt;&gt;"""",row('Operações-Criptos'!C:C)=max(if('Operações-Criptos'!C:C=A56,row('Operações-Criptos'!C:C),0)))),1),
INDEX(arrayformula(filter('Operações-BR'!M:M,'"&amp;"Operações-BR'!C:C&lt;&gt;"""",row('Operações-BR'!C:C)=max(if('Operações-BR'!C:C=A56,row('Operações-BR'!C:C),0)))) ,1)),"""")"),"")</f>
        <v/>
      </c>
      <c r="D56" s="228" t="str">
        <f t="shared" si="1"/>
        <v/>
      </c>
      <c r="E56" s="228" t="str">
        <f>IFERROR(__xludf.DUMMYFUNCTION("IFERROR(IF(N56=Data!$A$11,INDEX(arrayformula(filter('Operações-Criptos'!L:L,'Operações-Criptos'!C:C&lt;&gt;"""",row('Operações-Criptos'!C:C)=max(if('Operações-Criptos'!C:C=A56,row('Operações-Criptos'!C:C),0)))),1),
INDEX(arrayformula(filter('Operações-BR'!Q:Q,'"&amp;"Operações-BR'!C:C&lt;&gt;"""",row('Operações-BR'!C:C)=max(if('Operações-BR'!C:C=A56,row('Operações-BR'!C:C),0)))) ,1)),"""")"),"")</f>
        <v/>
      </c>
      <c r="F56" s="228" t="str">
        <f t="shared" si="2"/>
        <v/>
      </c>
      <c r="G56" s="228" t="str">
        <f>IF(A56&lt;&gt;"",SUMIF(Proventos!$A$2:$A100,A56,Proventos!$H$2:$H100),"")</f>
        <v/>
      </c>
      <c r="H56" s="228" t="str">
        <f t="shared" si="3"/>
        <v/>
      </c>
      <c r="I56" s="228" t="str">
        <f t="shared" si="4"/>
        <v/>
      </c>
      <c r="J56" s="228" t="str">
        <f t="shared" si="5"/>
        <v/>
      </c>
      <c r="K56" s="229" t="str">
        <f t="shared" si="6"/>
        <v/>
      </c>
      <c r="L56" s="229" t="str">
        <f t="shared" si="7"/>
        <v/>
      </c>
      <c r="M56" s="229" t="str">
        <f t="shared" si="8"/>
        <v/>
      </c>
      <c r="N56" s="229" t="str">
        <f>IFERROR(VLOOKUP(A56,DataCarteira!A53:K100,9,),"")</f>
        <v/>
      </c>
    </row>
    <row r="57" ht="30.75" customHeight="1">
      <c r="A57" s="221"/>
      <c r="B57" s="226" t="str">
        <f>IFERROR(VLOOKUP(A57,DataCarteira!A:B,2,),"")</f>
        <v/>
      </c>
      <c r="C57" s="227" t="str">
        <f>IFERROR(__xludf.DUMMYFUNCTION("IFERROR(IF(N57=Data!$A$11,INDEX(arrayformula(filter('Operações-Criptos'!H:H,'Operações-Criptos'!C:C&lt;&gt;"""",row('Operações-Criptos'!C:C)=max(if('Operações-Criptos'!C:C=A57,row('Operações-Criptos'!C:C),0)))),1),
INDEX(arrayformula(filter('Operações-BR'!M:M,'"&amp;"Operações-BR'!C:C&lt;&gt;"""",row('Operações-BR'!C:C)=max(if('Operações-BR'!C:C=A57,row('Operações-BR'!C:C),0)))) ,1)),"""")"),"")</f>
        <v/>
      </c>
      <c r="D57" s="228" t="str">
        <f t="shared" si="1"/>
        <v/>
      </c>
      <c r="E57" s="228" t="str">
        <f>IFERROR(__xludf.DUMMYFUNCTION("IFERROR(IF(N57=Data!$A$11,INDEX(arrayformula(filter('Operações-Criptos'!L:L,'Operações-Criptos'!C:C&lt;&gt;"""",row('Operações-Criptos'!C:C)=max(if('Operações-Criptos'!C:C=A57,row('Operações-Criptos'!C:C),0)))),1),
INDEX(arrayformula(filter('Operações-BR'!Q:Q,'"&amp;"Operações-BR'!C:C&lt;&gt;"""",row('Operações-BR'!C:C)=max(if('Operações-BR'!C:C=A57,row('Operações-BR'!C:C),0)))) ,1)),"""")"),"")</f>
        <v/>
      </c>
      <c r="F57" s="228" t="str">
        <f t="shared" si="2"/>
        <v/>
      </c>
      <c r="G57" s="228" t="str">
        <f>IF(A57&lt;&gt;"",SUMIF(Proventos!$A$2:$A100,A57,Proventos!$H$2:$H100),"")</f>
        <v/>
      </c>
      <c r="H57" s="228" t="str">
        <f t="shared" si="3"/>
        <v/>
      </c>
      <c r="I57" s="228" t="str">
        <f t="shared" si="4"/>
        <v/>
      </c>
      <c r="J57" s="228" t="str">
        <f t="shared" si="5"/>
        <v/>
      </c>
      <c r="K57" s="229" t="str">
        <f t="shared" si="6"/>
        <v/>
      </c>
      <c r="L57" s="229" t="str">
        <f t="shared" si="7"/>
        <v/>
      </c>
      <c r="M57" s="229" t="str">
        <f t="shared" si="8"/>
        <v/>
      </c>
      <c r="N57" s="229" t="str">
        <f>IFERROR(VLOOKUP(A57,DataCarteira!A54:K100,9,),"")</f>
        <v/>
      </c>
    </row>
    <row r="58" ht="30.75" customHeight="1">
      <c r="A58" s="221"/>
      <c r="B58" s="226" t="str">
        <f>IFERROR(VLOOKUP(A58,DataCarteira!A:B,2,),"")</f>
        <v/>
      </c>
      <c r="C58" s="227" t="str">
        <f>IFERROR(__xludf.DUMMYFUNCTION("IFERROR(IF(N58=Data!$A$11,INDEX(arrayformula(filter('Operações-Criptos'!H:H,'Operações-Criptos'!C:C&lt;&gt;"""",row('Operações-Criptos'!C:C)=max(if('Operações-Criptos'!C:C=A58,row('Operações-Criptos'!C:C),0)))),1),
INDEX(arrayformula(filter('Operações-BR'!M:M,'"&amp;"Operações-BR'!C:C&lt;&gt;"""",row('Operações-BR'!C:C)=max(if('Operações-BR'!C:C=A58,row('Operações-BR'!C:C),0)))) ,1)),"""")"),"")</f>
        <v/>
      </c>
      <c r="D58" s="228" t="str">
        <f t="shared" si="1"/>
        <v/>
      </c>
      <c r="E58" s="228" t="str">
        <f>IFERROR(__xludf.DUMMYFUNCTION("IFERROR(IF(N58=Data!$A$11,INDEX(arrayformula(filter('Operações-Criptos'!L:L,'Operações-Criptos'!C:C&lt;&gt;"""",row('Operações-Criptos'!C:C)=max(if('Operações-Criptos'!C:C=A58,row('Operações-Criptos'!C:C),0)))),1),
INDEX(arrayformula(filter('Operações-BR'!Q:Q,'"&amp;"Operações-BR'!C:C&lt;&gt;"""",row('Operações-BR'!C:C)=max(if('Operações-BR'!C:C=A58,row('Operações-BR'!C:C),0)))) ,1)),"""")"),"")</f>
        <v/>
      </c>
      <c r="F58" s="228" t="str">
        <f t="shared" si="2"/>
        <v/>
      </c>
      <c r="G58" s="228" t="str">
        <f>IF(A58&lt;&gt;"",SUMIF(Proventos!$A$2:$A100,A58,Proventos!$H$2:$H100),"")</f>
        <v/>
      </c>
      <c r="H58" s="228" t="str">
        <f t="shared" si="3"/>
        <v/>
      </c>
      <c r="I58" s="228" t="str">
        <f t="shared" si="4"/>
        <v/>
      </c>
      <c r="J58" s="228" t="str">
        <f t="shared" si="5"/>
        <v/>
      </c>
      <c r="K58" s="229" t="str">
        <f t="shared" si="6"/>
        <v/>
      </c>
      <c r="L58" s="229" t="str">
        <f t="shared" si="7"/>
        <v/>
      </c>
      <c r="M58" s="229" t="str">
        <f t="shared" si="8"/>
        <v/>
      </c>
      <c r="N58" s="229" t="str">
        <f>IFERROR(VLOOKUP(A58,DataCarteira!A55:K100,9,),"")</f>
        <v/>
      </c>
    </row>
    <row r="59" ht="30.75" customHeight="1">
      <c r="A59" s="221"/>
      <c r="B59" s="226" t="str">
        <f>IFERROR(VLOOKUP(A59,DataCarteira!A:B,2,),"")</f>
        <v/>
      </c>
      <c r="C59" s="227" t="str">
        <f>IFERROR(__xludf.DUMMYFUNCTION("IFERROR(IF(N59=Data!$A$11,INDEX(arrayformula(filter('Operações-Criptos'!H:H,'Operações-Criptos'!C:C&lt;&gt;"""",row('Operações-Criptos'!C:C)=max(if('Operações-Criptos'!C:C=A59,row('Operações-Criptos'!C:C),0)))),1),
INDEX(arrayformula(filter('Operações-BR'!M:M,'"&amp;"Operações-BR'!C:C&lt;&gt;"""",row('Operações-BR'!C:C)=max(if('Operações-BR'!C:C=A59,row('Operações-BR'!C:C),0)))) ,1)),"""")"),"")</f>
        <v/>
      </c>
      <c r="D59" s="228" t="str">
        <f t="shared" si="1"/>
        <v/>
      </c>
      <c r="E59" s="228" t="str">
        <f>IFERROR(__xludf.DUMMYFUNCTION("IFERROR(IF(N59=Data!$A$11,INDEX(arrayformula(filter('Operações-Criptos'!L:L,'Operações-Criptos'!C:C&lt;&gt;"""",row('Operações-Criptos'!C:C)=max(if('Operações-Criptos'!C:C=A59,row('Operações-Criptos'!C:C),0)))),1),
INDEX(arrayformula(filter('Operações-BR'!Q:Q,'"&amp;"Operações-BR'!C:C&lt;&gt;"""",row('Operações-BR'!C:C)=max(if('Operações-BR'!C:C=A59,row('Operações-BR'!C:C),0)))) ,1)),"""")"),"")</f>
        <v/>
      </c>
      <c r="F59" s="228" t="str">
        <f t="shared" si="2"/>
        <v/>
      </c>
      <c r="G59" s="228" t="str">
        <f>IF(A59&lt;&gt;"",SUMIF(Proventos!$A$2:$A100,A59,Proventos!$H$2:$H100),"")</f>
        <v/>
      </c>
      <c r="H59" s="228" t="str">
        <f t="shared" si="3"/>
        <v/>
      </c>
      <c r="I59" s="228" t="str">
        <f t="shared" si="4"/>
        <v/>
      </c>
      <c r="J59" s="228" t="str">
        <f t="shared" si="5"/>
        <v/>
      </c>
      <c r="K59" s="229" t="str">
        <f t="shared" si="6"/>
        <v/>
      </c>
      <c r="L59" s="229" t="str">
        <f t="shared" si="7"/>
        <v/>
      </c>
      <c r="M59" s="229" t="str">
        <f t="shared" si="8"/>
        <v/>
      </c>
      <c r="N59" s="229" t="str">
        <f>IFERROR(VLOOKUP(A59,DataCarteira!A56:K100,9,),"")</f>
        <v/>
      </c>
    </row>
    <row r="60" ht="30.75" customHeight="1">
      <c r="A60" s="221"/>
      <c r="B60" s="226" t="str">
        <f>IFERROR(VLOOKUP(A60,DataCarteira!A:B,2,),"")</f>
        <v/>
      </c>
      <c r="C60" s="227" t="str">
        <f>IFERROR(__xludf.DUMMYFUNCTION("IFERROR(IF(N60=Data!$A$11,INDEX(arrayformula(filter('Operações-Criptos'!H:H,'Operações-Criptos'!C:C&lt;&gt;"""",row('Operações-Criptos'!C:C)=max(if('Operações-Criptos'!C:C=A60,row('Operações-Criptos'!C:C),0)))),1),
INDEX(arrayformula(filter('Operações-BR'!M:M,'"&amp;"Operações-BR'!C:C&lt;&gt;"""",row('Operações-BR'!C:C)=max(if('Operações-BR'!C:C=A60,row('Operações-BR'!C:C),0)))) ,1)),"""")"),"")</f>
        <v/>
      </c>
      <c r="D60" s="228" t="str">
        <f t="shared" si="1"/>
        <v/>
      </c>
      <c r="E60" s="228" t="str">
        <f>IFERROR(__xludf.DUMMYFUNCTION("IFERROR(IF(N60=Data!$A$11,INDEX(arrayformula(filter('Operações-Criptos'!L:L,'Operações-Criptos'!C:C&lt;&gt;"""",row('Operações-Criptos'!C:C)=max(if('Operações-Criptos'!C:C=A60,row('Operações-Criptos'!C:C),0)))),1),
INDEX(arrayformula(filter('Operações-BR'!Q:Q,'"&amp;"Operações-BR'!C:C&lt;&gt;"""",row('Operações-BR'!C:C)=max(if('Operações-BR'!C:C=A60,row('Operações-BR'!C:C),0)))) ,1)),"""")"),"")</f>
        <v/>
      </c>
      <c r="F60" s="228" t="str">
        <f t="shared" si="2"/>
        <v/>
      </c>
      <c r="G60" s="228" t="str">
        <f>IF(A60&lt;&gt;"",SUMIF(Proventos!$A$2:$A100,A60,Proventos!$H$2:$H100),"")</f>
        <v/>
      </c>
      <c r="H60" s="228" t="str">
        <f t="shared" si="3"/>
        <v/>
      </c>
      <c r="I60" s="228" t="str">
        <f t="shared" si="4"/>
        <v/>
      </c>
      <c r="J60" s="228" t="str">
        <f t="shared" si="5"/>
        <v/>
      </c>
      <c r="K60" s="229" t="str">
        <f t="shared" si="6"/>
        <v/>
      </c>
      <c r="L60" s="229" t="str">
        <f t="shared" si="7"/>
        <v/>
      </c>
      <c r="M60" s="229" t="str">
        <f t="shared" si="8"/>
        <v/>
      </c>
      <c r="N60" s="229" t="str">
        <f>IFERROR(VLOOKUP(A60,DataCarteira!A57:K100,9,),"")</f>
        <v/>
      </c>
    </row>
    <row r="61" ht="30.75" customHeight="1">
      <c r="A61" s="221"/>
      <c r="B61" s="226" t="str">
        <f>IFERROR(VLOOKUP(A61,DataCarteira!A:B,2,),"")</f>
        <v/>
      </c>
      <c r="C61" s="227" t="str">
        <f>IFERROR(__xludf.DUMMYFUNCTION("IFERROR(IF(N61=Data!$A$11,INDEX(arrayformula(filter('Operações-Criptos'!H:H,'Operações-Criptos'!C:C&lt;&gt;"""",row('Operações-Criptos'!C:C)=max(if('Operações-Criptos'!C:C=A61,row('Operações-Criptos'!C:C),0)))),1),
INDEX(arrayformula(filter('Operações-BR'!M:M,'"&amp;"Operações-BR'!C:C&lt;&gt;"""",row('Operações-BR'!C:C)=max(if('Operações-BR'!C:C=A61,row('Operações-BR'!C:C),0)))) ,1)),"""")"),"")</f>
        <v/>
      </c>
      <c r="D61" s="228" t="str">
        <f t="shared" si="1"/>
        <v/>
      </c>
      <c r="E61" s="228" t="str">
        <f>IFERROR(__xludf.DUMMYFUNCTION("IFERROR(IF(N61=Data!$A$11,INDEX(arrayformula(filter('Operações-Criptos'!L:L,'Operações-Criptos'!C:C&lt;&gt;"""",row('Operações-Criptos'!C:C)=max(if('Operações-Criptos'!C:C=A61,row('Operações-Criptos'!C:C),0)))),1),
INDEX(arrayformula(filter('Operações-BR'!Q:Q,'"&amp;"Operações-BR'!C:C&lt;&gt;"""",row('Operações-BR'!C:C)=max(if('Operações-BR'!C:C=A61,row('Operações-BR'!C:C),0)))) ,1)),"""")"),"")</f>
        <v/>
      </c>
      <c r="F61" s="228" t="str">
        <f t="shared" si="2"/>
        <v/>
      </c>
      <c r="G61" s="228" t="str">
        <f>IF(A61&lt;&gt;"",SUMIF(Proventos!$A$2:$A100,A61,Proventos!$H$2:$H100),"")</f>
        <v/>
      </c>
      <c r="H61" s="228" t="str">
        <f t="shared" si="3"/>
        <v/>
      </c>
      <c r="I61" s="228" t="str">
        <f t="shared" si="4"/>
        <v/>
      </c>
      <c r="J61" s="228" t="str">
        <f t="shared" si="5"/>
        <v/>
      </c>
      <c r="K61" s="229" t="str">
        <f t="shared" si="6"/>
        <v/>
      </c>
      <c r="L61" s="229" t="str">
        <f t="shared" si="7"/>
        <v/>
      </c>
      <c r="M61" s="229" t="str">
        <f t="shared" si="8"/>
        <v/>
      </c>
      <c r="N61" s="229" t="str">
        <f>IFERROR(VLOOKUP(A61,DataCarteira!A58:K100,9,),"")</f>
        <v/>
      </c>
    </row>
    <row r="62" ht="30.75" customHeight="1">
      <c r="A62" s="221"/>
      <c r="B62" s="226" t="str">
        <f>IFERROR(VLOOKUP(A62,DataCarteira!A:B,2,),"")</f>
        <v/>
      </c>
      <c r="C62" s="227" t="str">
        <f>IFERROR(__xludf.DUMMYFUNCTION("IFERROR(IF(N62=Data!$A$11,INDEX(arrayformula(filter('Operações-Criptos'!H:H,'Operações-Criptos'!C:C&lt;&gt;"""",row('Operações-Criptos'!C:C)=max(if('Operações-Criptos'!C:C=A62,row('Operações-Criptos'!C:C),0)))),1),
INDEX(arrayformula(filter('Operações-BR'!M:M,'"&amp;"Operações-BR'!C:C&lt;&gt;"""",row('Operações-BR'!C:C)=max(if('Operações-BR'!C:C=A62,row('Operações-BR'!C:C),0)))) ,1)),"""")"),"")</f>
        <v/>
      </c>
      <c r="D62" s="228" t="str">
        <f t="shared" si="1"/>
        <v/>
      </c>
      <c r="E62" s="228" t="str">
        <f>IFERROR(__xludf.DUMMYFUNCTION("IFERROR(IF(N62=Data!$A$11,INDEX(arrayformula(filter('Operações-Criptos'!L:L,'Operações-Criptos'!C:C&lt;&gt;"""",row('Operações-Criptos'!C:C)=max(if('Operações-Criptos'!C:C=A62,row('Operações-Criptos'!C:C),0)))),1),
INDEX(arrayformula(filter('Operações-BR'!Q:Q,'"&amp;"Operações-BR'!C:C&lt;&gt;"""",row('Operações-BR'!C:C)=max(if('Operações-BR'!C:C=A62,row('Operações-BR'!C:C),0)))) ,1)),"""")"),"")</f>
        <v/>
      </c>
      <c r="F62" s="228" t="str">
        <f t="shared" si="2"/>
        <v/>
      </c>
      <c r="G62" s="228" t="str">
        <f>IF(A62&lt;&gt;"",SUMIF(Proventos!$A$2:$A100,A62,Proventos!$H$2:$H100),"")</f>
        <v/>
      </c>
      <c r="H62" s="228" t="str">
        <f t="shared" si="3"/>
        <v/>
      </c>
      <c r="I62" s="228" t="str">
        <f t="shared" si="4"/>
        <v/>
      </c>
      <c r="J62" s="228" t="str">
        <f t="shared" si="5"/>
        <v/>
      </c>
      <c r="K62" s="229" t="str">
        <f t="shared" si="6"/>
        <v/>
      </c>
      <c r="L62" s="229" t="str">
        <f t="shared" si="7"/>
        <v/>
      </c>
      <c r="M62" s="229" t="str">
        <f t="shared" si="8"/>
        <v/>
      </c>
      <c r="N62" s="229" t="str">
        <f>IFERROR(VLOOKUP(A62,DataCarteira!A59:K100,9,),"")</f>
        <v/>
      </c>
    </row>
    <row r="63" ht="30.75" customHeight="1">
      <c r="A63" s="221"/>
      <c r="B63" s="226" t="str">
        <f>IFERROR(VLOOKUP(A63,DataCarteira!A:B,2,),"")</f>
        <v/>
      </c>
      <c r="C63" s="227" t="str">
        <f>IFERROR(__xludf.DUMMYFUNCTION("IFERROR(IF(N63=Data!$A$11,INDEX(arrayformula(filter('Operações-Criptos'!H:H,'Operações-Criptos'!C:C&lt;&gt;"""",row('Operações-Criptos'!C:C)=max(if('Operações-Criptos'!C:C=A63,row('Operações-Criptos'!C:C),0)))),1),
INDEX(arrayformula(filter('Operações-BR'!M:M,'"&amp;"Operações-BR'!C:C&lt;&gt;"""",row('Operações-BR'!C:C)=max(if('Operações-BR'!C:C=A63,row('Operações-BR'!C:C),0)))) ,1)),"""")"),"")</f>
        <v/>
      </c>
      <c r="D63" s="228" t="str">
        <f t="shared" si="1"/>
        <v/>
      </c>
      <c r="E63" s="228" t="str">
        <f>IFERROR(__xludf.DUMMYFUNCTION("IFERROR(IF(N63=Data!$A$11,INDEX(arrayformula(filter('Operações-Criptos'!L:L,'Operações-Criptos'!C:C&lt;&gt;"""",row('Operações-Criptos'!C:C)=max(if('Operações-Criptos'!C:C=A63,row('Operações-Criptos'!C:C),0)))),1),
INDEX(arrayformula(filter('Operações-BR'!Q:Q,'"&amp;"Operações-BR'!C:C&lt;&gt;"""",row('Operações-BR'!C:C)=max(if('Operações-BR'!C:C=A63,row('Operações-BR'!C:C),0)))) ,1)),"""")"),"")</f>
        <v/>
      </c>
      <c r="F63" s="228" t="str">
        <f t="shared" si="2"/>
        <v/>
      </c>
      <c r="G63" s="228" t="str">
        <f>IF(A63&lt;&gt;"",SUMIF(Proventos!$A$2:$A100,A63,Proventos!$H$2:$H100),"")</f>
        <v/>
      </c>
      <c r="H63" s="228" t="str">
        <f t="shared" si="3"/>
        <v/>
      </c>
      <c r="I63" s="228" t="str">
        <f t="shared" si="4"/>
        <v/>
      </c>
      <c r="J63" s="228" t="str">
        <f t="shared" si="5"/>
        <v/>
      </c>
      <c r="K63" s="229" t="str">
        <f t="shared" si="6"/>
        <v/>
      </c>
      <c r="L63" s="229" t="str">
        <f t="shared" si="7"/>
        <v/>
      </c>
      <c r="M63" s="229" t="str">
        <f t="shared" si="8"/>
        <v/>
      </c>
      <c r="N63" s="229" t="str">
        <f>IFERROR(VLOOKUP(A63,DataCarteira!A60:K100,9,),"")</f>
        <v/>
      </c>
    </row>
    <row r="64" ht="30.75" customHeight="1">
      <c r="A64" s="221"/>
      <c r="B64" s="226" t="str">
        <f>IFERROR(VLOOKUP(A64,DataCarteira!A:B,2,),"")</f>
        <v/>
      </c>
      <c r="C64" s="227" t="str">
        <f>IFERROR(__xludf.DUMMYFUNCTION("IFERROR(IF(N64=Data!$A$11,INDEX(arrayformula(filter('Operações-Criptos'!H:H,'Operações-Criptos'!C:C&lt;&gt;"""",row('Operações-Criptos'!C:C)=max(if('Operações-Criptos'!C:C=A64,row('Operações-Criptos'!C:C),0)))),1),
INDEX(arrayformula(filter('Operações-BR'!M:M,'"&amp;"Operações-BR'!C:C&lt;&gt;"""",row('Operações-BR'!C:C)=max(if('Operações-BR'!C:C=A64,row('Operações-BR'!C:C),0)))) ,1)),"""")"),"")</f>
        <v/>
      </c>
      <c r="D64" s="228" t="str">
        <f t="shared" si="1"/>
        <v/>
      </c>
      <c r="E64" s="228" t="str">
        <f>IFERROR(__xludf.DUMMYFUNCTION("IFERROR(IF(N64=Data!$A$11,INDEX(arrayformula(filter('Operações-Criptos'!L:L,'Operações-Criptos'!C:C&lt;&gt;"""",row('Operações-Criptos'!C:C)=max(if('Operações-Criptos'!C:C=A64,row('Operações-Criptos'!C:C),0)))),1),
INDEX(arrayformula(filter('Operações-BR'!Q:Q,'"&amp;"Operações-BR'!C:C&lt;&gt;"""",row('Operações-BR'!C:C)=max(if('Operações-BR'!C:C=A64,row('Operações-BR'!C:C),0)))) ,1)),"""")"),"")</f>
        <v/>
      </c>
      <c r="F64" s="228" t="str">
        <f t="shared" si="2"/>
        <v/>
      </c>
      <c r="G64" s="228" t="str">
        <f>IF(A64&lt;&gt;"",SUMIF(Proventos!$A$2:$A100,A64,Proventos!$H$2:$H100),"")</f>
        <v/>
      </c>
      <c r="H64" s="228" t="str">
        <f t="shared" si="3"/>
        <v/>
      </c>
      <c r="I64" s="228" t="str">
        <f t="shared" si="4"/>
        <v/>
      </c>
      <c r="J64" s="228" t="str">
        <f t="shared" si="5"/>
        <v/>
      </c>
      <c r="K64" s="229" t="str">
        <f t="shared" si="6"/>
        <v/>
      </c>
      <c r="L64" s="229" t="str">
        <f t="shared" si="7"/>
        <v/>
      </c>
      <c r="M64" s="229" t="str">
        <f t="shared" si="8"/>
        <v/>
      </c>
      <c r="N64" s="229" t="str">
        <f>IFERROR(VLOOKUP(A64,DataCarteira!A61:K100,9,),"")</f>
        <v/>
      </c>
    </row>
    <row r="65" ht="30.75" customHeight="1">
      <c r="A65" s="221"/>
      <c r="B65" s="226" t="str">
        <f>IFERROR(VLOOKUP(A65,DataCarteira!A:B,2,),"")</f>
        <v/>
      </c>
      <c r="C65" s="227" t="str">
        <f>IFERROR(__xludf.DUMMYFUNCTION("IFERROR(IF(N65=Data!$A$11,INDEX(arrayformula(filter('Operações-Criptos'!H:H,'Operações-Criptos'!C:C&lt;&gt;"""",row('Operações-Criptos'!C:C)=max(if('Operações-Criptos'!C:C=A65,row('Operações-Criptos'!C:C),0)))),1),
INDEX(arrayformula(filter('Operações-BR'!M:M,'"&amp;"Operações-BR'!C:C&lt;&gt;"""",row('Operações-BR'!C:C)=max(if('Operações-BR'!C:C=A65,row('Operações-BR'!C:C),0)))) ,1)),"""")"),"")</f>
        <v/>
      </c>
      <c r="D65" s="228" t="str">
        <f t="shared" si="1"/>
        <v/>
      </c>
      <c r="E65" s="228" t="str">
        <f>IFERROR(__xludf.DUMMYFUNCTION("IFERROR(IF(N65=Data!$A$11,INDEX(arrayformula(filter('Operações-Criptos'!L:L,'Operações-Criptos'!C:C&lt;&gt;"""",row('Operações-Criptos'!C:C)=max(if('Operações-Criptos'!C:C=A65,row('Operações-Criptos'!C:C),0)))),1),
INDEX(arrayformula(filter('Operações-BR'!Q:Q,'"&amp;"Operações-BR'!C:C&lt;&gt;"""",row('Operações-BR'!C:C)=max(if('Operações-BR'!C:C=A65,row('Operações-BR'!C:C),0)))) ,1)),"""")"),"")</f>
        <v/>
      </c>
      <c r="F65" s="228" t="str">
        <f t="shared" si="2"/>
        <v/>
      </c>
      <c r="G65" s="228" t="str">
        <f>IF(A65&lt;&gt;"",SUMIF(Proventos!$A$2:$A100,A65,Proventos!$H$2:$H100),"")</f>
        <v/>
      </c>
      <c r="H65" s="228" t="str">
        <f t="shared" si="3"/>
        <v/>
      </c>
      <c r="I65" s="228" t="str">
        <f t="shared" si="4"/>
        <v/>
      </c>
      <c r="J65" s="228" t="str">
        <f t="shared" si="5"/>
        <v/>
      </c>
      <c r="K65" s="229" t="str">
        <f t="shared" si="6"/>
        <v/>
      </c>
      <c r="L65" s="229" t="str">
        <f t="shared" si="7"/>
        <v/>
      </c>
      <c r="M65" s="229" t="str">
        <f t="shared" si="8"/>
        <v/>
      </c>
      <c r="N65" s="229" t="str">
        <f>IFERROR(VLOOKUP(A65,DataCarteira!A62:K100,9,),"")</f>
        <v/>
      </c>
    </row>
    <row r="66" ht="30.75" customHeight="1">
      <c r="A66" s="221"/>
      <c r="B66" s="226" t="str">
        <f>IFERROR(VLOOKUP(A66,DataCarteira!A:B,2,),"")</f>
        <v/>
      </c>
      <c r="C66" s="227" t="str">
        <f>IFERROR(__xludf.DUMMYFUNCTION("IFERROR(IF(N66=Data!$A$11,INDEX(arrayformula(filter('Operações-Criptos'!H:H,'Operações-Criptos'!C:C&lt;&gt;"""",row('Operações-Criptos'!C:C)=max(if('Operações-Criptos'!C:C=A66,row('Operações-Criptos'!C:C),0)))),1),
INDEX(arrayformula(filter('Operações-BR'!M:M,'"&amp;"Operações-BR'!C:C&lt;&gt;"""",row('Operações-BR'!C:C)=max(if('Operações-BR'!C:C=A66,row('Operações-BR'!C:C),0)))) ,1)),"""")"),"")</f>
        <v/>
      </c>
      <c r="D66" s="228" t="str">
        <f t="shared" si="1"/>
        <v/>
      </c>
      <c r="E66" s="228" t="str">
        <f>IFERROR(__xludf.DUMMYFUNCTION("IFERROR(IF(N66=Data!$A$11,INDEX(arrayformula(filter('Operações-Criptos'!L:L,'Operações-Criptos'!C:C&lt;&gt;"""",row('Operações-Criptos'!C:C)=max(if('Operações-Criptos'!C:C=A66,row('Operações-Criptos'!C:C),0)))),1),
INDEX(arrayformula(filter('Operações-BR'!Q:Q,'"&amp;"Operações-BR'!C:C&lt;&gt;"""",row('Operações-BR'!C:C)=max(if('Operações-BR'!C:C=A66,row('Operações-BR'!C:C),0)))) ,1)),"""")"),"")</f>
        <v/>
      </c>
      <c r="F66" s="228" t="str">
        <f t="shared" si="2"/>
        <v/>
      </c>
      <c r="G66" s="228" t="str">
        <f>IF(A66&lt;&gt;"",SUMIF(Proventos!$A$2:$A100,A66,Proventos!$H$2:$H100),"")</f>
        <v/>
      </c>
      <c r="H66" s="228" t="str">
        <f t="shared" si="3"/>
        <v/>
      </c>
      <c r="I66" s="228" t="str">
        <f t="shared" si="4"/>
        <v/>
      </c>
      <c r="J66" s="228" t="str">
        <f t="shared" si="5"/>
        <v/>
      </c>
      <c r="K66" s="229" t="str">
        <f t="shared" si="6"/>
        <v/>
      </c>
      <c r="L66" s="229" t="str">
        <f t="shared" si="7"/>
        <v/>
      </c>
      <c r="M66" s="229" t="str">
        <f t="shared" si="8"/>
        <v/>
      </c>
      <c r="N66" s="229" t="str">
        <f>IFERROR(VLOOKUP(A66,DataCarteira!A63:K100,9,),"")</f>
        <v/>
      </c>
    </row>
    <row r="67" ht="30.75" customHeight="1">
      <c r="A67" s="221"/>
      <c r="B67" s="226" t="str">
        <f>IFERROR(VLOOKUP(A67,DataCarteira!A:B,2,),"")</f>
        <v/>
      </c>
      <c r="C67" s="227" t="str">
        <f>IFERROR(__xludf.DUMMYFUNCTION("IFERROR(IF(N67=Data!$A$11,INDEX(arrayformula(filter('Operações-Criptos'!H:H,'Operações-Criptos'!C:C&lt;&gt;"""",row('Operações-Criptos'!C:C)=max(if('Operações-Criptos'!C:C=A67,row('Operações-Criptos'!C:C),0)))),1),
INDEX(arrayformula(filter('Operações-BR'!M:M,'"&amp;"Operações-BR'!C:C&lt;&gt;"""",row('Operações-BR'!C:C)=max(if('Operações-BR'!C:C=A67,row('Operações-BR'!C:C),0)))) ,1)),"""")"),"")</f>
        <v/>
      </c>
      <c r="D67" s="228" t="str">
        <f t="shared" si="1"/>
        <v/>
      </c>
      <c r="E67" s="228" t="str">
        <f>IFERROR(__xludf.DUMMYFUNCTION("IFERROR(IF(N67=Data!$A$11,INDEX(arrayformula(filter('Operações-Criptos'!L:L,'Operações-Criptos'!C:C&lt;&gt;"""",row('Operações-Criptos'!C:C)=max(if('Operações-Criptos'!C:C=A67,row('Operações-Criptos'!C:C),0)))),1),
INDEX(arrayformula(filter('Operações-BR'!Q:Q,'"&amp;"Operações-BR'!C:C&lt;&gt;"""",row('Operações-BR'!C:C)=max(if('Operações-BR'!C:C=A67,row('Operações-BR'!C:C),0)))) ,1)),"""")"),"")</f>
        <v/>
      </c>
      <c r="F67" s="228" t="str">
        <f t="shared" si="2"/>
        <v/>
      </c>
      <c r="G67" s="228" t="str">
        <f>IF(A67&lt;&gt;"",SUMIF(Proventos!$A$2:$A100,A67,Proventos!$H$2:$H100),"")</f>
        <v/>
      </c>
      <c r="H67" s="228" t="str">
        <f t="shared" si="3"/>
        <v/>
      </c>
      <c r="I67" s="228" t="str">
        <f t="shared" si="4"/>
        <v/>
      </c>
      <c r="J67" s="228" t="str">
        <f t="shared" si="5"/>
        <v/>
      </c>
      <c r="K67" s="229" t="str">
        <f t="shared" si="6"/>
        <v/>
      </c>
      <c r="L67" s="229" t="str">
        <f t="shared" si="7"/>
        <v/>
      </c>
      <c r="M67" s="229" t="str">
        <f t="shared" si="8"/>
        <v/>
      </c>
      <c r="N67" s="229" t="str">
        <f>IFERROR(VLOOKUP(A67,DataCarteira!A64:K100,9,),"")</f>
        <v/>
      </c>
    </row>
    <row r="68" ht="30.75" customHeight="1">
      <c r="A68" s="221"/>
      <c r="B68" s="226" t="str">
        <f>IFERROR(VLOOKUP(A68,DataCarteira!A:B,2,),"")</f>
        <v/>
      </c>
      <c r="C68" s="227" t="str">
        <f>IFERROR(__xludf.DUMMYFUNCTION("IFERROR(IF(N68=Data!$A$11,INDEX(arrayformula(filter('Operações-Criptos'!H:H,'Operações-Criptos'!C:C&lt;&gt;"""",row('Operações-Criptos'!C:C)=max(if('Operações-Criptos'!C:C=A68,row('Operações-Criptos'!C:C),0)))),1),
INDEX(arrayformula(filter('Operações-BR'!M:M,'"&amp;"Operações-BR'!C:C&lt;&gt;"""",row('Operações-BR'!C:C)=max(if('Operações-BR'!C:C=A68,row('Operações-BR'!C:C),0)))) ,1)),"""")"),"")</f>
        <v/>
      </c>
      <c r="D68" s="228" t="str">
        <f t="shared" si="1"/>
        <v/>
      </c>
      <c r="E68" s="228" t="str">
        <f>IFERROR(__xludf.DUMMYFUNCTION("IFERROR(IF(N68=Data!$A$11,INDEX(arrayformula(filter('Operações-Criptos'!L:L,'Operações-Criptos'!C:C&lt;&gt;"""",row('Operações-Criptos'!C:C)=max(if('Operações-Criptos'!C:C=A68,row('Operações-Criptos'!C:C),0)))),1),
INDEX(arrayformula(filter('Operações-BR'!Q:Q,'"&amp;"Operações-BR'!C:C&lt;&gt;"""",row('Operações-BR'!C:C)=max(if('Operações-BR'!C:C=A68,row('Operações-BR'!C:C),0)))) ,1)),"""")"),"")</f>
        <v/>
      </c>
      <c r="F68" s="228" t="str">
        <f t="shared" si="2"/>
        <v/>
      </c>
      <c r="G68" s="228" t="str">
        <f>IF(A68&lt;&gt;"",SUMIF(Proventos!$A$2:$A100,A68,Proventos!$H$2:$H100),"")</f>
        <v/>
      </c>
      <c r="H68" s="228" t="str">
        <f t="shared" si="3"/>
        <v/>
      </c>
      <c r="I68" s="228" t="str">
        <f t="shared" si="4"/>
        <v/>
      </c>
      <c r="J68" s="228" t="str">
        <f t="shared" si="5"/>
        <v/>
      </c>
      <c r="K68" s="229" t="str">
        <f t="shared" si="6"/>
        <v/>
      </c>
      <c r="L68" s="229" t="str">
        <f t="shared" si="7"/>
        <v/>
      </c>
      <c r="M68" s="229" t="str">
        <f t="shared" si="8"/>
        <v/>
      </c>
      <c r="N68" s="229" t="str">
        <f>IFERROR(VLOOKUP(A68,DataCarteira!A65:K100,9,),"")</f>
        <v/>
      </c>
    </row>
    <row r="69" ht="30.75" customHeight="1">
      <c r="A69" s="221"/>
      <c r="B69" s="226" t="str">
        <f>IFERROR(VLOOKUP(A69,DataCarteira!A:B,2,),"")</f>
        <v/>
      </c>
      <c r="C69" s="227" t="str">
        <f>IFERROR(__xludf.DUMMYFUNCTION("IFERROR(IF(N69=Data!$A$11,INDEX(arrayformula(filter('Operações-Criptos'!H:H,'Operações-Criptos'!C:C&lt;&gt;"""",row('Operações-Criptos'!C:C)=max(if('Operações-Criptos'!C:C=A69,row('Operações-Criptos'!C:C),0)))),1),
INDEX(arrayformula(filter('Operações-BR'!M:M,'"&amp;"Operações-BR'!C:C&lt;&gt;"""",row('Operações-BR'!C:C)=max(if('Operações-BR'!C:C=A69,row('Operações-BR'!C:C),0)))) ,1)),"""")"),"")</f>
        <v/>
      </c>
      <c r="D69" s="228" t="str">
        <f t="shared" si="1"/>
        <v/>
      </c>
      <c r="E69" s="228" t="str">
        <f>IFERROR(__xludf.DUMMYFUNCTION("IFERROR(IF(N69=Data!$A$11,INDEX(arrayformula(filter('Operações-Criptos'!L:L,'Operações-Criptos'!C:C&lt;&gt;"""",row('Operações-Criptos'!C:C)=max(if('Operações-Criptos'!C:C=A69,row('Operações-Criptos'!C:C),0)))),1),
INDEX(arrayformula(filter('Operações-BR'!Q:Q,'"&amp;"Operações-BR'!C:C&lt;&gt;"""",row('Operações-BR'!C:C)=max(if('Operações-BR'!C:C=A69,row('Operações-BR'!C:C),0)))) ,1)),"""")"),"")</f>
        <v/>
      </c>
      <c r="F69" s="228" t="str">
        <f t="shared" si="2"/>
        <v/>
      </c>
      <c r="G69" s="228" t="str">
        <f>IF(A69&lt;&gt;"",SUMIF(Proventos!$A$2:$A100,A69,Proventos!$H$2:$H100),"")</f>
        <v/>
      </c>
      <c r="H69" s="228" t="str">
        <f t="shared" si="3"/>
        <v/>
      </c>
      <c r="I69" s="228" t="str">
        <f t="shared" si="4"/>
        <v/>
      </c>
      <c r="J69" s="228" t="str">
        <f t="shared" si="5"/>
        <v/>
      </c>
      <c r="K69" s="229" t="str">
        <f t="shared" si="6"/>
        <v/>
      </c>
      <c r="L69" s="229" t="str">
        <f t="shared" si="7"/>
        <v/>
      </c>
      <c r="M69" s="229" t="str">
        <f t="shared" si="8"/>
        <v/>
      </c>
      <c r="N69" s="229" t="str">
        <f>IFERROR(VLOOKUP(A69,DataCarteira!A66:K100,9,),"")</f>
        <v/>
      </c>
    </row>
    <row r="70" ht="30.75" customHeight="1">
      <c r="A70" s="221"/>
      <c r="B70" s="226" t="str">
        <f>IFERROR(VLOOKUP(A70,DataCarteira!A:B,2,),"")</f>
        <v/>
      </c>
      <c r="C70" s="227" t="str">
        <f>IFERROR(__xludf.DUMMYFUNCTION("IFERROR(IF(N70=Data!$A$11,INDEX(arrayformula(filter('Operações-Criptos'!H:H,'Operações-Criptos'!C:C&lt;&gt;"""",row('Operações-Criptos'!C:C)=max(if('Operações-Criptos'!C:C=A70,row('Operações-Criptos'!C:C),0)))),1),
INDEX(arrayformula(filter('Operações-BR'!M:M,'"&amp;"Operações-BR'!C:C&lt;&gt;"""",row('Operações-BR'!C:C)=max(if('Operações-BR'!C:C=A70,row('Operações-BR'!C:C),0)))) ,1)),"""")"),"")</f>
        <v/>
      </c>
      <c r="D70" s="228" t="str">
        <f t="shared" si="1"/>
        <v/>
      </c>
      <c r="E70" s="228" t="str">
        <f>IFERROR(__xludf.DUMMYFUNCTION("IFERROR(IF(N70=Data!$A$11,INDEX(arrayformula(filter('Operações-Criptos'!L:L,'Operações-Criptos'!C:C&lt;&gt;"""",row('Operações-Criptos'!C:C)=max(if('Operações-Criptos'!C:C=A70,row('Operações-Criptos'!C:C),0)))),1),
INDEX(arrayformula(filter('Operações-BR'!Q:Q,'"&amp;"Operações-BR'!C:C&lt;&gt;"""",row('Operações-BR'!C:C)=max(if('Operações-BR'!C:C=A70,row('Operações-BR'!C:C),0)))) ,1)),"""")"),"")</f>
        <v/>
      </c>
      <c r="F70" s="228" t="str">
        <f t="shared" si="2"/>
        <v/>
      </c>
      <c r="G70" s="228" t="str">
        <f>IF(A70&lt;&gt;"",SUMIF(Proventos!$A$2:$A100,A70,Proventos!$H$2:$H100),"")</f>
        <v/>
      </c>
      <c r="H70" s="228" t="str">
        <f t="shared" si="3"/>
        <v/>
      </c>
      <c r="I70" s="228" t="str">
        <f t="shared" si="4"/>
        <v/>
      </c>
      <c r="J70" s="228" t="str">
        <f t="shared" si="5"/>
        <v/>
      </c>
      <c r="K70" s="229" t="str">
        <f t="shared" si="6"/>
        <v/>
      </c>
      <c r="L70" s="229" t="str">
        <f t="shared" si="7"/>
        <v/>
      </c>
      <c r="M70" s="229" t="str">
        <f t="shared" si="8"/>
        <v/>
      </c>
      <c r="N70" s="229" t="str">
        <f>IFERROR(VLOOKUP(A70,DataCarteira!A67:K100,9,),"")</f>
        <v/>
      </c>
    </row>
    <row r="71" ht="30.75" customHeight="1">
      <c r="A71" s="221"/>
      <c r="B71" s="226" t="str">
        <f>IFERROR(VLOOKUP(A71,DataCarteira!A:B,2,),"")</f>
        <v/>
      </c>
      <c r="C71" s="227" t="str">
        <f>IFERROR(__xludf.DUMMYFUNCTION("IFERROR(IF(N71=Data!$A$11,INDEX(arrayformula(filter('Operações-Criptos'!H:H,'Operações-Criptos'!C:C&lt;&gt;"""",row('Operações-Criptos'!C:C)=max(if('Operações-Criptos'!C:C=A71,row('Operações-Criptos'!C:C),0)))),1),
INDEX(arrayformula(filter('Operações-BR'!M:M,'"&amp;"Operações-BR'!C:C&lt;&gt;"""",row('Operações-BR'!C:C)=max(if('Operações-BR'!C:C=A71,row('Operações-BR'!C:C),0)))) ,1)),"""")"),"")</f>
        <v/>
      </c>
      <c r="D71" s="228" t="str">
        <f t="shared" si="1"/>
        <v/>
      </c>
      <c r="E71" s="228" t="str">
        <f>IFERROR(__xludf.DUMMYFUNCTION("IFERROR(IF(N71=Data!$A$11,INDEX(arrayformula(filter('Operações-Criptos'!L:L,'Operações-Criptos'!C:C&lt;&gt;"""",row('Operações-Criptos'!C:C)=max(if('Operações-Criptos'!C:C=A71,row('Operações-Criptos'!C:C),0)))),1),
INDEX(arrayformula(filter('Operações-BR'!Q:Q,'"&amp;"Operações-BR'!C:C&lt;&gt;"""",row('Operações-BR'!C:C)=max(if('Operações-BR'!C:C=A71,row('Operações-BR'!C:C),0)))) ,1)),"""")"),"")</f>
        <v/>
      </c>
      <c r="F71" s="228" t="str">
        <f t="shared" si="2"/>
        <v/>
      </c>
      <c r="G71" s="228" t="str">
        <f>IF(A71&lt;&gt;"",SUMIF(Proventos!$A$2:$A100,A71,Proventos!$H$2:$H100),"")</f>
        <v/>
      </c>
      <c r="H71" s="228" t="str">
        <f t="shared" si="3"/>
        <v/>
      </c>
      <c r="I71" s="228" t="str">
        <f t="shared" si="4"/>
        <v/>
      </c>
      <c r="J71" s="228" t="str">
        <f t="shared" si="5"/>
        <v/>
      </c>
      <c r="K71" s="229" t="str">
        <f t="shared" si="6"/>
        <v/>
      </c>
      <c r="L71" s="229" t="str">
        <f t="shared" si="7"/>
        <v/>
      </c>
      <c r="M71" s="229" t="str">
        <f t="shared" si="8"/>
        <v/>
      </c>
      <c r="N71" s="229" t="str">
        <f>IFERROR(VLOOKUP(A71,DataCarteira!A68:K100,9,),"")</f>
        <v/>
      </c>
    </row>
    <row r="72" ht="30.75" customHeight="1">
      <c r="A72" s="221"/>
      <c r="B72" s="226" t="str">
        <f>IFERROR(VLOOKUP(A72,DataCarteira!A:B,2,),"")</f>
        <v/>
      </c>
      <c r="C72" s="227" t="str">
        <f>IFERROR(__xludf.DUMMYFUNCTION("IFERROR(IF(N72=Data!$A$11,INDEX(arrayformula(filter('Operações-Criptos'!H:H,'Operações-Criptos'!C:C&lt;&gt;"""",row('Operações-Criptos'!C:C)=max(if('Operações-Criptos'!C:C=A72,row('Operações-Criptos'!C:C),0)))),1),
INDEX(arrayformula(filter('Operações-BR'!M:M,'"&amp;"Operações-BR'!C:C&lt;&gt;"""",row('Operações-BR'!C:C)=max(if('Operações-BR'!C:C=A72,row('Operações-BR'!C:C),0)))) ,1)),"""")"),"")</f>
        <v/>
      </c>
      <c r="D72" s="228" t="str">
        <f t="shared" si="1"/>
        <v/>
      </c>
      <c r="E72" s="228" t="str">
        <f>IFERROR(__xludf.DUMMYFUNCTION("IFERROR(IF(N72=Data!$A$11,INDEX(arrayformula(filter('Operações-Criptos'!L:L,'Operações-Criptos'!C:C&lt;&gt;"""",row('Operações-Criptos'!C:C)=max(if('Operações-Criptos'!C:C=A72,row('Operações-Criptos'!C:C),0)))),1),
INDEX(arrayformula(filter('Operações-BR'!Q:Q,'"&amp;"Operações-BR'!C:C&lt;&gt;"""",row('Operações-BR'!C:C)=max(if('Operações-BR'!C:C=A72,row('Operações-BR'!C:C),0)))) ,1)),"""")"),"")</f>
        <v/>
      </c>
      <c r="F72" s="228" t="str">
        <f t="shared" si="2"/>
        <v/>
      </c>
      <c r="G72" s="228" t="str">
        <f>IF(A72&lt;&gt;"",SUMIF(Proventos!$A$2:$A100,A72,Proventos!$H$2:$H100),"")</f>
        <v/>
      </c>
      <c r="H72" s="228" t="str">
        <f t="shared" si="3"/>
        <v/>
      </c>
      <c r="I72" s="228" t="str">
        <f t="shared" si="4"/>
        <v/>
      </c>
      <c r="J72" s="228" t="str">
        <f t="shared" si="5"/>
        <v/>
      </c>
      <c r="K72" s="229" t="str">
        <f t="shared" si="6"/>
        <v/>
      </c>
      <c r="L72" s="229" t="str">
        <f t="shared" si="7"/>
        <v/>
      </c>
      <c r="M72" s="229" t="str">
        <f t="shared" si="8"/>
        <v/>
      </c>
      <c r="N72" s="229" t="str">
        <f>IFERROR(VLOOKUP(A72,DataCarteira!A69:K100,9,),"")</f>
        <v/>
      </c>
    </row>
    <row r="73" ht="30.75" customHeight="1">
      <c r="A73" s="221"/>
      <c r="B73" s="226" t="str">
        <f>IFERROR(VLOOKUP(A73,DataCarteira!A:B,2,),"")</f>
        <v/>
      </c>
      <c r="C73" s="227" t="str">
        <f>IFERROR(__xludf.DUMMYFUNCTION("IFERROR(IF(N73=Data!$A$11,INDEX(arrayformula(filter('Operações-Criptos'!H:H,'Operações-Criptos'!C:C&lt;&gt;"""",row('Operações-Criptos'!C:C)=max(if('Operações-Criptos'!C:C=A73,row('Operações-Criptos'!C:C),0)))),1),
INDEX(arrayformula(filter('Operações-BR'!M:M,'"&amp;"Operações-BR'!C:C&lt;&gt;"""",row('Operações-BR'!C:C)=max(if('Operações-BR'!C:C=A73,row('Operações-BR'!C:C),0)))) ,1)),"""")"),"")</f>
        <v/>
      </c>
      <c r="D73" s="228" t="str">
        <f t="shared" si="1"/>
        <v/>
      </c>
      <c r="E73" s="228" t="str">
        <f>IFERROR(__xludf.DUMMYFUNCTION("IFERROR(IF(N73=Data!$A$11,INDEX(arrayformula(filter('Operações-Criptos'!L:L,'Operações-Criptos'!C:C&lt;&gt;"""",row('Operações-Criptos'!C:C)=max(if('Operações-Criptos'!C:C=A73,row('Operações-Criptos'!C:C),0)))),1),
INDEX(arrayformula(filter('Operações-BR'!Q:Q,'"&amp;"Operações-BR'!C:C&lt;&gt;"""",row('Operações-BR'!C:C)=max(if('Operações-BR'!C:C=A73,row('Operações-BR'!C:C),0)))) ,1)),"""")"),"")</f>
        <v/>
      </c>
      <c r="F73" s="228" t="str">
        <f t="shared" si="2"/>
        <v/>
      </c>
      <c r="G73" s="228" t="str">
        <f>IF(A73&lt;&gt;"",SUMIF(Proventos!$A$2:$A100,A73,Proventos!$H$2:$H100),"")</f>
        <v/>
      </c>
      <c r="H73" s="228" t="str">
        <f t="shared" si="3"/>
        <v/>
      </c>
      <c r="I73" s="228" t="str">
        <f t="shared" si="4"/>
        <v/>
      </c>
      <c r="J73" s="228" t="str">
        <f t="shared" si="5"/>
        <v/>
      </c>
      <c r="K73" s="229" t="str">
        <f t="shared" si="6"/>
        <v/>
      </c>
      <c r="L73" s="229" t="str">
        <f t="shared" si="7"/>
        <v/>
      </c>
      <c r="M73" s="229" t="str">
        <f t="shared" si="8"/>
        <v/>
      </c>
      <c r="N73" s="229" t="str">
        <f>IFERROR(VLOOKUP(A73,DataCarteira!A70:K100,9,),"")</f>
        <v/>
      </c>
    </row>
    <row r="74" ht="30.75" customHeight="1">
      <c r="A74" s="221"/>
      <c r="B74" s="226" t="str">
        <f>IFERROR(VLOOKUP(A74,DataCarteira!A:B,2,),"")</f>
        <v/>
      </c>
      <c r="C74" s="227" t="str">
        <f>IFERROR(__xludf.DUMMYFUNCTION("IFERROR(IF(N74=Data!$A$11,INDEX(arrayformula(filter('Operações-Criptos'!H:H,'Operações-Criptos'!C:C&lt;&gt;"""",row('Operações-Criptos'!C:C)=max(if('Operações-Criptos'!C:C=A74,row('Operações-Criptos'!C:C),0)))),1),
INDEX(arrayformula(filter('Operações-BR'!M:M,'"&amp;"Operações-BR'!C:C&lt;&gt;"""",row('Operações-BR'!C:C)=max(if('Operações-BR'!C:C=A74,row('Operações-BR'!C:C),0)))) ,1)),"""")"),"")</f>
        <v/>
      </c>
      <c r="D74" s="228" t="str">
        <f t="shared" si="1"/>
        <v/>
      </c>
      <c r="E74" s="228" t="str">
        <f>IFERROR(__xludf.DUMMYFUNCTION("IFERROR(IF(N74=Data!$A$11,INDEX(arrayformula(filter('Operações-Criptos'!L:L,'Operações-Criptos'!C:C&lt;&gt;"""",row('Operações-Criptos'!C:C)=max(if('Operações-Criptos'!C:C=A74,row('Operações-Criptos'!C:C),0)))),1),
INDEX(arrayformula(filter('Operações-BR'!Q:Q,'"&amp;"Operações-BR'!C:C&lt;&gt;"""",row('Operações-BR'!C:C)=max(if('Operações-BR'!C:C=A74,row('Operações-BR'!C:C),0)))) ,1)),"""")"),"")</f>
        <v/>
      </c>
      <c r="F74" s="228" t="str">
        <f t="shared" si="2"/>
        <v/>
      </c>
      <c r="G74" s="228" t="str">
        <f>IF(A74&lt;&gt;"",SUMIF(Proventos!$A$2:$A100,A74,Proventos!$H$2:$H100),"")</f>
        <v/>
      </c>
      <c r="H74" s="228" t="str">
        <f t="shared" si="3"/>
        <v/>
      </c>
      <c r="I74" s="228" t="str">
        <f t="shared" si="4"/>
        <v/>
      </c>
      <c r="J74" s="228" t="str">
        <f t="shared" si="5"/>
        <v/>
      </c>
      <c r="K74" s="229" t="str">
        <f t="shared" si="6"/>
        <v/>
      </c>
      <c r="L74" s="229" t="str">
        <f t="shared" si="7"/>
        <v/>
      </c>
      <c r="M74" s="229" t="str">
        <f t="shared" si="8"/>
        <v/>
      </c>
      <c r="N74" s="229" t="str">
        <f>IFERROR(VLOOKUP(A74,DataCarteira!A71:K100,9,),"")</f>
        <v/>
      </c>
    </row>
    <row r="75" ht="30.75" customHeight="1">
      <c r="A75" s="221"/>
      <c r="B75" s="226" t="str">
        <f>IFERROR(VLOOKUP(A75,DataCarteira!A:B,2,),"")</f>
        <v/>
      </c>
      <c r="C75" s="227" t="str">
        <f>IFERROR(__xludf.DUMMYFUNCTION("IFERROR(IF(N75=Data!$A$11,INDEX(arrayformula(filter('Operações-Criptos'!H:H,'Operações-Criptos'!C:C&lt;&gt;"""",row('Operações-Criptos'!C:C)=max(if('Operações-Criptos'!C:C=A75,row('Operações-Criptos'!C:C),0)))),1),
INDEX(arrayformula(filter('Operações-BR'!M:M,'"&amp;"Operações-BR'!C:C&lt;&gt;"""",row('Operações-BR'!C:C)=max(if('Operações-BR'!C:C=A75,row('Operações-BR'!C:C),0)))) ,1)),"""")"),"")</f>
        <v/>
      </c>
      <c r="D75" s="228" t="str">
        <f t="shared" si="1"/>
        <v/>
      </c>
      <c r="E75" s="228" t="str">
        <f>IFERROR(__xludf.DUMMYFUNCTION("IFERROR(IF(N75=Data!$A$11,INDEX(arrayformula(filter('Operações-Criptos'!L:L,'Operações-Criptos'!C:C&lt;&gt;"""",row('Operações-Criptos'!C:C)=max(if('Operações-Criptos'!C:C=A75,row('Operações-Criptos'!C:C),0)))),1),
INDEX(arrayformula(filter('Operações-BR'!Q:Q,'"&amp;"Operações-BR'!C:C&lt;&gt;"""",row('Operações-BR'!C:C)=max(if('Operações-BR'!C:C=A75,row('Operações-BR'!C:C),0)))) ,1)),"""")"),"")</f>
        <v/>
      </c>
      <c r="F75" s="228" t="str">
        <f t="shared" si="2"/>
        <v/>
      </c>
      <c r="G75" s="228" t="str">
        <f>IF(A75&lt;&gt;"",SUMIF(Proventos!$A$2:$A100,A75,Proventos!$H$2:$H100),"")</f>
        <v/>
      </c>
      <c r="H75" s="228" t="str">
        <f t="shared" si="3"/>
        <v/>
      </c>
      <c r="I75" s="228" t="str">
        <f t="shared" si="4"/>
        <v/>
      </c>
      <c r="J75" s="228" t="str">
        <f t="shared" si="5"/>
        <v/>
      </c>
      <c r="K75" s="229" t="str">
        <f t="shared" si="6"/>
        <v/>
      </c>
      <c r="L75" s="229" t="str">
        <f t="shared" si="7"/>
        <v/>
      </c>
      <c r="M75" s="229" t="str">
        <f t="shared" si="8"/>
        <v/>
      </c>
      <c r="N75" s="229" t="str">
        <f>IFERROR(VLOOKUP(A75,DataCarteira!A72:K100,9,),"")</f>
        <v/>
      </c>
    </row>
    <row r="76" ht="30.75" customHeight="1">
      <c r="A76" s="221"/>
      <c r="B76" s="226" t="str">
        <f>IFERROR(VLOOKUP(A76,DataCarteira!A:B,2,),"")</f>
        <v/>
      </c>
      <c r="C76" s="227" t="str">
        <f>IFERROR(__xludf.DUMMYFUNCTION("IFERROR(IF(N76=Data!$A$11,INDEX(arrayformula(filter('Operações-Criptos'!H:H,'Operações-Criptos'!C:C&lt;&gt;"""",row('Operações-Criptos'!C:C)=max(if('Operações-Criptos'!C:C=A76,row('Operações-Criptos'!C:C),0)))),1),
INDEX(arrayformula(filter('Operações-BR'!M:M,'"&amp;"Operações-BR'!C:C&lt;&gt;"""",row('Operações-BR'!C:C)=max(if('Operações-BR'!C:C=A76,row('Operações-BR'!C:C),0)))) ,1)),"""")"),"")</f>
        <v/>
      </c>
      <c r="D76" s="228" t="str">
        <f t="shared" si="1"/>
        <v/>
      </c>
      <c r="E76" s="228" t="str">
        <f>IFERROR(__xludf.DUMMYFUNCTION("IFERROR(IF(N76=Data!$A$11,INDEX(arrayformula(filter('Operações-Criptos'!L:L,'Operações-Criptos'!C:C&lt;&gt;"""",row('Operações-Criptos'!C:C)=max(if('Operações-Criptos'!C:C=A76,row('Operações-Criptos'!C:C),0)))),1),
INDEX(arrayformula(filter('Operações-BR'!Q:Q,'"&amp;"Operações-BR'!C:C&lt;&gt;"""",row('Operações-BR'!C:C)=max(if('Operações-BR'!C:C=A76,row('Operações-BR'!C:C),0)))) ,1)),"""")"),"")</f>
        <v/>
      </c>
      <c r="F76" s="228" t="str">
        <f t="shared" si="2"/>
        <v/>
      </c>
      <c r="G76" s="228" t="str">
        <f>IF(A76&lt;&gt;"",SUMIF(Proventos!$A$2:$A100,A76,Proventos!$H$2:$H100),"")</f>
        <v/>
      </c>
      <c r="H76" s="228" t="str">
        <f t="shared" si="3"/>
        <v/>
      </c>
      <c r="I76" s="228" t="str">
        <f t="shared" si="4"/>
        <v/>
      </c>
      <c r="J76" s="228" t="str">
        <f t="shared" si="5"/>
        <v/>
      </c>
      <c r="K76" s="229" t="str">
        <f t="shared" si="6"/>
        <v/>
      </c>
      <c r="L76" s="229" t="str">
        <f t="shared" si="7"/>
        <v/>
      </c>
      <c r="M76" s="229" t="str">
        <f t="shared" si="8"/>
        <v/>
      </c>
      <c r="N76" s="229" t="str">
        <f>IFERROR(VLOOKUP(A76,DataCarteira!A73:K100,9,),"")</f>
        <v/>
      </c>
    </row>
    <row r="77" ht="30.75" customHeight="1">
      <c r="A77" s="221"/>
      <c r="B77" s="226" t="str">
        <f>IFERROR(VLOOKUP(A77,DataCarteira!A:B,2,),"")</f>
        <v/>
      </c>
      <c r="C77" s="227" t="str">
        <f>IFERROR(__xludf.DUMMYFUNCTION("IFERROR(IF(N77=Data!$A$11,INDEX(arrayformula(filter('Operações-Criptos'!H:H,'Operações-Criptos'!C:C&lt;&gt;"""",row('Operações-Criptos'!C:C)=max(if('Operações-Criptos'!C:C=A77,row('Operações-Criptos'!C:C),0)))),1),
INDEX(arrayformula(filter('Operações-BR'!M:M,'"&amp;"Operações-BR'!C:C&lt;&gt;"""",row('Operações-BR'!C:C)=max(if('Operações-BR'!C:C=A77,row('Operações-BR'!C:C),0)))) ,1)),"""")"),"")</f>
        <v/>
      </c>
      <c r="D77" s="228" t="str">
        <f t="shared" si="1"/>
        <v/>
      </c>
      <c r="E77" s="228" t="str">
        <f>IFERROR(__xludf.DUMMYFUNCTION("IFERROR(IF(N77=Data!$A$11,INDEX(arrayformula(filter('Operações-Criptos'!L:L,'Operações-Criptos'!C:C&lt;&gt;"""",row('Operações-Criptos'!C:C)=max(if('Operações-Criptos'!C:C=A77,row('Operações-Criptos'!C:C),0)))),1),
INDEX(arrayformula(filter('Operações-BR'!Q:Q,'"&amp;"Operações-BR'!C:C&lt;&gt;"""",row('Operações-BR'!C:C)=max(if('Operações-BR'!C:C=A77,row('Operações-BR'!C:C),0)))) ,1)),"""")"),"")</f>
        <v/>
      </c>
      <c r="F77" s="228" t="str">
        <f t="shared" si="2"/>
        <v/>
      </c>
      <c r="G77" s="228" t="str">
        <f>IF(A77&lt;&gt;"",SUMIF(Proventos!$A$2:$A100,A77,Proventos!$H$2:$H100),"")</f>
        <v/>
      </c>
      <c r="H77" s="228" t="str">
        <f t="shared" si="3"/>
        <v/>
      </c>
      <c r="I77" s="228" t="str">
        <f t="shared" si="4"/>
        <v/>
      </c>
      <c r="J77" s="228" t="str">
        <f t="shared" si="5"/>
        <v/>
      </c>
      <c r="K77" s="229" t="str">
        <f t="shared" si="6"/>
        <v/>
      </c>
      <c r="L77" s="229" t="str">
        <f t="shared" si="7"/>
        <v/>
      </c>
      <c r="M77" s="229" t="str">
        <f t="shared" si="8"/>
        <v/>
      </c>
      <c r="N77" s="229" t="str">
        <f>IFERROR(VLOOKUP(A77,DataCarteira!A74:K100,9,),"")</f>
        <v/>
      </c>
    </row>
    <row r="78" ht="30.75" customHeight="1">
      <c r="A78" s="221"/>
      <c r="B78" s="226" t="str">
        <f>IFERROR(VLOOKUP(A78,DataCarteira!A:B,2,),"")</f>
        <v/>
      </c>
      <c r="C78" s="227" t="str">
        <f>IFERROR(__xludf.DUMMYFUNCTION("IFERROR(IF(N78=Data!$A$11,INDEX(arrayformula(filter('Operações-Criptos'!H:H,'Operações-Criptos'!C:C&lt;&gt;"""",row('Operações-Criptos'!C:C)=max(if('Operações-Criptos'!C:C=A78,row('Operações-Criptos'!C:C),0)))),1),
INDEX(arrayformula(filter('Operações-BR'!M:M,'"&amp;"Operações-BR'!C:C&lt;&gt;"""",row('Operações-BR'!C:C)=max(if('Operações-BR'!C:C=A78,row('Operações-BR'!C:C),0)))) ,1)),"""")"),"")</f>
        <v/>
      </c>
      <c r="D78" s="228" t="str">
        <f t="shared" si="1"/>
        <v/>
      </c>
      <c r="E78" s="228" t="str">
        <f>IFERROR(__xludf.DUMMYFUNCTION("IFERROR(IF(N78=Data!$A$11,INDEX(arrayformula(filter('Operações-Criptos'!L:L,'Operações-Criptos'!C:C&lt;&gt;"""",row('Operações-Criptos'!C:C)=max(if('Operações-Criptos'!C:C=A78,row('Operações-Criptos'!C:C),0)))),1),
INDEX(arrayformula(filter('Operações-BR'!Q:Q,'"&amp;"Operações-BR'!C:C&lt;&gt;"""",row('Operações-BR'!C:C)=max(if('Operações-BR'!C:C=A78,row('Operações-BR'!C:C),0)))) ,1)),"""")"),"")</f>
        <v/>
      </c>
      <c r="F78" s="228" t="str">
        <f t="shared" si="2"/>
        <v/>
      </c>
      <c r="G78" s="228" t="str">
        <f>IF(A78&lt;&gt;"",SUMIF(Proventos!$A$2:$A100,A78,Proventos!$H$2:$H100),"")</f>
        <v/>
      </c>
      <c r="H78" s="228" t="str">
        <f t="shared" si="3"/>
        <v/>
      </c>
      <c r="I78" s="228" t="str">
        <f t="shared" si="4"/>
        <v/>
      </c>
      <c r="J78" s="228" t="str">
        <f t="shared" si="5"/>
        <v/>
      </c>
      <c r="K78" s="229" t="str">
        <f t="shared" si="6"/>
        <v/>
      </c>
      <c r="L78" s="229" t="str">
        <f t="shared" si="7"/>
        <v/>
      </c>
      <c r="M78" s="229" t="str">
        <f t="shared" si="8"/>
        <v/>
      </c>
      <c r="N78" s="229" t="str">
        <f>IFERROR(VLOOKUP(A78,DataCarteira!A75:K100,9,),"")</f>
        <v/>
      </c>
    </row>
    <row r="79" ht="30.75" customHeight="1">
      <c r="A79" s="221"/>
      <c r="B79" s="226" t="str">
        <f>IFERROR(VLOOKUP(A79,DataCarteira!A:B,2,),"")</f>
        <v/>
      </c>
      <c r="C79" s="227" t="str">
        <f>IFERROR(__xludf.DUMMYFUNCTION("IFERROR(IF(N79=Data!$A$11,INDEX(arrayformula(filter('Operações-Criptos'!H:H,'Operações-Criptos'!C:C&lt;&gt;"""",row('Operações-Criptos'!C:C)=max(if('Operações-Criptos'!C:C=A79,row('Operações-Criptos'!C:C),0)))),1),
INDEX(arrayformula(filter('Operações-BR'!M:M,'"&amp;"Operações-BR'!C:C&lt;&gt;"""",row('Operações-BR'!C:C)=max(if('Operações-BR'!C:C=A79,row('Operações-BR'!C:C),0)))) ,1)),"""")"),"")</f>
        <v/>
      </c>
      <c r="D79" s="228" t="str">
        <f t="shared" si="1"/>
        <v/>
      </c>
      <c r="E79" s="228" t="str">
        <f>IFERROR(__xludf.DUMMYFUNCTION("IFERROR(IF(N79=Data!$A$11,INDEX(arrayformula(filter('Operações-Criptos'!L:L,'Operações-Criptos'!C:C&lt;&gt;"""",row('Operações-Criptos'!C:C)=max(if('Operações-Criptos'!C:C=A79,row('Operações-Criptos'!C:C),0)))),1),
INDEX(arrayformula(filter('Operações-BR'!Q:Q,'"&amp;"Operações-BR'!C:C&lt;&gt;"""",row('Operações-BR'!C:C)=max(if('Operações-BR'!C:C=A79,row('Operações-BR'!C:C),0)))) ,1)),"""")"),"")</f>
        <v/>
      </c>
      <c r="F79" s="228" t="str">
        <f t="shared" si="2"/>
        <v/>
      </c>
      <c r="G79" s="228" t="str">
        <f>IF(A79&lt;&gt;"",SUMIF(Proventos!$A$2:$A100,A79,Proventos!$H$2:$H100),"")</f>
        <v/>
      </c>
      <c r="H79" s="228" t="str">
        <f t="shared" si="3"/>
        <v/>
      </c>
      <c r="I79" s="228" t="str">
        <f t="shared" si="4"/>
        <v/>
      </c>
      <c r="J79" s="228" t="str">
        <f t="shared" si="5"/>
        <v/>
      </c>
      <c r="K79" s="229" t="str">
        <f t="shared" si="6"/>
        <v/>
      </c>
      <c r="L79" s="229" t="str">
        <f t="shared" si="7"/>
        <v/>
      </c>
      <c r="M79" s="229" t="str">
        <f t="shared" si="8"/>
        <v/>
      </c>
      <c r="N79" s="229" t="str">
        <f>IFERROR(VLOOKUP(A79,DataCarteira!A76:K100,9,),"")</f>
        <v/>
      </c>
    </row>
    <row r="80" ht="30.75" customHeight="1">
      <c r="A80" s="221"/>
      <c r="B80" s="226" t="str">
        <f>IFERROR(VLOOKUP(A80,DataCarteira!A:B,2,),"")</f>
        <v/>
      </c>
      <c r="C80" s="227" t="str">
        <f>IFERROR(__xludf.DUMMYFUNCTION("IFERROR(IF(N80=Data!$A$11,INDEX(arrayformula(filter('Operações-Criptos'!H:H,'Operações-Criptos'!C:C&lt;&gt;"""",row('Operações-Criptos'!C:C)=max(if('Operações-Criptos'!C:C=A80,row('Operações-Criptos'!C:C),0)))),1),
INDEX(arrayformula(filter('Operações-BR'!M:M,'"&amp;"Operações-BR'!C:C&lt;&gt;"""",row('Operações-BR'!C:C)=max(if('Operações-BR'!C:C=A80,row('Operações-BR'!C:C),0)))) ,1)),"""")"),"")</f>
        <v/>
      </c>
      <c r="D80" s="228" t="str">
        <f t="shared" si="1"/>
        <v/>
      </c>
      <c r="E80" s="228" t="str">
        <f>IFERROR(__xludf.DUMMYFUNCTION("IFERROR(IF(N80=Data!$A$11,INDEX(arrayformula(filter('Operações-Criptos'!L:L,'Operações-Criptos'!C:C&lt;&gt;"""",row('Operações-Criptos'!C:C)=max(if('Operações-Criptos'!C:C=A80,row('Operações-Criptos'!C:C),0)))),1),
INDEX(arrayformula(filter('Operações-BR'!Q:Q,'"&amp;"Operações-BR'!C:C&lt;&gt;"""",row('Operações-BR'!C:C)=max(if('Operações-BR'!C:C=A80,row('Operações-BR'!C:C),0)))) ,1)),"""")"),"")</f>
        <v/>
      </c>
      <c r="F80" s="228" t="str">
        <f t="shared" si="2"/>
        <v/>
      </c>
      <c r="G80" s="228" t="str">
        <f>IF(A80&lt;&gt;"",SUMIF(Proventos!$A$2:$A100,A80,Proventos!$H$2:$H100),"")</f>
        <v/>
      </c>
      <c r="H80" s="228" t="str">
        <f t="shared" si="3"/>
        <v/>
      </c>
      <c r="I80" s="228" t="str">
        <f t="shared" si="4"/>
        <v/>
      </c>
      <c r="J80" s="228" t="str">
        <f t="shared" si="5"/>
        <v/>
      </c>
      <c r="K80" s="229" t="str">
        <f t="shared" si="6"/>
        <v/>
      </c>
      <c r="L80" s="229" t="str">
        <f t="shared" si="7"/>
        <v/>
      </c>
      <c r="M80" s="229" t="str">
        <f t="shared" si="8"/>
        <v/>
      </c>
      <c r="N80" s="229" t="str">
        <f>IFERROR(VLOOKUP(A80,DataCarteira!A77:K100,9,),"")</f>
        <v/>
      </c>
    </row>
    <row r="81" ht="30.75" customHeight="1">
      <c r="A81" s="221"/>
      <c r="B81" s="226" t="str">
        <f>IFERROR(VLOOKUP(A81,DataCarteira!A:B,2,),"")</f>
        <v/>
      </c>
      <c r="C81" s="227" t="str">
        <f>IFERROR(__xludf.DUMMYFUNCTION("IFERROR(IF(N81=Data!$A$11,INDEX(arrayformula(filter('Operações-Criptos'!H:H,'Operações-Criptos'!C:C&lt;&gt;"""",row('Operações-Criptos'!C:C)=max(if('Operações-Criptos'!C:C=A81,row('Operações-Criptos'!C:C),0)))),1),
INDEX(arrayformula(filter('Operações-BR'!M:M,'"&amp;"Operações-BR'!C:C&lt;&gt;"""",row('Operações-BR'!C:C)=max(if('Operações-BR'!C:C=A81,row('Operações-BR'!C:C),0)))) ,1)),"""")"),"")</f>
        <v/>
      </c>
      <c r="D81" s="228" t="str">
        <f t="shared" si="1"/>
        <v/>
      </c>
      <c r="E81" s="228" t="str">
        <f>IFERROR(__xludf.DUMMYFUNCTION("IFERROR(IF(N81=Data!$A$11,INDEX(arrayformula(filter('Operações-Criptos'!L:L,'Operações-Criptos'!C:C&lt;&gt;"""",row('Operações-Criptos'!C:C)=max(if('Operações-Criptos'!C:C=A81,row('Operações-Criptos'!C:C),0)))),1),
INDEX(arrayformula(filter('Operações-BR'!Q:Q,'"&amp;"Operações-BR'!C:C&lt;&gt;"""",row('Operações-BR'!C:C)=max(if('Operações-BR'!C:C=A81,row('Operações-BR'!C:C),0)))) ,1)),"""")"),"")</f>
        <v/>
      </c>
      <c r="F81" s="228" t="str">
        <f t="shared" si="2"/>
        <v/>
      </c>
      <c r="G81" s="228" t="str">
        <f>IF(A81&lt;&gt;"",SUMIF(Proventos!$A$2:$A100,A81,Proventos!$H$2:$H100),"")</f>
        <v/>
      </c>
      <c r="H81" s="228" t="str">
        <f t="shared" si="3"/>
        <v/>
      </c>
      <c r="I81" s="228" t="str">
        <f t="shared" si="4"/>
        <v/>
      </c>
      <c r="J81" s="228" t="str">
        <f t="shared" si="5"/>
        <v/>
      </c>
      <c r="K81" s="229" t="str">
        <f t="shared" si="6"/>
        <v/>
      </c>
      <c r="L81" s="229" t="str">
        <f t="shared" si="7"/>
        <v/>
      </c>
      <c r="M81" s="229" t="str">
        <f t="shared" si="8"/>
        <v/>
      </c>
      <c r="N81" s="229" t="str">
        <f>IFERROR(VLOOKUP(A81,DataCarteira!A78:K100,9,),"")</f>
        <v/>
      </c>
    </row>
    <row r="82" ht="30.75" customHeight="1">
      <c r="A82" s="221"/>
      <c r="B82" s="226" t="str">
        <f>IFERROR(VLOOKUP(A82,DataCarteira!A:B,2,),"")</f>
        <v/>
      </c>
      <c r="C82" s="227" t="str">
        <f>IFERROR(__xludf.DUMMYFUNCTION("IFERROR(IF(N82=Data!$A$11,INDEX(arrayformula(filter('Operações-Criptos'!H:H,'Operações-Criptos'!C:C&lt;&gt;"""",row('Operações-Criptos'!C:C)=max(if('Operações-Criptos'!C:C=A82,row('Operações-Criptos'!C:C),0)))),1),
INDEX(arrayformula(filter('Operações-BR'!M:M,'"&amp;"Operações-BR'!C:C&lt;&gt;"""",row('Operações-BR'!C:C)=max(if('Operações-BR'!C:C=A82,row('Operações-BR'!C:C),0)))) ,1)),"""")"),"")</f>
        <v/>
      </c>
      <c r="D82" s="228" t="str">
        <f t="shared" si="1"/>
        <v/>
      </c>
      <c r="E82" s="228" t="str">
        <f>IFERROR(__xludf.DUMMYFUNCTION("IFERROR(IF(N82=Data!$A$11,INDEX(arrayformula(filter('Operações-Criptos'!L:L,'Operações-Criptos'!C:C&lt;&gt;"""",row('Operações-Criptos'!C:C)=max(if('Operações-Criptos'!C:C=A82,row('Operações-Criptos'!C:C),0)))),1),
INDEX(arrayformula(filter('Operações-BR'!Q:Q,'"&amp;"Operações-BR'!C:C&lt;&gt;"""",row('Operações-BR'!C:C)=max(if('Operações-BR'!C:C=A82,row('Operações-BR'!C:C),0)))) ,1)),"""")"),"")</f>
        <v/>
      </c>
      <c r="F82" s="228" t="str">
        <f t="shared" si="2"/>
        <v/>
      </c>
      <c r="G82" s="228" t="str">
        <f>IF(A82&lt;&gt;"",SUMIF(Proventos!$A$2:$A100,A82,Proventos!$H$2:$H100),"")</f>
        <v/>
      </c>
      <c r="H82" s="228" t="str">
        <f t="shared" si="3"/>
        <v/>
      </c>
      <c r="I82" s="228" t="str">
        <f t="shared" si="4"/>
        <v/>
      </c>
      <c r="J82" s="228" t="str">
        <f t="shared" si="5"/>
        <v/>
      </c>
      <c r="K82" s="229" t="str">
        <f t="shared" si="6"/>
        <v/>
      </c>
      <c r="L82" s="229" t="str">
        <f t="shared" si="7"/>
        <v/>
      </c>
      <c r="M82" s="229" t="str">
        <f t="shared" si="8"/>
        <v/>
      </c>
      <c r="N82" s="229" t="str">
        <f>IFERROR(VLOOKUP(A82,DataCarteira!A79:K100,9,),"")</f>
        <v/>
      </c>
    </row>
    <row r="83" ht="30.75" customHeight="1">
      <c r="A83" s="221"/>
      <c r="B83" s="226" t="str">
        <f>IFERROR(VLOOKUP(A83,DataCarteira!A:B,2,),"")</f>
        <v/>
      </c>
      <c r="C83" s="227" t="str">
        <f>IFERROR(__xludf.DUMMYFUNCTION("IFERROR(IF(N83=Data!$A$11,INDEX(arrayformula(filter('Operações-Criptos'!H:H,'Operações-Criptos'!C:C&lt;&gt;"""",row('Operações-Criptos'!C:C)=max(if('Operações-Criptos'!C:C=A83,row('Operações-Criptos'!C:C),0)))),1),
INDEX(arrayformula(filter('Operações-BR'!M:M,'"&amp;"Operações-BR'!C:C&lt;&gt;"""",row('Operações-BR'!C:C)=max(if('Operações-BR'!C:C=A83,row('Operações-BR'!C:C),0)))) ,1)),"""")"),"")</f>
        <v/>
      </c>
      <c r="D83" s="228" t="str">
        <f t="shared" si="1"/>
        <v/>
      </c>
      <c r="E83" s="228" t="str">
        <f>IFERROR(__xludf.DUMMYFUNCTION("IFERROR(IF(N83=Data!$A$11,INDEX(arrayformula(filter('Operações-Criptos'!L:L,'Operações-Criptos'!C:C&lt;&gt;"""",row('Operações-Criptos'!C:C)=max(if('Operações-Criptos'!C:C=A83,row('Operações-Criptos'!C:C),0)))),1),
INDEX(arrayformula(filter('Operações-BR'!Q:Q,'"&amp;"Operações-BR'!C:C&lt;&gt;"""",row('Operações-BR'!C:C)=max(if('Operações-BR'!C:C=A83,row('Operações-BR'!C:C),0)))) ,1)),"""")"),"")</f>
        <v/>
      </c>
      <c r="F83" s="228" t="str">
        <f t="shared" si="2"/>
        <v/>
      </c>
      <c r="G83" s="228" t="str">
        <f>IF(A83&lt;&gt;"",SUMIF(Proventos!$A$2:$A100,A83,Proventos!$H$2:$H100),"")</f>
        <v/>
      </c>
      <c r="H83" s="228" t="str">
        <f t="shared" si="3"/>
        <v/>
      </c>
      <c r="I83" s="228" t="str">
        <f t="shared" si="4"/>
        <v/>
      </c>
      <c r="J83" s="228" t="str">
        <f t="shared" si="5"/>
        <v/>
      </c>
      <c r="K83" s="229" t="str">
        <f t="shared" si="6"/>
        <v/>
      </c>
      <c r="L83" s="229" t="str">
        <f t="shared" si="7"/>
        <v/>
      </c>
      <c r="M83" s="229" t="str">
        <f t="shared" si="8"/>
        <v/>
      </c>
      <c r="N83" s="229" t="str">
        <f>IFERROR(VLOOKUP(A83,DataCarteira!A80:K100,9,),"")</f>
        <v/>
      </c>
    </row>
    <row r="84" ht="30.75" customHeight="1">
      <c r="A84" s="221"/>
      <c r="B84" s="226" t="str">
        <f>IFERROR(VLOOKUP(A84,DataCarteira!A:B,2,),"")</f>
        <v/>
      </c>
      <c r="C84" s="227" t="str">
        <f>IFERROR(__xludf.DUMMYFUNCTION("IFERROR(IF(N84=Data!$A$11,INDEX(arrayformula(filter('Operações-Criptos'!H:H,'Operações-Criptos'!C:C&lt;&gt;"""",row('Operações-Criptos'!C:C)=max(if('Operações-Criptos'!C:C=A84,row('Operações-Criptos'!C:C),0)))),1),
INDEX(arrayformula(filter('Operações-BR'!M:M,'"&amp;"Operações-BR'!C:C&lt;&gt;"""",row('Operações-BR'!C:C)=max(if('Operações-BR'!C:C=A84,row('Operações-BR'!C:C),0)))) ,1)),"""")"),"")</f>
        <v/>
      </c>
      <c r="D84" s="228" t="str">
        <f t="shared" si="1"/>
        <v/>
      </c>
      <c r="E84" s="228" t="str">
        <f>IFERROR(__xludf.DUMMYFUNCTION("IFERROR(IF(N84=Data!$A$11,INDEX(arrayformula(filter('Operações-Criptos'!L:L,'Operações-Criptos'!C:C&lt;&gt;"""",row('Operações-Criptos'!C:C)=max(if('Operações-Criptos'!C:C=A84,row('Operações-Criptos'!C:C),0)))),1),
INDEX(arrayformula(filter('Operações-BR'!Q:Q,'"&amp;"Operações-BR'!C:C&lt;&gt;"""",row('Operações-BR'!C:C)=max(if('Operações-BR'!C:C=A84,row('Operações-BR'!C:C),0)))) ,1)),"""")"),"")</f>
        <v/>
      </c>
      <c r="F84" s="228" t="str">
        <f t="shared" si="2"/>
        <v/>
      </c>
      <c r="G84" s="228" t="str">
        <f>IF(A84&lt;&gt;"",SUMIF(Proventos!$A$2:$A100,A84,Proventos!$H$2:$H100),"")</f>
        <v/>
      </c>
      <c r="H84" s="228" t="str">
        <f t="shared" si="3"/>
        <v/>
      </c>
      <c r="I84" s="228" t="str">
        <f t="shared" si="4"/>
        <v/>
      </c>
      <c r="J84" s="228" t="str">
        <f t="shared" si="5"/>
        <v/>
      </c>
      <c r="K84" s="229" t="str">
        <f t="shared" si="6"/>
        <v/>
      </c>
      <c r="L84" s="229" t="str">
        <f t="shared" si="7"/>
        <v/>
      </c>
      <c r="M84" s="229" t="str">
        <f t="shared" si="8"/>
        <v/>
      </c>
      <c r="N84" s="229" t="str">
        <f>IFERROR(VLOOKUP(A84,DataCarteira!A81:K100,9,),"")</f>
        <v/>
      </c>
    </row>
    <row r="85" ht="30.75" customHeight="1">
      <c r="A85" s="221"/>
      <c r="B85" s="226" t="str">
        <f>IFERROR(VLOOKUP(A85,DataCarteira!A:B,2,),"")</f>
        <v/>
      </c>
      <c r="C85" s="227" t="str">
        <f>IFERROR(__xludf.DUMMYFUNCTION("IFERROR(IF(N85=Data!$A$11,INDEX(arrayformula(filter('Operações-Criptos'!H:H,'Operações-Criptos'!C:C&lt;&gt;"""",row('Operações-Criptos'!C:C)=max(if('Operações-Criptos'!C:C=A85,row('Operações-Criptos'!C:C),0)))),1),
INDEX(arrayformula(filter('Operações-BR'!M:M,'"&amp;"Operações-BR'!C:C&lt;&gt;"""",row('Operações-BR'!C:C)=max(if('Operações-BR'!C:C=A85,row('Operações-BR'!C:C),0)))) ,1)),"""")"),"")</f>
        <v/>
      </c>
      <c r="D85" s="228" t="str">
        <f t="shared" si="1"/>
        <v/>
      </c>
      <c r="E85" s="228" t="str">
        <f>IFERROR(__xludf.DUMMYFUNCTION("IFERROR(IF(N85=Data!$A$11,INDEX(arrayformula(filter('Operações-Criptos'!L:L,'Operações-Criptos'!C:C&lt;&gt;"""",row('Operações-Criptos'!C:C)=max(if('Operações-Criptos'!C:C=A85,row('Operações-Criptos'!C:C),0)))),1),
INDEX(arrayformula(filter('Operações-BR'!Q:Q,'"&amp;"Operações-BR'!C:C&lt;&gt;"""",row('Operações-BR'!C:C)=max(if('Operações-BR'!C:C=A85,row('Operações-BR'!C:C),0)))) ,1)),"""")"),"")</f>
        <v/>
      </c>
      <c r="F85" s="228" t="str">
        <f t="shared" si="2"/>
        <v/>
      </c>
      <c r="G85" s="228" t="str">
        <f>IF(A85&lt;&gt;"",SUMIF(Proventos!$A$2:$A100,A85,Proventos!$H$2:$H100),"")</f>
        <v/>
      </c>
      <c r="H85" s="228" t="str">
        <f t="shared" si="3"/>
        <v/>
      </c>
      <c r="I85" s="228" t="str">
        <f t="shared" si="4"/>
        <v/>
      </c>
      <c r="J85" s="228" t="str">
        <f t="shared" si="5"/>
        <v/>
      </c>
      <c r="K85" s="229" t="str">
        <f t="shared" si="6"/>
        <v/>
      </c>
      <c r="L85" s="229" t="str">
        <f t="shared" si="7"/>
        <v/>
      </c>
      <c r="M85" s="229" t="str">
        <f t="shared" si="8"/>
        <v/>
      </c>
      <c r="N85" s="229" t="str">
        <f>IFERROR(VLOOKUP(A85,DataCarteira!A82:K100,9,),"")</f>
        <v/>
      </c>
    </row>
    <row r="86" ht="30.75" customHeight="1">
      <c r="A86" s="221"/>
      <c r="B86" s="226" t="str">
        <f>IFERROR(VLOOKUP(A86,DataCarteira!A:B,2,),"")</f>
        <v/>
      </c>
      <c r="C86" s="227" t="str">
        <f>IFERROR(__xludf.DUMMYFUNCTION("IFERROR(IF(N86=Data!$A$11,INDEX(arrayformula(filter('Operações-Criptos'!H:H,'Operações-Criptos'!C:C&lt;&gt;"""",row('Operações-Criptos'!C:C)=max(if('Operações-Criptos'!C:C=A86,row('Operações-Criptos'!C:C),0)))),1),
INDEX(arrayformula(filter('Operações-BR'!M:M,'"&amp;"Operações-BR'!C:C&lt;&gt;"""",row('Operações-BR'!C:C)=max(if('Operações-BR'!C:C=A86,row('Operações-BR'!C:C),0)))) ,1)),"""")"),"")</f>
        <v/>
      </c>
      <c r="D86" s="228" t="str">
        <f t="shared" si="1"/>
        <v/>
      </c>
      <c r="E86" s="228" t="str">
        <f>IFERROR(__xludf.DUMMYFUNCTION("IFERROR(IF(N86=Data!$A$11,INDEX(arrayformula(filter('Operações-Criptos'!L:L,'Operações-Criptos'!C:C&lt;&gt;"""",row('Operações-Criptos'!C:C)=max(if('Operações-Criptos'!C:C=A86,row('Operações-Criptos'!C:C),0)))),1),
INDEX(arrayformula(filter('Operações-BR'!Q:Q,'"&amp;"Operações-BR'!C:C&lt;&gt;"""",row('Operações-BR'!C:C)=max(if('Operações-BR'!C:C=A86,row('Operações-BR'!C:C),0)))) ,1)),"""")"),"")</f>
        <v/>
      </c>
      <c r="F86" s="228" t="str">
        <f t="shared" si="2"/>
        <v/>
      </c>
      <c r="G86" s="228" t="str">
        <f>IF(A86&lt;&gt;"",SUMIF(Proventos!$A$2:$A100,A86,Proventos!$H$2:$H100),"")</f>
        <v/>
      </c>
      <c r="H86" s="228" t="str">
        <f t="shared" si="3"/>
        <v/>
      </c>
      <c r="I86" s="228" t="str">
        <f t="shared" si="4"/>
        <v/>
      </c>
      <c r="J86" s="228" t="str">
        <f t="shared" si="5"/>
        <v/>
      </c>
      <c r="K86" s="229" t="str">
        <f t="shared" si="6"/>
        <v/>
      </c>
      <c r="L86" s="229" t="str">
        <f t="shared" si="7"/>
        <v/>
      </c>
      <c r="M86" s="229" t="str">
        <f t="shared" si="8"/>
        <v/>
      </c>
      <c r="N86" s="229" t="str">
        <f>IFERROR(VLOOKUP(A86,DataCarteira!A83:K100,9,),"")</f>
        <v/>
      </c>
    </row>
    <row r="87" ht="30.75" customHeight="1">
      <c r="A87" s="221"/>
      <c r="B87" s="226" t="str">
        <f>IFERROR(VLOOKUP(A87,DataCarteira!A:B,2,),"")</f>
        <v/>
      </c>
      <c r="C87" s="227" t="str">
        <f>IFERROR(__xludf.DUMMYFUNCTION("IFERROR(IF(N87=Data!$A$11,INDEX(arrayformula(filter('Operações-Criptos'!H:H,'Operações-Criptos'!C:C&lt;&gt;"""",row('Operações-Criptos'!C:C)=max(if('Operações-Criptos'!C:C=A87,row('Operações-Criptos'!C:C),0)))),1),
INDEX(arrayformula(filter('Operações-BR'!M:M,'"&amp;"Operações-BR'!C:C&lt;&gt;"""",row('Operações-BR'!C:C)=max(if('Operações-BR'!C:C=A87,row('Operações-BR'!C:C),0)))) ,1)),"""")"),"")</f>
        <v/>
      </c>
      <c r="D87" s="228" t="str">
        <f t="shared" si="1"/>
        <v/>
      </c>
      <c r="E87" s="228" t="str">
        <f>IFERROR(__xludf.DUMMYFUNCTION("IFERROR(IF(N87=Data!$A$11,INDEX(arrayformula(filter('Operações-Criptos'!L:L,'Operações-Criptos'!C:C&lt;&gt;"""",row('Operações-Criptos'!C:C)=max(if('Operações-Criptos'!C:C=A87,row('Operações-Criptos'!C:C),0)))),1),
INDEX(arrayformula(filter('Operações-BR'!Q:Q,'"&amp;"Operações-BR'!C:C&lt;&gt;"""",row('Operações-BR'!C:C)=max(if('Operações-BR'!C:C=A87,row('Operações-BR'!C:C),0)))) ,1)),"""")"),"")</f>
        <v/>
      </c>
      <c r="F87" s="228" t="str">
        <f t="shared" si="2"/>
        <v/>
      </c>
      <c r="G87" s="228" t="str">
        <f>IF(A87&lt;&gt;"",SUMIF(Proventos!$A$2:$A100,A87,Proventos!$H$2:$H100),"")</f>
        <v/>
      </c>
      <c r="H87" s="228" t="str">
        <f t="shared" si="3"/>
        <v/>
      </c>
      <c r="I87" s="228" t="str">
        <f t="shared" si="4"/>
        <v/>
      </c>
      <c r="J87" s="228" t="str">
        <f t="shared" si="5"/>
        <v/>
      </c>
      <c r="K87" s="229" t="str">
        <f t="shared" si="6"/>
        <v/>
      </c>
      <c r="L87" s="229" t="str">
        <f t="shared" si="7"/>
        <v/>
      </c>
      <c r="M87" s="229" t="str">
        <f t="shared" si="8"/>
        <v/>
      </c>
      <c r="N87" s="229" t="str">
        <f>IFERROR(VLOOKUP(A87,DataCarteira!A84:K100,9,),"")</f>
        <v/>
      </c>
    </row>
    <row r="88" ht="30.75" customHeight="1">
      <c r="A88" s="221"/>
      <c r="B88" s="226" t="str">
        <f>IFERROR(VLOOKUP(A88,DataCarteira!A:B,2,),"")</f>
        <v/>
      </c>
      <c r="C88" s="227" t="str">
        <f>IFERROR(__xludf.DUMMYFUNCTION("IFERROR(IF(N88=Data!$A$11,INDEX(arrayformula(filter('Operações-Criptos'!H:H,'Operações-Criptos'!C:C&lt;&gt;"""",row('Operações-Criptos'!C:C)=max(if('Operações-Criptos'!C:C=A88,row('Operações-Criptos'!C:C),0)))),1),
INDEX(arrayformula(filter('Operações-BR'!M:M,'"&amp;"Operações-BR'!C:C&lt;&gt;"""",row('Operações-BR'!C:C)=max(if('Operações-BR'!C:C=A88,row('Operações-BR'!C:C),0)))) ,1)),"""")"),"")</f>
        <v/>
      </c>
      <c r="D88" s="228" t="str">
        <f t="shared" si="1"/>
        <v/>
      </c>
      <c r="E88" s="228" t="str">
        <f>IFERROR(__xludf.DUMMYFUNCTION("IFERROR(IF(N88=Data!$A$11,INDEX(arrayformula(filter('Operações-Criptos'!L:L,'Operações-Criptos'!C:C&lt;&gt;"""",row('Operações-Criptos'!C:C)=max(if('Operações-Criptos'!C:C=A88,row('Operações-Criptos'!C:C),0)))),1),
INDEX(arrayformula(filter('Operações-BR'!Q:Q,'"&amp;"Operações-BR'!C:C&lt;&gt;"""",row('Operações-BR'!C:C)=max(if('Operações-BR'!C:C=A88,row('Operações-BR'!C:C),0)))) ,1)),"""")"),"")</f>
        <v/>
      </c>
      <c r="F88" s="228" t="str">
        <f t="shared" si="2"/>
        <v/>
      </c>
      <c r="G88" s="228" t="str">
        <f>IF(A88&lt;&gt;"",SUMIF(Proventos!$A$2:$A100,A88,Proventos!$H$2:$H100),"")</f>
        <v/>
      </c>
      <c r="H88" s="228" t="str">
        <f t="shared" si="3"/>
        <v/>
      </c>
      <c r="I88" s="228" t="str">
        <f t="shared" si="4"/>
        <v/>
      </c>
      <c r="J88" s="228" t="str">
        <f t="shared" si="5"/>
        <v/>
      </c>
      <c r="K88" s="229" t="str">
        <f t="shared" si="6"/>
        <v/>
      </c>
      <c r="L88" s="229" t="str">
        <f t="shared" si="7"/>
        <v/>
      </c>
      <c r="M88" s="229" t="str">
        <f t="shared" si="8"/>
        <v/>
      </c>
      <c r="N88" s="229" t="str">
        <f>IFERROR(VLOOKUP(A88,DataCarteira!A85:K100,9,),"")</f>
        <v/>
      </c>
    </row>
    <row r="89" ht="30.75" customHeight="1">
      <c r="A89" s="221"/>
      <c r="B89" s="226" t="str">
        <f>IFERROR(VLOOKUP(A89,DataCarteira!A:B,2,),"")</f>
        <v/>
      </c>
      <c r="C89" s="227" t="str">
        <f>IFERROR(__xludf.DUMMYFUNCTION("IFERROR(IF(N89=Data!$A$11,INDEX(arrayformula(filter('Operações-Criptos'!H:H,'Operações-Criptos'!C:C&lt;&gt;"""",row('Operações-Criptos'!C:C)=max(if('Operações-Criptos'!C:C=A89,row('Operações-Criptos'!C:C),0)))),1),
INDEX(arrayformula(filter('Operações-BR'!M:M,'"&amp;"Operações-BR'!C:C&lt;&gt;"""",row('Operações-BR'!C:C)=max(if('Operações-BR'!C:C=A89,row('Operações-BR'!C:C),0)))) ,1)),"""")"),"")</f>
        <v/>
      </c>
      <c r="D89" s="228" t="str">
        <f t="shared" si="1"/>
        <v/>
      </c>
      <c r="E89" s="228" t="str">
        <f>IFERROR(__xludf.DUMMYFUNCTION("IFERROR(IF(N89=Data!$A$11,INDEX(arrayformula(filter('Operações-Criptos'!L:L,'Operações-Criptos'!C:C&lt;&gt;"""",row('Operações-Criptos'!C:C)=max(if('Operações-Criptos'!C:C=A89,row('Operações-Criptos'!C:C),0)))),1),
INDEX(arrayformula(filter('Operações-BR'!Q:Q,'"&amp;"Operações-BR'!C:C&lt;&gt;"""",row('Operações-BR'!C:C)=max(if('Operações-BR'!C:C=A89,row('Operações-BR'!C:C),0)))) ,1)),"""")"),"")</f>
        <v/>
      </c>
      <c r="F89" s="228" t="str">
        <f t="shared" si="2"/>
        <v/>
      </c>
      <c r="G89" s="228" t="str">
        <f>IF(A89&lt;&gt;"",SUMIF(Proventos!$A$2:$A100,A89,Proventos!$H$2:$H100),"")</f>
        <v/>
      </c>
      <c r="H89" s="228" t="str">
        <f t="shared" si="3"/>
        <v/>
      </c>
      <c r="I89" s="228" t="str">
        <f t="shared" si="4"/>
        <v/>
      </c>
      <c r="J89" s="228" t="str">
        <f t="shared" si="5"/>
        <v/>
      </c>
      <c r="K89" s="229" t="str">
        <f t="shared" si="6"/>
        <v/>
      </c>
      <c r="L89" s="229" t="str">
        <f t="shared" si="7"/>
        <v/>
      </c>
      <c r="M89" s="229" t="str">
        <f t="shared" si="8"/>
        <v/>
      </c>
      <c r="N89" s="229" t="str">
        <f>IFERROR(VLOOKUP(A89,DataCarteira!A86:K100,9,),"")</f>
        <v/>
      </c>
    </row>
    <row r="90" ht="30.75" customHeight="1">
      <c r="A90" s="221"/>
      <c r="B90" s="226" t="str">
        <f>IFERROR(VLOOKUP(A90,DataCarteira!A:B,2,),"")</f>
        <v/>
      </c>
      <c r="C90" s="227" t="str">
        <f>IFERROR(__xludf.DUMMYFUNCTION("IFERROR(IF(N90=Data!$A$11,INDEX(arrayformula(filter('Operações-Criptos'!H:H,'Operações-Criptos'!C:C&lt;&gt;"""",row('Operações-Criptos'!C:C)=max(if('Operações-Criptos'!C:C=A90,row('Operações-Criptos'!C:C),0)))),1),
INDEX(arrayformula(filter('Operações-BR'!M:M,'"&amp;"Operações-BR'!C:C&lt;&gt;"""",row('Operações-BR'!C:C)=max(if('Operações-BR'!C:C=A90,row('Operações-BR'!C:C),0)))) ,1)),"""")"),"")</f>
        <v/>
      </c>
      <c r="D90" s="228" t="str">
        <f t="shared" si="1"/>
        <v/>
      </c>
      <c r="E90" s="228" t="str">
        <f>IFERROR(__xludf.DUMMYFUNCTION("IFERROR(IF(N90=Data!$A$11,INDEX(arrayformula(filter('Operações-Criptos'!L:L,'Operações-Criptos'!C:C&lt;&gt;"""",row('Operações-Criptos'!C:C)=max(if('Operações-Criptos'!C:C=A90,row('Operações-Criptos'!C:C),0)))),1),
INDEX(arrayformula(filter('Operações-BR'!Q:Q,'"&amp;"Operações-BR'!C:C&lt;&gt;"""",row('Operações-BR'!C:C)=max(if('Operações-BR'!C:C=A90,row('Operações-BR'!C:C),0)))) ,1)),"""")"),"")</f>
        <v/>
      </c>
      <c r="F90" s="228" t="str">
        <f t="shared" si="2"/>
        <v/>
      </c>
      <c r="G90" s="228" t="str">
        <f>IF(A90&lt;&gt;"",SUMIF(Proventos!$A$2:$A100,A90,Proventos!$H$2:$H100),"")</f>
        <v/>
      </c>
      <c r="H90" s="228" t="str">
        <f t="shared" si="3"/>
        <v/>
      </c>
      <c r="I90" s="228" t="str">
        <f t="shared" si="4"/>
        <v/>
      </c>
      <c r="J90" s="228" t="str">
        <f t="shared" si="5"/>
        <v/>
      </c>
      <c r="K90" s="229" t="str">
        <f t="shared" si="6"/>
        <v/>
      </c>
      <c r="L90" s="229" t="str">
        <f t="shared" si="7"/>
        <v/>
      </c>
      <c r="M90" s="229" t="str">
        <f t="shared" si="8"/>
        <v/>
      </c>
      <c r="N90" s="229" t="str">
        <f>IFERROR(VLOOKUP(A90,DataCarteira!A87:K100,9,),"")</f>
        <v/>
      </c>
    </row>
    <row r="91" ht="30.75" customHeight="1">
      <c r="A91" s="221"/>
      <c r="B91" s="226" t="str">
        <f>IFERROR(VLOOKUP(A91,DataCarteira!A:B,2,),"")</f>
        <v/>
      </c>
      <c r="C91" s="227" t="str">
        <f>IFERROR(__xludf.DUMMYFUNCTION("IFERROR(IF(N91=Data!$A$11,INDEX(arrayformula(filter('Operações-Criptos'!H:H,'Operações-Criptos'!C:C&lt;&gt;"""",row('Operações-Criptos'!C:C)=max(if('Operações-Criptos'!C:C=A91,row('Operações-Criptos'!C:C),0)))),1),
INDEX(arrayformula(filter('Operações-BR'!M:M,'"&amp;"Operações-BR'!C:C&lt;&gt;"""",row('Operações-BR'!C:C)=max(if('Operações-BR'!C:C=A91,row('Operações-BR'!C:C),0)))) ,1)),"""")"),"")</f>
        <v/>
      </c>
      <c r="D91" s="228" t="str">
        <f t="shared" si="1"/>
        <v/>
      </c>
      <c r="E91" s="228" t="str">
        <f>IFERROR(__xludf.DUMMYFUNCTION("IFERROR(IF(N91=Data!$A$11,INDEX(arrayformula(filter('Operações-Criptos'!L:L,'Operações-Criptos'!C:C&lt;&gt;"""",row('Operações-Criptos'!C:C)=max(if('Operações-Criptos'!C:C=A91,row('Operações-Criptos'!C:C),0)))),1),
INDEX(arrayformula(filter('Operações-BR'!Q:Q,'"&amp;"Operações-BR'!C:C&lt;&gt;"""",row('Operações-BR'!C:C)=max(if('Operações-BR'!C:C=A91,row('Operações-BR'!C:C),0)))) ,1)),"""")"),"")</f>
        <v/>
      </c>
      <c r="F91" s="228" t="str">
        <f t="shared" si="2"/>
        <v/>
      </c>
      <c r="G91" s="228" t="str">
        <f>IF(A91&lt;&gt;"",SUMIF(Proventos!$A$2:$A100,A91,Proventos!$H$2:$H100),"")</f>
        <v/>
      </c>
      <c r="H91" s="228" t="str">
        <f t="shared" si="3"/>
        <v/>
      </c>
      <c r="I91" s="228" t="str">
        <f t="shared" si="4"/>
        <v/>
      </c>
      <c r="J91" s="228" t="str">
        <f t="shared" si="5"/>
        <v/>
      </c>
      <c r="K91" s="229" t="str">
        <f t="shared" si="6"/>
        <v/>
      </c>
      <c r="L91" s="229" t="str">
        <f t="shared" si="7"/>
        <v/>
      </c>
      <c r="M91" s="229" t="str">
        <f t="shared" si="8"/>
        <v/>
      </c>
      <c r="N91" s="229" t="str">
        <f>IFERROR(VLOOKUP(A91,DataCarteira!A88:K100,9,),"")</f>
        <v/>
      </c>
    </row>
    <row r="92" ht="30.75" customHeight="1">
      <c r="A92" s="221"/>
      <c r="B92" s="226" t="str">
        <f>IFERROR(VLOOKUP(A92,DataCarteira!A:B,2,),"")</f>
        <v/>
      </c>
      <c r="C92" s="227" t="str">
        <f>IFERROR(__xludf.DUMMYFUNCTION("IFERROR(IF(N92=Data!$A$11,INDEX(arrayformula(filter('Operações-Criptos'!H:H,'Operações-Criptos'!C:C&lt;&gt;"""",row('Operações-Criptos'!C:C)=max(if('Operações-Criptos'!C:C=A92,row('Operações-Criptos'!C:C),0)))),1),
INDEX(arrayformula(filter('Operações-BR'!M:M,'"&amp;"Operações-BR'!C:C&lt;&gt;"""",row('Operações-BR'!C:C)=max(if('Operações-BR'!C:C=A92,row('Operações-BR'!C:C),0)))) ,1)),"""")"),"")</f>
        <v/>
      </c>
      <c r="D92" s="228" t="str">
        <f t="shared" si="1"/>
        <v/>
      </c>
      <c r="E92" s="228" t="str">
        <f>IFERROR(__xludf.DUMMYFUNCTION("IFERROR(IF(N92=Data!$A$11,INDEX(arrayformula(filter('Operações-Criptos'!L:L,'Operações-Criptos'!C:C&lt;&gt;"""",row('Operações-Criptos'!C:C)=max(if('Operações-Criptos'!C:C=A92,row('Operações-Criptos'!C:C),0)))),1),
INDEX(arrayformula(filter('Operações-BR'!Q:Q,'"&amp;"Operações-BR'!C:C&lt;&gt;"""",row('Operações-BR'!C:C)=max(if('Operações-BR'!C:C=A92,row('Operações-BR'!C:C),0)))) ,1)),"""")"),"")</f>
        <v/>
      </c>
      <c r="F92" s="228" t="str">
        <f t="shared" si="2"/>
        <v/>
      </c>
      <c r="G92" s="228" t="str">
        <f>IF(A92&lt;&gt;"",SUMIF(Proventos!$A$2:$A100,A92,Proventos!$H$2:$H100),"")</f>
        <v/>
      </c>
      <c r="H92" s="228" t="str">
        <f t="shared" si="3"/>
        <v/>
      </c>
      <c r="I92" s="228" t="str">
        <f t="shared" si="4"/>
        <v/>
      </c>
      <c r="J92" s="228" t="str">
        <f t="shared" si="5"/>
        <v/>
      </c>
      <c r="K92" s="229" t="str">
        <f t="shared" si="6"/>
        <v/>
      </c>
      <c r="L92" s="229" t="str">
        <f t="shared" si="7"/>
        <v/>
      </c>
      <c r="M92" s="229" t="str">
        <f t="shared" si="8"/>
        <v/>
      </c>
      <c r="N92" s="229" t="str">
        <f>IFERROR(VLOOKUP(A92,DataCarteira!A89:K100,9,),"")</f>
        <v/>
      </c>
    </row>
    <row r="93" ht="30.75" customHeight="1">
      <c r="A93" s="221"/>
      <c r="B93" s="226" t="str">
        <f>IFERROR(VLOOKUP(A93,DataCarteira!A:B,2,),"")</f>
        <v/>
      </c>
      <c r="C93" s="227" t="str">
        <f>IFERROR(__xludf.DUMMYFUNCTION("IFERROR(IF(N93=Data!$A$11,INDEX(arrayformula(filter('Operações-Criptos'!H:H,'Operações-Criptos'!C:C&lt;&gt;"""",row('Operações-Criptos'!C:C)=max(if('Operações-Criptos'!C:C=A93,row('Operações-Criptos'!C:C),0)))),1),
INDEX(arrayformula(filter('Operações-BR'!M:M,'"&amp;"Operações-BR'!C:C&lt;&gt;"""",row('Operações-BR'!C:C)=max(if('Operações-BR'!C:C=A93,row('Operações-BR'!C:C),0)))) ,1)),"""")"),"")</f>
        <v/>
      </c>
      <c r="D93" s="228" t="str">
        <f t="shared" si="1"/>
        <v/>
      </c>
      <c r="E93" s="228" t="str">
        <f>IFERROR(__xludf.DUMMYFUNCTION("IFERROR(IF(N93=Data!$A$11,INDEX(arrayformula(filter('Operações-Criptos'!L:L,'Operações-Criptos'!C:C&lt;&gt;"""",row('Operações-Criptos'!C:C)=max(if('Operações-Criptos'!C:C=A93,row('Operações-Criptos'!C:C),0)))),1),
INDEX(arrayformula(filter('Operações-BR'!Q:Q,'"&amp;"Operações-BR'!C:C&lt;&gt;"""",row('Operações-BR'!C:C)=max(if('Operações-BR'!C:C=A93,row('Operações-BR'!C:C),0)))) ,1)),"""")"),"")</f>
        <v/>
      </c>
      <c r="F93" s="228" t="str">
        <f t="shared" si="2"/>
        <v/>
      </c>
      <c r="G93" s="228" t="str">
        <f>IF(A93&lt;&gt;"",SUMIF(Proventos!$A$2:$A100,A93,Proventos!$H$2:$H100),"")</f>
        <v/>
      </c>
      <c r="H93" s="228" t="str">
        <f t="shared" si="3"/>
        <v/>
      </c>
      <c r="I93" s="228" t="str">
        <f t="shared" si="4"/>
        <v/>
      </c>
      <c r="J93" s="228" t="str">
        <f t="shared" si="5"/>
        <v/>
      </c>
      <c r="K93" s="229" t="str">
        <f t="shared" si="6"/>
        <v/>
      </c>
      <c r="L93" s="229" t="str">
        <f t="shared" si="7"/>
        <v/>
      </c>
      <c r="M93" s="229" t="str">
        <f t="shared" si="8"/>
        <v/>
      </c>
      <c r="N93" s="229" t="str">
        <f>IFERROR(VLOOKUP(A93,DataCarteira!A90:K100,9,),"")</f>
        <v/>
      </c>
    </row>
    <row r="94" ht="30.75" customHeight="1">
      <c r="A94" s="221"/>
      <c r="B94" s="226" t="str">
        <f>IFERROR(VLOOKUP(A94,DataCarteira!A:B,2,),"")</f>
        <v/>
      </c>
      <c r="C94" s="227" t="str">
        <f>IFERROR(__xludf.DUMMYFUNCTION("IFERROR(IF(N94=Data!$A$11,INDEX(arrayformula(filter('Operações-Criptos'!H:H,'Operações-Criptos'!C:C&lt;&gt;"""",row('Operações-Criptos'!C:C)=max(if('Operações-Criptos'!C:C=A94,row('Operações-Criptos'!C:C),0)))),1),
INDEX(arrayformula(filter('Operações-BR'!M:M,'"&amp;"Operações-BR'!C:C&lt;&gt;"""",row('Operações-BR'!C:C)=max(if('Operações-BR'!C:C=A94,row('Operações-BR'!C:C),0)))) ,1)),"""")"),"")</f>
        <v/>
      </c>
      <c r="D94" s="228" t="str">
        <f t="shared" si="1"/>
        <v/>
      </c>
      <c r="E94" s="228" t="str">
        <f>IFERROR(__xludf.DUMMYFUNCTION("IFERROR(IF(N94=Data!$A$11,INDEX(arrayformula(filter('Operações-Criptos'!L:L,'Operações-Criptos'!C:C&lt;&gt;"""",row('Operações-Criptos'!C:C)=max(if('Operações-Criptos'!C:C=A94,row('Operações-Criptos'!C:C),0)))),1),
INDEX(arrayformula(filter('Operações-BR'!Q:Q,'"&amp;"Operações-BR'!C:C&lt;&gt;"""",row('Operações-BR'!C:C)=max(if('Operações-BR'!C:C=A94,row('Operações-BR'!C:C),0)))) ,1)),"""")"),"")</f>
        <v/>
      </c>
      <c r="F94" s="228" t="str">
        <f t="shared" si="2"/>
        <v/>
      </c>
      <c r="G94" s="228" t="str">
        <f>IF(A94&lt;&gt;"",SUMIF(Proventos!$A$2:$A100,A94,Proventos!$H$2:$H100),"")</f>
        <v/>
      </c>
      <c r="H94" s="228" t="str">
        <f t="shared" si="3"/>
        <v/>
      </c>
      <c r="I94" s="228" t="str">
        <f t="shared" si="4"/>
        <v/>
      </c>
      <c r="J94" s="228" t="str">
        <f t="shared" si="5"/>
        <v/>
      </c>
      <c r="K94" s="229" t="str">
        <f t="shared" si="6"/>
        <v/>
      </c>
      <c r="L94" s="229" t="str">
        <f t="shared" si="7"/>
        <v/>
      </c>
      <c r="M94" s="229" t="str">
        <f t="shared" si="8"/>
        <v/>
      </c>
      <c r="N94" s="229" t="str">
        <f>IFERROR(VLOOKUP(A94,DataCarteira!A91:K100,9,),"")</f>
        <v/>
      </c>
    </row>
    <row r="95" ht="30.75" customHeight="1">
      <c r="A95" s="221"/>
      <c r="B95" s="226" t="str">
        <f>IFERROR(VLOOKUP(A95,DataCarteira!A:B,2,),"")</f>
        <v/>
      </c>
      <c r="C95" s="227" t="str">
        <f>IFERROR(__xludf.DUMMYFUNCTION("IFERROR(IF(N95=Data!$A$11,INDEX(arrayformula(filter('Operações-Criptos'!H:H,'Operações-Criptos'!C:C&lt;&gt;"""",row('Operações-Criptos'!C:C)=max(if('Operações-Criptos'!C:C=A95,row('Operações-Criptos'!C:C),0)))),1),
INDEX(arrayformula(filter('Operações-BR'!M:M,'"&amp;"Operações-BR'!C:C&lt;&gt;"""",row('Operações-BR'!C:C)=max(if('Operações-BR'!C:C=A95,row('Operações-BR'!C:C),0)))) ,1)),"""")"),"")</f>
        <v/>
      </c>
      <c r="D95" s="228" t="str">
        <f t="shared" si="1"/>
        <v/>
      </c>
      <c r="E95" s="228" t="str">
        <f>IFERROR(__xludf.DUMMYFUNCTION("IFERROR(IF(N95=Data!$A$11,INDEX(arrayformula(filter('Operações-Criptos'!L:L,'Operações-Criptos'!C:C&lt;&gt;"""",row('Operações-Criptos'!C:C)=max(if('Operações-Criptos'!C:C=A95,row('Operações-Criptos'!C:C),0)))),1),
INDEX(arrayformula(filter('Operações-BR'!Q:Q,'"&amp;"Operações-BR'!C:C&lt;&gt;"""",row('Operações-BR'!C:C)=max(if('Operações-BR'!C:C=A95,row('Operações-BR'!C:C),0)))) ,1)),"""")"),"")</f>
        <v/>
      </c>
      <c r="F95" s="228" t="str">
        <f t="shared" si="2"/>
        <v/>
      </c>
      <c r="G95" s="228" t="str">
        <f>IF(A95&lt;&gt;"",SUMIF(Proventos!$A$2:$A100,A95,Proventos!$H$2:$H100),"")</f>
        <v/>
      </c>
      <c r="H95" s="228" t="str">
        <f t="shared" si="3"/>
        <v/>
      </c>
      <c r="I95" s="228" t="str">
        <f t="shared" si="4"/>
        <v/>
      </c>
      <c r="J95" s="228" t="str">
        <f t="shared" si="5"/>
        <v/>
      </c>
      <c r="K95" s="229" t="str">
        <f t="shared" si="6"/>
        <v/>
      </c>
      <c r="L95" s="229" t="str">
        <f t="shared" si="7"/>
        <v/>
      </c>
      <c r="M95" s="229" t="str">
        <f t="shared" si="8"/>
        <v/>
      </c>
      <c r="N95" s="229" t="str">
        <f>IFERROR(VLOOKUP(A95,DataCarteira!A92:K100,9,),"")</f>
        <v/>
      </c>
    </row>
    <row r="96" ht="30.75" customHeight="1">
      <c r="A96" s="221"/>
      <c r="B96" s="226" t="str">
        <f>IFERROR(VLOOKUP(A96,DataCarteira!A:B,2,),"")</f>
        <v/>
      </c>
      <c r="C96" s="227" t="str">
        <f>IFERROR(__xludf.DUMMYFUNCTION("IFERROR(IF(N96=Data!$A$11,INDEX(arrayformula(filter('Operações-Criptos'!H:H,'Operações-Criptos'!C:C&lt;&gt;"""",row('Operações-Criptos'!C:C)=max(if('Operações-Criptos'!C:C=A96,row('Operações-Criptos'!C:C),0)))),1),
INDEX(arrayformula(filter('Operações-BR'!M:M,'"&amp;"Operações-BR'!C:C&lt;&gt;"""",row('Operações-BR'!C:C)=max(if('Operações-BR'!C:C=A96,row('Operações-BR'!C:C),0)))) ,1)),"""")"),"")</f>
        <v/>
      </c>
      <c r="D96" s="228" t="str">
        <f t="shared" si="1"/>
        <v/>
      </c>
      <c r="E96" s="228" t="str">
        <f>IFERROR(__xludf.DUMMYFUNCTION("IFERROR(IF(N96=Data!$A$11,INDEX(arrayformula(filter('Operações-Criptos'!L:L,'Operações-Criptos'!C:C&lt;&gt;"""",row('Operações-Criptos'!C:C)=max(if('Operações-Criptos'!C:C=A96,row('Operações-Criptos'!C:C),0)))),1),
INDEX(arrayformula(filter('Operações-BR'!Q:Q,'"&amp;"Operações-BR'!C:C&lt;&gt;"""",row('Operações-BR'!C:C)=max(if('Operações-BR'!C:C=A96,row('Operações-BR'!C:C),0)))) ,1)),"""")"),"")</f>
        <v/>
      </c>
      <c r="F96" s="228" t="str">
        <f t="shared" si="2"/>
        <v/>
      </c>
      <c r="G96" s="228" t="str">
        <f>IF(A96&lt;&gt;"",SUMIF(Proventos!$A$2:$A100,A96,Proventos!$H$2:$H100),"")</f>
        <v/>
      </c>
      <c r="H96" s="228" t="str">
        <f t="shared" si="3"/>
        <v/>
      </c>
      <c r="I96" s="228" t="str">
        <f t="shared" si="4"/>
        <v/>
      </c>
      <c r="J96" s="228" t="str">
        <f t="shared" si="5"/>
        <v/>
      </c>
      <c r="K96" s="229" t="str">
        <f t="shared" si="6"/>
        <v/>
      </c>
      <c r="L96" s="229" t="str">
        <f t="shared" si="7"/>
        <v/>
      </c>
      <c r="M96" s="229" t="str">
        <f t="shared" si="8"/>
        <v/>
      </c>
      <c r="N96" s="229" t="str">
        <f>IFERROR(VLOOKUP(A96,DataCarteira!A93:K100,9,),"")</f>
        <v/>
      </c>
    </row>
    <row r="97" ht="30.75" customHeight="1">
      <c r="A97" s="221"/>
      <c r="B97" s="226" t="str">
        <f>IFERROR(VLOOKUP(A97,DataCarteira!A:B,2,),"")</f>
        <v/>
      </c>
      <c r="C97" s="227" t="str">
        <f>IFERROR(__xludf.DUMMYFUNCTION("IFERROR(IF(N97=Data!$A$11,INDEX(arrayformula(filter('Operações-Criptos'!H:H,'Operações-Criptos'!C:C&lt;&gt;"""",row('Operações-Criptos'!C:C)=max(if('Operações-Criptos'!C:C=A97,row('Operações-Criptos'!C:C),0)))),1),
INDEX(arrayformula(filter('Operações-BR'!M:M,'"&amp;"Operações-BR'!C:C&lt;&gt;"""",row('Operações-BR'!C:C)=max(if('Operações-BR'!C:C=A97,row('Operações-BR'!C:C),0)))) ,1)),"""")"),"")</f>
        <v/>
      </c>
      <c r="D97" s="228" t="str">
        <f t="shared" si="1"/>
        <v/>
      </c>
      <c r="E97" s="228" t="str">
        <f>IFERROR(__xludf.DUMMYFUNCTION("IFERROR(IF(N97=Data!$A$11,INDEX(arrayformula(filter('Operações-Criptos'!L:L,'Operações-Criptos'!C:C&lt;&gt;"""",row('Operações-Criptos'!C:C)=max(if('Operações-Criptos'!C:C=A97,row('Operações-Criptos'!C:C),0)))),1),
INDEX(arrayformula(filter('Operações-BR'!Q:Q,'"&amp;"Operações-BR'!C:C&lt;&gt;"""",row('Operações-BR'!C:C)=max(if('Operações-BR'!C:C=A97,row('Operações-BR'!C:C),0)))) ,1)),"""")"),"")</f>
        <v/>
      </c>
      <c r="F97" s="228" t="str">
        <f t="shared" si="2"/>
        <v/>
      </c>
      <c r="G97" s="228" t="str">
        <f>IF(A97&lt;&gt;"",SUMIF(Proventos!$A$2:$A100,A97,Proventos!$H$2:$H100),"")</f>
        <v/>
      </c>
      <c r="H97" s="228" t="str">
        <f t="shared" si="3"/>
        <v/>
      </c>
      <c r="I97" s="228" t="str">
        <f t="shared" si="4"/>
        <v/>
      </c>
      <c r="J97" s="228" t="str">
        <f t="shared" si="5"/>
        <v/>
      </c>
      <c r="K97" s="229" t="str">
        <f t="shared" si="6"/>
        <v/>
      </c>
      <c r="L97" s="229" t="str">
        <f t="shared" si="7"/>
        <v/>
      </c>
      <c r="M97" s="229" t="str">
        <f t="shared" si="8"/>
        <v/>
      </c>
      <c r="N97" s="229" t="str">
        <f>IFERROR(VLOOKUP(A97,DataCarteira!A94:K100,9,),"")</f>
        <v/>
      </c>
    </row>
    <row r="98" ht="30.75" customHeight="1">
      <c r="A98" s="221"/>
      <c r="B98" s="226" t="str">
        <f>IFERROR(VLOOKUP(A98,DataCarteira!A:B,2,),"")</f>
        <v/>
      </c>
      <c r="C98" s="227" t="str">
        <f>IFERROR(__xludf.DUMMYFUNCTION("IFERROR(IF(N98=Data!$A$11,INDEX(arrayformula(filter('Operações-Criptos'!H:H,'Operações-Criptos'!C:C&lt;&gt;"""",row('Operações-Criptos'!C:C)=max(if('Operações-Criptos'!C:C=A98,row('Operações-Criptos'!C:C),0)))),1),
INDEX(arrayformula(filter('Operações-BR'!M:M,'"&amp;"Operações-BR'!C:C&lt;&gt;"""",row('Operações-BR'!C:C)=max(if('Operações-BR'!C:C=A98,row('Operações-BR'!C:C),0)))) ,1)),"""")"),"")</f>
        <v/>
      </c>
      <c r="D98" s="228" t="str">
        <f t="shared" si="1"/>
        <v/>
      </c>
      <c r="E98" s="228" t="str">
        <f>IFERROR(__xludf.DUMMYFUNCTION("IFERROR(IF(N98=Data!$A$11,INDEX(arrayformula(filter('Operações-Criptos'!L:L,'Operações-Criptos'!C:C&lt;&gt;"""",row('Operações-Criptos'!C:C)=max(if('Operações-Criptos'!C:C=A98,row('Operações-Criptos'!C:C),0)))),1),
INDEX(arrayformula(filter('Operações-BR'!Q:Q,'"&amp;"Operações-BR'!C:C&lt;&gt;"""",row('Operações-BR'!C:C)=max(if('Operações-BR'!C:C=A98,row('Operações-BR'!C:C),0)))) ,1)),"""")"),"")</f>
        <v/>
      </c>
      <c r="F98" s="228" t="str">
        <f t="shared" si="2"/>
        <v/>
      </c>
      <c r="G98" s="228" t="str">
        <f>IF(A98&lt;&gt;"",SUMIF(Proventos!$A$2:$A100,A98,Proventos!$H$2:$H100),"")</f>
        <v/>
      </c>
      <c r="H98" s="228" t="str">
        <f t="shared" si="3"/>
        <v/>
      </c>
      <c r="I98" s="228" t="str">
        <f t="shared" si="4"/>
        <v/>
      </c>
      <c r="J98" s="228" t="str">
        <f t="shared" si="5"/>
        <v/>
      </c>
      <c r="K98" s="229" t="str">
        <f t="shared" si="6"/>
        <v/>
      </c>
      <c r="L98" s="229" t="str">
        <f t="shared" si="7"/>
        <v/>
      </c>
      <c r="M98" s="229" t="str">
        <f t="shared" si="8"/>
        <v/>
      </c>
      <c r="N98" s="229" t="str">
        <f>IFERROR(VLOOKUP(A98,DataCarteira!A95:K100,9,),"")</f>
        <v/>
      </c>
    </row>
    <row r="99" ht="30.75" customHeight="1">
      <c r="A99" s="221"/>
      <c r="B99" s="226" t="str">
        <f>IFERROR(VLOOKUP(A99,DataCarteira!A:B,2,),"")</f>
        <v/>
      </c>
      <c r="C99" s="227" t="str">
        <f>IFERROR(__xludf.DUMMYFUNCTION("IFERROR(IF(N99=Data!$A$11,INDEX(arrayformula(filter('Operações-Criptos'!H:H,'Operações-Criptos'!C:C&lt;&gt;"""",row('Operações-Criptos'!C:C)=max(if('Operações-Criptos'!C:C=A99,row('Operações-Criptos'!C:C),0)))),1),
INDEX(arrayformula(filter('Operações-BR'!M:M,'"&amp;"Operações-BR'!C:C&lt;&gt;"""",row('Operações-BR'!C:C)=max(if('Operações-BR'!C:C=A99,row('Operações-BR'!C:C),0)))) ,1)),"""")"),"")</f>
        <v/>
      </c>
      <c r="D99" s="228" t="str">
        <f t="shared" si="1"/>
        <v/>
      </c>
      <c r="E99" s="228" t="str">
        <f>IFERROR(__xludf.DUMMYFUNCTION("IFERROR(IF(N99=Data!$A$11,INDEX(arrayformula(filter('Operações-Criptos'!L:L,'Operações-Criptos'!C:C&lt;&gt;"""",row('Operações-Criptos'!C:C)=max(if('Operações-Criptos'!C:C=A99,row('Operações-Criptos'!C:C),0)))),1),
INDEX(arrayformula(filter('Operações-BR'!Q:Q,'"&amp;"Operações-BR'!C:C&lt;&gt;"""",row('Operações-BR'!C:C)=max(if('Operações-BR'!C:C=A99,row('Operações-BR'!C:C),0)))) ,1)),"""")"),"")</f>
        <v/>
      </c>
      <c r="F99" s="228" t="str">
        <f t="shared" si="2"/>
        <v/>
      </c>
      <c r="G99" s="228" t="str">
        <f>IF(A99&lt;&gt;"",SUMIF(Proventos!$A$2:$A100,A99,Proventos!$H$2:$H100),"")</f>
        <v/>
      </c>
      <c r="H99" s="228" t="str">
        <f t="shared" si="3"/>
        <v/>
      </c>
      <c r="I99" s="228" t="str">
        <f t="shared" si="4"/>
        <v/>
      </c>
      <c r="J99" s="228" t="str">
        <f t="shared" si="5"/>
        <v/>
      </c>
      <c r="K99" s="229" t="str">
        <f t="shared" si="6"/>
        <v/>
      </c>
      <c r="L99" s="229" t="str">
        <f t="shared" si="7"/>
        <v/>
      </c>
      <c r="M99" s="229" t="str">
        <f t="shared" si="8"/>
        <v/>
      </c>
      <c r="N99" s="229" t="str">
        <f>IFERROR(VLOOKUP(A99,DataCarteira!A96:K100,9,),"")</f>
        <v/>
      </c>
    </row>
    <row r="100" ht="30.75" customHeight="1">
      <c r="A100" s="221"/>
      <c r="B100" s="226" t="str">
        <f>IFERROR(VLOOKUP(A100,DataCarteira!A:B,2,),"")</f>
        <v/>
      </c>
      <c r="C100" s="227" t="str">
        <f>IFERROR(__xludf.DUMMYFUNCTION("IFERROR(IF(N100=Data!$A$11,INDEX(arrayformula(filter('Operações-Criptos'!H:H,'Operações-Criptos'!C:C&lt;&gt;"""",row('Operações-Criptos'!C:C)=max(if('Operações-Criptos'!C:C=A100,row('Operações-Criptos'!C:C),0)))),1),
INDEX(arrayformula(filter('Operações-BR'!M:M"&amp;",'Operações-BR'!C:C&lt;&gt;"""",row('Operações-BR'!C:C)=max(if('Operações-BR'!C:C=A100,row('Operações-BR'!C:C),0)))) ,1)),"""")"),"")</f>
        <v/>
      </c>
      <c r="D100" s="228" t="str">
        <f t="shared" si="1"/>
        <v/>
      </c>
      <c r="E100" s="228" t="str">
        <f>IFERROR(__xludf.DUMMYFUNCTION("IFERROR(IF(N100=Data!$A$11,INDEX(arrayformula(filter('Operações-Criptos'!L:L,'Operações-Criptos'!C:C&lt;&gt;"""",row('Operações-Criptos'!C:C)=max(if('Operações-Criptos'!C:C=A100,row('Operações-Criptos'!C:C),0)))),1),
INDEX(arrayformula(filter('Operações-BR'!Q:Q"&amp;",'Operações-BR'!C:C&lt;&gt;"""",row('Operações-BR'!C:C)=max(if('Operações-BR'!C:C=A100,row('Operações-BR'!C:C),0)))) ,1)),"""")"),"")</f>
        <v/>
      </c>
      <c r="F100" s="228" t="str">
        <f t="shared" si="2"/>
        <v/>
      </c>
      <c r="G100" s="228" t="str">
        <f>IF(A100&lt;&gt;"",SUMIF(Proventos!$A$2:$A100,A100,Proventos!$H$2:$H100),"")</f>
        <v/>
      </c>
      <c r="H100" s="228" t="str">
        <f t="shared" si="3"/>
        <v/>
      </c>
      <c r="I100" s="228" t="str">
        <f t="shared" si="4"/>
        <v/>
      </c>
      <c r="J100" s="228" t="str">
        <f t="shared" si="5"/>
        <v/>
      </c>
      <c r="K100" s="229" t="str">
        <f t="shared" si="6"/>
        <v/>
      </c>
      <c r="L100" s="229" t="str">
        <f t="shared" si="7"/>
        <v/>
      </c>
      <c r="M100" s="229" t="str">
        <f t="shared" si="8"/>
        <v/>
      </c>
      <c r="N100" s="229" t="str">
        <f>IFERROR(VLOOKUP(A100,DataCarteira!A97:K100,9,),"")</f>
        <v/>
      </c>
    </row>
  </sheetData>
  <conditionalFormatting sqref="J2:L100 I3:I100 M4:N4">
    <cfRule type="cellIs" dxfId="23" priority="1" operator="greaterThan">
      <formula>0</formula>
    </cfRule>
  </conditionalFormatting>
  <conditionalFormatting sqref="J2:L100 I3:I100 M4:N4">
    <cfRule type="cellIs" dxfId="24" priority="2" operator="lessThan">
      <formula>0</formula>
    </cfRule>
  </conditionalFormatting>
  <conditionalFormatting sqref="B5:N100">
    <cfRule type="cellIs" dxfId="19" priority="3" operator="equal">
      <formula>0</formula>
    </cfRule>
  </conditionalFormatting>
  <dataValidations>
    <dataValidation type="list" allowBlank="1" showErrorMessage="1" sqref="G2">
      <formula1>Data!$A$2:$A100</formula1>
    </dataValidation>
  </dataValidations>
  <printOptions gridLines="1" horizontalCentered="1"/>
  <pageMargins bottom="0.75" footer="0.0" header="0.0" left="0.25" right="0.25" top="0.75"/>
  <pageSetup fitToHeight="0" paperSize="9" cellComments="atEnd" orientation="landscape" pageOrder="overThenDown"/>
  <drawing r:id="rId2"/>
  <legacyDrawing r:id="rId3"/>
  <tableParts count="2">
    <tablePart r:id="rId6"/>
    <tablePart r:id="rId7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B5394"/>
    <outlinePr summaryBelow="0" summaryRight="0"/>
  </sheetPr>
  <sheetViews>
    <sheetView showGridLines="0" workbookViewId="0">
      <pane ySplit="6.0" topLeftCell="A7" activePane="bottomLeft" state="frozen"/>
      <selection activeCell="B8" sqref="B8" pane="bottomLeft"/>
    </sheetView>
  </sheetViews>
  <sheetFormatPr customHeight="1" defaultColWidth="14.43" defaultRowHeight="15.75"/>
  <cols>
    <col customWidth="1" hidden="1" min="1" max="1" width="10.43"/>
    <col customWidth="1" min="2" max="2" width="10.43"/>
    <col customWidth="1" min="3" max="14" width="14.86"/>
    <col customWidth="1" min="15" max="15" width="3.57"/>
    <col customWidth="1" min="16" max="17" width="14.86"/>
  </cols>
  <sheetData>
    <row r="1" ht="11.25" customHeight="1">
      <c r="A1" s="230"/>
      <c r="B1" s="231"/>
      <c r="C1" s="232"/>
      <c r="D1" s="232"/>
      <c r="E1" s="233"/>
      <c r="F1" s="234"/>
      <c r="G1" s="234"/>
      <c r="H1" s="234"/>
      <c r="I1" s="234"/>
      <c r="J1" s="234"/>
      <c r="K1" s="234"/>
      <c r="L1" s="234"/>
      <c r="M1" s="234"/>
      <c r="N1" s="235"/>
      <c r="O1" s="236"/>
      <c r="P1" s="235"/>
      <c r="Q1" s="235"/>
    </row>
    <row r="2" ht="18.75" customHeight="1">
      <c r="A2" s="230"/>
      <c r="B2" s="231"/>
      <c r="C2" s="232"/>
      <c r="D2" s="232"/>
      <c r="E2" s="232"/>
      <c r="F2" s="232"/>
      <c r="G2" s="237" t="s">
        <v>186</v>
      </c>
      <c r="H2" s="238" t="s">
        <v>8</v>
      </c>
      <c r="I2" s="235"/>
      <c r="J2" s="237" t="s">
        <v>23</v>
      </c>
      <c r="K2" s="238" t="s">
        <v>8</v>
      </c>
      <c r="L2" s="234"/>
      <c r="M2" s="234"/>
      <c r="N2" s="235"/>
      <c r="O2" s="236"/>
      <c r="P2" s="235"/>
      <c r="Q2" s="235"/>
    </row>
    <row r="3" ht="30.75" customHeight="1">
      <c r="A3" s="230"/>
      <c r="B3" s="231"/>
      <c r="C3" s="232"/>
      <c r="D3" s="232"/>
      <c r="E3" s="233"/>
      <c r="F3" s="234"/>
      <c r="G3" s="239" t="s">
        <v>194</v>
      </c>
      <c r="H3" s="240"/>
      <c r="I3" s="240"/>
      <c r="J3" s="240"/>
      <c r="K3" s="240"/>
      <c r="L3" s="234"/>
      <c r="M3" s="234"/>
      <c r="N3" s="235"/>
      <c r="O3" s="236"/>
      <c r="P3" s="236"/>
      <c r="Q3" s="236"/>
    </row>
    <row r="4" ht="30.75" customHeight="1">
      <c r="A4" s="230"/>
      <c r="B4" s="231"/>
      <c r="C4" s="232"/>
      <c r="D4" s="232"/>
      <c r="E4" s="233"/>
      <c r="F4" s="234"/>
      <c r="G4" s="241">
        <f>sum(Q7:Q108)</f>
        <v>6494.5</v>
      </c>
      <c r="L4" s="234"/>
      <c r="M4" s="234"/>
      <c r="N4" s="235"/>
      <c r="O4" s="236"/>
      <c r="P4" s="236"/>
      <c r="Q4" s="236"/>
    </row>
    <row r="5" ht="11.25" customHeight="1">
      <c r="A5" s="230"/>
      <c r="B5" s="231"/>
      <c r="C5" s="232"/>
      <c r="D5" s="232"/>
      <c r="E5" s="233"/>
      <c r="F5" s="234"/>
      <c r="G5" s="234"/>
      <c r="H5" s="234"/>
      <c r="I5" s="234"/>
      <c r="J5" s="234"/>
      <c r="K5" s="234"/>
      <c r="L5" s="234"/>
      <c r="M5" s="234"/>
      <c r="N5" s="235"/>
      <c r="O5" s="236"/>
      <c r="P5" s="236"/>
      <c r="Q5" s="236"/>
    </row>
    <row r="6" ht="30.75" customHeight="1">
      <c r="A6" s="230"/>
      <c r="B6" s="242"/>
      <c r="C6" s="243" t="s">
        <v>195</v>
      </c>
      <c r="D6" s="243" t="s">
        <v>196</v>
      </c>
      <c r="E6" s="243" t="s">
        <v>197</v>
      </c>
      <c r="F6" s="243" t="s">
        <v>198</v>
      </c>
      <c r="G6" s="243" t="s">
        <v>10</v>
      </c>
      <c r="H6" s="243" t="s">
        <v>199</v>
      </c>
      <c r="I6" s="243" t="s">
        <v>200</v>
      </c>
      <c r="J6" s="243" t="s">
        <v>201</v>
      </c>
      <c r="K6" s="243" t="s">
        <v>202</v>
      </c>
      <c r="L6" s="243" t="s">
        <v>203</v>
      </c>
      <c r="M6" s="243" t="s">
        <v>204</v>
      </c>
      <c r="N6" s="243" t="s">
        <v>205</v>
      </c>
      <c r="O6" s="243"/>
      <c r="P6" s="243" t="s">
        <v>206</v>
      </c>
      <c r="Q6" s="243" t="s">
        <v>194</v>
      </c>
    </row>
    <row r="7" ht="32.25" customHeight="1">
      <c r="A7" s="230" t="s">
        <v>8</v>
      </c>
      <c r="B7" s="244">
        <f>IFERROR(__xludf.DUMMYFUNCTION("FILTER(Data!D2:D102,Data!D2:D102&lt;=YEAR(TODAY())+1)"),2020.0)</f>
        <v>2020</v>
      </c>
      <c r="C7" s="245">
        <f>IFS(
AND($H$2=Data!$A$3,$K$2=Data!$A$2),SUMIFS(Proventos!$H:$H,Proventos!$D:$D,"&gt;="&amp;CONCATENATE($C$6,"/",B7),Proventos!$D:$D,"&lt;"&amp;CONCATENATE($D$6,"/",B7),Proventos!$J:$J,"="&amp;$H$2),
AND($H$2=Data!$A$4,$K$2=Data!$A$2),SUMIFS(Proventos!$H:$H,Proventos!$D:$D,"&gt;="&amp;CONCATENATE($C$6,"/",B7),Proventos!$D:$D,"&lt;"&amp;CONCATENATE($D$6,"/",B7),Proventos!$J:$J,"="&amp;$H$2),
AND($H$2=Data!$A$5,$K$2=Data!$A$2),SUMIFS(Proventos!$H:$H,Proventos!$D:$D,"&gt;="&amp;CONCATENATE($C$6,"/",B7),Proventos!$D:$D,"&lt;"&amp;CONCATENATE($D$6,"/",B7),Proventos!$J:$J,"="&amp;$H$2),
AND($H$2=Data!$A$6,$K$2=Data!$A$2),SUMIFS(Proventos!$H:$H,Proventos!$D:$D,"&gt;="&amp;CONCATENATE($C$6,"/",B7),Proventos!$D:$D,"&lt;"&amp;CONCATENATE($D$6,"/",B7),Proventos!$J:$J,"="&amp;$H$2),
AND($H$2=Data!$A$7,$K$2=Data!$A$2),SUMIFS(Proventos!$H:$H,Proventos!$D:$D,"&gt;="&amp;CONCATENATE($C$6,"/",B7),Proventos!$D:$D,"&lt;"&amp;CONCATENATE($D$6,"/",B7),Proventos!$J:$J,"="&amp;$H$2),
AND($H$2=Data!$A$8,$K$2=Data!$A$2),SUMIFS(Proventos!$H:$H,Proventos!$D:$D,"&gt;="&amp;CONCATENATE($C$6,"/",B7),Proventos!$D:$D,"&lt;"&amp;CONCATENATE($D$6,"/",B7),Proventos!$J:$J,"="&amp;$H$2),
AND($H$2=Data!$A$9,$K$2=Data!$A$2),SUMIFS(Proventos!$H:$H,Proventos!$D:$D,"&gt;="&amp;CONCATENATE($C$6,"/",B7),Proventos!$D:$D,"&lt;"&amp;CONCATENATE($D$6,"/",B7),Proventos!$J:$J,"="&amp;$H$2),
AND($H$2=Data!$A$10,$K$2=Data!$A$2),SUMIFS(Proventos!$H:$H,Proventos!$D:$D,"&gt;="&amp;CONCATENATE($C$6,"/",B7),Proventos!$D:$D,"&lt;"&amp;CONCATENATE($D$6,"/",B7),Proventos!$J:$J,"="&amp;$H$2),
AND($H$2=Data!$A$11,$K$2=Data!$A$2),SUMIFS(Proventos!$H:$H,Proventos!$D:$D,"&gt;="&amp;CONCATENATE($C$6,"/",B7),Proventos!$D:$D,"&lt;"&amp;CONCATENATE($D$6,"/",B7),Proventos!$J:$J,"="&amp;$H$2),
$K$2=Data!$A$2,SUMIFS(Proventos!$H:$H,Proventos!$D:$D,"&gt;="&amp;CONCATENATE($C$6,"/",B7),Proventos!$D:$D,"&lt;"&amp;CONCATENATE($D$6,"/",B7)),
$K$2&lt;&gt;Data!$A$2,SUMIFS(Proventos!$H:$H,Proventos!$D:$D,"&gt;="&amp;CONCATENATE($C$6,"/",B7),Proventos!$D:$D,"&lt;"&amp;CONCATENATE($D$6,"/",B7),Proventos!$A:$A,"="&amp;$K$2))</f>
        <v>0</v>
      </c>
      <c r="D7" s="245">
        <f>IFS(
AND($H$2=Data!$A$3,$K$2=Data!$A$2),SUMIFS(Proventos!$H:$H,Proventos!$D:$D,"&gt;="&amp;CONCATENATE($D$6,"/",B7),Proventos!$D:$D,"&lt;"&amp;CONCATENATE($E$6,"/",B7),Proventos!$J:$J,"="&amp;$H$2),
AND($H$2=Data!$A$4,$K$2=Data!$A$2),SUMIFS(Proventos!$H:$H,Proventos!$D:$D,"&gt;="&amp;CONCATENATE($D$6,"/",B7),Proventos!$D:$D,"&lt;"&amp;CONCATENATE($E$6,"/",B7),Proventos!$J:$J,"="&amp;$H$2),
AND($H$2=Data!$A$5,$K$2=Data!$A$2),SUMIFS(Proventos!$H:$H,Proventos!$D:$D,"&gt;="&amp;CONCATENATE($D$6,"/",B7),Proventos!$D:$D,"&lt;"&amp;CONCATENATE($E$6,"/",B7),Proventos!$J:$J,"="&amp;$H$2),
AND($H$2=Data!$A$6,$K$2=Data!$A$2),SUMIFS(Proventos!$H:$H,Proventos!$D:$D,"&gt;="&amp;CONCATENATE($D$6,"/",B7),Proventos!$D:$D,"&lt;"&amp;CONCATENATE($E$6,"/",B7),Proventos!$J:$J,"="&amp;$H$2),
AND($H$2=Data!$A$7,$K$2=Data!$A$2),SUMIFS(Proventos!$H:$H,Proventos!$D:$D,"&gt;="&amp;CONCATENATE($D$6,"/",B7),Proventos!$D:$D,"&lt;"&amp;CONCATENATE($E$6,"/",B7),Proventos!$J:$J,"="&amp;$H$2),
AND($H$2=Data!$A$8,$K$2=Data!$A$2),SUMIFS(Proventos!$H:$H,Proventos!$D:$D,"&gt;="&amp;CONCATENATE($D$6,"/",B7),Proventos!$D:$D,"&lt;"&amp;CONCATENATE($E$6,"/",B7),Proventos!$J:$J,"="&amp;$H$2),
AND($H$2=Data!$A$9,$K$2=Data!$A$2),SUMIFS(Proventos!$H:$H,Proventos!$D:$D,"&gt;="&amp;CONCATENATE($D$6,"/",B7),Proventos!$D:$D,"&lt;"&amp;CONCATENATE($E$6,"/",B7),Proventos!$J:$J,"="&amp;$H$2),
AND($H$2=Data!$A$10,$K$2=Data!$A$2),SUMIFS(Proventos!$H:$H,Proventos!$D:$D,"&gt;="&amp;CONCATENATE($D$6,"/",B7),Proventos!$D:$D,"&lt;"&amp;CONCATENATE($E$6,"/",B7),Proventos!$J:$J,"="&amp;$H$2),
AND($H$2=Data!$A$11,$K$2=Data!$A$2),SUMIFS(Proventos!$H:$H,Proventos!$D:$D,"&gt;="&amp;CONCATENATE($D$6,"/",B7),Proventos!$D:$D,"&lt;"&amp;CONCATENATE($E$6,"/",B7),Proventos!$J:$J,"="&amp;$H$2),
$K$2=Data!$A$2,SUMIFS(Proventos!$H:$H,Proventos!$D:$D,"&gt;="&amp;CONCATENATE($D$6,"/",B7),Proventos!$D:$D,"&lt;"&amp;CONCATENATE($E$6,"/",B7)),
$K$2&lt;&gt;Data!$A$2,SUMIFS(Proventos!$H:$H,Proventos!$D:$D,"&gt;="&amp;CONCATENATE($D$6,"/",B7),Proventos!$D:$D,"&lt;"&amp;CONCATENATE($E$6,"/",B7),Proventos!$A:$A,"="&amp;$K$2))</f>
        <v>365.5</v>
      </c>
      <c r="E7" s="245">
        <f>IFS(
AND($H$2=Data!$A$3,$K$2=Data!$A$2),SUMIFS(Proventos!$H:$H,Proventos!$D:$D,"&gt;="&amp;CONCATENATE($E$6,"/",B7),Proventos!$D:$D,"&lt;"&amp;CONCATENATE($F$6,"/",B7),Proventos!$J:$J,"="&amp;$H$2),
AND($H$2=Data!$A$4,$K$2=Data!$A$2),SUMIFS(Proventos!$H:$H,Proventos!$D:$D,"&gt;="&amp;CONCATENATE($E$6,"/",B7),Proventos!$D:$D,"&lt;"&amp;CONCATENATE($F$6,"/",B7),Proventos!$J:$J,"="&amp;$H$2),
AND($H$2=Data!$A$5,$K$2=Data!$A$2),SUMIFS(Proventos!$H:$H,Proventos!$D:$D,"&gt;="&amp;CONCATENATE($E$6,"/",B7),Proventos!$D:$D,"&lt;"&amp;CONCATENATE($F$6,"/",B7),Proventos!$J:$J,"="&amp;$H$2),
AND($H$2=Data!$A$6,$K$2=Data!$A$2),SUMIFS(Proventos!$H:$H,Proventos!$D:$D,"&gt;="&amp;CONCATENATE($E$6,"/",B7),Proventos!$D:$D,"&lt;"&amp;CONCATENATE($F$6,"/",B7),Proventos!$J:$J,"="&amp;$H$2),
AND($H$2=Data!$A$7,$K$2=Data!$A$2),SUMIFS(Proventos!$H:$H,Proventos!$D:$D,"&gt;="&amp;CONCATENATE($E$6,"/",B7),Proventos!$D:$D,"&lt;"&amp;CONCATENATE($F$6,"/",B7),Proventos!$J:$J,"="&amp;$H$2),
AND($H$2=Data!$A$8,$K$2=Data!$A$2),SUMIFS(Proventos!$H:$H,Proventos!$D:$D,"&gt;="&amp;CONCATENATE($E$6,"/",B7),Proventos!$D:$D,"&lt;"&amp;CONCATENATE($F$6,"/",B7),Proventos!$J:$J,"="&amp;$H$2),
AND($H$2=Data!$A$9,$K$2=Data!$A$2),SUMIFS(Proventos!$H:$H,Proventos!$D:$D,"&gt;="&amp;CONCATENATE($E$6,"/",B7),Proventos!$D:$D,"&lt;"&amp;CONCATENATE($F$6,"/",B7),Proventos!$J:$J,"="&amp;$H$2),
AND($H$2=Data!$A$10,$K$2=Data!$A$2),SUMIFS(Proventos!$H:$H,Proventos!$D:$D,"&gt;="&amp;CONCATENATE($E$6,"/",B7),Proventos!$D:$D,"&lt;"&amp;CONCATENATE($F$6,"/",B7),Proventos!$J:$J,"="&amp;$H$2),
AND($H$2=Data!$A$11,$K$2=Data!$A$2),SUMIFS(Proventos!$H:$H,Proventos!$D:$D,"&gt;="&amp;CONCATENATE($E$6,"/",B7),Proventos!$D:$D,"&lt;"&amp;CONCATENATE($F$6,"/",B7),Proventos!$J:$J,"="&amp;$H$2),
$K$2=Data!$A$2,SUMIFS(Proventos!$H:$H,Proventos!$D:$D,"&gt;="&amp;CONCATENATE($E$6,"/",B7),Proventos!$D:$D,"&lt;"&amp;CONCATENATE($F$6,"/",B7)),
$K$2&lt;&gt;Data!$A$2,SUMIFS(Proventos!$H:$H,Proventos!$D:$D,"&gt;="&amp;CONCATENATE($E$6,"/",B7),Proventos!$D:$D,"&lt;"&amp;CONCATENATE($F$6,"/",B7),Proventos!$A:$A,"="&amp;$K$2))</f>
        <v>895.5</v>
      </c>
      <c r="F7" s="245">
        <f>IFS(
AND($H$2=Data!$A$3,$K$2=Data!$A$2),SUMIFS(Proventos!$H:$H,Proventos!$D:$D,"&gt;="&amp;CONCATENATE($F$6,"/",B7),Proventos!$D:$D,"&lt;"&amp;CONCATENATE($G$6,"/",B7),Proventos!$J:$J,"="&amp;$H$2),
AND($H$2=Data!$A$4,$K$2=Data!$A$2),SUMIFS(Proventos!$H:$H,Proventos!$D:$D,"&gt;="&amp;CONCATENATE($F$6,"/",B7),Proventos!$D:$D,"&lt;"&amp;CONCATENATE($G$6,"/",B7),Proventos!$J:$J,"="&amp;$H$2),
AND($H$2=Data!$A$5,$K$2=Data!$A$2),SUMIFS(Proventos!$H:$H,Proventos!$D:$D,"&gt;="&amp;CONCATENATE($F$6,"/",B7),Proventos!$D:$D,"&lt;"&amp;CONCATENATE($G$6,"/",B7),Proventos!$J:$J,"="&amp;$H$2),
AND($H$2=Data!$A$6,$K$2=Data!$A$2),SUMIFS(Proventos!$H:$H,Proventos!$D:$D,"&gt;="&amp;CONCATENATE($F$6,"/",B7),Proventos!$D:$D,"&lt;"&amp;CONCATENATE($G$6,"/",B7),Proventos!$J:$J,"="&amp;$H$2),
AND($H$2=Data!$A$7,$K$2=Data!$A$2),SUMIFS(Proventos!$H:$H,Proventos!$D:$D,"&gt;="&amp;CONCATENATE($F$6,"/",B7),Proventos!$D:$D,"&lt;"&amp;CONCATENATE($G$6,"/",B7),Proventos!$J:$J,"="&amp;$H$2),
AND($H$2=Data!$A$8,$K$2=Data!$A$2),SUMIFS(Proventos!$H:$H,Proventos!$D:$D,"&gt;="&amp;CONCATENATE($F$6,"/",B7),Proventos!$D:$D,"&lt;"&amp;CONCATENATE($G$6,"/",B7),Proventos!$J:$J,"="&amp;$H$2),
AND($H$2=Data!$A$9,$K$2=Data!$A$2),SUMIFS(Proventos!$H:$H,Proventos!$D:$D,"&gt;="&amp;CONCATENATE($F$6,"/",B7),Proventos!$D:$D,"&lt;"&amp;CONCATENATE($G$6,"/",B7),Proventos!$J:$J,"="&amp;$H$2),
AND($H$2=Data!$A$10,$K$2=Data!$A$2),SUMIFS(Proventos!$H:$H,Proventos!$D:$D,"&gt;="&amp;CONCATENATE($F$6,"/",B7),Proventos!$D:$D,"&lt;"&amp;CONCATENATE($G$6,"/",B7),Proventos!$J:$J,"="&amp;$H$2),
AND($H$2=Data!$A$11,$K$2=Data!$A$2),SUMIFS(Proventos!$H:$H,Proventos!$D:$D,"&gt;="&amp;CONCATENATE($F$6,"/",B7),Proventos!$D:$D,"&lt;"&amp;CONCATENATE($G$6,"/",B7),Proventos!$J:$J,"="&amp;$H$2),
$K$2=Data!$A$2,SUMIFS(Proventos!$H:$H,Proventos!$D:$D,"&gt;="&amp;CONCATENATE($F$6,"/",B7),Proventos!$D:$D,"&lt;"&amp;CONCATENATE($G$6,"/",B7)),
$K$2&lt;&gt;Data!$A$2,SUMIFS(Proventos!$H:$H,Proventos!$D:$D,"&gt;="&amp;CONCATENATE($F$6,"/",B7),Proventos!$D:$D,"&lt;"&amp;CONCATENATE($G$6,"/",B7),Proventos!$A:$A,"="&amp;$K$2))</f>
        <v>1085</v>
      </c>
      <c r="G7" s="245">
        <f>IFS(
AND($H$2=Data!$A$3,$K$2=Data!$A$2),SUMIFS(Proventos!$H:$H,Proventos!$D:$D,"&gt;="&amp;CONCATENATE($G$6,"/",B7),Proventos!$D:$D,"&lt;"&amp;CONCATENATE($H$6,"/",B7),Proventos!$J:$J,"="&amp;$H$2),
AND($H$2=Data!$A$4,$K$2=Data!$A$2),SUMIFS(Proventos!$H:$H,Proventos!$D:$D,"&gt;="&amp;CONCATENATE($G$6,"/",B7),Proventos!$D:$D,"&lt;"&amp;CONCATENATE($H$6,"/",B7),Proventos!$J:$J,"="&amp;$H$2),
AND($H$2=Data!$A$5,$K$2=Data!$A$2),SUMIFS(Proventos!$H:$H,Proventos!$D:$D,"&gt;="&amp;CONCATENATE($G$6,"/",B7),Proventos!$D:$D,"&lt;"&amp;CONCATENATE($H$6,"/",B7),Proventos!$J:$J,"="&amp;$H$2),
AND($H$2=Data!$A$6,$K$2=Data!$A$2),SUMIFS(Proventos!$H:$H,Proventos!$D:$D,"&gt;="&amp;CONCATENATE($G$6,"/",B7),Proventos!$D:$D,"&lt;"&amp;CONCATENATE($H$6,"/",B7),Proventos!$J:$J,"="&amp;$H$2),
AND($H$2=Data!$A$7,$K$2=Data!$A$2),SUMIFS(Proventos!$H:$H,Proventos!$D:$D,"&gt;="&amp;CONCATENATE($G$6,"/",B7),Proventos!$D:$D,"&lt;"&amp;CONCATENATE($H$6,"/",B7),Proventos!$J:$J,"="&amp;$H$2),
AND($H$2=Data!$A$8,$K$2=Data!$A$2),SUMIFS(Proventos!$H:$H,Proventos!$D:$D,"&gt;="&amp;CONCATENATE($G$6,"/",B7),Proventos!$D:$D,"&lt;"&amp;CONCATENATE($H$6,"/",B7),Proventos!$J:$J,"="&amp;$H$2),
AND($H$2=Data!$A$9,$K$2=Data!$A$2),SUMIFS(Proventos!$H:$H,Proventos!$D:$D,"&gt;="&amp;CONCATENATE($G$6,"/",B7),Proventos!$D:$D,"&lt;"&amp;CONCATENATE($H$6,"/",B7),Proventos!$J:$J,"="&amp;$H$2),
AND($H$2=Data!$A$10,$K$2=Data!$A$2),SUMIFS(Proventos!$H:$H,Proventos!$D:$D,"&gt;="&amp;CONCATENATE($G$6,"/",B7),Proventos!$D:$D,"&lt;"&amp;CONCATENATE($H$6,"/",B7),Proventos!$J:$J,"="&amp;$H$2),
AND($H$2=Data!$A$11,$K$2=Data!$A$2),SUMIFS(Proventos!$H:$H,Proventos!$D:$D,"&gt;="&amp;CONCATENATE($G$6,"/",B7),Proventos!$D:$D,"&lt;"&amp;CONCATENATE($H$6,"/",B7),Proventos!$J:$J,"="&amp;$H$2),
$K$2=Data!$A$2,SUMIFS(Proventos!$H:$H,Proventos!$D:$D,"&gt;="&amp;CONCATENATE($G$6,"/",B7),Proventos!$D:$D,"&lt;"&amp;CONCATENATE($H$6,"/",B7)),
$K$2&lt;&gt;Data!$A$2,SUMIFS(Proventos!$H:$H,Proventos!$D:$D,"&gt;="&amp;CONCATENATE($G$6,"/",B7),Proventos!$D:$D,"&lt;"&amp;CONCATENATE($H$6,"/",B7),Proventos!$A:$A,"="&amp;$K$2))</f>
        <v>110</v>
      </c>
      <c r="H7" s="245">
        <f>IFS(
AND($H$2=Data!$A$3,$K$2=Data!$A$2),SUMIFS(Proventos!$H:$H,Proventos!$D:$D,"&gt;="&amp;CONCATENATE($H$6,"/",B7),Proventos!$D:$D,"&lt;"&amp;CONCATENATE($I$6,"/",B7),Proventos!$J:$J,"="&amp;$H$2),
AND($H$2=Data!$A$4,$K$2=Data!$A$2),SUMIFS(Proventos!$H:$H,Proventos!$D:$D,"&gt;="&amp;CONCATENATE($H$6,"/",B7),Proventos!$D:$D,"&lt;"&amp;CONCATENATE($I$6,"/",B7),Proventos!$J:$J,"="&amp;$H$2),
AND($H$2=Data!$A$5,$K$2=Data!$A$2),SUMIFS(Proventos!$H:$H,Proventos!$D:$D,"&gt;="&amp;CONCATENATE($H$6,"/",B7),Proventos!$D:$D,"&lt;"&amp;CONCATENATE($I$6,"/",B7),Proventos!$J:$J,"="&amp;$H$2),
AND($H$2=Data!$A$6,$K$2=Data!$A$2),SUMIFS(Proventos!$H:$H,Proventos!$D:$D,"&gt;="&amp;CONCATENATE($H$6,"/",B7),Proventos!$D:$D,"&lt;"&amp;CONCATENATE($I$6,"/",B7),Proventos!$J:$J,"="&amp;$H$2),
AND($H$2=Data!$A$7,$K$2=Data!$A$2),SUMIFS(Proventos!$H:$H,Proventos!$D:$D,"&gt;="&amp;CONCATENATE($H$6,"/",B7),Proventos!$D:$D,"&lt;"&amp;CONCATENATE($I$6,"/",B7),Proventos!$J:$J,"="&amp;$H$2),
AND($H$2=Data!$A$8,$K$2=Data!$A$2),SUMIFS(Proventos!$H:$H,Proventos!$D:$D,"&gt;="&amp;CONCATENATE($H$6,"/",B7),Proventos!$D:$D,"&lt;"&amp;CONCATENATE($I$6,"/",B7),Proventos!$J:$J,"="&amp;$H$2),
AND($H$2=Data!$A$9,$K$2=Data!$A$2),SUMIFS(Proventos!$H:$H,Proventos!$D:$D,"&gt;="&amp;CONCATENATE($H$6,"/",B7),Proventos!$D:$D,"&lt;"&amp;CONCATENATE($I$6,"/",B7),Proventos!$J:$J,"="&amp;$H$2),
AND($H$2=Data!$A$10,$K$2=Data!$A$2),SUMIFS(Proventos!$H:$H,Proventos!$D:$D,"&gt;="&amp;CONCATENATE($H$6,"/",B7),Proventos!$D:$D,"&lt;"&amp;CONCATENATE($I$6,"/",B7),Proventos!$J:$J,"="&amp;$H$2),
AND($H$2=Data!$A$11,$K$2=Data!$A$2),SUMIFS(Proventos!$H:$H,Proventos!$D:$D,"&gt;="&amp;CONCATENATE($H$6,"/",B7),Proventos!$D:$D,"&lt;"&amp;CONCATENATE($I$6,"/",B7),Proventos!$J:$J,"="&amp;$H$2),
$K$2=Data!$A$2,SUMIFS(Proventos!$H:$H,Proventos!$D:$D,"&gt;="&amp;CONCATENATE($H$6,"/",B7),Proventos!$D:$D,"&lt;"&amp;CONCATENATE($I$6,"/",B7)),
$K$2&lt;&gt;Data!$A$2,SUMIFS(Proventos!$H:$H,Proventos!$D:$D,"&gt;="&amp;CONCATENATE($H$6,"/",B7),Proventos!$D:$D,"&lt;"&amp;CONCATENATE($I$6,"/",B7),Proventos!$A:$A,"="&amp;$K$2))</f>
        <v>227</v>
      </c>
      <c r="I7" s="245">
        <f>IFS(
AND($H$2=Data!$A$3,$K$2=Data!$A$2),SUMIFS(Proventos!$H:$H,Proventos!$D:$D,"&gt;="&amp;CONCATENATE($I$6,"/",B7),Proventos!$D:$D,"&lt;"&amp;CONCATENATE($J$6,"/",B7),Proventos!$J:$J,"="&amp;$H$2),
AND($H$2=Data!$A$4,$K$2=Data!$A$2),SUMIFS(Proventos!$H:$H,Proventos!$D:$D,"&gt;="&amp;CONCATENATE($I$6,"/",B7),Proventos!$D:$D,"&lt;"&amp;CONCATENATE($J$6,"/",B7),Proventos!$J:$J,"="&amp;$H$2),
AND($H$2=Data!$A$5,$K$2=Data!$A$2),SUMIFS(Proventos!$H:$H,Proventos!$D:$D,"&gt;="&amp;CONCATENATE($I$6,"/",B7),Proventos!$D:$D,"&lt;"&amp;CONCATENATE($J$6,"/",B7),Proventos!$J:$J,"="&amp;$H$2),
AND($H$2=Data!$A$6,$K$2=Data!$A$2),SUMIFS(Proventos!$H:$H,Proventos!$D:$D,"&gt;="&amp;CONCATENATE($I$6,"/",B7),Proventos!$D:$D,"&lt;"&amp;CONCATENATE($J$6,"/",B7),Proventos!$J:$J,"="&amp;$H$2),
AND($H$2=Data!$A$7,$K$2=Data!$A$2),SUMIFS(Proventos!$H:$H,Proventos!$D:$D,"&gt;="&amp;CONCATENATE($I$6,"/",B7),Proventos!$D:$D,"&lt;"&amp;CONCATENATE($J$6,"/",B7),Proventos!$J:$J,"="&amp;$H$2),
AND($H$2=Data!$A$8,$K$2=Data!$A$2),SUMIFS(Proventos!$H:$H,Proventos!$D:$D,"&gt;="&amp;CONCATENATE($I$6,"/",B7),Proventos!$D:$D,"&lt;"&amp;CONCATENATE($J$6,"/",B7),Proventos!$J:$J,"="&amp;$H$2),
AND($H$2=Data!$A$9,$K$2=Data!$A$2),SUMIFS(Proventos!$H:$H,Proventos!$D:$D,"&gt;="&amp;CONCATENATE($I$6,"/",B7),Proventos!$D:$D,"&lt;"&amp;CONCATENATE($J$6,"/",B7),Proventos!$J:$J,"="&amp;$H$2),
AND($H$2=Data!$A$10,$K$2=Data!$A$2),SUMIFS(Proventos!$H:$H,Proventos!$D:$D,"&gt;="&amp;CONCATENATE($I$6,"/",B7),Proventos!$D:$D,"&lt;"&amp;CONCATENATE($J$6,"/",B7),Proventos!$J:$J,"="&amp;$H$2),
AND($H$2=Data!$A$11,$K$2=Data!$A$2),SUMIFS(Proventos!$H:$H,Proventos!$D:$D,"&gt;="&amp;CONCATENATE($I$6,"/",B7),Proventos!$D:$D,"&lt;"&amp;CONCATENATE($J$6,"/",B7),Proventos!$J:$J,"="&amp;$H$2),
$K$2=Data!$A$2,SUMIFS(Proventos!$H:$H,Proventos!$D:$D,"&gt;="&amp;CONCATENATE($I$6,"/",B7),Proventos!$D:$D,"&lt;"&amp;CONCATENATE($J$6,"/",B7)),
$K$2&lt;&gt;Data!$A$2,SUMIFS(Proventos!$H:$H,Proventos!$D:$D,"&gt;="&amp;CONCATENATE($I$6,"/",B7),Proventos!$D:$D,"&lt;"&amp;CONCATENATE($J$6,"/",B7),Proventos!$A:$A,"="&amp;$K$2))</f>
        <v>237</v>
      </c>
      <c r="J7" s="245">
        <f>IFS(
AND($H$2=Data!$A$3,$K$2=Data!$A$2),SUMIFS(Proventos!$H:$H,Proventos!$D:$D,"&gt;="&amp;CONCATENATE($J$6,"/",B7),Proventos!$D:$D,"&lt;"&amp;CONCATENATE($K$6,"/",B7),Proventos!$J:$J,"="&amp;$H$2),
AND($H$2=Data!$A$4,$K$2=Data!$A$2),SUMIFS(Proventos!$H:$H,Proventos!$D:$D,"&gt;="&amp;CONCATENATE($J$6,"/",B7),Proventos!$D:$D,"&lt;"&amp;CONCATENATE($K$6,"/",B7),Proventos!$J:$J,"="&amp;$H$2),
AND($H$2=Data!$A$5,$K$2=Data!$A$2),SUMIFS(Proventos!$H:$H,Proventos!$D:$D,"&gt;="&amp;CONCATENATE($J$6,"/",B7),Proventos!$D:$D,"&lt;"&amp;CONCATENATE($K$6,"/",B7),Proventos!$J:$J,"="&amp;$H$2),
AND($H$2=Data!$A$6,$K$2=Data!$A$2),SUMIFS(Proventos!$H:$H,Proventos!$D:$D,"&gt;="&amp;CONCATENATE($J$6,"/",B7),Proventos!$D:$D,"&lt;"&amp;CONCATENATE($K$6,"/",B7),Proventos!$J:$J,"="&amp;$H$2),
AND($H$2=Data!$A$7,$K$2=Data!$A$2),SUMIFS(Proventos!$H:$H,Proventos!$D:$D,"&gt;="&amp;CONCATENATE($J$6,"/",B7),Proventos!$D:$D,"&lt;"&amp;CONCATENATE($K$6,"/",B7),Proventos!$J:$J,"="&amp;$H$2),
AND($H$2=Data!$A$8,$K$2=Data!$A$2),SUMIFS(Proventos!$H:$H,Proventos!$D:$D,"&gt;="&amp;CONCATENATE($J$6,"/",B7),Proventos!$D:$D,"&lt;"&amp;CONCATENATE($K$6,"/",B7),Proventos!$J:$J,"="&amp;$H$2),
AND($H$2=Data!$A$9,$K$2=Data!$A$2),SUMIFS(Proventos!$H:$H,Proventos!$D:$D,"&gt;="&amp;CONCATENATE($J$6,"/",B7),Proventos!$D:$D,"&lt;"&amp;CONCATENATE($K$6,"/",B7),Proventos!$J:$J,"="&amp;$H$2),
AND($H$2=Data!$A$10,$K$2=Data!$A$2),SUMIFS(Proventos!$H:$H,Proventos!$D:$D,"&gt;="&amp;CONCATENATE($J$6,"/",B7),Proventos!$D:$D,"&lt;"&amp;CONCATENATE($K$6,"/",B7),Proventos!$J:$J,"="&amp;$H$2),
AND($H$2=Data!$A$11,$K$2=Data!$A$2),SUMIFS(Proventos!$H:$H,Proventos!$D:$D,"&gt;="&amp;CONCATENATE($J$6,"/",B7),Proventos!$D:$D,"&lt;"&amp;CONCATENATE($K$6,"/",B7),Proventos!$J:$J,"="&amp;$H$2),
$K$2=Data!$A$2,SUMIFS(Proventos!$H:$H,Proventos!$D:$D,"&gt;="&amp;CONCATENATE($J$6,"/",B7),Proventos!$D:$D,"&lt;"&amp;CONCATENATE($K$6,"/",B7)),
$K$2&lt;&gt;Data!$A$2,SUMIFS(Proventos!$H:$H,Proventos!$D:$D,"&gt;="&amp;CONCATENATE($J$6,"/",B7),Proventos!$D:$D,"&lt;"&amp;CONCATENATE($K$6,"/",B7),Proventos!$A:$A,"="&amp;$K$2))</f>
        <v>242</v>
      </c>
      <c r="K7" s="245">
        <f>IFS(
AND($H$2=Data!$A$3,$K$2=Data!$A$2),SUMIFS(Proventos!$H:$H,Proventos!$D:$D,"&gt;="&amp;CONCATENATE($K$6,"/",B7),Proventos!$D:$D,"&lt;"&amp;CONCATENATE($L$6,"/",B7),Proventos!$J:$J,"="&amp;$H$2),
AND($H$2=Data!$A$4,$K$2=Data!$A$2),SUMIFS(Proventos!$H:$H,Proventos!$D:$D,"&gt;="&amp;CONCATENATE($K$6,"/",B7),Proventos!$D:$D,"&lt;"&amp;CONCATENATE($L$6,"/",B7),Proventos!$J:$J,"="&amp;$H$2),
AND($H$2=Data!$A$5,$K$2=Data!$A$2),SUMIFS(Proventos!$H:$H,Proventos!$D:$D,"&gt;="&amp;CONCATENATE($K$6,"/",B7),Proventos!$D:$D,"&lt;"&amp;CONCATENATE($L$6,"/",B7),Proventos!$J:$J,"="&amp;$H$2),
AND($H$2=Data!$A$6,$K$2=Data!$A$2),SUMIFS(Proventos!$H:$H,Proventos!$D:$D,"&gt;="&amp;CONCATENATE($K$6,"/",B7),Proventos!$D:$D,"&lt;"&amp;CONCATENATE($L$6,"/",B7),Proventos!$J:$J,"="&amp;$H$2),
AND($H$2=Data!$A$7,$K$2=Data!$A$2),SUMIFS(Proventos!$H:$H,Proventos!$D:$D,"&gt;="&amp;CONCATENATE($K$6,"/",B7),Proventos!$D:$D,"&lt;"&amp;CONCATENATE($L$6,"/",B7),Proventos!$J:$J,"="&amp;$H$2),
AND($H$2=Data!$A$8,$K$2=Data!$A$2),SUMIFS(Proventos!$H:$H,Proventos!$D:$D,"&gt;="&amp;CONCATENATE($K$6,"/",B7),Proventos!$D:$D,"&lt;"&amp;CONCATENATE($L$6,"/",B7),Proventos!$J:$J,"="&amp;$H$2),
AND($H$2=Data!$A$9,$K$2=Data!$A$2),SUMIFS(Proventos!$H:$H,Proventos!$D:$D,"&gt;="&amp;CONCATENATE($K$6,"/",B7),Proventos!$D:$D,"&lt;"&amp;CONCATENATE($L$6,"/",B7),Proventos!$J:$J,"="&amp;$H$2),
AND($H$2=Data!$A$10,$K$2=Data!$A$2),SUMIFS(Proventos!$H:$H,Proventos!$D:$D,"&gt;="&amp;CONCATENATE($K$6,"/",B7),Proventos!$D:$D,"&lt;"&amp;CONCATENATE($L$6,"/",B7),Proventos!$J:$J,"="&amp;$H$2),
AND($H$2=Data!$A$11,$K$2=Data!$A$2),SUMIFS(Proventos!$H:$H,Proventos!$D:$D,"&gt;="&amp;CONCATENATE($K$6,"/",B7),Proventos!$D:$D,"&lt;"&amp;CONCATENATE($L$6,"/",B7),Proventos!$J:$J,"="&amp;$H$2),
$K$2=Data!$A$2,SUMIFS(Proventos!$H:$H,Proventos!$D:$D,"&gt;="&amp;CONCATENATE($K$6,"/",B7),Proventos!$D:$D,"&lt;"&amp;CONCATENATE($L$6,"/",B7)),
$K$2&lt;&gt;Data!$A$2,SUMIFS(Proventos!$H:$H,Proventos!$D:$D,"&gt;="&amp;CONCATENATE($K$6,"/",B7),Proventos!$D:$D,"&lt;"&amp;CONCATENATE($L$6,"/",B7),Proventos!$A:$A,"="&amp;$K$2))</f>
        <v>230</v>
      </c>
      <c r="L7" s="245">
        <f>IFS(
AND($H$2=Data!$A$3,$K$2=Data!$A$2),SUMIFS(Proventos!$H:$H,Proventos!$D:$D,"&gt;="&amp;CONCATENATE($L$6,"/",B7),Proventos!$D:$D,"&lt;"&amp;CONCATENATE($M$6,"/",B7),Proventos!$J:$J,"="&amp;$H$2),
AND($H$2=Data!$A$4,$K$2=Data!$A$2),SUMIFS(Proventos!$H:$H,Proventos!$D:$D,"&gt;="&amp;CONCATENATE($L$6,"/",B7),Proventos!$D:$D,"&lt;"&amp;CONCATENATE($M$6,"/",B7),Proventos!$J:$J,"="&amp;$H$2),
AND($H$2=Data!$A$5,$K$2=Data!$A$2),SUMIFS(Proventos!$H:$H,Proventos!$D:$D,"&gt;="&amp;CONCATENATE($L$6,"/",B7),Proventos!$D:$D,"&lt;"&amp;CONCATENATE($M$6,"/",B7),Proventos!$J:$J,"="&amp;$H$2),
AND($H$2=Data!$A$6,$K$2=Data!$A$2),SUMIFS(Proventos!$H:$H,Proventos!$D:$D,"&gt;="&amp;CONCATENATE($L$6,"/",B7),Proventos!$D:$D,"&lt;"&amp;CONCATENATE($M$6,"/",B7),Proventos!$J:$J,"="&amp;$H$2),
AND($H$2=Data!$A$7,$K$2=Data!$A$2),SUMIFS(Proventos!$H:$H,Proventos!$D:$D,"&gt;="&amp;CONCATENATE($L$6,"/",B7),Proventos!$D:$D,"&lt;"&amp;CONCATENATE($M$6,"/",B7),Proventos!$J:$J,"="&amp;$H$2),
AND($H$2=Data!$A$8,$K$2=Data!$A$2),SUMIFS(Proventos!$H:$H,Proventos!$D:$D,"&gt;="&amp;CONCATENATE($L$6,"/",B7),Proventos!$D:$D,"&lt;"&amp;CONCATENATE($M$6,"/",B7),Proventos!$J:$J,"="&amp;$H$2),
AND($H$2=Data!$A$9,$K$2=Data!$A$2),SUMIFS(Proventos!$H:$H,Proventos!$D:$D,"&gt;="&amp;CONCATENATE($L$6,"/",B7),Proventos!$D:$D,"&lt;"&amp;CONCATENATE($M$6,"/",B7),Proventos!$J:$J,"="&amp;$H$2),
AND($H$2=Data!$A$10,$K$2=Data!$A$2),SUMIFS(Proventos!$H:$H,Proventos!$D:$D,"&gt;="&amp;CONCATENATE($L$6,"/",B7),Proventos!$D:$D,"&lt;"&amp;CONCATENATE($M$6,"/",B7),Proventos!$J:$J,"="&amp;$H$2),
AND($H$2=Data!$A$11,$K$2=Data!$A$2),SUMIFS(Proventos!$H:$H,Proventos!$D:$D,"&gt;="&amp;CONCATENATE($L$6,"/",B7),Proventos!$D:$D,"&lt;"&amp;CONCATENATE($M$6,"/",B7),Proventos!$J:$J,"="&amp;$H$2),
$K$2=Data!$A$2,SUMIFS(Proventos!$H:$H,Proventos!$D:$D,"&gt;="&amp;CONCATENATE($L$6,"/",B7),Proventos!$D:$D,"&lt;"&amp;CONCATENATE($M$6,"/",B7)),
$K$2&lt;&gt;Data!$A$2,SUMIFS(Proventos!$H:$H,Proventos!$D:$D,"&gt;="&amp;CONCATENATE($L$6,"/",B7),Proventos!$D:$D,"&lt;"&amp;CONCATENATE($M$6,"/",B7),Proventos!$A:$A,"="&amp;$K$2))</f>
        <v>231.5</v>
      </c>
      <c r="M7" s="245">
        <f>IFS(
AND($H$2=Data!$A$3,$K$2=Data!$A$2),SUMIFS(Proventos!$H:$H,Proventos!$D:$D,"&gt;="&amp;CONCATENATE($M$6,"/",B7),Proventos!$D:$D,"&lt;"&amp;CONCATENATE($N$6,"/",B7),Proventos!$J:$J,"="&amp;$H$2),
AND($H$2=Data!$A$4,$K$2=Data!$A$2),SUMIFS(Proventos!$H:$H,Proventos!$D:$D,"&gt;="&amp;CONCATENATE($M$6,"/",B7),Proventos!$D:$D,"&lt;"&amp;CONCATENATE($N$6,"/",B7),Proventos!$J:$J,"="&amp;$H$2),
AND($H$2=Data!$A$5,$K$2=Data!$A$2),SUMIFS(Proventos!$H:$H,Proventos!$D:$D,"&gt;="&amp;CONCATENATE($M$6,"/",B7),Proventos!$D:$D,"&lt;"&amp;CONCATENATE($N$6,"/",B7),Proventos!$J:$J,"="&amp;$H$2),
AND($H$2=Data!$A$6,$K$2=Data!$A$2),SUMIFS(Proventos!$H:$H,Proventos!$D:$D,"&gt;="&amp;CONCATENATE($M$6,"/",B7),Proventos!$D:$D,"&lt;"&amp;CONCATENATE($N$6,"/",B7),Proventos!$J:$J,"="&amp;$H$2),
AND($H$2=Data!$A$7,$K$2=Data!$A$2),SUMIFS(Proventos!$H:$H,Proventos!$D:$D,"&gt;="&amp;CONCATENATE($M$6,"/",B7),Proventos!$D:$D,"&lt;"&amp;CONCATENATE($N$6,"/",B7),Proventos!$J:$J,"="&amp;$H$2),
AND($H$2=Data!$A$8,$K$2=Data!$A$2),SUMIFS(Proventos!$H:$H,Proventos!$D:$D,"&gt;="&amp;CONCATENATE($M$6,"/",B7),Proventos!$D:$D,"&lt;"&amp;CONCATENATE($N$6,"/",B7),Proventos!$J:$J,"="&amp;$H$2),
AND($H$2=Data!$A$9,$K$2=Data!$A$2),SUMIFS(Proventos!$H:$H,Proventos!$D:$D,"&gt;="&amp;CONCATENATE($M$6,"/",B7),Proventos!$D:$D,"&lt;"&amp;CONCATENATE($N$6,"/",B7),Proventos!$J:$J,"="&amp;$H$2),
AND($H$2=Data!$A$10,$K$2=Data!$A$2),SUMIFS(Proventos!$H:$H,Proventos!$D:$D,"&gt;="&amp;CONCATENATE($M$6,"/",B7),Proventos!$D:$D,"&lt;"&amp;CONCATENATE($N$6,"/",B7),Proventos!$J:$J,"="&amp;$H$2),
AND($H$2=Data!$A$11,$K$2=Data!$A$2),SUMIFS(Proventos!$H:$H,Proventos!$D:$D,"&gt;="&amp;CONCATENATE($M$6,"/",B7),Proventos!$D:$D,"&lt;"&amp;CONCATENATE($N$6,"/",B7),Proventos!$J:$J,"="&amp;$H$2),
$K$2=Data!$A$2,SUMIFS(Proventos!$H:$H,Proventos!$D:$D,"&gt;="&amp;CONCATENATE($M$6,"/",B7),Proventos!$D:$D,"&lt;"&amp;CONCATENATE($N$6,"/",B7)),
$K$2&lt;&gt;Data!$A$2,SUMIFS(Proventos!$H:$H,Proventos!$D:$D,"&gt;="&amp;CONCATENATE($M$6,"/",B7),Proventos!$D:$D,"&lt;"&amp;CONCATENATE($N$6,"/",B7),Proventos!$A:$A,"="&amp;$K$2))</f>
        <v>362.5</v>
      </c>
      <c r="N7" s="245">
        <f>IFS(
AND($H$2=Data!$A$3,$K$2=Data!$A$2),SUMIFS(Proventos!$H:$H,Proventos!$D:$D,"&gt;="&amp;CONCATENATE($N$6,"/",B7),Proventos!$D:$D,"&lt;"&amp;CONCATENATE($C$6,"/",B8),Proventos!$J:$J,"="&amp;$H$2),
AND($H$2=Data!$A$4,$K$2=Data!$A$2),SUMIFS(Proventos!$H:$H,Proventos!$D:$D,"&gt;="&amp;CONCATENATE($N$6,"/",B7),Proventos!$D:$D,"&lt;"&amp;CONCATENATE($C$6,"/",B8),Proventos!$J:$J,"="&amp;$H$2),
AND($H$2=Data!$A$5,$K$2=Data!$A$2),SUMIFS(Proventos!$H:$H,Proventos!$D:$D,"&gt;="&amp;CONCATENATE($N$6,"/",B7),Proventos!$D:$D,"&lt;"&amp;CONCATENATE($C$6,"/",B8),Proventos!$J:$J,"="&amp;$H$2),
AND($H$2=Data!$A$6,$K$2=Data!$A$2),SUMIFS(Proventos!$H:$H,Proventos!$D:$D,"&gt;="&amp;CONCATENATE($N$6,"/",B7),Proventos!$D:$D,"&lt;"&amp;CONCATENATE($C$6,"/",B8),Proventos!$J:$J,"="&amp;$H$2),
AND($H$2=Data!$A$7,$K$2=Data!$A$2),SUMIFS(Proventos!$H:$H,Proventos!$D:$D,"&gt;="&amp;CONCATENATE($N$6,"/",B7),Proventos!$D:$D,"&lt;"&amp;CONCATENATE($C$6,"/",B8),Proventos!$J:$J,"="&amp;$H$2),
AND($H$2=Data!$A$8,$K$2=Data!$A$2),SUMIFS(Proventos!$H:$H,Proventos!$D:$D,"&gt;="&amp;CONCATENATE($N$6,"/",B7),Proventos!$D:$D,"&lt;"&amp;CONCATENATE($C$6,"/",B8),Proventos!$J:$J,"="&amp;$H$2),
AND($H$2=Data!$A$9,$K$2=Data!$A$2),SUMIFS(Proventos!$H:$H,Proventos!$D:$D,"&gt;="&amp;CONCATENATE($N$6,"/",B7),Proventos!$D:$D,"&lt;"&amp;CONCATENATE($C$6,"/",B8),Proventos!$J:$J,"="&amp;$H$2),
AND($H$2=Data!$A$10,$K$2=Data!$A$2),SUMIFS(Proventos!$H:$H,Proventos!$D:$D,"&gt;="&amp;CONCATENATE($N$6,"/",B7),Proventos!$D:$D,"&lt;"&amp;CONCATENATE($C$6,"/",B8),Proventos!$J:$J,"="&amp;$H$2),
AND($H$2=Data!$A$11,$K$2=Data!$A$2),SUMIFS(Proventos!$H:$H,Proventos!$D:$D,"&gt;="&amp;CONCATENATE($N$6,"/",B7),Proventos!$D:$D,"&lt;"&amp;CONCATENATE($C$6,"/",B8),Proventos!$J:$J,"="&amp;$H$2),
$K$2=Data!$A$2,SUMIFS(Proventos!$H:$H,Proventos!$D:$D,"&gt;="&amp;CONCATENATE($N$6,"/",B7),Proventos!$D:$D,"&lt;"&amp;CONCATENATE($C$6,"/",B8)),
$K$2&lt;&gt;Data!$A$2,SUMIFS(Proventos!$H:$H,Proventos!$D:$D,"&gt;="&amp;CONCATENATE($N$6,"/",B7),Proventos!$D:$D,"&lt;"&amp;CONCATENATE($C$6,"/",B8),Proventos!$A:$A,"="&amp;$K$2))</f>
        <v>270</v>
      </c>
      <c r="O7" s="245"/>
      <c r="P7" s="245">
        <f t="shared" ref="P7:P107" si="1">AVERAGE(C7:N7)</f>
        <v>354.6666667</v>
      </c>
      <c r="Q7" s="245">
        <f t="shared" ref="Q7:Q107" si="2">SUM(C7:N7)</f>
        <v>4256</v>
      </c>
    </row>
    <row r="8" ht="32.25" customHeight="1">
      <c r="A8" s="230" t="str">
        <f>IFERROR(__xludf.DUMMYFUNCTION("IF(H2=""&lt; Todos &gt;"",SORT(UNIQUE(Ativos!A2:A108),1,TRUE),SORT(FILTER(Ativos!A2:A108,Ativos!E2:E108=H2),1,TRUE))"),"AAPL34")</f>
        <v>AAPL34</v>
      </c>
      <c r="B8" s="244">
        <f>IFERROR(__xludf.DUMMYFUNCTION("""COMPUTED_VALUE"""),2021.0)</f>
        <v>2021</v>
      </c>
      <c r="C8" s="245">
        <f>IFS(
AND($H$2=Data!$A$3,$K$2=Data!$A$2),SUMIFS(Proventos!$H:$H,Proventos!$D:$D,"&gt;="&amp;CONCATENATE($C$6,"/",B8),Proventos!$D:$D,"&lt;"&amp;CONCATENATE($D$6,"/",B8),Proventos!$J:$J,"="&amp;$H$2),
AND($H$2=Data!$A$4,$K$2=Data!$A$2),SUMIFS(Proventos!$H:$H,Proventos!$D:$D,"&gt;="&amp;CONCATENATE($C$6,"/",B8),Proventos!$D:$D,"&lt;"&amp;CONCATENATE($D$6,"/",B8),Proventos!$J:$J,"="&amp;$H$2),
AND($H$2=Data!$A$5,$K$2=Data!$A$2),SUMIFS(Proventos!$H:$H,Proventos!$D:$D,"&gt;="&amp;CONCATENATE($C$6,"/",B8),Proventos!$D:$D,"&lt;"&amp;CONCATENATE($D$6,"/",B8),Proventos!$J:$J,"="&amp;$H$2),
AND($H$2=Data!$A$6,$K$2=Data!$A$2),SUMIFS(Proventos!$H:$H,Proventos!$D:$D,"&gt;="&amp;CONCATENATE($C$6,"/",B8),Proventos!$D:$D,"&lt;"&amp;CONCATENATE($D$6,"/",B8),Proventos!$J:$J,"="&amp;$H$2),
AND($H$2=Data!$A$7,$K$2=Data!$A$2),SUMIFS(Proventos!$H:$H,Proventos!$D:$D,"&gt;="&amp;CONCATENATE($C$6,"/",B8),Proventos!$D:$D,"&lt;"&amp;CONCATENATE($D$6,"/",B8),Proventos!$J:$J,"="&amp;$H$2),
AND($H$2=Data!$A$8,$K$2=Data!$A$2),SUMIFS(Proventos!$H:$H,Proventos!$D:$D,"&gt;="&amp;CONCATENATE($C$6,"/",B8),Proventos!$D:$D,"&lt;"&amp;CONCATENATE($D$6,"/",B8),Proventos!$J:$J,"="&amp;$H$2),
AND($H$2=Data!$A$9,$K$2=Data!$A$2),SUMIFS(Proventos!$H:$H,Proventos!$D:$D,"&gt;="&amp;CONCATENATE($C$6,"/",B8),Proventos!$D:$D,"&lt;"&amp;CONCATENATE($D$6,"/",B8),Proventos!$J:$J,"="&amp;$H$2),
AND($H$2=Data!$A$10,$K$2=Data!$A$2),SUMIFS(Proventos!$H:$H,Proventos!$D:$D,"&gt;="&amp;CONCATENATE($C$6,"/",B8),Proventos!$D:$D,"&lt;"&amp;CONCATENATE($D$6,"/",B8),Proventos!$J:$J,"="&amp;$H$2),
AND($H$2=Data!$A$11,$K$2=Data!$A$2),SUMIFS(Proventos!$H:$H,Proventos!$D:$D,"&gt;="&amp;CONCATENATE($C$6,"/",B8),Proventos!$D:$D,"&lt;"&amp;CONCATENATE($D$6,"/",B8),Proventos!$J:$J,"="&amp;$H$2),
$K$2=Data!$A$2,SUMIFS(Proventos!$H:$H,Proventos!$D:$D,"&gt;="&amp;CONCATENATE($C$6,"/",B8),Proventos!$D:$D,"&lt;"&amp;CONCATENATE($D$6,"/",B8)),
$K$2&lt;&gt;Data!$A$2,SUMIFS(Proventos!$H:$H,Proventos!$D:$D,"&gt;="&amp;CONCATENATE($C$6,"/",B8),Proventos!$D:$D,"&lt;"&amp;CONCATENATE($D$6,"/",B8),Proventos!$A:$A,"="&amp;$K$2))</f>
        <v>285</v>
      </c>
      <c r="D8" s="245">
        <f>IFS(
AND($H$2=Data!$A$3,$K$2=Data!$A$2),SUMIFS(Proventos!$H:$H,Proventos!$D:$D,"&gt;="&amp;CONCATENATE($D$6,"/",B8),Proventos!$D:$D,"&lt;"&amp;CONCATENATE($E$6,"/",B8),Proventos!$J:$J,"="&amp;$H$2),
AND($H$2=Data!$A$4,$K$2=Data!$A$2),SUMIFS(Proventos!$H:$H,Proventos!$D:$D,"&gt;="&amp;CONCATENATE($D$6,"/",B8),Proventos!$D:$D,"&lt;"&amp;CONCATENATE($E$6,"/",B8),Proventos!$J:$J,"="&amp;$H$2),
AND($H$2=Data!$A$5,$K$2=Data!$A$2),SUMIFS(Proventos!$H:$H,Proventos!$D:$D,"&gt;="&amp;CONCATENATE($D$6,"/",B8),Proventos!$D:$D,"&lt;"&amp;CONCATENATE($E$6,"/",B8),Proventos!$J:$J,"="&amp;$H$2),
AND($H$2=Data!$A$6,$K$2=Data!$A$2),SUMIFS(Proventos!$H:$H,Proventos!$D:$D,"&gt;="&amp;CONCATENATE($D$6,"/",B8),Proventos!$D:$D,"&lt;"&amp;CONCATENATE($E$6,"/",B8),Proventos!$J:$J,"="&amp;$H$2),
AND($H$2=Data!$A$7,$K$2=Data!$A$2),SUMIFS(Proventos!$H:$H,Proventos!$D:$D,"&gt;="&amp;CONCATENATE($D$6,"/",B8),Proventos!$D:$D,"&lt;"&amp;CONCATENATE($E$6,"/",B8),Proventos!$J:$J,"="&amp;$H$2),
AND($H$2=Data!$A$8,$K$2=Data!$A$2),SUMIFS(Proventos!$H:$H,Proventos!$D:$D,"&gt;="&amp;CONCATENATE($D$6,"/",B8),Proventos!$D:$D,"&lt;"&amp;CONCATENATE($E$6,"/",B8),Proventos!$J:$J,"="&amp;$H$2),
AND($H$2=Data!$A$9,$K$2=Data!$A$2),SUMIFS(Proventos!$H:$H,Proventos!$D:$D,"&gt;="&amp;CONCATENATE($D$6,"/",B8),Proventos!$D:$D,"&lt;"&amp;CONCATENATE($E$6,"/",B8),Proventos!$J:$J,"="&amp;$H$2),
AND($H$2=Data!$A$10,$K$2=Data!$A$2),SUMIFS(Proventos!$H:$H,Proventos!$D:$D,"&gt;="&amp;CONCATENATE($D$6,"/",B8),Proventos!$D:$D,"&lt;"&amp;CONCATENATE($E$6,"/",B8),Proventos!$J:$J,"="&amp;$H$2),
AND($H$2=Data!$A$11,$K$2=Data!$A$2),SUMIFS(Proventos!$H:$H,Proventos!$D:$D,"&gt;="&amp;CONCATENATE($D$6,"/",B8),Proventos!$D:$D,"&lt;"&amp;CONCATENATE($E$6,"/",B8),Proventos!$J:$J,"="&amp;$H$2),
$K$2=Data!$A$2,SUMIFS(Proventos!$H:$H,Proventos!$D:$D,"&gt;="&amp;CONCATENATE($D$6,"/",B8),Proventos!$D:$D,"&lt;"&amp;CONCATENATE($E$6,"/",B8)),
$K$2&lt;&gt;Data!$A$2,SUMIFS(Proventos!$H:$H,Proventos!$D:$D,"&gt;="&amp;CONCATENATE($D$6,"/",B8),Proventos!$D:$D,"&lt;"&amp;CONCATENATE($E$6,"/",B8),Proventos!$A:$A,"="&amp;$K$2))</f>
        <v>1100</v>
      </c>
      <c r="E8" s="245">
        <f>IFS(
AND($H$2=Data!$A$3,$K$2=Data!$A$2),SUMIFS(Proventos!$H:$H,Proventos!$D:$D,"&gt;="&amp;CONCATENATE($E$6,"/",B8),Proventos!$D:$D,"&lt;"&amp;CONCATENATE($F$6,"/",B8),Proventos!$J:$J,"="&amp;$H$2),
AND($H$2=Data!$A$4,$K$2=Data!$A$2),SUMIFS(Proventos!$H:$H,Proventos!$D:$D,"&gt;="&amp;CONCATENATE($E$6,"/",B8),Proventos!$D:$D,"&lt;"&amp;CONCATENATE($F$6,"/",B8),Proventos!$J:$J,"="&amp;$H$2),
AND($H$2=Data!$A$5,$K$2=Data!$A$2),SUMIFS(Proventos!$H:$H,Proventos!$D:$D,"&gt;="&amp;CONCATENATE($E$6,"/",B8),Proventos!$D:$D,"&lt;"&amp;CONCATENATE($F$6,"/",B8),Proventos!$J:$J,"="&amp;$H$2),
AND($H$2=Data!$A$6,$K$2=Data!$A$2),SUMIFS(Proventos!$H:$H,Proventos!$D:$D,"&gt;="&amp;CONCATENATE($E$6,"/",B8),Proventos!$D:$D,"&lt;"&amp;CONCATENATE($F$6,"/",B8),Proventos!$J:$J,"="&amp;$H$2),
AND($H$2=Data!$A$7,$K$2=Data!$A$2),SUMIFS(Proventos!$H:$H,Proventos!$D:$D,"&gt;="&amp;CONCATENATE($E$6,"/",B8),Proventos!$D:$D,"&lt;"&amp;CONCATENATE($F$6,"/",B8),Proventos!$J:$J,"="&amp;$H$2),
AND($H$2=Data!$A$8,$K$2=Data!$A$2),SUMIFS(Proventos!$H:$H,Proventos!$D:$D,"&gt;="&amp;CONCATENATE($E$6,"/",B8),Proventos!$D:$D,"&lt;"&amp;CONCATENATE($F$6,"/",B8),Proventos!$J:$J,"="&amp;$H$2),
AND($H$2=Data!$A$9,$K$2=Data!$A$2),SUMIFS(Proventos!$H:$H,Proventos!$D:$D,"&gt;="&amp;CONCATENATE($E$6,"/",B8),Proventos!$D:$D,"&lt;"&amp;CONCATENATE($F$6,"/",B8),Proventos!$J:$J,"="&amp;$H$2),
AND($H$2=Data!$A$10,$K$2=Data!$A$2),SUMIFS(Proventos!$H:$H,Proventos!$D:$D,"&gt;="&amp;CONCATENATE($E$6,"/",B8),Proventos!$D:$D,"&lt;"&amp;CONCATENATE($F$6,"/",B8),Proventos!$J:$J,"="&amp;$H$2),
AND($H$2=Data!$A$11,$K$2=Data!$A$2),SUMIFS(Proventos!$H:$H,Proventos!$D:$D,"&gt;="&amp;CONCATENATE($E$6,"/",B8),Proventos!$D:$D,"&lt;"&amp;CONCATENATE($F$6,"/",B8),Proventos!$J:$J,"="&amp;$H$2),
$K$2=Data!$A$2,SUMIFS(Proventos!$H:$H,Proventos!$D:$D,"&gt;="&amp;CONCATENATE($E$6,"/",B8),Proventos!$D:$D,"&lt;"&amp;CONCATENATE($F$6,"/",B8)),
$K$2&lt;&gt;Data!$A$2,SUMIFS(Proventos!$H:$H,Proventos!$D:$D,"&gt;="&amp;CONCATENATE($E$6,"/",B8),Proventos!$D:$D,"&lt;"&amp;CONCATENATE($F$6,"/",B8),Proventos!$A:$A,"="&amp;$K$2))</f>
        <v>255</v>
      </c>
      <c r="F8" s="245">
        <f>IFS(
AND($H$2=Data!$A$3,$K$2=Data!$A$2),SUMIFS(Proventos!$H:$H,Proventos!$D:$D,"&gt;="&amp;CONCATENATE($F$6,"/",B8),Proventos!$D:$D,"&lt;"&amp;CONCATENATE($G$6,"/",B8),Proventos!$J:$J,"="&amp;$H$2),
AND($H$2=Data!$A$4,$K$2=Data!$A$2),SUMIFS(Proventos!$H:$H,Proventos!$D:$D,"&gt;="&amp;CONCATENATE($F$6,"/",B8),Proventos!$D:$D,"&lt;"&amp;CONCATENATE($G$6,"/",B8),Proventos!$J:$J,"="&amp;$H$2),
AND($H$2=Data!$A$5,$K$2=Data!$A$2),SUMIFS(Proventos!$H:$H,Proventos!$D:$D,"&gt;="&amp;CONCATENATE($F$6,"/",B8),Proventos!$D:$D,"&lt;"&amp;CONCATENATE($G$6,"/",B8),Proventos!$J:$J,"="&amp;$H$2),
AND($H$2=Data!$A$6,$K$2=Data!$A$2),SUMIFS(Proventos!$H:$H,Proventos!$D:$D,"&gt;="&amp;CONCATENATE($F$6,"/",B8),Proventos!$D:$D,"&lt;"&amp;CONCATENATE($G$6,"/",B8),Proventos!$J:$J,"="&amp;$H$2),
AND($H$2=Data!$A$7,$K$2=Data!$A$2),SUMIFS(Proventos!$H:$H,Proventos!$D:$D,"&gt;="&amp;CONCATENATE($F$6,"/",B8),Proventos!$D:$D,"&lt;"&amp;CONCATENATE($G$6,"/",B8),Proventos!$J:$J,"="&amp;$H$2),
AND($H$2=Data!$A$8,$K$2=Data!$A$2),SUMIFS(Proventos!$H:$H,Proventos!$D:$D,"&gt;="&amp;CONCATENATE($F$6,"/",B8),Proventos!$D:$D,"&lt;"&amp;CONCATENATE($G$6,"/",B8),Proventos!$J:$J,"="&amp;$H$2),
AND($H$2=Data!$A$9,$K$2=Data!$A$2),SUMIFS(Proventos!$H:$H,Proventos!$D:$D,"&gt;="&amp;CONCATENATE($F$6,"/",B8),Proventos!$D:$D,"&lt;"&amp;CONCATENATE($G$6,"/",B8),Proventos!$J:$J,"="&amp;$H$2),
AND($H$2=Data!$A$10,$K$2=Data!$A$2),SUMIFS(Proventos!$H:$H,Proventos!$D:$D,"&gt;="&amp;CONCATENATE($F$6,"/",B8),Proventos!$D:$D,"&lt;"&amp;CONCATENATE($G$6,"/",B8),Proventos!$J:$J,"="&amp;$H$2),
AND($H$2=Data!$A$11,$K$2=Data!$A$2),SUMIFS(Proventos!$H:$H,Proventos!$D:$D,"&gt;="&amp;CONCATENATE($F$6,"/",B8),Proventos!$D:$D,"&lt;"&amp;CONCATENATE($G$6,"/",B8),Proventos!$J:$J,"="&amp;$H$2),
$K$2=Data!$A$2,SUMIFS(Proventos!$H:$H,Proventos!$D:$D,"&gt;="&amp;CONCATENATE($F$6,"/",B8),Proventos!$D:$D,"&lt;"&amp;CONCATENATE($G$6,"/",B8)),
$K$2&lt;&gt;Data!$A$2,SUMIFS(Proventos!$H:$H,Proventos!$D:$D,"&gt;="&amp;CONCATENATE($F$6,"/",B8),Proventos!$D:$D,"&lt;"&amp;CONCATENATE($G$6,"/",B8),Proventos!$A:$A,"="&amp;$K$2))</f>
        <v>97.5</v>
      </c>
      <c r="G8" s="245">
        <f>IFS(
AND($H$2=Data!$A$3,$K$2=Data!$A$2),SUMIFS(Proventos!$H:$H,Proventos!$D:$D,"&gt;="&amp;CONCATENATE($G$6,"/",B8),Proventos!$D:$D,"&lt;"&amp;CONCATENATE($H$6,"/",B8),Proventos!$J:$J,"="&amp;$H$2),
AND($H$2=Data!$A$4,$K$2=Data!$A$2),SUMIFS(Proventos!$H:$H,Proventos!$D:$D,"&gt;="&amp;CONCATENATE($G$6,"/",B8),Proventos!$D:$D,"&lt;"&amp;CONCATENATE($H$6,"/",B8),Proventos!$J:$J,"="&amp;$H$2),
AND($H$2=Data!$A$5,$K$2=Data!$A$2),SUMIFS(Proventos!$H:$H,Proventos!$D:$D,"&gt;="&amp;CONCATENATE($G$6,"/",B8),Proventos!$D:$D,"&lt;"&amp;CONCATENATE($H$6,"/",B8),Proventos!$J:$J,"="&amp;$H$2),
AND($H$2=Data!$A$6,$K$2=Data!$A$2),SUMIFS(Proventos!$H:$H,Proventos!$D:$D,"&gt;="&amp;CONCATENATE($G$6,"/",B8),Proventos!$D:$D,"&lt;"&amp;CONCATENATE($H$6,"/",B8),Proventos!$J:$J,"="&amp;$H$2),
AND($H$2=Data!$A$7,$K$2=Data!$A$2),SUMIFS(Proventos!$H:$H,Proventos!$D:$D,"&gt;="&amp;CONCATENATE($G$6,"/",B8),Proventos!$D:$D,"&lt;"&amp;CONCATENATE($H$6,"/",B8),Proventos!$J:$J,"="&amp;$H$2),
AND($H$2=Data!$A$8,$K$2=Data!$A$2),SUMIFS(Proventos!$H:$H,Proventos!$D:$D,"&gt;="&amp;CONCATENATE($G$6,"/",B8),Proventos!$D:$D,"&lt;"&amp;CONCATENATE($H$6,"/",B8),Proventos!$J:$J,"="&amp;$H$2),
AND($H$2=Data!$A$9,$K$2=Data!$A$2),SUMIFS(Proventos!$H:$H,Proventos!$D:$D,"&gt;="&amp;CONCATENATE($G$6,"/",B8),Proventos!$D:$D,"&lt;"&amp;CONCATENATE($H$6,"/",B8),Proventos!$J:$J,"="&amp;$H$2),
AND($H$2=Data!$A$10,$K$2=Data!$A$2),SUMIFS(Proventos!$H:$H,Proventos!$D:$D,"&gt;="&amp;CONCATENATE($G$6,"/",B8),Proventos!$D:$D,"&lt;"&amp;CONCATENATE($H$6,"/",B8),Proventos!$J:$J,"="&amp;$H$2),
AND($H$2=Data!$A$11,$K$2=Data!$A$2),SUMIFS(Proventos!$H:$H,Proventos!$D:$D,"&gt;="&amp;CONCATENATE($G$6,"/",B8),Proventos!$D:$D,"&lt;"&amp;CONCATENATE($H$6,"/",B8),Proventos!$J:$J,"="&amp;$H$2),
$K$2=Data!$A$2,SUMIFS(Proventos!$H:$H,Proventos!$D:$D,"&gt;="&amp;CONCATENATE($G$6,"/",B8),Proventos!$D:$D,"&lt;"&amp;CONCATENATE($H$6,"/",B8)),
$K$2&lt;&gt;Data!$A$2,SUMIFS(Proventos!$H:$H,Proventos!$D:$D,"&gt;="&amp;CONCATENATE($G$6,"/",B8),Proventos!$D:$D,"&lt;"&amp;CONCATENATE($H$6,"/",B8),Proventos!$A:$A,"="&amp;$K$2))</f>
        <v>501</v>
      </c>
      <c r="H8" s="245">
        <f>IFS(
AND($H$2=Data!$A$3,$K$2=Data!$A$2),SUMIFS(Proventos!$H:$H,Proventos!$D:$D,"&gt;="&amp;CONCATENATE($H$6,"/",B8),Proventos!$D:$D,"&lt;"&amp;CONCATENATE($I$6,"/",B8),Proventos!$J:$J,"="&amp;$H$2),
AND($H$2=Data!$A$4,$K$2=Data!$A$2),SUMIFS(Proventos!$H:$H,Proventos!$D:$D,"&gt;="&amp;CONCATENATE($H$6,"/",B8),Proventos!$D:$D,"&lt;"&amp;CONCATENATE($I$6,"/",B8),Proventos!$J:$J,"="&amp;$H$2),
AND($H$2=Data!$A$5,$K$2=Data!$A$2),SUMIFS(Proventos!$H:$H,Proventos!$D:$D,"&gt;="&amp;CONCATENATE($H$6,"/",B8),Proventos!$D:$D,"&lt;"&amp;CONCATENATE($I$6,"/",B8),Proventos!$J:$J,"="&amp;$H$2),
AND($H$2=Data!$A$6,$K$2=Data!$A$2),SUMIFS(Proventos!$H:$H,Proventos!$D:$D,"&gt;="&amp;CONCATENATE($H$6,"/",B8),Proventos!$D:$D,"&lt;"&amp;CONCATENATE($I$6,"/",B8),Proventos!$J:$J,"="&amp;$H$2),
AND($H$2=Data!$A$7,$K$2=Data!$A$2),SUMIFS(Proventos!$H:$H,Proventos!$D:$D,"&gt;="&amp;CONCATENATE($H$6,"/",B8),Proventos!$D:$D,"&lt;"&amp;CONCATENATE($I$6,"/",B8),Proventos!$J:$J,"="&amp;$H$2),
AND($H$2=Data!$A$8,$K$2=Data!$A$2),SUMIFS(Proventos!$H:$H,Proventos!$D:$D,"&gt;="&amp;CONCATENATE($H$6,"/",B8),Proventos!$D:$D,"&lt;"&amp;CONCATENATE($I$6,"/",B8),Proventos!$J:$J,"="&amp;$H$2),
AND($H$2=Data!$A$9,$K$2=Data!$A$2),SUMIFS(Proventos!$H:$H,Proventos!$D:$D,"&gt;="&amp;CONCATENATE($H$6,"/",B8),Proventos!$D:$D,"&lt;"&amp;CONCATENATE($I$6,"/",B8),Proventos!$J:$J,"="&amp;$H$2),
AND($H$2=Data!$A$10,$K$2=Data!$A$2),SUMIFS(Proventos!$H:$H,Proventos!$D:$D,"&gt;="&amp;CONCATENATE($H$6,"/",B8),Proventos!$D:$D,"&lt;"&amp;CONCATENATE($I$6,"/",B8),Proventos!$J:$J,"="&amp;$H$2),
AND($H$2=Data!$A$11,$K$2=Data!$A$2),SUMIFS(Proventos!$H:$H,Proventos!$D:$D,"&gt;="&amp;CONCATENATE($H$6,"/",B8),Proventos!$D:$D,"&lt;"&amp;CONCATENATE($I$6,"/",B8),Proventos!$J:$J,"="&amp;$H$2),
$K$2=Data!$A$2,SUMIFS(Proventos!$H:$H,Proventos!$D:$D,"&gt;="&amp;CONCATENATE($H$6,"/",B8),Proventos!$D:$D,"&lt;"&amp;CONCATENATE($I$6,"/",B8)),
$K$2&lt;&gt;Data!$A$2,SUMIFS(Proventos!$H:$H,Proventos!$D:$D,"&gt;="&amp;CONCATENATE($H$6,"/",B8),Proventos!$D:$D,"&lt;"&amp;CONCATENATE($I$6,"/",B8),Proventos!$A:$A,"="&amp;$K$2))</f>
        <v>0</v>
      </c>
      <c r="I8" s="245">
        <f>IFS(
AND($H$2=Data!$A$3,$K$2=Data!$A$2),SUMIFS(Proventos!$H:$H,Proventos!$D:$D,"&gt;="&amp;CONCATENATE($I$6,"/",B8),Proventos!$D:$D,"&lt;"&amp;CONCATENATE($J$6,"/",B8),Proventos!$J:$J,"="&amp;$H$2),
AND($H$2=Data!$A$4,$K$2=Data!$A$2),SUMIFS(Proventos!$H:$H,Proventos!$D:$D,"&gt;="&amp;CONCATENATE($I$6,"/",B8),Proventos!$D:$D,"&lt;"&amp;CONCATENATE($J$6,"/",B8),Proventos!$J:$J,"="&amp;$H$2),
AND($H$2=Data!$A$5,$K$2=Data!$A$2),SUMIFS(Proventos!$H:$H,Proventos!$D:$D,"&gt;="&amp;CONCATENATE($I$6,"/",B8),Proventos!$D:$D,"&lt;"&amp;CONCATENATE($J$6,"/",B8),Proventos!$J:$J,"="&amp;$H$2),
AND($H$2=Data!$A$6,$K$2=Data!$A$2),SUMIFS(Proventos!$H:$H,Proventos!$D:$D,"&gt;="&amp;CONCATENATE($I$6,"/",B8),Proventos!$D:$D,"&lt;"&amp;CONCATENATE($J$6,"/",B8),Proventos!$J:$J,"="&amp;$H$2),
AND($H$2=Data!$A$7,$K$2=Data!$A$2),SUMIFS(Proventos!$H:$H,Proventos!$D:$D,"&gt;="&amp;CONCATENATE($I$6,"/",B8),Proventos!$D:$D,"&lt;"&amp;CONCATENATE($J$6,"/",B8),Proventos!$J:$J,"="&amp;$H$2),
AND($H$2=Data!$A$8,$K$2=Data!$A$2),SUMIFS(Proventos!$H:$H,Proventos!$D:$D,"&gt;="&amp;CONCATENATE($I$6,"/",B8),Proventos!$D:$D,"&lt;"&amp;CONCATENATE($J$6,"/",B8),Proventos!$J:$J,"="&amp;$H$2),
AND($H$2=Data!$A$9,$K$2=Data!$A$2),SUMIFS(Proventos!$H:$H,Proventos!$D:$D,"&gt;="&amp;CONCATENATE($I$6,"/",B8),Proventos!$D:$D,"&lt;"&amp;CONCATENATE($J$6,"/",B8),Proventos!$J:$J,"="&amp;$H$2),
AND($H$2=Data!$A$10,$K$2=Data!$A$2),SUMIFS(Proventos!$H:$H,Proventos!$D:$D,"&gt;="&amp;CONCATENATE($I$6,"/",B8),Proventos!$D:$D,"&lt;"&amp;CONCATENATE($J$6,"/",B8),Proventos!$J:$J,"="&amp;$H$2),
AND($H$2=Data!$A$11,$K$2=Data!$A$2),SUMIFS(Proventos!$H:$H,Proventos!$D:$D,"&gt;="&amp;CONCATENATE($I$6,"/",B8),Proventos!$D:$D,"&lt;"&amp;CONCATENATE($J$6,"/",B8),Proventos!$J:$J,"="&amp;$H$2),
$K$2=Data!$A$2,SUMIFS(Proventos!$H:$H,Proventos!$D:$D,"&gt;="&amp;CONCATENATE($I$6,"/",B8),Proventos!$D:$D,"&lt;"&amp;CONCATENATE($J$6,"/",B8)),
$K$2&lt;&gt;Data!$A$2,SUMIFS(Proventos!$H:$H,Proventos!$D:$D,"&gt;="&amp;CONCATENATE($I$6,"/",B8),Proventos!$D:$D,"&lt;"&amp;CONCATENATE($J$6,"/",B8),Proventos!$A:$A,"="&amp;$K$2))</f>
        <v>0</v>
      </c>
      <c r="J8" s="245">
        <f>IFS(
AND($H$2=Data!$A$3,$K$2=Data!$A$2),SUMIFS(Proventos!$H:$H,Proventos!$D:$D,"&gt;="&amp;CONCATENATE($J$6,"/",B8),Proventos!$D:$D,"&lt;"&amp;CONCATENATE($K$6,"/",B8),Proventos!$J:$J,"="&amp;$H$2),
AND($H$2=Data!$A$4,$K$2=Data!$A$2),SUMIFS(Proventos!$H:$H,Proventos!$D:$D,"&gt;="&amp;CONCATENATE($J$6,"/",B8),Proventos!$D:$D,"&lt;"&amp;CONCATENATE($K$6,"/",B8),Proventos!$J:$J,"="&amp;$H$2),
AND($H$2=Data!$A$5,$K$2=Data!$A$2),SUMIFS(Proventos!$H:$H,Proventos!$D:$D,"&gt;="&amp;CONCATENATE($J$6,"/",B8),Proventos!$D:$D,"&lt;"&amp;CONCATENATE($K$6,"/",B8),Proventos!$J:$J,"="&amp;$H$2),
AND($H$2=Data!$A$6,$K$2=Data!$A$2),SUMIFS(Proventos!$H:$H,Proventos!$D:$D,"&gt;="&amp;CONCATENATE($J$6,"/",B8),Proventos!$D:$D,"&lt;"&amp;CONCATENATE($K$6,"/",B8),Proventos!$J:$J,"="&amp;$H$2),
AND($H$2=Data!$A$7,$K$2=Data!$A$2),SUMIFS(Proventos!$H:$H,Proventos!$D:$D,"&gt;="&amp;CONCATENATE($J$6,"/",B8),Proventos!$D:$D,"&lt;"&amp;CONCATENATE($K$6,"/",B8),Proventos!$J:$J,"="&amp;$H$2),
AND($H$2=Data!$A$8,$K$2=Data!$A$2),SUMIFS(Proventos!$H:$H,Proventos!$D:$D,"&gt;="&amp;CONCATENATE($J$6,"/",B8),Proventos!$D:$D,"&lt;"&amp;CONCATENATE($K$6,"/",B8),Proventos!$J:$J,"="&amp;$H$2),
AND($H$2=Data!$A$9,$K$2=Data!$A$2),SUMIFS(Proventos!$H:$H,Proventos!$D:$D,"&gt;="&amp;CONCATENATE($J$6,"/",B8),Proventos!$D:$D,"&lt;"&amp;CONCATENATE($K$6,"/",B8),Proventos!$J:$J,"="&amp;$H$2),
AND($H$2=Data!$A$10,$K$2=Data!$A$2),SUMIFS(Proventos!$H:$H,Proventos!$D:$D,"&gt;="&amp;CONCATENATE($J$6,"/",B8),Proventos!$D:$D,"&lt;"&amp;CONCATENATE($K$6,"/",B8),Proventos!$J:$J,"="&amp;$H$2),
AND($H$2=Data!$A$11,$K$2=Data!$A$2),SUMIFS(Proventos!$H:$H,Proventos!$D:$D,"&gt;="&amp;CONCATENATE($J$6,"/",B8),Proventos!$D:$D,"&lt;"&amp;CONCATENATE($K$6,"/",B8),Proventos!$J:$J,"="&amp;$H$2),
$K$2=Data!$A$2,SUMIFS(Proventos!$H:$H,Proventos!$D:$D,"&gt;="&amp;CONCATENATE($J$6,"/",B8),Proventos!$D:$D,"&lt;"&amp;CONCATENATE($K$6,"/",B8)),
$K$2&lt;&gt;Data!$A$2,SUMIFS(Proventos!$H:$H,Proventos!$D:$D,"&gt;="&amp;CONCATENATE($J$6,"/",B8),Proventos!$D:$D,"&lt;"&amp;CONCATENATE($K$6,"/",B8),Proventos!$A:$A,"="&amp;$K$2))</f>
        <v>0</v>
      </c>
      <c r="K8" s="245">
        <f>IFS(
AND($H$2=Data!$A$3,$K$2=Data!$A$2),SUMIFS(Proventos!$H:$H,Proventos!$D:$D,"&gt;="&amp;CONCATENATE($K$6,"/",B8),Proventos!$D:$D,"&lt;"&amp;CONCATENATE($L$6,"/",B8),Proventos!$J:$J,"="&amp;$H$2),
AND($H$2=Data!$A$4,$K$2=Data!$A$2),SUMIFS(Proventos!$H:$H,Proventos!$D:$D,"&gt;="&amp;CONCATENATE($K$6,"/",B8),Proventos!$D:$D,"&lt;"&amp;CONCATENATE($L$6,"/",B8),Proventos!$J:$J,"="&amp;$H$2),
AND($H$2=Data!$A$5,$K$2=Data!$A$2),SUMIFS(Proventos!$H:$H,Proventos!$D:$D,"&gt;="&amp;CONCATENATE($K$6,"/",B8),Proventos!$D:$D,"&lt;"&amp;CONCATENATE($L$6,"/",B8),Proventos!$J:$J,"="&amp;$H$2),
AND($H$2=Data!$A$6,$K$2=Data!$A$2),SUMIFS(Proventos!$H:$H,Proventos!$D:$D,"&gt;="&amp;CONCATENATE($K$6,"/",B8),Proventos!$D:$D,"&lt;"&amp;CONCATENATE($L$6,"/",B8),Proventos!$J:$J,"="&amp;$H$2),
AND($H$2=Data!$A$7,$K$2=Data!$A$2),SUMIFS(Proventos!$H:$H,Proventos!$D:$D,"&gt;="&amp;CONCATENATE($K$6,"/",B8),Proventos!$D:$D,"&lt;"&amp;CONCATENATE($L$6,"/",B8),Proventos!$J:$J,"="&amp;$H$2),
AND($H$2=Data!$A$8,$K$2=Data!$A$2),SUMIFS(Proventos!$H:$H,Proventos!$D:$D,"&gt;="&amp;CONCATENATE($K$6,"/",B8),Proventos!$D:$D,"&lt;"&amp;CONCATENATE($L$6,"/",B8),Proventos!$J:$J,"="&amp;$H$2),
AND($H$2=Data!$A$9,$K$2=Data!$A$2),SUMIFS(Proventos!$H:$H,Proventos!$D:$D,"&gt;="&amp;CONCATENATE($K$6,"/",B8),Proventos!$D:$D,"&lt;"&amp;CONCATENATE($L$6,"/",B8),Proventos!$J:$J,"="&amp;$H$2),
AND($H$2=Data!$A$10,$K$2=Data!$A$2),SUMIFS(Proventos!$H:$H,Proventos!$D:$D,"&gt;="&amp;CONCATENATE($K$6,"/",B8),Proventos!$D:$D,"&lt;"&amp;CONCATENATE($L$6,"/",B8),Proventos!$J:$J,"="&amp;$H$2),
AND($H$2=Data!$A$11,$K$2=Data!$A$2),SUMIFS(Proventos!$H:$H,Proventos!$D:$D,"&gt;="&amp;CONCATENATE($K$6,"/",B8),Proventos!$D:$D,"&lt;"&amp;CONCATENATE($L$6,"/",B8),Proventos!$J:$J,"="&amp;$H$2),
$K$2=Data!$A$2,SUMIFS(Proventos!$H:$H,Proventos!$D:$D,"&gt;="&amp;CONCATENATE($K$6,"/",B8),Proventos!$D:$D,"&lt;"&amp;CONCATENATE($L$6,"/",B8)),
$K$2&lt;&gt;Data!$A$2,SUMIFS(Proventos!$H:$H,Proventos!$D:$D,"&gt;="&amp;CONCATENATE($K$6,"/",B8),Proventos!$D:$D,"&lt;"&amp;CONCATENATE($L$6,"/",B8),Proventos!$A:$A,"="&amp;$K$2))</f>
        <v>0</v>
      </c>
      <c r="L8" s="245">
        <f>IFS(
AND($H$2=Data!$A$3,$K$2=Data!$A$2),SUMIFS(Proventos!$H:$H,Proventos!$D:$D,"&gt;="&amp;CONCATENATE($L$6,"/",B8),Proventos!$D:$D,"&lt;"&amp;CONCATENATE($M$6,"/",B8),Proventos!$J:$J,"="&amp;$H$2),
AND($H$2=Data!$A$4,$K$2=Data!$A$2),SUMIFS(Proventos!$H:$H,Proventos!$D:$D,"&gt;="&amp;CONCATENATE($L$6,"/",B8),Proventos!$D:$D,"&lt;"&amp;CONCATENATE($M$6,"/",B8),Proventos!$J:$J,"="&amp;$H$2),
AND($H$2=Data!$A$5,$K$2=Data!$A$2),SUMIFS(Proventos!$H:$H,Proventos!$D:$D,"&gt;="&amp;CONCATENATE($L$6,"/",B8),Proventos!$D:$D,"&lt;"&amp;CONCATENATE($M$6,"/",B8),Proventos!$J:$J,"="&amp;$H$2),
AND($H$2=Data!$A$6,$K$2=Data!$A$2),SUMIFS(Proventos!$H:$H,Proventos!$D:$D,"&gt;="&amp;CONCATENATE($L$6,"/",B8),Proventos!$D:$D,"&lt;"&amp;CONCATENATE($M$6,"/",B8),Proventos!$J:$J,"="&amp;$H$2),
AND($H$2=Data!$A$7,$K$2=Data!$A$2),SUMIFS(Proventos!$H:$H,Proventos!$D:$D,"&gt;="&amp;CONCATENATE($L$6,"/",B8),Proventos!$D:$D,"&lt;"&amp;CONCATENATE($M$6,"/",B8),Proventos!$J:$J,"="&amp;$H$2),
AND($H$2=Data!$A$8,$K$2=Data!$A$2),SUMIFS(Proventos!$H:$H,Proventos!$D:$D,"&gt;="&amp;CONCATENATE($L$6,"/",B8),Proventos!$D:$D,"&lt;"&amp;CONCATENATE($M$6,"/",B8),Proventos!$J:$J,"="&amp;$H$2),
AND($H$2=Data!$A$9,$K$2=Data!$A$2),SUMIFS(Proventos!$H:$H,Proventos!$D:$D,"&gt;="&amp;CONCATENATE($L$6,"/",B8),Proventos!$D:$D,"&lt;"&amp;CONCATENATE($M$6,"/",B8),Proventos!$J:$J,"="&amp;$H$2),
AND($H$2=Data!$A$10,$K$2=Data!$A$2),SUMIFS(Proventos!$H:$H,Proventos!$D:$D,"&gt;="&amp;CONCATENATE($L$6,"/",B8),Proventos!$D:$D,"&lt;"&amp;CONCATENATE($M$6,"/",B8),Proventos!$J:$J,"="&amp;$H$2),
AND($H$2=Data!$A$11,$K$2=Data!$A$2),SUMIFS(Proventos!$H:$H,Proventos!$D:$D,"&gt;="&amp;CONCATENATE($L$6,"/",B8),Proventos!$D:$D,"&lt;"&amp;CONCATENATE($M$6,"/",B8),Proventos!$J:$J,"="&amp;$H$2),
$K$2=Data!$A$2,SUMIFS(Proventos!$H:$H,Proventos!$D:$D,"&gt;="&amp;CONCATENATE($L$6,"/",B8),Proventos!$D:$D,"&lt;"&amp;CONCATENATE($M$6,"/",B8)),
$K$2&lt;&gt;Data!$A$2,SUMIFS(Proventos!$H:$H,Proventos!$D:$D,"&gt;="&amp;CONCATENATE($L$6,"/",B8),Proventos!$D:$D,"&lt;"&amp;CONCATENATE($M$6,"/",B8),Proventos!$A:$A,"="&amp;$K$2))</f>
        <v>0</v>
      </c>
      <c r="M8" s="245">
        <f>IFS(
AND($H$2=Data!$A$3,$K$2=Data!$A$2),SUMIFS(Proventos!$H:$H,Proventos!$D:$D,"&gt;="&amp;CONCATENATE($M$6,"/",B8),Proventos!$D:$D,"&lt;"&amp;CONCATENATE($N$6,"/",B8),Proventos!$J:$J,"="&amp;$H$2),
AND($H$2=Data!$A$4,$K$2=Data!$A$2),SUMIFS(Proventos!$H:$H,Proventos!$D:$D,"&gt;="&amp;CONCATENATE($M$6,"/",B8),Proventos!$D:$D,"&lt;"&amp;CONCATENATE($N$6,"/",B8),Proventos!$J:$J,"="&amp;$H$2),
AND($H$2=Data!$A$5,$K$2=Data!$A$2),SUMIFS(Proventos!$H:$H,Proventos!$D:$D,"&gt;="&amp;CONCATENATE($M$6,"/",B8),Proventos!$D:$D,"&lt;"&amp;CONCATENATE($N$6,"/",B8),Proventos!$J:$J,"="&amp;$H$2),
AND($H$2=Data!$A$6,$K$2=Data!$A$2),SUMIFS(Proventos!$H:$H,Proventos!$D:$D,"&gt;="&amp;CONCATENATE($M$6,"/",B8),Proventos!$D:$D,"&lt;"&amp;CONCATENATE($N$6,"/",B8),Proventos!$J:$J,"="&amp;$H$2),
AND($H$2=Data!$A$7,$K$2=Data!$A$2),SUMIFS(Proventos!$H:$H,Proventos!$D:$D,"&gt;="&amp;CONCATENATE($M$6,"/",B8),Proventos!$D:$D,"&lt;"&amp;CONCATENATE($N$6,"/",B8),Proventos!$J:$J,"="&amp;$H$2),
AND($H$2=Data!$A$8,$K$2=Data!$A$2),SUMIFS(Proventos!$H:$H,Proventos!$D:$D,"&gt;="&amp;CONCATENATE($M$6,"/",B8),Proventos!$D:$D,"&lt;"&amp;CONCATENATE($N$6,"/",B8),Proventos!$J:$J,"="&amp;$H$2),
AND($H$2=Data!$A$9,$K$2=Data!$A$2),SUMIFS(Proventos!$H:$H,Proventos!$D:$D,"&gt;="&amp;CONCATENATE($M$6,"/",B8),Proventos!$D:$D,"&lt;"&amp;CONCATENATE($N$6,"/",B8),Proventos!$J:$J,"="&amp;$H$2),
AND($H$2=Data!$A$10,$K$2=Data!$A$2),SUMIFS(Proventos!$H:$H,Proventos!$D:$D,"&gt;="&amp;CONCATENATE($M$6,"/",B8),Proventos!$D:$D,"&lt;"&amp;CONCATENATE($N$6,"/",B8),Proventos!$J:$J,"="&amp;$H$2),
AND($H$2=Data!$A$11,$K$2=Data!$A$2),SUMIFS(Proventos!$H:$H,Proventos!$D:$D,"&gt;="&amp;CONCATENATE($M$6,"/",B8),Proventos!$D:$D,"&lt;"&amp;CONCATENATE($N$6,"/",B8),Proventos!$J:$J,"="&amp;$H$2),
$K$2=Data!$A$2,SUMIFS(Proventos!$H:$H,Proventos!$D:$D,"&gt;="&amp;CONCATENATE($M$6,"/",B8),Proventos!$D:$D,"&lt;"&amp;CONCATENATE($N$6,"/",B8)),
$K$2&lt;&gt;Data!$A$2,SUMIFS(Proventos!$H:$H,Proventos!$D:$D,"&gt;="&amp;CONCATENATE($M$6,"/",B8),Proventos!$D:$D,"&lt;"&amp;CONCATENATE($N$6,"/",B8),Proventos!$A:$A,"="&amp;$K$2))</f>
        <v>0</v>
      </c>
      <c r="N8" s="245">
        <f>IFS(
AND($H$2=Data!$A$3,$K$2=Data!$A$2),SUMIFS(Proventos!$H:$H,Proventos!$D:$D,"&gt;="&amp;CONCATENATE($N$6,"/",B8),Proventos!$D:$D,"&lt;"&amp;CONCATENATE($C$6,"/",B9),Proventos!$J:$J,"="&amp;$H$2),
AND($H$2=Data!$A$4,$K$2=Data!$A$2),SUMIFS(Proventos!$H:$H,Proventos!$D:$D,"&gt;="&amp;CONCATENATE($N$6,"/",B8),Proventos!$D:$D,"&lt;"&amp;CONCATENATE($C$6,"/",B9),Proventos!$J:$J,"="&amp;$H$2),
AND($H$2=Data!$A$5,$K$2=Data!$A$2),SUMIFS(Proventos!$H:$H,Proventos!$D:$D,"&gt;="&amp;CONCATENATE($N$6,"/",B8),Proventos!$D:$D,"&lt;"&amp;CONCATENATE($C$6,"/",B9),Proventos!$J:$J,"="&amp;$H$2),
AND($H$2=Data!$A$6,$K$2=Data!$A$2),SUMIFS(Proventos!$H:$H,Proventos!$D:$D,"&gt;="&amp;CONCATENATE($N$6,"/",B8),Proventos!$D:$D,"&lt;"&amp;CONCATENATE($C$6,"/",B9),Proventos!$J:$J,"="&amp;$H$2),
AND($H$2=Data!$A$7,$K$2=Data!$A$2),SUMIFS(Proventos!$H:$H,Proventos!$D:$D,"&gt;="&amp;CONCATENATE($N$6,"/",B8),Proventos!$D:$D,"&lt;"&amp;CONCATENATE($C$6,"/",B9),Proventos!$J:$J,"="&amp;$H$2),
AND($H$2=Data!$A$8,$K$2=Data!$A$2),SUMIFS(Proventos!$H:$H,Proventos!$D:$D,"&gt;="&amp;CONCATENATE($N$6,"/",B8),Proventos!$D:$D,"&lt;"&amp;CONCATENATE($C$6,"/",B9),Proventos!$J:$J,"="&amp;$H$2),
AND($H$2=Data!$A$9,$K$2=Data!$A$2),SUMIFS(Proventos!$H:$H,Proventos!$D:$D,"&gt;="&amp;CONCATENATE($N$6,"/",B8),Proventos!$D:$D,"&lt;"&amp;CONCATENATE($C$6,"/",B9),Proventos!$J:$J,"="&amp;$H$2),
AND($H$2=Data!$A$10,$K$2=Data!$A$2),SUMIFS(Proventos!$H:$H,Proventos!$D:$D,"&gt;="&amp;CONCATENATE($N$6,"/",B8),Proventos!$D:$D,"&lt;"&amp;CONCATENATE($C$6,"/",B9),Proventos!$J:$J,"="&amp;$H$2),
AND($H$2=Data!$A$11,$K$2=Data!$A$2),SUMIFS(Proventos!$H:$H,Proventos!$D:$D,"&gt;="&amp;CONCATENATE($N$6,"/",B8),Proventos!$D:$D,"&lt;"&amp;CONCATENATE($C$6,"/",B9),Proventos!$J:$J,"="&amp;$H$2),
$K$2=Data!$A$2,SUMIFS(Proventos!$H:$H,Proventos!$D:$D,"&gt;="&amp;CONCATENATE($N$6,"/",B8),Proventos!$D:$D,"&lt;"&amp;CONCATENATE($C$6,"/",B9)),
$K$2&lt;&gt;Data!$A$2,SUMIFS(Proventos!$H:$H,Proventos!$D:$D,"&gt;="&amp;CONCATENATE($N$6,"/",B8),Proventos!$D:$D,"&lt;"&amp;CONCATENATE($C$6,"/",B9),Proventos!$A:$A,"="&amp;$K$2))</f>
        <v>0</v>
      </c>
      <c r="O8" s="245"/>
      <c r="P8" s="245">
        <f t="shared" si="1"/>
        <v>186.5416667</v>
      </c>
      <c r="Q8" s="245">
        <f t="shared" si="2"/>
        <v>2238.5</v>
      </c>
    </row>
    <row r="9" ht="32.25" customHeight="1">
      <c r="A9" s="246" t="str">
        <f>IFERROR(__xludf.DUMMYFUNCTION("""COMPUTED_VALUE"""),"ABEV3")</f>
        <v>ABEV3</v>
      </c>
      <c r="B9" s="244">
        <f>IFERROR(__xludf.DUMMYFUNCTION("""COMPUTED_VALUE"""),2022.0)</f>
        <v>2022</v>
      </c>
      <c r="C9" s="245">
        <f>IFS(
AND($H$2=Data!$A$3,$K$2=Data!$A$2),SUMIFS(Proventos!$H:$H,Proventos!$D:$D,"&gt;="&amp;CONCATENATE($C$6,"/",B9),Proventos!$D:$D,"&lt;"&amp;CONCATENATE($D$6,"/",B9),Proventos!$J:$J,"="&amp;$H$2),
AND($H$2=Data!$A$4,$K$2=Data!$A$2),SUMIFS(Proventos!$H:$H,Proventos!$D:$D,"&gt;="&amp;CONCATENATE($C$6,"/",B9),Proventos!$D:$D,"&lt;"&amp;CONCATENATE($D$6,"/",B9),Proventos!$J:$J,"="&amp;$H$2),
AND($H$2=Data!$A$5,$K$2=Data!$A$2),SUMIFS(Proventos!$H:$H,Proventos!$D:$D,"&gt;="&amp;CONCATENATE($C$6,"/",B9),Proventos!$D:$D,"&lt;"&amp;CONCATENATE($D$6,"/",B9),Proventos!$J:$J,"="&amp;$H$2),
AND($H$2=Data!$A$6,$K$2=Data!$A$2),SUMIFS(Proventos!$H:$H,Proventos!$D:$D,"&gt;="&amp;CONCATENATE($C$6,"/",B9),Proventos!$D:$D,"&lt;"&amp;CONCATENATE($D$6,"/",B9),Proventos!$J:$J,"="&amp;$H$2),
AND($H$2=Data!$A$7,$K$2=Data!$A$2),SUMIFS(Proventos!$H:$H,Proventos!$D:$D,"&gt;="&amp;CONCATENATE($C$6,"/",B9),Proventos!$D:$D,"&lt;"&amp;CONCATENATE($D$6,"/",B9),Proventos!$J:$J,"="&amp;$H$2),
AND($H$2=Data!$A$8,$K$2=Data!$A$2),SUMIFS(Proventos!$H:$H,Proventos!$D:$D,"&gt;="&amp;CONCATENATE($C$6,"/",B9),Proventos!$D:$D,"&lt;"&amp;CONCATENATE($D$6,"/",B9),Proventos!$J:$J,"="&amp;$H$2),
AND($H$2=Data!$A$9,$K$2=Data!$A$2),SUMIFS(Proventos!$H:$H,Proventos!$D:$D,"&gt;="&amp;CONCATENATE($C$6,"/",B9),Proventos!$D:$D,"&lt;"&amp;CONCATENATE($D$6,"/",B9),Proventos!$J:$J,"="&amp;$H$2),
AND($H$2=Data!$A$10,$K$2=Data!$A$2),SUMIFS(Proventos!$H:$H,Proventos!$D:$D,"&gt;="&amp;CONCATENATE($C$6,"/",B9),Proventos!$D:$D,"&lt;"&amp;CONCATENATE($D$6,"/",B9),Proventos!$J:$J,"="&amp;$H$2),
AND($H$2=Data!$A$11,$K$2=Data!$A$2),SUMIFS(Proventos!$H:$H,Proventos!$D:$D,"&gt;="&amp;CONCATENATE($C$6,"/",B9),Proventos!$D:$D,"&lt;"&amp;CONCATENATE($D$6,"/",B9),Proventos!$J:$J,"="&amp;$H$2),
$K$2=Data!$A$2,SUMIFS(Proventos!$H:$H,Proventos!$D:$D,"&gt;="&amp;CONCATENATE($C$6,"/",B9),Proventos!$D:$D,"&lt;"&amp;CONCATENATE($D$6,"/",B9)),
$K$2&lt;&gt;Data!$A$2,SUMIFS(Proventos!$H:$H,Proventos!$D:$D,"&gt;="&amp;CONCATENATE($C$6,"/",B9),Proventos!$D:$D,"&lt;"&amp;CONCATENATE($D$6,"/",B9),Proventos!$A:$A,"="&amp;$K$2))</f>
        <v>0</v>
      </c>
      <c r="D9" s="245">
        <f>IFS(
AND($H$2=Data!$A$3,$K$2=Data!$A$2),SUMIFS(Proventos!$H:$H,Proventos!$D:$D,"&gt;="&amp;CONCATENATE($D$6,"/",B9),Proventos!$D:$D,"&lt;"&amp;CONCATENATE($E$6,"/",B9),Proventos!$J:$J,"="&amp;$H$2),
AND($H$2=Data!$A$4,$K$2=Data!$A$2),SUMIFS(Proventos!$H:$H,Proventos!$D:$D,"&gt;="&amp;CONCATENATE($D$6,"/",B9),Proventos!$D:$D,"&lt;"&amp;CONCATENATE($E$6,"/",B9),Proventos!$J:$J,"="&amp;$H$2),
AND($H$2=Data!$A$5,$K$2=Data!$A$2),SUMIFS(Proventos!$H:$H,Proventos!$D:$D,"&gt;="&amp;CONCATENATE($D$6,"/",B9),Proventos!$D:$D,"&lt;"&amp;CONCATENATE($E$6,"/",B9),Proventos!$J:$J,"="&amp;$H$2),
AND($H$2=Data!$A$6,$K$2=Data!$A$2),SUMIFS(Proventos!$H:$H,Proventos!$D:$D,"&gt;="&amp;CONCATENATE($D$6,"/",B9),Proventos!$D:$D,"&lt;"&amp;CONCATENATE($E$6,"/",B9),Proventos!$J:$J,"="&amp;$H$2),
AND($H$2=Data!$A$7,$K$2=Data!$A$2),SUMIFS(Proventos!$H:$H,Proventos!$D:$D,"&gt;="&amp;CONCATENATE($D$6,"/",B9),Proventos!$D:$D,"&lt;"&amp;CONCATENATE($E$6,"/",B9),Proventos!$J:$J,"="&amp;$H$2),
AND($H$2=Data!$A$8,$K$2=Data!$A$2),SUMIFS(Proventos!$H:$H,Proventos!$D:$D,"&gt;="&amp;CONCATENATE($D$6,"/",B9),Proventos!$D:$D,"&lt;"&amp;CONCATENATE($E$6,"/",B9),Proventos!$J:$J,"="&amp;$H$2),
AND($H$2=Data!$A$9,$K$2=Data!$A$2),SUMIFS(Proventos!$H:$H,Proventos!$D:$D,"&gt;="&amp;CONCATENATE($D$6,"/",B9),Proventos!$D:$D,"&lt;"&amp;CONCATENATE($E$6,"/",B9),Proventos!$J:$J,"="&amp;$H$2),
AND($H$2=Data!$A$10,$K$2=Data!$A$2),SUMIFS(Proventos!$H:$H,Proventos!$D:$D,"&gt;="&amp;CONCATENATE($D$6,"/",B9),Proventos!$D:$D,"&lt;"&amp;CONCATENATE($E$6,"/",B9),Proventos!$J:$J,"="&amp;$H$2),
AND($H$2=Data!$A$11,$K$2=Data!$A$2),SUMIFS(Proventos!$H:$H,Proventos!$D:$D,"&gt;="&amp;CONCATENATE($D$6,"/",B9),Proventos!$D:$D,"&lt;"&amp;CONCATENATE($E$6,"/",B9),Proventos!$J:$J,"="&amp;$H$2),
$K$2=Data!$A$2,SUMIFS(Proventos!$H:$H,Proventos!$D:$D,"&gt;="&amp;CONCATENATE($D$6,"/",B9),Proventos!$D:$D,"&lt;"&amp;CONCATENATE($E$6,"/",B9)),
$K$2&lt;&gt;Data!$A$2,SUMIFS(Proventos!$H:$H,Proventos!$D:$D,"&gt;="&amp;CONCATENATE($D$6,"/",B9),Proventos!$D:$D,"&lt;"&amp;CONCATENATE($E$6,"/",B9),Proventos!$A:$A,"="&amp;$K$2))</f>
        <v>0</v>
      </c>
      <c r="E9" s="245">
        <f>IFS(
AND($H$2=Data!$A$3,$K$2=Data!$A$2),SUMIFS(Proventos!$H:$H,Proventos!$D:$D,"&gt;="&amp;CONCATENATE($E$6,"/",B9),Proventos!$D:$D,"&lt;"&amp;CONCATENATE($F$6,"/",B9),Proventos!$J:$J,"="&amp;$H$2),
AND($H$2=Data!$A$4,$K$2=Data!$A$2),SUMIFS(Proventos!$H:$H,Proventos!$D:$D,"&gt;="&amp;CONCATENATE($E$6,"/",B9),Proventos!$D:$D,"&lt;"&amp;CONCATENATE($F$6,"/",B9),Proventos!$J:$J,"="&amp;$H$2),
AND($H$2=Data!$A$5,$K$2=Data!$A$2),SUMIFS(Proventos!$H:$H,Proventos!$D:$D,"&gt;="&amp;CONCATENATE($E$6,"/",B9),Proventos!$D:$D,"&lt;"&amp;CONCATENATE($F$6,"/",B9),Proventos!$J:$J,"="&amp;$H$2),
AND($H$2=Data!$A$6,$K$2=Data!$A$2),SUMIFS(Proventos!$H:$H,Proventos!$D:$D,"&gt;="&amp;CONCATENATE($E$6,"/",B9),Proventos!$D:$D,"&lt;"&amp;CONCATENATE($F$6,"/",B9),Proventos!$J:$J,"="&amp;$H$2),
AND($H$2=Data!$A$7,$K$2=Data!$A$2),SUMIFS(Proventos!$H:$H,Proventos!$D:$D,"&gt;="&amp;CONCATENATE($E$6,"/",B9),Proventos!$D:$D,"&lt;"&amp;CONCATENATE($F$6,"/",B9),Proventos!$J:$J,"="&amp;$H$2),
AND($H$2=Data!$A$8,$K$2=Data!$A$2),SUMIFS(Proventos!$H:$H,Proventos!$D:$D,"&gt;="&amp;CONCATENATE($E$6,"/",B9),Proventos!$D:$D,"&lt;"&amp;CONCATENATE($F$6,"/",B9),Proventos!$J:$J,"="&amp;$H$2),
AND($H$2=Data!$A$9,$K$2=Data!$A$2),SUMIFS(Proventos!$H:$H,Proventos!$D:$D,"&gt;="&amp;CONCATENATE($E$6,"/",B9),Proventos!$D:$D,"&lt;"&amp;CONCATENATE($F$6,"/",B9),Proventos!$J:$J,"="&amp;$H$2),
AND($H$2=Data!$A$10,$K$2=Data!$A$2),SUMIFS(Proventos!$H:$H,Proventos!$D:$D,"&gt;="&amp;CONCATENATE($E$6,"/",B9),Proventos!$D:$D,"&lt;"&amp;CONCATENATE($F$6,"/",B9),Proventos!$J:$J,"="&amp;$H$2),
AND($H$2=Data!$A$11,$K$2=Data!$A$2),SUMIFS(Proventos!$H:$H,Proventos!$D:$D,"&gt;="&amp;CONCATENATE($E$6,"/",B9),Proventos!$D:$D,"&lt;"&amp;CONCATENATE($F$6,"/",B9),Proventos!$J:$J,"="&amp;$H$2),
$K$2=Data!$A$2,SUMIFS(Proventos!$H:$H,Proventos!$D:$D,"&gt;="&amp;CONCATENATE($E$6,"/",B9),Proventos!$D:$D,"&lt;"&amp;CONCATENATE($F$6,"/",B9)),
$K$2&lt;&gt;Data!$A$2,SUMIFS(Proventos!$H:$H,Proventos!$D:$D,"&gt;="&amp;CONCATENATE($E$6,"/",B9),Proventos!$D:$D,"&lt;"&amp;CONCATENATE($F$6,"/",B9),Proventos!$A:$A,"="&amp;$K$2))</f>
        <v>0</v>
      </c>
      <c r="F9" s="245">
        <f>IFS(
AND($H$2=Data!$A$3,$K$2=Data!$A$2),SUMIFS(Proventos!$H:$H,Proventos!$D:$D,"&gt;="&amp;CONCATENATE($F$6,"/",B9),Proventos!$D:$D,"&lt;"&amp;CONCATENATE($G$6,"/",B9),Proventos!$J:$J,"="&amp;$H$2),
AND($H$2=Data!$A$4,$K$2=Data!$A$2),SUMIFS(Proventos!$H:$H,Proventos!$D:$D,"&gt;="&amp;CONCATENATE($F$6,"/",B9),Proventos!$D:$D,"&lt;"&amp;CONCATENATE($G$6,"/",B9),Proventos!$J:$J,"="&amp;$H$2),
AND($H$2=Data!$A$5,$K$2=Data!$A$2),SUMIFS(Proventos!$H:$H,Proventos!$D:$D,"&gt;="&amp;CONCATENATE($F$6,"/",B9),Proventos!$D:$D,"&lt;"&amp;CONCATENATE($G$6,"/",B9),Proventos!$J:$J,"="&amp;$H$2),
AND($H$2=Data!$A$6,$K$2=Data!$A$2),SUMIFS(Proventos!$H:$H,Proventos!$D:$D,"&gt;="&amp;CONCATENATE($F$6,"/",B9),Proventos!$D:$D,"&lt;"&amp;CONCATENATE($G$6,"/",B9),Proventos!$J:$J,"="&amp;$H$2),
AND($H$2=Data!$A$7,$K$2=Data!$A$2),SUMIFS(Proventos!$H:$H,Proventos!$D:$D,"&gt;="&amp;CONCATENATE($F$6,"/",B9),Proventos!$D:$D,"&lt;"&amp;CONCATENATE($G$6,"/",B9),Proventos!$J:$J,"="&amp;$H$2),
AND($H$2=Data!$A$8,$K$2=Data!$A$2),SUMIFS(Proventos!$H:$H,Proventos!$D:$D,"&gt;="&amp;CONCATENATE($F$6,"/",B9),Proventos!$D:$D,"&lt;"&amp;CONCATENATE($G$6,"/",B9),Proventos!$J:$J,"="&amp;$H$2),
AND($H$2=Data!$A$9,$K$2=Data!$A$2),SUMIFS(Proventos!$H:$H,Proventos!$D:$D,"&gt;="&amp;CONCATENATE($F$6,"/",B9),Proventos!$D:$D,"&lt;"&amp;CONCATENATE($G$6,"/",B9),Proventos!$J:$J,"="&amp;$H$2),
AND($H$2=Data!$A$10,$K$2=Data!$A$2),SUMIFS(Proventos!$H:$H,Proventos!$D:$D,"&gt;="&amp;CONCATENATE($F$6,"/",B9),Proventos!$D:$D,"&lt;"&amp;CONCATENATE($G$6,"/",B9),Proventos!$J:$J,"="&amp;$H$2),
AND($H$2=Data!$A$11,$K$2=Data!$A$2),SUMIFS(Proventos!$H:$H,Proventos!$D:$D,"&gt;="&amp;CONCATENATE($F$6,"/",B9),Proventos!$D:$D,"&lt;"&amp;CONCATENATE($G$6,"/",B9),Proventos!$J:$J,"="&amp;$H$2),
$K$2=Data!$A$2,SUMIFS(Proventos!$H:$H,Proventos!$D:$D,"&gt;="&amp;CONCATENATE($F$6,"/",B9),Proventos!$D:$D,"&lt;"&amp;CONCATENATE($G$6,"/",B9)),
$K$2&lt;&gt;Data!$A$2,SUMIFS(Proventos!$H:$H,Proventos!$D:$D,"&gt;="&amp;CONCATENATE($F$6,"/",B9),Proventos!$D:$D,"&lt;"&amp;CONCATENATE($G$6,"/",B9),Proventos!$A:$A,"="&amp;$K$2))</f>
        <v>0</v>
      </c>
      <c r="G9" s="245">
        <f>IFS(
AND($H$2=Data!$A$3,$K$2=Data!$A$2),SUMIFS(Proventos!$H:$H,Proventos!$D:$D,"&gt;="&amp;CONCATENATE($G$6,"/",B9),Proventos!$D:$D,"&lt;"&amp;CONCATENATE($H$6,"/",B9),Proventos!$J:$J,"="&amp;$H$2),
AND($H$2=Data!$A$4,$K$2=Data!$A$2),SUMIFS(Proventos!$H:$H,Proventos!$D:$D,"&gt;="&amp;CONCATENATE($G$6,"/",B9),Proventos!$D:$D,"&lt;"&amp;CONCATENATE($H$6,"/",B9),Proventos!$J:$J,"="&amp;$H$2),
AND($H$2=Data!$A$5,$K$2=Data!$A$2),SUMIFS(Proventos!$H:$H,Proventos!$D:$D,"&gt;="&amp;CONCATENATE($G$6,"/",B9),Proventos!$D:$D,"&lt;"&amp;CONCATENATE($H$6,"/",B9),Proventos!$J:$J,"="&amp;$H$2),
AND($H$2=Data!$A$6,$K$2=Data!$A$2),SUMIFS(Proventos!$H:$H,Proventos!$D:$D,"&gt;="&amp;CONCATENATE($G$6,"/",B9),Proventos!$D:$D,"&lt;"&amp;CONCATENATE($H$6,"/",B9),Proventos!$J:$J,"="&amp;$H$2),
AND($H$2=Data!$A$7,$K$2=Data!$A$2),SUMIFS(Proventos!$H:$H,Proventos!$D:$D,"&gt;="&amp;CONCATENATE($G$6,"/",B9),Proventos!$D:$D,"&lt;"&amp;CONCATENATE($H$6,"/",B9),Proventos!$J:$J,"="&amp;$H$2),
AND($H$2=Data!$A$8,$K$2=Data!$A$2),SUMIFS(Proventos!$H:$H,Proventos!$D:$D,"&gt;="&amp;CONCATENATE($G$6,"/",B9),Proventos!$D:$D,"&lt;"&amp;CONCATENATE($H$6,"/",B9),Proventos!$J:$J,"="&amp;$H$2),
AND($H$2=Data!$A$9,$K$2=Data!$A$2),SUMIFS(Proventos!$H:$H,Proventos!$D:$D,"&gt;="&amp;CONCATENATE($G$6,"/",B9),Proventos!$D:$D,"&lt;"&amp;CONCATENATE($H$6,"/",B9),Proventos!$J:$J,"="&amp;$H$2),
AND($H$2=Data!$A$10,$K$2=Data!$A$2),SUMIFS(Proventos!$H:$H,Proventos!$D:$D,"&gt;="&amp;CONCATENATE($G$6,"/",B9),Proventos!$D:$D,"&lt;"&amp;CONCATENATE($H$6,"/",B9),Proventos!$J:$J,"="&amp;$H$2),
AND($H$2=Data!$A$11,$K$2=Data!$A$2),SUMIFS(Proventos!$H:$H,Proventos!$D:$D,"&gt;="&amp;CONCATENATE($G$6,"/",B9),Proventos!$D:$D,"&lt;"&amp;CONCATENATE($H$6,"/",B9),Proventos!$J:$J,"="&amp;$H$2),
$K$2=Data!$A$2,SUMIFS(Proventos!$H:$H,Proventos!$D:$D,"&gt;="&amp;CONCATENATE($G$6,"/",B9),Proventos!$D:$D,"&lt;"&amp;CONCATENATE($H$6,"/",B9)),
$K$2&lt;&gt;Data!$A$2,SUMIFS(Proventos!$H:$H,Proventos!$D:$D,"&gt;="&amp;CONCATENATE($G$6,"/",B9),Proventos!$D:$D,"&lt;"&amp;CONCATENATE($H$6,"/",B9),Proventos!$A:$A,"="&amp;$K$2))</f>
        <v>0</v>
      </c>
      <c r="H9" s="245">
        <f>IFS(
AND($H$2=Data!$A$3,$K$2=Data!$A$2),SUMIFS(Proventos!$H:$H,Proventos!$D:$D,"&gt;="&amp;CONCATENATE($H$6,"/",B9),Proventos!$D:$D,"&lt;"&amp;CONCATENATE($I$6,"/",B9),Proventos!$J:$J,"="&amp;$H$2),
AND($H$2=Data!$A$4,$K$2=Data!$A$2),SUMIFS(Proventos!$H:$H,Proventos!$D:$D,"&gt;="&amp;CONCATENATE($H$6,"/",B9),Proventos!$D:$D,"&lt;"&amp;CONCATENATE($I$6,"/",B9),Proventos!$J:$J,"="&amp;$H$2),
AND($H$2=Data!$A$5,$K$2=Data!$A$2),SUMIFS(Proventos!$H:$H,Proventos!$D:$D,"&gt;="&amp;CONCATENATE($H$6,"/",B9),Proventos!$D:$D,"&lt;"&amp;CONCATENATE($I$6,"/",B9),Proventos!$J:$J,"="&amp;$H$2),
AND($H$2=Data!$A$6,$K$2=Data!$A$2),SUMIFS(Proventos!$H:$H,Proventos!$D:$D,"&gt;="&amp;CONCATENATE($H$6,"/",B9),Proventos!$D:$D,"&lt;"&amp;CONCATENATE($I$6,"/",B9),Proventos!$J:$J,"="&amp;$H$2),
AND($H$2=Data!$A$7,$K$2=Data!$A$2),SUMIFS(Proventos!$H:$H,Proventos!$D:$D,"&gt;="&amp;CONCATENATE($H$6,"/",B9),Proventos!$D:$D,"&lt;"&amp;CONCATENATE($I$6,"/",B9),Proventos!$J:$J,"="&amp;$H$2),
AND($H$2=Data!$A$8,$K$2=Data!$A$2),SUMIFS(Proventos!$H:$H,Proventos!$D:$D,"&gt;="&amp;CONCATENATE($H$6,"/",B9),Proventos!$D:$D,"&lt;"&amp;CONCATENATE($I$6,"/",B9),Proventos!$J:$J,"="&amp;$H$2),
AND($H$2=Data!$A$9,$K$2=Data!$A$2),SUMIFS(Proventos!$H:$H,Proventos!$D:$D,"&gt;="&amp;CONCATENATE($H$6,"/",B9),Proventos!$D:$D,"&lt;"&amp;CONCATENATE($I$6,"/",B9),Proventos!$J:$J,"="&amp;$H$2),
AND($H$2=Data!$A$10,$K$2=Data!$A$2),SUMIFS(Proventos!$H:$H,Proventos!$D:$D,"&gt;="&amp;CONCATENATE($H$6,"/",B9),Proventos!$D:$D,"&lt;"&amp;CONCATENATE($I$6,"/",B9),Proventos!$J:$J,"="&amp;$H$2),
AND($H$2=Data!$A$11,$K$2=Data!$A$2),SUMIFS(Proventos!$H:$H,Proventos!$D:$D,"&gt;="&amp;CONCATENATE($H$6,"/",B9),Proventos!$D:$D,"&lt;"&amp;CONCATENATE($I$6,"/",B9),Proventos!$J:$J,"="&amp;$H$2),
$K$2=Data!$A$2,SUMIFS(Proventos!$H:$H,Proventos!$D:$D,"&gt;="&amp;CONCATENATE($H$6,"/",B9),Proventos!$D:$D,"&lt;"&amp;CONCATENATE($I$6,"/",B9)),
$K$2&lt;&gt;Data!$A$2,SUMIFS(Proventos!$H:$H,Proventos!$D:$D,"&gt;="&amp;CONCATENATE($H$6,"/",B9),Proventos!$D:$D,"&lt;"&amp;CONCATENATE($I$6,"/",B9),Proventos!$A:$A,"="&amp;$K$2))</f>
        <v>0</v>
      </c>
      <c r="I9" s="245">
        <f>IFS(
AND($H$2=Data!$A$3,$K$2=Data!$A$2),SUMIFS(Proventos!$H:$H,Proventos!$D:$D,"&gt;="&amp;CONCATENATE($I$6,"/",B9),Proventos!$D:$D,"&lt;"&amp;CONCATENATE($J$6,"/",B9),Proventos!$J:$J,"="&amp;$H$2),
AND($H$2=Data!$A$4,$K$2=Data!$A$2),SUMIFS(Proventos!$H:$H,Proventos!$D:$D,"&gt;="&amp;CONCATENATE($I$6,"/",B9),Proventos!$D:$D,"&lt;"&amp;CONCATENATE($J$6,"/",B9),Proventos!$J:$J,"="&amp;$H$2),
AND($H$2=Data!$A$5,$K$2=Data!$A$2),SUMIFS(Proventos!$H:$H,Proventos!$D:$D,"&gt;="&amp;CONCATENATE($I$6,"/",B9),Proventos!$D:$D,"&lt;"&amp;CONCATENATE($J$6,"/",B9),Proventos!$J:$J,"="&amp;$H$2),
AND($H$2=Data!$A$6,$K$2=Data!$A$2),SUMIFS(Proventos!$H:$H,Proventos!$D:$D,"&gt;="&amp;CONCATENATE($I$6,"/",B9),Proventos!$D:$D,"&lt;"&amp;CONCATENATE($J$6,"/",B9),Proventos!$J:$J,"="&amp;$H$2),
AND($H$2=Data!$A$7,$K$2=Data!$A$2),SUMIFS(Proventos!$H:$H,Proventos!$D:$D,"&gt;="&amp;CONCATENATE($I$6,"/",B9),Proventos!$D:$D,"&lt;"&amp;CONCATENATE($J$6,"/",B9),Proventos!$J:$J,"="&amp;$H$2),
AND($H$2=Data!$A$8,$K$2=Data!$A$2),SUMIFS(Proventos!$H:$H,Proventos!$D:$D,"&gt;="&amp;CONCATENATE($I$6,"/",B9),Proventos!$D:$D,"&lt;"&amp;CONCATENATE($J$6,"/",B9),Proventos!$J:$J,"="&amp;$H$2),
AND($H$2=Data!$A$9,$K$2=Data!$A$2),SUMIFS(Proventos!$H:$H,Proventos!$D:$D,"&gt;="&amp;CONCATENATE($I$6,"/",B9),Proventos!$D:$D,"&lt;"&amp;CONCATENATE($J$6,"/",B9),Proventos!$J:$J,"="&amp;$H$2),
AND($H$2=Data!$A$10,$K$2=Data!$A$2),SUMIFS(Proventos!$H:$H,Proventos!$D:$D,"&gt;="&amp;CONCATENATE($I$6,"/",B9),Proventos!$D:$D,"&lt;"&amp;CONCATENATE($J$6,"/",B9),Proventos!$J:$J,"="&amp;$H$2),
AND($H$2=Data!$A$11,$K$2=Data!$A$2),SUMIFS(Proventos!$H:$H,Proventos!$D:$D,"&gt;="&amp;CONCATENATE($I$6,"/",B9),Proventos!$D:$D,"&lt;"&amp;CONCATENATE($J$6,"/",B9),Proventos!$J:$J,"="&amp;$H$2),
$K$2=Data!$A$2,SUMIFS(Proventos!$H:$H,Proventos!$D:$D,"&gt;="&amp;CONCATENATE($I$6,"/",B9),Proventos!$D:$D,"&lt;"&amp;CONCATENATE($J$6,"/",B9)),
$K$2&lt;&gt;Data!$A$2,SUMIFS(Proventos!$H:$H,Proventos!$D:$D,"&gt;="&amp;CONCATENATE($I$6,"/",B9),Proventos!$D:$D,"&lt;"&amp;CONCATENATE($J$6,"/",B9),Proventos!$A:$A,"="&amp;$K$2))</f>
        <v>0</v>
      </c>
      <c r="J9" s="245">
        <f>IFS(
AND($H$2=Data!$A$3,$K$2=Data!$A$2),SUMIFS(Proventos!$H:$H,Proventos!$D:$D,"&gt;="&amp;CONCATENATE($J$6,"/",B9),Proventos!$D:$D,"&lt;"&amp;CONCATENATE($K$6,"/",B9),Proventos!$J:$J,"="&amp;$H$2),
AND($H$2=Data!$A$4,$K$2=Data!$A$2),SUMIFS(Proventos!$H:$H,Proventos!$D:$D,"&gt;="&amp;CONCATENATE($J$6,"/",B9),Proventos!$D:$D,"&lt;"&amp;CONCATENATE($K$6,"/",B9),Proventos!$J:$J,"="&amp;$H$2),
AND($H$2=Data!$A$5,$K$2=Data!$A$2),SUMIFS(Proventos!$H:$H,Proventos!$D:$D,"&gt;="&amp;CONCATENATE($J$6,"/",B9),Proventos!$D:$D,"&lt;"&amp;CONCATENATE($K$6,"/",B9),Proventos!$J:$J,"="&amp;$H$2),
AND($H$2=Data!$A$6,$K$2=Data!$A$2),SUMIFS(Proventos!$H:$H,Proventos!$D:$D,"&gt;="&amp;CONCATENATE($J$6,"/",B9),Proventos!$D:$D,"&lt;"&amp;CONCATENATE($K$6,"/",B9),Proventos!$J:$J,"="&amp;$H$2),
AND($H$2=Data!$A$7,$K$2=Data!$A$2),SUMIFS(Proventos!$H:$H,Proventos!$D:$D,"&gt;="&amp;CONCATENATE($J$6,"/",B9),Proventos!$D:$D,"&lt;"&amp;CONCATENATE($K$6,"/",B9),Proventos!$J:$J,"="&amp;$H$2),
AND($H$2=Data!$A$8,$K$2=Data!$A$2),SUMIFS(Proventos!$H:$H,Proventos!$D:$D,"&gt;="&amp;CONCATENATE($J$6,"/",B9),Proventos!$D:$D,"&lt;"&amp;CONCATENATE($K$6,"/",B9),Proventos!$J:$J,"="&amp;$H$2),
AND($H$2=Data!$A$9,$K$2=Data!$A$2),SUMIFS(Proventos!$H:$H,Proventos!$D:$D,"&gt;="&amp;CONCATENATE($J$6,"/",B9),Proventos!$D:$D,"&lt;"&amp;CONCATENATE($K$6,"/",B9),Proventos!$J:$J,"="&amp;$H$2),
AND($H$2=Data!$A$10,$K$2=Data!$A$2),SUMIFS(Proventos!$H:$H,Proventos!$D:$D,"&gt;="&amp;CONCATENATE($J$6,"/",B9),Proventos!$D:$D,"&lt;"&amp;CONCATENATE($K$6,"/",B9),Proventos!$J:$J,"="&amp;$H$2),
AND($H$2=Data!$A$11,$K$2=Data!$A$2),SUMIFS(Proventos!$H:$H,Proventos!$D:$D,"&gt;="&amp;CONCATENATE($J$6,"/",B9),Proventos!$D:$D,"&lt;"&amp;CONCATENATE($K$6,"/",B9),Proventos!$J:$J,"="&amp;$H$2),
$K$2=Data!$A$2,SUMIFS(Proventos!$H:$H,Proventos!$D:$D,"&gt;="&amp;CONCATENATE($J$6,"/",B9),Proventos!$D:$D,"&lt;"&amp;CONCATENATE($K$6,"/",B9)),
$K$2&lt;&gt;Data!$A$2,SUMIFS(Proventos!$H:$H,Proventos!$D:$D,"&gt;="&amp;CONCATENATE($J$6,"/",B9),Proventos!$D:$D,"&lt;"&amp;CONCATENATE($K$6,"/",B9),Proventos!$A:$A,"="&amp;$K$2))</f>
        <v>0</v>
      </c>
      <c r="K9" s="245">
        <f>IFS(
AND($H$2=Data!$A$3,$K$2=Data!$A$2),SUMIFS(Proventos!$H:$H,Proventos!$D:$D,"&gt;="&amp;CONCATENATE($K$6,"/",B9),Proventos!$D:$D,"&lt;"&amp;CONCATENATE($L$6,"/",B9),Proventos!$J:$J,"="&amp;$H$2),
AND($H$2=Data!$A$4,$K$2=Data!$A$2),SUMIFS(Proventos!$H:$H,Proventos!$D:$D,"&gt;="&amp;CONCATENATE($K$6,"/",B9),Proventos!$D:$D,"&lt;"&amp;CONCATENATE($L$6,"/",B9),Proventos!$J:$J,"="&amp;$H$2),
AND($H$2=Data!$A$5,$K$2=Data!$A$2),SUMIFS(Proventos!$H:$H,Proventos!$D:$D,"&gt;="&amp;CONCATENATE($K$6,"/",B9),Proventos!$D:$D,"&lt;"&amp;CONCATENATE($L$6,"/",B9),Proventos!$J:$J,"="&amp;$H$2),
AND($H$2=Data!$A$6,$K$2=Data!$A$2),SUMIFS(Proventos!$H:$H,Proventos!$D:$D,"&gt;="&amp;CONCATENATE($K$6,"/",B9),Proventos!$D:$D,"&lt;"&amp;CONCATENATE($L$6,"/",B9),Proventos!$J:$J,"="&amp;$H$2),
AND($H$2=Data!$A$7,$K$2=Data!$A$2),SUMIFS(Proventos!$H:$H,Proventos!$D:$D,"&gt;="&amp;CONCATENATE($K$6,"/",B9),Proventos!$D:$D,"&lt;"&amp;CONCATENATE($L$6,"/",B9),Proventos!$J:$J,"="&amp;$H$2),
AND($H$2=Data!$A$8,$K$2=Data!$A$2),SUMIFS(Proventos!$H:$H,Proventos!$D:$D,"&gt;="&amp;CONCATENATE($K$6,"/",B9),Proventos!$D:$D,"&lt;"&amp;CONCATENATE($L$6,"/",B9),Proventos!$J:$J,"="&amp;$H$2),
AND($H$2=Data!$A$9,$K$2=Data!$A$2),SUMIFS(Proventos!$H:$H,Proventos!$D:$D,"&gt;="&amp;CONCATENATE($K$6,"/",B9),Proventos!$D:$D,"&lt;"&amp;CONCATENATE($L$6,"/",B9),Proventos!$J:$J,"="&amp;$H$2),
AND($H$2=Data!$A$10,$K$2=Data!$A$2),SUMIFS(Proventos!$H:$H,Proventos!$D:$D,"&gt;="&amp;CONCATENATE($K$6,"/",B9),Proventos!$D:$D,"&lt;"&amp;CONCATENATE($L$6,"/",B9),Proventos!$J:$J,"="&amp;$H$2),
AND($H$2=Data!$A$11,$K$2=Data!$A$2),SUMIFS(Proventos!$H:$H,Proventos!$D:$D,"&gt;="&amp;CONCATENATE($K$6,"/",B9),Proventos!$D:$D,"&lt;"&amp;CONCATENATE($L$6,"/",B9),Proventos!$J:$J,"="&amp;$H$2),
$K$2=Data!$A$2,SUMIFS(Proventos!$H:$H,Proventos!$D:$D,"&gt;="&amp;CONCATENATE($K$6,"/",B9),Proventos!$D:$D,"&lt;"&amp;CONCATENATE($L$6,"/",B9)),
$K$2&lt;&gt;Data!$A$2,SUMIFS(Proventos!$H:$H,Proventos!$D:$D,"&gt;="&amp;CONCATENATE($K$6,"/",B9),Proventos!$D:$D,"&lt;"&amp;CONCATENATE($L$6,"/",B9),Proventos!$A:$A,"="&amp;$K$2))</f>
        <v>0</v>
      </c>
      <c r="L9" s="245">
        <f>IFS(
AND($H$2=Data!$A$3,$K$2=Data!$A$2),SUMIFS(Proventos!$H:$H,Proventos!$D:$D,"&gt;="&amp;CONCATENATE($L$6,"/",B9),Proventos!$D:$D,"&lt;"&amp;CONCATENATE($M$6,"/",B9),Proventos!$J:$J,"="&amp;$H$2),
AND($H$2=Data!$A$4,$K$2=Data!$A$2),SUMIFS(Proventos!$H:$H,Proventos!$D:$D,"&gt;="&amp;CONCATENATE($L$6,"/",B9),Proventos!$D:$D,"&lt;"&amp;CONCATENATE($M$6,"/",B9),Proventos!$J:$J,"="&amp;$H$2),
AND($H$2=Data!$A$5,$K$2=Data!$A$2),SUMIFS(Proventos!$H:$H,Proventos!$D:$D,"&gt;="&amp;CONCATENATE($L$6,"/",B9),Proventos!$D:$D,"&lt;"&amp;CONCATENATE($M$6,"/",B9),Proventos!$J:$J,"="&amp;$H$2),
AND($H$2=Data!$A$6,$K$2=Data!$A$2),SUMIFS(Proventos!$H:$H,Proventos!$D:$D,"&gt;="&amp;CONCATENATE($L$6,"/",B9),Proventos!$D:$D,"&lt;"&amp;CONCATENATE($M$6,"/",B9),Proventos!$J:$J,"="&amp;$H$2),
AND($H$2=Data!$A$7,$K$2=Data!$A$2),SUMIFS(Proventos!$H:$H,Proventos!$D:$D,"&gt;="&amp;CONCATENATE($L$6,"/",B9),Proventos!$D:$D,"&lt;"&amp;CONCATENATE($M$6,"/",B9),Proventos!$J:$J,"="&amp;$H$2),
AND($H$2=Data!$A$8,$K$2=Data!$A$2),SUMIFS(Proventos!$H:$H,Proventos!$D:$D,"&gt;="&amp;CONCATENATE($L$6,"/",B9),Proventos!$D:$D,"&lt;"&amp;CONCATENATE($M$6,"/",B9),Proventos!$J:$J,"="&amp;$H$2),
AND($H$2=Data!$A$9,$K$2=Data!$A$2),SUMIFS(Proventos!$H:$H,Proventos!$D:$D,"&gt;="&amp;CONCATENATE($L$6,"/",B9),Proventos!$D:$D,"&lt;"&amp;CONCATENATE($M$6,"/",B9),Proventos!$J:$J,"="&amp;$H$2),
AND($H$2=Data!$A$10,$K$2=Data!$A$2),SUMIFS(Proventos!$H:$H,Proventos!$D:$D,"&gt;="&amp;CONCATENATE($L$6,"/",B9),Proventos!$D:$D,"&lt;"&amp;CONCATENATE($M$6,"/",B9),Proventos!$J:$J,"="&amp;$H$2),
AND($H$2=Data!$A$11,$K$2=Data!$A$2),SUMIFS(Proventos!$H:$H,Proventos!$D:$D,"&gt;="&amp;CONCATENATE($L$6,"/",B9),Proventos!$D:$D,"&lt;"&amp;CONCATENATE($M$6,"/",B9),Proventos!$J:$J,"="&amp;$H$2),
$K$2=Data!$A$2,SUMIFS(Proventos!$H:$H,Proventos!$D:$D,"&gt;="&amp;CONCATENATE($L$6,"/",B9),Proventos!$D:$D,"&lt;"&amp;CONCATENATE($M$6,"/",B9)),
$K$2&lt;&gt;Data!$A$2,SUMIFS(Proventos!$H:$H,Proventos!$D:$D,"&gt;="&amp;CONCATENATE($L$6,"/",B9),Proventos!$D:$D,"&lt;"&amp;CONCATENATE($M$6,"/",B9),Proventos!$A:$A,"="&amp;$K$2))</f>
        <v>0</v>
      </c>
      <c r="M9" s="245">
        <f>IFS(
AND($H$2=Data!$A$3,$K$2=Data!$A$2),SUMIFS(Proventos!$H:$H,Proventos!$D:$D,"&gt;="&amp;CONCATENATE($M$6,"/",B9),Proventos!$D:$D,"&lt;"&amp;CONCATENATE($N$6,"/",B9),Proventos!$J:$J,"="&amp;$H$2),
AND($H$2=Data!$A$4,$K$2=Data!$A$2),SUMIFS(Proventos!$H:$H,Proventos!$D:$D,"&gt;="&amp;CONCATENATE($M$6,"/",B9),Proventos!$D:$D,"&lt;"&amp;CONCATENATE($N$6,"/",B9),Proventos!$J:$J,"="&amp;$H$2),
AND($H$2=Data!$A$5,$K$2=Data!$A$2),SUMIFS(Proventos!$H:$H,Proventos!$D:$D,"&gt;="&amp;CONCATENATE($M$6,"/",B9),Proventos!$D:$D,"&lt;"&amp;CONCATENATE($N$6,"/",B9),Proventos!$J:$J,"="&amp;$H$2),
AND($H$2=Data!$A$6,$K$2=Data!$A$2),SUMIFS(Proventos!$H:$H,Proventos!$D:$D,"&gt;="&amp;CONCATENATE($M$6,"/",B9),Proventos!$D:$D,"&lt;"&amp;CONCATENATE($N$6,"/",B9),Proventos!$J:$J,"="&amp;$H$2),
AND($H$2=Data!$A$7,$K$2=Data!$A$2),SUMIFS(Proventos!$H:$H,Proventos!$D:$D,"&gt;="&amp;CONCATENATE($M$6,"/",B9),Proventos!$D:$D,"&lt;"&amp;CONCATENATE($N$6,"/",B9),Proventos!$J:$J,"="&amp;$H$2),
AND($H$2=Data!$A$8,$K$2=Data!$A$2),SUMIFS(Proventos!$H:$H,Proventos!$D:$D,"&gt;="&amp;CONCATENATE($M$6,"/",B9),Proventos!$D:$D,"&lt;"&amp;CONCATENATE($N$6,"/",B9),Proventos!$J:$J,"="&amp;$H$2),
AND($H$2=Data!$A$9,$K$2=Data!$A$2),SUMIFS(Proventos!$H:$H,Proventos!$D:$D,"&gt;="&amp;CONCATENATE($M$6,"/",B9),Proventos!$D:$D,"&lt;"&amp;CONCATENATE($N$6,"/",B9),Proventos!$J:$J,"="&amp;$H$2),
AND($H$2=Data!$A$10,$K$2=Data!$A$2),SUMIFS(Proventos!$H:$H,Proventos!$D:$D,"&gt;="&amp;CONCATENATE($M$6,"/",B9),Proventos!$D:$D,"&lt;"&amp;CONCATENATE($N$6,"/",B9),Proventos!$J:$J,"="&amp;$H$2),
AND($H$2=Data!$A$11,$K$2=Data!$A$2),SUMIFS(Proventos!$H:$H,Proventos!$D:$D,"&gt;="&amp;CONCATENATE($M$6,"/",B9),Proventos!$D:$D,"&lt;"&amp;CONCATENATE($N$6,"/",B9),Proventos!$J:$J,"="&amp;$H$2),
$K$2=Data!$A$2,SUMIFS(Proventos!$H:$H,Proventos!$D:$D,"&gt;="&amp;CONCATENATE($M$6,"/",B9),Proventos!$D:$D,"&lt;"&amp;CONCATENATE($N$6,"/",B9)),
$K$2&lt;&gt;Data!$A$2,SUMIFS(Proventos!$H:$H,Proventos!$D:$D,"&gt;="&amp;CONCATENATE($M$6,"/",B9),Proventos!$D:$D,"&lt;"&amp;CONCATENATE($N$6,"/",B9),Proventos!$A:$A,"="&amp;$K$2))</f>
        <v>0</v>
      </c>
      <c r="N9" s="245">
        <f>IFS(
AND($H$2=Data!$A$3,$K$2=Data!$A$2),SUMIFS(Proventos!$H:$H,Proventos!$D:$D,"&gt;="&amp;CONCATENATE($N$6,"/",B9),Proventos!$D:$D,"&lt;"&amp;CONCATENATE($C$6,"/",B10),Proventos!$J:$J,"="&amp;$H$2),
AND($H$2=Data!$A$4,$K$2=Data!$A$2),SUMIFS(Proventos!$H:$H,Proventos!$D:$D,"&gt;="&amp;CONCATENATE($N$6,"/",B9),Proventos!$D:$D,"&lt;"&amp;CONCATENATE($C$6,"/",B10),Proventos!$J:$J,"="&amp;$H$2),
AND($H$2=Data!$A$5,$K$2=Data!$A$2),SUMIFS(Proventos!$H:$H,Proventos!$D:$D,"&gt;="&amp;CONCATENATE($N$6,"/",B9),Proventos!$D:$D,"&lt;"&amp;CONCATENATE($C$6,"/",B10),Proventos!$J:$J,"="&amp;$H$2),
AND($H$2=Data!$A$6,$K$2=Data!$A$2),SUMIFS(Proventos!$H:$H,Proventos!$D:$D,"&gt;="&amp;CONCATENATE($N$6,"/",B9),Proventos!$D:$D,"&lt;"&amp;CONCATENATE($C$6,"/",B10),Proventos!$J:$J,"="&amp;$H$2),
AND($H$2=Data!$A$7,$K$2=Data!$A$2),SUMIFS(Proventos!$H:$H,Proventos!$D:$D,"&gt;="&amp;CONCATENATE($N$6,"/",B9),Proventos!$D:$D,"&lt;"&amp;CONCATENATE($C$6,"/",B10),Proventos!$J:$J,"="&amp;$H$2),
AND($H$2=Data!$A$8,$K$2=Data!$A$2),SUMIFS(Proventos!$H:$H,Proventos!$D:$D,"&gt;="&amp;CONCATENATE($N$6,"/",B9),Proventos!$D:$D,"&lt;"&amp;CONCATENATE($C$6,"/",B10),Proventos!$J:$J,"="&amp;$H$2),
AND($H$2=Data!$A$9,$K$2=Data!$A$2),SUMIFS(Proventos!$H:$H,Proventos!$D:$D,"&gt;="&amp;CONCATENATE($N$6,"/",B9),Proventos!$D:$D,"&lt;"&amp;CONCATENATE($C$6,"/",B10),Proventos!$J:$J,"="&amp;$H$2),
AND($H$2=Data!$A$10,$K$2=Data!$A$2),SUMIFS(Proventos!$H:$H,Proventos!$D:$D,"&gt;="&amp;CONCATENATE($N$6,"/",B9),Proventos!$D:$D,"&lt;"&amp;CONCATENATE($C$6,"/",B10),Proventos!$J:$J,"="&amp;$H$2),
AND($H$2=Data!$A$11,$K$2=Data!$A$2),SUMIFS(Proventos!$H:$H,Proventos!$D:$D,"&gt;="&amp;CONCATENATE($N$6,"/",B9),Proventos!$D:$D,"&lt;"&amp;CONCATENATE($C$6,"/",B10),Proventos!$J:$J,"="&amp;$H$2),
$K$2=Data!$A$2,SUMIFS(Proventos!$H:$H,Proventos!$D:$D,"&gt;="&amp;CONCATENATE($N$6,"/",B9),Proventos!$D:$D,"&lt;"&amp;CONCATENATE($C$6,"/",B10)),
$K$2&lt;&gt;Data!$A$2,SUMIFS(Proventos!$H:$H,Proventos!$D:$D,"&gt;="&amp;CONCATENATE($N$6,"/",B9),Proventos!$D:$D,"&lt;"&amp;CONCATENATE($C$6,"/",B10),Proventos!$A:$A,"="&amp;$K$2))</f>
        <v>0</v>
      </c>
      <c r="O9" s="245"/>
      <c r="P9" s="245">
        <f t="shared" si="1"/>
        <v>0</v>
      </c>
      <c r="Q9" s="245">
        <f t="shared" si="2"/>
        <v>0</v>
      </c>
    </row>
    <row r="10" ht="32.25" customHeight="1">
      <c r="A10" s="246" t="str">
        <f>IFERROR(__xludf.DUMMYFUNCTION("""COMPUTED_VALUE"""),"BCFF11")</f>
        <v>BCFF11</v>
      </c>
      <c r="B10" s="244">
        <f>IFERROR(__xludf.DUMMYFUNCTION("""COMPUTED_VALUE"""),2023.0)</f>
        <v>2023</v>
      </c>
      <c r="C10" s="245">
        <f>IFS(
AND($H$2=Data!$A$3,$K$2=Data!$A$2),SUMIFS(Proventos!$H:$H,Proventos!$D:$D,"&gt;="&amp;CONCATENATE($C$6,"/",B10),Proventos!$D:$D,"&lt;"&amp;CONCATENATE($D$6,"/",B10),Proventos!$J:$J,"="&amp;$H$2),
AND($H$2=Data!$A$4,$K$2=Data!$A$2),SUMIFS(Proventos!$H:$H,Proventos!$D:$D,"&gt;="&amp;CONCATENATE($C$6,"/",B10),Proventos!$D:$D,"&lt;"&amp;CONCATENATE($D$6,"/",B10),Proventos!$J:$J,"="&amp;$H$2),
AND($H$2=Data!$A$5,$K$2=Data!$A$2),SUMIFS(Proventos!$H:$H,Proventos!$D:$D,"&gt;="&amp;CONCATENATE($C$6,"/",B10),Proventos!$D:$D,"&lt;"&amp;CONCATENATE($D$6,"/",B10),Proventos!$J:$J,"="&amp;$H$2),
AND($H$2=Data!$A$6,$K$2=Data!$A$2),SUMIFS(Proventos!$H:$H,Proventos!$D:$D,"&gt;="&amp;CONCATENATE($C$6,"/",B10),Proventos!$D:$D,"&lt;"&amp;CONCATENATE($D$6,"/",B10),Proventos!$J:$J,"="&amp;$H$2),
AND($H$2=Data!$A$7,$K$2=Data!$A$2),SUMIFS(Proventos!$H:$H,Proventos!$D:$D,"&gt;="&amp;CONCATENATE($C$6,"/",B10),Proventos!$D:$D,"&lt;"&amp;CONCATENATE($D$6,"/",B10),Proventos!$J:$J,"="&amp;$H$2),
AND($H$2=Data!$A$8,$K$2=Data!$A$2),SUMIFS(Proventos!$H:$H,Proventos!$D:$D,"&gt;="&amp;CONCATENATE($C$6,"/",B10),Proventos!$D:$D,"&lt;"&amp;CONCATENATE($D$6,"/",B10),Proventos!$J:$J,"="&amp;$H$2),
AND($H$2=Data!$A$9,$K$2=Data!$A$2),SUMIFS(Proventos!$H:$H,Proventos!$D:$D,"&gt;="&amp;CONCATENATE($C$6,"/",B10),Proventos!$D:$D,"&lt;"&amp;CONCATENATE($D$6,"/",B10),Proventos!$J:$J,"="&amp;$H$2),
AND($H$2=Data!$A$10,$K$2=Data!$A$2),SUMIFS(Proventos!$H:$H,Proventos!$D:$D,"&gt;="&amp;CONCATENATE($C$6,"/",B10),Proventos!$D:$D,"&lt;"&amp;CONCATENATE($D$6,"/",B10),Proventos!$J:$J,"="&amp;$H$2),
AND($H$2=Data!$A$11,$K$2=Data!$A$2),SUMIFS(Proventos!$H:$H,Proventos!$D:$D,"&gt;="&amp;CONCATENATE($C$6,"/",B10),Proventos!$D:$D,"&lt;"&amp;CONCATENATE($D$6,"/",B10),Proventos!$J:$J,"="&amp;$H$2),
$K$2=Data!$A$2,SUMIFS(Proventos!$H:$H,Proventos!$D:$D,"&gt;="&amp;CONCATENATE($C$6,"/",B10),Proventos!$D:$D,"&lt;"&amp;CONCATENATE($D$6,"/",B10)),
$K$2&lt;&gt;Data!$A$2,SUMIFS(Proventos!$H:$H,Proventos!$D:$D,"&gt;="&amp;CONCATENATE($C$6,"/",B10),Proventos!$D:$D,"&lt;"&amp;CONCATENATE($D$6,"/",B10),Proventos!$A:$A,"="&amp;$K$2))</f>
        <v>0</v>
      </c>
      <c r="D10" s="245">
        <f>IFS(
AND($H$2=Data!$A$3,$K$2=Data!$A$2),SUMIFS(Proventos!$H:$H,Proventos!$D:$D,"&gt;="&amp;CONCATENATE($D$6,"/",B10),Proventos!$D:$D,"&lt;"&amp;CONCATENATE($E$6,"/",B10),Proventos!$J:$J,"="&amp;$H$2),
AND($H$2=Data!$A$4,$K$2=Data!$A$2),SUMIFS(Proventos!$H:$H,Proventos!$D:$D,"&gt;="&amp;CONCATENATE($D$6,"/",B10),Proventos!$D:$D,"&lt;"&amp;CONCATENATE($E$6,"/",B10),Proventos!$J:$J,"="&amp;$H$2),
AND($H$2=Data!$A$5,$K$2=Data!$A$2),SUMIFS(Proventos!$H:$H,Proventos!$D:$D,"&gt;="&amp;CONCATENATE($D$6,"/",B10),Proventos!$D:$D,"&lt;"&amp;CONCATENATE($E$6,"/",B10),Proventos!$J:$J,"="&amp;$H$2),
AND($H$2=Data!$A$6,$K$2=Data!$A$2),SUMIFS(Proventos!$H:$H,Proventos!$D:$D,"&gt;="&amp;CONCATENATE($D$6,"/",B10),Proventos!$D:$D,"&lt;"&amp;CONCATENATE($E$6,"/",B10),Proventos!$J:$J,"="&amp;$H$2),
AND($H$2=Data!$A$7,$K$2=Data!$A$2),SUMIFS(Proventos!$H:$H,Proventos!$D:$D,"&gt;="&amp;CONCATENATE($D$6,"/",B10),Proventos!$D:$D,"&lt;"&amp;CONCATENATE($E$6,"/",B10),Proventos!$J:$J,"="&amp;$H$2),
AND($H$2=Data!$A$8,$K$2=Data!$A$2),SUMIFS(Proventos!$H:$H,Proventos!$D:$D,"&gt;="&amp;CONCATENATE($D$6,"/",B10),Proventos!$D:$D,"&lt;"&amp;CONCATENATE($E$6,"/",B10),Proventos!$J:$J,"="&amp;$H$2),
AND($H$2=Data!$A$9,$K$2=Data!$A$2),SUMIFS(Proventos!$H:$H,Proventos!$D:$D,"&gt;="&amp;CONCATENATE($D$6,"/",B10),Proventos!$D:$D,"&lt;"&amp;CONCATENATE($E$6,"/",B10),Proventos!$J:$J,"="&amp;$H$2),
AND($H$2=Data!$A$10,$K$2=Data!$A$2),SUMIFS(Proventos!$H:$H,Proventos!$D:$D,"&gt;="&amp;CONCATENATE($D$6,"/",B10),Proventos!$D:$D,"&lt;"&amp;CONCATENATE($E$6,"/",B10),Proventos!$J:$J,"="&amp;$H$2),
AND($H$2=Data!$A$11,$K$2=Data!$A$2),SUMIFS(Proventos!$H:$H,Proventos!$D:$D,"&gt;="&amp;CONCATENATE($D$6,"/",B10),Proventos!$D:$D,"&lt;"&amp;CONCATENATE($E$6,"/",B10),Proventos!$J:$J,"="&amp;$H$2),
$K$2=Data!$A$2,SUMIFS(Proventos!$H:$H,Proventos!$D:$D,"&gt;="&amp;CONCATENATE($D$6,"/",B10),Proventos!$D:$D,"&lt;"&amp;CONCATENATE($E$6,"/",B10)),
$K$2&lt;&gt;Data!$A$2,SUMIFS(Proventos!$H:$H,Proventos!$D:$D,"&gt;="&amp;CONCATENATE($D$6,"/",B10),Proventos!$D:$D,"&lt;"&amp;CONCATENATE($E$6,"/",B10),Proventos!$A:$A,"="&amp;$K$2))</f>
        <v>0</v>
      </c>
      <c r="E10" s="245">
        <f>IFS(
AND($H$2=Data!$A$3,$K$2=Data!$A$2),SUMIFS(Proventos!$H:$H,Proventos!$D:$D,"&gt;="&amp;CONCATENATE($E$6,"/",B10),Proventos!$D:$D,"&lt;"&amp;CONCATENATE($F$6,"/",B10),Proventos!$J:$J,"="&amp;$H$2),
AND($H$2=Data!$A$4,$K$2=Data!$A$2),SUMIFS(Proventos!$H:$H,Proventos!$D:$D,"&gt;="&amp;CONCATENATE($E$6,"/",B10),Proventos!$D:$D,"&lt;"&amp;CONCATENATE($F$6,"/",B10),Proventos!$J:$J,"="&amp;$H$2),
AND($H$2=Data!$A$5,$K$2=Data!$A$2),SUMIFS(Proventos!$H:$H,Proventos!$D:$D,"&gt;="&amp;CONCATENATE($E$6,"/",B10),Proventos!$D:$D,"&lt;"&amp;CONCATENATE($F$6,"/",B10),Proventos!$J:$J,"="&amp;$H$2),
AND($H$2=Data!$A$6,$K$2=Data!$A$2),SUMIFS(Proventos!$H:$H,Proventos!$D:$D,"&gt;="&amp;CONCATENATE($E$6,"/",B10),Proventos!$D:$D,"&lt;"&amp;CONCATENATE($F$6,"/",B10),Proventos!$J:$J,"="&amp;$H$2),
AND($H$2=Data!$A$7,$K$2=Data!$A$2),SUMIFS(Proventos!$H:$H,Proventos!$D:$D,"&gt;="&amp;CONCATENATE($E$6,"/",B10),Proventos!$D:$D,"&lt;"&amp;CONCATENATE($F$6,"/",B10),Proventos!$J:$J,"="&amp;$H$2),
AND($H$2=Data!$A$8,$K$2=Data!$A$2),SUMIFS(Proventos!$H:$H,Proventos!$D:$D,"&gt;="&amp;CONCATENATE($E$6,"/",B10),Proventos!$D:$D,"&lt;"&amp;CONCATENATE($F$6,"/",B10),Proventos!$J:$J,"="&amp;$H$2),
AND($H$2=Data!$A$9,$K$2=Data!$A$2),SUMIFS(Proventos!$H:$H,Proventos!$D:$D,"&gt;="&amp;CONCATENATE($E$6,"/",B10),Proventos!$D:$D,"&lt;"&amp;CONCATENATE($F$6,"/",B10),Proventos!$J:$J,"="&amp;$H$2),
AND($H$2=Data!$A$10,$K$2=Data!$A$2),SUMIFS(Proventos!$H:$H,Proventos!$D:$D,"&gt;="&amp;CONCATENATE($E$6,"/",B10),Proventos!$D:$D,"&lt;"&amp;CONCATENATE($F$6,"/",B10),Proventos!$J:$J,"="&amp;$H$2),
AND($H$2=Data!$A$11,$K$2=Data!$A$2),SUMIFS(Proventos!$H:$H,Proventos!$D:$D,"&gt;="&amp;CONCATENATE($E$6,"/",B10),Proventos!$D:$D,"&lt;"&amp;CONCATENATE($F$6,"/",B10),Proventos!$J:$J,"="&amp;$H$2),
$K$2=Data!$A$2,SUMIFS(Proventos!$H:$H,Proventos!$D:$D,"&gt;="&amp;CONCATENATE($E$6,"/",B10),Proventos!$D:$D,"&lt;"&amp;CONCATENATE($F$6,"/",B10)),
$K$2&lt;&gt;Data!$A$2,SUMIFS(Proventos!$H:$H,Proventos!$D:$D,"&gt;="&amp;CONCATENATE($E$6,"/",B10),Proventos!$D:$D,"&lt;"&amp;CONCATENATE($F$6,"/",B10),Proventos!$A:$A,"="&amp;$K$2))</f>
        <v>0</v>
      </c>
      <c r="F10" s="245">
        <f>IFS(
AND($H$2=Data!$A$3,$K$2=Data!$A$2),SUMIFS(Proventos!$H:$H,Proventos!$D:$D,"&gt;="&amp;CONCATENATE($F$6,"/",B10),Proventos!$D:$D,"&lt;"&amp;CONCATENATE($G$6,"/",B10),Proventos!$J:$J,"="&amp;$H$2),
AND($H$2=Data!$A$4,$K$2=Data!$A$2),SUMIFS(Proventos!$H:$H,Proventos!$D:$D,"&gt;="&amp;CONCATENATE($F$6,"/",B10),Proventos!$D:$D,"&lt;"&amp;CONCATENATE($G$6,"/",B10),Proventos!$J:$J,"="&amp;$H$2),
AND($H$2=Data!$A$5,$K$2=Data!$A$2),SUMIFS(Proventos!$H:$H,Proventos!$D:$D,"&gt;="&amp;CONCATENATE($F$6,"/",B10),Proventos!$D:$D,"&lt;"&amp;CONCATENATE($G$6,"/",B10),Proventos!$J:$J,"="&amp;$H$2),
AND($H$2=Data!$A$6,$K$2=Data!$A$2),SUMIFS(Proventos!$H:$H,Proventos!$D:$D,"&gt;="&amp;CONCATENATE($F$6,"/",B10),Proventos!$D:$D,"&lt;"&amp;CONCATENATE($G$6,"/",B10),Proventos!$J:$J,"="&amp;$H$2),
AND($H$2=Data!$A$7,$K$2=Data!$A$2),SUMIFS(Proventos!$H:$H,Proventos!$D:$D,"&gt;="&amp;CONCATENATE($F$6,"/",B10),Proventos!$D:$D,"&lt;"&amp;CONCATENATE($G$6,"/",B10),Proventos!$J:$J,"="&amp;$H$2),
AND($H$2=Data!$A$8,$K$2=Data!$A$2),SUMIFS(Proventos!$H:$H,Proventos!$D:$D,"&gt;="&amp;CONCATENATE($F$6,"/",B10),Proventos!$D:$D,"&lt;"&amp;CONCATENATE($G$6,"/",B10),Proventos!$J:$J,"="&amp;$H$2),
AND($H$2=Data!$A$9,$K$2=Data!$A$2),SUMIFS(Proventos!$H:$H,Proventos!$D:$D,"&gt;="&amp;CONCATENATE($F$6,"/",B10),Proventos!$D:$D,"&lt;"&amp;CONCATENATE($G$6,"/",B10),Proventos!$J:$J,"="&amp;$H$2),
AND($H$2=Data!$A$10,$K$2=Data!$A$2),SUMIFS(Proventos!$H:$H,Proventos!$D:$D,"&gt;="&amp;CONCATENATE($F$6,"/",B10),Proventos!$D:$D,"&lt;"&amp;CONCATENATE($G$6,"/",B10),Proventos!$J:$J,"="&amp;$H$2),
AND($H$2=Data!$A$11,$K$2=Data!$A$2),SUMIFS(Proventos!$H:$H,Proventos!$D:$D,"&gt;="&amp;CONCATENATE($F$6,"/",B10),Proventos!$D:$D,"&lt;"&amp;CONCATENATE($G$6,"/",B10),Proventos!$J:$J,"="&amp;$H$2),
$K$2=Data!$A$2,SUMIFS(Proventos!$H:$H,Proventos!$D:$D,"&gt;="&amp;CONCATENATE($F$6,"/",B10),Proventos!$D:$D,"&lt;"&amp;CONCATENATE($G$6,"/",B10)),
$K$2&lt;&gt;Data!$A$2,SUMIFS(Proventos!$H:$H,Proventos!$D:$D,"&gt;="&amp;CONCATENATE($F$6,"/",B10),Proventos!$D:$D,"&lt;"&amp;CONCATENATE($G$6,"/",B10),Proventos!$A:$A,"="&amp;$K$2))</f>
        <v>0</v>
      </c>
      <c r="G10" s="245">
        <f>IFS(
AND($H$2=Data!$A$3,$K$2=Data!$A$2),SUMIFS(Proventos!$H:$H,Proventos!$D:$D,"&gt;="&amp;CONCATENATE($G$6,"/",B10),Proventos!$D:$D,"&lt;"&amp;CONCATENATE($H$6,"/",B10),Proventos!$J:$J,"="&amp;$H$2),
AND($H$2=Data!$A$4,$K$2=Data!$A$2),SUMIFS(Proventos!$H:$H,Proventos!$D:$D,"&gt;="&amp;CONCATENATE($G$6,"/",B10),Proventos!$D:$D,"&lt;"&amp;CONCATENATE($H$6,"/",B10),Proventos!$J:$J,"="&amp;$H$2),
AND($H$2=Data!$A$5,$K$2=Data!$A$2),SUMIFS(Proventos!$H:$H,Proventos!$D:$D,"&gt;="&amp;CONCATENATE($G$6,"/",B10),Proventos!$D:$D,"&lt;"&amp;CONCATENATE($H$6,"/",B10),Proventos!$J:$J,"="&amp;$H$2),
AND($H$2=Data!$A$6,$K$2=Data!$A$2),SUMIFS(Proventos!$H:$H,Proventos!$D:$D,"&gt;="&amp;CONCATENATE($G$6,"/",B10),Proventos!$D:$D,"&lt;"&amp;CONCATENATE($H$6,"/",B10),Proventos!$J:$J,"="&amp;$H$2),
AND($H$2=Data!$A$7,$K$2=Data!$A$2),SUMIFS(Proventos!$H:$H,Proventos!$D:$D,"&gt;="&amp;CONCATENATE($G$6,"/",B10),Proventos!$D:$D,"&lt;"&amp;CONCATENATE($H$6,"/",B10),Proventos!$J:$J,"="&amp;$H$2),
AND($H$2=Data!$A$8,$K$2=Data!$A$2),SUMIFS(Proventos!$H:$H,Proventos!$D:$D,"&gt;="&amp;CONCATENATE($G$6,"/",B10),Proventos!$D:$D,"&lt;"&amp;CONCATENATE($H$6,"/",B10),Proventos!$J:$J,"="&amp;$H$2),
AND($H$2=Data!$A$9,$K$2=Data!$A$2),SUMIFS(Proventos!$H:$H,Proventos!$D:$D,"&gt;="&amp;CONCATENATE($G$6,"/",B10),Proventos!$D:$D,"&lt;"&amp;CONCATENATE($H$6,"/",B10),Proventos!$J:$J,"="&amp;$H$2),
AND($H$2=Data!$A$10,$K$2=Data!$A$2),SUMIFS(Proventos!$H:$H,Proventos!$D:$D,"&gt;="&amp;CONCATENATE($G$6,"/",B10),Proventos!$D:$D,"&lt;"&amp;CONCATENATE($H$6,"/",B10),Proventos!$J:$J,"="&amp;$H$2),
AND($H$2=Data!$A$11,$K$2=Data!$A$2),SUMIFS(Proventos!$H:$H,Proventos!$D:$D,"&gt;="&amp;CONCATENATE($G$6,"/",B10),Proventos!$D:$D,"&lt;"&amp;CONCATENATE($H$6,"/",B10),Proventos!$J:$J,"="&amp;$H$2),
$K$2=Data!$A$2,SUMIFS(Proventos!$H:$H,Proventos!$D:$D,"&gt;="&amp;CONCATENATE($G$6,"/",B10),Proventos!$D:$D,"&lt;"&amp;CONCATENATE($H$6,"/",B10)),
$K$2&lt;&gt;Data!$A$2,SUMIFS(Proventos!$H:$H,Proventos!$D:$D,"&gt;="&amp;CONCATENATE($G$6,"/",B10),Proventos!$D:$D,"&lt;"&amp;CONCATENATE($H$6,"/",B10),Proventos!$A:$A,"="&amp;$K$2))</f>
        <v>0</v>
      </c>
      <c r="H10" s="245">
        <f>IFS(
AND($H$2=Data!$A$3,$K$2=Data!$A$2),SUMIFS(Proventos!$H:$H,Proventos!$D:$D,"&gt;="&amp;CONCATENATE($H$6,"/",B10),Proventos!$D:$D,"&lt;"&amp;CONCATENATE($I$6,"/",B10),Proventos!$J:$J,"="&amp;$H$2),
AND($H$2=Data!$A$4,$K$2=Data!$A$2),SUMIFS(Proventos!$H:$H,Proventos!$D:$D,"&gt;="&amp;CONCATENATE($H$6,"/",B10),Proventos!$D:$D,"&lt;"&amp;CONCATENATE($I$6,"/",B10),Proventos!$J:$J,"="&amp;$H$2),
AND($H$2=Data!$A$5,$K$2=Data!$A$2),SUMIFS(Proventos!$H:$H,Proventos!$D:$D,"&gt;="&amp;CONCATENATE($H$6,"/",B10),Proventos!$D:$D,"&lt;"&amp;CONCATENATE($I$6,"/",B10),Proventos!$J:$J,"="&amp;$H$2),
AND($H$2=Data!$A$6,$K$2=Data!$A$2),SUMIFS(Proventos!$H:$H,Proventos!$D:$D,"&gt;="&amp;CONCATENATE($H$6,"/",B10),Proventos!$D:$D,"&lt;"&amp;CONCATENATE($I$6,"/",B10),Proventos!$J:$J,"="&amp;$H$2),
AND($H$2=Data!$A$7,$K$2=Data!$A$2),SUMIFS(Proventos!$H:$H,Proventos!$D:$D,"&gt;="&amp;CONCATENATE($H$6,"/",B10),Proventos!$D:$D,"&lt;"&amp;CONCATENATE($I$6,"/",B10),Proventos!$J:$J,"="&amp;$H$2),
AND($H$2=Data!$A$8,$K$2=Data!$A$2),SUMIFS(Proventos!$H:$H,Proventos!$D:$D,"&gt;="&amp;CONCATENATE($H$6,"/",B10),Proventos!$D:$D,"&lt;"&amp;CONCATENATE($I$6,"/",B10),Proventos!$J:$J,"="&amp;$H$2),
AND($H$2=Data!$A$9,$K$2=Data!$A$2),SUMIFS(Proventos!$H:$H,Proventos!$D:$D,"&gt;="&amp;CONCATENATE($H$6,"/",B10),Proventos!$D:$D,"&lt;"&amp;CONCATENATE($I$6,"/",B10),Proventos!$J:$J,"="&amp;$H$2),
AND($H$2=Data!$A$10,$K$2=Data!$A$2),SUMIFS(Proventos!$H:$H,Proventos!$D:$D,"&gt;="&amp;CONCATENATE($H$6,"/",B10),Proventos!$D:$D,"&lt;"&amp;CONCATENATE($I$6,"/",B10),Proventos!$J:$J,"="&amp;$H$2),
AND($H$2=Data!$A$11,$K$2=Data!$A$2),SUMIFS(Proventos!$H:$H,Proventos!$D:$D,"&gt;="&amp;CONCATENATE($H$6,"/",B10),Proventos!$D:$D,"&lt;"&amp;CONCATENATE($I$6,"/",B10),Proventos!$J:$J,"="&amp;$H$2),
$K$2=Data!$A$2,SUMIFS(Proventos!$H:$H,Proventos!$D:$D,"&gt;="&amp;CONCATENATE($H$6,"/",B10),Proventos!$D:$D,"&lt;"&amp;CONCATENATE($I$6,"/",B10)),
$K$2&lt;&gt;Data!$A$2,SUMIFS(Proventos!$H:$H,Proventos!$D:$D,"&gt;="&amp;CONCATENATE($H$6,"/",B10),Proventos!$D:$D,"&lt;"&amp;CONCATENATE($I$6,"/",B10),Proventos!$A:$A,"="&amp;$K$2))</f>
        <v>0</v>
      </c>
      <c r="I10" s="245">
        <f>IFS(
AND($H$2=Data!$A$3,$K$2=Data!$A$2),SUMIFS(Proventos!$H:$H,Proventos!$D:$D,"&gt;="&amp;CONCATENATE($I$6,"/",B10),Proventos!$D:$D,"&lt;"&amp;CONCATENATE($J$6,"/",B10),Proventos!$J:$J,"="&amp;$H$2),
AND($H$2=Data!$A$4,$K$2=Data!$A$2),SUMIFS(Proventos!$H:$H,Proventos!$D:$D,"&gt;="&amp;CONCATENATE($I$6,"/",B10),Proventos!$D:$D,"&lt;"&amp;CONCATENATE($J$6,"/",B10),Proventos!$J:$J,"="&amp;$H$2),
AND($H$2=Data!$A$5,$K$2=Data!$A$2),SUMIFS(Proventos!$H:$H,Proventos!$D:$D,"&gt;="&amp;CONCATENATE($I$6,"/",B10),Proventos!$D:$D,"&lt;"&amp;CONCATENATE($J$6,"/",B10),Proventos!$J:$J,"="&amp;$H$2),
AND($H$2=Data!$A$6,$K$2=Data!$A$2),SUMIFS(Proventos!$H:$H,Proventos!$D:$D,"&gt;="&amp;CONCATENATE($I$6,"/",B10),Proventos!$D:$D,"&lt;"&amp;CONCATENATE($J$6,"/",B10),Proventos!$J:$J,"="&amp;$H$2),
AND($H$2=Data!$A$7,$K$2=Data!$A$2),SUMIFS(Proventos!$H:$H,Proventos!$D:$D,"&gt;="&amp;CONCATENATE($I$6,"/",B10),Proventos!$D:$D,"&lt;"&amp;CONCATENATE($J$6,"/",B10),Proventos!$J:$J,"="&amp;$H$2),
AND($H$2=Data!$A$8,$K$2=Data!$A$2),SUMIFS(Proventos!$H:$H,Proventos!$D:$D,"&gt;="&amp;CONCATENATE($I$6,"/",B10),Proventos!$D:$D,"&lt;"&amp;CONCATENATE($J$6,"/",B10),Proventos!$J:$J,"="&amp;$H$2),
AND($H$2=Data!$A$9,$K$2=Data!$A$2),SUMIFS(Proventos!$H:$H,Proventos!$D:$D,"&gt;="&amp;CONCATENATE($I$6,"/",B10),Proventos!$D:$D,"&lt;"&amp;CONCATENATE($J$6,"/",B10),Proventos!$J:$J,"="&amp;$H$2),
AND($H$2=Data!$A$10,$K$2=Data!$A$2),SUMIFS(Proventos!$H:$H,Proventos!$D:$D,"&gt;="&amp;CONCATENATE($I$6,"/",B10),Proventos!$D:$D,"&lt;"&amp;CONCATENATE($J$6,"/",B10),Proventos!$J:$J,"="&amp;$H$2),
AND($H$2=Data!$A$11,$K$2=Data!$A$2),SUMIFS(Proventos!$H:$H,Proventos!$D:$D,"&gt;="&amp;CONCATENATE($I$6,"/",B10),Proventos!$D:$D,"&lt;"&amp;CONCATENATE($J$6,"/",B10),Proventos!$J:$J,"="&amp;$H$2),
$K$2=Data!$A$2,SUMIFS(Proventos!$H:$H,Proventos!$D:$D,"&gt;="&amp;CONCATENATE($I$6,"/",B10),Proventos!$D:$D,"&lt;"&amp;CONCATENATE($J$6,"/",B10)),
$K$2&lt;&gt;Data!$A$2,SUMIFS(Proventos!$H:$H,Proventos!$D:$D,"&gt;="&amp;CONCATENATE($I$6,"/",B10),Proventos!$D:$D,"&lt;"&amp;CONCATENATE($J$6,"/",B10),Proventos!$A:$A,"="&amp;$K$2))</f>
        <v>0</v>
      </c>
      <c r="J10" s="245">
        <f>IFS(
AND($H$2=Data!$A$3,$K$2=Data!$A$2),SUMIFS(Proventos!$H:$H,Proventos!$D:$D,"&gt;="&amp;CONCATENATE($J$6,"/",B10),Proventos!$D:$D,"&lt;"&amp;CONCATENATE($K$6,"/",B10),Proventos!$J:$J,"="&amp;$H$2),
AND($H$2=Data!$A$4,$K$2=Data!$A$2),SUMIFS(Proventos!$H:$H,Proventos!$D:$D,"&gt;="&amp;CONCATENATE($J$6,"/",B10),Proventos!$D:$D,"&lt;"&amp;CONCATENATE($K$6,"/",B10),Proventos!$J:$J,"="&amp;$H$2),
AND($H$2=Data!$A$5,$K$2=Data!$A$2),SUMIFS(Proventos!$H:$H,Proventos!$D:$D,"&gt;="&amp;CONCATENATE($J$6,"/",B10),Proventos!$D:$D,"&lt;"&amp;CONCATENATE($K$6,"/",B10),Proventos!$J:$J,"="&amp;$H$2),
AND($H$2=Data!$A$6,$K$2=Data!$A$2),SUMIFS(Proventos!$H:$H,Proventos!$D:$D,"&gt;="&amp;CONCATENATE($J$6,"/",B10),Proventos!$D:$D,"&lt;"&amp;CONCATENATE($K$6,"/",B10),Proventos!$J:$J,"="&amp;$H$2),
AND($H$2=Data!$A$7,$K$2=Data!$A$2),SUMIFS(Proventos!$H:$H,Proventos!$D:$D,"&gt;="&amp;CONCATENATE($J$6,"/",B10),Proventos!$D:$D,"&lt;"&amp;CONCATENATE($K$6,"/",B10),Proventos!$J:$J,"="&amp;$H$2),
AND($H$2=Data!$A$8,$K$2=Data!$A$2),SUMIFS(Proventos!$H:$H,Proventos!$D:$D,"&gt;="&amp;CONCATENATE($J$6,"/",B10),Proventos!$D:$D,"&lt;"&amp;CONCATENATE($K$6,"/",B10),Proventos!$J:$J,"="&amp;$H$2),
AND($H$2=Data!$A$9,$K$2=Data!$A$2),SUMIFS(Proventos!$H:$H,Proventos!$D:$D,"&gt;="&amp;CONCATENATE($J$6,"/",B10),Proventos!$D:$D,"&lt;"&amp;CONCATENATE($K$6,"/",B10),Proventos!$J:$J,"="&amp;$H$2),
AND($H$2=Data!$A$10,$K$2=Data!$A$2),SUMIFS(Proventos!$H:$H,Proventos!$D:$D,"&gt;="&amp;CONCATENATE($J$6,"/",B10),Proventos!$D:$D,"&lt;"&amp;CONCATENATE($K$6,"/",B10),Proventos!$J:$J,"="&amp;$H$2),
AND($H$2=Data!$A$11,$K$2=Data!$A$2),SUMIFS(Proventos!$H:$H,Proventos!$D:$D,"&gt;="&amp;CONCATENATE($J$6,"/",B10),Proventos!$D:$D,"&lt;"&amp;CONCATENATE($K$6,"/",B10),Proventos!$J:$J,"="&amp;$H$2),
$K$2=Data!$A$2,SUMIFS(Proventos!$H:$H,Proventos!$D:$D,"&gt;="&amp;CONCATENATE($J$6,"/",B10),Proventos!$D:$D,"&lt;"&amp;CONCATENATE($K$6,"/",B10)),
$K$2&lt;&gt;Data!$A$2,SUMIFS(Proventos!$H:$H,Proventos!$D:$D,"&gt;="&amp;CONCATENATE($J$6,"/",B10),Proventos!$D:$D,"&lt;"&amp;CONCATENATE($K$6,"/",B10),Proventos!$A:$A,"="&amp;$K$2))</f>
        <v>0</v>
      </c>
      <c r="K10" s="245">
        <f>IFS(
AND($H$2=Data!$A$3,$K$2=Data!$A$2),SUMIFS(Proventos!$H:$H,Proventos!$D:$D,"&gt;="&amp;CONCATENATE($K$6,"/",B10),Proventos!$D:$D,"&lt;"&amp;CONCATENATE($L$6,"/",B10),Proventos!$J:$J,"="&amp;$H$2),
AND($H$2=Data!$A$4,$K$2=Data!$A$2),SUMIFS(Proventos!$H:$H,Proventos!$D:$D,"&gt;="&amp;CONCATENATE($K$6,"/",B10),Proventos!$D:$D,"&lt;"&amp;CONCATENATE($L$6,"/",B10),Proventos!$J:$J,"="&amp;$H$2),
AND($H$2=Data!$A$5,$K$2=Data!$A$2),SUMIFS(Proventos!$H:$H,Proventos!$D:$D,"&gt;="&amp;CONCATENATE($K$6,"/",B10),Proventos!$D:$D,"&lt;"&amp;CONCATENATE($L$6,"/",B10),Proventos!$J:$J,"="&amp;$H$2),
AND($H$2=Data!$A$6,$K$2=Data!$A$2),SUMIFS(Proventos!$H:$H,Proventos!$D:$D,"&gt;="&amp;CONCATENATE($K$6,"/",B10),Proventos!$D:$D,"&lt;"&amp;CONCATENATE($L$6,"/",B10),Proventos!$J:$J,"="&amp;$H$2),
AND($H$2=Data!$A$7,$K$2=Data!$A$2),SUMIFS(Proventos!$H:$H,Proventos!$D:$D,"&gt;="&amp;CONCATENATE($K$6,"/",B10),Proventos!$D:$D,"&lt;"&amp;CONCATENATE($L$6,"/",B10),Proventos!$J:$J,"="&amp;$H$2),
AND($H$2=Data!$A$8,$K$2=Data!$A$2),SUMIFS(Proventos!$H:$H,Proventos!$D:$D,"&gt;="&amp;CONCATENATE($K$6,"/",B10),Proventos!$D:$D,"&lt;"&amp;CONCATENATE($L$6,"/",B10),Proventos!$J:$J,"="&amp;$H$2),
AND($H$2=Data!$A$9,$K$2=Data!$A$2),SUMIFS(Proventos!$H:$H,Proventos!$D:$D,"&gt;="&amp;CONCATENATE($K$6,"/",B10),Proventos!$D:$D,"&lt;"&amp;CONCATENATE($L$6,"/",B10),Proventos!$J:$J,"="&amp;$H$2),
AND($H$2=Data!$A$10,$K$2=Data!$A$2),SUMIFS(Proventos!$H:$H,Proventos!$D:$D,"&gt;="&amp;CONCATENATE($K$6,"/",B10),Proventos!$D:$D,"&lt;"&amp;CONCATENATE($L$6,"/",B10),Proventos!$J:$J,"="&amp;$H$2),
AND($H$2=Data!$A$11,$K$2=Data!$A$2),SUMIFS(Proventos!$H:$H,Proventos!$D:$D,"&gt;="&amp;CONCATENATE($K$6,"/",B10),Proventos!$D:$D,"&lt;"&amp;CONCATENATE($L$6,"/",B10),Proventos!$J:$J,"="&amp;$H$2),
$K$2=Data!$A$2,SUMIFS(Proventos!$H:$H,Proventos!$D:$D,"&gt;="&amp;CONCATENATE($K$6,"/",B10),Proventos!$D:$D,"&lt;"&amp;CONCATENATE($L$6,"/",B10)),
$K$2&lt;&gt;Data!$A$2,SUMIFS(Proventos!$H:$H,Proventos!$D:$D,"&gt;="&amp;CONCATENATE($K$6,"/",B10),Proventos!$D:$D,"&lt;"&amp;CONCATENATE($L$6,"/",B10),Proventos!$A:$A,"="&amp;$K$2))</f>
        <v>0</v>
      </c>
      <c r="L10" s="245">
        <f>IFS(
AND($H$2=Data!$A$3,$K$2=Data!$A$2),SUMIFS(Proventos!$H:$H,Proventos!$D:$D,"&gt;="&amp;CONCATENATE($L$6,"/",B10),Proventos!$D:$D,"&lt;"&amp;CONCATENATE($M$6,"/",B10),Proventos!$J:$J,"="&amp;$H$2),
AND($H$2=Data!$A$4,$K$2=Data!$A$2),SUMIFS(Proventos!$H:$H,Proventos!$D:$D,"&gt;="&amp;CONCATENATE($L$6,"/",B10),Proventos!$D:$D,"&lt;"&amp;CONCATENATE($M$6,"/",B10),Proventos!$J:$J,"="&amp;$H$2),
AND($H$2=Data!$A$5,$K$2=Data!$A$2),SUMIFS(Proventos!$H:$H,Proventos!$D:$D,"&gt;="&amp;CONCATENATE($L$6,"/",B10),Proventos!$D:$D,"&lt;"&amp;CONCATENATE($M$6,"/",B10),Proventos!$J:$J,"="&amp;$H$2),
AND($H$2=Data!$A$6,$K$2=Data!$A$2),SUMIFS(Proventos!$H:$H,Proventos!$D:$D,"&gt;="&amp;CONCATENATE($L$6,"/",B10),Proventos!$D:$D,"&lt;"&amp;CONCATENATE($M$6,"/",B10),Proventos!$J:$J,"="&amp;$H$2),
AND($H$2=Data!$A$7,$K$2=Data!$A$2),SUMIFS(Proventos!$H:$H,Proventos!$D:$D,"&gt;="&amp;CONCATENATE($L$6,"/",B10),Proventos!$D:$D,"&lt;"&amp;CONCATENATE($M$6,"/",B10),Proventos!$J:$J,"="&amp;$H$2),
AND($H$2=Data!$A$8,$K$2=Data!$A$2),SUMIFS(Proventos!$H:$H,Proventos!$D:$D,"&gt;="&amp;CONCATENATE($L$6,"/",B10),Proventos!$D:$D,"&lt;"&amp;CONCATENATE($M$6,"/",B10),Proventos!$J:$J,"="&amp;$H$2),
AND($H$2=Data!$A$9,$K$2=Data!$A$2),SUMIFS(Proventos!$H:$H,Proventos!$D:$D,"&gt;="&amp;CONCATENATE($L$6,"/",B10),Proventos!$D:$D,"&lt;"&amp;CONCATENATE($M$6,"/",B10),Proventos!$J:$J,"="&amp;$H$2),
AND($H$2=Data!$A$10,$K$2=Data!$A$2),SUMIFS(Proventos!$H:$H,Proventos!$D:$D,"&gt;="&amp;CONCATENATE($L$6,"/",B10),Proventos!$D:$D,"&lt;"&amp;CONCATENATE($M$6,"/",B10),Proventos!$J:$J,"="&amp;$H$2),
AND($H$2=Data!$A$11,$K$2=Data!$A$2),SUMIFS(Proventos!$H:$H,Proventos!$D:$D,"&gt;="&amp;CONCATENATE($L$6,"/",B10),Proventos!$D:$D,"&lt;"&amp;CONCATENATE($M$6,"/",B10),Proventos!$J:$J,"="&amp;$H$2),
$K$2=Data!$A$2,SUMIFS(Proventos!$H:$H,Proventos!$D:$D,"&gt;="&amp;CONCATENATE($L$6,"/",B10),Proventos!$D:$D,"&lt;"&amp;CONCATENATE($M$6,"/",B10)),
$K$2&lt;&gt;Data!$A$2,SUMIFS(Proventos!$H:$H,Proventos!$D:$D,"&gt;="&amp;CONCATENATE($L$6,"/",B10),Proventos!$D:$D,"&lt;"&amp;CONCATENATE($M$6,"/",B10),Proventos!$A:$A,"="&amp;$K$2))</f>
        <v>0</v>
      </c>
      <c r="M10" s="245">
        <f>IFS(
AND($H$2=Data!$A$3,$K$2=Data!$A$2),SUMIFS(Proventos!$H:$H,Proventos!$D:$D,"&gt;="&amp;CONCATENATE($M$6,"/",B10),Proventos!$D:$D,"&lt;"&amp;CONCATENATE($N$6,"/",B10),Proventos!$J:$J,"="&amp;$H$2),
AND($H$2=Data!$A$4,$K$2=Data!$A$2),SUMIFS(Proventos!$H:$H,Proventos!$D:$D,"&gt;="&amp;CONCATENATE($M$6,"/",B10),Proventos!$D:$D,"&lt;"&amp;CONCATENATE($N$6,"/",B10),Proventos!$J:$J,"="&amp;$H$2),
AND($H$2=Data!$A$5,$K$2=Data!$A$2),SUMIFS(Proventos!$H:$H,Proventos!$D:$D,"&gt;="&amp;CONCATENATE($M$6,"/",B10),Proventos!$D:$D,"&lt;"&amp;CONCATENATE($N$6,"/",B10),Proventos!$J:$J,"="&amp;$H$2),
AND($H$2=Data!$A$6,$K$2=Data!$A$2),SUMIFS(Proventos!$H:$H,Proventos!$D:$D,"&gt;="&amp;CONCATENATE($M$6,"/",B10),Proventos!$D:$D,"&lt;"&amp;CONCATENATE($N$6,"/",B10),Proventos!$J:$J,"="&amp;$H$2),
AND($H$2=Data!$A$7,$K$2=Data!$A$2),SUMIFS(Proventos!$H:$H,Proventos!$D:$D,"&gt;="&amp;CONCATENATE($M$6,"/",B10),Proventos!$D:$D,"&lt;"&amp;CONCATENATE($N$6,"/",B10),Proventos!$J:$J,"="&amp;$H$2),
AND($H$2=Data!$A$8,$K$2=Data!$A$2),SUMIFS(Proventos!$H:$H,Proventos!$D:$D,"&gt;="&amp;CONCATENATE($M$6,"/",B10),Proventos!$D:$D,"&lt;"&amp;CONCATENATE($N$6,"/",B10),Proventos!$J:$J,"="&amp;$H$2),
AND($H$2=Data!$A$9,$K$2=Data!$A$2),SUMIFS(Proventos!$H:$H,Proventos!$D:$D,"&gt;="&amp;CONCATENATE($M$6,"/",B10),Proventos!$D:$D,"&lt;"&amp;CONCATENATE($N$6,"/",B10),Proventos!$J:$J,"="&amp;$H$2),
AND($H$2=Data!$A$10,$K$2=Data!$A$2),SUMIFS(Proventos!$H:$H,Proventos!$D:$D,"&gt;="&amp;CONCATENATE($M$6,"/",B10),Proventos!$D:$D,"&lt;"&amp;CONCATENATE($N$6,"/",B10),Proventos!$J:$J,"="&amp;$H$2),
AND($H$2=Data!$A$11,$K$2=Data!$A$2),SUMIFS(Proventos!$H:$H,Proventos!$D:$D,"&gt;="&amp;CONCATENATE($M$6,"/",B10),Proventos!$D:$D,"&lt;"&amp;CONCATENATE($N$6,"/",B10),Proventos!$J:$J,"="&amp;$H$2),
$K$2=Data!$A$2,SUMIFS(Proventos!$H:$H,Proventos!$D:$D,"&gt;="&amp;CONCATENATE($M$6,"/",B10),Proventos!$D:$D,"&lt;"&amp;CONCATENATE($N$6,"/",B10)),
$K$2&lt;&gt;Data!$A$2,SUMIFS(Proventos!$H:$H,Proventos!$D:$D,"&gt;="&amp;CONCATENATE($M$6,"/",B10),Proventos!$D:$D,"&lt;"&amp;CONCATENATE($N$6,"/",B10),Proventos!$A:$A,"="&amp;$K$2))</f>
        <v>0</v>
      </c>
      <c r="N10" s="245">
        <f>IFS(
AND($H$2=Data!$A$3,$K$2=Data!$A$2),SUMIFS(Proventos!$H:$H,Proventos!$D:$D,"&gt;="&amp;CONCATENATE($N$6,"/",B10),Proventos!$D:$D,"&lt;"&amp;CONCATENATE($C$6,"/",B11),Proventos!$J:$J,"="&amp;$H$2),
AND($H$2=Data!$A$4,$K$2=Data!$A$2),SUMIFS(Proventos!$H:$H,Proventos!$D:$D,"&gt;="&amp;CONCATENATE($N$6,"/",B10),Proventos!$D:$D,"&lt;"&amp;CONCATENATE($C$6,"/",B11),Proventos!$J:$J,"="&amp;$H$2),
AND($H$2=Data!$A$5,$K$2=Data!$A$2),SUMIFS(Proventos!$H:$H,Proventos!$D:$D,"&gt;="&amp;CONCATENATE($N$6,"/",B10),Proventos!$D:$D,"&lt;"&amp;CONCATENATE($C$6,"/",B11),Proventos!$J:$J,"="&amp;$H$2),
AND($H$2=Data!$A$6,$K$2=Data!$A$2),SUMIFS(Proventos!$H:$H,Proventos!$D:$D,"&gt;="&amp;CONCATENATE($N$6,"/",B10),Proventos!$D:$D,"&lt;"&amp;CONCATENATE($C$6,"/",B11),Proventos!$J:$J,"="&amp;$H$2),
AND($H$2=Data!$A$7,$K$2=Data!$A$2),SUMIFS(Proventos!$H:$H,Proventos!$D:$D,"&gt;="&amp;CONCATENATE($N$6,"/",B10),Proventos!$D:$D,"&lt;"&amp;CONCATENATE($C$6,"/",B11),Proventos!$J:$J,"="&amp;$H$2),
AND($H$2=Data!$A$8,$K$2=Data!$A$2),SUMIFS(Proventos!$H:$H,Proventos!$D:$D,"&gt;="&amp;CONCATENATE($N$6,"/",B10),Proventos!$D:$D,"&lt;"&amp;CONCATENATE($C$6,"/",B11),Proventos!$J:$J,"="&amp;$H$2),
AND($H$2=Data!$A$9,$K$2=Data!$A$2),SUMIFS(Proventos!$H:$H,Proventos!$D:$D,"&gt;="&amp;CONCATENATE($N$6,"/",B10),Proventos!$D:$D,"&lt;"&amp;CONCATENATE($C$6,"/",B11),Proventos!$J:$J,"="&amp;$H$2),
AND($H$2=Data!$A$10,$K$2=Data!$A$2),SUMIFS(Proventos!$H:$H,Proventos!$D:$D,"&gt;="&amp;CONCATENATE($N$6,"/",B10),Proventos!$D:$D,"&lt;"&amp;CONCATENATE($C$6,"/",B11),Proventos!$J:$J,"="&amp;$H$2),
AND($H$2=Data!$A$11,$K$2=Data!$A$2),SUMIFS(Proventos!$H:$H,Proventos!$D:$D,"&gt;="&amp;CONCATENATE($N$6,"/",B10),Proventos!$D:$D,"&lt;"&amp;CONCATENATE($C$6,"/",B11),Proventos!$J:$J,"="&amp;$H$2),
$K$2=Data!$A$2,SUMIFS(Proventos!$H:$H,Proventos!$D:$D,"&gt;="&amp;CONCATENATE($N$6,"/",B10),Proventos!$D:$D,"&lt;"&amp;CONCATENATE($C$6,"/",B11)),
$K$2&lt;&gt;Data!$A$2,SUMIFS(Proventos!$H:$H,Proventos!$D:$D,"&gt;="&amp;CONCATENATE($N$6,"/",B10),Proventos!$D:$D,"&lt;"&amp;CONCATENATE($C$6,"/",B11),Proventos!$A:$A,"="&amp;$K$2))</f>
        <v>0</v>
      </c>
      <c r="O10" s="245"/>
      <c r="P10" s="245">
        <f t="shared" si="1"/>
        <v>0</v>
      </c>
      <c r="Q10" s="245">
        <f t="shared" si="2"/>
        <v>0</v>
      </c>
    </row>
    <row r="11" ht="32.25" customHeight="1">
      <c r="A11" s="246" t="str">
        <f>IFERROR(__xludf.DUMMYFUNCTION("""COMPUTED_VALUE"""),"BIDI4")</f>
        <v>BIDI4</v>
      </c>
      <c r="B11" s="244"/>
      <c r="C11" s="245">
        <f>IFS(
AND($H$2=Data!$A$3,$K$2=Data!$A$2),SUMIFS(Proventos!$H:$H,Proventos!$D:$D,"&gt;="&amp;CONCATENATE($C$6,"/",B11),Proventos!$D:$D,"&lt;"&amp;CONCATENATE($D$6,"/",B11),Proventos!$J:$J,"="&amp;$H$2),
AND($H$2=Data!$A$4,$K$2=Data!$A$2),SUMIFS(Proventos!$H:$H,Proventos!$D:$D,"&gt;="&amp;CONCATENATE($C$6,"/",B11),Proventos!$D:$D,"&lt;"&amp;CONCATENATE($D$6,"/",B11),Proventos!$J:$J,"="&amp;$H$2),
AND($H$2=Data!$A$5,$K$2=Data!$A$2),SUMIFS(Proventos!$H:$H,Proventos!$D:$D,"&gt;="&amp;CONCATENATE($C$6,"/",B11),Proventos!$D:$D,"&lt;"&amp;CONCATENATE($D$6,"/",B11),Proventos!$J:$J,"="&amp;$H$2),
AND($H$2=Data!$A$6,$K$2=Data!$A$2),SUMIFS(Proventos!$H:$H,Proventos!$D:$D,"&gt;="&amp;CONCATENATE($C$6,"/",B11),Proventos!$D:$D,"&lt;"&amp;CONCATENATE($D$6,"/",B11),Proventos!$J:$J,"="&amp;$H$2),
AND($H$2=Data!$A$7,$K$2=Data!$A$2),SUMIFS(Proventos!$H:$H,Proventos!$D:$D,"&gt;="&amp;CONCATENATE($C$6,"/",B11),Proventos!$D:$D,"&lt;"&amp;CONCATENATE($D$6,"/",B11),Proventos!$J:$J,"="&amp;$H$2),
AND($H$2=Data!$A$8,$K$2=Data!$A$2),SUMIFS(Proventos!$H:$H,Proventos!$D:$D,"&gt;="&amp;CONCATENATE($C$6,"/",B11),Proventos!$D:$D,"&lt;"&amp;CONCATENATE($D$6,"/",B11),Proventos!$J:$J,"="&amp;$H$2),
AND($H$2=Data!$A$9,$K$2=Data!$A$2),SUMIFS(Proventos!$H:$H,Proventos!$D:$D,"&gt;="&amp;CONCATENATE($C$6,"/",B11),Proventos!$D:$D,"&lt;"&amp;CONCATENATE($D$6,"/",B11),Proventos!$J:$J,"="&amp;$H$2),
AND($H$2=Data!$A$10,$K$2=Data!$A$2),SUMIFS(Proventos!$H:$H,Proventos!$D:$D,"&gt;="&amp;CONCATENATE($C$6,"/",B11),Proventos!$D:$D,"&lt;"&amp;CONCATENATE($D$6,"/",B11),Proventos!$J:$J,"="&amp;$H$2),
AND($H$2=Data!$A$11,$K$2=Data!$A$2),SUMIFS(Proventos!$H:$H,Proventos!$D:$D,"&gt;="&amp;CONCATENATE($C$6,"/",B11),Proventos!$D:$D,"&lt;"&amp;CONCATENATE($D$6,"/",B11),Proventos!$J:$J,"="&amp;$H$2),
$K$2=Data!$A$2,SUMIFS(Proventos!$H:$H,Proventos!$D:$D,"&gt;="&amp;CONCATENATE($C$6,"/",B11),Proventos!$D:$D,"&lt;"&amp;CONCATENATE($D$6,"/",B11)),
$K$2&lt;&gt;Data!$A$2,SUMIFS(Proventos!$H:$H,Proventos!$D:$D,"&gt;="&amp;CONCATENATE($C$6,"/",B11),Proventos!$D:$D,"&lt;"&amp;CONCATENATE($D$6,"/",B11),Proventos!$A:$A,"="&amp;$K$2))</f>
        <v>0</v>
      </c>
      <c r="D11" s="245">
        <f>IFS(
AND($H$2=Data!$A$3,$K$2=Data!$A$2),SUMIFS(Proventos!$H:$H,Proventos!$D:$D,"&gt;="&amp;CONCATENATE($D$6,"/",B11),Proventos!$D:$D,"&lt;"&amp;CONCATENATE($E$6,"/",B11),Proventos!$J:$J,"="&amp;$H$2),
AND($H$2=Data!$A$4,$K$2=Data!$A$2),SUMIFS(Proventos!$H:$H,Proventos!$D:$D,"&gt;="&amp;CONCATENATE($D$6,"/",B11),Proventos!$D:$D,"&lt;"&amp;CONCATENATE($E$6,"/",B11),Proventos!$J:$J,"="&amp;$H$2),
AND($H$2=Data!$A$5,$K$2=Data!$A$2),SUMIFS(Proventos!$H:$H,Proventos!$D:$D,"&gt;="&amp;CONCATENATE($D$6,"/",B11),Proventos!$D:$D,"&lt;"&amp;CONCATENATE($E$6,"/",B11),Proventos!$J:$J,"="&amp;$H$2),
AND($H$2=Data!$A$6,$K$2=Data!$A$2),SUMIFS(Proventos!$H:$H,Proventos!$D:$D,"&gt;="&amp;CONCATENATE($D$6,"/",B11),Proventos!$D:$D,"&lt;"&amp;CONCATENATE($E$6,"/",B11),Proventos!$J:$J,"="&amp;$H$2),
AND($H$2=Data!$A$7,$K$2=Data!$A$2),SUMIFS(Proventos!$H:$H,Proventos!$D:$D,"&gt;="&amp;CONCATENATE($D$6,"/",B11),Proventos!$D:$D,"&lt;"&amp;CONCATENATE($E$6,"/",B11),Proventos!$J:$J,"="&amp;$H$2),
AND($H$2=Data!$A$8,$K$2=Data!$A$2),SUMIFS(Proventos!$H:$H,Proventos!$D:$D,"&gt;="&amp;CONCATENATE($D$6,"/",B11),Proventos!$D:$D,"&lt;"&amp;CONCATENATE($E$6,"/",B11),Proventos!$J:$J,"="&amp;$H$2),
AND($H$2=Data!$A$9,$K$2=Data!$A$2),SUMIFS(Proventos!$H:$H,Proventos!$D:$D,"&gt;="&amp;CONCATENATE($D$6,"/",B11),Proventos!$D:$D,"&lt;"&amp;CONCATENATE($E$6,"/",B11),Proventos!$J:$J,"="&amp;$H$2),
AND($H$2=Data!$A$10,$K$2=Data!$A$2),SUMIFS(Proventos!$H:$H,Proventos!$D:$D,"&gt;="&amp;CONCATENATE($D$6,"/",B11),Proventos!$D:$D,"&lt;"&amp;CONCATENATE($E$6,"/",B11),Proventos!$J:$J,"="&amp;$H$2),
AND($H$2=Data!$A$11,$K$2=Data!$A$2),SUMIFS(Proventos!$H:$H,Proventos!$D:$D,"&gt;="&amp;CONCATENATE($D$6,"/",B11),Proventos!$D:$D,"&lt;"&amp;CONCATENATE($E$6,"/",B11),Proventos!$J:$J,"="&amp;$H$2),
$K$2=Data!$A$2,SUMIFS(Proventos!$H:$H,Proventos!$D:$D,"&gt;="&amp;CONCATENATE($D$6,"/",B11),Proventos!$D:$D,"&lt;"&amp;CONCATENATE($E$6,"/",B11)),
$K$2&lt;&gt;Data!$A$2,SUMIFS(Proventos!$H:$H,Proventos!$D:$D,"&gt;="&amp;CONCATENATE($D$6,"/",B11),Proventos!$D:$D,"&lt;"&amp;CONCATENATE($E$6,"/",B11),Proventos!$A:$A,"="&amp;$K$2))</f>
        <v>0</v>
      </c>
      <c r="E11" s="245">
        <f>IFS(
AND($H$2=Data!$A$3,$K$2=Data!$A$2),SUMIFS(Proventos!$H:$H,Proventos!$D:$D,"&gt;="&amp;CONCATENATE($E$6,"/",B11),Proventos!$D:$D,"&lt;"&amp;CONCATENATE($F$6,"/",B11),Proventos!$J:$J,"="&amp;$H$2),
AND($H$2=Data!$A$4,$K$2=Data!$A$2),SUMIFS(Proventos!$H:$H,Proventos!$D:$D,"&gt;="&amp;CONCATENATE($E$6,"/",B11),Proventos!$D:$D,"&lt;"&amp;CONCATENATE($F$6,"/",B11),Proventos!$J:$J,"="&amp;$H$2),
AND($H$2=Data!$A$5,$K$2=Data!$A$2),SUMIFS(Proventos!$H:$H,Proventos!$D:$D,"&gt;="&amp;CONCATENATE($E$6,"/",B11),Proventos!$D:$D,"&lt;"&amp;CONCATENATE($F$6,"/",B11),Proventos!$J:$J,"="&amp;$H$2),
AND($H$2=Data!$A$6,$K$2=Data!$A$2),SUMIFS(Proventos!$H:$H,Proventos!$D:$D,"&gt;="&amp;CONCATENATE($E$6,"/",B11),Proventos!$D:$D,"&lt;"&amp;CONCATENATE($F$6,"/",B11),Proventos!$J:$J,"="&amp;$H$2),
AND($H$2=Data!$A$7,$K$2=Data!$A$2),SUMIFS(Proventos!$H:$H,Proventos!$D:$D,"&gt;="&amp;CONCATENATE($E$6,"/",B11),Proventos!$D:$D,"&lt;"&amp;CONCATENATE($F$6,"/",B11),Proventos!$J:$J,"="&amp;$H$2),
AND($H$2=Data!$A$8,$K$2=Data!$A$2),SUMIFS(Proventos!$H:$H,Proventos!$D:$D,"&gt;="&amp;CONCATENATE($E$6,"/",B11),Proventos!$D:$D,"&lt;"&amp;CONCATENATE($F$6,"/",B11),Proventos!$J:$J,"="&amp;$H$2),
AND($H$2=Data!$A$9,$K$2=Data!$A$2),SUMIFS(Proventos!$H:$H,Proventos!$D:$D,"&gt;="&amp;CONCATENATE($E$6,"/",B11),Proventos!$D:$D,"&lt;"&amp;CONCATENATE($F$6,"/",B11),Proventos!$J:$J,"="&amp;$H$2),
AND($H$2=Data!$A$10,$K$2=Data!$A$2),SUMIFS(Proventos!$H:$H,Proventos!$D:$D,"&gt;="&amp;CONCATENATE($E$6,"/",B11),Proventos!$D:$D,"&lt;"&amp;CONCATENATE($F$6,"/",B11),Proventos!$J:$J,"="&amp;$H$2),
AND($H$2=Data!$A$11,$K$2=Data!$A$2),SUMIFS(Proventos!$H:$H,Proventos!$D:$D,"&gt;="&amp;CONCATENATE($E$6,"/",B11),Proventos!$D:$D,"&lt;"&amp;CONCATENATE($F$6,"/",B11),Proventos!$J:$J,"="&amp;$H$2),
$K$2=Data!$A$2,SUMIFS(Proventos!$H:$H,Proventos!$D:$D,"&gt;="&amp;CONCATENATE($E$6,"/",B11),Proventos!$D:$D,"&lt;"&amp;CONCATENATE($F$6,"/",B11)),
$K$2&lt;&gt;Data!$A$2,SUMIFS(Proventos!$H:$H,Proventos!$D:$D,"&gt;="&amp;CONCATENATE($E$6,"/",B11),Proventos!$D:$D,"&lt;"&amp;CONCATENATE($F$6,"/",B11),Proventos!$A:$A,"="&amp;$K$2))</f>
        <v>0</v>
      </c>
      <c r="F11" s="245">
        <f>IFS(
AND($H$2=Data!$A$3,$K$2=Data!$A$2),SUMIFS(Proventos!$H:$H,Proventos!$D:$D,"&gt;="&amp;CONCATENATE($F$6,"/",B11),Proventos!$D:$D,"&lt;"&amp;CONCATENATE($G$6,"/",B11),Proventos!$J:$J,"="&amp;$H$2),
AND($H$2=Data!$A$4,$K$2=Data!$A$2),SUMIFS(Proventos!$H:$H,Proventos!$D:$D,"&gt;="&amp;CONCATENATE($F$6,"/",B11),Proventos!$D:$D,"&lt;"&amp;CONCATENATE($G$6,"/",B11),Proventos!$J:$J,"="&amp;$H$2),
AND($H$2=Data!$A$5,$K$2=Data!$A$2),SUMIFS(Proventos!$H:$H,Proventos!$D:$D,"&gt;="&amp;CONCATENATE($F$6,"/",B11),Proventos!$D:$D,"&lt;"&amp;CONCATENATE($G$6,"/",B11),Proventos!$J:$J,"="&amp;$H$2),
AND($H$2=Data!$A$6,$K$2=Data!$A$2),SUMIFS(Proventos!$H:$H,Proventos!$D:$D,"&gt;="&amp;CONCATENATE($F$6,"/",B11),Proventos!$D:$D,"&lt;"&amp;CONCATENATE($G$6,"/",B11),Proventos!$J:$J,"="&amp;$H$2),
AND($H$2=Data!$A$7,$K$2=Data!$A$2),SUMIFS(Proventos!$H:$H,Proventos!$D:$D,"&gt;="&amp;CONCATENATE($F$6,"/",B11),Proventos!$D:$D,"&lt;"&amp;CONCATENATE($G$6,"/",B11),Proventos!$J:$J,"="&amp;$H$2),
AND($H$2=Data!$A$8,$K$2=Data!$A$2),SUMIFS(Proventos!$H:$H,Proventos!$D:$D,"&gt;="&amp;CONCATENATE($F$6,"/",B11),Proventos!$D:$D,"&lt;"&amp;CONCATENATE($G$6,"/",B11),Proventos!$J:$J,"="&amp;$H$2),
AND($H$2=Data!$A$9,$K$2=Data!$A$2),SUMIFS(Proventos!$H:$H,Proventos!$D:$D,"&gt;="&amp;CONCATENATE($F$6,"/",B11),Proventos!$D:$D,"&lt;"&amp;CONCATENATE($G$6,"/",B11),Proventos!$J:$J,"="&amp;$H$2),
AND($H$2=Data!$A$10,$K$2=Data!$A$2),SUMIFS(Proventos!$H:$H,Proventos!$D:$D,"&gt;="&amp;CONCATENATE($F$6,"/",B11),Proventos!$D:$D,"&lt;"&amp;CONCATENATE($G$6,"/",B11),Proventos!$J:$J,"="&amp;$H$2),
AND($H$2=Data!$A$11,$K$2=Data!$A$2),SUMIFS(Proventos!$H:$H,Proventos!$D:$D,"&gt;="&amp;CONCATENATE($F$6,"/",B11),Proventos!$D:$D,"&lt;"&amp;CONCATENATE($G$6,"/",B11),Proventos!$J:$J,"="&amp;$H$2),
$K$2=Data!$A$2,SUMIFS(Proventos!$H:$H,Proventos!$D:$D,"&gt;="&amp;CONCATENATE($F$6,"/",B11),Proventos!$D:$D,"&lt;"&amp;CONCATENATE($G$6,"/",B11)),
$K$2&lt;&gt;Data!$A$2,SUMIFS(Proventos!$H:$H,Proventos!$D:$D,"&gt;="&amp;CONCATENATE($F$6,"/",B11),Proventos!$D:$D,"&lt;"&amp;CONCATENATE($G$6,"/",B11),Proventos!$A:$A,"="&amp;$K$2))</f>
        <v>0</v>
      </c>
      <c r="G11" s="245">
        <f>IFS(
AND($H$2=Data!$A$3,$K$2=Data!$A$2),SUMIFS(Proventos!$H:$H,Proventos!$D:$D,"&gt;="&amp;CONCATENATE($G$6,"/",B11),Proventos!$D:$D,"&lt;"&amp;CONCATENATE($H$6,"/",B11),Proventos!$J:$J,"="&amp;$H$2),
AND($H$2=Data!$A$4,$K$2=Data!$A$2),SUMIFS(Proventos!$H:$H,Proventos!$D:$D,"&gt;="&amp;CONCATENATE($G$6,"/",B11),Proventos!$D:$D,"&lt;"&amp;CONCATENATE($H$6,"/",B11),Proventos!$J:$J,"="&amp;$H$2),
AND($H$2=Data!$A$5,$K$2=Data!$A$2),SUMIFS(Proventos!$H:$H,Proventos!$D:$D,"&gt;="&amp;CONCATENATE($G$6,"/",B11),Proventos!$D:$D,"&lt;"&amp;CONCATENATE($H$6,"/",B11),Proventos!$J:$J,"="&amp;$H$2),
AND($H$2=Data!$A$6,$K$2=Data!$A$2),SUMIFS(Proventos!$H:$H,Proventos!$D:$D,"&gt;="&amp;CONCATENATE($G$6,"/",B11),Proventos!$D:$D,"&lt;"&amp;CONCATENATE($H$6,"/",B11),Proventos!$J:$J,"="&amp;$H$2),
AND($H$2=Data!$A$7,$K$2=Data!$A$2),SUMIFS(Proventos!$H:$H,Proventos!$D:$D,"&gt;="&amp;CONCATENATE($G$6,"/",B11),Proventos!$D:$D,"&lt;"&amp;CONCATENATE($H$6,"/",B11),Proventos!$J:$J,"="&amp;$H$2),
AND($H$2=Data!$A$8,$K$2=Data!$A$2),SUMIFS(Proventos!$H:$H,Proventos!$D:$D,"&gt;="&amp;CONCATENATE($G$6,"/",B11),Proventos!$D:$D,"&lt;"&amp;CONCATENATE($H$6,"/",B11),Proventos!$J:$J,"="&amp;$H$2),
AND($H$2=Data!$A$9,$K$2=Data!$A$2),SUMIFS(Proventos!$H:$H,Proventos!$D:$D,"&gt;="&amp;CONCATENATE($G$6,"/",B11),Proventos!$D:$D,"&lt;"&amp;CONCATENATE($H$6,"/",B11),Proventos!$J:$J,"="&amp;$H$2),
AND($H$2=Data!$A$10,$K$2=Data!$A$2),SUMIFS(Proventos!$H:$H,Proventos!$D:$D,"&gt;="&amp;CONCATENATE($G$6,"/",B11),Proventos!$D:$D,"&lt;"&amp;CONCATENATE($H$6,"/",B11),Proventos!$J:$J,"="&amp;$H$2),
AND($H$2=Data!$A$11,$K$2=Data!$A$2),SUMIFS(Proventos!$H:$H,Proventos!$D:$D,"&gt;="&amp;CONCATENATE($G$6,"/",B11),Proventos!$D:$D,"&lt;"&amp;CONCATENATE($H$6,"/",B11),Proventos!$J:$J,"="&amp;$H$2),
$K$2=Data!$A$2,SUMIFS(Proventos!$H:$H,Proventos!$D:$D,"&gt;="&amp;CONCATENATE($G$6,"/",B11),Proventos!$D:$D,"&lt;"&amp;CONCATENATE($H$6,"/",B11)),
$K$2&lt;&gt;Data!$A$2,SUMIFS(Proventos!$H:$H,Proventos!$D:$D,"&gt;="&amp;CONCATENATE($G$6,"/",B11),Proventos!$D:$D,"&lt;"&amp;CONCATENATE($H$6,"/",B11),Proventos!$A:$A,"="&amp;$K$2))</f>
        <v>0</v>
      </c>
      <c r="H11" s="245">
        <f>IFS(
AND($H$2=Data!$A$3,$K$2=Data!$A$2),SUMIFS(Proventos!$H:$H,Proventos!$D:$D,"&gt;="&amp;CONCATENATE($H$6,"/",B11),Proventos!$D:$D,"&lt;"&amp;CONCATENATE($I$6,"/",B11),Proventos!$J:$J,"="&amp;$H$2),
AND($H$2=Data!$A$4,$K$2=Data!$A$2),SUMIFS(Proventos!$H:$H,Proventos!$D:$D,"&gt;="&amp;CONCATENATE($H$6,"/",B11),Proventos!$D:$D,"&lt;"&amp;CONCATENATE($I$6,"/",B11),Proventos!$J:$J,"="&amp;$H$2),
AND($H$2=Data!$A$5,$K$2=Data!$A$2),SUMIFS(Proventos!$H:$H,Proventos!$D:$D,"&gt;="&amp;CONCATENATE($H$6,"/",B11),Proventos!$D:$D,"&lt;"&amp;CONCATENATE($I$6,"/",B11),Proventos!$J:$J,"="&amp;$H$2),
AND($H$2=Data!$A$6,$K$2=Data!$A$2),SUMIFS(Proventos!$H:$H,Proventos!$D:$D,"&gt;="&amp;CONCATENATE($H$6,"/",B11),Proventos!$D:$D,"&lt;"&amp;CONCATENATE($I$6,"/",B11),Proventos!$J:$J,"="&amp;$H$2),
AND($H$2=Data!$A$7,$K$2=Data!$A$2),SUMIFS(Proventos!$H:$H,Proventos!$D:$D,"&gt;="&amp;CONCATENATE($H$6,"/",B11),Proventos!$D:$D,"&lt;"&amp;CONCATENATE($I$6,"/",B11),Proventos!$J:$J,"="&amp;$H$2),
AND($H$2=Data!$A$8,$K$2=Data!$A$2),SUMIFS(Proventos!$H:$H,Proventos!$D:$D,"&gt;="&amp;CONCATENATE($H$6,"/",B11),Proventos!$D:$D,"&lt;"&amp;CONCATENATE($I$6,"/",B11),Proventos!$J:$J,"="&amp;$H$2),
AND($H$2=Data!$A$9,$K$2=Data!$A$2),SUMIFS(Proventos!$H:$H,Proventos!$D:$D,"&gt;="&amp;CONCATENATE($H$6,"/",B11),Proventos!$D:$D,"&lt;"&amp;CONCATENATE($I$6,"/",B11),Proventos!$J:$J,"="&amp;$H$2),
AND($H$2=Data!$A$10,$K$2=Data!$A$2),SUMIFS(Proventos!$H:$H,Proventos!$D:$D,"&gt;="&amp;CONCATENATE($H$6,"/",B11),Proventos!$D:$D,"&lt;"&amp;CONCATENATE($I$6,"/",B11),Proventos!$J:$J,"="&amp;$H$2),
AND($H$2=Data!$A$11,$K$2=Data!$A$2),SUMIFS(Proventos!$H:$H,Proventos!$D:$D,"&gt;="&amp;CONCATENATE($H$6,"/",B11),Proventos!$D:$D,"&lt;"&amp;CONCATENATE($I$6,"/",B11),Proventos!$J:$J,"="&amp;$H$2),
$K$2=Data!$A$2,SUMIFS(Proventos!$H:$H,Proventos!$D:$D,"&gt;="&amp;CONCATENATE($H$6,"/",B11),Proventos!$D:$D,"&lt;"&amp;CONCATENATE($I$6,"/",B11)),
$K$2&lt;&gt;Data!$A$2,SUMIFS(Proventos!$H:$H,Proventos!$D:$D,"&gt;="&amp;CONCATENATE($H$6,"/",B11),Proventos!$D:$D,"&lt;"&amp;CONCATENATE($I$6,"/",B11),Proventos!$A:$A,"="&amp;$K$2))</f>
        <v>0</v>
      </c>
      <c r="I11" s="245">
        <f>IFS(
AND($H$2=Data!$A$3,$K$2=Data!$A$2),SUMIFS(Proventos!$H:$H,Proventos!$D:$D,"&gt;="&amp;CONCATENATE($I$6,"/",B11),Proventos!$D:$D,"&lt;"&amp;CONCATENATE($J$6,"/",B11),Proventos!$J:$J,"="&amp;$H$2),
AND($H$2=Data!$A$4,$K$2=Data!$A$2),SUMIFS(Proventos!$H:$H,Proventos!$D:$D,"&gt;="&amp;CONCATENATE($I$6,"/",B11),Proventos!$D:$D,"&lt;"&amp;CONCATENATE($J$6,"/",B11),Proventos!$J:$J,"="&amp;$H$2),
AND($H$2=Data!$A$5,$K$2=Data!$A$2),SUMIFS(Proventos!$H:$H,Proventos!$D:$D,"&gt;="&amp;CONCATENATE($I$6,"/",B11),Proventos!$D:$D,"&lt;"&amp;CONCATENATE($J$6,"/",B11),Proventos!$J:$J,"="&amp;$H$2),
AND($H$2=Data!$A$6,$K$2=Data!$A$2),SUMIFS(Proventos!$H:$H,Proventos!$D:$D,"&gt;="&amp;CONCATENATE($I$6,"/",B11),Proventos!$D:$D,"&lt;"&amp;CONCATENATE($J$6,"/",B11),Proventos!$J:$J,"="&amp;$H$2),
AND($H$2=Data!$A$7,$K$2=Data!$A$2),SUMIFS(Proventos!$H:$H,Proventos!$D:$D,"&gt;="&amp;CONCATENATE($I$6,"/",B11),Proventos!$D:$D,"&lt;"&amp;CONCATENATE($J$6,"/",B11),Proventos!$J:$J,"="&amp;$H$2),
AND($H$2=Data!$A$8,$K$2=Data!$A$2),SUMIFS(Proventos!$H:$H,Proventos!$D:$D,"&gt;="&amp;CONCATENATE($I$6,"/",B11),Proventos!$D:$D,"&lt;"&amp;CONCATENATE($J$6,"/",B11),Proventos!$J:$J,"="&amp;$H$2),
AND($H$2=Data!$A$9,$K$2=Data!$A$2),SUMIFS(Proventos!$H:$H,Proventos!$D:$D,"&gt;="&amp;CONCATENATE($I$6,"/",B11),Proventos!$D:$D,"&lt;"&amp;CONCATENATE($J$6,"/",B11),Proventos!$J:$J,"="&amp;$H$2),
AND($H$2=Data!$A$10,$K$2=Data!$A$2),SUMIFS(Proventos!$H:$H,Proventos!$D:$D,"&gt;="&amp;CONCATENATE($I$6,"/",B11),Proventos!$D:$D,"&lt;"&amp;CONCATENATE($J$6,"/",B11),Proventos!$J:$J,"="&amp;$H$2),
AND($H$2=Data!$A$11,$K$2=Data!$A$2),SUMIFS(Proventos!$H:$H,Proventos!$D:$D,"&gt;="&amp;CONCATENATE($I$6,"/",B11),Proventos!$D:$D,"&lt;"&amp;CONCATENATE($J$6,"/",B11),Proventos!$J:$J,"="&amp;$H$2),
$K$2=Data!$A$2,SUMIFS(Proventos!$H:$H,Proventos!$D:$D,"&gt;="&amp;CONCATENATE($I$6,"/",B11),Proventos!$D:$D,"&lt;"&amp;CONCATENATE($J$6,"/",B11)),
$K$2&lt;&gt;Data!$A$2,SUMIFS(Proventos!$H:$H,Proventos!$D:$D,"&gt;="&amp;CONCATENATE($I$6,"/",B11),Proventos!$D:$D,"&lt;"&amp;CONCATENATE($J$6,"/",B11),Proventos!$A:$A,"="&amp;$K$2))</f>
        <v>0</v>
      </c>
      <c r="J11" s="245">
        <f>IFS(
AND($H$2=Data!$A$3,$K$2=Data!$A$2),SUMIFS(Proventos!$H:$H,Proventos!$D:$D,"&gt;="&amp;CONCATENATE($J$6,"/",B11),Proventos!$D:$D,"&lt;"&amp;CONCATENATE($K$6,"/",B11),Proventos!$J:$J,"="&amp;$H$2),
AND($H$2=Data!$A$4,$K$2=Data!$A$2),SUMIFS(Proventos!$H:$H,Proventos!$D:$D,"&gt;="&amp;CONCATENATE($J$6,"/",B11),Proventos!$D:$D,"&lt;"&amp;CONCATENATE($K$6,"/",B11),Proventos!$J:$J,"="&amp;$H$2),
AND($H$2=Data!$A$5,$K$2=Data!$A$2),SUMIFS(Proventos!$H:$H,Proventos!$D:$D,"&gt;="&amp;CONCATENATE($J$6,"/",B11),Proventos!$D:$D,"&lt;"&amp;CONCATENATE($K$6,"/",B11),Proventos!$J:$J,"="&amp;$H$2),
AND($H$2=Data!$A$6,$K$2=Data!$A$2),SUMIFS(Proventos!$H:$H,Proventos!$D:$D,"&gt;="&amp;CONCATENATE($J$6,"/",B11),Proventos!$D:$D,"&lt;"&amp;CONCATENATE($K$6,"/",B11),Proventos!$J:$J,"="&amp;$H$2),
AND($H$2=Data!$A$7,$K$2=Data!$A$2),SUMIFS(Proventos!$H:$H,Proventos!$D:$D,"&gt;="&amp;CONCATENATE($J$6,"/",B11),Proventos!$D:$D,"&lt;"&amp;CONCATENATE($K$6,"/",B11),Proventos!$J:$J,"="&amp;$H$2),
AND($H$2=Data!$A$8,$K$2=Data!$A$2),SUMIFS(Proventos!$H:$H,Proventos!$D:$D,"&gt;="&amp;CONCATENATE($J$6,"/",B11),Proventos!$D:$D,"&lt;"&amp;CONCATENATE($K$6,"/",B11),Proventos!$J:$J,"="&amp;$H$2),
AND($H$2=Data!$A$9,$K$2=Data!$A$2),SUMIFS(Proventos!$H:$H,Proventos!$D:$D,"&gt;="&amp;CONCATENATE($J$6,"/",B11),Proventos!$D:$D,"&lt;"&amp;CONCATENATE($K$6,"/",B11),Proventos!$J:$J,"="&amp;$H$2),
AND($H$2=Data!$A$10,$K$2=Data!$A$2),SUMIFS(Proventos!$H:$H,Proventos!$D:$D,"&gt;="&amp;CONCATENATE($J$6,"/",B11),Proventos!$D:$D,"&lt;"&amp;CONCATENATE($K$6,"/",B11),Proventos!$J:$J,"="&amp;$H$2),
AND($H$2=Data!$A$11,$K$2=Data!$A$2),SUMIFS(Proventos!$H:$H,Proventos!$D:$D,"&gt;="&amp;CONCATENATE($J$6,"/",B11),Proventos!$D:$D,"&lt;"&amp;CONCATENATE($K$6,"/",B11),Proventos!$J:$J,"="&amp;$H$2),
$K$2=Data!$A$2,SUMIFS(Proventos!$H:$H,Proventos!$D:$D,"&gt;="&amp;CONCATENATE($J$6,"/",B11),Proventos!$D:$D,"&lt;"&amp;CONCATENATE($K$6,"/",B11)),
$K$2&lt;&gt;Data!$A$2,SUMIFS(Proventos!$H:$H,Proventos!$D:$D,"&gt;="&amp;CONCATENATE($J$6,"/",B11),Proventos!$D:$D,"&lt;"&amp;CONCATENATE($K$6,"/",B11),Proventos!$A:$A,"="&amp;$K$2))</f>
        <v>0</v>
      </c>
      <c r="K11" s="245">
        <f>IFS(
AND($H$2=Data!$A$3,$K$2=Data!$A$2),SUMIFS(Proventos!$H:$H,Proventos!$D:$D,"&gt;="&amp;CONCATENATE($K$6,"/",B11),Proventos!$D:$D,"&lt;"&amp;CONCATENATE($L$6,"/",B11),Proventos!$J:$J,"="&amp;$H$2),
AND($H$2=Data!$A$4,$K$2=Data!$A$2),SUMIFS(Proventos!$H:$H,Proventos!$D:$D,"&gt;="&amp;CONCATENATE($K$6,"/",B11),Proventos!$D:$D,"&lt;"&amp;CONCATENATE($L$6,"/",B11),Proventos!$J:$J,"="&amp;$H$2),
AND($H$2=Data!$A$5,$K$2=Data!$A$2),SUMIFS(Proventos!$H:$H,Proventos!$D:$D,"&gt;="&amp;CONCATENATE($K$6,"/",B11),Proventos!$D:$D,"&lt;"&amp;CONCATENATE($L$6,"/",B11),Proventos!$J:$J,"="&amp;$H$2),
AND($H$2=Data!$A$6,$K$2=Data!$A$2),SUMIFS(Proventos!$H:$H,Proventos!$D:$D,"&gt;="&amp;CONCATENATE($K$6,"/",B11),Proventos!$D:$D,"&lt;"&amp;CONCATENATE($L$6,"/",B11),Proventos!$J:$J,"="&amp;$H$2),
AND($H$2=Data!$A$7,$K$2=Data!$A$2),SUMIFS(Proventos!$H:$H,Proventos!$D:$D,"&gt;="&amp;CONCATENATE($K$6,"/",B11),Proventos!$D:$D,"&lt;"&amp;CONCATENATE($L$6,"/",B11),Proventos!$J:$J,"="&amp;$H$2),
AND($H$2=Data!$A$8,$K$2=Data!$A$2),SUMIFS(Proventos!$H:$H,Proventos!$D:$D,"&gt;="&amp;CONCATENATE($K$6,"/",B11),Proventos!$D:$D,"&lt;"&amp;CONCATENATE($L$6,"/",B11),Proventos!$J:$J,"="&amp;$H$2),
AND($H$2=Data!$A$9,$K$2=Data!$A$2),SUMIFS(Proventos!$H:$H,Proventos!$D:$D,"&gt;="&amp;CONCATENATE($K$6,"/",B11),Proventos!$D:$D,"&lt;"&amp;CONCATENATE($L$6,"/",B11),Proventos!$J:$J,"="&amp;$H$2),
AND($H$2=Data!$A$10,$K$2=Data!$A$2),SUMIFS(Proventos!$H:$H,Proventos!$D:$D,"&gt;="&amp;CONCATENATE($K$6,"/",B11),Proventos!$D:$D,"&lt;"&amp;CONCATENATE($L$6,"/",B11),Proventos!$J:$J,"="&amp;$H$2),
AND($H$2=Data!$A$11,$K$2=Data!$A$2),SUMIFS(Proventos!$H:$H,Proventos!$D:$D,"&gt;="&amp;CONCATENATE($K$6,"/",B11),Proventos!$D:$D,"&lt;"&amp;CONCATENATE($L$6,"/",B11),Proventos!$J:$J,"="&amp;$H$2),
$K$2=Data!$A$2,SUMIFS(Proventos!$H:$H,Proventos!$D:$D,"&gt;="&amp;CONCATENATE($K$6,"/",B11),Proventos!$D:$D,"&lt;"&amp;CONCATENATE($L$6,"/",B11)),
$K$2&lt;&gt;Data!$A$2,SUMIFS(Proventos!$H:$H,Proventos!$D:$D,"&gt;="&amp;CONCATENATE($K$6,"/",B11),Proventos!$D:$D,"&lt;"&amp;CONCATENATE($L$6,"/",B11),Proventos!$A:$A,"="&amp;$K$2))</f>
        <v>0</v>
      </c>
      <c r="L11" s="245">
        <f>IFS(
AND($H$2=Data!$A$3,$K$2=Data!$A$2),SUMIFS(Proventos!$H:$H,Proventos!$D:$D,"&gt;="&amp;CONCATENATE($L$6,"/",B11),Proventos!$D:$D,"&lt;"&amp;CONCATENATE($M$6,"/",B11),Proventos!$J:$J,"="&amp;$H$2),
AND($H$2=Data!$A$4,$K$2=Data!$A$2),SUMIFS(Proventos!$H:$H,Proventos!$D:$D,"&gt;="&amp;CONCATENATE($L$6,"/",B11),Proventos!$D:$D,"&lt;"&amp;CONCATENATE($M$6,"/",B11),Proventos!$J:$J,"="&amp;$H$2),
AND($H$2=Data!$A$5,$K$2=Data!$A$2),SUMIFS(Proventos!$H:$H,Proventos!$D:$D,"&gt;="&amp;CONCATENATE($L$6,"/",B11),Proventos!$D:$D,"&lt;"&amp;CONCATENATE($M$6,"/",B11),Proventos!$J:$J,"="&amp;$H$2),
AND($H$2=Data!$A$6,$K$2=Data!$A$2),SUMIFS(Proventos!$H:$H,Proventos!$D:$D,"&gt;="&amp;CONCATENATE($L$6,"/",B11),Proventos!$D:$D,"&lt;"&amp;CONCATENATE($M$6,"/",B11),Proventos!$J:$J,"="&amp;$H$2),
AND($H$2=Data!$A$7,$K$2=Data!$A$2),SUMIFS(Proventos!$H:$H,Proventos!$D:$D,"&gt;="&amp;CONCATENATE($L$6,"/",B11),Proventos!$D:$D,"&lt;"&amp;CONCATENATE($M$6,"/",B11),Proventos!$J:$J,"="&amp;$H$2),
AND($H$2=Data!$A$8,$K$2=Data!$A$2),SUMIFS(Proventos!$H:$H,Proventos!$D:$D,"&gt;="&amp;CONCATENATE($L$6,"/",B11),Proventos!$D:$D,"&lt;"&amp;CONCATENATE($M$6,"/",B11),Proventos!$J:$J,"="&amp;$H$2),
AND($H$2=Data!$A$9,$K$2=Data!$A$2),SUMIFS(Proventos!$H:$H,Proventos!$D:$D,"&gt;="&amp;CONCATENATE($L$6,"/",B11),Proventos!$D:$D,"&lt;"&amp;CONCATENATE($M$6,"/",B11),Proventos!$J:$J,"="&amp;$H$2),
AND($H$2=Data!$A$10,$K$2=Data!$A$2),SUMIFS(Proventos!$H:$H,Proventos!$D:$D,"&gt;="&amp;CONCATENATE($L$6,"/",B11),Proventos!$D:$D,"&lt;"&amp;CONCATENATE($M$6,"/",B11),Proventos!$J:$J,"="&amp;$H$2),
AND($H$2=Data!$A$11,$K$2=Data!$A$2),SUMIFS(Proventos!$H:$H,Proventos!$D:$D,"&gt;="&amp;CONCATENATE($L$6,"/",B11),Proventos!$D:$D,"&lt;"&amp;CONCATENATE($M$6,"/",B11),Proventos!$J:$J,"="&amp;$H$2),
$K$2=Data!$A$2,SUMIFS(Proventos!$H:$H,Proventos!$D:$D,"&gt;="&amp;CONCATENATE($L$6,"/",B11),Proventos!$D:$D,"&lt;"&amp;CONCATENATE($M$6,"/",B11)),
$K$2&lt;&gt;Data!$A$2,SUMIFS(Proventos!$H:$H,Proventos!$D:$D,"&gt;="&amp;CONCATENATE($L$6,"/",B11),Proventos!$D:$D,"&lt;"&amp;CONCATENATE($M$6,"/",B11),Proventos!$A:$A,"="&amp;$K$2))</f>
        <v>0</v>
      </c>
      <c r="M11" s="245">
        <f>IFS(
AND($H$2=Data!$A$3,$K$2=Data!$A$2),SUMIFS(Proventos!$H:$H,Proventos!$D:$D,"&gt;="&amp;CONCATENATE($M$6,"/",B11),Proventos!$D:$D,"&lt;"&amp;CONCATENATE($N$6,"/",B11),Proventos!$J:$J,"="&amp;$H$2),
AND($H$2=Data!$A$4,$K$2=Data!$A$2),SUMIFS(Proventos!$H:$H,Proventos!$D:$D,"&gt;="&amp;CONCATENATE($M$6,"/",B11),Proventos!$D:$D,"&lt;"&amp;CONCATENATE($N$6,"/",B11),Proventos!$J:$J,"="&amp;$H$2),
AND($H$2=Data!$A$5,$K$2=Data!$A$2),SUMIFS(Proventos!$H:$H,Proventos!$D:$D,"&gt;="&amp;CONCATENATE($M$6,"/",B11),Proventos!$D:$D,"&lt;"&amp;CONCATENATE($N$6,"/",B11),Proventos!$J:$J,"="&amp;$H$2),
AND($H$2=Data!$A$6,$K$2=Data!$A$2),SUMIFS(Proventos!$H:$H,Proventos!$D:$D,"&gt;="&amp;CONCATENATE($M$6,"/",B11),Proventos!$D:$D,"&lt;"&amp;CONCATENATE($N$6,"/",B11),Proventos!$J:$J,"="&amp;$H$2),
AND($H$2=Data!$A$7,$K$2=Data!$A$2),SUMIFS(Proventos!$H:$H,Proventos!$D:$D,"&gt;="&amp;CONCATENATE($M$6,"/",B11),Proventos!$D:$D,"&lt;"&amp;CONCATENATE($N$6,"/",B11),Proventos!$J:$J,"="&amp;$H$2),
AND($H$2=Data!$A$8,$K$2=Data!$A$2),SUMIFS(Proventos!$H:$H,Proventos!$D:$D,"&gt;="&amp;CONCATENATE($M$6,"/",B11),Proventos!$D:$D,"&lt;"&amp;CONCATENATE($N$6,"/",B11),Proventos!$J:$J,"="&amp;$H$2),
AND($H$2=Data!$A$9,$K$2=Data!$A$2),SUMIFS(Proventos!$H:$H,Proventos!$D:$D,"&gt;="&amp;CONCATENATE($M$6,"/",B11),Proventos!$D:$D,"&lt;"&amp;CONCATENATE($N$6,"/",B11),Proventos!$J:$J,"="&amp;$H$2),
AND($H$2=Data!$A$10,$K$2=Data!$A$2),SUMIFS(Proventos!$H:$H,Proventos!$D:$D,"&gt;="&amp;CONCATENATE($M$6,"/",B11),Proventos!$D:$D,"&lt;"&amp;CONCATENATE($N$6,"/",B11),Proventos!$J:$J,"="&amp;$H$2),
AND($H$2=Data!$A$11,$K$2=Data!$A$2),SUMIFS(Proventos!$H:$H,Proventos!$D:$D,"&gt;="&amp;CONCATENATE($M$6,"/",B11),Proventos!$D:$D,"&lt;"&amp;CONCATENATE($N$6,"/",B11),Proventos!$J:$J,"="&amp;$H$2),
$K$2=Data!$A$2,SUMIFS(Proventos!$H:$H,Proventos!$D:$D,"&gt;="&amp;CONCATENATE($M$6,"/",B11),Proventos!$D:$D,"&lt;"&amp;CONCATENATE($N$6,"/",B11)),
$K$2&lt;&gt;Data!$A$2,SUMIFS(Proventos!$H:$H,Proventos!$D:$D,"&gt;="&amp;CONCATENATE($M$6,"/",B11),Proventos!$D:$D,"&lt;"&amp;CONCATENATE($N$6,"/",B11),Proventos!$A:$A,"="&amp;$K$2))</f>
        <v>0</v>
      </c>
      <c r="N11" s="245">
        <f>IFS(
AND($H$2=Data!$A$3,$K$2=Data!$A$2),SUMIFS(Proventos!$H:$H,Proventos!$D:$D,"&gt;="&amp;CONCATENATE($N$6,"/",B11),Proventos!$D:$D,"&lt;"&amp;CONCATENATE($C$6,"/",B12),Proventos!$J:$J,"="&amp;$H$2),
AND($H$2=Data!$A$4,$K$2=Data!$A$2),SUMIFS(Proventos!$H:$H,Proventos!$D:$D,"&gt;="&amp;CONCATENATE($N$6,"/",B11),Proventos!$D:$D,"&lt;"&amp;CONCATENATE($C$6,"/",B12),Proventos!$J:$J,"="&amp;$H$2),
AND($H$2=Data!$A$5,$K$2=Data!$A$2),SUMIFS(Proventos!$H:$H,Proventos!$D:$D,"&gt;="&amp;CONCATENATE($N$6,"/",B11),Proventos!$D:$D,"&lt;"&amp;CONCATENATE($C$6,"/",B12),Proventos!$J:$J,"="&amp;$H$2),
AND($H$2=Data!$A$6,$K$2=Data!$A$2),SUMIFS(Proventos!$H:$H,Proventos!$D:$D,"&gt;="&amp;CONCATENATE($N$6,"/",B11),Proventos!$D:$D,"&lt;"&amp;CONCATENATE($C$6,"/",B12),Proventos!$J:$J,"="&amp;$H$2),
AND($H$2=Data!$A$7,$K$2=Data!$A$2),SUMIFS(Proventos!$H:$H,Proventos!$D:$D,"&gt;="&amp;CONCATENATE($N$6,"/",B11),Proventos!$D:$D,"&lt;"&amp;CONCATENATE($C$6,"/",B12),Proventos!$J:$J,"="&amp;$H$2),
AND($H$2=Data!$A$8,$K$2=Data!$A$2),SUMIFS(Proventos!$H:$H,Proventos!$D:$D,"&gt;="&amp;CONCATENATE($N$6,"/",B11),Proventos!$D:$D,"&lt;"&amp;CONCATENATE($C$6,"/",B12),Proventos!$J:$J,"="&amp;$H$2),
AND($H$2=Data!$A$9,$K$2=Data!$A$2),SUMIFS(Proventos!$H:$H,Proventos!$D:$D,"&gt;="&amp;CONCATENATE($N$6,"/",B11),Proventos!$D:$D,"&lt;"&amp;CONCATENATE($C$6,"/",B12),Proventos!$J:$J,"="&amp;$H$2),
AND($H$2=Data!$A$10,$K$2=Data!$A$2),SUMIFS(Proventos!$H:$H,Proventos!$D:$D,"&gt;="&amp;CONCATENATE($N$6,"/",B11),Proventos!$D:$D,"&lt;"&amp;CONCATENATE($C$6,"/",B12),Proventos!$J:$J,"="&amp;$H$2),
AND($H$2=Data!$A$11,$K$2=Data!$A$2),SUMIFS(Proventos!$H:$H,Proventos!$D:$D,"&gt;="&amp;CONCATENATE($N$6,"/",B11),Proventos!$D:$D,"&lt;"&amp;CONCATENATE($C$6,"/",B12),Proventos!$J:$J,"="&amp;$H$2),
$K$2=Data!$A$2,SUMIFS(Proventos!$H:$H,Proventos!$D:$D,"&gt;="&amp;CONCATENATE($N$6,"/",B11),Proventos!$D:$D,"&lt;"&amp;CONCATENATE($C$6,"/",B12)),
$K$2&lt;&gt;Data!$A$2,SUMIFS(Proventos!$H:$H,Proventos!$D:$D,"&gt;="&amp;CONCATENATE($N$6,"/",B11),Proventos!$D:$D,"&lt;"&amp;CONCATENATE($C$6,"/",B12),Proventos!$A:$A,"="&amp;$K$2))</f>
        <v>0</v>
      </c>
      <c r="O11" s="245"/>
      <c r="P11" s="245">
        <f t="shared" si="1"/>
        <v>0</v>
      </c>
      <c r="Q11" s="245">
        <f t="shared" si="2"/>
        <v>0</v>
      </c>
    </row>
    <row r="12" ht="32.25" customHeight="1">
      <c r="A12" s="230" t="str">
        <f>IFERROR(__xludf.DUMMYFUNCTION("""COMPUTED_VALUE"""),"BTCBRL")</f>
        <v>BTCBRL</v>
      </c>
      <c r="B12" s="244"/>
      <c r="C12" s="245">
        <f>IFS(
AND($H$2=Data!$A$3,$K$2=Data!$A$2),SUMIFS(Proventos!$H:$H,Proventos!$D:$D,"&gt;="&amp;CONCATENATE($C$6,"/",B12),Proventos!$D:$D,"&lt;"&amp;CONCATENATE($D$6,"/",B12),Proventos!$J:$J,"="&amp;$H$2),
AND($H$2=Data!$A$4,$K$2=Data!$A$2),SUMIFS(Proventos!$H:$H,Proventos!$D:$D,"&gt;="&amp;CONCATENATE($C$6,"/",B12),Proventos!$D:$D,"&lt;"&amp;CONCATENATE($D$6,"/",B12),Proventos!$J:$J,"="&amp;$H$2),
AND($H$2=Data!$A$5,$K$2=Data!$A$2),SUMIFS(Proventos!$H:$H,Proventos!$D:$D,"&gt;="&amp;CONCATENATE($C$6,"/",B12),Proventos!$D:$D,"&lt;"&amp;CONCATENATE($D$6,"/",B12),Proventos!$J:$J,"="&amp;$H$2),
AND($H$2=Data!$A$6,$K$2=Data!$A$2),SUMIFS(Proventos!$H:$H,Proventos!$D:$D,"&gt;="&amp;CONCATENATE($C$6,"/",B12),Proventos!$D:$D,"&lt;"&amp;CONCATENATE($D$6,"/",B12),Proventos!$J:$J,"="&amp;$H$2),
AND($H$2=Data!$A$7,$K$2=Data!$A$2),SUMIFS(Proventos!$H:$H,Proventos!$D:$D,"&gt;="&amp;CONCATENATE($C$6,"/",B12),Proventos!$D:$D,"&lt;"&amp;CONCATENATE($D$6,"/",B12),Proventos!$J:$J,"="&amp;$H$2),
AND($H$2=Data!$A$8,$K$2=Data!$A$2),SUMIFS(Proventos!$H:$H,Proventos!$D:$D,"&gt;="&amp;CONCATENATE($C$6,"/",B12),Proventos!$D:$D,"&lt;"&amp;CONCATENATE($D$6,"/",B12),Proventos!$J:$J,"="&amp;$H$2),
AND($H$2=Data!$A$9,$K$2=Data!$A$2),SUMIFS(Proventos!$H:$H,Proventos!$D:$D,"&gt;="&amp;CONCATENATE($C$6,"/",B12),Proventos!$D:$D,"&lt;"&amp;CONCATENATE($D$6,"/",B12),Proventos!$J:$J,"="&amp;$H$2),
AND($H$2=Data!$A$10,$K$2=Data!$A$2),SUMIFS(Proventos!$H:$H,Proventos!$D:$D,"&gt;="&amp;CONCATENATE($C$6,"/",B12),Proventos!$D:$D,"&lt;"&amp;CONCATENATE($D$6,"/",B12),Proventos!$J:$J,"="&amp;$H$2),
AND($H$2=Data!$A$11,$K$2=Data!$A$2),SUMIFS(Proventos!$H:$H,Proventos!$D:$D,"&gt;="&amp;CONCATENATE($C$6,"/",B12),Proventos!$D:$D,"&lt;"&amp;CONCATENATE($D$6,"/",B12),Proventos!$J:$J,"="&amp;$H$2),
$K$2=Data!$A$2,SUMIFS(Proventos!$H:$H,Proventos!$D:$D,"&gt;="&amp;CONCATENATE($C$6,"/",B12),Proventos!$D:$D,"&lt;"&amp;CONCATENATE($D$6,"/",B12)),
$K$2&lt;&gt;Data!$A$2,SUMIFS(Proventos!$H:$H,Proventos!$D:$D,"&gt;="&amp;CONCATENATE($C$6,"/",B12),Proventos!$D:$D,"&lt;"&amp;CONCATENATE($D$6,"/",B12),Proventos!$A:$A,"="&amp;$K$2))</f>
        <v>0</v>
      </c>
      <c r="D12" s="245">
        <f>IFS(
AND($H$2=Data!$A$3,$K$2=Data!$A$2),SUMIFS(Proventos!$H:$H,Proventos!$D:$D,"&gt;="&amp;CONCATENATE($D$6,"/",B12),Proventos!$D:$D,"&lt;"&amp;CONCATENATE($E$6,"/",B12),Proventos!$J:$J,"="&amp;$H$2),
AND($H$2=Data!$A$4,$K$2=Data!$A$2),SUMIFS(Proventos!$H:$H,Proventos!$D:$D,"&gt;="&amp;CONCATENATE($D$6,"/",B12),Proventos!$D:$D,"&lt;"&amp;CONCATENATE($E$6,"/",B12),Proventos!$J:$J,"="&amp;$H$2),
AND($H$2=Data!$A$5,$K$2=Data!$A$2),SUMIFS(Proventos!$H:$H,Proventos!$D:$D,"&gt;="&amp;CONCATENATE($D$6,"/",B12),Proventos!$D:$D,"&lt;"&amp;CONCATENATE($E$6,"/",B12),Proventos!$J:$J,"="&amp;$H$2),
AND($H$2=Data!$A$6,$K$2=Data!$A$2),SUMIFS(Proventos!$H:$H,Proventos!$D:$D,"&gt;="&amp;CONCATENATE($D$6,"/",B12),Proventos!$D:$D,"&lt;"&amp;CONCATENATE($E$6,"/",B12),Proventos!$J:$J,"="&amp;$H$2),
AND($H$2=Data!$A$7,$K$2=Data!$A$2),SUMIFS(Proventos!$H:$H,Proventos!$D:$D,"&gt;="&amp;CONCATENATE($D$6,"/",B12),Proventos!$D:$D,"&lt;"&amp;CONCATENATE($E$6,"/",B12),Proventos!$J:$J,"="&amp;$H$2),
AND($H$2=Data!$A$8,$K$2=Data!$A$2),SUMIFS(Proventos!$H:$H,Proventos!$D:$D,"&gt;="&amp;CONCATENATE($D$6,"/",B12),Proventos!$D:$D,"&lt;"&amp;CONCATENATE($E$6,"/",B12),Proventos!$J:$J,"="&amp;$H$2),
AND($H$2=Data!$A$9,$K$2=Data!$A$2),SUMIFS(Proventos!$H:$H,Proventos!$D:$D,"&gt;="&amp;CONCATENATE($D$6,"/",B12),Proventos!$D:$D,"&lt;"&amp;CONCATENATE($E$6,"/",B12),Proventos!$J:$J,"="&amp;$H$2),
AND($H$2=Data!$A$10,$K$2=Data!$A$2),SUMIFS(Proventos!$H:$H,Proventos!$D:$D,"&gt;="&amp;CONCATENATE($D$6,"/",B12),Proventos!$D:$D,"&lt;"&amp;CONCATENATE($E$6,"/",B12),Proventos!$J:$J,"="&amp;$H$2),
AND($H$2=Data!$A$11,$K$2=Data!$A$2),SUMIFS(Proventos!$H:$H,Proventos!$D:$D,"&gt;="&amp;CONCATENATE($D$6,"/",B12),Proventos!$D:$D,"&lt;"&amp;CONCATENATE($E$6,"/",B12),Proventos!$J:$J,"="&amp;$H$2),
$K$2=Data!$A$2,SUMIFS(Proventos!$H:$H,Proventos!$D:$D,"&gt;="&amp;CONCATENATE($D$6,"/",B12),Proventos!$D:$D,"&lt;"&amp;CONCATENATE($E$6,"/",B12)),
$K$2&lt;&gt;Data!$A$2,SUMIFS(Proventos!$H:$H,Proventos!$D:$D,"&gt;="&amp;CONCATENATE($D$6,"/",B12),Proventos!$D:$D,"&lt;"&amp;CONCATENATE($E$6,"/",B12),Proventos!$A:$A,"="&amp;$K$2))</f>
        <v>0</v>
      </c>
      <c r="E12" s="245">
        <f>IFS(
AND($H$2=Data!$A$3,$K$2=Data!$A$2),SUMIFS(Proventos!$H:$H,Proventos!$D:$D,"&gt;="&amp;CONCATENATE($E$6,"/",B12),Proventos!$D:$D,"&lt;"&amp;CONCATENATE($F$6,"/",B12),Proventos!$J:$J,"="&amp;$H$2),
AND($H$2=Data!$A$4,$K$2=Data!$A$2),SUMIFS(Proventos!$H:$H,Proventos!$D:$D,"&gt;="&amp;CONCATENATE($E$6,"/",B12),Proventos!$D:$D,"&lt;"&amp;CONCATENATE($F$6,"/",B12),Proventos!$J:$J,"="&amp;$H$2),
AND($H$2=Data!$A$5,$K$2=Data!$A$2),SUMIFS(Proventos!$H:$H,Proventos!$D:$D,"&gt;="&amp;CONCATENATE($E$6,"/",B12),Proventos!$D:$D,"&lt;"&amp;CONCATENATE($F$6,"/",B12),Proventos!$J:$J,"="&amp;$H$2),
AND($H$2=Data!$A$6,$K$2=Data!$A$2),SUMIFS(Proventos!$H:$H,Proventos!$D:$D,"&gt;="&amp;CONCATENATE($E$6,"/",B12),Proventos!$D:$D,"&lt;"&amp;CONCATENATE($F$6,"/",B12),Proventos!$J:$J,"="&amp;$H$2),
AND($H$2=Data!$A$7,$K$2=Data!$A$2),SUMIFS(Proventos!$H:$H,Proventos!$D:$D,"&gt;="&amp;CONCATENATE($E$6,"/",B12),Proventos!$D:$D,"&lt;"&amp;CONCATENATE($F$6,"/",B12),Proventos!$J:$J,"="&amp;$H$2),
AND($H$2=Data!$A$8,$K$2=Data!$A$2),SUMIFS(Proventos!$H:$H,Proventos!$D:$D,"&gt;="&amp;CONCATENATE($E$6,"/",B12),Proventos!$D:$D,"&lt;"&amp;CONCATENATE($F$6,"/",B12),Proventos!$J:$J,"="&amp;$H$2),
AND($H$2=Data!$A$9,$K$2=Data!$A$2),SUMIFS(Proventos!$H:$H,Proventos!$D:$D,"&gt;="&amp;CONCATENATE($E$6,"/",B12),Proventos!$D:$D,"&lt;"&amp;CONCATENATE($F$6,"/",B12),Proventos!$J:$J,"="&amp;$H$2),
AND($H$2=Data!$A$10,$K$2=Data!$A$2),SUMIFS(Proventos!$H:$H,Proventos!$D:$D,"&gt;="&amp;CONCATENATE($E$6,"/",B12),Proventos!$D:$D,"&lt;"&amp;CONCATENATE($F$6,"/",B12),Proventos!$J:$J,"="&amp;$H$2),
AND($H$2=Data!$A$11,$K$2=Data!$A$2),SUMIFS(Proventos!$H:$H,Proventos!$D:$D,"&gt;="&amp;CONCATENATE($E$6,"/",B12),Proventos!$D:$D,"&lt;"&amp;CONCATENATE($F$6,"/",B12),Proventos!$J:$J,"="&amp;$H$2),
$K$2=Data!$A$2,SUMIFS(Proventos!$H:$H,Proventos!$D:$D,"&gt;="&amp;CONCATENATE($E$6,"/",B12),Proventos!$D:$D,"&lt;"&amp;CONCATENATE($F$6,"/",B12)),
$K$2&lt;&gt;Data!$A$2,SUMIFS(Proventos!$H:$H,Proventos!$D:$D,"&gt;="&amp;CONCATENATE($E$6,"/",B12),Proventos!$D:$D,"&lt;"&amp;CONCATENATE($F$6,"/",B12),Proventos!$A:$A,"="&amp;$K$2))</f>
        <v>0</v>
      </c>
      <c r="F12" s="245">
        <f>IFS(
AND($H$2=Data!$A$3,$K$2=Data!$A$2),SUMIFS(Proventos!$H:$H,Proventos!$D:$D,"&gt;="&amp;CONCATENATE($F$6,"/",B12),Proventos!$D:$D,"&lt;"&amp;CONCATENATE($G$6,"/",B12),Proventos!$J:$J,"="&amp;$H$2),
AND($H$2=Data!$A$4,$K$2=Data!$A$2),SUMIFS(Proventos!$H:$H,Proventos!$D:$D,"&gt;="&amp;CONCATENATE($F$6,"/",B12),Proventos!$D:$D,"&lt;"&amp;CONCATENATE($G$6,"/",B12),Proventos!$J:$J,"="&amp;$H$2),
AND($H$2=Data!$A$5,$K$2=Data!$A$2),SUMIFS(Proventos!$H:$H,Proventos!$D:$D,"&gt;="&amp;CONCATENATE($F$6,"/",B12),Proventos!$D:$D,"&lt;"&amp;CONCATENATE($G$6,"/",B12),Proventos!$J:$J,"="&amp;$H$2),
AND($H$2=Data!$A$6,$K$2=Data!$A$2),SUMIFS(Proventos!$H:$H,Proventos!$D:$D,"&gt;="&amp;CONCATENATE($F$6,"/",B12),Proventos!$D:$D,"&lt;"&amp;CONCATENATE($G$6,"/",B12),Proventos!$J:$J,"="&amp;$H$2),
AND($H$2=Data!$A$7,$K$2=Data!$A$2),SUMIFS(Proventos!$H:$H,Proventos!$D:$D,"&gt;="&amp;CONCATENATE($F$6,"/",B12),Proventos!$D:$D,"&lt;"&amp;CONCATENATE($G$6,"/",B12),Proventos!$J:$J,"="&amp;$H$2),
AND($H$2=Data!$A$8,$K$2=Data!$A$2),SUMIFS(Proventos!$H:$H,Proventos!$D:$D,"&gt;="&amp;CONCATENATE($F$6,"/",B12),Proventos!$D:$D,"&lt;"&amp;CONCATENATE($G$6,"/",B12),Proventos!$J:$J,"="&amp;$H$2),
AND($H$2=Data!$A$9,$K$2=Data!$A$2),SUMIFS(Proventos!$H:$H,Proventos!$D:$D,"&gt;="&amp;CONCATENATE($F$6,"/",B12),Proventos!$D:$D,"&lt;"&amp;CONCATENATE($G$6,"/",B12),Proventos!$J:$J,"="&amp;$H$2),
AND($H$2=Data!$A$10,$K$2=Data!$A$2),SUMIFS(Proventos!$H:$H,Proventos!$D:$D,"&gt;="&amp;CONCATENATE($F$6,"/",B12),Proventos!$D:$D,"&lt;"&amp;CONCATENATE($G$6,"/",B12),Proventos!$J:$J,"="&amp;$H$2),
AND($H$2=Data!$A$11,$K$2=Data!$A$2),SUMIFS(Proventos!$H:$H,Proventos!$D:$D,"&gt;="&amp;CONCATENATE($F$6,"/",B12),Proventos!$D:$D,"&lt;"&amp;CONCATENATE($G$6,"/",B12),Proventos!$J:$J,"="&amp;$H$2),
$K$2=Data!$A$2,SUMIFS(Proventos!$H:$H,Proventos!$D:$D,"&gt;="&amp;CONCATENATE($F$6,"/",B12),Proventos!$D:$D,"&lt;"&amp;CONCATENATE($G$6,"/",B12)),
$K$2&lt;&gt;Data!$A$2,SUMIFS(Proventos!$H:$H,Proventos!$D:$D,"&gt;="&amp;CONCATENATE($F$6,"/",B12),Proventos!$D:$D,"&lt;"&amp;CONCATENATE($G$6,"/",B12),Proventos!$A:$A,"="&amp;$K$2))</f>
        <v>0</v>
      </c>
      <c r="G12" s="245">
        <f>IFS(
AND($H$2=Data!$A$3,$K$2=Data!$A$2),SUMIFS(Proventos!$H:$H,Proventos!$D:$D,"&gt;="&amp;CONCATENATE($G$6,"/",B12),Proventos!$D:$D,"&lt;"&amp;CONCATENATE($H$6,"/",B12),Proventos!$J:$J,"="&amp;$H$2),
AND($H$2=Data!$A$4,$K$2=Data!$A$2),SUMIFS(Proventos!$H:$H,Proventos!$D:$D,"&gt;="&amp;CONCATENATE($G$6,"/",B12),Proventos!$D:$D,"&lt;"&amp;CONCATENATE($H$6,"/",B12),Proventos!$J:$J,"="&amp;$H$2),
AND($H$2=Data!$A$5,$K$2=Data!$A$2),SUMIFS(Proventos!$H:$H,Proventos!$D:$D,"&gt;="&amp;CONCATENATE($G$6,"/",B12),Proventos!$D:$D,"&lt;"&amp;CONCATENATE($H$6,"/",B12),Proventos!$J:$J,"="&amp;$H$2),
AND($H$2=Data!$A$6,$K$2=Data!$A$2),SUMIFS(Proventos!$H:$H,Proventos!$D:$D,"&gt;="&amp;CONCATENATE($G$6,"/",B12),Proventos!$D:$D,"&lt;"&amp;CONCATENATE($H$6,"/",B12),Proventos!$J:$J,"="&amp;$H$2),
AND($H$2=Data!$A$7,$K$2=Data!$A$2),SUMIFS(Proventos!$H:$H,Proventos!$D:$D,"&gt;="&amp;CONCATENATE($G$6,"/",B12),Proventos!$D:$D,"&lt;"&amp;CONCATENATE($H$6,"/",B12),Proventos!$J:$J,"="&amp;$H$2),
AND($H$2=Data!$A$8,$K$2=Data!$A$2),SUMIFS(Proventos!$H:$H,Proventos!$D:$D,"&gt;="&amp;CONCATENATE($G$6,"/",B12),Proventos!$D:$D,"&lt;"&amp;CONCATENATE($H$6,"/",B12),Proventos!$J:$J,"="&amp;$H$2),
AND($H$2=Data!$A$9,$K$2=Data!$A$2),SUMIFS(Proventos!$H:$H,Proventos!$D:$D,"&gt;="&amp;CONCATENATE($G$6,"/",B12),Proventos!$D:$D,"&lt;"&amp;CONCATENATE($H$6,"/",B12),Proventos!$J:$J,"="&amp;$H$2),
AND($H$2=Data!$A$10,$K$2=Data!$A$2),SUMIFS(Proventos!$H:$H,Proventos!$D:$D,"&gt;="&amp;CONCATENATE($G$6,"/",B12),Proventos!$D:$D,"&lt;"&amp;CONCATENATE($H$6,"/",B12),Proventos!$J:$J,"="&amp;$H$2),
AND($H$2=Data!$A$11,$K$2=Data!$A$2),SUMIFS(Proventos!$H:$H,Proventos!$D:$D,"&gt;="&amp;CONCATENATE($G$6,"/",B12),Proventos!$D:$D,"&lt;"&amp;CONCATENATE($H$6,"/",B12),Proventos!$J:$J,"="&amp;$H$2),
$K$2=Data!$A$2,SUMIFS(Proventos!$H:$H,Proventos!$D:$D,"&gt;="&amp;CONCATENATE($G$6,"/",B12),Proventos!$D:$D,"&lt;"&amp;CONCATENATE($H$6,"/",B12)),
$K$2&lt;&gt;Data!$A$2,SUMIFS(Proventos!$H:$H,Proventos!$D:$D,"&gt;="&amp;CONCATENATE($G$6,"/",B12),Proventos!$D:$D,"&lt;"&amp;CONCATENATE($H$6,"/",B12),Proventos!$A:$A,"="&amp;$K$2))</f>
        <v>0</v>
      </c>
      <c r="H12" s="245">
        <f>IFS(
AND($H$2=Data!$A$3,$K$2=Data!$A$2),SUMIFS(Proventos!$H:$H,Proventos!$D:$D,"&gt;="&amp;CONCATENATE($H$6,"/",B12),Proventos!$D:$D,"&lt;"&amp;CONCATENATE($I$6,"/",B12),Proventos!$J:$J,"="&amp;$H$2),
AND($H$2=Data!$A$4,$K$2=Data!$A$2),SUMIFS(Proventos!$H:$H,Proventos!$D:$D,"&gt;="&amp;CONCATENATE($H$6,"/",B12),Proventos!$D:$D,"&lt;"&amp;CONCATENATE($I$6,"/",B12),Proventos!$J:$J,"="&amp;$H$2),
AND($H$2=Data!$A$5,$K$2=Data!$A$2),SUMIFS(Proventos!$H:$H,Proventos!$D:$D,"&gt;="&amp;CONCATENATE($H$6,"/",B12),Proventos!$D:$D,"&lt;"&amp;CONCATENATE($I$6,"/",B12),Proventos!$J:$J,"="&amp;$H$2),
AND($H$2=Data!$A$6,$K$2=Data!$A$2),SUMIFS(Proventos!$H:$H,Proventos!$D:$D,"&gt;="&amp;CONCATENATE($H$6,"/",B12),Proventos!$D:$D,"&lt;"&amp;CONCATENATE($I$6,"/",B12),Proventos!$J:$J,"="&amp;$H$2),
AND($H$2=Data!$A$7,$K$2=Data!$A$2),SUMIFS(Proventos!$H:$H,Proventos!$D:$D,"&gt;="&amp;CONCATENATE($H$6,"/",B12),Proventos!$D:$D,"&lt;"&amp;CONCATENATE($I$6,"/",B12),Proventos!$J:$J,"="&amp;$H$2),
AND($H$2=Data!$A$8,$K$2=Data!$A$2),SUMIFS(Proventos!$H:$H,Proventos!$D:$D,"&gt;="&amp;CONCATENATE($H$6,"/",B12),Proventos!$D:$D,"&lt;"&amp;CONCATENATE($I$6,"/",B12),Proventos!$J:$J,"="&amp;$H$2),
AND($H$2=Data!$A$9,$K$2=Data!$A$2),SUMIFS(Proventos!$H:$H,Proventos!$D:$D,"&gt;="&amp;CONCATENATE($H$6,"/",B12),Proventos!$D:$D,"&lt;"&amp;CONCATENATE($I$6,"/",B12),Proventos!$J:$J,"="&amp;$H$2),
AND($H$2=Data!$A$10,$K$2=Data!$A$2),SUMIFS(Proventos!$H:$H,Proventos!$D:$D,"&gt;="&amp;CONCATENATE($H$6,"/",B12),Proventos!$D:$D,"&lt;"&amp;CONCATENATE($I$6,"/",B12),Proventos!$J:$J,"="&amp;$H$2),
AND($H$2=Data!$A$11,$K$2=Data!$A$2),SUMIFS(Proventos!$H:$H,Proventos!$D:$D,"&gt;="&amp;CONCATENATE($H$6,"/",B12),Proventos!$D:$D,"&lt;"&amp;CONCATENATE($I$6,"/",B12),Proventos!$J:$J,"="&amp;$H$2),
$K$2=Data!$A$2,SUMIFS(Proventos!$H:$H,Proventos!$D:$D,"&gt;="&amp;CONCATENATE($H$6,"/",B12),Proventos!$D:$D,"&lt;"&amp;CONCATENATE($I$6,"/",B12)),
$K$2&lt;&gt;Data!$A$2,SUMIFS(Proventos!$H:$H,Proventos!$D:$D,"&gt;="&amp;CONCATENATE($H$6,"/",B12),Proventos!$D:$D,"&lt;"&amp;CONCATENATE($I$6,"/",B12),Proventos!$A:$A,"="&amp;$K$2))</f>
        <v>0</v>
      </c>
      <c r="I12" s="245">
        <f>IFS(
AND($H$2=Data!$A$3,$K$2=Data!$A$2),SUMIFS(Proventos!$H:$H,Proventos!$D:$D,"&gt;="&amp;CONCATENATE($I$6,"/",B12),Proventos!$D:$D,"&lt;"&amp;CONCATENATE($J$6,"/",B12),Proventos!$J:$J,"="&amp;$H$2),
AND($H$2=Data!$A$4,$K$2=Data!$A$2),SUMIFS(Proventos!$H:$H,Proventos!$D:$D,"&gt;="&amp;CONCATENATE($I$6,"/",B12),Proventos!$D:$D,"&lt;"&amp;CONCATENATE($J$6,"/",B12),Proventos!$J:$J,"="&amp;$H$2),
AND($H$2=Data!$A$5,$K$2=Data!$A$2),SUMIFS(Proventos!$H:$H,Proventos!$D:$D,"&gt;="&amp;CONCATENATE($I$6,"/",B12),Proventos!$D:$D,"&lt;"&amp;CONCATENATE($J$6,"/",B12),Proventos!$J:$J,"="&amp;$H$2),
AND($H$2=Data!$A$6,$K$2=Data!$A$2),SUMIFS(Proventos!$H:$H,Proventos!$D:$D,"&gt;="&amp;CONCATENATE($I$6,"/",B12),Proventos!$D:$D,"&lt;"&amp;CONCATENATE($J$6,"/",B12),Proventos!$J:$J,"="&amp;$H$2),
AND($H$2=Data!$A$7,$K$2=Data!$A$2),SUMIFS(Proventos!$H:$H,Proventos!$D:$D,"&gt;="&amp;CONCATENATE($I$6,"/",B12),Proventos!$D:$D,"&lt;"&amp;CONCATENATE($J$6,"/",B12),Proventos!$J:$J,"="&amp;$H$2),
AND($H$2=Data!$A$8,$K$2=Data!$A$2),SUMIFS(Proventos!$H:$H,Proventos!$D:$D,"&gt;="&amp;CONCATENATE($I$6,"/",B12),Proventos!$D:$D,"&lt;"&amp;CONCATENATE($J$6,"/",B12),Proventos!$J:$J,"="&amp;$H$2),
AND($H$2=Data!$A$9,$K$2=Data!$A$2),SUMIFS(Proventos!$H:$H,Proventos!$D:$D,"&gt;="&amp;CONCATENATE($I$6,"/",B12),Proventos!$D:$D,"&lt;"&amp;CONCATENATE($J$6,"/",B12),Proventos!$J:$J,"="&amp;$H$2),
AND($H$2=Data!$A$10,$K$2=Data!$A$2),SUMIFS(Proventos!$H:$H,Proventos!$D:$D,"&gt;="&amp;CONCATENATE($I$6,"/",B12),Proventos!$D:$D,"&lt;"&amp;CONCATENATE($J$6,"/",B12),Proventos!$J:$J,"="&amp;$H$2),
AND($H$2=Data!$A$11,$K$2=Data!$A$2),SUMIFS(Proventos!$H:$H,Proventos!$D:$D,"&gt;="&amp;CONCATENATE($I$6,"/",B12),Proventos!$D:$D,"&lt;"&amp;CONCATENATE($J$6,"/",B12),Proventos!$J:$J,"="&amp;$H$2),
$K$2=Data!$A$2,SUMIFS(Proventos!$H:$H,Proventos!$D:$D,"&gt;="&amp;CONCATENATE($I$6,"/",B12),Proventos!$D:$D,"&lt;"&amp;CONCATENATE($J$6,"/",B12)),
$K$2&lt;&gt;Data!$A$2,SUMIFS(Proventos!$H:$H,Proventos!$D:$D,"&gt;="&amp;CONCATENATE($I$6,"/",B12),Proventos!$D:$D,"&lt;"&amp;CONCATENATE($J$6,"/",B12),Proventos!$A:$A,"="&amp;$K$2))</f>
        <v>0</v>
      </c>
      <c r="J12" s="245">
        <f>IFS(
AND($H$2=Data!$A$3,$K$2=Data!$A$2),SUMIFS(Proventos!$H:$H,Proventos!$D:$D,"&gt;="&amp;CONCATENATE($J$6,"/",B12),Proventos!$D:$D,"&lt;"&amp;CONCATENATE($K$6,"/",B12),Proventos!$J:$J,"="&amp;$H$2),
AND($H$2=Data!$A$4,$K$2=Data!$A$2),SUMIFS(Proventos!$H:$H,Proventos!$D:$D,"&gt;="&amp;CONCATENATE($J$6,"/",B12),Proventos!$D:$D,"&lt;"&amp;CONCATENATE($K$6,"/",B12),Proventos!$J:$J,"="&amp;$H$2),
AND($H$2=Data!$A$5,$K$2=Data!$A$2),SUMIFS(Proventos!$H:$H,Proventos!$D:$D,"&gt;="&amp;CONCATENATE($J$6,"/",B12),Proventos!$D:$D,"&lt;"&amp;CONCATENATE($K$6,"/",B12),Proventos!$J:$J,"="&amp;$H$2),
AND($H$2=Data!$A$6,$K$2=Data!$A$2),SUMIFS(Proventos!$H:$H,Proventos!$D:$D,"&gt;="&amp;CONCATENATE($J$6,"/",B12),Proventos!$D:$D,"&lt;"&amp;CONCATENATE($K$6,"/",B12),Proventos!$J:$J,"="&amp;$H$2),
AND($H$2=Data!$A$7,$K$2=Data!$A$2),SUMIFS(Proventos!$H:$H,Proventos!$D:$D,"&gt;="&amp;CONCATENATE($J$6,"/",B12),Proventos!$D:$D,"&lt;"&amp;CONCATENATE($K$6,"/",B12),Proventos!$J:$J,"="&amp;$H$2),
AND($H$2=Data!$A$8,$K$2=Data!$A$2),SUMIFS(Proventos!$H:$H,Proventos!$D:$D,"&gt;="&amp;CONCATENATE($J$6,"/",B12),Proventos!$D:$D,"&lt;"&amp;CONCATENATE($K$6,"/",B12),Proventos!$J:$J,"="&amp;$H$2),
AND($H$2=Data!$A$9,$K$2=Data!$A$2),SUMIFS(Proventos!$H:$H,Proventos!$D:$D,"&gt;="&amp;CONCATENATE($J$6,"/",B12),Proventos!$D:$D,"&lt;"&amp;CONCATENATE($K$6,"/",B12),Proventos!$J:$J,"="&amp;$H$2),
AND($H$2=Data!$A$10,$K$2=Data!$A$2),SUMIFS(Proventos!$H:$H,Proventos!$D:$D,"&gt;="&amp;CONCATENATE($J$6,"/",B12),Proventos!$D:$D,"&lt;"&amp;CONCATENATE($K$6,"/",B12),Proventos!$J:$J,"="&amp;$H$2),
AND($H$2=Data!$A$11,$K$2=Data!$A$2),SUMIFS(Proventos!$H:$H,Proventos!$D:$D,"&gt;="&amp;CONCATENATE($J$6,"/",B12),Proventos!$D:$D,"&lt;"&amp;CONCATENATE($K$6,"/",B12),Proventos!$J:$J,"="&amp;$H$2),
$K$2=Data!$A$2,SUMIFS(Proventos!$H:$H,Proventos!$D:$D,"&gt;="&amp;CONCATENATE($J$6,"/",B12),Proventos!$D:$D,"&lt;"&amp;CONCATENATE($K$6,"/",B12)),
$K$2&lt;&gt;Data!$A$2,SUMIFS(Proventos!$H:$H,Proventos!$D:$D,"&gt;="&amp;CONCATENATE($J$6,"/",B12),Proventos!$D:$D,"&lt;"&amp;CONCATENATE($K$6,"/",B12),Proventos!$A:$A,"="&amp;$K$2))</f>
        <v>0</v>
      </c>
      <c r="K12" s="245">
        <f>IFS(
AND($H$2=Data!$A$3,$K$2=Data!$A$2),SUMIFS(Proventos!$H:$H,Proventos!$D:$D,"&gt;="&amp;CONCATENATE($K$6,"/",B12),Proventos!$D:$D,"&lt;"&amp;CONCATENATE($L$6,"/",B12),Proventos!$J:$J,"="&amp;$H$2),
AND($H$2=Data!$A$4,$K$2=Data!$A$2),SUMIFS(Proventos!$H:$H,Proventos!$D:$D,"&gt;="&amp;CONCATENATE($K$6,"/",B12),Proventos!$D:$D,"&lt;"&amp;CONCATENATE($L$6,"/",B12),Proventos!$J:$J,"="&amp;$H$2),
AND($H$2=Data!$A$5,$K$2=Data!$A$2),SUMIFS(Proventos!$H:$H,Proventos!$D:$D,"&gt;="&amp;CONCATENATE($K$6,"/",B12),Proventos!$D:$D,"&lt;"&amp;CONCATENATE($L$6,"/",B12),Proventos!$J:$J,"="&amp;$H$2),
AND($H$2=Data!$A$6,$K$2=Data!$A$2),SUMIFS(Proventos!$H:$H,Proventos!$D:$D,"&gt;="&amp;CONCATENATE($K$6,"/",B12),Proventos!$D:$D,"&lt;"&amp;CONCATENATE($L$6,"/",B12),Proventos!$J:$J,"="&amp;$H$2),
AND($H$2=Data!$A$7,$K$2=Data!$A$2),SUMIFS(Proventos!$H:$H,Proventos!$D:$D,"&gt;="&amp;CONCATENATE($K$6,"/",B12),Proventos!$D:$D,"&lt;"&amp;CONCATENATE($L$6,"/",B12),Proventos!$J:$J,"="&amp;$H$2),
AND($H$2=Data!$A$8,$K$2=Data!$A$2),SUMIFS(Proventos!$H:$H,Proventos!$D:$D,"&gt;="&amp;CONCATENATE($K$6,"/",B12),Proventos!$D:$D,"&lt;"&amp;CONCATENATE($L$6,"/",B12),Proventos!$J:$J,"="&amp;$H$2),
AND($H$2=Data!$A$9,$K$2=Data!$A$2),SUMIFS(Proventos!$H:$H,Proventos!$D:$D,"&gt;="&amp;CONCATENATE($K$6,"/",B12),Proventos!$D:$D,"&lt;"&amp;CONCATENATE($L$6,"/",B12),Proventos!$J:$J,"="&amp;$H$2),
AND($H$2=Data!$A$10,$K$2=Data!$A$2),SUMIFS(Proventos!$H:$H,Proventos!$D:$D,"&gt;="&amp;CONCATENATE($K$6,"/",B12),Proventos!$D:$D,"&lt;"&amp;CONCATENATE($L$6,"/",B12),Proventos!$J:$J,"="&amp;$H$2),
AND($H$2=Data!$A$11,$K$2=Data!$A$2),SUMIFS(Proventos!$H:$H,Proventos!$D:$D,"&gt;="&amp;CONCATENATE($K$6,"/",B12),Proventos!$D:$D,"&lt;"&amp;CONCATENATE($L$6,"/",B12),Proventos!$J:$J,"="&amp;$H$2),
$K$2=Data!$A$2,SUMIFS(Proventos!$H:$H,Proventos!$D:$D,"&gt;="&amp;CONCATENATE($K$6,"/",B12),Proventos!$D:$D,"&lt;"&amp;CONCATENATE($L$6,"/",B12)),
$K$2&lt;&gt;Data!$A$2,SUMIFS(Proventos!$H:$H,Proventos!$D:$D,"&gt;="&amp;CONCATENATE($K$6,"/",B12),Proventos!$D:$D,"&lt;"&amp;CONCATENATE($L$6,"/",B12),Proventos!$A:$A,"="&amp;$K$2))</f>
        <v>0</v>
      </c>
      <c r="L12" s="245">
        <f>IFS(
AND($H$2=Data!$A$3,$K$2=Data!$A$2),SUMIFS(Proventos!$H:$H,Proventos!$D:$D,"&gt;="&amp;CONCATENATE($L$6,"/",B12),Proventos!$D:$D,"&lt;"&amp;CONCATENATE($M$6,"/",B12),Proventos!$J:$J,"="&amp;$H$2),
AND($H$2=Data!$A$4,$K$2=Data!$A$2),SUMIFS(Proventos!$H:$H,Proventos!$D:$D,"&gt;="&amp;CONCATENATE($L$6,"/",B12),Proventos!$D:$D,"&lt;"&amp;CONCATENATE($M$6,"/",B12),Proventos!$J:$J,"="&amp;$H$2),
AND($H$2=Data!$A$5,$K$2=Data!$A$2),SUMIFS(Proventos!$H:$H,Proventos!$D:$D,"&gt;="&amp;CONCATENATE($L$6,"/",B12),Proventos!$D:$D,"&lt;"&amp;CONCATENATE($M$6,"/",B12),Proventos!$J:$J,"="&amp;$H$2),
AND($H$2=Data!$A$6,$K$2=Data!$A$2),SUMIFS(Proventos!$H:$H,Proventos!$D:$D,"&gt;="&amp;CONCATENATE($L$6,"/",B12),Proventos!$D:$D,"&lt;"&amp;CONCATENATE($M$6,"/",B12),Proventos!$J:$J,"="&amp;$H$2),
AND($H$2=Data!$A$7,$K$2=Data!$A$2),SUMIFS(Proventos!$H:$H,Proventos!$D:$D,"&gt;="&amp;CONCATENATE($L$6,"/",B12),Proventos!$D:$D,"&lt;"&amp;CONCATENATE($M$6,"/",B12),Proventos!$J:$J,"="&amp;$H$2),
AND($H$2=Data!$A$8,$K$2=Data!$A$2),SUMIFS(Proventos!$H:$H,Proventos!$D:$D,"&gt;="&amp;CONCATENATE($L$6,"/",B12),Proventos!$D:$D,"&lt;"&amp;CONCATENATE($M$6,"/",B12),Proventos!$J:$J,"="&amp;$H$2),
AND($H$2=Data!$A$9,$K$2=Data!$A$2),SUMIFS(Proventos!$H:$H,Proventos!$D:$D,"&gt;="&amp;CONCATENATE($L$6,"/",B12),Proventos!$D:$D,"&lt;"&amp;CONCATENATE($M$6,"/",B12),Proventos!$J:$J,"="&amp;$H$2),
AND($H$2=Data!$A$10,$K$2=Data!$A$2),SUMIFS(Proventos!$H:$H,Proventos!$D:$D,"&gt;="&amp;CONCATENATE($L$6,"/",B12),Proventos!$D:$D,"&lt;"&amp;CONCATENATE($M$6,"/",B12),Proventos!$J:$J,"="&amp;$H$2),
AND($H$2=Data!$A$11,$K$2=Data!$A$2),SUMIFS(Proventos!$H:$H,Proventos!$D:$D,"&gt;="&amp;CONCATENATE($L$6,"/",B12),Proventos!$D:$D,"&lt;"&amp;CONCATENATE($M$6,"/",B12),Proventos!$J:$J,"="&amp;$H$2),
$K$2=Data!$A$2,SUMIFS(Proventos!$H:$H,Proventos!$D:$D,"&gt;="&amp;CONCATENATE($L$6,"/",B12),Proventos!$D:$D,"&lt;"&amp;CONCATENATE($M$6,"/",B12)),
$K$2&lt;&gt;Data!$A$2,SUMIFS(Proventos!$H:$H,Proventos!$D:$D,"&gt;="&amp;CONCATENATE($L$6,"/",B12),Proventos!$D:$D,"&lt;"&amp;CONCATENATE($M$6,"/",B12),Proventos!$A:$A,"="&amp;$K$2))</f>
        <v>0</v>
      </c>
      <c r="M12" s="245">
        <f>IFS(
AND($H$2=Data!$A$3,$K$2=Data!$A$2),SUMIFS(Proventos!$H:$H,Proventos!$D:$D,"&gt;="&amp;CONCATENATE($M$6,"/",B12),Proventos!$D:$D,"&lt;"&amp;CONCATENATE($N$6,"/",B12),Proventos!$J:$J,"="&amp;$H$2),
AND($H$2=Data!$A$4,$K$2=Data!$A$2),SUMIFS(Proventos!$H:$H,Proventos!$D:$D,"&gt;="&amp;CONCATENATE($M$6,"/",B12),Proventos!$D:$D,"&lt;"&amp;CONCATENATE($N$6,"/",B12),Proventos!$J:$J,"="&amp;$H$2),
AND($H$2=Data!$A$5,$K$2=Data!$A$2),SUMIFS(Proventos!$H:$H,Proventos!$D:$D,"&gt;="&amp;CONCATENATE($M$6,"/",B12),Proventos!$D:$D,"&lt;"&amp;CONCATENATE($N$6,"/",B12),Proventos!$J:$J,"="&amp;$H$2),
AND($H$2=Data!$A$6,$K$2=Data!$A$2),SUMIFS(Proventos!$H:$H,Proventos!$D:$D,"&gt;="&amp;CONCATENATE($M$6,"/",B12),Proventos!$D:$D,"&lt;"&amp;CONCATENATE($N$6,"/",B12),Proventos!$J:$J,"="&amp;$H$2),
AND($H$2=Data!$A$7,$K$2=Data!$A$2),SUMIFS(Proventos!$H:$H,Proventos!$D:$D,"&gt;="&amp;CONCATENATE($M$6,"/",B12),Proventos!$D:$D,"&lt;"&amp;CONCATENATE($N$6,"/",B12),Proventos!$J:$J,"="&amp;$H$2),
AND($H$2=Data!$A$8,$K$2=Data!$A$2),SUMIFS(Proventos!$H:$H,Proventos!$D:$D,"&gt;="&amp;CONCATENATE($M$6,"/",B12),Proventos!$D:$D,"&lt;"&amp;CONCATENATE($N$6,"/",B12),Proventos!$J:$J,"="&amp;$H$2),
AND($H$2=Data!$A$9,$K$2=Data!$A$2),SUMIFS(Proventos!$H:$H,Proventos!$D:$D,"&gt;="&amp;CONCATENATE($M$6,"/",B12),Proventos!$D:$D,"&lt;"&amp;CONCATENATE($N$6,"/",B12),Proventos!$J:$J,"="&amp;$H$2),
AND($H$2=Data!$A$10,$K$2=Data!$A$2),SUMIFS(Proventos!$H:$H,Proventos!$D:$D,"&gt;="&amp;CONCATENATE($M$6,"/",B12),Proventos!$D:$D,"&lt;"&amp;CONCATENATE($N$6,"/",B12),Proventos!$J:$J,"="&amp;$H$2),
AND($H$2=Data!$A$11,$K$2=Data!$A$2),SUMIFS(Proventos!$H:$H,Proventos!$D:$D,"&gt;="&amp;CONCATENATE($M$6,"/",B12),Proventos!$D:$D,"&lt;"&amp;CONCATENATE($N$6,"/",B12),Proventos!$J:$J,"="&amp;$H$2),
$K$2=Data!$A$2,SUMIFS(Proventos!$H:$H,Proventos!$D:$D,"&gt;="&amp;CONCATENATE($M$6,"/",B12),Proventos!$D:$D,"&lt;"&amp;CONCATENATE($N$6,"/",B12)),
$K$2&lt;&gt;Data!$A$2,SUMIFS(Proventos!$H:$H,Proventos!$D:$D,"&gt;="&amp;CONCATENATE($M$6,"/",B12),Proventos!$D:$D,"&lt;"&amp;CONCATENATE($N$6,"/",B12),Proventos!$A:$A,"="&amp;$K$2))</f>
        <v>0</v>
      </c>
      <c r="N12" s="245">
        <f>IFS(
AND($H$2=Data!$A$3,$K$2=Data!$A$2),SUMIFS(Proventos!$H:$H,Proventos!$D:$D,"&gt;="&amp;CONCATENATE($N$6,"/",B12),Proventos!$D:$D,"&lt;"&amp;CONCATENATE($C$6,"/",B13),Proventos!$J:$J,"="&amp;$H$2),
AND($H$2=Data!$A$4,$K$2=Data!$A$2),SUMIFS(Proventos!$H:$H,Proventos!$D:$D,"&gt;="&amp;CONCATENATE($N$6,"/",B12),Proventos!$D:$D,"&lt;"&amp;CONCATENATE($C$6,"/",B13),Proventos!$J:$J,"="&amp;$H$2),
AND($H$2=Data!$A$5,$K$2=Data!$A$2),SUMIFS(Proventos!$H:$H,Proventos!$D:$D,"&gt;="&amp;CONCATENATE($N$6,"/",B12),Proventos!$D:$D,"&lt;"&amp;CONCATENATE($C$6,"/",B13),Proventos!$J:$J,"="&amp;$H$2),
AND($H$2=Data!$A$6,$K$2=Data!$A$2),SUMIFS(Proventos!$H:$H,Proventos!$D:$D,"&gt;="&amp;CONCATENATE($N$6,"/",B12),Proventos!$D:$D,"&lt;"&amp;CONCATENATE($C$6,"/",B13),Proventos!$J:$J,"="&amp;$H$2),
AND($H$2=Data!$A$7,$K$2=Data!$A$2),SUMIFS(Proventos!$H:$H,Proventos!$D:$D,"&gt;="&amp;CONCATENATE($N$6,"/",B12),Proventos!$D:$D,"&lt;"&amp;CONCATENATE($C$6,"/",B13),Proventos!$J:$J,"="&amp;$H$2),
AND($H$2=Data!$A$8,$K$2=Data!$A$2),SUMIFS(Proventos!$H:$H,Proventos!$D:$D,"&gt;="&amp;CONCATENATE($N$6,"/",B12),Proventos!$D:$D,"&lt;"&amp;CONCATENATE($C$6,"/",B13),Proventos!$J:$J,"="&amp;$H$2),
AND($H$2=Data!$A$9,$K$2=Data!$A$2),SUMIFS(Proventos!$H:$H,Proventos!$D:$D,"&gt;="&amp;CONCATENATE($N$6,"/",B12),Proventos!$D:$D,"&lt;"&amp;CONCATENATE($C$6,"/",B13),Proventos!$J:$J,"="&amp;$H$2),
AND($H$2=Data!$A$10,$K$2=Data!$A$2),SUMIFS(Proventos!$H:$H,Proventos!$D:$D,"&gt;="&amp;CONCATENATE($N$6,"/",B12),Proventos!$D:$D,"&lt;"&amp;CONCATENATE($C$6,"/",B13),Proventos!$J:$J,"="&amp;$H$2),
AND($H$2=Data!$A$11,$K$2=Data!$A$2),SUMIFS(Proventos!$H:$H,Proventos!$D:$D,"&gt;="&amp;CONCATENATE($N$6,"/",B12),Proventos!$D:$D,"&lt;"&amp;CONCATENATE($C$6,"/",B13),Proventos!$J:$J,"="&amp;$H$2),
$K$2=Data!$A$2,SUMIFS(Proventos!$H:$H,Proventos!$D:$D,"&gt;="&amp;CONCATENATE($N$6,"/",B12),Proventos!$D:$D,"&lt;"&amp;CONCATENATE($C$6,"/",B13)),
$K$2&lt;&gt;Data!$A$2,SUMIFS(Proventos!$H:$H,Proventos!$D:$D,"&gt;="&amp;CONCATENATE($N$6,"/",B12),Proventos!$D:$D,"&lt;"&amp;CONCATENATE($C$6,"/",B13),Proventos!$A:$A,"="&amp;$K$2))</f>
        <v>0</v>
      </c>
      <c r="O12" s="245"/>
      <c r="P12" s="245">
        <f t="shared" si="1"/>
        <v>0</v>
      </c>
      <c r="Q12" s="245">
        <f t="shared" si="2"/>
        <v>0</v>
      </c>
    </row>
    <row r="13" ht="32.25" customHeight="1">
      <c r="A13" s="246" t="str">
        <f>IFERROR(__xludf.DUMMYFUNCTION("""COMPUTED_VALUE"""),"EGIE3")</f>
        <v>EGIE3</v>
      </c>
      <c r="B13" s="244"/>
      <c r="C13" s="245">
        <f>IFS(
AND($H$2=Data!$A$3,$K$2=Data!$A$2),SUMIFS(Proventos!$H:$H,Proventos!$D:$D,"&gt;="&amp;CONCATENATE($C$6,"/",B13),Proventos!$D:$D,"&lt;"&amp;CONCATENATE($D$6,"/",B13),Proventos!$J:$J,"="&amp;$H$2),
AND($H$2=Data!$A$4,$K$2=Data!$A$2),SUMIFS(Proventos!$H:$H,Proventos!$D:$D,"&gt;="&amp;CONCATENATE($C$6,"/",B13),Proventos!$D:$D,"&lt;"&amp;CONCATENATE($D$6,"/",B13),Proventos!$J:$J,"="&amp;$H$2),
AND($H$2=Data!$A$5,$K$2=Data!$A$2),SUMIFS(Proventos!$H:$H,Proventos!$D:$D,"&gt;="&amp;CONCATENATE($C$6,"/",B13),Proventos!$D:$D,"&lt;"&amp;CONCATENATE($D$6,"/",B13),Proventos!$J:$J,"="&amp;$H$2),
AND($H$2=Data!$A$6,$K$2=Data!$A$2),SUMIFS(Proventos!$H:$H,Proventos!$D:$D,"&gt;="&amp;CONCATENATE($C$6,"/",B13),Proventos!$D:$D,"&lt;"&amp;CONCATENATE($D$6,"/",B13),Proventos!$J:$J,"="&amp;$H$2),
AND($H$2=Data!$A$7,$K$2=Data!$A$2),SUMIFS(Proventos!$H:$H,Proventos!$D:$D,"&gt;="&amp;CONCATENATE($C$6,"/",B13),Proventos!$D:$D,"&lt;"&amp;CONCATENATE($D$6,"/",B13),Proventos!$J:$J,"="&amp;$H$2),
AND($H$2=Data!$A$8,$K$2=Data!$A$2),SUMIFS(Proventos!$H:$H,Proventos!$D:$D,"&gt;="&amp;CONCATENATE($C$6,"/",B13),Proventos!$D:$D,"&lt;"&amp;CONCATENATE($D$6,"/",B13),Proventos!$J:$J,"="&amp;$H$2),
AND($H$2=Data!$A$9,$K$2=Data!$A$2),SUMIFS(Proventos!$H:$H,Proventos!$D:$D,"&gt;="&amp;CONCATENATE($C$6,"/",B13),Proventos!$D:$D,"&lt;"&amp;CONCATENATE($D$6,"/",B13),Proventos!$J:$J,"="&amp;$H$2),
AND($H$2=Data!$A$10,$K$2=Data!$A$2),SUMIFS(Proventos!$H:$H,Proventos!$D:$D,"&gt;="&amp;CONCATENATE($C$6,"/",B13),Proventos!$D:$D,"&lt;"&amp;CONCATENATE($D$6,"/",B13),Proventos!$J:$J,"="&amp;$H$2),
AND($H$2=Data!$A$11,$K$2=Data!$A$2),SUMIFS(Proventos!$H:$H,Proventos!$D:$D,"&gt;="&amp;CONCATENATE($C$6,"/",B13),Proventos!$D:$D,"&lt;"&amp;CONCATENATE($D$6,"/",B13),Proventos!$J:$J,"="&amp;$H$2),
$K$2=Data!$A$2,SUMIFS(Proventos!$H:$H,Proventos!$D:$D,"&gt;="&amp;CONCATENATE($C$6,"/",B13),Proventos!$D:$D,"&lt;"&amp;CONCATENATE($D$6,"/",B13)),
$K$2&lt;&gt;Data!$A$2,SUMIFS(Proventos!$H:$H,Proventos!$D:$D,"&gt;="&amp;CONCATENATE($C$6,"/",B13),Proventos!$D:$D,"&lt;"&amp;CONCATENATE($D$6,"/",B13),Proventos!$A:$A,"="&amp;$K$2))</f>
        <v>0</v>
      </c>
      <c r="D13" s="245">
        <f>IFS(
AND($H$2=Data!$A$3,$K$2=Data!$A$2),SUMIFS(Proventos!$H:$H,Proventos!$D:$D,"&gt;="&amp;CONCATENATE($D$6,"/",B13),Proventos!$D:$D,"&lt;"&amp;CONCATENATE($E$6,"/",B13),Proventos!$J:$J,"="&amp;$H$2),
AND($H$2=Data!$A$4,$K$2=Data!$A$2),SUMIFS(Proventos!$H:$H,Proventos!$D:$D,"&gt;="&amp;CONCATENATE($D$6,"/",B13),Proventos!$D:$D,"&lt;"&amp;CONCATENATE($E$6,"/",B13),Proventos!$J:$J,"="&amp;$H$2),
AND($H$2=Data!$A$5,$K$2=Data!$A$2),SUMIFS(Proventos!$H:$H,Proventos!$D:$D,"&gt;="&amp;CONCATENATE($D$6,"/",B13),Proventos!$D:$D,"&lt;"&amp;CONCATENATE($E$6,"/",B13),Proventos!$J:$J,"="&amp;$H$2),
AND($H$2=Data!$A$6,$K$2=Data!$A$2),SUMIFS(Proventos!$H:$H,Proventos!$D:$D,"&gt;="&amp;CONCATENATE($D$6,"/",B13),Proventos!$D:$D,"&lt;"&amp;CONCATENATE($E$6,"/",B13),Proventos!$J:$J,"="&amp;$H$2),
AND($H$2=Data!$A$7,$K$2=Data!$A$2),SUMIFS(Proventos!$H:$H,Proventos!$D:$D,"&gt;="&amp;CONCATENATE($D$6,"/",B13),Proventos!$D:$D,"&lt;"&amp;CONCATENATE($E$6,"/",B13),Proventos!$J:$J,"="&amp;$H$2),
AND($H$2=Data!$A$8,$K$2=Data!$A$2),SUMIFS(Proventos!$H:$H,Proventos!$D:$D,"&gt;="&amp;CONCATENATE($D$6,"/",B13),Proventos!$D:$D,"&lt;"&amp;CONCATENATE($E$6,"/",B13),Proventos!$J:$J,"="&amp;$H$2),
AND($H$2=Data!$A$9,$K$2=Data!$A$2),SUMIFS(Proventos!$H:$H,Proventos!$D:$D,"&gt;="&amp;CONCATENATE($D$6,"/",B13),Proventos!$D:$D,"&lt;"&amp;CONCATENATE($E$6,"/",B13),Proventos!$J:$J,"="&amp;$H$2),
AND($H$2=Data!$A$10,$K$2=Data!$A$2),SUMIFS(Proventos!$H:$H,Proventos!$D:$D,"&gt;="&amp;CONCATENATE($D$6,"/",B13),Proventos!$D:$D,"&lt;"&amp;CONCATENATE($E$6,"/",B13),Proventos!$J:$J,"="&amp;$H$2),
AND($H$2=Data!$A$11,$K$2=Data!$A$2),SUMIFS(Proventos!$H:$H,Proventos!$D:$D,"&gt;="&amp;CONCATENATE($D$6,"/",B13),Proventos!$D:$D,"&lt;"&amp;CONCATENATE($E$6,"/",B13),Proventos!$J:$J,"="&amp;$H$2),
$K$2=Data!$A$2,SUMIFS(Proventos!$H:$H,Proventos!$D:$D,"&gt;="&amp;CONCATENATE($D$6,"/",B13),Proventos!$D:$D,"&lt;"&amp;CONCATENATE($E$6,"/",B13)),
$K$2&lt;&gt;Data!$A$2,SUMIFS(Proventos!$H:$H,Proventos!$D:$D,"&gt;="&amp;CONCATENATE($D$6,"/",B13),Proventos!$D:$D,"&lt;"&amp;CONCATENATE($E$6,"/",B13),Proventos!$A:$A,"="&amp;$K$2))</f>
        <v>0</v>
      </c>
      <c r="E13" s="245">
        <f>IFS(
AND($H$2=Data!$A$3,$K$2=Data!$A$2),SUMIFS(Proventos!$H:$H,Proventos!$D:$D,"&gt;="&amp;CONCATENATE($E$6,"/",B13),Proventos!$D:$D,"&lt;"&amp;CONCATENATE($F$6,"/",B13),Proventos!$J:$J,"="&amp;$H$2),
AND($H$2=Data!$A$4,$K$2=Data!$A$2),SUMIFS(Proventos!$H:$H,Proventos!$D:$D,"&gt;="&amp;CONCATENATE($E$6,"/",B13),Proventos!$D:$D,"&lt;"&amp;CONCATENATE($F$6,"/",B13),Proventos!$J:$J,"="&amp;$H$2),
AND($H$2=Data!$A$5,$K$2=Data!$A$2),SUMIFS(Proventos!$H:$H,Proventos!$D:$D,"&gt;="&amp;CONCATENATE($E$6,"/",B13),Proventos!$D:$D,"&lt;"&amp;CONCATENATE($F$6,"/",B13),Proventos!$J:$J,"="&amp;$H$2),
AND($H$2=Data!$A$6,$K$2=Data!$A$2),SUMIFS(Proventos!$H:$H,Proventos!$D:$D,"&gt;="&amp;CONCATENATE($E$6,"/",B13),Proventos!$D:$D,"&lt;"&amp;CONCATENATE($F$6,"/",B13),Proventos!$J:$J,"="&amp;$H$2),
AND($H$2=Data!$A$7,$K$2=Data!$A$2),SUMIFS(Proventos!$H:$H,Proventos!$D:$D,"&gt;="&amp;CONCATENATE($E$6,"/",B13),Proventos!$D:$D,"&lt;"&amp;CONCATENATE($F$6,"/",B13),Proventos!$J:$J,"="&amp;$H$2),
AND($H$2=Data!$A$8,$K$2=Data!$A$2),SUMIFS(Proventos!$H:$H,Proventos!$D:$D,"&gt;="&amp;CONCATENATE($E$6,"/",B13),Proventos!$D:$D,"&lt;"&amp;CONCATENATE($F$6,"/",B13),Proventos!$J:$J,"="&amp;$H$2),
AND($H$2=Data!$A$9,$K$2=Data!$A$2),SUMIFS(Proventos!$H:$H,Proventos!$D:$D,"&gt;="&amp;CONCATENATE($E$6,"/",B13),Proventos!$D:$D,"&lt;"&amp;CONCATENATE($F$6,"/",B13),Proventos!$J:$J,"="&amp;$H$2),
AND($H$2=Data!$A$10,$K$2=Data!$A$2),SUMIFS(Proventos!$H:$H,Proventos!$D:$D,"&gt;="&amp;CONCATENATE($E$6,"/",B13),Proventos!$D:$D,"&lt;"&amp;CONCATENATE($F$6,"/",B13),Proventos!$J:$J,"="&amp;$H$2),
AND($H$2=Data!$A$11,$K$2=Data!$A$2),SUMIFS(Proventos!$H:$H,Proventos!$D:$D,"&gt;="&amp;CONCATENATE($E$6,"/",B13),Proventos!$D:$D,"&lt;"&amp;CONCATENATE($F$6,"/",B13),Proventos!$J:$J,"="&amp;$H$2),
$K$2=Data!$A$2,SUMIFS(Proventos!$H:$H,Proventos!$D:$D,"&gt;="&amp;CONCATENATE($E$6,"/",B13),Proventos!$D:$D,"&lt;"&amp;CONCATENATE($F$6,"/",B13)),
$K$2&lt;&gt;Data!$A$2,SUMIFS(Proventos!$H:$H,Proventos!$D:$D,"&gt;="&amp;CONCATENATE($E$6,"/",B13),Proventos!$D:$D,"&lt;"&amp;CONCATENATE($F$6,"/",B13),Proventos!$A:$A,"="&amp;$K$2))</f>
        <v>0</v>
      </c>
      <c r="F13" s="245">
        <f>IFS(
AND($H$2=Data!$A$3,$K$2=Data!$A$2),SUMIFS(Proventos!$H:$H,Proventos!$D:$D,"&gt;="&amp;CONCATENATE($F$6,"/",B13),Proventos!$D:$D,"&lt;"&amp;CONCATENATE($G$6,"/",B13),Proventos!$J:$J,"="&amp;$H$2),
AND($H$2=Data!$A$4,$K$2=Data!$A$2),SUMIFS(Proventos!$H:$H,Proventos!$D:$D,"&gt;="&amp;CONCATENATE($F$6,"/",B13),Proventos!$D:$D,"&lt;"&amp;CONCATENATE($G$6,"/",B13),Proventos!$J:$J,"="&amp;$H$2),
AND($H$2=Data!$A$5,$K$2=Data!$A$2),SUMIFS(Proventos!$H:$H,Proventos!$D:$D,"&gt;="&amp;CONCATENATE($F$6,"/",B13),Proventos!$D:$D,"&lt;"&amp;CONCATENATE($G$6,"/",B13),Proventos!$J:$J,"="&amp;$H$2),
AND($H$2=Data!$A$6,$K$2=Data!$A$2),SUMIFS(Proventos!$H:$H,Proventos!$D:$D,"&gt;="&amp;CONCATENATE($F$6,"/",B13),Proventos!$D:$D,"&lt;"&amp;CONCATENATE($G$6,"/",B13),Proventos!$J:$J,"="&amp;$H$2),
AND($H$2=Data!$A$7,$K$2=Data!$A$2),SUMIFS(Proventos!$H:$H,Proventos!$D:$D,"&gt;="&amp;CONCATENATE($F$6,"/",B13),Proventos!$D:$D,"&lt;"&amp;CONCATENATE($G$6,"/",B13),Proventos!$J:$J,"="&amp;$H$2),
AND($H$2=Data!$A$8,$K$2=Data!$A$2),SUMIFS(Proventos!$H:$H,Proventos!$D:$D,"&gt;="&amp;CONCATENATE($F$6,"/",B13),Proventos!$D:$D,"&lt;"&amp;CONCATENATE($G$6,"/",B13),Proventos!$J:$J,"="&amp;$H$2),
AND($H$2=Data!$A$9,$K$2=Data!$A$2),SUMIFS(Proventos!$H:$H,Proventos!$D:$D,"&gt;="&amp;CONCATENATE($F$6,"/",B13),Proventos!$D:$D,"&lt;"&amp;CONCATENATE($G$6,"/",B13),Proventos!$J:$J,"="&amp;$H$2),
AND($H$2=Data!$A$10,$K$2=Data!$A$2),SUMIFS(Proventos!$H:$H,Proventos!$D:$D,"&gt;="&amp;CONCATENATE($F$6,"/",B13),Proventos!$D:$D,"&lt;"&amp;CONCATENATE($G$6,"/",B13),Proventos!$J:$J,"="&amp;$H$2),
AND($H$2=Data!$A$11,$K$2=Data!$A$2),SUMIFS(Proventos!$H:$H,Proventos!$D:$D,"&gt;="&amp;CONCATENATE($F$6,"/",B13),Proventos!$D:$D,"&lt;"&amp;CONCATENATE($G$6,"/",B13),Proventos!$J:$J,"="&amp;$H$2),
$K$2=Data!$A$2,SUMIFS(Proventos!$H:$H,Proventos!$D:$D,"&gt;="&amp;CONCATENATE($F$6,"/",B13),Proventos!$D:$D,"&lt;"&amp;CONCATENATE($G$6,"/",B13)),
$K$2&lt;&gt;Data!$A$2,SUMIFS(Proventos!$H:$H,Proventos!$D:$D,"&gt;="&amp;CONCATENATE($F$6,"/",B13),Proventos!$D:$D,"&lt;"&amp;CONCATENATE($G$6,"/",B13),Proventos!$A:$A,"="&amp;$K$2))</f>
        <v>0</v>
      </c>
      <c r="G13" s="245">
        <f>IFS(
AND($H$2=Data!$A$3,$K$2=Data!$A$2),SUMIFS(Proventos!$H:$H,Proventos!$D:$D,"&gt;="&amp;CONCATENATE($G$6,"/",B13),Proventos!$D:$D,"&lt;"&amp;CONCATENATE($H$6,"/",B13),Proventos!$J:$J,"="&amp;$H$2),
AND($H$2=Data!$A$4,$K$2=Data!$A$2),SUMIFS(Proventos!$H:$H,Proventos!$D:$D,"&gt;="&amp;CONCATENATE($G$6,"/",B13),Proventos!$D:$D,"&lt;"&amp;CONCATENATE($H$6,"/",B13),Proventos!$J:$J,"="&amp;$H$2),
AND($H$2=Data!$A$5,$K$2=Data!$A$2),SUMIFS(Proventos!$H:$H,Proventos!$D:$D,"&gt;="&amp;CONCATENATE($G$6,"/",B13),Proventos!$D:$D,"&lt;"&amp;CONCATENATE($H$6,"/",B13),Proventos!$J:$J,"="&amp;$H$2),
AND($H$2=Data!$A$6,$K$2=Data!$A$2),SUMIFS(Proventos!$H:$H,Proventos!$D:$D,"&gt;="&amp;CONCATENATE($G$6,"/",B13),Proventos!$D:$D,"&lt;"&amp;CONCATENATE($H$6,"/",B13),Proventos!$J:$J,"="&amp;$H$2),
AND($H$2=Data!$A$7,$K$2=Data!$A$2),SUMIFS(Proventos!$H:$H,Proventos!$D:$D,"&gt;="&amp;CONCATENATE($G$6,"/",B13),Proventos!$D:$D,"&lt;"&amp;CONCATENATE($H$6,"/",B13),Proventos!$J:$J,"="&amp;$H$2),
AND($H$2=Data!$A$8,$K$2=Data!$A$2),SUMIFS(Proventos!$H:$H,Proventos!$D:$D,"&gt;="&amp;CONCATENATE($G$6,"/",B13),Proventos!$D:$D,"&lt;"&amp;CONCATENATE($H$6,"/",B13),Proventos!$J:$J,"="&amp;$H$2),
AND($H$2=Data!$A$9,$K$2=Data!$A$2),SUMIFS(Proventos!$H:$H,Proventos!$D:$D,"&gt;="&amp;CONCATENATE($G$6,"/",B13),Proventos!$D:$D,"&lt;"&amp;CONCATENATE($H$6,"/",B13),Proventos!$J:$J,"="&amp;$H$2),
AND($H$2=Data!$A$10,$K$2=Data!$A$2),SUMIFS(Proventos!$H:$H,Proventos!$D:$D,"&gt;="&amp;CONCATENATE($G$6,"/",B13),Proventos!$D:$D,"&lt;"&amp;CONCATENATE($H$6,"/",B13),Proventos!$J:$J,"="&amp;$H$2),
AND($H$2=Data!$A$11,$K$2=Data!$A$2),SUMIFS(Proventos!$H:$H,Proventos!$D:$D,"&gt;="&amp;CONCATENATE($G$6,"/",B13),Proventos!$D:$D,"&lt;"&amp;CONCATENATE($H$6,"/",B13),Proventos!$J:$J,"="&amp;$H$2),
$K$2=Data!$A$2,SUMIFS(Proventos!$H:$H,Proventos!$D:$D,"&gt;="&amp;CONCATENATE($G$6,"/",B13),Proventos!$D:$D,"&lt;"&amp;CONCATENATE($H$6,"/",B13)),
$K$2&lt;&gt;Data!$A$2,SUMIFS(Proventos!$H:$H,Proventos!$D:$D,"&gt;="&amp;CONCATENATE($G$6,"/",B13),Proventos!$D:$D,"&lt;"&amp;CONCATENATE($H$6,"/",B13),Proventos!$A:$A,"="&amp;$K$2))</f>
        <v>0</v>
      </c>
      <c r="H13" s="245">
        <f>IFS(
AND($H$2=Data!$A$3,$K$2=Data!$A$2),SUMIFS(Proventos!$H:$H,Proventos!$D:$D,"&gt;="&amp;CONCATENATE($H$6,"/",B13),Proventos!$D:$D,"&lt;"&amp;CONCATENATE($I$6,"/",B13),Proventos!$J:$J,"="&amp;$H$2),
AND($H$2=Data!$A$4,$K$2=Data!$A$2),SUMIFS(Proventos!$H:$H,Proventos!$D:$D,"&gt;="&amp;CONCATENATE($H$6,"/",B13),Proventos!$D:$D,"&lt;"&amp;CONCATENATE($I$6,"/",B13),Proventos!$J:$J,"="&amp;$H$2),
AND($H$2=Data!$A$5,$K$2=Data!$A$2),SUMIFS(Proventos!$H:$H,Proventos!$D:$D,"&gt;="&amp;CONCATENATE($H$6,"/",B13),Proventos!$D:$D,"&lt;"&amp;CONCATENATE($I$6,"/",B13),Proventos!$J:$J,"="&amp;$H$2),
AND($H$2=Data!$A$6,$K$2=Data!$A$2),SUMIFS(Proventos!$H:$H,Proventos!$D:$D,"&gt;="&amp;CONCATENATE($H$6,"/",B13),Proventos!$D:$D,"&lt;"&amp;CONCATENATE($I$6,"/",B13),Proventos!$J:$J,"="&amp;$H$2),
AND($H$2=Data!$A$7,$K$2=Data!$A$2),SUMIFS(Proventos!$H:$H,Proventos!$D:$D,"&gt;="&amp;CONCATENATE($H$6,"/",B13),Proventos!$D:$D,"&lt;"&amp;CONCATENATE($I$6,"/",B13),Proventos!$J:$J,"="&amp;$H$2),
AND($H$2=Data!$A$8,$K$2=Data!$A$2),SUMIFS(Proventos!$H:$H,Proventos!$D:$D,"&gt;="&amp;CONCATENATE($H$6,"/",B13),Proventos!$D:$D,"&lt;"&amp;CONCATENATE($I$6,"/",B13),Proventos!$J:$J,"="&amp;$H$2),
AND($H$2=Data!$A$9,$K$2=Data!$A$2),SUMIFS(Proventos!$H:$H,Proventos!$D:$D,"&gt;="&amp;CONCATENATE($H$6,"/",B13),Proventos!$D:$D,"&lt;"&amp;CONCATENATE($I$6,"/",B13),Proventos!$J:$J,"="&amp;$H$2),
AND($H$2=Data!$A$10,$K$2=Data!$A$2),SUMIFS(Proventos!$H:$H,Proventos!$D:$D,"&gt;="&amp;CONCATENATE($H$6,"/",B13),Proventos!$D:$D,"&lt;"&amp;CONCATENATE($I$6,"/",B13),Proventos!$J:$J,"="&amp;$H$2),
AND($H$2=Data!$A$11,$K$2=Data!$A$2),SUMIFS(Proventos!$H:$H,Proventos!$D:$D,"&gt;="&amp;CONCATENATE($H$6,"/",B13),Proventos!$D:$D,"&lt;"&amp;CONCATENATE($I$6,"/",B13),Proventos!$J:$J,"="&amp;$H$2),
$K$2=Data!$A$2,SUMIFS(Proventos!$H:$H,Proventos!$D:$D,"&gt;="&amp;CONCATENATE($H$6,"/",B13),Proventos!$D:$D,"&lt;"&amp;CONCATENATE($I$6,"/",B13)),
$K$2&lt;&gt;Data!$A$2,SUMIFS(Proventos!$H:$H,Proventos!$D:$D,"&gt;="&amp;CONCATENATE($H$6,"/",B13),Proventos!$D:$D,"&lt;"&amp;CONCATENATE($I$6,"/",B13),Proventos!$A:$A,"="&amp;$K$2))</f>
        <v>0</v>
      </c>
      <c r="I13" s="245">
        <f>IFS(
AND($H$2=Data!$A$3,$K$2=Data!$A$2),SUMIFS(Proventos!$H:$H,Proventos!$D:$D,"&gt;="&amp;CONCATENATE($I$6,"/",B13),Proventos!$D:$D,"&lt;"&amp;CONCATENATE($J$6,"/",B13),Proventos!$J:$J,"="&amp;$H$2),
AND($H$2=Data!$A$4,$K$2=Data!$A$2),SUMIFS(Proventos!$H:$H,Proventos!$D:$D,"&gt;="&amp;CONCATENATE($I$6,"/",B13),Proventos!$D:$D,"&lt;"&amp;CONCATENATE($J$6,"/",B13),Proventos!$J:$J,"="&amp;$H$2),
AND($H$2=Data!$A$5,$K$2=Data!$A$2),SUMIFS(Proventos!$H:$H,Proventos!$D:$D,"&gt;="&amp;CONCATENATE($I$6,"/",B13),Proventos!$D:$D,"&lt;"&amp;CONCATENATE($J$6,"/",B13),Proventos!$J:$J,"="&amp;$H$2),
AND($H$2=Data!$A$6,$K$2=Data!$A$2),SUMIFS(Proventos!$H:$H,Proventos!$D:$D,"&gt;="&amp;CONCATENATE($I$6,"/",B13),Proventos!$D:$D,"&lt;"&amp;CONCATENATE($J$6,"/",B13),Proventos!$J:$J,"="&amp;$H$2),
AND($H$2=Data!$A$7,$K$2=Data!$A$2),SUMIFS(Proventos!$H:$H,Proventos!$D:$D,"&gt;="&amp;CONCATENATE($I$6,"/",B13),Proventos!$D:$D,"&lt;"&amp;CONCATENATE($J$6,"/",B13),Proventos!$J:$J,"="&amp;$H$2),
AND($H$2=Data!$A$8,$K$2=Data!$A$2),SUMIFS(Proventos!$H:$H,Proventos!$D:$D,"&gt;="&amp;CONCATENATE($I$6,"/",B13),Proventos!$D:$D,"&lt;"&amp;CONCATENATE($J$6,"/",B13),Proventos!$J:$J,"="&amp;$H$2),
AND($H$2=Data!$A$9,$K$2=Data!$A$2),SUMIFS(Proventos!$H:$H,Proventos!$D:$D,"&gt;="&amp;CONCATENATE($I$6,"/",B13),Proventos!$D:$D,"&lt;"&amp;CONCATENATE($J$6,"/",B13),Proventos!$J:$J,"="&amp;$H$2),
AND($H$2=Data!$A$10,$K$2=Data!$A$2),SUMIFS(Proventos!$H:$H,Proventos!$D:$D,"&gt;="&amp;CONCATENATE($I$6,"/",B13),Proventos!$D:$D,"&lt;"&amp;CONCATENATE($J$6,"/",B13),Proventos!$J:$J,"="&amp;$H$2),
AND($H$2=Data!$A$11,$K$2=Data!$A$2),SUMIFS(Proventos!$H:$H,Proventos!$D:$D,"&gt;="&amp;CONCATENATE($I$6,"/",B13),Proventos!$D:$D,"&lt;"&amp;CONCATENATE($J$6,"/",B13),Proventos!$J:$J,"="&amp;$H$2),
$K$2=Data!$A$2,SUMIFS(Proventos!$H:$H,Proventos!$D:$D,"&gt;="&amp;CONCATENATE($I$6,"/",B13),Proventos!$D:$D,"&lt;"&amp;CONCATENATE($J$6,"/",B13)),
$K$2&lt;&gt;Data!$A$2,SUMIFS(Proventos!$H:$H,Proventos!$D:$D,"&gt;="&amp;CONCATENATE($I$6,"/",B13),Proventos!$D:$D,"&lt;"&amp;CONCATENATE($J$6,"/",B13),Proventos!$A:$A,"="&amp;$K$2))</f>
        <v>0</v>
      </c>
      <c r="J13" s="245">
        <f>IFS(
AND($H$2=Data!$A$3,$K$2=Data!$A$2),SUMIFS(Proventos!$H:$H,Proventos!$D:$D,"&gt;="&amp;CONCATENATE($J$6,"/",B13),Proventos!$D:$D,"&lt;"&amp;CONCATENATE($K$6,"/",B13),Proventos!$J:$J,"="&amp;$H$2),
AND($H$2=Data!$A$4,$K$2=Data!$A$2),SUMIFS(Proventos!$H:$H,Proventos!$D:$D,"&gt;="&amp;CONCATENATE($J$6,"/",B13),Proventos!$D:$D,"&lt;"&amp;CONCATENATE($K$6,"/",B13),Proventos!$J:$J,"="&amp;$H$2),
AND($H$2=Data!$A$5,$K$2=Data!$A$2),SUMIFS(Proventos!$H:$H,Proventos!$D:$D,"&gt;="&amp;CONCATENATE($J$6,"/",B13),Proventos!$D:$D,"&lt;"&amp;CONCATENATE($K$6,"/",B13),Proventos!$J:$J,"="&amp;$H$2),
AND($H$2=Data!$A$6,$K$2=Data!$A$2),SUMIFS(Proventos!$H:$H,Proventos!$D:$D,"&gt;="&amp;CONCATENATE($J$6,"/",B13),Proventos!$D:$D,"&lt;"&amp;CONCATENATE($K$6,"/",B13),Proventos!$J:$J,"="&amp;$H$2),
AND($H$2=Data!$A$7,$K$2=Data!$A$2),SUMIFS(Proventos!$H:$H,Proventos!$D:$D,"&gt;="&amp;CONCATENATE($J$6,"/",B13),Proventos!$D:$D,"&lt;"&amp;CONCATENATE($K$6,"/",B13),Proventos!$J:$J,"="&amp;$H$2),
AND($H$2=Data!$A$8,$K$2=Data!$A$2),SUMIFS(Proventos!$H:$H,Proventos!$D:$D,"&gt;="&amp;CONCATENATE($J$6,"/",B13),Proventos!$D:$D,"&lt;"&amp;CONCATENATE($K$6,"/",B13),Proventos!$J:$J,"="&amp;$H$2),
AND($H$2=Data!$A$9,$K$2=Data!$A$2),SUMIFS(Proventos!$H:$H,Proventos!$D:$D,"&gt;="&amp;CONCATENATE($J$6,"/",B13),Proventos!$D:$D,"&lt;"&amp;CONCATENATE($K$6,"/",B13),Proventos!$J:$J,"="&amp;$H$2),
AND($H$2=Data!$A$10,$K$2=Data!$A$2),SUMIFS(Proventos!$H:$H,Proventos!$D:$D,"&gt;="&amp;CONCATENATE($J$6,"/",B13),Proventos!$D:$D,"&lt;"&amp;CONCATENATE($K$6,"/",B13),Proventos!$J:$J,"="&amp;$H$2),
AND($H$2=Data!$A$11,$K$2=Data!$A$2),SUMIFS(Proventos!$H:$H,Proventos!$D:$D,"&gt;="&amp;CONCATENATE($J$6,"/",B13),Proventos!$D:$D,"&lt;"&amp;CONCATENATE($K$6,"/",B13),Proventos!$J:$J,"="&amp;$H$2),
$K$2=Data!$A$2,SUMIFS(Proventos!$H:$H,Proventos!$D:$D,"&gt;="&amp;CONCATENATE($J$6,"/",B13),Proventos!$D:$D,"&lt;"&amp;CONCATENATE($K$6,"/",B13)),
$K$2&lt;&gt;Data!$A$2,SUMIFS(Proventos!$H:$H,Proventos!$D:$D,"&gt;="&amp;CONCATENATE($J$6,"/",B13),Proventos!$D:$D,"&lt;"&amp;CONCATENATE($K$6,"/",B13),Proventos!$A:$A,"="&amp;$K$2))</f>
        <v>0</v>
      </c>
      <c r="K13" s="245">
        <f>IFS(
AND($H$2=Data!$A$3,$K$2=Data!$A$2),SUMIFS(Proventos!$H:$H,Proventos!$D:$D,"&gt;="&amp;CONCATENATE($K$6,"/",B13),Proventos!$D:$D,"&lt;"&amp;CONCATENATE($L$6,"/",B13),Proventos!$J:$J,"="&amp;$H$2),
AND($H$2=Data!$A$4,$K$2=Data!$A$2),SUMIFS(Proventos!$H:$H,Proventos!$D:$D,"&gt;="&amp;CONCATENATE($K$6,"/",B13),Proventos!$D:$D,"&lt;"&amp;CONCATENATE($L$6,"/",B13),Proventos!$J:$J,"="&amp;$H$2),
AND($H$2=Data!$A$5,$K$2=Data!$A$2),SUMIFS(Proventos!$H:$H,Proventos!$D:$D,"&gt;="&amp;CONCATENATE($K$6,"/",B13),Proventos!$D:$D,"&lt;"&amp;CONCATENATE($L$6,"/",B13),Proventos!$J:$J,"="&amp;$H$2),
AND($H$2=Data!$A$6,$K$2=Data!$A$2),SUMIFS(Proventos!$H:$H,Proventos!$D:$D,"&gt;="&amp;CONCATENATE($K$6,"/",B13),Proventos!$D:$D,"&lt;"&amp;CONCATENATE($L$6,"/",B13),Proventos!$J:$J,"="&amp;$H$2),
AND($H$2=Data!$A$7,$K$2=Data!$A$2),SUMIFS(Proventos!$H:$H,Proventos!$D:$D,"&gt;="&amp;CONCATENATE($K$6,"/",B13),Proventos!$D:$D,"&lt;"&amp;CONCATENATE($L$6,"/",B13),Proventos!$J:$J,"="&amp;$H$2),
AND($H$2=Data!$A$8,$K$2=Data!$A$2),SUMIFS(Proventos!$H:$H,Proventos!$D:$D,"&gt;="&amp;CONCATENATE($K$6,"/",B13),Proventos!$D:$D,"&lt;"&amp;CONCATENATE($L$6,"/",B13),Proventos!$J:$J,"="&amp;$H$2),
AND($H$2=Data!$A$9,$K$2=Data!$A$2),SUMIFS(Proventos!$H:$H,Proventos!$D:$D,"&gt;="&amp;CONCATENATE($K$6,"/",B13),Proventos!$D:$D,"&lt;"&amp;CONCATENATE($L$6,"/",B13),Proventos!$J:$J,"="&amp;$H$2),
AND($H$2=Data!$A$10,$K$2=Data!$A$2),SUMIFS(Proventos!$H:$H,Proventos!$D:$D,"&gt;="&amp;CONCATENATE($K$6,"/",B13),Proventos!$D:$D,"&lt;"&amp;CONCATENATE($L$6,"/",B13),Proventos!$J:$J,"="&amp;$H$2),
AND($H$2=Data!$A$11,$K$2=Data!$A$2),SUMIFS(Proventos!$H:$H,Proventos!$D:$D,"&gt;="&amp;CONCATENATE($K$6,"/",B13),Proventos!$D:$D,"&lt;"&amp;CONCATENATE($L$6,"/",B13),Proventos!$J:$J,"="&amp;$H$2),
$K$2=Data!$A$2,SUMIFS(Proventos!$H:$H,Proventos!$D:$D,"&gt;="&amp;CONCATENATE($K$6,"/",B13),Proventos!$D:$D,"&lt;"&amp;CONCATENATE($L$6,"/",B13)),
$K$2&lt;&gt;Data!$A$2,SUMIFS(Proventos!$H:$H,Proventos!$D:$D,"&gt;="&amp;CONCATENATE($K$6,"/",B13),Proventos!$D:$D,"&lt;"&amp;CONCATENATE($L$6,"/",B13),Proventos!$A:$A,"="&amp;$K$2))</f>
        <v>0</v>
      </c>
      <c r="L13" s="245">
        <f>IFS(
AND($H$2=Data!$A$3,$K$2=Data!$A$2),SUMIFS(Proventos!$H:$H,Proventos!$D:$D,"&gt;="&amp;CONCATENATE($L$6,"/",B13),Proventos!$D:$D,"&lt;"&amp;CONCATENATE($M$6,"/",B13),Proventos!$J:$J,"="&amp;$H$2),
AND($H$2=Data!$A$4,$K$2=Data!$A$2),SUMIFS(Proventos!$H:$H,Proventos!$D:$D,"&gt;="&amp;CONCATENATE($L$6,"/",B13),Proventos!$D:$D,"&lt;"&amp;CONCATENATE($M$6,"/",B13),Proventos!$J:$J,"="&amp;$H$2),
AND($H$2=Data!$A$5,$K$2=Data!$A$2),SUMIFS(Proventos!$H:$H,Proventos!$D:$D,"&gt;="&amp;CONCATENATE($L$6,"/",B13),Proventos!$D:$D,"&lt;"&amp;CONCATENATE($M$6,"/",B13),Proventos!$J:$J,"="&amp;$H$2),
AND($H$2=Data!$A$6,$K$2=Data!$A$2),SUMIFS(Proventos!$H:$H,Proventos!$D:$D,"&gt;="&amp;CONCATENATE($L$6,"/",B13),Proventos!$D:$D,"&lt;"&amp;CONCATENATE($M$6,"/",B13),Proventos!$J:$J,"="&amp;$H$2),
AND($H$2=Data!$A$7,$K$2=Data!$A$2),SUMIFS(Proventos!$H:$H,Proventos!$D:$D,"&gt;="&amp;CONCATENATE($L$6,"/",B13),Proventos!$D:$D,"&lt;"&amp;CONCATENATE($M$6,"/",B13),Proventos!$J:$J,"="&amp;$H$2),
AND($H$2=Data!$A$8,$K$2=Data!$A$2),SUMIFS(Proventos!$H:$H,Proventos!$D:$D,"&gt;="&amp;CONCATENATE($L$6,"/",B13),Proventos!$D:$D,"&lt;"&amp;CONCATENATE($M$6,"/",B13),Proventos!$J:$J,"="&amp;$H$2),
AND($H$2=Data!$A$9,$K$2=Data!$A$2),SUMIFS(Proventos!$H:$H,Proventos!$D:$D,"&gt;="&amp;CONCATENATE($L$6,"/",B13),Proventos!$D:$D,"&lt;"&amp;CONCATENATE($M$6,"/",B13),Proventos!$J:$J,"="&amp;$H$2),
AND($H$2=Data!$A$10,$K$2=Data!$A$2),SUMIFS(Proventos!$H:$H,Proventos!$D:$D,"&gt;="&amp;CONCATENATE($L$6,"/",B13),Proventos!$D:$D,"&lt;"&amp;CONCATENATE($M$6,"/",B13),Proventos!$J:$J,"="&amp;$H$2),
AND($H$2=Data!$A$11,$K$2=Data!$A$2),SUMIFS(Proventos!$H:$H,Proventos!$D:$D,"&gt;="&amp;CONCATENATE($L$6,"/",B13),Proventos!$D:$D,"&lt;"&amp;CONCATENATE($M$6,"/",B13),Proventos!$J:$J,"="&amp;$H$2),
$K$2=Data!$A$2,SUMIFS(Proventos!$H:$H,Proventos!$D:$D,"&gt;="&amp;CONCATENATE($L$6,"/",B13),Proventos!$D:$D,"&lt;"&amp;CONCATENATE($M$6,"/",B13)),
$K$2&lt;&gt;Data!$A$2,SUMIFS(Proventos!$H:$H,Proventos!$D:$D,"&gt;="&amp;CONCATENATE($L$6,"/",B13),Proventos!$D:$D,"&lt;"&amp;CONCATENATE($M$6,"/",B13),Proventos!$A:$A,"="&amp;$K$2))</f>
        <v>0</v>
      </c>
      <c r="M13" s="245">
        <f>IFS(
AND($H$2=Data!$A$3,$K$2=Data!$A$2),SUMIFS(Proventos!$H:$H,Proventos!$D:$D,"&gt;="&amp;CONCATENATE($M$6,"/",B13),Proventos!$D:$D,"&lt;"&amp;CONCATENATE($N$6,"/",B13),Proventos!$J:$J,"="&amp;$H$2),
AND($H$2=Data!$A$4,$K$2=Data!$A$2),SUMIFS(Proventos!$H:$H,Proventos!$D:$D,"&gt;="&amp;CONCATENATE($M$6,"/",B13),Proventos!$D:$D,"&lt;"&amp;CONCATENATE($N$6,"/",B13),Proventos!$J:$J,"="&amp;$H$2),
AND($H$2=Data!$A$5,$K$2=Data!$A$2),SUMIFS(Proventos!$H:$H,Proventos!$D:$D,"&gt;="&amp;CONCATENATE($M$6,"/",B13),Proventos!$D:$D,"&lt;"&amp;CONCATENATE($N$6,"/",B13),Proventos!$J:$J,"="&amp;$H$2),
AND($H$2=Data!$A$6,$K$2=Data!$A$2),SUMIFS(Proventos!$H:$H,Proventos!$D:$D,"&gt;="&amp;CONCATENATE($M$6,"/",B13),Proventos!$D:$D,"&lt;"&amp;CONCATENATE($N$6,"/",B13),Proventos!$J:$J,"="&amp;$H$2),
AND($H$2=Data!$A$7,$K$2=Data!$A$2),SUMIFS(Proventos!$H:$H,Proventos!$D:$D,"&gt;="&amp;CONCATENATE($M$6,"/",B13),Proventos!$D:$D,"&lt;"&amp;CONCATENATE($N$6,"/",B13),Proventos!$J:$J,"="&amp;$H$2),
AND($H$2=Data!$A$8,$K$2=Data!$A$2),SUMIFS(Proventos!$H:$H,Proventos!$D:$D,"&gt;="&amp;CONCATENATE($M$6,"/",B13),Proventos!$D:$D,"&lt;"&amp;CONCATENATE($N$6,"/",B13),Proventos!$J:$J,"="&amp;$H$2),
AND($H$2=Data!$A$9,$K$2=Data!$A$2),SUMIFS(Proventos!$H:$H,Proventos!$D:$D,"&gt;="&amp;CONCATENATE($M$6,"/",B13),Proventos!$D:$D,"&lt;"&amp;CONCATENATE($N$6,"/",B13),Proventos!$J:$J,"="&amp;$H$2),
AND($H$2=Data!$A$10,$K$2=Data!$A$2),SUMIFS(Proventos!$H:$H,Proventos!$D:$D,"&gt;="&amp;CONCATENATE($M$6,"/",B13),Proventos!$D:$D,"&lt;"&amp;CONCATENATE($N$6,"/",B13),Proventos!$J:$J,"="&amp;$H$2),
AND($H$2=Data!$A$11,$K$2=Data!$A$2),SUMIFS(Proventos!$H:$H,Proventos!$D:$D,"&gt;="&amp;CONCATENATE($M$6,"/",B13),Proventos!$D:$D,"&lt;"&amp;CONCATENATE($N$6,"/",B13),Proventos!$J:$J,"="&amp;$H$2),
$K$2=Data!$A$2,SUMIFS(Proventos!$H:$H,Proventos!$D:$D,"&gt;="&amp;CONCATENATE($M$6,"/",B13),Proventos!$D:$D,"&lt;"&amp;CONCATENATE($N$6,"/",B13)),
$K$2&lt;&gt;Data!$A$2,SUMIFS(Proventos!$H:$H,Proventos!$D:$D,"&gt;="&amp;CONCATENATE($M$6,"/",B13),Proventos!$D:$D,"&lt;"&amp;CONCATENATE($N$6,"/",B13),Proventos!$A:$A,"="&amp;$K$2))</f>
        <v>0</v>
      </c>
      <c r="N13" s="245">
        <f>IFS(
AND($H$2=Data!$A$3,$K$2=Data!$A$2),SUMIFS(Proventos!$H:$H,Proventos!$D:$D,"&gt;="&amp;CONCATENATE($N$6,"/",B13),Proventos!$D:$D,"&lt;"&amp;CONCATENATE($C$6,"/",B14),Proventos!$J:$J,"="&amp;$H$2),
AND($H$2=Data!$A$4,$K$2=Data!$A$2),SUMIFS(Proventos!$H:$H,Proventos!$D:$D,"&gt;="&amp;CONCATENATE($N$6,"/",B13),Proventos!$D:$D,"&lt;"&amp;CONCATENATE($C$6,"/",B14),Proventos!$J:$J,"="&amp;$H$2),
AND($H$2=Data!$A$5,$K$2=Data!$A$2),SUMIFS(Proventos!$H:$H,Proventos!$D:$D,"&gt;="&amp;CONCATENATE($N$6,"/",B13),Proventos!$D:$D,"&lt;"&amp;CONCATENATE($C$6,"/",B14),Proventos!$J:$J,"="&amp;$H$2),
AND($H$2=Data!$A$6,$K$2=Data!$A$2),SUMIFS(Proventos!$H:$H,Proventos!$D:$D,"&gt;="&amp;CONCATENATE($N$6,"/",B13),Proventos!$D:$D,"&lt;"&amp;CONCATENATE($C$6,"/",B14),Proventos!$J:$J,"="&amp;$H$2),
AND($H$2=Data!$A$7,$K$2=Data!$A$2),SUMIFS(Proventos!$H:$H,Proventos!$D:$D,"&gt;="&amp;CONCATENATE($N$6,"/",B13),Proventos!$D:$D,"&lt;"&amp;CONCATENATE($C$6,"/",B14),Proventos!$J:$J,"="&amp;$H$2),
AND($H$2=Data!$A$8,$K$2=Data!$A$2),SUMIFS(Proventos!$H:$H,Proventos!$D:$D,"&gt;="&amp;CONCATENATE($N$6,"/",B13),Proventos!$D:$D,"&lt;"&amp;CONCATENATE($C$6,"/",B14),Proventos!$J:$J,"="&amp;$H$2),
AND($H$2=Data!$A$9,$K$2=Data!$A$2),SUMIFS(Proventos!$H:$H,Proventos!$D:$D,"&gt;="&amp;CONCATENATE($N$6,"/",B13),Proventos!$D:$D,"&lt;"&amp;CONCATENATE($C$6,"/",B14),Proventos!$J:$J,"="&amp;$H$2),
AND($H$2=Data!$A$10,$K$2=Data!$A$2),SUMIFS(Proventos!$H:$H,Proventos!$D:$D,"&gt;="&amp;CONCATENATE($N$6,"/",B13),Proventos!$D:$D,"&lt;"&amp;CONCATENATE($C$6,"/",B14),Proventos!$J:$J,"="&amp;$H$2),
AND($H$2=Data!$A$11,$K$2=Data!$A$2),SUMIFS(Proventos!$H:$H,Proventos!$D:$D,"&gt;="&amp;CONCATENATE($N$6,"/",B13),Proventos!$D:$D,"&lt;"&amp;CONCATENATE($C$6,"/",B14),Proventos!$J:$J,"="&amp;$H$2),
$K$2=Data!$A$2,SUMIFS(Proventos!$H:$H,Proventos!$D:$D,"&gt;="&amp;CONCATENATE($N$6,"/",B13),Proventos!$D:$D,"&lt;"&amp;CONCATENATE($C$6,"/",B14)),
$K$2&lt;&gt;Data!$A$2,SUMIFS(Proventos!$H:$H,Proventos!$D:$D,"&gt;="&amp;CONCATENATE($N$6,"/",B13),Proventos!$D:$D,"&lt;"&amp;CONCATENATE($C$6,"/",B14),Proventos!$A:$A,"="&amp;$K$2))</f>
        <v>0</v>
      </c>
      <c r="O13" s="245"/>
      <c r="P13" s="245">
        <f t="shared" si="1"/>
        <v>0</v>
      </c>
      <c r="Q13" s="245">
        <f t="shared" si="2"/>
        <v>0</v>
      </c>
    </row>
    <row r="14" ht="32.25" customHeight="1">
      <c r="A14" s="230" t="str">
        <f>IFERROR(__xludf.DUMMYFUNCTION("""COMPUTED_VALUE"""),"ENBR3")</f>
        <v>ENBR3</v>
      </c>
      <c r="B14" s="244"/>
      <c r="C14" s="245">
        <f>IFS(
AND($H$2=Data!$A$3,$K$2=Data!$A$2),SUMIFS(Proventos!$H:$H,Proventos!$D:$D,"&gt;="&amp;CONCATENATE($C$6,"/",B14),Proventos!$D:$D,"&lt;"&amp;CONCATENATE($D$6,"/",B14),Proventos!$J:$J,"="&amp;$H$2),
AND($H$2=Data!$A$4,$K$2=Data!$A$2),SUMIFS(Proventos!$H:$H,Proventos!$D:$D,"&gt;="&amp;CONCATENATE($C$6,"/",B14),Proventos!$D:$D,"&lt;"&amp;CONCATENATE($D$6,"/",B14),Proventos!$J:$J,"="&amp;$H$2),
AND($H$2=Data!$A$5,$K$2=Data!$A$2),SUMIFS(Proventos!$H:$H,Proventos!$D:$D,"&gt;="&amp;CONCATENATE($C$6,"/",B14),Proventos!$D:$D,"&lt;"&amp;CONCATENATE($D$6,"/",B14),Proventos!$J:$J,"="&amp;$H$2),
AND($H$2=Data!$A$6,$K$2=Data!$A$2),SUMIFS(Proventos!$H:$H,Proventos!$D:$D,"&gt;="&amp;CONCATENATE($C$6,"/",B14),Proventos!$D:$D,"&lt;"&amp;CONCATENATE($D$6,"/",B14),Proventos!$J:$J,"="&amp;$H$2),
AND($H$2=Data!$A$7,$K$2=Data!$A$2),SUMIFS(Proventos!$H:$H,Proventos!$D:$D,"&gt;="&amp;CONCATENATE($C$6,"/",B14),Proventos!$D:$D,"&lt;"&amp;CONCATENATE($D$6,"/",B14),Proventos!$J:$J,"="&amp;$H$2),
AND($H$2=Data!$A$8,$K$2=Data!$A$2),SUMIFS(Proventos!$H:$H,Proventos!$D:$D,"&gt;="&amp;CONCATENATE($C$6,"/",B14),Proventos!$D:$D,"&lt;"&amp;CONCATENATE($D$6,"/",B14),Proventos!$J:$J,"="&amp;$H$2),
AND($H$2=Data!$A$9,$K$2=Data!$A$2),SUMIFS(Proventos!$H:$H,Proventos!$D:$D,"&gt;="&amp;CONCATENATE($C$6,"/",B14),Proventos!$D:$D,"&lt;"&amp;CONCATENATE($D$6,"/",B14),Proventos!$J:$J,"="&amp;$H$2),
AND($H$2=Data!$A$10,$K$2=Data!$A$2),SUMIFS(Proventos!$H:$H,Proventos!$D:$D,"&gt;="&amp;CONCATENATE($C$6,"/",B14),Proventos!$D:$D,"&lt;"&amp;CONCATENATE($D$6,"/",B14),Proventos!$J:$J,"="&amp;$H$2),
AND($H$2=Data!$A$11,$K$2=Data!$A$2),SUMIFS(Proventos!$H:$H,Proventos!$D:$D,"&gt;="&amp;CONCATENATE($C$6,"/",B14),Proventos!$D:$D,"&lt;"&amp;CONCATENATE($D$6,"/",B14),Proventos!$J:$J,"="&amp;$H$2),
$K$2=Data!$A$2,SUMIFS(Proventos!$H:$H,Proventos!$D:$D,"&gt;="&amp;CONCATENATE($C$6,"/",B14),Proventos!$D:$D,"&lt;"&amp;CONCATENATE($D$6,"/",B14)),
$K$2&lt;&gt;Data!$A$2,SUMIFS(Proventos!$H:$H,Proventos!$D:$D,"&gt;="&amp;CONCATENATE($C$6,"/",B14),Proventos!$D:$D,"&lt;"&amp;CONCATENATE($D$6,"/",B14),Proventos!$A:$A,"="&amp;$K$2))</f>
        <v>0</v>
      </c>
      <c r="D14" s="245">
        <f>IFS(
AND($H$2=Data!$A$3,$K$2=Data!$A$2),SUMIFS(Proventos!$H:$H,Proventos!$D:$D,"&gt;="&amp;CONCATENATE($D$6,"/",B14),Proventos!$D:$D,"&lt;"&amp;CONCATENATE($E$6,"/",B14),Proventos!$J:$J,"="&amp;$H$2),
AND($H$2=Data!$A$4,$K$2=Data!$A$2),SUMIFS(Proventos!$H:$H,Proventos!$D:$D,"&gt;="&amp;CONCATENATE($D$6,"/",B14),Proventos!$D:$D,"&lt;"&amp;CONCATENATE($E$6,"/",B14),Proventos!$J:$J,"="&amp;$H$2),
AND($H$2=Data!$A$5,$K$2=Data!$A$2),SUMIFS(Proventos!$H:$H,Proventos!$D:$D,"&gt;="&amp;CONCATENATE($D$6,"/",B14),Proventos!$D:$D,"&lt;"&amp;CONCATENATE($E$6,"/",B14),Proventos!$J:$J,"="&amp;$H$2),
AND($H$2=Data!$A$6,$K$2=Data!$A$2),SUMIFS(Proventos!$H:$H,Proventos!$D:$D,"&gt;="&amp;CONCATENATE($D$6,"/",B14),Proventos!$D:$D,"&lt;"&amp;CONCATENATE($E$6,"/",B14),Proventos!$J:$J,"="&amp;$H$2),
AND($H$2=Data!$A$7,$K$2=Data!$A$2),SUMIFS(Proventos!$H:$H,Proventos!$D:$D,"&gt;="&amp;CONCATENATE($D$6,"/",B14),Proventos!$D:$D,"&lt;"&amp;CONCATENATE($E$6,"/",B14),Proventos!$J:$J,"="&amp;$H$2),
AND($H$2=Data!$A$8,$K$2=Data!$A$2),SUMIFS(Proventos!$H:$H,Proventos!$D:$D,"&gt;="&amp;CONCATENATE($D$6,"/",B14),Proventos!$D:$D,"&lt;"&amp;CONCATENATE($E$6,"/",B14),Proventos!$J:$J,"="&amp;$H$2),
AND($H$2=Data!$A$9,$K$2=Data!$A$2),SUMIFS(Proventos!$H:$H,Proventos!$D:$D,"&gt;="&amp;CONCATENATE($D$6,"/",B14),Proventos!$D:$D,"&lt;"&amp;CONCATENATE($E$6,"/",B14),Proventos!$J:$J,"="&amp;$H$2),
AND($H$2=Data!$A$10,$K$2=Data!$A$2),SUMIFS(Proventos!$H:$H,Proventos!$D:$D,"&gt;="&amp;CONCATENATE($D$6,"/",B14),Proventos!$D:$D,"&lt;"&amp;CONCATENATE($E$6,"/",B14),Proventos!$J:$J,"="&amp;$H$2),
AND($H$2=Data!$A$11,$K$2=Data!$A$2),SUMIFS(Proventos!$H:$H,Proventos!$D:$D,"&gt;="&amp;CONCATENATE($D$6,"/",B14),Proventos!$D:$D,"&lt;"&amp;CONCATENATE($E$6,"/",B14),Proventos!$J:$J,"="&amp;$H$2),
$K$2=Data!$A$2,SUMIFS(Proventos!$H:$H,Proventos!$D:$D,"&gt;="&amp;CONCATENATE($D$6,"/",B14),Proventos!$D:$D,"&lt;"&amp;CONCATENATE($E$6,"/",B14)),
$K$2&lt;&gt;Data!$A$2,SUMIFS(Proventos!$H:$H,Proventos!$D:$D,"&gt;="&amp;CONCATENATE($D$6,"/",B14),Proventos!$D:$D,"&lt;"&amp;CONCATENATE($E$6,"/",B14),Proventos!$A:$A,"="&amp;$K$2))</f>
        <v>0</v>
      </c>
      <c r="E14" s="245">
        <f>IFS(
AND($H$2=Data!$A$3,$K$2=Data!$A$2),SUMIFS(Proventos!$H:$H,Proventos!$D:$D,"&gt;="&amp;CONCATENATE($E$6,"/",B14),Proventos!$D:$D,"&lt;"&amp;CONCATENATE($F$6,"/",B14),Proventos!$J:$J,"="&amp;$H$2),
AND($H$2=Data!$A$4,$K$2=Data!$A$2),SUMIFS(Proventos!$H:$H,Proventos!$D:$D,"&gt;="&amp;CONCATENATE($E$6,"/",B14),Proventos!$D:$D,"&lt;"&amp;CONCATENATE($F$6,"/",B14),Proventos!$J:$J,"="&amp;$H$2),
AND($H$2=Data!$A$5,$K$2=Data!$A$2),SUMIFS(Proventos!$H:$H,Proventos!$D:$D,"&gt;="&amp;CONCATENATE($E$6,"/",B14),Proventos!$D:$D,"&lt;"&amp;CONCATENATE($F$6,"/",B14),Proventos!$J:$J,"="&amp;$H$2),
AND($H$2=Data!$A$6,$K$2=Data!$A$2),SUMIFS(Proventos!$H:$H,Proventos!$D:$D,"&gt;="&amp;CONCATENATE($E$6,"/",B14),Proventos!$D:$D,"&lt;"&amp;CONCATENATE($F$6,"/",B14),Proventos!$J:$J,"="&amp;$H$2),
AND($H$2=Data!$A$7,$K$2=Data!$A$2),SUMIFS(Proventos!$H:$H,Proventos!$D:$D,"&gt;="&amp;CONCATENATE($E$6,"/",B14),Proventos!$D:$D,"&lt;"&amp;CONCATENATE($F$6,"/",B14),Proventos!$J:$J,"="&amp;$H$2),
AND($H$2=Data!$A$8,$K$2=Data!$A$2),SUMIFS(Proventos!$H:$H,Proventos!$D:$D,"&gt;="&amp;CONCATENATE($E$6,"/",B14),Proventos!$D:$D,"&lt;"&amp;CONCATENATE($F$6,"/",B14),Proventos!$J:$J,"="&amp;$H$2),
AND($H$2=Data!$A$9,$K$2=Data!$A$2),SUMIFS(Proventos!$H:$H,Proventos!$D:$D,"&gt;="&amp;CONCATENATE($E$6,"/",B14),Proventos!$D:$D,"&lt;"&amp;CONCATENATE($F$6,"/",B14),Proventos!$J:$J,"="&amp;$H$2),
AND($H$2=Data!$A$10,$K$2=Data!$A$2),SUMIFS(Proventos!$H:$H,Proventos!$D:$D,"&gt;="&amp;CONCATENATE($E$6,"/",B14),Proventos!$D:$D,"&lt;"&amp;CONCATENATE($F$6,"/",B14),Proventos!$J:$J,"="&amp;$H$2),
AND($H$2=Data!$A$11,$K$2=Data!$A$2),SUMIFS(Proventos!$H:$H,Proventos!$D:$D,"&gt;="&amp;CONCATENATE($E$6,"/",B14),Proventos!$D:$D,"&lt;"&amp;CONCATENATE($F$6,"/",B14),Proventos!$J:$J,"="&amp;$H$2),
$K$2=Data!$A$2,SUMIFS(Proventos!$H:$H,Proventos!$D:$D,"&gt;="&amp;CONCATENATE($E$6,"/",B14),Proventos!$D:$D,"&lt;"&amp;CONCATENATE($F$6,"/",B14)),
$K$2&lt;&gt;Data!$A$2,SUMIFS(Proventos!$H:$H,Proventos!$D:$D,"&gt;="&amp;CONCATENATE($E$6,"/",B14),Proventos!$D:$D,"&lt;"&amp;CONCATENATE($F$6,"/",B14),Proventos!$A:$A,"="&amp;$K$2))</f>
        <v>0</v>
      </c>
      <c r="F14" s="245">
        <f>IFS(
AND($H$2=Data!$A$3,$K$2=Data!$A$2),SUMIFS(Proventos!$H:$H,Proventos!$D:$D,"&gt;="&amp;CONCATENATE($F$6,"/",B14),Proventos!$D:$D,"&lt;"&amp;CONCATENATE($G$6,"/",B14),Proventos!$J:$J,"="&amp;$H$2),
AND($H$2=Data!$A$4,$K$2=Data!$A$2),SUMIFS(Proventos!$H:$H,Proventos!$D:$D,"&gt;="&amp;CONCATENATE($F$6,"/",B14),Proventos!$D:$D,"&lt;"&amp;CONCATENATE($G$6,"/",B14),Proventos!$J:$J,"="&amp;$H$2),
AND($H$2=Data!$A$5,$K$2=Data!$A$2),SUMIFS(Proventos!$H:$H,Proventos!$D:$D,"&gt;="&amp;CONCATENATE($F$6,"/",B14),Proventos!$D:$D,"&lt;"&amp;CONCATENATE($G$6,"/",B14),Proventos!$J:$J,"="&amp;$H$2),
AND($H$2=Data!$A$6,$K$2=Data!$A$2),SUMIFS(Proventos!$H:$H,Proventos!$D:$D,"&gt;="&amp;CONCATENATE($F$6,"/",B14),Proventos!$D:$D,"&lt;"&amp;CONCATENATE($G$6,"/",B14),Proventos!$J:$J,"="&amp;$H$2),
AND($H$2=Data!$A$7,$K$2=Data!$A$2),SUMIFS(Proventos!$H:$H,Proventos!$D:$D,"&gt;="&amp;CONCATENATE($F$6,"/",B14),Proventos!$D:$D,"&lt;"&amp;CONCATENATE($G$6,"/",B14),Proventos!$J:$J,"="&amp;$H$2),
AND($H$2=Data!$A$8,$K$2=Data!$A$2),SUMIFS(Proventos!$H:$H,Proventos!$D:$D,"&gt;="&amp;CONCATENATE($F$6,"/",B14),Proventos!$D:$D,"&lt;"&amp;CONCATENATE($G$6,"/",B14),Proventos!$J:$J,"="&amp;$H$2),
AND($H$2=Data!$A$9,$K$2=Data!$A$2),SUMIFS(Proventos!$H:$H,Proventos!$D:$D,"&gt;="&amp;CONCATENATE($F$6,"/",B14),Proventos!$D:$D,"&lt;"&amp;CONCATENATE($G$6,"/",B14),Proventos!$J:$J,"="&amp;$H$2),
AND($H$2=Data!$A$10,$K$2=Data!$A$2),SUMIFS(Proventos!$H:$H,Proventos!$D:$D,"&gt;="&amp;CONCATENATE($F$6,"/",B14),Proventos!$D:$D,"&lt;"&amp;CONCATENATE($G$6,"/",B14),Proventos!$J:$J,"="&amp;$H$2),
AND($H$2=Data!$A$11,$K$2=Data!$A$2),SUMIFS(Proventos!$H:$H,Proventos!$D:$D,"&gt;="&amp;CONCATENATE($F$6,"/",B14),Proventos!$D:$D,"&lt;"&amp;CONCATENATE($G$6,"/",B14),Proventos!$J:$J,"="&amp;$H$2),
$K$2=Data!$A$2,SUMIFS(Proventos!$H:$H,Proventos!$D:$D,"&gt;="&amp;CONCATENATE($F$6,"/",B14),Proventos!$D:$D,"&lt;"&amp;CONCATENATE($G$6,"/",B14)),
$K$2&lt;&gt;Data!$A$2,SUMIFS(Proventos!$H:$H,Proventos!$D:$D,"&gt;="&amp;CONCATENATE($F$6,"/",B14),Proventos!$D:$D,"&lt;"&amp;CONCATENATE($G$6,"/",B14),Proventos!$A:$A,"="&amp;$K$2))</f>
        <v>0</v>
      </c>
      <c r="G14" s="245">
        <f>IFS(
AND($H$2=Data!$A$3,$K$2=Data!$A$2),SUMIFS(Proventos!$H:$H,Proventos!$D:$D,"&gt;="&amp;CONCATENATE($G$6,"/",B14),Proventos!$D:$D,"&lt;"&amp;CONCATENATE($H$6,"/",B14),Proventos!$J:$J,"="&amp;$H$2),
AND($H$2=Data!$A$4,$K$2=Data!$A$2),SUMIFS(Proventos!$H:$H,Proventos!$D:$D,"&gt;="&amp;CONCATENATE($G$6,"/",B14),Proventos!$D:$D,"&lt;"&amp;CONCATENATE($H$6,"/",B14),Proventos!$J:$J,"="&amp;$H$2),
AND($H$2=Data!$A$5,$K$2=Data!$A$2),SUMIFS(Proventos!$H:$H,Proventos!$D:$D,"&gt;="&amp;CONCATENATE($G$6,"/",B14),Proventos!$D:$D,"&lt;"&amp;CONCATENATE($H$6,"/",B14),Proventos!$J:$J,"="&amp;$H$2),
AND($H$2=Data!$A$6,$K$2=Data!$A$2),SUMIFS(Proventos!$H:$H,Proventos!$D:$D,"&gt;="&amp;CONCATENATE($G$6,"/",B14),Proventos!$D:$D,"&lt;"&amp;CONCATENATE($H$6,"/",B14),Proventos!$J:$J,"="&amp;$H$2),
AND($H$2=Data!$A$7,$K$2=Data!$A$2),SUMIFS(Proventos!$H:$H,Proventos!$D:$D,"&gt;="&amp;CONCATENATE($G$6,"/",B14),Proventos!$D:$D,"&lt;"&amp;CONCATENATE($H$6,"/",B14),Proventos!$J:$J,"="&amp;$H$2),
AND($H$2=Data!$A$8,$K$2=Data!$A$2),SUMIFS(Proventos!$H:$H,Proventos!$D:$D,"&gt;="&amp;CONCATENATE($G$6,"/",B14),Proventos!$D:$D,"&lt;"&amp;CONCATENATE($H$6,"/",B14),Proventos!$J:$J,"="&amp;$H$2),
AND($H$2=Data!$A$9,$K$2=Data!$A$2),SUMIFS(Proventos!$H:$H,Proventos!$D:$D,"&gt;="&amp;CONCATENATE($G$6,"/",B14),Proventos!$D:$D,"&lt;"&amp;CONCATENATE($H$6,"/",B14),Proventos!$J:$J,"="&amp;$H$2),
AND($H$2=Data!$A$10,$K$2=Data!$A$2),SUMIFS(Proventos!$H:$H,Proventos!$D:$D,"&gt;="&amp;CONCATENATE($G$6,"/",B14),Proventos!$D:$D,"&lt;"&amp;CONCATENATE($H$6,"/",B14),Proventos!$J:$J,"="&amp;$H$2),
AND($H$2=Data!$A$11,$K$2=Data!$A$2),SUMIFS(Proventos!$H:$H,Proventos!$D:$D,"&gt;="&amp;CONCATENATE($G$6,"/",B14),Proventos!$D:$D,"&lt;"&amp;CONCATENATE($H$6,"/",B14),Proventos!$J:$J,"="&amp;$H$2),
$K$2=Data!$A$2,SUMIFS(Proventos!$H:$H,Proventos!$D:$D,"&gt;="&amp;CONCATENATE($G$6,"/",B14),Proventos!$D:$D,"&lt;"&amp;CONCATENATE($H$6,"/",B14)),
$K$2&lt;&gt;Data!$A$2,SUMIFS(Proventos!$H:$H,Proventos!$D:$D,"&gt;="&amp;CONCATENATE($G$6,"/",B14),Proventos!$D:$D,"&lt;"&amp;CONCATENATE($H$6,"/",B14),Proventos!$A:$A,"="&amp;$K$2))</f>
        <v>0</v>
      </c>
      <c r="H14" s="245">
        <f>IFS(
AND($H$2=Data!$A$3,$K$2=Data!$A$2),SUMIFS(Proventos!$H:$H,Proventos!$D:$D,"&gt;="&amp;CONCATENATE($H$6,"/",B14),Proventos!$D:$D,"&lt;"&amp;CONCATENATE($I$6,"/",B14),Proventos!$J:$J,"="&amp;$H$2),
AND($H$2=Data!$A$4,$K$2=Data!$A$2),SUMIFS(Proventos!$H:$H,Proventos!$D:$D,"&gt;="&amp;CONCATENATE($H$6,"/",B14),Proventos!$D:$D,"&lt;"&amp;CONCATENATE($I$6,"/",B14),Proventos!$J:$J,"="&amp;$H$2),
AND($H$2=Data!$A$5,$K$2=Data!$A$2),SUMIFS(Proventos!$H:$H,Proventos!$D:$D,"&gt;="&amp;CONCATENATE($H$6,"/",B14),Proventos!$D:$D,"&lt;"&amp;CONCATENATE($I$6,"/",B14),Proventos!$J:$J,"="&amp;$H$2),
AND($H$2=Data!$A$6,$K$2=Data!$A$2),SUMIFS(Proventos!$H:$H,Proventos!$D:$D,"&gt;="&amp;CONCATENATE($H$6,"/",B14),Proventos!$D:$D,"&lt;"&amp;CONCATENATE($I$6,"/",B14),Proventos!$J:$J,"="&amp;$H$2),
AND($H$2=Data!$A$7,$K$2=Data!$A$2),SUMIFS(Proventos!$H:$H,Proventos!$D:$D,"&gt;="&amp;CONCATENATE($H$6,"/",B14),Proventos!$D:$D,"&lt;"&amp;CONCATENATE($I$6,"/",B14),Proventos!$J:$J,"="&amp;$H$2),
AND($H$2=Data!$A$8,$K$2=Data!$A$2),SUMIFS(Proventos!$H:$H,Proventos!$D:$D,"&gt;="&amp;CONCATENATE($H$6,"/",B14),Proventos!$D:$D,"&lt;"&amp;CONCATENATE($I$6,"/",B14),Proventos!$J:$J,"="&amp;$H$2),
AND($H$2=Data!$A$9,$K$2=Data!$A$2),SUMIFS(Proventos!$H:$H,Proventos!$D:$D,"&gt;="&amp;CONCATENATE($H$6,"/",B14),Proventos!$D:$D,"&lt;"&amp;CONCATENATE($I$6,"/",B14),Proventos!$J:$J,"="&amp;$H$2),
AND($H$2=Data!$A$10,$K$2=Data!$A$2),SUMIFS(Proventos!$H:$H,Proventos!$D:$D,"&gt;="&amp;CONCATENATE($H$6,"/",B14),Proventos!$D:$D,"&lt;"&amp;CONCATENATE($I$6,"/",B14),Proventos!$J:$J,"="&amp;$H$2),
AND($H$2=Data!$A$11,$K$2=Data!$A$2),SUMIFS(Proventos!$H:$H,Proventos!$D:$D,"&gt;="&amp;CONCATENATE($H$6,"/",B14),Proventos!$D:$D,"&lt;"&amp;CONCATENATE($I$6,"/",B14),Proventos!$J:$J,"="&amp;$H$2),
$K$2=Data!$A$2,SUMIFS(Proventos!$H:$H,Proventos!$D:$D,"&gt;="&amp;CONCATENATE($H$6,"/",B14),Proventos!$D:$D,"&lt;"&amp;CONCATENATE($I$6,"/",B14)),
$K$2&lt;&gt;Data!$A$2,SUMIFS(Proventos!$H:$H,Proventos!$D:$D,"&gt;="&amp;CONCATENATE($H$6,"/",B14),Proventos!$D:$D,"&lt;"&amp;CONCATENATE($I$6,"/",B14),Proventos!$A:$A,"="&amp;$K$2))</f>
        <v>0</v>
      </c>
      <c r="I14" s="245">
        <f>IFS(
AND($H$2=Data!$A$3,$K$2=Data!$A$2),SUMIFS(Proventos!$H:$H,Proventos!$D:$D,"&gt;="&amp;CONCATENATE($I$6,"/",B14),Proventos!$D:$D,"&lt;"&amp;CONCATENATE($J$6,"/",B14),Proventos!$J:$J,"="&amp;$H$2),
AND($H$2=Data!$A$4,$K$2=Data!$A$2),SUMIFS(Proventos!$H:$H,Proventos!$D:$D,"&gt;="&amp;CONCATENATE($I$6,"/",B14),Proventos!$D:$D,"&lt;"&amp;CONCATENATE($J$6,"/",B14),Proventos!$J:$J,"="&amp;$H$2),
AND($H$2=Data!$A$5,$K$2=Data!$A$2),SUMIFS(Proventos!$H:$H,Proventos!$D:$D,"&gt;="&amp;CONCATENATE($I$6,"/",B14),Proventos!$D:$D,"&lt;"&amp;CONCATENATE($J$6,"/",B14),Proventos!$J:$J,"="&amp;$H$2),
AND($H$2=Data!$A$6,$K$2=Data!$A$2),SUMIFS(Proventos!$H:$H,Proventos!$D:$D,"&gt;="&amp;CONCATENATE($I$6,"/",B14),Proventos!$D:$D,"&lt;"&amp;CONCATENATE($J$6,"/",B14),Proventos!$J:$J,"="&amp;$H$2),
AND($H$2=Data!$A$7,$K$2=Data!$A$2),SUMIFS(Proventos!$H:$H,Proventos!$D:$D,"&gt;="&amp;CONCATENATE($I$6,"/",B14),Proventos!$D:$D,"&lt;"&amp;CONCATENATE($J$6,"/",B14),Proventos!$J:$J,"="&amp;$H$2),
AND($H$2=Data!$A$8,$K$2=Data!$A$2),SUMIFS(Proventos!$H:$H,Proventos!$D:$D,"&gt;="&amp;CONCATENATE($I$6,"/",B14),Proventos!$D:$D,"&lt;"&amp;CONCATENATE($J$6,"/",B14),Proventos!$J:$J,"="&amp;$H$2),
AND($H$2=Data!$A$9,$K$2=Data!$A$2),SUMIFS(Proventos!$H:$H,Proventos!$D:$D,"&gt;="&amp;CONCATENATE($I$6,"/",B14),Proventos!$D:$D,"&lt;"&amp;CONCATENATE($J$6,"/",B14),Proventos!$J:$J,"="&amp;$H$2),
AND($H$2=Data!$A$10,$K$2=Data!$A$2),SUMIFS(Proventos!$H:$H,Proventos!$D:$D,"&gt;="&amp;CONCATENATE($I$6,"/",B14),Proventos!$D:$D,"&lt;"&amp;CONCATENATE($J$6,"/",B14),Proventos!$J:$J,"="&amp;$H$2),
AND($H$2=Data!$A$11,$K$2=Data!$A$2),SUMIFS(Proventos!$H:$H,Proventos!$D:$D,"&gt;="&amp;CONCATENATE($I$6,"/",B14),Proventos!$D:$D,"&lt;"&amp;CONCATENATE($J$6,"/",B14),Proventos!$J:$J,"="&amp;$H$2),
$K$2=Data!$A$2,SUMIFS(Proventos!$H:$H,Proventos!$D:$D,"&gt;="&amp;CONCATENATE($I$6,"/",B14),Proventos!$D:$D,"&lt;"&amp;CONCATENATE($J$6,"/",B14)),
$K$2&lt;&gt;Data!$A$2,SUMIFS(Proventos!$H:$H,Proventos!$D:$D,"&gt;="&amp;CONCATENATE($I$6,"/",B14),Proventos!$D:$D,"&lt;"&amp;CONCATENATE($J$6,"/",B14),Proventos!$A:$A,"="&amp;$K$2))</f>
        <v>0</v>
      </c>
      <c r="J14" s="245">
        <f>IFS(
AND($H$2=Data!$A$3,$K$2=Data!$A$2),SUMIFS(Proventos!$H:$H,Proventos!$D:$D,"&gt;="&amp;CONCATENATE($J$6,"/",B14),Proventos!$D:$D,"&lt;"&amp;CONCATENATE($K$6,"/",B14),Proventos!$J:$J,"="&amp;$H$2),
AND($H$2=Data!$A$4,$K$2=Data!$A$2),SUMIFS(Proventos!$H:$H,Proventos!$D:$D,"&gt;="&amp;CONCATENATE($J$6,"/",B14),Proventos!$D:$D,"&lt;"&amp;CONCATENATE($K$6,"/",B14),Proventos!$J:$J,"="&amp;$H$2),
AND($H$2=Data!$A$5,$K$2=Data!$A$2),SUMIFS(Proventos!$H:$H,Proventos!$D:$D,"&gt;="&amp;CONCATENATE($J$6,"/",B14),Proventos!$D:$D,"&lt;"&amp;CONCATENATE($K$6,"/",B14),Proventos!$J:$J,"="&amp;$H$2),
AND($H$2=Data!$A$6,$K$2=Data!$A$2),SUMIFS(Proventos!$H:$H,Proventos!$D:$D,"&gt;="&amp;CONCATENATE($J$6,"/",B14),Proventos!$D:$D,"&lt;"&amp;CONCATENATE($K$6,"/",B14),Proventos!$J:$J,"="&amp;$H$2),
AND($H$2=Data!$A$7,$K$2=Data!$A$2),SUMIFS(Proventos!$H:$H,Proventos!$D:$D,"&gt;="&amp;CONCATENATE($J$6,"/",B14),Proventos!$D:$D,"&lt;"&amp;CONCATENATE($K$6,"/",B14),Proventos!$J:$J,"="&amp;$H$2),
AND($H$2=Data!$A$8,$K$2=Data!$A$2),SUMIFS(Proventos!$H:$H,Proventos!$D:$D,"&gt;="&amp;CONCATENATE($J$6,"/",B14),Proventos!$D:$D,"&lt;"&amp;CONCATENATE($K$6,"/",B14),Proventos!$J:$J,"="&amp;$H$2),
AND($H$2=Data!$A$9,$K$2=Data!$A$2),SUMIFS(Proventos!$H:$H,Proventos!$D:$D,"&gt;="&amp;CONCATENATE($J$6,"/",B14),Proventos!$D:$D,"&lt;"&amp;CONCATENATE($K$6,"/",B14),Proventos!$J:$J,"="&amp;$H$2),
AND($H$2=Data!$A$10,$K$2=Data!$A$2),SUMIFS(Proventos!$H:$H,Proventos!$D:$D,"&gt;="&amp;CONCATENATE($J$6,"/",B14),Proventos!$D:$D,"&lt;"&amp;CONCATENATE($K$6,"/",B14),Proventos!$J:$J,"="&amp;$H$2),
AND($H$2=Data!$A$11,$K$2=Data!$A$2),SUMIFS(Proventos!$H:$H,Proventos!$D:$D,"&gt;="&amp;CONCATENATE($J$6,"/",B14),Proventos!$D:$D,"&lt;"&amp;CONCATENATE($K$6,"/",B14),Proventos!$J:$J,"="&amp;$H$2),
$K$2=Data!$A$2,SUMIFS(Proventos!$H:$H,Proventos!$D:$D,"&gt;="&amp;CONCATENATE($J$6,"/",B14),Proventos!$D:$D,"&lt;"&amp;CONCATENATE($K$6,"/",B14)),
$K$2&lt;&gt;Data!$A$2,SUMIFS(Proventos!$H:$H,Proventos!$D:$D,"&gt;="&amp;CONCATENATE($J$6,"/",B14),Proventos!$D:$D,"&lt;"&amp;CONCATENATE($K$6,"/",B14),Proventos!$A:$A,"="&amp;$K$2))</f>
        <v>0</v>
      </c>
      <c r="K14" s="245">
        <f>IFS(
AND($H$2=Data!$A$3,$K$2=Data!$A$2),SUMIFS(Proventos!$H:$H,Proventos!$D:$D,"&gt;="&amp;CONCATENATE($K$6,"/",B14),Proventos!$D:$D,"&lt;"&amp;CONCATENATE($L$6,"/",B14),Proventos!$J:$J,"="&amp;$H$2),
AND($H$2=Data!$A$4,$K$2=Data!$A$2),SUMIFS(Proventos!$H:$H,Proventos!$D:$D,"&gt;="&amp;CONCATENATE($K$6,"/",B14),Proventos!$D:$D,"&lt;"&amp;CONCATENATE($L$6,"/",B14),Proventos!$J:$J,"="&amp;$H$2),
AND($H$2=Data!$A$5,$K$2=Data!$A$2),SUMIFS(Proventos!$H:$H,Proventos!$D:$D,"&gt;="&amp;CONCATENATE($K$6,"/",B14),Proventos!$D:$D,"&lt;"&amp;CONCATENATE($L$6,"/",B14),Proventos!$J:$J,"="&amp;$H$2),
AND($H$2=Data!$A$6,$K$2=Data!$A$2),SUMIFS(Proventos!$H:$H,Proventos!$D:$D,"&gt;="&amp;CONCATENATE($K$6,"/",B14),Proventos!$D:$D,"&lt;"&amp;CONCATENATE($L$6,"/",B14),Proventos!$J:$J,"="&amp;$H$2),
AND($H$2=Data!$A$7,$K$2=Data!$A$2),SUMIFS(Proventos!$H:$H,Proventos!$D:$D,"&gt;="&amp;CONCATENATE($K$6,"/",B14),Proventos!$D:$D,"&lt;"&amp;CONCATENATE($L$6,"/",B14),Proventos!$J:$J,"="&amp;$H$2),
AND($H$2=Data!$A$8,$K$2=Data!$A$2),SUMIFS(Proventos!$H:$H,Proventos!$D:$D,"&gt;="&amp;CONCATENATE($K$6,"/",B14),Proventos!$D:$D,"&lt;"&amp;CONCATENATE($L$6,"/",B14),Proventos!$J:$J,"="&amp;$H$2),
AND($H$2=Data!$A$9,$K$2=Data!$A$2),SUMIFS(Proventos!$H:$H,Proventos!$D:$D,"&gt;="&amp;CONCATENATE($K$6,"/",B14),Proventos!$D:$D,"&lt;"&amp;CONCATENATE($L$6,"/",B14),Proventos!$J:$J,"="&amp;$H$2),
AND($H$2=Data!$A$10,$K$2=Data!$A$2),SUMIFS(Proventos!$H:$H,Proventos!$D:$D,"&gt;="&amp;CONCATENATE($K$6,"/",B14),Proventos!$D:$D,"&lt;"&amp;CONCATENATE($L$6,"/",B14),Proventos!$J:$J,"="&amp;$H$2),
AND($H$2=Data!$A$11,$K$2=Data!$A$2),SUMIFS(Proventos!$H:$H,Proventos!$D:$D,"&gt;="&amp;CONCATENATE($K$6,"/",B14),Proventos!$D:$D,"&lt;"&amp;CONCATENATE($L$6,"/",B14),Proventos!$J:$J,"="&amp;$H$2),
$K$2=Data!$A$2,SUMIFS(Proventos!$H:$H,Proventos!$D:$D,"&gt;="&amp;CONCATENATE($K$6,"/",B14),Proventos!$D:$D,"&lt;"&amp;CONCATENATE($L$6,"/",B14)),
$K$2&lt;&gt;Data!$A$2,SUMIFS(Proventos!$H:$H,Proventos!$D:$D,"&gt;="&amp;CONCATENATE($K$6,"/",B14),Proventos!$D:$D,"&lt;"&amp;CONCATENATE($L$6,"/",B14),Proventos!$A:$A,"="&amp;$K$2))</f>
        <v>0</v>
      </c>
      <c r="L14" s="245">
        <f>IFS(
AND($H$2=Data!$A$3,$K$2=Data!$A$2),SUMIFS(Proventos!$H:$H,Proventos!$D:$D,"&gt;="&amp;CONCATENATE($L$6,"/",B14),Proventos!$D:$D,"&lt;"&amp;CONCATENATE($M$6,"/",B14),Proventos!$J:$J,"="&amp;$H$2),
AND($H$2=Data!$A$4,$K$2=Data!$A$2),SUMIFS(Proventos!$H:$H,Proventos!$D:$D,"&gt;="&amp;CONCATENATE($L$6,"/",B14),Proventos!$D:$D,"&lt;"&amp;CONCATENATE($M$6,"/",B14),Proventos!$J:$J,"="&amp;$H$2),
AND($H$2=Data!$A$5,$K$2=Data!$A$2),SUMIFS(Proventos!$H:$H,Proventos!$D:$D,"&gt;="&amp;CONCATENATE($L$6,"/",B14),Proventos!$D:$D,"&lt;"&amp;CONCATENATE($M$6,"/",B14),Proventos!$J:$J,"="&amp;$H$2),
AND($H$2=Data!$A$6,$K$2=Data!$A$2),SUMIFS(Proventos!$H:$H,Proventos!$D:$D,"&gt;="&amp;CONCATENATE($L$6,"/",B14),Proventos!$D:$D,"&lt;"&amp;CONCATENATE($M$6,"/",B14),Proventos!$J:$J,"="&amp;$H$2),
AND($H$2=Data!$A$7,$K$2=Data!$A$2),SUMIFS(Proventos!$H:$H,Proventos!$D:$D,"&gt;="&amp;CONCATENATE($L$6,"/",B14),Proventos!$D:$D,"&lt;"&amp;CONCATENATE($M$6,"/",B14),Proventos!$J:$J,"="&amp;$H$2),
AND($H$2=Data!$A$8,$K$2=Data!$A$2),SUMIFS(Proventos!$H:$H,Proventos!$D:$D,"&gt;="&amp;CONCATENATE($L$6,"/",B14),Proventos!$D:$D,"&lt;"&amp;CONCATENATE($M$6,"/",B14),Proventos!$J:$J,"="&amp;$H$2),
AND($H$2=Data!$A$9,$K$2=Data!$A$2),SUMIFS(Proventos!$H:$H,Proventos!$D:$D,"&gt;="&amp;CONCATENATE($L$6,"/",B14),Proventos!$D:$D,"&lt;"&amp;CONCATENATE($M$6,"/",B14),Proventos!$J:$J,"="&amp;$H$2),
AND($H$2=Data!$A$10,$K$2=Data!$A$2),SUMIFS(Proventos!$H:$H,Proventos!$D:$D,"&gt;="&amp;CONCATENATE($L$6,"/",B14),Proventos!$D:$D,"&lt;"&amp;CONCATENATE($M$6,"/",B14),Proventos!$J:$J,"="&amp;$H$2),
AND($H$2=Data!$A$11,$K$2=Data!$A$2),SUMIFS(Proventos!$H:$H,Proventos!$D:$D,"&gt;="&amp;CONCATENATE($L$6,"/",B14),Proventos!$D:$D,"&lt;"&amp;CONCATENATE($M$6,"/",B14),Proventos!$J:$J,"="&amp;$H$2),
$K$2=Data!$A$2,SUMIFS(Proventos!$H:$H,Proventos!$D:$D,"&gt;="&amp;CONCATENATE($L$6,"/",B14),Proventos!$D:$D,"&lt;"&amp;CONCATENATE($M$6,"/",B14)),
$K$2&lt;&gt;Data!$A$2,SUMIFS(Proventos!$H:$H,Proventos!$D:$D,"&gt;="&amp;CONCATENATE($L$6,"/",B14),Proventos!$D:$D,"&lt;"&amp;CONCATENATE($M$6,"/",B14),Proventos!$A:$A,"="&amp;$K$2))</f>
        <v>0</v>
      </c>
      <c r="M14" s="245">
        <f>IFS(
AND($H$2=Data!$A$3,$K$2=Data!$A$2),SUMIFS(Proventos!$H:$H,Proventos!$D:$D,"&gt;="&amp;CONCATENATE($M$6,"/",B14),Proventos!$D:$D,"&lt;"&amp;CONCATENATE($N$6,"/",B14),Proventos!$J:$J,"="&amp;$H$2),
AND($H$2=Data!$A$4,$K$2=Data!$A$2),SUMIFS(Proventos!$H:$H,Proventos!$D:$D,"&gt;="&amp;CONCATENATE($M$6,"/",B14),Proventos!$D:$D,"&lt;"&amp;CONCATENATE($N$6,"/",B14),Proventos!$J:$J,"="&amp;$H$2),
AND($H$2=Data!$A$5,$K$2=Data!$A$2),SUMIFS(Proventos!$H:$H,Proventos!$D:$D,"&gt;="&amp;CONCATENATE($M$6,"/",B14),Proventos!$D:$D,"&lt;"&amp;CONCATENATE($N$6,"/",B14),Proventos!$J:$J,"="&amp;$H$2),
AND($H$2=Data!$A$6,$K$2=Data!$A$2),SUMIFS(Proventos!$H:$H,Proventos!$D:$D,"&gt;="&amp;CONCATENATE($M$6,"/",B14),Proventos!$D:$D,"&lt;"&amp;CONCATENATE($N$6,"/",B14),Proventos!$J:$J,"="&amp;$H$2),
AND($H$2=Data!$A$7,$K$2=Data!$A$2),SUMIFS(Proventos!$H:$H,Proventos!$D:$D,"&gt;="&amp;CONCATENATE($M$6,"/",B14),Proventos!$D:$D,"&lt;"&amp;CONCATENATE($N$6,"/",B14),Proventos!$J:$J,"="&amp;$H$2),
AND($H$2=Data!$A$8,$K$2=Data!$A$2),SUMIFS(Proventos!$H:$H,Proventos!$D:$D,"&gt;="&amp;CONCATENATE($M$6,"/",B14),Proventos!$D:$D,"&lt;"&amp;CONCATENATE($N$6,"/",B14),Proventos!$J:$J,"="&amp;$H$2),
AND($H$2=Data!$A$9,$K$2=Data!$A$2),SUMIFS(Proventos!$H:$H,Proventos!$D:$D,"&gt;="&amp;CONCATENATE($M$6,"/",B14),Proventos!$D:$D,"&lt;"&amp;CONCATENATE($N$6,"/",B14),Proventos!$J:$J,"="&amp;$H$2),
AND($H$2=Data!$A$10,$K$2=Data!$A$2),SUMIFS(Proventos!$H:$H,Proventos!$D:$D,"&gt;="&amp;CONCATENATE($M$6,"/",B14),Proventos!$D:$D,"&lt;"&amp;CONCATENATE($N$6,"/",B14),Proventos!$J:$J,"="&amp;$H$2),
AND($H$2=Data!$A$11,$K$2=Data!$A$2),SUMIFS(Proventos!$H:$H,Proventos!$D:$D,"&gt;="&amp;CONCATENATE($M$6,"/",B14),Proventos!$D:$D,"&lt;"&amp;CONCATENATE($N$6,"/",B14),Proventos!$J:$J,"="&amp;$H$2),
$K$2=Data!$A$2,SUMIFS(Proventos!$H:$H,Proventos!$D:$D,"&gt;="&amp;CONCATENATE($M$6,"/",B14),Proventos!$D:$D,"&lt;"&amp;CONCATENATE($N$6,"/",B14)),
$K$2&lt;&gt;Data!$A$2,SUMIFS(Proventos!$H:$H,Proventos!$D:$D,"&gt;="&amp;CONCATENATE($M$6,"/",B14),Proventos!$D:$D,"&lt;"&amp;CONCATENATE($N$6,"/",B14),Proventos!$A:$A,"="&amp;$K$2))</f>
        <v>0</v>
      </c>
      <c r="N14" s="245">
        <f>IFS(
AND($H$2=Data!$A$3,$K$2=Data!$A$2),SUMIFS(Proventos!$H:$H,Proventos!$D:$D,"&gt;="&amp;CONCATENATE($N$6,"/",B14),Proventos!$D:$D,"&lt;"&amp;CONCATENATE($C$6,"/",B15),Proventos!$J:$J,"="&amp;$H$2),
AND($H$2=Data!$A$4,$K$2=Data!$A$2),SUMIFS(Proventos!$H:$H,Proventos!$D:$D,"&gt;="&amp;CONCATENATE($N$6,"/",B14),Proventos!$D:$D,"&lt;"&amp;CONCATENATE($C$6,"/",B15),Proventos!$J:$J,"="&amp;$H$2),
AND($H$2=Data!$A$5,$K$2=Data!$A$2),SUMIFS(Proventos!$H:$H,Proventos!$D:$D,"&gt;="&amp;CONCATENATE($N$6,"/",B14),Proventos!$D:$D,"&lt;"&amp;CONCATENATE($C$6,"/",B15),Proventos!$J:$J,"="&amp;$H$2),
AND($H$2=Data!$A$6,$K$2=Data!$A$2),SUMIFS(Proventos!$H:$H,Proventos!$D:$D,"&gt;="&amp;CONCATENATE($N$6,"/",B14),Proventos!$D:$D,"&lt;"&amp;CONCATENATE($C$6,"/",B15),Proventos!$J:$J,"="&amp;$H$2),
AND($H$2=Data!$A$7,$K$2=Data!$A$2),SUMIFS(Proventos!$H:$H,Proventos!$D:$D,"&gt;="&amp;CONCATENATE($N$6,"/",B14),Proventos!$D:$D,"&lt;"&amp;CONCATENATE($C$6,"/",B15),Proventos!$J:$J,"="&amp;$H$2),
AND($H$2=Data!$A$8,$K$2=Data!$A$2),SUMIFS(Proventos!$H:$H,Proventos!$D:$D,"&gt;="&amp;CONCATENATE($N$6,"/",B14),Proventos!$D:$D,"&lt;"&amp;CONCATENATE($C$6,"/",B15),Proventos!$J:$J,"="&amp;$H$2),
AND($H$2=Data!$A$9,$K$2=Data!$A$2),SUMIFS(Proventos!$H:$H,Proventos!$D:$D,"&gt;="&amp;CONCATENATE($N$6,"/",B14),Proventos!$D:$D,"&lt;"&amp;CONCATENATE($C$6,"/",B15),Proventos!$J:$J,"="&amp;$H$2),
AND($H$2=Data!$A$10,$K$2=Data!$A$2),SUMIFS(Proventos!$H:$H,Proventos!$D:$D,"&gt;="&amp;CONCATENATE($N$6,"/",B14),Proventos!$D:$D,"&lt;"&amp;CONCATENATE($C$6,"/",B15),Proventos!$J:$J,"="&amp;$H$2),
AND($H$2=Data!$A$11,$K$2=Data!$A$2),SUMIFS(Proventos!$H:$H,Proventos!$D:$D,"&gt;="&amp;CONCATENATE($N$6,"/",B14),Proventos!$D:$D,"&lt;"&amp;CONCATENATE($C$6,"/",B15),Proventos!$J:$J,"="&amp;$H$2),
$K$2=Data!$A$2,SUMIFS(Proventos!$H:$H,Proventos!$D:$D,"&gt;="&amp;CONCATENATE($N$6,"/",B14),Proventos!$D:$D,"&lt;"&amp;CONCATENATE($C$6,"/",B15)),
$K$2&lt;&gt;Data!$A$2,SUMIFS(Proventos!$H:$H,Proventos!$D:$D,"&gt;="&amp;CONCATENATE($N$6,"/",B14),Proventos!$D:$D,"&lt;"&amp;CONCATENATE($C$6,"/",B15),Proventos!$A:$A,"="&amp;$K$2))</f>
        <v>0</v>
      </c>
      <c r="O14" s="245"/>
      <c r="P14" s="245">
        <f t="shared" si="1"/>
        <v>0</v>
      </c>
      <c r="Q14" s="245">
        <f t="shared" si="2"/>
        <v>0</v>
      </c>
    </row>
    <row r="15" ht="32.25" customHeight="1">
      <c r="A15" s="230" t="str">
        <f>IFERROR(__xludf.DUMMYFUNCTION("""COMPUTED_VALUE"""),"ETHBRL")</f>
        <v>ETHBRL</v>
      </c>
      <c r="B15" s="244"/>
      <c r="C15" s="245">
        <f>IFS(
AND($H$2=Data!$A$3,$K$2=Data!$A$2),SUMIFS(Proventos!$H:$H,Proventos!$D:$D,"&gt;="&amp;CONCATENATE($C$6,"/",B15),Proventos!$D:$D,"&lt;"&amp;CONCATENATE($D$6,"/",B15),Proventos!$J:$J,"="&amp;$H$2),
AND($H$2=Data!$A$4,$K$2=Data!$A$2),SUMIFS(Proventos!$H:$H,Proventos!$D:$D,"&gt;="&amp;CONCATENATE($C$6,"/",B15),Proventos!$D:$D,"&lt;"&amp;CONCATENATE($D$6,"/",B15),Proventos!$J:$J,"="&amp;$H$2),
AND($H$2=Data!$A$5,$K$2=Data!$A$2),SUMIFS(Proventos!$H:$H,Proventos!$D:$D,"&gt;="&amp;CONCATENATE($C$6,"/",B15),Proventos!$D:$D,"&lt;"&amp;CONCATENATE($D$6,"/",B15),Proventos!$J:$J,"="&amp;$H$2),
AND($H$2=Data!$A$6,$K$2=Data!$A$2),SUMIFS(Proventos!$H:$H,Proventos!$D:$D,"&gt;="&amp;CONCATENATE($C$6,"/",B15),Proventos!$D:$D,"&lt;"&amp;CONCATENATE($D$6,"/",B15),Proventos!$J:$J,"="&amp;$H$2),
AND($H$2=Data!$A$7,$K$2=Data!$A$2),SUMIFS(Proventos!$H:$H,Proventos!$D:$D,"&gt;="&amp;CONCATENATE($C$6,"/",B15),Proventos!$D:$D,"&lt;"&amp;CONCATENATE($D$6,"/",B15),Proventos!$J:$J,"="&amp;$H$2),
AND($H$2=Data!$A$8,$K$2=Data!$A$2),SUMIFS(Proventos!$H:$H,Proventos!$D:$D,"&gt;="&amp;CONCATENATE($C$6,"/",B15),Proventos!$D:$D,"&lt;"&amp;CONCATENATE($D$6,"/",B15),Proventos!$J:$J,"="&amp;$H$2),
AND($H$2=Data!$A$9,$K$2=Data!$A$2),SUMIFS(Proventos!$H:$H,Proventos!$D:$D,"&gt;="&amp;CONCATENATE($C$6,"/",B15),Proventos!$D:$D,"&lt;"&amp;CONCATENATE($D$6,"/",B15),Proventos!$J:$J,"="&amp;$H$2),
AND($H$2=Data!$A$10,$K$2=Data!$A$2),SUMIFS(Proventos!$H:$H,Proventos!$D:$D,"&gt;="&amp;CONCATENATE($C$6,"/",B15),Proventos!$D:$D,"&lt;"&amp;CONCATENATE($D$6,"/",B15),Proventos!$J:$J,"="&amp;$H$2),
AND($H$2=Data!$A$11,$K$2=Data!$A$2),SUMIFS(Proventos!$H:$H,Proventos!$D:$D,"&gt;="&amp;CONCATENATE($C$6,"/",B15),Proventos!$D:$D,"&lt;"&amp;CONCATENATE($D$6,"/",B15),Proventos!$J:$J,"="&amp;$H$2),
$K$2=Data!$A$2,SUMIFS(Proventos!$H:$H,Proventos!$D:$D,"&gt;="&amp;CONCATENATE($C$6,"/",B15),Proventos!$D:$D,"&lt;"&amp;CONCATENATE($D$6,"/",B15)),
$K$2&lt;&gt;Data!$A$2,SUMIFS(Proventos!$H:$H,Proventos!$D:$D,"&gt;="&amp;CONCATENATE($C$6,"/",B15),Proventos!$D:$D,"&lt;"&amp;CONCATENATE($D$6,"/",B15),Proventos!$A:$A,"="&amp;$K$2))</f>
        <v>0</v>
      </c>
      <c r="D15" s="245">
        <f>IFS(
AND($H$2=Data!$A$3,$K$2=Data!$A$2),SUMIFS(Proventos!$H:$H,Proventos!$D:$D,"&gt;="&amp;CONCATENATE($D$6,"/",B15),Proventos!$D:$D,"&lt;"&amp;CONCATENATE($E$6,"/",B15),Proventos!$J:$J,"="&amp;$H$2),
AND($H$2=Data!$A$4,$K$2=Data!$A$2),SUMIFS(Proventos!$H:$H,Proventos!$D:$D,"&gt;="&amp;CONCATENATE($D$6,"/",B15),Proventos!$D:$D,"&lt;"&amp;CONCATENATE($E$6,"/",B15),Proventos!$J:$J,"="&amp;$H$2),
AND($H$2=Data!$A$5,$K$2=Data!$A$2),SUMIFS(Proventos!$H:$H,Proventos!$D:$D,"&gt;="&amp;CONCATENATE($D$6,"/",B15),Proventos!$D:$D,"&lt;"&amp;CONCATENATE($E$6,"/",B15),Proventos!$J:$J,"="&amp;$H$2),
AND($H$2=Data!$A$6,$K$2=Data!$A$2),SUMIFS(Proventos!$H:$H,Proventos!$D:$D,"&gt;="&amp;CONCATENATE($D$6,"/",B15),Proventos!$D:$D,"&lt;"&amp;CONCATENATE($E$6,"/",B15),Proventos!$J:$J,"="&amp;$H$2),
AND($H$2=Data!$A$7,$K$2=Data!$A$2),SUMIFS(Proventos!$H:$H,Proventos!$D:$D,"&gt;="&amp;CONCATENATE($D$6,"/",B15),Proventos!$D:$D,"&lt;"&amp;CONCATENATE($E$6,"/",B15),Proventos!$J:$J,"="&amp;$H$2),
AND($H$2=Data!$A$8,$K$2=Data!$A$2),SUMIFS(Proventos!$H:$H,Proventos!$D:$D,"&gt;="&amp;CONCATENATE($D$6,"/",B15),Proventos!$D:$D,"&lt;"&amp;CONCATENATE($E$6,"/",B15),Proventos!$J:$J,"="&amp;$H$2),
AND($H$2=Data!$A$9,$K$2=Data!$A$2),SUMIFS(Proventos!$H:$H,Proventos!$D:$D,"&gt;="&amp;CONCATENATE($D$6,"/",B15),Proventos!$D:$D,"&lt;"&amp;CONCATENATE($E$6,"/",B15),Proventos!$J:$J,"="&amp;$H$2),
AND($H$2=Data!$A$10,$K$2=Data!$A$2),SUMIFS(Proventos!$H:$H,Proventos!$D:$D,"&gt;="&amp;CONCATENATE($D$6,"/",B15),Proventos!$D:$D,"&lt;"&amp;CONCATENATE($E$6,"/",B15),Proventos!$J:$J,"="&amp;$H$2),
AND($H$2=Data!$A$11,$K$2=Data!$A$2),SUMIFS(Proventos!$H:$H,Proventos!$D:$D,"&gt;="&amp;CONCATENATE($D$6,"/",B15),Proventos!$D:$D,"&lt;"&amp;CONCATENATE($E$6,"/",B15),Proventos!$J:$J,"="&amp;$H$2),
$K$2=Data!$A$2,SUMIFS(Proventos!$H:$H,Proventos!$D:$D,"&gt;="&amp;CONCATENATE($D$6,"/",B15),Proventos!$D:$D,"&lt;"&amp;CONCATENATE($E$6,"/",B15)),
$K$2&lt;&gt;Data!$A$2,SUMIFS(Proventos!$H:$H,Proventos!$D:$D,"&gt;="&amp;CONCATENATE($D$6,"/",B15),Proventos!$D:$D,"&lt;"&amp;CONCATENATE($E$6,"/",B15),Proventos!$A:$A,"="&amp;$K$2))</f>
        <v>0</v>
      </c>
      <c r="E15" s="245">
        <f>IFS(
AND($H$2=Data!$A$3,$K$2=Data!$A$2),SUMIFS(Proventos!$H:$H,Proventos!$D:$D,"&gt;="&amp;CONCATENATE($E$6,"/",B15),Proventos!$D:$D,"&lt;"&amp;CONCATENATE($F$6,"/",B15),Proventos!$J:$J,"="&amp;$H$2),
AND($H$2=Data!$A$4,$K$2=Data!$A$2),SUMIFS(Proventos!$H:$H,Proventos!$D:$D,"&gt;="&amp;CONCATENATE($E$6,"/",B15),Proventos!$D:$D,"&lt;"&amp;CONCATENATE($F$6,"/",B15),Proventos!$J:$J,"="&amp;$H$2),
AND($H$2=Data!$A$5,$K$2=Data!$A$2),SUMIFS(Proventos!$H:$H,Proventos!$D:$D,"&gt;="&amp;CONCATENATE($E$6,"/",B15),Proventos!$D:$D,"&lt;"&amp;CONCATENATE($F$6,"/",B15),Proventos!$J:$J,"="&amp;$H$2),
AND($H$2=Data!$A$6,$K$2=Data!$A$2),SUMIFS(Proventos!$H:$H,Proventos!$D:$D,"&gt;="&amp;CONCATENATE($E$6,"/",B15),Proventos!$D:$D,"&lt;"&amp;CONCATENATE($F$6,"/",B15),Proventos!$J:$J,"="&amp;$H$2),
AND($H$2=Data!$A$7,$K$2=Data!$A$2),SUMIFS(Proventos!$H:$H,Proventos!$D:$D,"&gt;="&amp;CONCATENATE($E$6,"/",B15),Proventos!$D:$D,"&lt;"&amp;CONCATENATE($F$6,"/",B15),Proventos!$J:$J,"="&amp;$H$2),
AND($H$2=Data!$A$8,$K$2=Data!$A$2),SUMIFS(Proventos!$H:$H,Proventos!$D:$D,"&gt;="&amp;CONCATENATE($E$6,"/",B15),Proventos!$D:$D,"&lt;"&amp;CONCATENATE($F$6,"/",B15),Proventos!$J:$J,"="&amp;$H$2),
AND($H$2=Data!$A$9,$K$2=Data!$A$2),SUMIFS(Proventos!$H:$H,Proventos!$D:$D,"&gt;="&amp;CONCATENATE($E$6,"/",B15),Proventos!$D:$D,"&lt;"&amp;CONCATENATE($F$6,"/",B15),Proventos!$J:$J,"="&amp;$H$2),
AND($H$2=Data!$A$10,$K$2=Data!$A$2),SUMIFS(Proventos!$H:$H,Proventos!$D:$D,"&gt;="&amp;CONCATENATE($E$6,"/",B15),Proventos!$D:$D,"&lt;"&amp;CONCATENATE($F$6,"/",B15),Proventos!$J:$J,"="&amp;$H$2),
AND($H$2=Data!$A$11,$K$2=Data!$A$2),SUMIFS(Proventos!$H:$H,Proventos!$D:$D,"&gt;="&amp;CONCATENATE($E$6,"/",B15),Proventos!$D:$D,"&lt;"&amp;CONCATENATE($F$6,"/",B15),Proventos!$J:$J,"="&amp;$H$2),
$K$2=Data!$A$2,SUMIFS(Proventos!$H:$H,Proventos!$D:$D,"&gt;="&amp;CONCATENATE($E$6,"/",B15),Proventos!$D:$D,"&lt;"&amp;CONCATENATE($F$6,"/",B15)),
$K$2&lt;&gt;Data!$A$2,SUMIFS(Proventos!$H:$H,Proventos!$D:$D,"&gt;="&amp;CONCATENATE($E$6,"/",B15),Proventos!$D:$D,"&lt;"&amp;CONCATENATE($F$6,"/",B15),Proventos!$A:$A,"="&amp;$K$2))</f>
        <v>0</v>
      </c>
      <c r="F15" s="245">
        <f>IFS(
AND($H$2=Data!$A$3,$K$2=Data!$A$2),SUMIFS(Proventos!$H:$H,Proventos!$D:$D,"&gt;="&amp;CONCATENATE($F$6,"/",B15),Proventos!$D:$D,"&lt;"&amp;CONCATENATE($G$6,"/",B15),Proventos!$J:$J,"="&amp;$H$2),
AND($H$2=Data!$A$4,$K$2=Data!$A$2),SUMIFS(Proventos!$H:$H,Proventos!$D:$D,"&gt;="&amp;CONCATENATE($F$6,"/",B15),Proventos!$D:$D,"&lt;"&amp;CONCATENATE($G$6,"/",B15),Proventos!$J:$J,"="&amp;$H$2),
AND($H$2=Data!$A$5,$K$2=Data!$A$2),SUMIFS(Proventos!$H:$H,Proventos!$D:$D,"&gt;="&amp;CONCATENATE($F$6,"/",B15),Proventos!$D:$D,"&lt;"&amp;CONCATENATE($G$6,"/",B15),Proventos!$J:$J,"="&amp;$H$2),
AND($H$2=Data!$A$6,$K$2=Data!$A$2),SUMIFS(Proventos!$H:$H,Proventos!$D:$D,"&gt;="&amp;CONCATENATE($F$6,"/",B15),Proventos!$D:$D,"&lt;"&amp;CONCATENATE($G$6,"/",B15),Proventos!$J:$J,"="&amp;$H$2),
AND($H$2=Data!$A$7,$K$2=Data!$A$2),SUMIFS(Proventos!$H:$H,Proventos!$D:$D,"&gt;="&amp;CONCATENATE($F$6,"/",B15),Proventos!$D:$D,"&lt;"&amp;CONCATENATE($G$6,"/",B15),Proventos!$J:$J,"="&amp;$H$2),
AND($H$2=Data!$A$8,$K$2=Data!$A$2),SUMIFS(Proventos!$H:$H,Proventos!$D:$D,"&gt;="&amp;CONCATENATE($F$6,"/",B15),Proventos!$D:$D,"&lt;"&amp;CONCATENATE($G$6,"/",B15),Proventos!$J:$J,"="&amp;$H$2),
AND($H$2=Data!$A$9,$K$2=Data!$A$2),SUMIFS(Proventos!$H:$H,Proventos!$D:$D,"&gt;="&amp;CONCATENATE($F$6,"/",B15),Proventos!$D:$D,"&lt;"&amp;CONCATENATE($G$6,"/",B15),Proventos!$J:$J,"="&amp;$H$2),
AND($H$2=Data!$A$10,$K$2=Data!$A$2),SUMIFS(Proventos!$H:$H,Proventos!$D:$D,"&gt;="&amp;CONCATENATE($F$6,"/",B15),Proventos!$D:$D,"&lt;"&amp;CONCATENATE($G$6,"/",B15),Proventos!$J:$J,"="&amp;$H$2),
AND($H$2=Data!$A$11,$K$2=Data!$A$2),SUMIFS(Proventos!$H:$H,Proventos!$D:$D,"&gt;="&amp;CONCATENATE($F$6,"/",B15),Proventos!$D:$D,"&lt;"&amp;CONCATENATE($G$6,"/",B15),Proventos!$J:$J,"="&amp;$H$2),
$K$2=Data!$A$2,SUMIFS(Proventos!$H:$H,Proventos!$D:$D,"&gt;="&amp;CONCATENATE($F$6,"/",B15),Proventos!$D:$D,"&lt;"&amp;CONCATENATE($G$6,"/",B15)),
$K$2&lt;&gt;Data!$A$2,SUMIFS(Proventos!$H:$H,Proventos!$D:$D,"&gt;="&amp;CONCATENATE($F$6,"/",B15),Proventos!$D:$D,"&lt;"&amp;CONCATENATE($G$6,"/",B15),Proventos!$A:$A,"="&amp;$K$2))</f>
        <v>0</v>
      </c>
      <c r="G15" s="245">
        <f>IFS(
AND($H$2=Data!$A$3,$K$2=Data!$A$2),SUMIFS(Proventos!$H:$H,Proventos!$D:$D,"&gt;="&amp;CONCATENATE($G$6,"/",B15),Proventos!$D:$D,"&lt;"&amp;CONCATENATE($H$6,"/",B15),Proventos!$J:$J,"="&amp;$H$2),
AND($H$2=Data!$A$4,$K$2=Data!$A$2),SUMIFS(Proventos!$H:$H,Proventos!$D:$D,"&gt;="&amp;CONCATENATE($G$6,"/",B15),Proventos!$D:$D,"&lt;"&amp;CONCATENATE($H$6,"/",B15),Proventos!$J:$J,"="&amp;$H$2),
AND($H$2=Data!$A$5,$K$2=Data!$A$2),SUMIFS(Proventos!$H:$H,Proventos!$D:$D,"&gt;="&amp;CONCATENATE($G$6,"/",B15),Proventos!$D:$D,"&lt;"&amp;CONCATENATE($H$6,"/",B15),Proventos!$J:$J,"="&amp;$H$2),
AND($H$2=Data!$A$6,$K$2=Data!$A$2),SUMIFS(Proventos!$H:$H,Proventos!$D:$D,"&gt;="&amp;CONCATENATE($G$6,"/",B15),Proventos!$D:$D,"&lt;"&amp;CONCATENATE($H$6,"/",B15),Proventos!$J:$J,"="&amp;$H$2),
AND($H$2=Data!$A$7,$K$2=Data!$A$2),SUMIFS(Proventos!$H:$H,Proventos!$D:$D,"&gt;="&amp;CONCATENATE($G$6,"/",B15),Proventos!$D:$D,"&lt;"&amp;CONCATENATE($H$6,"/",B15),Proventos!$J:$J,"="&amp;$H$2),
AND($H$2=Data!$A$8,$K$2=Data!$A$2),SUMIFS(Proventos!$H:$H,Proventos!$D:$D,"&gt;="&amp;CONCATENATE($G$6,"/",B15),Proventos!$D:$D,"&lt;"&amp;CONCATENATE($H$6,"/",B15),Proventos!$J:$J,"="&amp;$H$2),
AND($H$2=Data!$A$9,$K$2=Data!$A$2),SUMIFS(Proventos!$H:$H,Proventos!$D:$D,"&gt;="&amp;CONCATENATE($G$6,"/",B15),Proventos!$D:$D,"&lt;"&amp;CONCATENATE($H$6,"/",B15),Proventos!$J:$J,"="&amp;$H$2),
AND($H$2=Data!$A$10,$K$2=Data!$A$2),SUMIFS(Proventos!$H:$H,Proventos!$D:$D,"&gt;="&amp;CONCATENATE($G$6,"/",B15),Proventos!$D:$D,"&lt;"&amp;CONCATENATE($H$6,"/",B15),Proventos!$J:$J,"="&amp;$H$2),
AND($H$2=Data!$A$11,$K$2=Data!$A$2),SUMIFS(Proventos!$H:$H,Proventos!$D:$D,"&gt;="&amp;CONCATENATE($G$6,"/",B15),Proventos!$D:$D,"&lt;"&amp;CONCATENATE($H$6,"/",B15),Proventos!$J:$J,"="&amp;$H$2),
$K$2=Data!$A$2,SUMIFS(Proventos!$H:$H,Proventos!$D:$D,"&gt;="&amp;CONCATENATE($G$6,"/",B15),Proventos!$D:$D,"&lt;"&amp;CONCATENATE($H$6,"/",B15)),
$K$2&lt;&gt;Data!$A$2,SUMIFS(Proventos!$H:$H,Proventos!$D:$D,"&gt;="&amp;CONCATENATE($G$6,"/",B15),Proventos!$D:$D,"&lt;"&amp;CONCATENATE($H$6,"/",B15),Proventos!$A:$A,"="&amp;$K$2))</f>
        <v>0</v>
      </c>
      <c r="H15" s="245">
        <f>IFS(
AND($H$2=Data!$A$3,$K$2=Data!$A$2),SUMIFS(Proventos!$H:$H,Proventos!$D:$D,"&gt;="&amp;CONCATENATE($H$6,"/",B15),Proventos!$D:$D,"&lt;"&amp;CONCATENATE($I$6,"/",B15),Proventos!$J:$J,"="&amp;$H$2),
AND($H$2=Data!$A$4,$K$2=Data!$A$2),SUMIFS(Proventos!$H:$H,Proventos!$D:$D,"&gt;="&amp;CONCATENATE($H$6,"/",B15),Proventos!$D:$D,"&lt;"&amp;CONCATENATE($I$6,"/",B15),Proventos!$J:$J,"="&amp;$H$2),
AND($H$2=Data!$A$5,$K$2=Data!$A$2),SUMIFS(Proventos!$H:$H,Proventos!$D:$D,"&gt;="&amp;CONCATENATE($H$6,"/",B15),Proventos!$D:$D,"&lt;"&amp;CONCATENATE($I$6,"/",B15),Proventos!$J:$J,"="&amp;$H$2),
AND($H$2=Data!$A$6,$K$2=Data!$A$2),SUMIFS(Proventos!$H:$H,Proventos!$D:$D,"&gt;="&amp;CONCATENATE($H$6,"/",B15),Proventos!$D:$D,"&lt;"&amp;CONCATENATE($I$6,"/",B15),Proventos!$J:$J,"="&amp;$H$2),
AND($H$2=Data!$A$7,$K$2=Data!$A$2),SUMIFS(Proventos!$H:$H,Proventos!$D:$D,"&gt;="&amp;CONCATENATE($H$6,"/",B15),Proventos!$D:$D,"&lt;"&amp;CONCATENATE($I$6,"/",B15),Proventos!$J:$J,"="&amp;$H$2),
AND($H$2=Data!$A$8,$K$2=Data!$A$2),SUMIFS(Proventos!$H:$H,Proventos!$D:$D,"&gt;="&amp;CONCATENATE($H$6,"/",B15),Proventos!$D:$D,"&lt;"&amp;CONCATENATE($I$6,"/",B15),Proventos!$J:$J,"="&amp;$H$2),
AND($H$2=Data!$A$9,$K$2=Data!$A$2),SUMIFS(Proventos!$H:$H,Proventos!$D:$D,"&gt;="&amp;CONCATENATE($H$6,"/",B15),Proventos!$D:$D,"&lt;"&amp;CONCATENATE($I$6,"/",B15),Proventos!$J:$J,"="&amp;$H$2),
AND($H$2=Data!$A$10,$K$2=Data!$A$2),SUMIFS(Proventos!$H:$H,Proventos!$D:$D,"&gt;="&amp;CONCATENATE($H$6,"/",B15),Proventos!$D:$D,"&lt;"&amp;CONCATENATE($I$6,"/",B15),Proventos!$J:$J,"="&amp;$H$2),
AND($H$2=Data!$A$11,$K$2=Data!$A$2),SUMIFS(Proventos!$H:$H,Proventos!$D:$D,"&gt;="&amp;CONCATENATE($H$6,"/",B15),Proventos!$D:$D,"&lt;"&amp;CONCATENATE($I$6,"/",B15),Proventos!$J:$J,"="&amp;$H$2),
$K$2=Data!$A$2,SUMIFS(Proventos!$H:$H,Proventos!$D:$D,"&gt;="&amp;CONCATENATE($H$6,"/",B15),Proventos!$D:$D,"&lt;"&amp;CONCATENATE($I$6,"/",B15)),
$K$2&lt;&gt;Data!$A$2,SUMIFS(Proventos!$H:$H,Proventos!$D:$D,"&gt;="&amp;CONCATENATE($H$6,"/",B15),Proventos!$D:$D,"&lt;"&amp;CONCATENATE($I$6,"/",B15),Proventos!$A:$A,"="&amp;$K$2))</f>
        <v>0</v>
      </c>
      <c r="I15" s="245">
        <f>IFS(
AND($H$2=Data!$A$3,$K$2=Data!$A$2),SUMIFS(Proventos!$H:$H,Proventos!$D:$D,"&gt;="&amp;CONCATENATE($I$6,"/",B15),Proventos!$D:$D,"&lt;"&amp;CONCATENATE($J$6,"/",B15),Proventos!$J:$J,"="&amp;$H$2),
AND($H$2=Data!$A$4,$K$2=Data!$A$2),SUMIFS(Proventos!$H:$H,Proventos!$D:$D,"&gt;="&amp;CONCATENATE($I$6,"/",B15),Proventos!$D:$D,"&lt;"&amp;CONCATENATE($J$6,"/",B15),Proventos!$J:$J,"="&amp;$H$2),
AND($H$2=Data!$A$5,$K$2=Data!$A$2),SUMIFS(Proventos!$H:$H,Proventos!$D:$D,"&gt;="&amp;CONCATENATE($I$6,"/",B15),Proventos!$D:$D,"&lt;"&amp;CONCATENATE($J$6,"/",B15),Proventos!$J:$J,"="&amp;$H$2),
AND($H$2=Data!$A$6,$K$2=Data!$A$2),SUMIFS(Proventos!$H:$H,Proventos!$D:$D,"&gt;="&amp;CONCATENATE($I$6,"/",B15),Proventos!$D:$D,"&lt;"&amp;CONCATENATE($J$6,"/",B15),Proventos!$J:$J,"="&amp;$H$2),
AND($H$2=Data!$A$7,$K$2=Data!$A$2),SUMIFS(Proventos!$H:$H,Proventos!$D:$D,"&gt;="&amp;CONCATENATE($I$6,"/",B15),Proventos!$D:$D,"&lt;"&amp;CONCATENATE($J$6,"/",B15),Proventos!$J:$J,"="&amp;$H$2),
AND($H$2=Data!$A$8,$K$2=Data!$A$2),SUMIFS(Proventos!$H:$H,Proventos!$D:$D,"&gt;="&amp;CONCATENATE($I$6,"/",B15),Proventos!$D:$D,"&lt;"&amp;CONCATENATE($J$6,"/",B15),Proventos!$J:$J,"="&amp;$H$2),
AND($H$2=Data!$A$9,$K$2=Data!$A$2),SUMIFS(Proventos!$H:$H,Proventos!$D:$D,"&gt;="&amp;CONCATENATE($I$6,"/",B15),Proventos!$D:$D,"&lt;"&amp;CONCATENATE($J$6,"/",B15),Proventos!$J:$J,"="&amp;$H$2),
AND($H$2=Data!$A$10,$K$2=Data!$A$2),SUMIFS(Proventos!$H:$H,Proventos!$D:$D,"&gt;="&amp;CONCATENATE($I$6,"/",B15),Proventos!$D:$D,"&lt;"&amp;CONCATENATE($J$6,"/",B15),Proventos!$J:$J,"="&amp;$H$2),
AND($H$2=Data!$A$11,$K$2=Data!$A$2),SUMIFS(Proventos!$H:$H,Proventos!$D:$D,"&gt;="&amp;CONCATENATE($I$6,"/",B15),Proventos!$D:$D,"&lt;"&amp;CONCATENATE($J$6,"/",B15),Proventos!$J:$J,"="&amp;$H$2),
$K$2=Data!$A$2,SUMIFS(Proventos!$H:$H,Proventos!$D:$D,"&gt;="&amp;CONCATENATE($I$6,"/",B15),Proventos!$D:$D,"&lt;"&amp;CONCATENATE($J$6,"/",B15)),
$K$2&lt;&gt;Data!$A$2,SUMIFS(Proventos!$H:$H,Proventos!$D:$D,"&gt;="&amp;CONCATENATE($I$6,"/",B15),Proventos!$D:$D,"&lt;"&amp;CONCATENATE($J$6,"/",B15),Proventos!$A:$A,"="&amp;$K$2))</f>
        <v>0</v>
      </c>
      <c r="J15" s="245">
        <f>IFS(
AND($H$2=Data!$A$3,$K$2=Data!$A$2),SUMIFS(Proventos!$H:$H,Proventos!$D:$D,"&gt;="&amp;CONCATENATE($J$6,"/",B15),Proventos!$D:$D,"&lt;"&amp;CONCATENATE($K$6,"/",B15),Proventos!$J:$J,"="&amp;$H$2),
AND($H$2=Data!$A$4,$K$2=Data!$A$2),SUMIFS(Proventos!$H:$H,Proventos!$D:$D,"&gt;="&amp;CONCATENATE($J$6,"/",B15),Proventos!$D:$D,"&lt;"&amp;CONCATENATE($K$6,"/",B15),Proventos!$J:$J,"="&amp;$H$2),
AND($H$2=Data!$A$5,$K$2=Data!$A$2),SUMIFS(Proventos!$H:$H,Proventos!$D:$D,"&gt;="&amp;CONCATENATE($J$6,"/",B15),Proventos!$D:$D,"&lt;"&amp;CONCATENATE($K$6,"/",B15),Proventos!$J:$J,"="&amp;$H$2),
AND($H$2=Data!$A$6,$K$2=Data!$A$2),SUMIFS(Proventos!$H:$H,Proventos!$D:$D,"&gt;="&amp;CONCATENATE($J$6,"/",B15),Proventos!$D:$D,"&lt;"&amp;CONCATENATE($K$6,"/",B15),Proventos!$J:$J,"="&amp;$H$2),
AND($H$2=Data!$A$7,$K$2=Data!$A$2),SUMIFS(Proventos!$H:$H,Proventos!$D:$D,"&gt;="&amp;CONCATENATE($J$6,"/",B15),Proventos!$D:$D,"&lt;"&amp;CONCATENATE($K$6,"/",B15),Proventos!$J:$J,"="&amp;$H$2),
AND($H$2=Data!$A$8,$K$2=Data!$A$2),SUMIFS(Proventos!$H:$H,Proventos!$D:$D,"&gt;="&amp;CONCATENATE($J$6,"/",B15),Proventos!$D:$D,"&lt;"&amp;CONCATENATE($K$6,"/",B15),Proventos!$J:$J,"="&amp;$H$2),
AND($H$2=Data!$A$9,$K$2=Data!$A$2),SUMIFS(Proventos!$H:$H,Proventos!$D:$D,"&gt;="&amp;CONCATENATE($J$6,"/",B15),Proventos!$D:$D,"&lt;"&amp;CONCATENATE($K$6,"/",B15),Proventos!$J:$J,"="&amp;$H$2),
AND($H$2=Data!$A$10,$K$2=Data!$A$2),SUMIFS(Proventos!$H:$H,Proventos!$D:$D,"&gt;="&amp;CONCATENATE($J$6,"/",B15),Proventos!$D:$D,"&lt;"&amp;CONCATENATE($K$6,"/",B15),Proventos!$J:$J,"="&amp;$H$2),
AND($H$2=Data!$A$11,$K$2=Data!$A$2),SUMIFS(Proventos!$H:$H,Proventos!$D:$D,"&gt;="&amp;CONCATENATE($J$6,"/",B15),Proventos!$D:$D,"&lt;"&amp;CONCATENATE($K$6,"/",B15),Proventos!$J:$J,"="&amp;$H$2),
$K$2=Data!$A$2,SUMIFS(Proventos!$H:$H,Proventos!$D:$D,"&gt;="&amp;CONCATENATE($J$6,"/",B15),Proventos!$D:$D,"&lt;"&amp;CONCATENATE($K$6,"/",B15)),
$K$2&lt;&gt;Data!$A$2,SUMIFS(Proventos!$H:$H,Proventos!$D:$D,"&gt;="&amp;CONCATENATE($J$6,"/",B15),Proventos!$D:$D,"&lt;"&amp;CONCATENATE($K$6,"/",B15),Proventos!$A:$A,"="&amp;$K$2))</f>
        <v>0</v>
      </c>
      <c r="K15" s="245">
        <f>IFS(
AND($H$2=Data!$A$3,$K$2=Data!$A$2),SUMIFS(Proventos!$H:$H,Proventos!$D:$D,"&gt;="&amp;CONCATENATE($K$6,"/",B15),Proventos!$D:$D,"&lt;"&amp;CONCATENATE($L$6,"/",B15),Proventos!$J:$J,"="&amp;$H$2),
AND($H$2=Data!$A$4,$K$2=Data!$A$2),SUMIFS(Proventos!$H:$H,Proventos!$D:$D,"&gt;="&amp;CONCATENATE($K$6,"/",B15),Proventos!$D:$D,"&lt;"&amp;CONCATENATE($L$6,"/",B15),Proventos!$J:$J,"="&amp;$H$2),
AND($H$2=Data!$A$5,$K$2=Data!$A$2),SUMIFS(Proventos!$H:$H,Proventos!$D:$D,"&gt;="&amp;CONCATENATE($K$6,"/",B15),Proventos!$D:$D,"&lt;"&amp;CONCATENATE($L$6,"/",B15),Proventos!$J:$J,"="&amp;$H$2),
AND($H$2=Data!$A$6,$K$2=Data!$A$2),SUMIFS(Proventos!$H:$H,Proventos!$D:$D,"&gt;="&amp;CONCATENATE($K$6,"/",B15),Proventos!$D:$D,"&lt;"&amp;CONCATENATE($L$6,"/",B15),Proventos!$J:$J,"="&amp;$H$2),
AND($H$2=Data!$A$7,$K$2=Data!$A$2),SUMIFS(Proventos!$H:$H,Proventos!$D:$D,"&gt;="&amp;CONCATENATE($K$6,"/",B15),Proventos!$D:$D,"&lt;"&amp;CONCATENATE($L$6,"/",B15),Proventos!$J:$J,"="&amp;$H$2),
AND($H$2=Data!$A$8,$K$2=Data!$A$2),SUMIFS(Proventos!$H:$H,Proventos!$D:$D,"&gt;="&amp;CONCATENATE($K$6,"/",B15),Proventos!$D:$D,"&lt;"&amp;CONCATENATE($L$6,"/",B15),Proventos!$J:$J,"="&amp;$H$2),
AND($H$2=Data!$A$9,$K$2=Data!$A$2),SUMIFS(Proventos!$H:$H,Proventos!$D:$D,"&gt;="&amp;CONCATENATE($K$6,"/",B15),Proventos!$D:$D,"&lt;"&amp;CONCATENATE($L$6,"/",B15),Proventos!$J:$J,"="&amp;$H$2),
AND($H$2=Data!$A$10,$K$2=Data!$A$2),SUMIFS(Proventos!$H:$H,Proventos!$D:$D,"&gt;="&amp;CONCATENATE($K$6,"/",B15),Proventos!$D:$D,"&lt;"&amp;CONCATENATE($L$6,"/",B15),Proventos!$J:$J,"="&amp;$H$2),
AND($H$2=Data!$A$11,$K$2=Data!$A$2),SUMIFS(Proventos!$H:$H,Proventos!$D:$D,"&gt;="&amp;CONCATENATE($K$6,"/",B15),Proventos!$D:$D,"&lt;"&amp;CONCATENATE($L$6,"/",B15),Proventos!$J:$J,"="&amp;$H$2),
$K$2=Data!$A$2,SUMIFS(Proventos!$H:$H,Proventos!$D:$D,"&gt;="&amp;CONCATENATE($K$6,"/",B15),Proventos!$D:$D,"&lt;"&amp;CONCATENATE($L$6,"/",B15)),
$K$2&lt;&gt;Data!$A$2,SUMIFS(Proventos!$H:$H,Proventos!$D:$D,"&gt;="&amp;CONCATENATE($K$6,"/",B15),Proventos!$D:$D,"&lt;"&amp;CONCATENATE($L$6,"/",B15),Proventos!$A:$A,"="&amp;$K$2))</f>
        <v>0</v>
      </c>
      <c r="L15" s="245">
        <f>IFS(
AND($H$2=Data!$A$3,$K$2=Data!$A$2),SUMIFS(Proventos!$H:$H,Proventos!$D:$D,"&gt;="&amp;CONCATENATE($L$6,"/",B15),Proventos!$D:$D,"&lt;"&amp;CONCATENATE($M$6,"/",B15),Proventos!$J:$J,"="&amp;$H$2),
AND($H$2=Data!$A$4,$K$2=Data!$A$2),SUMIFS(Proventos!$H:$H,Proventos!$D:$D,"&gt;="&amp;CONCATENATE($L$6,"/",B15),Proventos!$D:$D,"&lt;"&amp;CONCATENATE($M$6,"/",B15),Proventos!$J:$J,"="&amp;$H$2),
AND($H$2=Data!$A$5,$K$2=Data!$A$2),SUMIFS(Proventos!$H:$H,Proventos!$D:$D,"&gt;="&amp;CONCATENATE($L$6,"/",B15),Proventos!$D:$D,"&lt;"&amp;CONCATENATE($M$6,"/",B15),Proventos!$J:$J,"="&amp;$H$2),
AND($H$2=Data!$A$6,$K$2=Data!$A$2),SUMIFS(Proventos!$H:$H,Proventos!$D:$D,"&gt;="&amp;CONCATENATE($L$6,"/",B15),Proventos!$D:$D,"&lt;"&amp;CONCATENATE($M$6,"/",B15),Proventos!$J:$J,"="&amp;$H$2),
AND($H$2=Data!$A$7,$K$2=Data!$A$2),SUMIFS(Proventos!$H:$H,Proventos!$D:$D,"&gt;="&amp;CONCATENATE($L$6,"/",B15),Proventos!$D:$D,"&lt;"&amp;CONCATENATE($M$6,"/",B15),Proventos!$J:$J,"="&amp;$H$2),
AND($H$2=Data!$A$8,$K$2=Data!$A$2),SUMIFS(Proventos!$H:$H,Proventos!$D:$D,"&gt;="&amp;CONCATENATE($L$6,"/",B15),Proventos!$D:$D,"&lt;"&amp;CONCATENATE($M$6,"/",B15),Proventos!$J:$J,"="&amp;$H$2),
AND($H$2=Data!$A$9,$K$2=Data!$A$2),SUMIFS(Proventos!$H:$H,Proventos!$D:$D,"&gt;="&amp;CONCATENATE($L$6,"/",B15),Proventos!$D:$D,"&lt;"&amp;CONCATENATE($M$6,"/",B15),Proventos!$J:$J,"="&amp;$H$2),
AND($H$2=Data!$A$10,$K$2=Data!$A$2),SUMIFS(Proventos!$H:$H,Proventos!$D:$D,"&gt;="&amp;CONCATENATE($L$6,"/",B15),Proventos!$D:$D,"&lt;"&amp;CONCATENATE($M$6,"/",B15),Proventos!$J:$J,"="&amp;$H$2),
AND($H$2=Data!$A$11,$K$2=Data!$A$2),SUMIFS(Proventos!$H:$H,Proventos!$D:$D,"&gt;="&amp;CONCATENATE($L$6,"/",B15),Proventos!$D:$D,"&lt;"&amp;CONCATENATE($M$6,"/",B15),Proventos!$J:$J,"="&amp;$H$2),
$K$2=Data!$A$2,SUMIFS(Proventos!$H:$H,Proventos!$D:$D,"&gt;="&amp;CONCATENATE($L$6,"/",B15),Proventos!$D:$D,"&lt;"&amp;CONCATENATE($M$6,"/",B15)),
$K$2&lt;&gt;Data!$A$2,SUMIFS(Proventos!$H:$H,Proventos!$D:$D,"&gt;="&amp;CONCATENATE($L$6,"/",B15),Proventos!$D:$D,"&lt;"&amp;CONCATENATE($M$6,"/",B15),Proventos!$A:$A,"="&amp;$K$2))</f>
        <v>0</v>
      </c>
      <c r="M15" s="245">
        <f>IFS(
AND($H$2=Data!$A$3,$K$2=Data!$A$2),SUMIFS(Proventos!$H:$H,Proventos!$D:$D,"&gt;="&amp;CONCATENATE($M$6,"/",B15),Proventos!$D:$D,"&lt;"&amp;CONCATENATE($N$6,"/",B15),Proventos!$J:$J,"="&amp;$H$2),
AND($H$2=Data!$A$4,$K$2=Data!$A$2),SUMIFS(Proventos!$H:$H,Proventos!$D:$D,"&gt;="&amp;CONCATENATE($M$6,"/",B15),Proventos!$D:$D,"&lt;"&amp;CONCATENATE($N$6,"/",B15),Proventos!$J:$J,"="&amp;$H$2),
AND($H$2=Data!$A$5,$K$2=Data!$A$2),SUMIFS(Proventos!$H:$H,Proventos!$D:$D,"&gt;="&amp;CONCATENATE($M$6,"/",B15),Proventos!$D:$D,"&lt;"&amp;CONCATENATE($N$6,"/",B15),Proventos!$J:$J,"="&amp;$H$2),
AND($H$2=Data!$A$6,$K$2=Data!$A$2),SUMIFS(Proventos!$H:$H,Proventos!$D:$D,"&gt;="&amp;CONCATENATE($M$6,"/",B15),Proventos!$D:$D,"&lt;"&amp;CONCATENATE($N$6,"/",B15),Proventos!$J:$J,"="&amp;$H$2),
AND($H$2=Data!$A$7,$K$2=Data!$A$2),SUMIFS(Proventos!$H:$H,Proventos!$D:$D,"&gt;="&amp;CONCATENATE($M$6,"/",B15),Proventos!$D:$D,"&lt;"&amp;CONCATENATE($N$6,"/",B15),Proventos!$J:$J,"="&amp;$H$2),
AND($H$2=Data!$A$8,$K$2=Data!$A$2),SUMIFS(Proventos!$H:$H,Proventos!$D:$D,"&gt;="&amp;CONCATENATE($M$6,"/",B15),Proventos!$D:$D,"&lt;"&amp;CONCATENATE($N$6,"/",B15),Proventos!$J:$J,"="&amp;$H$2),
AND($H$2=Data!$A$9,$K$2=Data!$A$2),SUMIFS(Proventos!$H:$H,Proventos!$D:$D,"&gt;="&amp;CONCATENATE($M$6,"/",B15),Proventos!$D:$D,"&lt;"&amp;CONCATENATE($N$6,"/",B15),Proventos!$J:$J,"="&amp;$H$2),
AND($H$2=Data!$A$10,$K$2=Data!$A$2),SUMIFS(Proventos!$H:$H,Proventos!$D:$D,"&gt;="&amp;CONCATENATE($M$6,"/",B15),Proventos!$D:$D,"&lt;"&amp;CONCATENATE($N$6,"/",B15),Proventos!$J:$J,"="&amp;$H$2),
AND($H$2=Data!$A$11,$K$2=Data!$A$2),SUMIFS(Proventos!$H:$H,Proventos!$D:$D,"&gt;="&amp;CONCATENATE($M$6,"/",B15),Proventos!$D:$D,"&lt;"&amp;CONCATENATE($N$6,"/",B15),Proventos!$J:$J,"="&amp;$H$2),
$K$2=Data!$A$2,SUMIFS(Proventos!$H:$H,Proventos!$D:$D,"&gt;="&amp;CONCATENATE($M$6,"/",B15),Proventos!$D:$D,"&lt;"&amp;CONCATENATE($N$6,"/",B15)),
$K$2&lt;&gt;Data!$A$2,SUMIFS(Proventos!$H:$H,Proventos!$D:$D,"&gt;="&amp;CONCATENATE($M$6,"/",B15),Proventos!$D:$D,"&lt;"&amp;CONCATENATE($N$6,"/",B15),Proventos!$A:$A,"="&amp;$K$2))</f>
        <v>0</v>
      </c>
      <c r="N15" s="245">
        <f>IFS(
AND($H$2=Data!$A$3,$K$2=Data!$A$2),SUMIFS(Proventos!$H:$H,Proventos!$D:$D,"&gt;="&amp;CONCATENATE($N$6,"/",B15),Proventos!$D:$D,"&lt;"&amp;CONCATENATE($C$6,"/",B16),Proventos!$J:$J,"="&amp;$H$2),
AND($H$2=Data!$A$4,$K$2=Data!$A$2),SUMIFS(Proventos!$H:$H,Proventos!$D:$D,"&gt;="&amp;CONCATENATE($N$6,"/",B15),Proventos!$D:$D,"&lt;"&amp;CONCATENATE($C$6,"/",B16),Proventos!$J:$J,"="&amp;$H$2),
AND($H$2=Data!$A$5,$K$2=Data!$A$2),SUMIFS(Proventos!$H:$H,Proventos!$D:$D,"&gt;="&amp;CONCATENATE($N$6,"/",B15),Proventos!$D:$D,"&lt;"&amp;CONCATENATE($C$6,"/",B16),Proventos!$J:$J,"="&amp;$H$2),
AND($H$2=Data!$A$6,$K$2=Data!$A$2),SUMIFS(Proventos!$H:$H,Proventos!$D:$D,"&gt;="&amp;CONCATENATE($N$6,"/",B15),Proventos!$D:$D,"&lt;"&amp;CONCATENATE($C$6,"/",B16),Proventos!$J:$J,"="&amp;$H$2),
AND($H$2=Data!$A$7,$K$2=Data!$A$2),SUMIFS(Proventos!$H:$H,Proventos!$D:$D,"&gt;="&amp;CONCATENATE($N$6,"/",B15),Proventos!$D:$D,"&lt;"&amp;CONCATENATE($C$6,"/",B16),Proventos!$J:$J,"="&amp;$H$2),
AND($H$2=Data!$A$8,$K$2=Data!$A$2),SUMIFS(Proventos!$H:$H,Proventos!$D:$D,"&gt;="&amp;CONCATENATE($N$6,"/",B15),Proventos!$D:$D,"&lt;"&amp;CONCATENATE($C$6,"/",B16),Proventos!$J:$J,"="&amp;$H$2),
AND($H$2=Data!$A$9,$K$2=Data!$A$2),SUMIFS(Proventos!$H:$H,Proventos!$D:$D,"&gt;="&amp;CONCATENATE($N$6,"/",B15),Proventos!$D:$D,"&lt;"&amp;CONCATENATE($C$6,"/",B16),Proventos!$J:$J,"="&amp;$H$2),
AND($H$2=Data!$A$10,$K$2=Data!$A$2),SUMIFS(Proventos!$H:$H,Proventos!$D:$D,"&gt;="&amp;CONCATENATE($N$6,"/",B15),Proventos!$D:$D,"&lt;"&amp;CONCATENATE($C$6,"/",B16),Proventos!$J:$J,"="&amp;$H$2),
AND($H$2=Data!$A$11,$K$2=Data!$A$2),SUMIFS(Proventos!$H:$H,Proventos!$D:$D,"&gt;="&amp;CONCATENATE($N$6,"/",B15),Proventos!$D:$D,"&lt;"&amp;CONCATENATE($C$6,"/",B16),Proventos!$J:$J,"="&amp;$H$2),
$K$2=Data!$A$2,SUMIFS(Proventos!$H:$H,Proventos!$D:$D,"&gt;="&amp;CONCATENATE($N$6,"/",B15),Proventos!$D:$D,"&lt;"&amp;CONCATENATE($C$6,"/",B16)),
$K$2&lt;&gt;Data!$A$2,SUMIFS(Proventos!$H:$H,Proventos!$D:$D,"&gt;="&amp;CONCATENATE($N$6,"/",B15),Proventos!$D:$D,"&lt;"&amp;CONCATENATE($C$6,"/",B16),Proventos!$A:$A,"="&amp;$K$2))</f>
        <v>0</v>
      </c>
      <c r="O15" s="245"/>
      <c r="P15" s="245">
        <f t="shared" si="1"/>
        <v>0</v>
      </c>
      <c r="Q15" s="245">
        <f t="shared" si="2"/>
        <v>0</v>
      </c>
    </row>
    <row r="16" ht="32.25" customHeight="1">
      <c r="A16" s="246" t="str">
        <f>IFERROR(__xludf.DUMMYFUNCTION("""COMPUTED_VALUE"""),"FLRY3")</f>
        <v>FLRY3</v>
      </c>
      <c r="B16" s="244"/>
      <c r="C16" s="245">
        <f>IFS(
AND($H$2=Data!$A$3,$K$2=Data!$A$2),SUMIFS(Proventos!$H:$H,Proventos!$D:$D,"&gt;="&amp;CONCATENATE($C$6,"/",B16),Proventos!$D:$D,"&lt;"&amp;CONCATENATE($D$6,"/",B16),Proventos!$J:$J,"="&amp;$H$2),
AND($H$2=Data!$A$4,$K$2=Data!$A$2),SUMIFS(Proventos!$H:$H,Proventos!$D:$D,"&gt;="&amp;CONCATENATE($C$6,"/",B16),Proventos!$D:$D,"&lt;"&amp;CONCATENATE($D$6,"/",B16),Proventos!$J:$J,"="&amp;$H$2),
AND($H$2=Data!$A$5,$K$2=Data!$A$2),SUMIFS(Proventos!$H:$H,Proventos!$D:$D,"&gt;="&amp;CONCATENATE($C$6,"/",B16),Proventos!$D:$D,"&lt;"&amp;CONCATENATE($D$6,"/",B16),Proventos!$J:$J,"="&amp;$H$2),
AND($H$2=Data!$A$6,$K$2=Data!$A$2),SUMIFS(Proventos!$H:$H,Proventos!$D:$D,"&gt;="&amp;CONCATENATE($C$6,"/",B16),Proventos!$D:$D,"&lt;"&amp;CONCATENATE($D$6,"/",B16),Proventos!$J:$J,"="&amp;$H$2),
AND($H$2=Data!$A$7,$K$2=Data!$A$2),SUMIFS(Proventos!$H:$H,Proventos!$D:$D,"&gt;="&amp;CONCATENATE($C$6,"/",B16),Proventos!$D:$D,"&lt;"&amp;CONCATENATE($D$6,"/",B16),Proventos!$J:$J,"="&amp;$H$2),
AND($H$2=Data!$A$8,$K$2=Data!$A$2),SUMIFS(Proventos!$H:$H,Proventos!$D:$D,"&gt;="&amp;CONCATENATE($C$6,"/",B16),Proventos!$D:$D,"&lt;"&amp;CONCATENATE($D$6,"/",B16),Proventos!$J:$J,"="&amp;$H$2),
AND($H$2=Data!$A$9,$K$2=Data!$A$2),SUMIFS(Proventos!$H:$H,Proventos!$D:$D,"&gt;="&amp;CONCATENATE($C$6,"/",B16),Proventos!$D:$D,"&lt;"&amp;CONCATENATE($D$6,"/",B16),Proventos!$J:$J,"="&amp;$H$2),
AND($H$2=Data!$A$10,$K$2=Data!$A$2),SUMIFS(Proventos!$H:$H,Proventos!$D:$D,"&gt;="&amp;CONCATENATE($C$6,"/",B16),Proventos!$D:$D,"&lt;"&amp;CONCATENATE($D$6,"/",B16),Proventos!$J:$J,"="&amp;$H$2),
AND($H$2=Data!$A$11,$K$2=Data!$A$2),SUMIFS(Proventos!$H:$H,Proventos!$D:$D,"&gt;="&amp;CONCATENATE($C$6,"/",B16),Proventos!$D:$D,"&lt;"&amp;CONCATENATE($D$6,"/",B16),Proventos!$J:$J,"="&amp;$H$2),
$K$2=Data!$A$2,SUMIFS(Proventos!$H:$H,Proventos!$D:$D,"&gt;="&amp;CONCATENATE($C$6,"/",B16),Proventos!$D:$D,"&lt;"&amp;CONCATENATE($D$6,"/",B16)),
$K$2&lt;&gt;Data!$A$2,SUMIFS(Proventos!$H:$H,Proventos!$D:$D,"&gt;="&amp;CONCATENATE($C$6,"/",B16),Proventos!$D:$D,"&lt;"&amp;CONCATENATE($D$6,"/",B16),Proventos!$A:$A,"="&amp;$K$2))</f>
        <v>0</v>
      </c>
      <c r="D16" s="245">
        <f>IFS(
AND($H$2=Data!$A$3,$K$2=Data!$A$2),SUMIFS(Proventos!$H:$H,Proventos!$D:$D,"&gt;="&amp;CONCATENATE($D$6,"/",B16),Proventos!$D:$D,"&lt;"&amp;CONCATENATE($E$6,"/",B16),Proventos!$J:$J,"="&amp;$H$2),
AND($H$2=Data!$A$4,$K$2=Data!$A$2),SUMIFS(Proventos!$H:$H,Proventos!$D:$D,"&gt;="&amp;CONCATENATE($D$6,"/",B16),Proventos!$D:$D,"&lt;"&amp;CONCATENATE($E$6,"/",B16),Proventos!$J:$J,"="&amp;$H$2),
AND($H$2=Data!$A$5,$K$2=Data!$A$2),SUMIFS(Proventos!$H:$H,Proventos!$D:$D,"&gt;="&amp;CONCATENATE($D$6,"/",B16),Proventos!$D:$D,"&lt;"&amp;CONCATENATE($E$6,"/",B16),Proventos!$J:$J,"="&amp;$H$2),
AND($H$2=Data!$A$6,$K$2=Data!$A$2),SUMIFS(Proventos!$H:$H,Proventos!$D:$D,"&gt;="&amp;CONCATENATE($D$6,"/",B16),Proventos!$D:$D,"&lt;"&amp;CONCATENATE($E$6,"/",B16),Proventos!$J:$J,"="&amp;$H$2),
AND($H$2=Data!$A$7,$K$2=Data!$A$2),SUMIFS(Proventos!$H:$H,Proventos!$D:$D,"&gt;="&amp;CONCATENATE($D$6,"/",B16),Proventos!$D:$D,"&lt;"&amp;CONCATENATE($E$6,"/",B16),Proventos!$J:$J,"="&amp;$H$2),
AND($H$2=Data!$A$8,$K$2=Data!$A$2),SUMIFS(Proventos!$H:$H,Proventos!$D:$D,"&gt;="&amp;CONCATENATE($D$6,"/",B16),Proventos!$D:$D,"&lt;"&amp;CONCATENATE($E$6,"/",B16),Proventos!$J:$J,"="&amp;$H$2),
AND($H$2=Data!$A$9,$K$2=Data!$A$2),SUMIFS(Proventos!$H:$H,Proventos!$D:$D,"&gt;="&amp;CONCATENATE($D$6,"/",B16),Proventos!$D:$D,"&lt;"&amp;CONCATENATE($E$6,"/",B16),Proventos!$J:$J,"="&amp;$H$2),
AND($H$2=Data!$A$10,$K$2=Data!$A$2),SUMIFS(Proventos!$H:$H,Proventos!$D:$D,"&gt;="&amp;CONCATENATE($D$6,"/",B16),Proventos!$D:$D,"&lt;"&amp;CONCATENATE($E$6,"/",B16),Proventos!$J:$J,"="&amp;$H$2),
AND($H$2=Data!$A$11,$K$2=Data!$A$2),SUMIFS(Proventos!$H:$H,Proventos!$D:$D,"&gt;="&amp;CONCATENATE($D$6,"/",B16),Proventos!$D:$D,"&lt;"&amp;CONCATENATE($E$6,"/",B16),Proventos!$J:$J,"="&amp;$H$2),
$K$2=Data!$A$2,SUMIFS(Proventos!$H:$H,Proventos!$D:$D,"&gt;="&amp;CONCATENATE($D$6,"/",B16),Proventos!$D:$D,"&lt;"&amp;CONCATENATE($E$6,"/",B16)),
$K$2&lt;&gt;Data!$A$2,SUMIFS(Proventos!$H:$H,Proventos!$D:$D,"&gt;="&amp;CONCATENATE($D$6,"/",B16),Proventos!$D:$D,"&lt;"&amp;CONCATENATE($E$6,"/",B16),Proventos!$A:$A,"="&amp;$K$2))</f>
        <v>0</v>
      </c>
      <c r="E16" s="245">
        <f>IFS(
AND($H$2=Data!$A$3,$K$2=Data!$A$2),SUMIFS(Proventos!$H:$H,Proventos!$D:$D,"&gt;="&amp;CONCATENATE($E$6,"/",B16),Proventos!$D:$D,"&lt;"&amp;CONCATENATE($F$6,"/",B16),Proventos!$J:$J,"="&amp;$H$2),
AND($H$2=Data!$A$4,$K$2=Data!$A$2),SUMIFS(Proventos!$H:$H,Proventos!$D:$D,"&gt;="&amp;CONCATENATE($E$6,"/",B16),Proventos!$D:$D,"&lt;"&amp;CONCATENATE($F$6,"/",B16),Proventos!$J:$J,"="&amp;$H$2),
AND($H$2=Data!$A$5,$K$2=Data!$A$2),SUMIFS(Proventos!$H:$H,Proventos!$D:$D,"&gt;="&amp;CONCATENATE($E$6,"/",B16),Proventos!$D:$D,"&lt;"&amp;CONCATENATE($F$6,"/",B16),Proventos!$J:$J,"="&amp;$H$2),
AND($H$2=Data!$A$6,$K$2=Data!$A$2),SUMIFS(Proventos!$H:$H,Proventos!$D:$D,"&gt;="&amp;CONCATENATE($E$6,"/",B16),Proventos!$D:$D,"&lt;"&amp;CONCATENATE($F$6,"/",B16),Proventos!$J:$J,"="&amp;$H$2),
AND($H$2=Data!$A$7,$K$2=Data!$A$2),SUMIFS(Proventos!$H:$H,Proventos!$D:$D,"&gt;="&amp;CONCATENATE($E$6,"/",B16),Proventos!$D:$D,"&lt;"&amp;CONCATENATE($F$6,"/",B16),Proventos!$J:$J,"="&amp;$H$2),
AND($H$2=Data!$A$8,$K$2=Data!$A$2),SUMIFS(Proventos!$H:$H,Proventos!$D:$D,"&gt;="&amp;CONCATENATE($E$6,"/",B16),Proventos!$D:$D,"&lt;"&amp;CONCATENATE($F$6,"/",B16),Proventos!$J:$J,"="&amp;$H$2),
AND($H$2=Data!$A$9,$K$2=Data!$A$2),SUMIFS(Proventos!$H:$H,Proventos!$D:$D,"&gt;="&amp;CONCATENATE($E$6,"/",B16),Proventos!$D:$D,"&lt;"&amp;CONCATENATE($F$6,"/",B16),Proventos!$J:$J,"="&amp;$H$2),
AND($H$2=Data!$A$10,$K$2=Data!$A$2),SUMIFS(Proventos!$H:$H,Proventos!$D:$D,"&gt;="&amp;CONCATENATE($E$6,"/",B16),Proventos!$D:$D,"&lt;"&amp;CONCATENATE($F$6,"/",B16),Proventos!$J:$J,"="&amp;$H$2),
AND($H$2=Data!$A$11,$K$2=Data!$A$2),SUMIFS(Proventos!$H:$H,Proventos!$D:$D,"&gt;="&amp;CONCATENATE($E$6,"/",B16),Proventos!$D:$D,"&lt;"&amp;CONCATENATE($F$6,"/",B16),Proventos!$J:$J,"="&amp;$H$2),
$K$2=Data!$A$2,SUMIFS(Proventos!$H:$H,Proventos!$D:$D,"&gt;="&amp;CONCATENATE($E$6,"/",B16),Proventos!$D:$D,"&lt;"&amp;CONCATENATE($F$6,"/",B16)),
$K$2&lt;&gt;Data!$A$2,SUMIFS(Proventos!$H:$H,Proventos!$D:$D,"&gt;="&amp;CONCATENATE($E$6,"/",B16),Proventos!$D:$D,"&lt;"&amp;CONCATENATE($F$6,"/",B16),Proventos!$A:$A,"="&amp;$K$2))</f>
        <v>0</v>
      </c>
      <c r="F16" s="245">
        <f>IFS(
AND($H$2=Data!$A$3,$K$2=Data!$A$2),SUMIFS(Proventos!$H:$H,Proventos!$D:$D,"&gt;="&amp;CONCATENATE($F$6,"/",B16),Proventos!$D:$D,"&lt;"&amp;CONCATENATE($G$6,"/",B16),Proventos!$J:$J,"="&amp;$H$2),
AND($H$2=Data!$A$4,$K$2=Data!$A$2),SUMIFS(Proventos!$H:$H,Proventos!$D:$D,"&gt;="&amp;CONCATENATE($F$6,"/",B16),Proventos!$D:$D,"&lt;"&amp;CONCATENATE($G$6,"/",B16),Proventos!$J:$J,"="&amp;$H$2),
AND($H$2=Data!$A$5,$K$2=Data!$A$2),SUMIFS(Proventos!$H:$H,Proventos!$D:$D,"&gt;="&amp;CONCATENATE($F$6,"/",B16),Proventos!$D:$D,"&lt;"&amp;CONCATENATE($G$6,"/",B16),Proventos!$J:$J,"="&amp;$H$2),
AND($H$2=Data!$A$6,$K$2=Data!$A$2),SUMIFS(Proventos!$H:$H,Proventos!$D:$D,"&gt;="&amp;CONCATENATE($F$6,"/",B16),Proventos!$D:$D,"&lt;"&amp;CONCATENATE($G$6,"/",B16),Proventos!$J:$J,"="&amp;$H$2),
AND($H$2=Data!$A$7,$K$2=Data!$A$2),SUMIFS(Proventos!$H:$H,Proventos!$D:$D,"&gt;="&amp;CONCATENATE($F$6,"/",B16),Proventos!$D:$D,"&lt;"&amp;CONCATENATE($G$6,"/",B16),Proventos!$J:$J,"="&amp;$H$2),
AND($H$2=Data!$A$8,$K$2=Data!$A$2),SUMIFS(Proventos!$H:$H,Proventos!$D:$D,"&gt;="&amp;CONCATENATE($F$6,"/",B16),Proventos!$D:$D,"&lt;"&amp;CONCATENATE($G$6,"/",B16),Proventos!$J:$J,"="&amp;$H$2),
AND($H$2=Data!$A$9,$K$2=Data!$A$2),SUMIFS(Proventos!$H:$H,Proventos!$D:$D,"&gt;="&amp;CONCATENATE($F$6,"/",B16),Proventos!$D:$D,"&lt;"&amp;CONCATENATE($G$6,"/",B16),Proventos!$J:$J,"="&amp;$H$2),
AND($H$2=Data!$A$10,$K$2=Data!$A$2),SUMIFS(Proventos!$H:$H,Proventos!$D:$D,"&gt;="&amp;CONCATENATE($F$6,"/",B16),Proventos!$D:$D,"&lt;"&amp;CONCATENATE($G$6,"/",B16),Proventos!$J:$J,"="&amp;$H$2),
AND($H$2=Data!$A$11,$K$2=Data!$A$2),SUMIFS(Proventos!$H:$H,Proventos!$D:$D,"&gt;="&amp;CONCATENATE($F$6,"/",B16),Proventos!$D:$D,"&lt;"&amp;CONCATENATE($G$6,"/",B16),Proventos!$J:$J,"="&amp;$H$2),
$K$2=Data!$A$2,SUMIFS(Proventos!$H:$H,Proventos!$D:$D,"&gt;="&amp;CONCATENATE($F$6,"/",B16),Proventos!$D:$D,"&lt;"&amp;CONCATENATE($G$6,"/",B16)),
$K$2&lt;&gt;Data!$A$2,SUMIFS(Proventos!$H:$H,Proventos!$D:$D,"&gt;="&amp;CONCATENATE($F$6,"/",B16),Proventos!$D:$D,"&lt;"&amp;CONCATENATE($G$6,"/",B16),Proventos!$A:$A,"="&amp;$K$2))</f>
        <v>0</v>
      </c>
      <c r="G16" s="245">
        <f>IFS(
AND($H$2=Data!$A$3,$K$2=Data!$A$2),SUMIFS(Proventos!$H:$H,Proventos!$D:$D,"&gt;="&amp;CONCATENATE($G$6,"/",B16),Proventos!$D:$D,"&lt;"&amp;CONCATENATE($H$6,"/",B16),Proventos!$J:$J,"="&amp;$H$2),
AND($H$2=Data!$A$4,$K$2=Data!$A$2),SUMIFS(Proventos!$H:$H,Proventos!$D:$D,"&gt;="&amp;CONCATENATE($G$6,"/",B16),Proventos!$D:$D,"&lt;"&amp;CONCATENATE($H$6,"/",B16),Proventos!$J:$J,"="&amp;$H$2),
AND($H$2=Data!$A$5,$K$2=Data!$A$2),SUMIFS(Proventos!$H:$H,Proventos!$D:$D,"&gt;="&amp;CONCATENATE($G$6,"/",B16),Proventos!$D:$D,"&lt;"&amp;CONCATENATE($H$6,"/",B16),Proventos!$J:$J,"="&amp;$H$2),
AND($H$2=Data!$A$6,$K$2=Data!$A$2),SUMIFS(Proventos!$H:$H,Proventos!$D:$D,"&gt;="&amp;CONCATENATE($G$6,"/",B16),Proventos!$D:$D,"&lt;"&amp;CONCATENATE($H$6,"/",B16),Proventos!$J:$J,"="&amp;$H$2),
AND($H$2=Data!$A$7,$K$2=Data!$A$2),SUMIFS(Proventos!$H:$H,Proventos!$D:$D,"&gt;="&amp;CONCATENATE($G$6,"/",B16),Proventos!$D:$D,"&lt;"&amp;CONCATENATE($H$6,"/",B16),Proventos!$J:$J,"="&amp;$H$2),
AND($H$2=Data!$A$8,$K$2=Data!$A$2),SUMIFS(Proventos!$H:$H,Proventos!$D:$D,"&gt;="&amp;CONCATENATE($G$6,"/",B16),Proventos!$D:$D,"&lt;"&amp;CONCATENATE($H$6,"/",B16),Proventos!$J:$J,"="&amp;$H$2),
AND($H$2=Data!$A$9,$K$2=Data!$A$2),SUMIFS(Proventos!$H:$H,Proventos!$D:$D,"&gt;="&amp;CONCATENATE($G$6,"/",B16),Proventos!$D:$D,"&lt;"&amp;CONCATENATE($H$6,"/",B16),Proventos!$J:$J,"="&amp;$H$2),
AND($H$2=Data!$A$10,$K$2=Data!$A$2),SUMIFS(Proventos!$H:$H,Proventos!$D:$D,"&gt;="&amp;CONCATENATE($G$6,"/",B16),Proventos!$D:$D,"&lt;"&amp;CONCATENATE($H$6,"/",B16),Proventos!$J:$J,"="&amp;$H$2),
AND($H$2=Data!$A$11,$K$2=Data!$A$2),SUMIFS(Proventos!$H:$H,Proventos!$D:$D,"&gt;="&amp;CONCATENATE($G$6,"/",B16),Proventos!$D:$D,"&lt;"&amp;CONCATENATE($H$6,"/",B16),Proventos!$J:$J,"="&amp;$H$2),
$K$2=Data!$A$2,SUMIFS(Proventos!$H:$H,Proventos!$D:$D,"&gt;="&amp;CONCATENATE($G$6,"/",B16),Proventos!$D:$D,"&lt;"&amp;CONCATENATE($H$6,"/",B16)),
$K$2&lt;&gt;Data!$A$2,SUMIFS(Proventos!$H:$H,Proventos!$D:$D,"&gt;="&amp;CONCATENATE($G$6,"/",B16),Proventos!$D:$D,"&lt;"&amp;CONCATENATE($H$6,"/",B16),Proventos!$A:$A,"="&amp;$K$2))</f>
        <v>0</v>
      </c>
      <c r="H16" s="245">
        <f>IFS(
AND($H$2=Data!$A$3,$K$2=Data!$A$2),SUMIFS(Proventos!$H:$H,Proventos!$D:$D,"&gt;="&amp;CONCATENATE($H$6,"/",B16),Proventos!$D:$D,"&lt;"&amp;CONCATENATE($I$6,"/",B16),Proventos!$J:$J,"="&amp;$H$2),
AND($H$2=Data!$A$4,$K$2=Data!$A$2),SUMIFS(Proventos!$H:$H,Proventos!$D:$D,"&gt;="&amp;CONCATENATE($H$6,"/",B16),Proventos!$D:$D,"&lt;"&amp;CONCATENATE($I$6,"/",B16),Proventos!$J:$J,"="&amp;$H$2),
AND($H$2=Data!$A$5,$K$2=Data!$A$2),SUMIFS(Proventos!$H:$H,Proventos!$D:$D,"&gt;="&amp;CONCATENATE($H$6,"/",B16),Proventos!$D:$D,"&lt;"&amp;CONCATENATE($I$6,"/",B16),Proventos!$J:$J,"="&amp;$H$2),
AND($H$2=Data!$A$6,$K$2=Data!$A$2),SUMIFS(Proventos!$H:$H,Proventos!$D:$D,"&gt;="&amp;CONCATENATE($H$6,"/",B16),Proventos!$D:$D,"&lt;"&amp;CONCATENATE($I$6,"/",B16),Proventos!$J:$J,"="&amp;$H$2),
AND($H$2=Data!$A$7,$K$2=Data!$A$2),SUMIFS(Proventos!$H:$H,Proventos!$D:$D,"&gt;="&amp;CONCATENATE($H$6,"/",B16),Proventos!$D:$D,"&lt;"&amp;CONCATENATE($I$6,"/",B16),Proventos!$J:$J,"="&amp;$H$2),
AND($H$2=Data!$A$8,$K$2=Data!$A$2),SUMIFS(Proventos!$H:$H,Proventos!$D:$D,"&gt;="&amp;CONCATENATE($H$6,"/",B16),Proventos!$D:$D,"&lt;"&amp;CONCATENATE($I$6,"/",B16),Proventos!$J:$J,"="&amp;$H$2),
AND($H$2=Data!$A$9,$K$2=Data!$A$2),SUMIFS(Proventos!$H:$H,Proventos!$D:$D,"&gt;="&amp;CONCATENATE($H$6,"/",B16),Proventos!$D:$D,"&lt;"&amp;CONCATENATE($I$6,"/",B16),Proventos!$J:$J,"="&amp;$H$2),
AND($H$2=Data!$A$10,$K$2=Data!$A$2),SUMIFS(Proventos!$H:$H,Proventos!$D:$D,"&gt;="&amp;CONCATENATE($H$6,"/",B16),Proventos!$D:$D,"&lt;"&amp;CONCATENATE($I$6,"/",B16),Proventos!$J:$J,"="&amp;$H$2),
AND($H$2=Data!$A$11,$K$2=Data!$A$2),SUMIFS(Proventos!$H:$H,Proventos!$D:$D,"&gt;="&amp;CONCATENATE($H$6,"/",B16),Proventos!$D:$D,"&lt;"&amp;CONCATENATE($I$6,"/",B16),Proventos!$J:$J,"="&amp;$H$2),
$K$2=Data!$A$2,SUMIFS(Proventos!$H:$H,Proventos!$D:$D,"&gt;="&amp;CONCATENATE($H$6,"/",B16),Proventos!$D:$D,"&lt;"&amp;CONCATENATE($I$6,"/",B16)),
$K$2&lt;&gt;Data!$A$2,SUMIFS(Proventos!$H:$H,Proventos!$D:$D,"&gt;="&amp;CONCATENATE($H$6,"/",B16),Proventos!$D:$D,"&lt;"&amp;CONCATENATE($I$6,"/",B16),Proventos!$A:$A,"="&amp;$K$2))</f>
        <v>0</v>
      </c>
      <c r="I16" s="245">
        <f>IFS(
AND($H$2=Data!$A$3,$K$2=Data!$A$2),SUMIFS(Proventos!$H:$H,Proventos!$D:$D,"&gt;="&amp;CONCATENATE($I$6,"/",B16),Proventos!$D:$D,"&lt;"&amp;CONCATENATE($J$6,"/",B16),Proventos!$J:$J,"="&amp;$H$2),
AND($H$2=Data!$A$4,$K$2=Data!$A$2),SUMIFS(Proventos!$H:$H,Proventos!$D:$D,"&gt;="&amp;CONCATENATE($I$6,"/",B16),Proventos!$D:$D,"&lt;"&amp;CONCATENATE($J$6,"/",B16),Proventos!$J:$J,"="&amp;$H$2),
AND($H$2=Data!$A$5,$K$2=Data!$A$2),SUMIFS(Proventos!$H:$H,Proventos!$D:$D,"&gt;="&amp;CONCATENATE($I$6,"/",B16),Proventos!$D:$D,"&lt;"&amp;CONCATENATE($J$6,"/",B16),Proventos!$J:$J,"="&amp;$H$2),
AND($H$2=Data!$A$6,$K$2=Data!$A$2),SUMIFS(Proventos!$H:$H,Proventos!$D:$D,"&gt;="&amp;CONCATENATE($I$6,"/",B16),Proventos!$D:$D,"&lt;"&amp;CONCATENATE($J$6,"/",B16),Proventos!$J:$J,"="&amp;$H$2),
AND($H$2=Data!$A$7,$K$2=Data!$A$2),SUMIFS(Proventos!$H:$H,Proventos!$D:$D,"&gt;="&amp;CONCATENATE($I$6,"/",B16),Proventos!$D:$D,"&lt;"&amp;CONCATENATE($J$6,"/",B16),Proventos!$J:$J,"="&amp;$H$2),
AND($H$2=Data!$A$8,$K$2=Data!$A$2),SUMIFS(Proventos!$H:$H,Proventos!$D:$D,"&gt;="&amp;CONCATENATE($I$6,"/",B16),Proventos!$D:$D,"&lt;"&amp;CONCATENATE($J$6,"/",B16),Proventos!$J:$J,"="&amp;$H$2),
AND($H$2=Data!$A$9,$K$2=Data!$A$2),SUMIFS(Proventos!$H:$H,Proventos!$D:$D,"&gt;="&amp;CONCATENATE($I$6,"/",B16),Proventos!$D:$D,"&lt;"&amp;CONCATENATE($J$6,"/",B16),Proventos!$J:$J,"="&amp;$H$2),
AND($H$2=Data!$A$10,$K$2=Data!$A$2),SUMIFS(Proventos!$H:$H,Proventos!$D:$D,"&gt;="&amp;CONCATENATE($I$6,"/",B16),Proventos!$D:$D,"&lt;"&amp;CONCATENATE($J$6,"/",B16),Proventos!$J:$J,"="&amp;$H$2),
AND($H$2=Data!$A$11,$K$2=Data!$A$2),SUMIFS(Proventos!$H:$H,Proventos!$D:$D,"&gt;="&amp;CONCATENATE($I$6,"/",B16),Proventos!$D:$D,"&lt;"&amp;CONCATENATE($J$6,"/",B16),Proventos!$J:$J,"="&amp;$H$2),
$K$2=Data!$A$2,SUMIFS(Proventos!$H:$H,Proventos!$D:$D,"&gt;="&amp;CONCATENATE($I$6,"/",B16),Proventos!$D:$D,"&lt;"&amp;CONCATENATE($J$6,"/",B16)),
$K$2&lt;&gt;Data!$A$2,SUMIFS(Proventos!$H:$H,Proventos!$D:$D,"&gt;="&amp;CONCATENATE($I$6,"/",B16),Proventos!$D:$D,"&lt;"&amp;CONCATENATE($J$6,"/",B16),Proventos!$A:$A,"="&amp;$K$2))</f>
        <v>0</v>
      </c>
      <c r="J16" s="245">
        <f>IFS(
AND($H$2=Data!$A$3,$K$2=Data!$A$2),SUMIFS(Proventos!$H:$H,Proventos!$D:$D,"&gt;="&amp;CONCATENATE($J$6,"/",B16),Proventos!$D:$D,"&lt;"&amp;CONCATENATE($K$6,"/",B16),Proventos!$J:$J,"="&amp;$H$2),
AND($H$2=Data!$A$4,$K$2=Data!$A$2),SUMIFS(Proventos!$H:$H,Proventos!$D:$D,"&gt;="&amp;CONCATENATE($J$6,"/",B16),Proventos!$D:$D,"&lt;"&amp;CONCATENATE($K$6,"/",B16),Proventos!$J:$J,"="&amp;$H$2),
AND($H$2=Data!$A$5,$K$2=Data!$A$2),SUMIFS(Proventos!$H:$H,Proventos!$D:$D,"&gt;="&amp;CONCATENATE($J$6,"/",B16),Proventos!$D:$D,"&lt;"&amp;CONCATENATE($K$6,"/",B16),Proventos!$J:$J,"="&amp;$H$2),
AND($H$2=Data!$A$6,$K$2=Data!$A$2),SUMIFS(Proventos!$H:$H,Proventos!$D:$D,"&gt;="&amp;CONCATENATE($J$6,"/",B16),Proventos!$D:$D,"&lt;"&amp;CONCATENATE($K$6,"/",B16),Proventos!$J:$J,"="&amp;$H$2),
AND($H$2=Data!$A$7,$K$2=Data!$A$2),SUMIFS(Proventos!$H:$H,Proventos!$D:$D,"&gt;="&amp;CONCATENATE($J$6,"/",B16),Proventos!$D:$D,"&lt;"&amp;CONCATENATE($K$6,"/",B16),Proventos!$J:$J,"="&amp;$H$2),
AND($H$2=Data!$A$8,$K$2=Data!$A$2),SUMIFS(Proventos!$H:$H,Proventos!$D:$D,"&gt;="&amp;CONCATENATE($J$6,"/",B16),Proventos!$D:$D,"&lt;"&amp;CONCATENATE($K$6,"/",B16),Proventos!$J:$J,"="&amp;$H$2),
AND($H$2=Data!$A$9,$K$2=Data!$A$2),SUMIFS(Proventos!$H:$H,Proventos!$D:$D,"&gt;="&amp;CONCATENATE($J$6,"/",B16),Proventos!$D:$D,"&lt;"&amp;CONCATENATE($K$6,"/",B16),Proventos!$J:$J,"="&amp;$H$2),
AND($H$2=Data!$A$10,$K$2=Data!$A$2),SUMIFS(Proventos!$H:$H,Proventos!$D:$D,"&gt;="&amp;CONCATENATE($J$6,"/",B16),Proventos!$D:$D,"&lt;"&amp;CONCATENATE($K$6,"/",B16),Proventos!$J:$J,"="&amp;$H$2),
AND($H$2=Data!$A$11,$K$2=Data!$A$2),SUMIFS(Proventos!$H:$H,Proventos!$D:$D,"&gt;="&amp;CONCATENATE($J$6,"/",B16),Proventos!$D:$D,"&lt;"&amp;CONCATENATE($K$6,"/",B16),Proventos!$J:$J,"="&amp;$H$2),
$K$2=Data!$A$2,SUMIFS(Proventos!$H:$H,Proventos!$D:$D,"&gt;="&amp;CONCATENATE($J$6,"/",B16),Proventos!$D:$D,"&lt;"&amp;CONCATENATE($K$6,"/",B16)),
$K$2&lt;&gt;Data!$A$2,SUMIFS(Proventos!$H:$H,Proventos!$D:$D,"&gt;="&amp;CONCATENATE($J$6,"/",B16),Proventos!$D:$D,"&lt;"&amp;CONCATENATE($K$6,"/",B16),Proventos!$A:$A,"="&amp;$K$2))</f>
        <v>0</v>
      </c>
      <c r="K16" s="245">
        <f>IFS(
AND($H$2=Data!$A$3,$K$2=Data!$A$2),SUMIFS(Proventos!$H:$H,Proventos!$D:$D,"&gt;="&amp;CONCATENATE($K$6,"/",B16),Proventos!$D:$D,"&lt;"&amp;CONCATENATE($L$6,"/",B16),Proventos!$J:$J,"="&amp;$H$2),
AND($H$2=Data!$A$4,$K$2=Data!$A$2),SUMIFS(Proventos!$H:$H,Proventos!$D:$D,"&gt;="&amp;CONCATENATE($K$6,"/",B16),Proventos!$D:$D,"&lt;"&amp;CONCATENATE($L$6,"/",B16),Proventos!$J:$J,"="&amp;$H$2),
AND($H$2=Data!$A$5,$K$2=Data!$A$2),SUMIFS(Proventos!$H:$H,Proventos!$D:$D,"&gt;="&amp;CONCATENATE($K$6,"/",B16),Proventos!$D:$D,"&lt;"&amp;CONCATENATE($L$6,"/",B16),Proventos!$J:$J,"="&amp;$H$2),
AND($H$2=Data!$A$6,$K$2=Data!$A$2),SUMIFS(Proventos!$H:$H,Proventos!$D:$D,"&gt;="&amp;CONCATENATE($K$6,"/",B16),Proventos!$D:$D,"&lt;"&amp;CONCATENATE($L$6,"/",B16),Proventos!$J:$J,"="&amp;$H$2),
AND($H$2=Data!$A$7,$K$2=Data!$A$2),SUMIFS(Proventos!$H:$H,Proventos!$D:$D,"&gt;="&amp;CONCATENATE($K$6,"/",B16),Proventos!$D:$D,"&lt;"&amp;CONCATENATE($L$6,"/",B16),Proventos!$J:$J,"="&amp;$H$2),
AND($H$2=Data!$A$8,$K$2=Data!$A$2),SUMIFS(Proventos!$H:$H,Proventos!$D:$D,"&gt;="&amp;CONCATENATE($K$6,"/",B16),Proventos!$D:$D,"&lt;"&amp;CONCATENATE($L$6,"/",B16),Proventos!$J:$J,"="&amp;$H$2),
AND($H$2=Data!$A$9,$K$2=Data!$A$2),SUMIFS(Proventos!$H:$H,Proventos!$D:$D,"&gt;="&amp;CONCATENATE($K$6,"/",B16),Proventos!$D:$D,"&lt;"&amp;CONCATENATE($L$6,"/",B16),Proventos!$J:$J,"="&amp;$H$2),
AND($H$2=Data!$A$10,$K$2=Data!$A$2),SUMIFS(Proventos!$H:$H,Proventos!$D:$D,"&gt;="&amp;CONCATENATE($K$6,"/",B16),Proventos!$D:$D,"&lt;"&amp;CONCATENATE($L$6,"/",B16),Proventos!$J:$J,"="&amp;$H$2),
AND($H$2=Data!$A$11,$K$2=Data!$A$2),SUMIFS(Proventos!$H:$H,Proventos!$D:$D,"&gt;="&amp;CONCATENATE($K$6,"/",B16),Proventos!$D:$D,"&lt;"&amp;CONCATENATE($L$6,"/",B16),Proventos!$J:$J,"="&amp;$H$2),
$K$2=Data!$A$2,SUMIFS(Proventos!$H:$H,Proventos!$D:$D,"&gt;="&amp;CONCATENATE($K$6,"/",B16),Proventos!$D:$D,"&lt;"&amp;CONCATENATE($L$6,"/",B16)),
$K$2&lt;&gt;Data!$A$2,SUMIFS(Proventos!$H:$H,Proventos!$D:$D,"&gt;="&amp;CONCATENATE($K$6,"/",B16),Proventos!$D:$D,"&lt;"&amp;CONCATENATE($L$6,"/",B16),Proventos!$A:$A,"="&amp;$K$2))</f>
        <v>0</v>
      </c>
      <c r="L16" s="245">
        <f>IFS(
AND($H$2=Data!$A$3,$K$2=Data!$A$2),SUMIFS(Proventos!$H:$H,Proventos!$D:$D,"&gt;="&amp;CONCATENATE($L$6,"/",B16),Proventos!$D:$D,"&lt;"&amp;CONCATENATE($M$6,"/",B16),Proventos!$J:$J,"="&amp;$H$2),
AND($H$2=Data!$A$4,$K$2=Data!$A$2),SUMIFS(Proventos!$H:$H,Proventos!$D:$D,"&gt;="&amp;CONCATENATE($L$6,"/",B16),Proventos!$D:$D,"&lt;"&amp;CONCATENATE($M$6,"/",B16),Proventos!$J:$J,"="&amp;$H$2),
AND($H$2=Data!$A$5,$K$2=Data!$A$2),SUMIFS(Proventos!$H:$H,Proventos!$D:$D,"&gt;="&amp;CONCATENATE($L$6,"/",B16),Proventos!$D:$D,"&lt;"&amp;CONCATENATE($M$6,"/",B16),Proventos!$J:$J,"="&amp;$H$2),
AND($H$2=Data!$A$6,$K$2=Data!$A$2),SUMIFS(Proventos!$H:$H,Proventos!$D:$D,"&gt;="&amp;CONCATENATE($L$6,"/",B16),Proventos!$D:$D,"&lt;"&amp;CONCATENATE($M$6,"/",B16),Proventos!$J:$J,"="&amp;$H$2),
AND($H$2=Data!$A$7,$K$2=Data!$A$2),SUMIFS(Proventos!$H:$H,Proventos!$D:$D,"&gt;="&amp;CONCATENATE($L$6,"/",B16),Proventos!$D:$D,"&lt;"&amp;CONCATENATE($M$6,"/",B16),Proventos!$J:$J,"="&amp;$H$2),
AND($H$2=Data!$A$8,$K$2=Data!$A$2),SUMIFS(Proventos!$H:$H,Proventos!$D:$D,"&gt;="&amp;CONCATENATE($L$6,"/",B16),Proventos!$D:$D,"&lt;"&amp;CONCATENATE($M$6,"/",B16),Proventos!$J:$J,"="&amp;$H$2),
AND($H$2=Data!$A$9,$K$2=Data!$A$2),SUMIFS(Proventos!$H:$H,Proventos!$D:$D,"&gt;="&amp;CONCATENATE($L$6,"/",B16),Proventos!$D:$D,"&lt;"&amp;CONCATENATE($M$6,"/",B16),Proventos!$J:$J,"="&amp;$H$2),
AND($H$2=Data!$A$10,$K$2=Data!$A$2),SUMIFS(Proventos!$H:$H,Proventos!$D:$D,"&gt;="&amp;CONCATENATE($L$6,"/",B16),Proventos!$D:$D,"&lt;"&amp;CONCATENATE($M$6,"/",B16),Proventos!$J:$J,"="&amp;$H$2),
AND($H$2=Data!$A$11,$K$2=Data!$A$2),SUMIFS(Proventos!$H:$H,Proventos!$D:$D,"&gt;="&amp;CONCATENATE($L$6,"/",B16),Proventos!$D:$D,"&lt;"&amp;CONCATENATE($M$6,"/",B16),Proventos!$J:$J,"="&amp;$H$2),
$K$2=Data!$A$2,SUMIFS(Proventos!$H:$H,Proventos!$D:$D,"&gt;="&amp;CONCATENATE($L$6,"/",B16),Proventos!$D:$D,"&lt;"&amp;CONCATENATE($M$6,"/",B16)),
$K$2&lt;&gt;Data!$A$2,SUMIFS(Proventos!$H:$H,Proventos!$D:$D,"&gt;="&amp;CONCATENATE($L$6,"/",B16),Proventos!$D:$D,"&lt;"&amp;CONCATENATE($M$6,"/",B16),Proventos!$A:$A,"="&amp;$K$2))</f>
        <v>0</v>
      </c>
      <c r="M16" s="245">
        <f>IFS(
AND($H$2=Data!$A$3,$K$2=Data!$A$2),SUMIFS(Proventos!$H:$H,Proventos!$D:$D,"&gt;="&amp;CONCATENATE($M$6,"/",B16),Proventos!$D:$D,"&lt;"&amp;CONCATENATE($N$6,"/",B16),Proventos!$J:$J,"="&amp;$H$2),
AND($H$2=Data!$A$4,$K$2=Data!$A$2),SUMIFS(Proventos!$H:$H,Proventos!$D:$D,"&gt;="&amp;CONCATENATE($M$6,"/",B16),Proventos!$D:$D,"&lt;"&amp;CONCATENATE($N$6,"/",B16),Proventos!$J:$J,"="&amp;$H$2),
AND($H$2=Data!$A$5,$K$2=Data!$A$2),SUMIFS(Proventos!$H:$H,Proventos!$D:$D,"&gt;="&amp;CONCATENATE($M$6,"/",B16),Proventos!$D:$D,"&lt;"&amp;CONCATENATE($N$6,"/",B16),Proventos!$J:$J,"="&amp;$H$2),
AND($H$2=Data!$A$6,$K$2=Data!$A$2),SUMIFS(Proventos!$H:$H,Proventos!$D:$D,"&gt;="&amp;CONCATENATE($M$6,"/",B16),Proventos!$D:$D,"&lt;"&amp;CONCATENATE($N$6,"/",B16),Proventos!$J:$J,"="&amp;$H$2),
AND($H$2=Data!$A$7,$K$2=Data!$A$2),SUMIFS(Proventos!$H:$H,Proventos!$D:$D,"&gt;="&amp;CONCATENATE($M$6,"/",B16),Proventos!$D:$D,"&lt;"&amp;CONCATENATE($N$6,"/",B16),Proventos!$J:$J,"="&amp;$H$2),
AND($H$2=Data!$A$8,$K$2=Data!$A$2),SUMIFS(Proventos!$H:$H,Proventos!$D:$D,"&gt;="&amp;CONCATENATE($M$6,"/",B16),Proventos!$D:$D,"&lt;"&amp;CONCATENATE($N$6,"/",B16),Proventos!$J:$J,"="&amp;$H$2),
AND($H$2=Data!$A$9,$K$2=Data!$A$2),SUMIFS(Proventos!$H:$H,Proventos!$D:$D,"&gt;="&amp;CONCATENATE($M$6,"/",B16),Proventos!$D:$D,"&lt;"&amp;CONCATENATE($N$6,"/",B16),Proventos!$J:$J,"="&amp;$H$2),
AND($H$2=Data!$A$10,$K$2=Data!$A$2),SUMIFS(Proventos!$H:$H,Proventos!$D:$D,"&gt;="&amp;CONCATENATE($M$6,"/",B16),Proventos!$D:$D,"&lt;"&amp;CONCATENATE($N$6,"/",B16),Proventos!$J:$J,"="&amp;$H$2),
AND($H$2=Data!$A$11,$K$2=Data!$A$2),SUMIFS(Proventos!$H:$H,Proventos!$D:$D,"&gt;="&amp;CONCATENATE($M$6,"/",B16),Proventos!$D:$D,"&lt;"&amp;CONCATENATE($N$6,"/",B16),Proventos!$J:$J,"="&amp;$H$2),
$K$2=Data!$A$2,SUMIFS(Proventos!$H:$H,Proventos!$D:$D,"&gt;="&amp;CONCATENATE($M$6,"/",B16),Proventos!$D:$D,"&lt;"&amp;CONCATENATE($N$6,"/",B16)),
$K$2&lt;&gt;Data!$A$2,SUMIFS(Proventos!$H:$H,Proventos!$D:$D,"&gt;="&amp;CONCATENATE($M$6,"/",B16),Proventos!$D:$D,"&lt;"&amp;CONCATENATE($N$6,"/",B16),Proventos!$A:$A,"="&amp;$K$2))</f>
        <v>0</v>
      </c>
      <c r="N16" s="245">
        <f>IFS(
AND($H$2=Data!$A$3,$K$2=Data!$A$2),SUMIFS(Proventos!$H:$H,Proventos!$D:$D,"&gt;="&amp;CONCATENATE($N$6,"/",B16),Proventos!$D:$D,"&lt;"&amp;CONCATENATE($C$6,"/",B17),Proventos!$J:$J,"="&amp;$H$2),
AND($H$2=Data!$A$4,$K$2=Data!$A$2),SUMIFS(Proventos!$H:$H,Proventos!$D:$D,"&gt;="&amp;CONCATENATE($N$6,"/",B16),Proventos!$D:$D,"&lt;"&amp;CONCATENATE($C$6,"/",B17),Proventos!$J:$J,"="&amp;$H$2),
AND($H$2=Data!$A$5,$K$2=Data!$A$2),SUMIFS(Proventos!$H:$H,Proventos!$D:$D,"&gt;="&amp;CONCATENATE($N$6,"/",B16),Proventos!$D:$D,"&lt;"&amp;CONCATENATE($C$6,"/",B17),Proventos!$J:$J,"="&amp;$H$2),
AND($H$2=Data!$A$6,$K$2=Data!$A$2),SUMIFS(Proventos!$H:$H,Proventos!$D:$D,"&gt;="&amp;CONCATENATE($N$6,"/",B16),Proventos!$D:$D,"&lt;"&amp;CONCATENATE($C$6,"/",B17),Proventos!$J:$J,"="&amp;$H$2),
AND($H$2=Data!$A$7,$K$2=Data!$A$2),SUMIFS(Proventos!$H:$H,Proventos!$D:$D,"&gt;="&amp;CONCATENATE($N$6,"/",B16),Proventos!$D:$D,"&lt;"&amp;CONCATENATE($C$6,"/",B17),Proventos!$J:$J,"="&amp;$H$2),
AND($H$2=Data!$A$8,$K$2=Data!$A$2),SUMIFS(Proventos!$H:$H,Proventos!$D:$D,"&gt;="&amp;CONCATENATE($N$6,"/",B16),Proventos!$D:$D,"&lt;"&amp;CONCATENATE($C$6,"/",B17),Proventos!$J:$J,"="&amp;$H$2),
AND($H$2=Data!$A$9,$K$2=Data!$A$2),SUMIFS(Proventos!$H:$H,Proventos!$D:$D,"&gt;="&amp;CONCATENATE($N$6,"/",B16),Proventos!$D:$D,"&lt;"&amp;CONCATENATE($C$6,"/",B17),Proventos!$J:$J,"="&amp;$H$2),
AND($H$2=Data!$A$10,$K$2=Data!$A$2),SUMIFS(Proventos!$H:$H,Proventos!$D:$D,"&gt;="&amp;CONCATENATE($N$6,"/",B16),Proventos!$D:$D,"&lt;"&amp;CONCATENATE($C$6,"/",B17),Proventos!$J:$J,"="&amp;$H$2),
AND($H$2=Data!$A$11,$K$2=Data!$A$2),SUMIFS(Proventos!$H:$H,Proventos!$D:$D,"&gt;="&amp;CONCATENATE($N$6,"/",B16),Proventos!$D:$D,"&lt;"&amp;CONCATENATE($C$6,"/",B17),Proventos!$J:$J,"="&amp;$H$2),
$K$2=Data!$A$2,SUMIFS(Proventos!$H:$H,Proventos!$D:$D,"&gt;="&amp;CONCATENATE($N$6,"/",B16),Proventos!$D:$D,"&lt;"&amp;CONCATENATE($C$6,"/",B17)),
$K$2&lt;&gt;Data!$A$2,SUMIFS(Proventos!$H:$H,Proventos!$D:$D,"&gt;="&amp;CONCATENATE($N$6,"/",B16),Proventos!$D:$D,"&lt;"&amp;CONCATENATE($C$6,"/",B17),Proventos!$A:$A,"="&amp;$K$2))</f>
        <v>0</v>
      </c>
      <c r="O16" s="245"/>
      <c r="P16" s="245">
        <f t="shared" si="1"/>
        <v>0</v>
      </c>
      <c r="Q16" s="245">
        <f t="shared" si="2"/>
        <v>0</v>
      </c>
    </row>
    <row r="17" ht="32.25" customHeight="1">
      <c r="A17" s="246" t="str">
        <f>IFERROR(__xludf.DUMMYFUNCTION("""COMPUTED_VALUE"""),"GRND3")</f>
        <v>GRND3</v>
      </c>
      <c r="B17" s="244"/>
      <c r="C17" s="245">
        <f>IFS(
AND($H$2=Data!$A$3,$K$2=Data!$A$2),SUMIFS(Proventos!$H:$H,Proventos!$D:$D,"&gt;="&amp;CONCATENATE($C$6,"/",B17),Proventos!$D:$D,"&lt;"&amp;CONCATENATE($D$6,"/",B17),Proventos!$J:$J,"="&amp;$H$2),
AND($H$2=Data!$A$4,$K$2=Data!$A$2),SUMIFS(Proventos!$H:$H,Proventos!$D:$D,"&gt;="&amp;CONCATENATE($C$6,"/",B17),Proventos!$D:$D,"&lt;"&amp;CONCATENATE($D$6,"/",B17),Proventos!$J:$J,"="&amp;$H$2),
AND($H$2=Data!$A$5,$K$2=Data!$A$2),SUMIFS(Proventos!$H:$H,Proventos!$D:$D,"&gt;="&amp;CONCATENATE($C$6,"/",B17),Proventos!$D:$D,"&lt;"&amp;CONCATENATE($D$6,"/",B17),Proventos!$J:$J,"="&amp;$H$2),
AND($H$2=Data!$A$6,$K$2=Data!$A$2),SUMIFS(Proventos!$H:$H,Proventos!$D:$D,"&gt;="&amp;CONCATENATE($C$6,"/",B17),Proventos!$D:$D,"&lt;"&amp;CONCATENATE($D$6,"/",B17),Proventos!$J:$J,"="&amp;$H$2),
AND($H$2=Data!$A$7,$K$2=Data!$A$2),SUMIFS(Proventos!$H:$H,Proventos!$D:$D,"&gt;="&amp;CONCATENATE($C$6,"/",B17),Proventos!$D:$D,"&lt;"&amp;CONCATENATE($D$6,"/",B17),Proventos!$J:$J,"="&amp;$H$2),
AND($H$2=Data!$A$8,$K$2=Data!$A$2),SUMIFS(Proventos!$H:$H,Proventos!$D:$D,"&gt;="&amp;CONCATENATE($C$6,"/",B17),Proventos!$D:$D,"&lt;"&amp;CONCATENATE($D$6,"/",B17),Proventos!$J:$J,"="&amp;$H$2),
AND($H$2=Data!$A$9,$K$2=Data!$A$2),SUMIFS(Proventos!$H:$H,Proventos!$D:$D,"&gt;="&amp;CONCATENATE($C$6,"/",B17),Proventos!$D:$D,"&lt;"&amp;CONCATENATE($D$6,"/",B17),Proventos!$J:$J,"="&amp;$H$2),
AND($H$2=Data!$A$10,$K$2=Data!$A$2),SUMIFS(Proventos!$H:$H,Proventos!$D:$D,"&gt;="&amp;CONCATENATE($C$6,"/",B17),Proventos!$D:$D,"&lt;"&amp;CONCATENATE($D$6,"/",B17),Proventos!$J:$J,"="&amp;$H$2),
AND($H$2=Data!$A$11,$K$2=Data!$A$2),SUMIFS(Proventos!$H:$H,Proventos!$D:$D,"&gt;="&amp;CONCATENATE($C$6,"/",B17),Proventos!$D:$D,"&lt;"&amp;CONCATENATE($D$6,"/",B17),Proventos!$J:$J,"="&amp;$H$2),
$K$2=Data!$A$2,SUMIFS(Proventos!$H:$H,Proventos!$D:$D,"&gt;="&amp;CONCATENATE($C$6,"/",B17),Proventos!$D:$D,"&lt;"&amp;CONCATENATE($D$6,"/",B17)),
$K$2&lt;&gt;Data!$A$2,SUMIFS(Proventos!$H:$H,Proventos!$D:$D,"&gt;="&amp;CONCATENATE($C$6,"/",B17),Proventos!$D:$D,"&lt;"&amp;CONCATENATE($D$6,"/",B17),Proventos!$A:$A,"="&amp;$K$2))</f>
        <v>0</v>
      </c>
      <c r="D17" s="245">
        <f>IFS(
AND($H$2=Data!$A$3,$K$2=Data!$A$2),SUMIFS(Proventos!$H:$H,Proventos!$D:$D,"&gt;="&amp;CONCATENATE($D$6,"/",B17),Proventos!$D:$D,"&lt;"&amp;CONCATENATE($E$6,"/",B17),Proventos!$J:$J,"="&amp;$H$2),
AND($H$2=Data!$A$4,$K$2=Data!$A$2),SUMIFS(Proventos!$H:$H,Proventos!$D:$D,"&gt;="&amp;CONCATENATE($D$6,"/",B17),Proventos!$D:$D,"&lt;"&amp;CONCATENATE($E$6,"/",B17),Proventos!$J:$J,"="&amp;$H$2),
AND($H$2=Data!$A$5,$K$2=Data!$A$2),SUMIFS(Proventos!$H:$H,Proventos!$D:$D,"&gt;="&amp;CONCATENATE($D$6,"/",B17),Proventos!$D:$D,"&lt;"&amp;CONCATENATE($E$6,"/",B17),Proventos!$J:$J,"="&amp;$H$2),
AND($H$2=Data!$A$6,$K$2=Data!$A$2),SUMIFS(Proventos!$H:$H,Proventos!$D:$D,"&gt;="&amp;CONCATENATE($D$6,"/",B17),Proventos!$D:$D,"&lt;"&amp;CONCATENATE($E$6,"/",B17),Proventos!$J:$J,"="&amp;$H$2),
AND($H$2=Data!$A$7,$K$2=Data!$A$2),SUMIFS(Proventos!$H:$H,Proventos!$D:$D,"&gt;="&amp;CONCATENATE($D$6,"/",B17),Proventos!$D:$D,"&lt;"&amp;CONCATENATE($E$6,"/",B17),Proventos!$J:$J,"="&amp;$H$2),
AND($H$2=Data!$A$8,$K$2=Data!$A$2),SUMIFS(Proventos!$H:$H,Proventos!$D:$D,"&gt;="&amp;CONCATENATE($D$6,"/",B17),Proventos!$D:$D,"&lt;"&amp;CONCATENATE($E$6,"/",B17),Proventos!$J:$J,"="&amp;$H$2),
AND($H$2=Data!$A$9,$K$2=Data!$A$2),SUMIFS(Proventos!$H:$H,Proventos!$D:$D,"&gt;="&amp;CONCATENATE($D$6,"/",B17),Proventos!$D:$D,"&lt;"&amp;CONCATENATE($E$6,"/",B17),Proventos!$J:$J,"="&amp;$H$2),
AND($H$2=Data!$A$10,$K$2=Data!$A$2),SUMIFS(Proventos!$H:$H,Proventos!$D:$D,"&gt;="&amp;CONCATENATE($D$6,"/",B17),Proventos!$D:$D,"&lt;"&amp;CONCATENATE($E$6,"/",B17),Proventos!$J:$J,"="&amp;$H$2),
AND($H$2=Data!$A$11,$K$2=Data!$A$2),SUMIFS(Proventos!$H:$H,Proventos!$D:$D,"&gt;="&amp;CONCATENATE($D$6,"/",B17),Proventos!$D:$D,"&lt;"&amp;CONCATENATE($E$6,"/",B17),Proventos!$J:$J,"="&amp;$H$2),
$K$2=Data!$A$2,SUMIFS(Proventos!$H:$H,Proventos!$D:$D,"&gt;="&amp;CONCATENATE($D$6,"/",B17),Proventos!$D:$D,"&lt;"&amp;CONCATENATE($E$6,"/",B17)),
$K$2&lt;&gt;Data!$A$2,SUMIFS(Proventos!$H:$H,Proventos!$D:$D,"&gt;="&amp;CONCATENATE($D$6,"/",B17),Proventos!$D:$D,"&lt;"&amp;CONCATENATE($E$6,"/",B17),Proventos!$A:$A,"="&amp;$K$2))</f>
        <v>0</v>
      </c>
      <c r="E17" s="245">
        <f>IFS(
AND($H$2=Data!$A$3,$K$2=Data!$A$2),SUMIFS(Proventos!$H:$H,Proventos!$D:$D,"&gt;="&amp;CONCATENATE($E$6,"/",B17),Proventos!$D:$D,"&lt;"&amp;CONCATENATE($F$6,"/",B17),Proventos!$J:$J,"="&amp;$H$2),
AND($H$2=Data!$A$4,$K$2=Data!$A$2),SUMIFS(Proventos!$H:$H,Proventos!$D:$D,"&gt;="&amp;CONCATENATE($E$6,"/",B17),Proventos!$D:$D,"&lt;"&amp;CONCATENATE($F$6,"/",B17),Proventos!$J:$J,"="&amp;$H$2),
AND($H$2=Data!$A$5,$K$2=Data!$A$2),SUMIFS(Proventos!$H:$H,Proventos!$D:$D,"&gt;="&amp;CONCATENATE($E$6,"/",B17),Proventos!$D:$D,"&lt;"&amp;CONCATENATE($F$6,"/",B17),Proventos!$J:$J,"="&amp;$H$2),
AND($H$2=Data!$A$6,$K$2=Data!$A$2),SUMIFS(Proventos!$H:$H,Proventos!$D:$D,"&gt;="&amp;CONCATENATE($E$6,"/",B17),Proventos!$D:$D,"&lt;"&amp;CONCATENATE($F$6,"/",B17),Proventos!$J:$J,"="&amp;$H$2),
AND($H$2=Data!$A$7,$K$2=Data!$A$2),SUMIFS(Proventos!$H:$H,Proventos!$D:$D,"&gt;="&amp;CONCATENATE($E$6,"/",B17),Proventos!$D:$D,"&lt;"&amp;CONCATENATE($F$6,"/",B17),Proventos!$J:$J,"="&amp;$H$2),
AND($H$2=Data!$A$8,$K$2=Data!$A$2),SUMIFS(Proventos!$H:$H,Proventos!$D:$D,"&gt;="&amp;CONCATENATE($E$6,"/",B17),Proventos!$D:$D,"&lt;"&amp;CONCATENATE($F$6,"/",B17),Proventos!$J:$J,"="&amp;$H$2),
AND($H$2=Data!$A$9,$K$2=Data!$A$2),SUMIFS(Proventos!$H:$H,Proventos!$D:$D,"&gt;="&amp;CONCATENATE($E$6,"/",B17),Proventos!$D:$D,"&lt;"&amp;CONCATENATE($F$6,"/",B17),Proventos!$J:$J,"="&amp;$H$2),
AND($H$2=Data!$A$10,$K$2=Data!$A$2),SUMIFS(Proventos!$H:$H,Proventos!$D:$D,"&gt;="&amp;CONCATENATE($E$6,"/",B17),Proventos!$D:$D,"&lt;"&amp;CONCATENATE($F$6,"/",B17),Proventos!$J:$J,"="&amp;$H$2),
AND($H$2=Data!$A$11,$K$2=Data!$A$2),SUMIFS(Proventos!$H:$H,Proventos!$D:$D,"&gt;="&amp;CONCATENATE($E$6,"/",B17),Proventos!$D:$D,"&lt;"&amp;CONCATENATE($F$6,"/",B17),Proventos!$J:$J,"="&amp;$H$2),
$K$2=Data!$A$2,SUMIFS(Proventos!$H:$H,Proventos!$D:$D,"&gt;="&amp;CONCATENATE($E$6,"/",B17),Proventos!$D:$D,"&lt;"&amp;CONCATENATE($F$6,"/",B17)),
$K$2&lt;&gt;Data!$A$2,SUMIFS(Proventos!$H:$H,Proventos!$D:$D,"&gt;="&amp;CONCATENATE($E$6,"/",B17),Proventos!$D:$D,"&lt;"&amp;CONCATENATE($F$6,"/",B17),Proventos!$A:$A,"="&amp;$K$2))</f>
        <v>0</v>
      </c>
      <c r="F17" s="245">
        <f>IFS(
AND($H$2=Data!$A$3,$K$2=Data!$A$2),SUMIFS(Proventos!$H:$H,Proventos!$D:$D,"&gt;="&amp;CONCATENATE($F$6,"/",B17),Proventos!$D:$D,"&lt;"&amp;CONCATENATE($G$6,"/",B17),Proventos!$J:$J,"="&amp;$H$2),
AND($H$2=Data!$A$4,$K$2=Data!$A$2),SUMIFS(Proventos!$H:$H,Proventos!$D:$D,"&gt;="&amp;CONCATENATE($F$6,"/",B17),Proventos!$D:$D,"&lt;"&amp;CONCATENATE($G$6,"/",B17),Proventos!$J:$J,"="&amp;$H$2),
AND($H$2=Data!$A$5,$K$2=Data!$A$2),SUMIFS(Proventos!$H:$H,Proventos!$D:$D,"&gt;="&amp;CONCATENATE($F$6,"/",B17),Proventos!$D:$D,"&lt;"&amp;CONCATENATE($G$6,"/",B17),Proventos!$J:$J,"="&amp;$H$2),
AND($H$2=Data!$A$6,$K$2=Data!$A$2),SUMIFS(Proventos!$H:$H,Proventos!$D:$D,"&gt;="&amp;CONCATENATE($F$6,"/",B17),Proventos!$D:$D,"&lt;"&amp;CONCATENATE($G$6,"/",B17),Proventos!$J:$J,"="&amp;$H$2),
AND($H$2=Data!$A$7,$K$2=Data!$A$2),SUMIFS(Proventos!$H:$H,Proventos!$D:$D,"&gt;="&amp;CONCATENATE($F$6,"/",B17),Proventos!$D:$D,"&lt;"&amp;CONCATENATE($G$6,"/",B17),Proventos!$J:$J,"="&amp;$H$2),
AND($H$2=Data!$A$8,$K$2=Data!$A$2),SUMIFS(Proventos!$H:$H,Proventos!$D:$D,"&gt;="&amp;CONCATENATE($F$6,"/",B17),Proventos!$D:$D,"&lt;"&amp;CONCATENATE($G$6,"/",B17),Proventos!$J:$J,"="&amp;$H$2),
AND($H$2=Data!$A$9,$K$2=Data!$A$2),SUMIFS(Proventos!$H:$H,Proventos!$D:$D,"&gt;="&amp;CONCATENATE($F$6,"/",B17),Proventos!$D:$D,"&lt;"&amp;CONCATENATE($G$6,"/",B17),Proventos!$J:$J,"="&amp;$H$2),
AND($H$2=Data!$A$10,$K$2=Data!$A$2),SUMIFS(Proventos!$H:$H,Proventos!$D:$D,"&gt;="&amp;CONCATENATE($F$6,"/",B17),Proventos!$D:$D,"&lt;"&amp;CONCATENATE($G$6,"/",B17),Proventos!$J:$J,"="&amp;$H$2),
AND($H$2=Data!$A$11,$K$2=Data!$A$2),SUMIFS(Proventos!$H:$H,Proventos!$D:$D,"&gt;="&amp;CONCATENATE($F$6,"/",B17),Proventos!$D:$D,"&lt;"&amp;CONCATENATE($G$6,"/",B17),Proventos!$J:$J,"="&amp;$H$2),
$K$2=Data!$A$2,SUMIFS(Proventos!$H:$H,Proventos!$D:$D,"&gt;="&amp;CONCATENATE($F$6,"/",B17),Proventos!$D:$D,"&lt;"&amp;CONCATENATE($G$6,"/",B17)),
$K$2&lt;&gt;Data!$A$2,SUMIFS(Proventos!$H:$H,Proventos!$D:$D,"&gt;="&amp;CONCATENATE($F$6,"/",B17),Proventos!$D:$D,"&lt;"&amp;CONCATENATE($G$6,"/",B17),Proventos!$A:$A,"="&amp;$K$2))</f>
        <v>0</v>
      </c>
      <c r="G17" s="245">
        <f>IFS(
AND($H$2=Data!$A$3,$K$2=Data!$A$2),SUMIFS(Proventos!$H:$H,Proventos!$D:$D,"&gt;="&amp;CONCATENATE($G$6,"/",B17),Proventos!$D:$D,"&lt;"&amp;CONCATENATE($H$6,"/",B17),Proventos!$J:$J,"="&amp;$H$2),
AND($H$2=Data!$A$4,$K$2=Data!$A$2),SUMIFS(Proventos!$H:$H,Proventos!$D:$D,"&gt;="&amp;CONCATENATE($G$6,"/",B17),Proventos!$D:$D,"&lt;"&amp;CONCATENATE($H$6,"/",B17),Proventos!$J:$J,"="&amp;$H$2),
AND($H$2=Data!$A$5,$K$2=Data!$A$2),SUMIFS(Proventos!$H:$H,Proventos!$D:$D,"&gt;="&amp;CONCATENATE($G$6,"/",B17),Proventos!$D:$D,"&lt;"&amp;CONCATENATE($H$6,"/",B17),Proventos!$J:$J,"="&amp;$H$2),
AND($H$2=Data!$A$6,$K$2=Data!$A$2),SUMIFS(Proventos!$H:$H,Proventos!$D:$D,"&gt;="&amp;CONCATENATE($G$6,"/",B17),Proventos!$D:$D,"&lt;"&amp;CONCATENATE($H$6,"/",B17),Proventos!$J:$J,"="&amp;$H$2),
AND($H$2=Data!$A$7,$K$2=Data!$A$2),SUMIFS(Proventos!$H:$H,Proventos!$D:$D,"&gt;="&amp;CONCATENATE($G$6,"/",B17),Proventos!$D:$D,"&lt;"&amp;CONCATENATE($H$6,"/",B17),Proventos!$J:$J,"="&amp;$H$2),
AND($H$2=Data!$A$8,$K$2=Data!$A$2),SUMIFS(Proventos!$H:$H,Proventos!$D:$D,"&gt;="&amp;CONCATENATE($G$6,"/",B17),Proventos!$D:$D,"&lt;"&amp;CONCATENATE($H$6,"/",B17),Proventos!$J:$J,"="&amp;$H$2),
AND($H$2=Data!$A$9,$K$2=Data!$A$2),SUMIFS(Proventos!$H:$H,Proventos!$D:$D,"&gt;="&amp;CONCATENATE($G$6,"/",B17),Proventos!$D:$D,"&lt;"&amp;CONCATENATE($H$6,"/",B17),Proventos!$J:$J,"="&amp;$H$2),
AND($H$2=Data!$A$10,$K$2=Data!$A$2),SUMIFS(Proventos!$H:$H,Proventos!$D:$D,"&gt;="&amp;CONCATENATE($G$6,"/",B17),Proventos!$D:$D,"&lt;"&amp;CONCATENATE($H$6,"/",B17),Proventos!$J:$J,"="&amp;$H$2),
AND($H$2=Data!$A$11,$K$2=Data!$A$2),SUMIFS(Proventos!$H:$H,Proventos!$D:$D,"&gt;="&amp;CONCATENATE($G$6,"/",B17),Proventos!$D:$D,"&lt;"&amp;CONCATENATE($H$6,"/",B17),Proventos!$J:$J,"="&amp;$H$2),
$K$2=Data!$A$2,SUMIFS(Proventos!$H:$H,Proventos!$D:$D,"&gt;="&amp;CONCATENATE($G$6,"/",B17),Proventos!$D:$D,"&lt;"&amp;CONCATENATE($H$6,"/",B17)),
$K$2&lt;&gt;Data!$A$2,SUMIFS(Proventos!$H:$H,Proventos!$D:$D,"&gt;="&amp;CONCATENATE($G$6,"/",B17),Proventos!$D:$D,"&lt;"&amp;CONCATENATE($H$6,"/",B17),Proventos!$A:$A,"="&amp;$K$2))</f>
        <v>0</v>
      </c>
      <c r="H17" s="245">
        <f>IFS(
AND($H$2=Data!$A$3,$K$2=Data!$A$2),SUMIFS(Proventos!$H:$H,Proventos!$D:$D,"&gt;="&amp;CONCATENATE($H$6,"/",B17),Proventos!$D:$D,"&lt;"&amp;CONCATENATE($I$6,"/",B17),Proventos!$J:$J,"="&amp;$H$2),
AND($H$2=Data!$A$4,$K$2=Data!$A$2),SUMIFS(Proventos!$H:$H,Proventos!$D:$D,"&gt;="&amp;CONCATENATE($H$6,"/",B17),Proventos!$D:$D,"&lt;"&amp;CONCATENATE($I$6,"/",B17),Proventos!$J:$J,"="&amp;$H$2),
AND($H$2=Data!$A$5,$K$2=Data!$A$2),SUMIFS(Proventos!$H:$H,Proventos!$D:$D,"&gt;="&amp;CONCATENATE($H$6,"/",B17),Proventos!$D:$D,"&lt;"&amp;CONCATENATE($I$6,"/",B17),Proventos!$J:$J,"="&amp;$H$2),
AND($H$2=Data!$A$6,$K$2=Data!$A$2),SUMIFS(Proventos!$H:$H,Proventos!$D:$D,"&gt;="&amp;CONCATENATE($H$6,"/",B17),Proventos!$D:$D,"&lt;"&amp;CONCATENATE($I$6,"/",B17),Proventos!$J:$J,"="&amp;$H$2),
AND($H$2=Data!$A$7,$K$2=Data!$A$2),SUMIFS(Proventos!$H:$H,Proventos!$D:$D,"&gt;="&amp;CONCATENATE($H$6,"/",B17),Proventos!$D:$D,"&lt;"&amp;CONCATENATE($I$6,"/",B17),Proventos!$J:$J,"="&amp;$H$2),
AND($H$2=Data!$A$8,$K$2=Data!$A$2),SUMIFS(Proventos!$H:$H,Proventos!$D:$D,"&gt;="&amp;CONCATENATE($H$6,"/",B17),Proventos!$D:$D,"&lt;"&amp;CONCATENATE($I$6,"/",B17),Proventos!$J:$J,"="&amp;$H$2),
AND($H$2=Data!$A$9,$K$2=Data!$A$2),SUMIFS(Proventos!$H:$H,Proventos!$D:$D,"&gt;="&amp;CONCATENATE($H$6,"/",B17),Proventos!$D:$D,"&lt;"&amp;CONCATENATE($I$6,"/",B17),Proventos!$J:$J,"="&amp;$H$2),
AND($H$2=Data!$A$10,$K$2=Data!$A$2),SUMIFS(Proventos!$H:$H,Proventos!$D:$D,"&gt;="&amp;CONCATENATE($H$6,"/",B17),Proventos!$D:$D,"&lt;"&amp;CONCATENATE($I$6,"/",B17),Proventos!$J:$J,"="&amp;$H$2),
AND($H$2=Data!$A$11,$K$2=Data!$A$2),SUMIFS(Proventos!$H:$H,Proventos!$D:$D,"&gt;="&amp;CONCATENATE($H$6,"/",B17),Proventos!$D:$D,"&lt;"&amp;CONCATENATE($I$6,"/",B17),Proventos!$J:$J,"="&amp;$H$2),
$K$2=Data!$A$2,SUMIFS(Proventos!$H:$H,Proventos!$D:$D,"&gt;="&amp;CONCATENATE($H$6,"/",B17),Proventos!$D:$D,"&lt;"&amp;CONCATENATE($I$6,"/",B17)),
$K$2&lt;&gt;Data!$A$2,SUMIFS(Proventos!$H:$H,Proventos!$D:$D,"&gt;="&amp;CONCATENATE($H$6,"/",B17),Proventos!$D:$D,"&lt;"&amp;CONCATENATE($I$6,"/",B17),Proventos!$A:$A,"="&amp;$K$2))</f>
        <v>0</v>
      </c>
      <c r="I17" s="245">
        <f>IFS(
AND($H$2=Data!$A$3,$K$2=Data!$A$2),SUMIFS(Proventos!$H:$H,Proventos!$D:$D,"&gt;="&amp;CONCATENATE($I$6,"/",B17),Proventos!$D:$D,"&lt;"&amp;CONCATENATE($J$6,"/",B17),Proventos!$J:$J,"="&amp;$H$2),
AND($H$2=Data!$A$4,$K$2=Data!$A$2),SUMIFS(Proventos!$H:$H,Proventos!$D:$D,"&gt;="&amp;CONCATENATE($I$6,"/",B17),Proventos!$D:$D,"&lt;"&amp;CONCATENATE($J$6,"/",B17),Proventos!$J:$J,"="&amp;$H$2),
AND($H$2=Data!$A$5,$K$2=Data!$A$2),SUMIFS(Proventos!$H:$H,Proventos!$D:$D,"&gt;="&amp;CONCATENATE($I$6,"/",B17),Proventos!$D:$D,"&lt;"&amp;CONCATENATE($J$6,"/",B17),Proventos!$J:$J,"="&amp;$H$2),
AND($H$2=Data!$A$6,$K$2=Data!$A$2),SUMIFS(Proventos!$H:$H,Proventos!$D:$D,"&gt;="&amp;CONCATENATE($I$6,"/",B17),Proventos!$D:$D,"&lt;"&amp;CONCATENATE($J$6,"/",B17),Proventos!$J:$J,"="&amp;$H$2),
AND($H$2=Data!$A$7,$K$2=Data!$A$2),SUMIFS(Proventos!$H:$H,Proventos!$D:$D,"&gt;="&amp;CONCATENATE($I$6,"/",B17),Proventos!$D:$D,"&lt;"&amp;CONCATENATE($J$6,"/",B17),Proventos!$J:$J,"="&amp;$H$2),
AND($H$2=Data!$A$8,$K$2=Data!$A$2),SUMIFS(Proventos!$H:$H,Proventos!$D:$D,"&gt;="&amp;CONCATENATE($I$6,"/",B17),Proventos!$D:$D,"&lt;"&amp;CONCATENATE($J$6,"/",B17),Proventos!$J:$J,"="&amp;$H$2),
AND($H$2=Data!$A$9,$K$2=Data!$A$2),SUMIFS(Proventos!$H:$H,Proventos!$D:$D,"&gt;="&amp;CONCATENATE($I$6,"/",B17),Proventos!$D:$D,"&lt;"&amp;CONCATENATE($J$6,"/",B17),Proventos!$J:$J,"="&amp;$H$2),
AND($H$2=Data!$A$10,$K$2=Data!$A$2),SUMIFS(Proventos!$H:$H,Proventos!$D:$D,"&gt;="&amp;CONCATENATE($I$6,"/",B17),Proventos!$D:$D,"&lt;"&amp;CONCATENATE($J$6,"/",B17),Proventos!$J:$J,"="&amp;$H$2),
AND($H$2=Data!$A$11,$K$2=Data!$A$2),SUMIFS(Proventos!$H:$H,Proventos!$D:$D,"&gt;="&amp;CONCATENATE($I$6,"/",B17),Proventos!$D:$D,"&lt;"&amp;CONCATENATE($J$6,"/",B17),Proventos!$J:$J,"="&amp;$H$2),
$K$2=Data!$A$2,SUMIFS(Proventos!$H:$H,Proventos!$D:$D,"&gt;="&amp;CONCATENATE($I$6,"/",B17),Proventos!$D:$D,"&lt;"&amp;CONCATENATE($J$6,"/",B17)),
$K$2&lt;&gt;Data!$A$2,SUMIFS(Proventos!$H:$H,Proventos!$D:$D,"&gt;="&amp;CONCATENATE($I$6,"/",B17),Proventos!$D:$D,"&lt;"&amp;CONCATENATE($J$6,"/",B17),Proventos!$A:$A,"="&amp;$K$2))</f>
        <v>0</v>
      </c>
      <c r="J17" s="245">
        <f>IFS(
AND($H$2=Data!$A$3,$K$2=Data!$A$2),SUMIFS(Proventos!$H:$H,Proventos!$D:$D,"&gt;="&amp;CONCATENATE($J$6,"/",B17),Proventos!$D:$D,"&lt;"&amp;CONCATENATE($K$6,"/",B17),Proventos!$J:$J,"="&amp;$H$2),
AND($H$2=Data!$A$4,$K$2=Data!$A$2),SUMIFS(Proventos!$H:$H,Proventos!$D:$D,"&gt;="&amp;CONCATENATE($J$6,"/",B17),Proventos!$D:$D,"&lt;"&amp;CONCATENATE($K$6,"/",B17),Proventos!$J:$J,"="&amp;$H$2),
AND($H$2=Data!$A$5,$K$2=Data!$A$2),SUMIFS(Proventos!$H:$H,Proventos!$D:$D,"&gt;="&amp;CONCATENATE($J$6,"/",B17),Proventos!$D:$D,"&lt;"&amp;CONCATENATE($K$6,"/",B17),Proventos!$J:$J,"="&amp;$H$2),
AND($H$2=Data!$A$6,$K$2=Data!$A$2),SUMIFS(Proventos!$H:$H,Proventos!$D:$D,"&gt;="&amp;CONCATENATE($J$6,"/",B17),Proventos!$D:$D,"&lt;"&amp;CONCATENATE($K$6,"/",B17),Proventos!$J:$J,"="&amp;$H$2),
AND($H$2=Data!$A$7,$K$2=Data!$A$2),SUMIFS(Proventos!$H:$H,Proventos!$D:$D,"&gt;="&amp;CONCATENATE($J$6,"/",B17),Proventos!$D:$D,"&lt;"&amp;CONCATENATE($K$6,"/",B17),Proventos!$J:$J,"="&amp;$H$2),
AND($H$2=Data!$A$8,$K$2=Data!$A$2),SUMIFS(Proventos!$H:$H,Proventos!$D:$D,"&gt;="&amp;CONCATENATE($J$6,"/",B17),Proventos!$D:$D,"&lt;"&amp;CONCATENATE($K$6,"/",B17),Proventos!$J:$J,"="&amp;$H$2),
AND($H$2=Data!$A$9,$K$2=Data!$A$2),SUMIFS(Proventos!$H:$H,Proventos!$D:$D,"&gt;="&amp;CONCATENATE($J$6,"/",B17),Proventos!$D:$D,"&lt;"&amp;CONCATENATE($K$6,"/",B17),Proventos!$J:$J,"="&amp;$H$2),
AND($H$2=Data!$A$10,$K$2=Data!$A$2),SUMIFS(Proventos!$H:$H,Proventos!$D:$D,"&gt;="&amp;CONCATENATE($J$6,"/",B17),Proventos!$D:$D,"&lt;"&amp;CONCATENATE($K$6,"/",B17),Proventos!$J:$J,"="&amp;$H$2),
AND($H$2=Data!$A$11,$K$2=Data!$A$2),SUMIFS(Proventos!$H:$H,Proventos!$D:$D,"&gt;="&amp;CONCATENATE($J$6,"/",B17),Proventos!$D:$D,"&lt;"&amp;CONCATENATE($K$6,"/",B17),Proventos!$J:$J,"="&amp;$H$2),
$K$2=Data!$A$2,SUMIFS(Proventos!$H:$H,Proventos!$D:$D,"&gt;="&amp;CONCATENATE($J$6,"/",B17),Proventos!$D:$D,"&lt;"&amp;CONCATENATE($K$6,"/",B17)),
$K$2&lt;&gt;Data!$A$2,SUMIFS(Proventos!$H:$H,Proventos!$D:$D,"&gt;="&amp;CONCATENATE($J$6,"/",B17),Proventos!$D:$D,"&lt;"&amp;CONCATENATE($K$6,"/",B17),Proventos!$A:$A,"="&amp;$K$2))</f>
        <v>0</v>
      </c>
      <c r="K17" s="245">
        <f>IFS(
AND($H$2=Data!$A$3,$K$2=Data!$A$2),SUMIFS(Proventos!$H:$H,Proventos!$D:$D,"&gt;="&amp;CONCATENATE($K$6,"/",B17),Proventos!$D:$D,"&lt;"&amp;CONCATENATE($L$6,"/",B17),Proventos!$J:$J,"="&amp;$H$2),
AND($H$2=Data!$A$4,$K$2=Data!$A$2),SUMIFS(Proventos!$H:$H,Proventos!$D:$D,"&gt;="&amp;CONCATENATE($K$6,"/",B17),Proventos!$D:$D,"&lt;"&amp;CONCATENATE($L$6,"/",B17),Proventos!$J:$J,"="&amp;$H$2),
AND($H$2=Data!$A$5,$K$2=Data!$A$2),SUMIFS(Proventos!$H:$H,Proventos!$D:$D,"&gt;="&amp;CONCATENATE($K$6,"/",B17),Proventos!$D:$D,"&lt;"&amp;CONCATENATE($L$6,"/",B17),Proventos!$J:$J,"="&amp;$H$2),
AND($H$2=Data!$A$6,$K$2=Data!$A$2),SUMIFS(Proventos!$H:$H,Proventos!$D:$D,"&gt;="&amp;CONCATENATE($K$6,"/",B17),Proventos!$D:$D,"&lt;"&amp;CONCATENATE($L$6,"/",B17),Proventos!$J:$J,"="&amp;$H$2),
AND($H$2=Data!$A$7,$K$2=Data!$A$2),SUMIFS(Proventos!$H:$H,Proventos!$D:$D,"&gt;="&amp;CONCATENATE($K$6,"/",B17),Proventos!$D:$D,"&lt;"&amp;CONCATENATE($L$6,"/",B17),Proventos!$J:$J,"="&amp;$H$2),
AND($H$2=Data!$A$8,$K$2=Data!$A$2),SUMIFS(Proventos!$H:$H,Proventos!$D:$D,"&gt;="&amp;CONCATENATE($K$6,"/",B17),Proventos!$D:$D,"&lt;"&amp;CONCATENATE($L$6,"/",B17),Proventos!$J:$J,"="&amp;$H$2),
AND($H$2=Data!$A$9,$K$2=Data!$A$2),SUMIFS(Proventos!$H:$H,Proventos!$D:$D,"&gt;="&amp;CONCATENATE($K$6,"/",B17),Proventos!$D:$D,"&lt;"&amp;CONCATENATE($L$6,"/",B17),Proventos!$J:$J,"="&amp;$H$2),
AND($H$2=Data!$A$10,$K$2=Data!$A$2),SUMIFS(Proventos!$H:$H,Proventos!$D:$D,"&gt;="&amp;CONCATENATE($K$6,"/",B17),Proventos!$D:$D,"&lt;"&amp;CONCATENATE($L$6,"/",B17),Proventos!$J:$J,"="&amp;$H$2),
AND($H$2=Data!$A$11,$K$2=Data!$A$2),SUMIFS(Proventos!$H:$H,Proventos!$D:$D,"&gt;="&amp;CONCATENATE($K$6,"/",B17),Proventos!$D:$D,"&lt;"&amp;CONCATENATE($L$6,"/",B17),Proventos!$J:$J,"="&amp;$H$2),
$K$2=Data!$A$2,SUMIFS(Proventos!$H:$H,Proventos!$D:$D,"&gt;="&amp;CONCATENATE($K$6,"/",B17),Proventos!$D:$D,"&lt;"&amp;CONCATENATE($L$6,"/",B17)),
$K$2&lt;&gt;Data!$A$2,SUMIFS(Proventos!$H:$H,Proventos!$D:$D,"&gt;="&amp;CONCATENATE($K$6,"/",B17),Proventos!$D:$D,"&lt;"&amp;CONCATENATE($L$6,"/",B17),Proventos!$A:$A,"="&amp;$K$2))</f>
        <v>0</v>
      </c>
      <c r="L17" s="245">
        <f>IFS(
AND($H$2=Data!$A$3,$K$2=Data!$A$2),SUMIFS(Proventos!$H:$H,Proventos!$D:$D,"&gt;="&amp;CONCATENATE($L$6,"/",B17),Proventos!$D:$D,"&lt;"&amp;CONCATENATE($M$6,"/",B17),Proventos!$J:$J,"="&amp;$H$2),
AND($H$2=Data!$A$4,$K$2=Data!$A$2),SUMIFS(Proventos!$H:$H,Proventos!$D:$D,"&gt;="&amp;CONCATENATE($L$6,"/",B17),Proventos!$D:$D,"&lt;"&amp;CONCATENATE($M$6,"/",B17),Proventos!$J:$J,"="&amp;$H$2),
AND($H$2=Data!$A$5,$K$2=Data!$A$2),SUMIFS(Proventos!$H:$H,Proventos!$D:$D,"&gt;="&amp;CONCATENATE($L$6,"/",B17),Proventos!$D:$D,"&lt;"&amp;CONCATENATE($M$6,"/",B17),Proventos!$J:$J,"="&amp;$H$2),
AND($H$2=Data!$A$6,$K$2=Data!$A$2),SUMIFS(Proventos!$H:$H,Proventos!$D:$D,"&gt;="&amp;CONCATENATE($L$6,"/",B17),Proventos!$D:$D,"&lt;"&amp;CONCATENATE($M$6,"/",B17),Proventos!$J:$J,"="&amp;$H$2),
AND($H$2=Data!$A$7,$K$2=Data!$A$2),SUMIFS(Proventos!$H:$H,Proventos!$D:$D,"&gt;="&amp;CONCATENATE($L$6,"/",B17),Proventos!$D:$D,"&lt;"&amp;CONCATENATE($M$6,"/",B17),Proventos!$J:$J,"="&amp;$H$2),
AND($H$2=Data!$A$8,$K$2=Data!$A$2),SUMIFS(Proventos!$H:$H,Proventos!$D:$D,"&gt;="&amp;CONCATENATE($L$6,"/",B17),Proventos!$D:$D,"&lt;"&amp;CONCATENATE($M$6,"/",B17),Proventos!$J:$J,"="&amp;$H$2),
AND($H$2=Data!$A$9,$K$2=Data!$A$2),SUMIFS(Proventos!$H:$H,Proventos!$D:$D,"&gt;="&amp;CONCATENATE($L$6,"/",B17),Proventos!$D:$D,"&lt;"&amp;CONCATENATE($M$6,"/",B17),Proventos!$J:$J,"="&amp;$H$2),
AND($H$2=Data!$A$10,$K$2=Data!$A$2),SUMIFS(Proventos!$H:$H,Proventos!$D:$D,"&gt;="&amp;CONCATENATE($L$6,"/",B17),Proventos!$D:$D,"&lt;"&amp;CONCATENATE($M$6,"/",B17),Proventos!$J:$J,"="&amp;$H$2),
AND($H$2=Data!$A$11,$K$2=Data!$A$2),SUMIFS(Proventos!$H:$H,Proventos!$D:$D,"&gt;="&amp;CONCATENATE($L$6,"/",B17),Proventos!$D:$D,"&lt;"&amp;CONCATENATE($M$6,"/",B17),Proventos!$J:$J,"="&amp;$H$2),
$K$2=Data!$A$2,SUMIFS(Proventos!$H:$H,Proventos!$D:$D,"&gt;="&amp;CONCATENATE($L$6,"/",B17),Proventos!$D:$D,"&lt;"&amp;CONCATENATE($M$6,"/",B17)),
$K$2&lt;&gt;Data!$A$2,SUMIFS(Proventos!$H:$H,Proventos!$D:$D,"&gt;="&amp;CONCATENATE($L$6,"/",B17),Proventos!$D:$D,"&lt;"&amp;CONCATENATE($M$6,"/",B17),Proventos!$A:$A,"="&amp;$K$2))</f>
        <v>0</v>
      </c>
      <c r="M17" s="245">
        <f>IFS(
AND($H$2=Data!$A$3,$K$2=Data!$A$2),SUMIFS(Proventos!$H:$H,Proventos!$D:$D,"&gt;="&amp;CONCATENATE($M$6,"/",B17),Proventos!$D:$D,"&lt;"&amp;CONCATENATE($N$6,"/",B17),Proventos!$J:$J,"="&amp;$H$2),
AND($H$2=Data!$A$4,$K$2=Data!$A$2),SUMIFS(Proventos!$H:$H,Proventos!$D:$D,"&gt;="&amp;CONCATENATE($M$6,"/",B17),Proventos!$D:$D,"&lt;"&amp;CONCATENATE($N$6,"/",B17),Proventos!$J:$J,"="&amp;$H$2),
AND($H$2=Data!$A$5,$K$2=Data!$A$2),SUMIFS(Proventos!$H:$H,Proventos!$D:$D,"&gt;="&amp;CONCATENATE($M$6,"/",B17),Proventos!$D:$D,"&lt;"&amp;CONCATENATE($N$6,"/",B17),Proventos!$J:$J,"="&amp;$H$2),
AND($H$2=Data!$A$6,$K$2=Data!$A$2),SUMIFS(Proventos!$H:$H,Proventos!$D:$D,"&gt;="&amp;CONCATENATE($M$6,"/",B17),Proventos!$D:$D,"&lt;"&amp;CONCATENATE($N$6,"/",B17),Proventos!$J:$J,"="&amp;$H$2),
AND($H$2=Data!$A$7,$K$2=Data!$A$2),SUMIFS(Proventos!$H:$H,Proventos!$D:$D,"&gt;="&amp;CONCATENATE($M$6,"/",B17),Proventos!$D:$D,"&lt;"&amp;CONCATENATE($N$6,"/",B17),Proventos!$J:$J,"="&amp;$H$2),
AND($H$2=Data!$A$8,$K$2=Data!$A$2),SUMIFS(Proventos!$H:$H,Proventos!$D:$D,"&gt;="&amp;CONCATENATE($M$6,"/",B17),Proventos!$D:$D,"&lt;"&amp;CONCATENATE($N$6,"/",B17),Proventos!$J:$J,"="&amp;$H$2),
AND($H$2=Data!$A$9,$K$2=Data!$A$2),SUMIFS(Proventos!$H:$H,Proventos!$D:$D,"&gt;="&amp;CONCATENATE($M$6,"/",B17),Proventos!$D:$D,"&lt;"&amp;CONCATENATE($N$6,"/",B17),Proventos!$J:$J,"="&amp;$H$2),
AND($H$2=Data!$A$10,$K$2=Data!$A$2),SUMIFS(Proventos!$H:$H,Proventos!$D:$D,"&gt;="&amp;CONCATENATE($M$6,"/",B17),Proventos!$D:$D,"&lt;"&amp;CONCATENATE($N$6,"/",B17),Proventos!$J:$J,"="&amp;$H$2),
AND($H$2=Data!$A$11,$K$2=Data!$A$2),SUMIFS(Proventos!$H:$H,Proventos!$D:$D,"&gt;="&amp;CONCATENATE($M$6,"/",B17),Proventos!$D:$D,"&lt;"&amp;CONCATENATE($N$6,"/",B17),Proventos!$J:$J,"="&amp;$H$2),
$K$2=Data!$A$2,SUMIFS(Proventos!$H:$H,Proventos!$D:$D,"&gt;="&amp;CONCATENATE($M$6,"/",B17),Proventos!$D:$D,"&lt;"&amp;CONCATENATE($N$6,"/",B17)),
$K$2&lt;&gt;Data!$A$2,SUMIFS(Proventos!$H:$H,Proventos!$D:$D,"&gt;="&amp;CONCATENATE($M$6,"/",B17),Proventos!$D:$D,"&lt;"&amp;CONCATENATE($N$6,"/",B17),Proventos!$A:$A,"="&amp;$K$2))</f>
        <v>0</v>
      </c>
      <c r="N17" s="245">
        <f>IFS(
AND($H$2=Data!$A$3,$K$2=Data!$A$2),SUMIFS(Proventos!$H:$H,Proventos!$D:$D,"&gt;="&amp;CONCATENATE($N$6,"/",B17),Proventos!$D:$D,"&lt;"&amp;CONCATENATE($C$6,"/",B18),Proventos!$J:$J,"="&amp;$H$2),
AND($H$2=Data!$A$4,$K$2=Data!$A$2),SUMIFS(Proventos!$H:$H,Proventos!$D:$D,"&gt;="&amp;CONCATENATE($N$6,"/",B17),Proventos!$D:$D,"&lt;"&amp;CONCATENATE($C$6,"/",B18),Proventos!$J:$J,"="&amp;$H$2),
AND($H$2=Data!$A$5,$K$2=Data!$A$2),SUMIFS(Proventos!$H:$H,Proventos!$D:$D,"&gt;="&amp;CONCATENATE($N$6,"/",B17),Proventos!$D:$D,"&lt;"&amp;CONCATENATE($C$6,"/",B18),Proventos!$J:$J,"="&amp;$H$2),
AND($H$2=Data!$A$6,$K$2=Data!$A$2),SUMIFS(Proventos!$H:$H,Proventos!$D:$D,"&gt;="&amp;CONCATENATE($N$6,"/",B17),Proventos!$D:$D,"&lt;"&amp;CONCATENATE($C$6,"/",B18),Proventos!$J:$J,"="&amp;$H$2),
AND($H$2=Data!$A$7,$K$2=Data!$A$2),SUMIFS(Proventos!$H:$H,Proventos!$D:$D,"&gt;="&amp;CONCATENATE($N$6,"/",B17),Proventos!$D:$D,"&lt;"&amp;CONCATENATE($C$6,"/",B18),Proventos!$J:$J,"="&amp;$H$2),
AND($H$2=Data!$A$8,$K$2=Data!$A$2),SUMIFS(Proventos!$H:$H,Proventos!$D:$D,"&gt;="&amp;CONCATENATE($N$6,"/",B17),Proventos!$D:$D,"&lt;"&amp;CONCATENATE($C$6,"/",B18),Proventos!$J:$J,"="&amp;$H$2),
AND($H$2=Data!$A$9,$K$2=Data!$A$2),SUMIFS(Proventos!$H:$H,Proventos!$D:$D,"&gt;="&amp;CONCATENATE($N$6,"/",B17),Proventos!$D:$D,"&lt;"&amp;CONCATENATE($C$6,"/",B18),Proventos!$J:$J,"="&amp;$H$2),
AND($H$2=Data!$A$10,$K$2=Data!$A$2),SUMIFS(Proventos!$H:$H,Proventos!$D:$D,"&gt;="&amp;CONCATENATE($N$6,"/",B17),Proventos!$D:$D,"&lt;"&amp;CONCATENATE($C$6,"/",B18),Proventos!$J:$J,"="&amp;$H$2),
AND($H$2=Data!$A$11,$K$2=Data!$A$2),SUMIFS(Proventos!$H:$H,Proventos!$D:$D,"&gt;="&amp;CONCATENATE($N$6,"/",B17),Proventos!$D:$D,"&lt;"&amp;CONCATENATE($C$6,"/",B18),Proventos!$J:$J,"="&amp;$H$2),
$K$2=Data!$A$2,SUMIFS(Proventos!$H:$H,Proventos!$D:$D,"&gt;="&amp;CONCATENATE($N$6,"/",B17),Proventos!$D:$D,"&lt;"&amp;CONCATENATE($C$6,"/",B18)),
$K$2&lt;&gt;Data!$A$2,SUMIFS(Proventos!$H:$H,Proventos!$D:$D,"&gt;="&amp;CONCATENATE($N$6,"/",B17),Proventos!$D:$D,"&lt;"&amp;CONCATENATE($C$6,"/",B18),Proventos!$A:$A,"="&amp;$K$2))</f>
        <v>0</v>
      </c>
      <c r="O17" s="245"/>
      <c r="P17" s="245">
        <f t="shared" si="1"/>
        <v>0</v>
      </c>
      <c r="Q17" s="245">
        <f t="shared" si="2"/>
        <v>0</v>
      </c>
    </row>
    <row r="18" ht="32.25" customHeight="1">
      <c r="A18" s="246" t="str">
        <f>IFERROR(__xludf.DUMMYFUNCTION("""COMPUTED_VALUE"""),"HGBS11")</f>
        <v>HGBS11</v>
      </c>
      <c r="B18" s="244"/>
      <c r="C18" s="245">
        <f>IFS(
AND($H$2=Data!$A$3,$K$2=Data!$A$2),SUMIFS(Proventos!$H:$H,Proventos!$D:$D,"&gt;="&amp;CONCATENATE($C$6,"/",B18),Proventos!$D:$D,"&lt;"&amp;CONCATENATE($D$6,"/",B18),Proventos!$J:$J,"="&amp;$H$2),
AND($H$2=Data!$A$4,$K$2=Data!$A$2),SUMIFS(Proventos!$H:$H,Proventos!$D:$D,"&gt;="&amp;CONCATENATE($C$6,"/",B18),Proventos!$D:$D,"&lt;"&amp;CONCATENATE($D$6,"/",B18),Proventos!$J:$J,"="&amp;$H$2),
AND($H$2=Data!$A$5,$K$2=Data!$A$2),SUMIFS(Proventos!$H:$H,Proventos!$D:$D,"&gt;="&amp;CONCATENATE($C$6,"/",B18),Proventos!$D:$D,"&lt;"&amp;CONCATENATE($D$6,"/",B18),Proventos!$J:$J,"="&amp;$H$2),
AND($H$2=Data!$A$6,$K$2=Data!$A$2),SUMIFS(Proventos!$H:$H,Proventos!$D:$D,"&gt;="&amp;CONCATENATE($C$6,"/",B18),Proventos!$D:$D,"&lt;"&amp;CONCATENATE($D$6,"/",B18),Proventos!$J:$J,"="&amp;$H$2),
AND($H$2=Data!$A$7,$K$2=Data!$A$2),SUMIFS(Proventos!$H:$H,Proventos!$D:$D,"&gt;="&amp;CONCATENATE($C$6,"/",B18),Proventos!$D:$D,"&lt;"&amp;CONCATENATE($D$6,"/",B18),Proventos!$J:$J,"="&amp;$H$2),
AND($H$2=Data!$A$8,$K$2=Data!$A$2),SUMIFS(Proventos!$H:$H,Proventos!$D:$D,"&gt;="&amp;CONCATENATE($C$6,"/",B18),Proventos!$D:$D,"&lt;"&amp;CONCATENATE($D$6,"/",B18),Proventos!$J:$J,"="&amp;$H$2),
AND($H$2=Data!$A$9,$K$2=Data!$A$2),SUMIFS(Proventos!$H:$H,Proventos!$D:$D,"&gt;="&amp;CONCATENATE($C$6,"/",B18),Proventos!$D:$D,"&lt;"&amp;CONCATENATE($D$6,"/",B18),Proventos!$J:$J,"="&amp;$H$2),
AND($H$2=Data!$A$10,$K$2=Data!$A$2),SUMIFS(Proventos!$H:$H,Proventos!$D:$D,"&gt;="&amp;CONCATENATE($C$6,"/",B18),Proventos!$D:$D,"&lt;"&amp;CONCATENATE($D$6,"/",B18),Proventos!$J:$J,"="&amp;$H$2),
AND($H$2=Data!$A$11,$K$2=Data!$A$2),SUMIFS(Proventos!$H:$H,Proventos!$D:$D,"&gt;="&amp;CONCATENATE($C$6,"/",B18),Proventos!$D:$D,"&lt;"&amp;CONCATENATE($D$6,"/",B18),Proventos!$J:$J,"="&amp;$H$2),
$K$2=Data!$A$2,SUMIFS(Proventos!$H:$H,Proventos!$D:$D,"&gt;="&amp;CONCATENATE($C$6,"/",B18),Proventos!$D:$D,"&lt;"&amp;CONCATENATE($D$6,"/",B18)),
$K$2&lt;&gt;Data!$A$2,SUMIFS(Proventos!$H:$H,Proventos!$D:$D,"&gt;="&amp;CONCATENATE($C$6,"/",B18),Proventos!$D:$D,"&lt;"&amp;CONCATENATE($D$6,"/",B18),Proventos!$A:$A,"="&amp;$K$2))</f>
        <v>0</v>
      </c>
      <c r="D18" s="245">
        <f>IFS(
AND($H$2=Data!$A$3,$K$2=Data!$A$2),SUMIFS(Proventos!$H:$H,Proventos!$D:$D,"&gt;="&amp;CONCATENATE($D$6,"/",B18),Proventos!$D:$D,"&lt;"&amp;CONCATENATE($E$6,"/",B18),Proventos!$J:$J,"="&amp;$H$2),
AND($H$2=Data!$A$4,$K$2=Data!$A$2),SUMIFS(Proventos!$H:$H,Proventos!$D:$D,"&gt;="&amp;CONCATENATE($D$6,"/",B18),Proventos!$D:$D,"&lt;"&amp;CONCATENATE($E$6,"/",B18),Proventos!$J:$J,"="&amp;$H$2),
AND($H$2=Data!$A$5,$K$2=Data!$A$2),SUMIFS(Proventos!$H:$H,Proventos!$D:$D,"&gt;="&amp;CONCATENATE($D$6,"/",B18),Proventos!$D:$D,"&lt;"&amp;CONCATENATE($E$6,"/",B18),Proventos!$J:$J,"="&amp;$H$2),
AND($H$2=Data!$A$6,$K$2=Data!$A$2),SUMIFS(Proventos!$H:$H,Proventos!$D:$D,"&gt;="&amp;CONCATENATE($D$6,"/",B18),Proventos!$D:$D,"&lt;"&amp;CONCATENATE($E$6,"/",B18),Proventos!$J:$J,"="&amp;$H$2),
AND($H$2=Data!$A$7,$K$2=Data!$A$2),SUMIFS(Proventos!$H:$H,Proventos!$D:$D,"&gt;="&amp;CONCATENATE($D$6,"/",B18),Proventos!$D:$D,"&lt;"&amp;CONCATENATE($E$6,"/",B18),Proventos!$J:$J,"="&amp;$H$2),
AND($H$2=Data!$A$8,$K$2=Data!$A$2),SUMIFS(Proventos!$H:$H,Proventos!$D:$D,"&gt;="&amp;CONCATENATE($D$6,"/",B18),Proventos!$D:$D,"&lt;"&amp;CONCATENATE($E$6,"/",B18),Proventos!$J:$J,"="&amp;$H$2),
AND($H$2=Data!$A$9,$K$2=Data!$A$2),SUMIFS(Proventos!$H:$H,Proventos!$D:$D,"&gt;="&amp;CONCATENATE($D$6,"/",B18),Proventos!$D:$D,"&lt;"&amp;CONCATENATE($E$6,"/",B18),Proventos!$J:$J,"="&amp;$H$2),
AND($H$2=Data!$A$10,$K$2=Data!$A$2),SUMIFS(Proventos!$H:$H,Proventos!$D:$D,"&gt;="&amp;CONCATENATE($D$6,"/",B18),Proventos!$D:$D,"&lt;"&amp;CONCATENATE($E$6,"/",B18),Proventos!$J:$J,"="&amp;$H$2),
AND($H$2=Data!$A$11,$K$2=Data!$A$2),SUMIFS(Proventos!$H:$H,Proventos!$D:$D,"&gt;="&amp;CONCATENATE($D$6,"/",B18),Proventos!$D:$D,"&lt;"&amp;CONCATENATE($E$6,"/",B18),Proventos!$J:$J,"="&amp;$H$2),
$K$2=Data!$A$2,SUMIFS(Proventos!$H:$H,Proventos!$D:$D,"&gt;="&amp;CONCATENATE($D$6,"/",B18),Proventos!$D:$D,"&lt;"&amp;CONCATENATE($E$6,"/",B18)),
$K$2&lt;&gt;Data!$A$2,SUMIFS(Proventos!$H:$H,Proventos!$D:$D,"&gt;="&amp;CONCATENATE($D$6,"/",B18),Proventos!$D:$D,"&lt;"&amp;CONCATENATE($E$6,"/",B18),Proventos!$A:$A,"="&amp;$K$2))</f>
        <v>0</v>
      </c>
      <c r="E18" s="245">
        <f>IFS(
AND($H$2=Data!$A$3,$K$2=Data!$A$2),SUMIFS(Proventos!$H:$H,Proventos!$D:$D,"&gt;="&amp;CONCATENATE($E$6,"/",B18),Proventos!$D:$D,"&lt;"&amp;CONCATENATE($F$6,"/",B18),Proventos!$J:$J,"="&amp;$H$2),
AND($H$2=Data!$A$4,$K$2=Data!$A$2),SUMIFS(Proventos!$H:$H,Proventos!$D:$D,"&gt;="&amp;CONCATENATE($E$6,"/",B18),Proventos!$D:$D,"&lt;"&amp;CONCATENATE($F$6,"/",B18),Proventos!$J:$J,"="&amp;$H$2),
AND($H$2=Data!$A$5,$K$2=Data!$A$2),SUMIFS(Proventos!$H:$H,Proventos!$D:$D,"&gt;="&amp;CONCATENATE($E$6,"/",B18),Proventos!$D:$D,"&lt;"&amp;CONCATENATE($F$6,"/",B18),Proventos!$J:$J,"="&amp;$H$2),
AND($H$2=Data!$A$6,$K$2=Data!$A$2),SUMIFS(Proventos!$H:$H,Proventos!$D:$D,"&gt;="&amp;CONCATENATE($E$6,"/",B18),Proventos!$D:$D,"&lt;"&amp;CONCATENATE($F$6,"/",B18),Proventos!$J:$J,"="&amp;$H$2),
AND($H$2=Data!$A$7,$K$2=Data!$A$2),SUMIFS(Proventos!$H:$H,Proventos!$D:$D,"&gt;="&amp;CONCATENATE($E$6,"/",B18),Proventos!$D:$D,"&lt;"&amp;CONCATENATE($F$6,"/",B18),Proventos!$J:$J,"="&amp;$H$2),
AND($H$2=Data!$A$8,$K$2=Data!$A$2),SUMIFS(Proventos!$H:$H,Proventos!$D:$D,"&gt;="&amp;CONCATENATE($E$6,"/",B18),Proventos!$D:$D,"&lt;"&amp;CONCATENATE($F$6,"/",B18),Proventos!$J:$J,"="&amp;$H$2),
AND($H$2=Data!$A$9,$K$2=Data!$A$2),SUMIFS(Proventos!$H:$H,Proventos!$D:$D,"&gt;="&amp;CONCATENATE($E$6,"/",B18),Proventos!$D:$D,"&lt;"&amp;CONCATENATE($F$6,"/",B18),Proventos!$J:$J,"="&amp;$H$2),
AND($H$2=Data!$A$10,$K$2=Data!$A$2),SUMIFS(Proventos!$H:$H,Proventos!$D:$D,"&gt;="&amp;CONCATENATE($E$6,"/",B18),Proventos!$D:$D,"&lt;"&amp;CONCATENATE($F$6,"/",B18),Proventos!$J:$J,"="&amp;$H$2),
AND($H$2=Data!$A$11,$K$2=Data!$A$2),SUMIFS(Proventos!$H:$H,Proventos!$D:$D,"&gt;="&amp;CONCATENATE($E$6,"/",B18),Proventos!$D:$D,"&lt;"&amp;CONCATENATE($F$6,"/",B18),Proventos!$J:$J,"="&amp;$H$2),
$K$2=Data!$A$2,SUMIFS(Proventos!$H:$H,Proventos!$D:$D,"&gt;="&amp;CONCATENATE($E$6,"/",B18),Proventos!$D:$D,"&lt;"&amp;CONCATENATE($F$6,"/",B18)),
$K$2&lt;&gt;Data!$A$2,SUMIFS(Proventos!$H:$H,Proventos!$D:$D,"&gt;="&amp;CONCATENATE($E$6,"/",B18),Proventos!$D:$D,"&lt;"&amp;CONCATENATE($F$6,"/",B18),Proventos!$A:$A,"="&amp;$K$2))</f>
        <v>0</v>
      </c>
      <c r="F18" s="245">
        <f>IFS(
AND($H$2=Data!$A$3,$K$2=Data!$A$2),SUMIFS(Proventos!$H:$H,Proventos!$D:$D,"&gt;="&amp;CONCATENATE($F$6,"/",B18),Proventos!$D:$D,"&lt;"&amp;CONCATENATE($G$6,"/",B18),Proventos!$J:$J,"="&amp;$H$2),
AND($H$2=Data!$A$4,$K$2=Data!$A$2),SUMIFS(Proventos!$H:$H,Proventos!$D:$D,"&gt;="&amp;CONCATENATE($F$6,"/",B18),Proventos!$D:$D,"&lt;"&amp;CONCATENATE($G$6,"/",B18),Proventos!$J:$J,"="&amp;$H$2),
AND($H$2=Data!$A$5,$K$2=Data!$A$2),SUMIFS(Proventos!$H:$H,Proventos!$D:$D,"&gt;="&amp;CONCATENATE($F$6,"/",B18),Proventos!$D:$D,"&lt;"&amp;CONCATENATE($G$6,"/",B18),Proventos!$J:$J,"="&amp;$H$2),
AND($H$2=Data!$A$6,$K$2=Data!$A$2),SUMIFS(Proventos!$H:$H,Proventos!$D:$D,"&gt;="&amp;CONCATENATE($F$6,"/",B18),Proventos!$D:$D,"&lt;"&amp;CONCATENATE($G$6,"/",B18),Proventos!$J:$J,"="&amp;$H$2),
AND($H$2=Data!$A$7,$K$2=Data!$A$2),SUMIFS(Proventos!$H:$H,Proventos!$D:$D,"&gt;="&amp;CONCATENATE($F$6,"/",B18),Proventos!$D:$D,"&lt;"&amp;CONCATENATE($G$6,"/",B18),Proventos!$J:$J,"="&amp;$H$2),
AND($H$2=Data!$A$8,$K$2=Data!$A$2),SUMIFS(Proventos!$H:$H,Proventos!$D:$D,"&gt;="&amp;CONCATENATE($F$6,"/",B18),Proventos!$D:$D,"&lt;"&amp;CONCATENATE($G$6,"/",B18),Proventos!$J:$J,"="&amp;$H$2),
AND($H$2=Data!$A$9,$K$2=Data!$A$2),SUMIFS(Proventos!$H:$H,Proventos!$D:$D,"&gt;="&amp;CONCATENATE($F$6,"/",B18),Proventos!$D:$D,"&lt;"&amp;CONCATENATE($G$6,"/",B18),Proventos!$J:$J,"="&amp;$H$2),
AND($H$2=Data!$A$10,$K$2=Data!$A$2),SUMIFS(Proventos!$H:$H,Proventos!$D:$D,"&gt;="&amp;CONCATENATE($F$6,"/",B18),Proventos!$D:$D,"&lt;"&amp;CONCATENATE($G$6,"/",B18),Proventos!$J:$J,"="&amp;$H$2),
AND($H$2=Data!$A$11,$K$2=Data!$A$2),SUMIFS(Proventos!$H:$H,Proventos!$D:$D,"&gt;="&amp;CONCATENATE($F$6,"/",B18),Proventos!$D:$D,"&lt;"&amp;CONCATENATE($G$6,"/",B18),Proventos!$J:$J,"="&amp;$H$2),
$K$2=Data!$A$2,SUMIFS(Proventos!$H:$H,Proventos!$D:$D,"&gt;="&amp;CONCATENATE($F$6,"/",B18),Proventos!$D:$D,"&lt;"&amp;CONCATENATE($G$6,"/",B18)),
$K$2&lt;&gt;Data!$A$2,SUMIFS(Proventos!$H:$H,Proventos!$D:$D,"&gt;="&amp;CONCATENATE($F$6,"/",B18),Proventos!$D:$D,"&lt;"&amp;CONCATENATE($G$6,"/",B18),Proventos!$A:$A,"="&amp;$K$2))</f>
        <v>0</v>
      </c>
      <c r="G18" s="245">
        <f>IFS(
AND($H$2=Data!$A$3,$K$2=Data!$A$2),SUMIFS(Proventos!$H:$H,Proventos!$D:$D,"&gt;="&amp;CONCATENATE($G$6,"/",B18),Proventos!$D:$D,"&lt;"&amp;CONCATENATE($H$6,"/",B18),Proventos!$J:$J,"="&amp;$H$2),
AND($H$2=Data!$A$4,$K$2=Data!$A$2),SUMIFS(Proventos!$H:$H,Proventos!$D:$D,"&gt;="&amp;CONCATENATE($G$6,"/",B18),Proventos!$D:$D,"&lt;"&amp;CONCATENATE($H$6,"/",B18),Proventos!$J:$J,"="&amp;$H$2),
AND($H$2=Data!$A$5,$K$2=Data!$A$2),SUMIFS(Proventos!$H:$H,Proventos!$D:$D,"&gt;="&amp;CONCATENATE($G$6,"/",B18),Proventos!$D:$D,"&lt;"&amp;CONCATENATE($H$6,"/",B18),Proventos!$J:$J,"="&amp;$H$2),
AND($H$2=Data!$A$6,$K$2=Data!$A$2),SUMIFS(Proventos!$H:$H,Proventos!$D:$D,"&gt;="&amp;CONCATENATE($G$6,"/",B18),Proventos!$D:$D,"&lt;"&amp;CONCATENATE($H$6,"/",B18),Proventos!$J:$J,"="&amp;$H$2),
AND($H$2=Data!$A$7,$K$2=Data!$A$2),SUMIFS(Proventos!$H:$H,Proventos!$D:$D,"&gt;="&amp;CONCATENATE($G$6,"/",B18),Proventos!$D:$D,"&lt;"&amp;CONCATENATE($H$6,"/",B18),Proventos!$J:$J,"="&amp;$H$2),
AND($H$2=Data!$A$8,$K$2=Data!$A$2),SUMIFS(Proventos!$H:$H,Proventos!$D:$D,"&gt;="&amp;CONCATENATE($G$6,"/",B18),Proventos!$D:$D,"&lt;"&amp;CONCATENATE($H$6,"/",B18),Proventos!$J:$J,"="&amp;$H$2),
AND($H$2=Data!$A$9,$K$2=Data!$A$2),SUMIFS(Proventos!$H:$H,Proventos!$D:$D,"&gt;="&amp;CONCATENATE($G$6,"/",B18),Proventos!$D:$D,"&lt;"&amp;CONCATENATE($H$6,"/",B18),Proventos!$J:$J,"="&amp;$H$2),
AND($H$2=Data!$A$10,$K$2=Data!$A$2),SUMIFS(Proventos!$H:$H,Proventos!$D:$D,"&gt;="&amp;CONCATENATE($G$6,"/",B18),Proventos!$D:$D,"&lt;"&amp;CONCATENATE($H$6,"/",B18),Proventos!$J:$J,"="&amp;$H$2),
AND($H$2=Data!$A$11,$K$2=Data!$A$2),SUMIFS(Proventos!$H:$H,Proventos!$D:$D,"&gt;="&amp;CONCATENATE($G$6,"/",B18),Proventos!$D:$D,"&lt;"&amp;CONCATENATE($H$6,"/",B18),Proventos!$J:$J,"="&amp;$H$2),
$K$2=Data!$A$2,SUMIFS(Proventos!$H:$H,Proventos!$D:$D,"&gt;="&amp;CONCATENATE($G$6,"/",B18),Proventos!$D:$D,"&lt;"&amp;CONCATENATE($H$6,"/",B18)),
$K$2&lt;&gt;Data!$A$2,SUMIFS(Proventos!$H:$H,Proventos!$D:$D,"&gt;="&amp;CONCATENATE($G$6,"/",B18),Proventos!$D:$D,"&lt;"&amp;CONCATENATE($H$6,"/",B18),Proventos!$A:$A,"="&amp;$K$2))</f>
        <v>0</v>
      </c>
      <c r="H18" s="245">
        <f>IFS(
AND($H$2=Data!$A$3,$K$2=Data!$A$2),SUMIFS(Proventos!$H:$H,Proventos!$D:$D,"&gt;="&amp;CONCATENATE($H$6,"/",B18),Proventos!$D:$D,"&lt;"&amp;CONCATENATE($I$6,"/",B18),Proventos!$J:$J,"="&amp;$H$2),
AND($H$2=Data!$A$4,$K$2=Data!$A$2),SUMIFS(Proventos!$H:$H,Proventos!$D:$D,"&gt;="&amp;CONCATENATE($H$6,"/",B18),Proventos!$D:$D,"&lt;"&amp;CONCATENATE($I$6,"/",B18),Proventos!$J:$J,"="&amp;$H$2),
AND($H$2=Data!$A$5,$K$2=Data!$A$2),SUMIFS(Proventos!$H:$H,Proventos!$D:$D,"&gt;="&amp;CONCATENATE($H$6,"/",B18),Proventos!$D:$D,"&lt;"&amp;CONCATENATE($I$6,"/",B18),Proventos!$J:$J,"="&amp;$H$2),
AND($H$2=Data!$A$6,$K$2=Data!$A$2),SUMIFS(Proventos!$H:$H,Proventos!$D:$D,"&gt;="&amp;CONCATENATE($H$6,"/",B18),Proventos!$D:$D,"&lt;"&amp;CONCATENATE($I$6,"/",B18),Proventos!$J:$J,"="&amp;$H$2),
AND($H$2=Data!$A$7,$K$2=Data!$A$2),SUMIFS(Proventos!$H:$H,Proventos!$D:$D,"&gt;="&amp;CONCATENATE($H$6,"/",B18),Proventos!$D:$D,"&lt;"&amp;CONCATENATE($I$6,"/",B18),Proventos!$J:$J,"="&amp;$H$2),
AND($H$2=Data!$A$8,$K$2=Data!$A$2),SUMIFS(Proventos!$H:$H,Proventos!$D:$D,"&gt;="&amp;CONCATENATE($H$6,"/",B18),Proventos!$D:$D,"&lt;"&amp;CONCATENATE($I$6,"/",B18),Proventos!$J:$J,"="&amp;$H$2),
AND($H$2=Data!$A$9,$K$2=Data!$A$2),SUMIFS(Proventos!$H:$H,Proventos!$D:$D,"&gt;="&amp;CONCATENATE($H$6,"/",B18),Proventos!$D:$D,"&lt;"&amp;CONCATENATE($I$6,"/",B18),Proventos!$J:$J,"="&amp;$H$2),
AND($H$2=Data!$A$10,$K$2=Data!$A$2),SUMIFS(Proventos!$H:$H,Proventos!$D:$D,"&gt;="&amp;CONCATENATE($H$6,"/",B18),Proventos!$D:$D,"&lt;"&amp;CONCATENATE($I$6,"/",B18),Proventos!$J:$J,"="&amp;$H$2),
AND($H$2=Data!$A$11,$K$2=Data!$A$2),SUMIFS(Proventos!$H:$H,Proventos!$D:$D,"&gt;="&amp;CONCATENATE($H$6,"/",B18),Proventos!$D:$D,"&lt;"&amp;CONCATENATE($I$6,"/",B18),Proventos!$J:$J,"="&amp;$H$2),
$K$2=Data!$A$2,SUMIFS(Proventos!$H:$H,Proventos!$D:$D,"&gt;="&amp;CONCATENATE($H$6,"/",B18),Proventos!$D:$D,"&lt;"&amp;CONCATENATE($I$6,"/",B18)),
$K$2&lt;&gt;Data!$A$2,SUMIFS(Proventos!$H:$H,Proventos!$D:$D,"&gt;="&amp;CONCATENATE($H$6,"/",B18),Proventos!$D:$D,"&lt;"&amp;CONCATENATE($I$6,"/",B18),Proventos!$A:$A,"="&amp;$K$2))</f>
        <v>0</v>
      </c>
      <c r="I18" s="245">
        <f>IFS(
AND($H$2=Data!$A$3,$K$2=Data!$A$2),SUMIFS(Proventos!$H:$H,Proventos!$D:$D,"&gt;="&amp;CONCATENATE($I$6,"/",B18),Proventos!$D:$D,"&lt;"&amp;CONCATENATE($J$6,"/",B18),Proventos!$J:$J,"="&amp;$H$2),
AND($H$2=Data!$A$4,$K$2=Data!$A$2),SUMIFS(Proventos!$H:$H,Proventos!$D:$D,"&gt;="&amp;CONCATENATE($I$6,"/",B18),Proventos!$D:$D,"&lt;"&amp;CONCATENATE($J$6,"/",B18),Proventos!$J:$J,"="&amp;$H$2),
AND($H$2=Data!$A$5,$K$2=Data!$A$2),SUMIFS(Proventos!$H:$H,Proventos!$D:$D,"&gt;="&amp;CONCATENATE($I$6,"/",B18),Proventos!$D:$D,"&lt;"&amp;CONCATENATE($J$6,"/",B18),Proventos!$J:$J,"="&amp;$H$2),
AND($H$2=Data!$A$6,$K$2=Data!$A$2),SUMIFS(Proventos!$H:$H,Proventos!$D:$D,"&gt;="&amp;CONCATENATE($I$6,"/",B18),Proventos!$D:$D,"&lt;"&amp;CONCATENATE($J$6,"/",B18),Proventos!$J:$J,"="&amp;$H$2),
AND($H$2=Data!$A$7,$K$2=Data!$A$2),SUMIFS(Proventos!$H:$H,Proventos!$D:$D,"&gt;="&amp;CONCATENATE($I$6,"/",B18),Proventos!$D:$D,"&lt;"&amp;CONCATENATE($J$6,"/",B18),Proventos!$J:$J,"="&amp;$H$2),
AND($H$2=Data!$A$8,$K$2=Data!$A$2),SUMIFS(Proventos!$H:$H,Proventos!$D:$D,"&gt;="&amp;CONCATENATE($I$6,"/",B18),Proventos!$D:$D,"&lt;"&amp;CONCATENATE($J$6,"/",B18),Proventos!$J:$J,"="&amp;$H$2),
AND($H$2=Data!$A$9,$K$2=Data!$A$2),SUMIFS(Proventos!$H:$H,Proventos!$D:$D,"&gt;="&amp;CONCATENATE($I$6,"/",B18),Proventos!$D:$D,"&lt;"&amp;CONCATENATE($J$6,"/",B18),Proventos!$J:$J,"="&amp;$H$2),
AND($H$2=Data!$A$10,$K$2=Data!$A$2),SUMIFS(Proventos!$H:$H,Proventos!$D:$D,"&gt;="&amp;CONCATENATE($I$6,"/",B18),Proventos!$D:$D,"&lt;"&amp;CONCATENATE($J$6,"/",B18),Proventos!$J:$J,"="&amp;$H$2),
AND($H$2=Data!$A$11,$K$2=Data!$A$2),SUMIFS(Proventos!$H:$H,Proventos!$D:$D,"&gt;="&amp;CONCATENATE($I$6,"/",B18),Proventos!$D:$D,"&lt;"&amp;CONCATENATE($J$6,"/",B18),Proventos!$J:$J,"="&amp;$H$2),
$K$2=Data!$A$2,SUMIFS(Proventos!$H:$H,Proventos!$D:$D,"&gt;="&amp;CONCATENATE($I$6,"/",B18),Proventos!$D:$D,"&lt;"&amp;CONCATENATE($J$6,"/",B18)),
$K$2&lt;&gt;Data!$A$2,SUMIFS(Proventos!$H:$H,Proventos!$D:$D,"&gt;="&amp;CONCATENATE($I$6,"/",B18),Proventos!$D:$D,"&lt;"&amp;CONCATENATE($J$6,"/",B18),Proventos!$A:$A,"="&amp;$K$2))</f>
        <v>0</v>
      </c>
      <c r="J18" s="245">
        <f>IFS(
AND($H$2=Data!$A$3,$K$2=Data!$A$2),SUMIFS(Proventos!$H:$H,Proventos!$D:$D,"&gt;="&amp;CONCATENATE($J$6,"/",B18),Proventos!$D:$D,"&lt;"&amp;CONCATENATE($K$6,"/",B18),Proventos!$J:$J,"="&amp;$H$2),
AND($H$2=Data!$A$4,$K$2=Data!$A$2),SUMIFS(Proventos!$H:$H,Proventos!$D:$D,"&gt;="&amp;CONCATENATE($J$6,"/",B18),Proventos!$D:$D,"&lt;"&amp;CONCATENATE($K$6,"/",B18),Proventos!$J:$J,"="&amp;$H$2),
AND($H$2=Data!$A$5,$K$2=Data!$A$2),SUMIFS(Proventos!$H:$H,Proventos!$D:$D,"&gt;="&amp;CONCATENATE($J$6,"/",B18),Proventos!$D:$D,"&lt;"&amp;CONCATENATE($K$6,"/",B18),Proventos!$J:$J,"="&amp;$H$2),
AND($H$2=Data!$A$6,$K$2=Data!$A$2),SUMIFS(Proventos!$H:$H,Proventos!$D:$D,"&gt;="&amp;CONCATENATE($J$6,"/",B18),Proventos!$D:$D,"&lt;"&amp;CONCATENATE($K$6,"/",B18),Proventos!$J:$J,"="&amp;$H$2),
AND($H$2=Data!$A$7,$K$2=Data!$A$2),SUMIFS(Proventos!$H:$H,Proventos!$D:$D,"&gt;="&amp;CONCATENATE($J$6,"/",B18),Proventos!$D:$D,"&lt;"&amp;CONCATENATE($K$6,"/",B18),Proventos!$J:$J,"="&amp;$H$2),
AND($H$2=Data!$A$8,$K$2=Data!$A$2),SUMIFS(Proventos!$H:$H,Proventos!$D:$D,"&gt;="&amp;CONCATENATE($J$6,"/",B18),Proventos!$D:$D,"&lt;"&amp;CONCATENATE($K$6,"/",B18),Proventos!$J:$J,"="&amp;$H$2),
AND($H$2=Data!$A$9,$K$2=Data!$A$2),SUMIFS(Proventos!$H:$H,Proventos!$D:$D,"&gt;="&amp;CONCATENATE($J$6,"/",B18),Proventos!$D:$D,"&lt;"&amp;CONCATENATE($K$6,"/",B18),Proventos!$J:$J,"="&amp;$H$2),
AND($H$2=Data!$A$10,$K$2=Data!$A$2),SUMIFS(Proventos!$H:$H,Proventos!$D:$D,"&gt;="&amp;CONCATENATE($J$6,"/",B18),Proventos!$D:$D,"&lt;"&amp;CONCATENATE($K$6,"/",B18),Proventos!$J:$J,"="&amp;$H$2),
AND($H$2=Data!$A$11,$K$2=Data!$A$2),SUMIFS(Proventos!$H:$H,Proventos!$D:$D,"&gt;="&amp;CONCATENATE($J$6,"/",B18),Proventos!$D:$D,"&lt;"&amp;CONCATENATE($K$6,"/",B18),Proventos!$J:$J,"="&amp;$H$2),
$K$2=Data!$A$2,SUMIFS(Proventos!$H:$H,Proventos!$D:$D,"&gt;="&amp;CONCATENATE($J$6,"/",B18),Proventos!$D:$D,"&lt;"&amp;CONCATENATE($K$6,"/",B18)),
$K$2&lt;&gt;Data!$A$2,SUMIFS(Proventos!$H:$H,Proventos!$D:$D,"&gt;="&amp;CONCATENATE($J$6,"/",B18),Proventos!$D:$D,"&lt;"&amp;CONCATENATE($K$6,"/",B18),Proventos!$A:$A,"="&amp;$K$2))</f>
        <v>0</v>
      </c>
      <c r="K18" s="245">
        <f>IFS(
AND($H$2=Data!$A$3,$K$2=Data!$A$2),SUMIFS(Proventos!$H:$H,Proventos!$D:$D,"&gt;="&amp;CONCATENATE($K$6,"/",B18),Proventos!$D:$D,"&lt;"&amp;CONCATENATE($L$6,"/",B18),Proventos!$J:$J,"="&amp;$H$2),
AND($H$2=Data!$A$4,$K$2=Data!$A$2),SUMIFS(Proventos!$H:$H,Proventos!$D:$D,"&gt;="&amp;CONCATENATE($K$6,"/",B18),Proventos!$D:$D,"&lt;"&amp;CONCATENATE($L$6,"/",B18),Proventos!$J:$J,"="&amp;$H$2),
AND($H$2=Data!$A$5,$K$2=Data!$A$2),SUMIFS(Proventos!$H:$H,Proventos!$D:$D,"&gt;="&amp;CONCATENATE($K$6,"/",B18),Proventos!$D:$D,"&lt;"&amp;CONCATENATE($L$6,"/",B18),Proventos!$J:$J,"="&amp;$H$2),
AND($H$2=Data!$A$6,$K$2=Data!$A$2),SUMIFS(Proventos!$H:$H,Proventos!$D:$D,"&gt;="&amp;CONCATENATE($K$6,"/",B18),Proventos!$D:$D,"&lt;"&amp;CONCATENATE($L$6,"/",B18),Proventos!$J:$J,"="&amp;$H$2),
AND($H$2=Data!$A$7,$K$2=Data!$A$2),SUMIFS(Proventos!$H:$H,Proventos!$D:$D,"&gt;="&amp;CONCATENATE($K$6,"/",B18),Proventos!$D:$D,"&lt;"&amp;CONCATENATE($L$6,"/",B18),Proventos!$J:$J,"="&amp;$H$2),
AND($H$2=Data!$A$8,$K$2=Data!$A$2),SUMIFS(Proventos!$H:$H,Proventos!$D:$D,"&gt;="&amp;CONCATENATE($K$6,"/",B18),Proventos!$D:$D,"&lt;"&amp;CONCATENATE($L$6,"/",B18),Proventos!$J:$J,"="&amp;$H$2),
AND($H$2=Data!$A$9,$K$2=Data!$A$2),SUMIFS(Proventos!$H:$H,Proventos!$D:$D,"&gt;="&amp;CONCATENATE($K$6,"/",B18),Proventos!$D:$D,"&lt;"&amp;CONCATENATE($L$6,"/",B18),Proventos!$J:$J,"="&amp;$H$2),
AND($H$2=Data!$A$10,$K$2=Data!$A$2),SUMIFS(Proventos!$H:$H,Proventos!$D:$D,"&gt;="&amp;CONCATENATE($K$6,"/",B18),Proventos!$D:$D,"&lt;"&amp;CONCATENATE($L$6,"/",B18),Proventos!$J:$J,"="&amp;$H$2),
AND($H$2=Data!$A$11,$K$2=Data!$A$2),SUMIFS(Proventos!$H:$H,Proventos!$D:$D,"&gt;="&amp;CONCATENATE($K$6,"/",B18),Proventos!$D:$D,"&lt;"&amp;CONCATENATE($L$6,"/",B18),Proventos!$J:$J,"="&amp;$H$2),
$K$2=Data!$A$2,SUMIFS(Proventos!$H:$H,Proventos!$D:$D,"&gt;="&amp;CONCATENATE($K$6,"/",B18),Proventos!$D:$D,"&lt;"&amp;CONCATENATE($L$6,"/",B18)),
$K$2&lt;&gt;Data!$A$2,SUMIFS(Proventos!$H:$H,Proventos!$D:$D,"&gt;="&amp;CONCATENATE($K$6,"/",B18),Proventos!$D:$D,"&lt;"&amp;CONCATENATE($L$6,"/",B18),Proventos!$A:$A,"="&amp;$K$2))</f>
        <v>0</v>
      </c>
      <c r="L18" s="245">
        <f>IFS(
AND($H$2=Data!$A$3,$K$2=Data!$A$2),SUMIFS(Proventos!$H:$H,Proventos!$D:$D,"&gt;="&amp;CONCATENATE($L$6,"/",B18),Proventos!$D:$D,"&lt;"&amp;CONCATENATE($M$6,"/",B18),Proventos!$J:$J,"="&amp;$H$2),
AND($H$2=Data!$A$4,$K$2=Data!$A$2),SUMIFS(Proventos!$H:$H,Proventos!$D:$D,"&gt;="&amp;CONCATENATE($L$6,"/",B18),Proventos!$D:$D,"&lt;"&amp;CONCATENATE($M$6,"/",B18),Proventos!$J:$J,"="&amp;$H$2),
AND($H$2=Data!$A$5,$K$2=Data!$A$2),SUMIFS(Proventos!$H:$H,Proventos!$D:$D,"&gt;="&amp;CONCATENATE($L$6,"/",B18),Proventos!$D:$D,"&lt;"&amp;CONCATENATE($M$6,"/",B18),Proventos!$J:$J,"="&amp;$H$2),
AND($H$2=Data!$A$6,$K$2=Data!$A$2),SUMIFS(Proventos!$H:$H,Proventos!$D:$D,"&gt;="&amp;CONCATENATE($L$6,"/",B18),Proventos!$D:$D,"&lt;"&amp;CONCATENATE($M$6,"/",B18),Proventos!$J:$J,"="&amp;$H$2),
AND($H$2=Data!$A$7,$K$2=Data!$A$2),SUMIFS(Proventos!$H:$H,Proventos!$D:$D,"&gt;="&amp;CONCATENATE($L$6,"/",B18),Proventos!$D:$D,"&lt;"&amp;CONCATENATE($M$6,"/",B18),Proventos!$J:$J,"="&amp;$H$2),
AND($H$2=Data!$A$8,$K$2=Data!$A$2),SUMIFS(Proventos!$H:$H,Proventos!$D:$D,"&gt;="&amp;CONCATENATE($L$6,"/",B18),Proventos!$D:$D,"&lt;"&amp;CONCATENATE($M$6,"/",B18),Proventos!$J:$J,"="&amp;$H$2),
AND($H$2=Data!$A$9,$K$2=Data!$A$2),SUMIFS(Proventos!$H:$H,Proventos!$D:$D,"&gt;="&amp;CONCATENATE($L$6,"/",B18),Proventos!$D:$D,"&lt;"&amp;CONCATENATE($M$6,"/",B18),Proventos!$J:$J,"="&amp;$H$2),
AND($H$2=Data!$A$10,$K$2=Data!$A$2),SUMIFS(Proventos!$H:$H,Proventos!$D:$D,"&gt;="&amp;CONCATENATE($L$6,"/",B18),Proventos!$D:$D,"&lt;"&amp;CONCATENATE($M$6,"/",B18),Proventos!$J:$J,"="&amp;$H$2),
AND($H$2=Data!$A$11,$K$2=Data!$A$2),SUMIFS(Proventos!$H:$H,Proventos!$D:$D,"&gt;="&amp;CONCATENATE($L$6,"/",B18),Proventos!$D:$D,"&lt;"&amp;CONCATENATE($M$6,"/",B18),Proventos!$J:$J,"="&amp;$H$2),
$K$2=Data!$A$2,SUMIFS(Proventos!$H:$H,Proventos!$D:$D,"&gt;="&amp;CONCATENATE($L$6,"/",B18),Proventos!$D:$D,"&lt;"&amp;CONCATENATE($M$6,"/",B18)),
$K$2&lt;&gt;Data!$A$2,SUMIFS(Proventos!$H:$H,Proventos!$D:$D,"&gt;="&amp;CONCATENATE($L$6,"/",B18),Proventos!$D:$D,"&lt;"&amp;CONCATENATE($M$6,"/",B18),Proventos!$A:$A,"="&amp;$K$2))</f>
        <v>0</v>
      </c>
      <c r="M18" s="245">
        <f>IFS(
AND($H$2=Data!$A$3,$K$2=Data!$A$2),SUMIFS(Proventos!$H:$H,Proventos!$D:$D,"&gt;="&amp;CONCATENATE($M$6,"/",B18),Proventos!$D:$D,"&lt;"&amp;CONCATENATE($N$6,"/",B18),Proventos!$J:$J,"="&amp;$H$2),
AND($H$2=Data!$A$4,$K$2=Data!$A$2),SUMIFS(Proventos!$H:$H,Proventos!$D:$D,"&gt;="&amp;CONCATENATE($M$6,"/",B18),Proventos!$D:$D,"&lt;"&amp;CONCATENATE($N$6,"/",B18),Proventos!$J:$J,"="&amp;$H$2),
AND($H$2=Data!$A$5,$K$2=Data!$A$2),SUMIFS(Proventos!$H:$H,Proventos!$D:$D,"&gt;="&amp;CONCATENATE($M$6,"/",B18),Proventos!$D:$D,"&lt;"&amp;CONCATENATE($N$6,"/",B18),Proventos!$J:$J,"="&amp;$H$2),
AND($H$2=Data!$A$6,$K$2=Data!$A$2),SUMIFS(Proventos!$H:$H,Proventos!$D:$D,"&gt;="&amp;CONCATENATE($M$6,"/",B18),Proventos!$D:$D,"&lt;"&amp;CONCATENATE($N$6,"/",B18),Proventos!$J:$J,"="&amp;$H$2),
AND($H$2=Data!$A$7,$K$2=Data!$A$2),SUMIFS(Proventos!$H:$H,Proventos!$D:$D,"&gt;="&amp;CONCATENATE($M$6,"/",B18),Proventos!$D:$D,"&lt;"&amp;CONCATENATE($N$6,"/",B18),Proventos!$J:$J,"="&amp;$H$2),
AND($H$2=Data!$A$8,$K$2=Data!$A$2),SUMIFS(Proventos!$H:$H,Proventos!$D:$D,"&gt;="&amp;CONCATENATE($M$6,"/",B18),Proventos!$D:$D,"&lt;"&amp;CONCATENATE($N$6,"/",B18),Proventos!$J:$J,"="&amp;$H$2),
AND($H$2=Data!$A$9,$K$2=Data!$A$2),SUMIFS(Proventos!$H:$H,Proventos!$D:$D,"&gt;="&amp;CONCATENATE($M$6,"/",B18),Proventos!$D:$D,"&lt;"&amp;CONCATENATE($N$6,"/",B18),Proventos!$J:$J,"="&amp;$H$2),
AND($H$2=Data!$A$10,$K$2=Data!$A$2),SUMIFS(Proventos!$H:$H,Proventos!$D:$D,"&gt;="&amp;CONCATENATE($M$6,"/",B18),Proventos!$D:$D,"&lt;"&amp;CONCATENATE($N$6,"/",B18),Proventos!$J:$J,"="&amp;$H$2),
AND($H$2=Data!$A$11,$K$2=Data!$A$2),SUMIFS(Proventos!$H:$H,Proventos!$D:$D,"&gt;="&amp;CONCATENATE($M$6,"/",B18),Proventos!$D:$D,"&lt;"&amp;CONCATENATE($N$6,"/",B18),Proventos!$J:$J,"="&amp;$H$2),
$K$2=Data!$A$2,SUMIFS(Proventos!$H:$H,Proventos!$D:$D,"&gt;="&amp;CONCATENATE($M$6,"/",B18),Proventos!$D:$D,"&lt;"&amp;CONCATENATE($N$6,"/",B18)),
$K$2&lt;&gt;Data!$A$2,SUMIFS(Proventos!$H:$H,Proventos!$D:$D,"&gt;="&amp;CONCATENATE($M$6,"/",B18),Proventos!$D:$D,"&lt;"&amp;CONCATENATE($N$6,"/",B18),Proventos!$A:$A,"="&amp;$K$2))</f>
        <v>0</v>
      </c>
      <c r="N18" s="245">
        <f>IFS(
AND($H$2=Data!$A$3,$K$2=Data!$A$2),SUMIFS(Proventos!$H:$H,Proventos!$D:$D,"&gt;="&amp;CONCATENATE($N$6,"/",B18),Proventos!$D:$D,"&lt;"&amp;CONCATENATE($C$6,"/",B19),Proventos!$J:$J,"="&amp;$H$2),
AND($H$2=Data!$A$4,$K$2=Data!$A$2),SUMIFS(Proventos!$H:$H,Proventos!$D:$D,"&gt;="&amp;CONCATENATE($N$6,"/",B18),Proventos!$D:$D,"&lt;"&amp;CONCATENATE($C$6,"/",B19),Proventos!$J:$J,"="&amp;$H$2),
AND($H$2=Data!$A$5,$K$2=Data!$A$2),SUMIFS(Proventos!$H:$H,Proventos!$D:$D,"&gt;="&amp;CONCATENATE($N$6,"/",B18),Proventos!$D:$D,"&lt;"&amp;CONCATENATE($C$6,"/",B19),Proventos!$J:$J,"="&amp;$H$2),
AND($H$2=Data!$A$6,$K$2=Data!$A$2),SUMIFS(Proventos!$H:$H,Proventos!$D:$D,"&gt;="&amp;CONCATENATE($N$6,"/",B18),Proventos!$D:$D,"&lt;"&amp;CONCATENATE($C$6,"/",B19),Proventos!$J:$J,"="&amp;$H$2),
AND($H$2=Data!$A$7,$K$2=Data!$A$2),SUMIFS(Proventos!$H:$H,Proventos!$D:$D,"&gt;="&amp;CONCATENATE($N$6,"/",B18),Proventos!$D:$D,"&lt;"&amp;CONCATENATE($C$6,"/",B19),Proventos!$J:$J,"="&amp;$H$2),
AND($H$2=Data!$A$8,$K$2=Data!$A$2),SUMIFS(Proventos!$H:$H,Proventos!$D:$D,"&gt;="&amp;CONCATENATE($N$6,"/",B18),Proventos!$D:$D,"&lt;"&amp;CONCATENATE($C$6,"/",B19),Proventos!$J:$J,"="&amp;$H$2),
AND($H$2=Data!$A$9,$K$2=Data!$A$2),SUMIFS(Proventos!$H:$H,Proventos!$D:$D,"&gt;="&amp;CONCATENATE($N$6,"/",B18),Proventos!$D:$D,"&lt;"&amp;CONCATENATE($C$6,"/",B19),Proventos!$J:$J,"="&amp;$H$2),
AND($H$2=Data!$A$10,$K$2=Data!$A$2),SUMIFS(Proventos!$H:$H,Proventos!$D:$D,"&gt;="&amp;CONCATENATE($N$6,"/",B18),Proventos!$D:$D,"&lt;"&amp;CONCATENATE($C$6,"/",B19),Proventos!$J:$J,"="&amp;$H$2),
AND($H$2=Data!$A$11,$K$2=Data!$A$2),SUMIFS(Proventos!$H:$H,Proventos!$D:$D,"&gt;="&amp;CONCATENATE($N$6,"/",B18),Proventos!$D:$D,"&lt;"&amp;CONCATENATE($C$6,"/",B19),Proventos!$J:$J,"="&amp;$H$2),
$K$2=Data!$A$2,SUMIFS(Proventos!$H:$H,Proventos!$D:$D,"&gt;="&amp;CONCATENATE($N$6,"/",B18),Proventos!$D:$D,"&lt;"&amp;CONCATENATE($C$6,"/",B19)),
$K$2&lt;&gt;Data!$A$2,SUMIFS(Proventos!$H:$H,Proventos!$D:$D,"&gt;="&amp;CONCATENATE($N$6,"/",B18),Proventos!$D:$D,"&lt;"&amp;CONCATENATE($C$6,"/",B19),Proventos!$A:$A,"="&amp;$K$2))</f>
        <v>0</v>
      </c>
      <c r="O18" s="245"/>
      <c r="P18" s="245">
        <f t="shared" si="1"/>
        <v>0</v>
      </c>
      <c r="Q18" s="245">
        <f t="shared" si="2"/>
        <v>0</v>
      </c>
    </row>
    <row r="19" ht="32.25" customHeight="1">
      <c r="A19" s="246" t="str">
        <f>IFERROR(__xludf.DUMMYFUNCTION("""COMPUTED_VALUE"""),"HGLG11")</f>
        <v>HGLG11</v>
      </c>
      <c r="B19" s="244"/>
      <c r="C19" s="245">
        <f>IFS(
AND($H$2=Data!$A$3,$K$2=Data!$A$2),SUMIFS(Proventos!$H:$H,Proventos!$D:$D,"&gt;="&amp;CONCATENATE($C$6,"/",B19),Proventos!$D:$D,"&lt;"&amp;CONCATENATE($D$6,"/",B19),Proventos!$J:$J,"="&amp;$H$2),
AND($H$2=Data!$A$4,$K$2=Data!$A$2),SUMIFS(Proventos!$H:$H,Proventos!$D:$D,"&gt;="&amp;CONCATENATE($C$6,"/",B19),Proventos!$D:$D,"&lt;"&amp;CONCATENATE($D$6,"/",B19),Proventos!$J:$J,"="&amp;$H$2),
AND($H$2=Data!$A$5,$K$2=Data!$A$2),SUMIFS(Proventos!$H:$H,Proventos!$D:$D,"&gt;="&amp;CONCATENATE($C$6,"/",B19),Proventos!$D:$D,"&lt;"&amp;CONCATENATE($D$6,"/",B19),Proventos!$J:$J,"="&amp;$H$2),
AND($H$2=Data!$A$6,$K$2=Data!$A$2),SUMIFS(Proventos!$H:$H,Proventos!$D:$D,"&gt;="&amp;CONCATENATE($C$6,"/",B19),Proventos!$D:$D,"&lt;"&amp;CONCATENATE($D$6,"/",B19),Proventos!$J:$J,"="&amp;$H$2),
AND($H$2=Data!$A$7,$K$2=Data!$A$2),SUMIFS(Proventos!$H:$H,Proventos!$D:$D,"&gt;="&amp;CONCATENATE($C$6,"/",B19),Proventos!$D:$D,"&lt;"&amp;CONCATENATE($D$6,"/",B19),Proventos!$J:$J,"="&amp;$H$2),
AND($H$2=Data!$A$8,$K$2=Data!$A$2),SUMIFS(Proventos!$H:$H,Proventos!$D:$D,"&gt;="&amp;CONCATENATE($C$6,"/",B19),Proventos!$D:$D,"&lt;"&amp;CONCATENATE($D$6,"/",B19),Proventos!$J:$J,"="&amp;$H$2),
AND($H$2=Data!$A$9,$K$2=Data!$A$2),SUMIFS(Proventos!$H:$H,Proventos!$D:$D,"&gt;="&amp;CONCATENATE($C$6,"/",B19),Proventos!$D:$D,"&lt;"&amp;CONCATENATE($D$6,"/",B19),Proventos!$J:$J,"="&amp;$H$2),
AND($H$2=Data!$A$10,$K$2=Data!$A$2),SUMIFS(Proventos!$H:$H,Proventos!$D:$D,"&gt;="&amp;CONCATENATE($C$6,"/",B19),Proventos!$D:$D,"&lt;"&amp;CONCATENATE($D$6,"/",B19),Proventos!$J:$J,"="&amp;$H$2),
AND($H$2=Data!$A$11,$K$2=Data!$A$2),SUMIFS(Proventos!$H:$H,Proventos!$D:$D,"&gt;="&amp;CONCATENATE($C$6,"/",B19),Proventos!$D:$D,"&lt;"&amp;CONCATENATE($D$6,"/",B19),Proventos!$J:$J,"="&amp;$H$2),
$K$2=Data!$A$2,SUMIFS(Proventos!$H:$H,Proventos!$D:$D,"&gt;="&amp;CONCATENATE($C$6,"/",B19),Proventos!$D:$D,"&lt;"&amp;CONCATENATE($D$6,"/",B19)),
$K$2&lt;&gt;Data!$A$2,SUMIFS(Proventos!$H:$H,Proventos!$D:$D,"&gt;="&amp;CONCATENATE($C$6,"/",B19),Proventos!$D:$D,"&lt;"&amp;CONCATENATE($D$6,"/",B19),Proventos!$A:$A,"="&amp;$K$2))</f>
        <v>0</v>
      </c>
      <c r="D19" s="245">
        <f>IFS(
AND($H$2=Data!$A$3,$K$2=Data!$A$2),SUMIFS(Proventos!$H:$H,Proventos!$D:$D,"&gt;="&amp;CONCATENATE($D$6,"/",B19),Proventos!$D:$D,"&lt;"&amp;CONCATENATE($E$6,"/",B19),Proventos!$J:$J,"="&amp;$H$2),
AND($H$2=Data!$A$4,$K$2=Data!$A$2),SUMIFS(Proventos!$H:$H,Proventos!$D:$D,"&gt;="&amp;CONCATENATE($D$6,"/",B19),Proventos!$D:$D,"&lt;"&amp;CONCATENATE($E$6,"/",B19),Proventos!$J:$J,"="&amp;$H$2),
AND($H$2=Data!$A$5,$K$2=Data!$A$2),SUMIFS(Proventos!$H:$H,Proventos!$D:$D,"&gt;="&amp;CONCATENATE($D$6,"/",B19),Proventos!$D:$D,"&lt;"&amp;CONCATENATE($E$6,"/",B19),Proventos!$J:$J,"="&amp;$H$2),
AND($H$2=Data!$A$6,$K$2=Data!$A$2),SUMIFS(Proventos!$H:$H,Proventos!$D:$D,"&gt;="&amp;CONCATENATE($D$6,"/",B19),Proventos!$D:$D,"&lt;"&amp;CONCATENATE($E$6,"/",B19),Proventos!$J:$J,"="&amp;$H$2),
AND($H$2=Data!$A$7,$K$2=Data!$A$2),SUMIFS(Proventos!$H:$H,Proventos!$D:$D,"&gt;="&amp;CONCATENATE($D$6,"/",B19),Proventos!$D:$D,"&lt;"&amp;CONCATENATE($E$6,"/",B19),Proventos!$J:$J,"="&amp;$H$2),
AND($H$2=Data!$A$8,$K$2=Data!$A$2),SUMIFS(Proventos!$H:$H,Proventos!$D:$D,"&gt;="&amp;CONCATENATE($D$6,"/",B19),Proventos!$D:$D,"&lt;"&amp;CONCATENATE($E$6,"/",B19),Proventos!$J:$J,"="&amp;$H$2),
AND($H$2=Data!$A$9,$K$2=Data!$A$2),SUMIFS(Proventos!$H:$H,Proventos!$D:$D,"&gt;="&amp;CONCATENATE($D$6,"/",B19),Proventos!$D:$D,"&lt;"&amp;CONCATENATE($E$6,"/",B19),Proventos!$J:$J,"="&amp;$H$2),
AND($H$2=Data!$A$10,$K$2=Data!$A$2),SUMIFS(Proventos!$H:$H,Proventos!$D:$D,"&gt;="&amp;CONCATENATE($D$6,"/",B19),Proventos!$D:$D,"&lt;"&amp;CONCATENATE($E$6,"/",B19),Proventos!$J:$J,"="&amp;$H$2),
AND($H$2=Data!$A$11,$K$2=Data!$A$2),SUMIFS(Proventos!$H:$H,Proventos!$D:$D,"&gt;="&amp;CONCATENATE($D$6,"/",B19),Proventos!$D:$D,"&lt;"&amp;CONCATENATE($E$6,"/",B19),Proventos!$J:$J,"="&amp;$H$2),
$K$2=Data!$A$2,SUMIFS(Proventos!$H:$H,Proventos!$D:$D,"&gt;="&amp;CONCATENATE($D$6,"/",B19),Proventos!$D:$D,"&lt;"&amp;CONCATENATE($E$6,"/",B19)),
$K$2&lt;&gt;Data!$A$2,SUMIFS(Proventos!$H:$H,Proventos!$D:$D,"&gt;="&amp;CONCATENATE($D$6,"/",B19),Proventos!$D:$D,"&lt;"&amp;CONCATENATE($E$6,"/",B19),Proventos!$A:$A,"="&amp;$K$2))</f>
        <v>0</v>
      </c>
      <c r="E19" s="245">
        <f>IFS(
AND($H$2=Data!$A$3,$K$2=Data!$A$2),SUMIFS(Proventos!$H:$H,Proventos!$D:$D,"&gt;="&amp;CONCATENATE($E$6,"/",B19),Proventos!$D:$D,"&lt;"&amp;CONCATENATE($F$6,"/",B19),Proventos!$J:$J,"="&amp;$H$2),
AND($H$2=Data!$A$4,$K$2=Data!$A$2),SUMIFS(Proventos!$H:$H,Proventos!$D:$D,"&gt;="&amp;CONCATENATE($E$6,"/",B19),Proventos!$D:$D,"&lt;"&amp;CONCATENATE($F$6,"/",B19),Proventos!$J:$J,"="&amp;$H$2),
AND($H$2=Data!$A$5,$K$2=Data!$A$2),SUMIFS(Proventos!$H:$H,Proventos!$D:$D,"&gt;="&amp;CONCATENATE($E$6,"/",B19),Proventos!$D:$D,"&lt;"&amp;CONCATENATE($F$6,"/",B19),Proventos!$J:$J,"="&amp;$H$2),
AND($H$2=Data!$A$6,$K$2=Data!$A$2),SUMIFS(Proventos!$H:$H,Proventos!$D:$D,"&gt;="&amp;CONCATENATE($E$6,"/",B19),Proventos!$D:$D,"&lt;"&amp;CONCATENATE($F$6,"/",B19),Proventos!$J:$J,"="&amp;$H$2),
AND($H$2=Data!$A$7,$K$2=Data!$A$2),SUMIFS(Proventos!$H:$H,Proventos!$D:$D,"&gt;="&amp;CONCATENATE($E$6,"/",B19),Proventos!$D:$D,"&lt;"&amp;CONCATENATE($F$6,"/",B19),Proventos!$J:$J,"="&amp;$H$2),
AND($H$2=Data!$A$8,$K$2=Data!$A$2),SUMIFS(Proventos!$H:$H,Proventos!$D:$D,"&gt;="&amp;CONCATENATE($E$6,"/",B19),Proventos!$D:$D,"&lt;"&amp;CONCATENATE($F$6,"/",B19),Proventos!$J:$J,"="&amp;$H$2),
AND($H$2=Data!$A$9,$K$2=Data!$A$2),SUMIFS(Proventos!$H:$H,Proventos!$D:$D,"&gt;="&amp;CONCATENATE($E$6,"/",B19),Proventos!$D:$D,"&lt;"&amp;CONCATENATE($F$6,"/",B19),Proventos!$J:$J,"="&amp;$H$2),
AND($H$2=Data!$A$10,$K$2=Data!$A$2),SUMIFS(Proventos!$H:$H,Proventos!$D:$D,"&gt;="&amp;CONCATENATE($E$6,"/",B19),Proventos!$D:$D,"&lt;"&amp;CONCATENATE($F$6,"/",B19),Proventos!$J:$J,"="&amp;$H$2),
AND($H$2=Data!$A$11,$K$2=Data!$A$2),SUMIFS(Proventos!$H:$H,Proventos!$D:$D,"&gt;="&amp;CONCATENATE($E$6,"/",B19),Proventos!$D:$D,"&lt;"&amp;CONCATENATE($F$6,"/",B19),Proventos!$J:$J,"="&amp;$H$2),
$K$2=Data!$A$2,SUMIFS(Proventos!$H:$H,Proventos!$D:$D,"&gt;="&amp;CONCATENATE($E$6,"/",B19),Proventos!$D:$D,"&lt;"&amp;CONCATENATE($F$6,"/",B19)),
$K$2&lt;&gt;Data!$A$2,SUMIFS(Proventos!$H:$H,Proventos!$D:$D,"&gt;="&amp;CONCATENATE($E$6,"/",B19),Proventos!$D:$D,"&lt;"&amp;CONCATENATE($F$6,"/",B19),Proventos!$A:$A,"="&amp;$K$2))</f>
        <v>0</v>
      </c>
      <c r="F19" s="245">
        <f>IFS(
AND($H$2=Data!$A$3,$K$2=Data!$A$2),SUMIFS(Proventos!$H:$H,Proventos!$D:$D,"&gt;="&amp;CONCATENATE($F$6,"/",B19),Proventos!$D:$D,"&lt;"&amp;CONCATENATE($G$6,"/",B19),Proventos!$J:$J,"="&amp;$H$2),
AND($H$2=Data!$A$4,$K$2=Data!$A$2),SUMIFS(Proventos!$H:$H,Proventos!$D:$D,"&gt;="&amp;CONCATENATE($F$6,"/",B19),Proventos!$D:$D,"&lt;"&amp;CONCATENATE($G$6,"/",B19),Proventos!$J:$J,"="&amp;$H$2),
AND($H$2=Data!$A$5,$K$2=Data!$A$2),SUMIFS(Proventos!$H:$H,Proventos!$D:$D,"&gt;="&amp;CONCATENATE($F$6,"/",B19),Proventos!$D:$D,"&lt;"&amp;CONCATENATE($G$6,"/",B19),Proventos!$J:$J,"="&amp;$H$2),
AND($H$2=Data!$A$6,$K$2=Data!$A$2),SUMIFS(Proventos!$H:$H,Proventos!$D:$D,"&gt;="&amp;CONCATENATE($F$6,"/",B19),Proventos!$D:$D,"&lt;"&amp;CONCATENATE($G$6,"/",B19),Proventos!$J:$J,"="&amp;$H$2),
AND($H$2=Data!$A$7,$K$2=Data!$A$2),SUMIFS(Proventos!$H:$H,Proventos!$D:$D,"&gt;="&amp;CONCATENATE($F$6,"/",B19),Proventos!$D:$D,"&lt;"&amp;CONCATENATE($G$6,"/",B19),Proventos!$J:$J,"="&amp;$H$2),
AND($H$2=Data!$A$8,$K$2=Data!$A$2),SUMIFS(Proventos!$H:$H,Proventos!$D:$D,"&gt;="&amp;CONCATENATE($F$6,"/",B19),Proventos!$D:$D,"&lt;"&amp;CONCATENATE($G$6,"/",B19),Proventos!$J:$J,"="&amp;$H$2),
AND($H$2=Data!$A$9,$K$2=Data!$A$2),SUMIFS(Proventos!$H:$H,Proventos!$D:$D,"&gt;="&amp;CONCATENATE($F$6,"/",B19),Proventos!$D:$D,"&lt;"&amp;CONCATENATE($G$6,"/",B19),Proventos!$J:$J,"="&amp;$H$2),
AND($H$2=Data!$A$10,$K$2=Data!$A$2),SUMIFS(Proventos!$H:$H,Proventos!$D:$D,"&gt;="&amp;CONCATENATE($F$6,"/",B19),Proventos!$D:$D,"&lt;"&amp;CONCATENATE($G$6,"/",B19),Proventos!$J:$J,"="&amp;$H$2),
AND($H$2=Data!$A$11,$K$2=Data!$A$2),SUMIFS(Proventos!$H:$H,Proventos!$D:$D,"&gt;="&amp;CONCATENATE($F$6,"/",B19),Proventos!$D:$D,"&lt;"&amp;CONCATENATE($G$6,"/",B19),Proventos!$J:$J,"="&amp;$H$2),
$K$2=Data!$A$2,SUMIFS(Proventos!$H:$H,Proventos!$D:$D,"&gt;="&amp;CONCATENATE($F$6,"/",B19),Proventos!$D:$D,"&lt;"&amp;CONCATENATE($G$6,"/",B19)),
$K$2&lt;&gt;Data!$A$2,SUMIFS(Proventos!$H:$H,Proventos!$D:$D,"&gt;="&amp;CONCATENATE($F$6,"/",B19),Proventos!$D:$D,"&lt;"&amp;CONCATENATE($G$6,"/",B19),Proventos!$A:$A,"="&amp;$K$2))</f>
        <v>0</v>
      </c>
      <c r="G19" s="245">
        <f>IFS(
AND($H$2=Data!$A$3,$K$2=Data!$A$2),SUMIFS(Proventos!$H:$H,Proventos!$D:$D,"&gt;="&amp;CONCATENATE($G$6,"/",B19),Proventos!$D:$D,"&lt;"&amp;CONCATENATE($H$6,"/",B19),Proventos!$J:$J,"="&amp;$H$2),
AND($H$2=Data!$A$4,$K$2=Data!$A$2),SUMIFS(Proventos!$H:$H,Proventos!$D:$D,"&gt;="&amp;CONCATENATE($G$6,"/",B19),Proventos!$D:$D,"&lt;"&amp;CONCATENATE($H$6,"/",B19),Proventos!$J:$J,"="&amp;$H$2),
AND($H$2=Data!$A$5,$K$2=Data!$A$2),SUMIFS(Proventos!$H:$H,Proventos!$D:$D,"&gt;="&amp;CONCATENATE($G$6,"/",B19),Proventos!$D:$D,"&lt;"&amp;CONCATENATE($H$6,"/",B19),Proventos!$J:$J,"="&amp;$H$2),
AND($H$2=Data!$A$6,$K$2=Data!$A$2),SUMIFS(Proventos!$H:$H,Proventos!$D:$D,"&gt;="&amp;CONCATENATE($G$6,"/",B19),Proventos!$D:$D,"&lt;"&amp;CONCATENATE($H$6,"/",B19),Proventos!$J:$J,"="&amp;$H$2),
AND($H$2=Data!$A$7,$K$2=Data!$A$2),SUMIFS(Proventos!$H:$H,Proventos!$D:$D,"&gt;="&amp;CONCATENATE($G$6,"/",B19),Proventos!$D:$D,"&lt;"&amp;CONCATENATE($H$6,"/",B19),Proventos!$J:$J,"="&amp;$H$2),
AND($H$2=Data!$A$8,$K$2=Data!$A$2),SUMIFS(Proventos!$H:$H,Proventos!$D:$D,"&gt;="&amp;CONCATENATE($G$6,"/",B19),Proventos!$D:$D,"&lt;"&amp;CONCATENATE($H$6,"/",B19),Proventos!$J:$J,"="&amp;$H$2),
AND($H$2=Data!$A$9,$K$2=Data!$A$2),SUMIFS(Proventos!$H:$H,Proventos!$D:$D,"&gt;="&amp;CONCATENATE($G$6,"/",B19),Proventos!$D:$D,"&lt;"&amp;CONCATENATE($H$6,"/",B19),Proventos!$J:$J,"="&amp;$H$2),
AND($H$2=Data!$A$10,$K$2=Data!$A$2),SUMIFS(Proventos!$H:$H,Proventos!$D:$D,"&gt;="&amp;CONCATENATE($G$6,"/",B19),Proventos!$D:$D,"&lt;"&amp;CONCATENATE($H$6,"/",B19),Proventos!$J:$J,"="&amp;$H$2),
AND($H$2=Data!$A$11,$K$2=Data!$A$2),SUMIFS(Proventos!$H:$H,Proventos!$D:$D,"&gt;="&amp;CONCATENATE($G$6,"/",B19),Proventos!$D:$D,"&lt;"&amp;CONCATENATE($H$6,"/",B19),Proventos!$J:$J,"="&amp;$H$2),
$K$2=Data!$A$2,SUMIFS(Proventos!$H:$H,Proventos!$D:$D,"&gt;="&amp;CONCATENATE($G$6,"/",B19),Proventos!$D:$D,"&lt;"&amp;CONCATENATE($H$6,"/",B19)),
$K$2&lt;&gt;Data!$A$2,SUMIFS(Proventos!$H:$H,Proventos!$D:$D,"&gt;="&amp;CONCATENATE($G$6,"/",B19),Proventos!$D:$D,"&lt;"&amp;CONCATENATE($H$6,"/",B19),Proventos!$A:$A,"="&amp;$K$2))</f>
        <v>0</v>
      </c>
      <c r="H19" s="245">
        <f>IFS(
AND($H$2=Data!$A$3,$K$2=Data!$A$2),SUMIFS(Proventos!$H:$H,Proventos!$D:$D,"&gt;="&amp;CONCATENATE($H$6,"/",B19),Proventos!$D:$D,"&lt;"&amp;CONCATENATE($I$6,"/",B19),Proventos!$J:$J,"="&amp;$H$2),
AND($H$2=Data!$A$4,$K$2=Data!$A$2),SUMIFS(Proventos!$H:$H,Proventos!$D:$D,"&gt;="&amp;CONCATENATE($H$6,"/",B19),Proventos!$D:$D,"&lt;"&amp;CONCATENATE($I$6,"/",B19),Proventos!$J:$J,"="&amp;$H$2),
AND($H$2=Data!$A$5,$K$2=Data!$A$2),SUMIFS(Proventos!$H:$H,Proventos!$D:$D,"&gt;="&amp;CONCATENATE($H$6,"/",B19),Proventos!$D:$D,"&lt;"&amp;CONCATENATE($I$6,"/",B19),Proventos!$J:$J,"="&amp;$H$2),
AND($H$2=Data!$A$6,$K$2=Data!$A$2),SUMIFS(Proventos!$H:$H,Proventos!$D:$D,"&gt;="&amp;CONCATENATE($H$6,"/",B19),Proventos!$D:$D,"&lt;"&amp;CONCATENATE($I$6,"/",B19),Proventos!$J:$J,"="&amp;$H$2),
AND($H$2=Data!$A$7,$K$2=Data!$A$2),SUMIFS(Proventos!$H:$H,Proventos!$D:$D,"&gt;="&amp;CONCATENATE($H$6,"/",B19),Proventos!$D:$D,"&lt;"&amp;CONCATENATE($I$6,"/",B19),Proventos!$J:$J,"="&amp;$H$2),
AND($H$2=Data!$A$8,$K$2=Data!$A$2),SUMIFS(Proventos!$H:$H,Proventos!$D:$D,"&gt;="&amp;CONCATENATE($H$6,"/",B19),Proventos!$D:$D,"&lt;"&amp;CONCATENATE($I$6,"/",B19),Proventos!$J:$J,"="&amp;$H$2),
AND($H$2=Data!$A$9,$K$2=Data!$A$2),SUMIFS(Proventos!$H:$H,Proventos!$D:$D,"&gt;="&amp;CONCATENATE($H$6,"/",B19),Proventos!$D:$D,"&lt;"&amp;CONCATENATE($I$6,"/",B19),Proventos!$J:$J,"="&amp;$H$2),
AND($H$2=Data!$A$10,$K$2=Data!$A$2),SUMIFS(Proventos!$H:$H,Proventos!$D:$D,"&gt;="&amp;CONCATENATE($H$6,"/",B19),Proventos!$D:$D,"&lt;"&amp;CONCATENATE($I$6,"/",B19),Proventos!$J:$J,"="&amp;$H$2),
AND($H$2=Data!$A$11,$K$2=Data!$A$2),SUMIFS(Proventos!$H:$H,Proventos!$D:$D,"&gt;="&amp;CONCATENATE($H$6,"/",B19),Proventos!$D:$D,"&lt;"&amp;CONCATENATE($I$6,"/",B19),Proventos!$J:$J,"="&amp;$H$2),
$K$2=Data!$A$2,SUMIFS(Proventos!$H:$H,Proventos!$D:$D,"&gt;="&amp;CONCATENATE($H$6,"/",B19),Proventos!$D:$D,"&lt;"&amp;CONCATENATE($I$6,"/",B19)),
$K$2&lt;&gt;Data!$A$2,SUMIFS(Proventos!$H:$H,Proventos!$D:$D,"&gt;="&amp;CONCATENATE($H$6,"/",B19),Proventos!$D:$D,"&lt;"&amp;CONCATENATE($I$6,"/",B19),Proventos!$A:$A,"="&amp;$K$2))</f>
        <v>0</v>
      </c>
      <c r="I19" s="245">
        <f>IFS(
AND($H$2=Data!$A$3,$K$2=Data!$A$2),SUMIFS(Proventos!$H:$H,Proventos!$D:$D,"&gt;="&amp;CONCATENATE($I$6,"/",B19),Proventos!$D:$D,"&lt;"&amp;CONCATENATE($J$6,"/",B19),Proventos!$J:$J,"="&amp;$H$2),
AND($H$2=Data!$A$4,$K$2=Data!$A$2),SUMIFS(Proventos!$H:$H,Proventos!$D:$D,"&gt;="&amp;CONCATENATE($I$6,"/",B19),Proventos!$D:$D,"&lt;"&amp;CONCATENATE($J$6,"/",B19),Proventos!$J:$J,"="&amp;$H$2),
AND($H$2=Data!$A$5,$K$2=Data!$A$2),SUMIFS(Proventos!$H:$H,Proventos!$D:$D,"&gt;="&amp;CONCATENATE($I$6,"/",B19),Proventos!$D:$D,"&lt;"&amp;CONCATENATE($J$6,"/",B19),Proventos!$J:$J,"="&amp;$H$2),
AND($H$2=Data!$A$6,$K$2=Data!$A$2),SUMIFS(Proventos!$H:$H,Proventos!$D:$D,"&gt;="&amp;CONCATENATE($I$6,"/",B19),Proventos!$D:$D,"&lt;"&amp;CONCATENATE($J$6,"/",B19),Proventos!$J:$J,"="&amp;$H$2),
AND($H$2=Data!$A$7,$K$2=Data!$A$2),SUMIFS(Proventos!$H:$H,Proventos!$D:$D,"&gt;="&amp;CONCATENATE($I$6,"/",B19),Proventos!$D:$D,"&lt;"&amp;CONCATENATE($J$6,"/",B19),Proventos!$J:$J,"="&amp;$H$2),
AND($H$2=Data!$A$8,$K$2=Data!$A$2),SUMIFS(Proventos!$H:$H,Proventos!$D:$D,"&gt;="&amp;CONCATENATE($I$6,"/",B19),Proventos!$D:$D,"&lt;"&amp;CONCATENATE($J$6,"/",B19),Proventos!$J:$J,"="&amp;$H$2),
AND($H$2=Data!$A$9,$K$2=Data!$A$2),SUMIFS(Proventos!$H:$H,Proventos!$D:$D,"&gt;="&amp;CONCATENATE($I$6,"/",B19),Proventos!$D:$D,"&lt;"&amp;CONCATENATE($J$6,"/",B19),Proventos!$J:$J,"="&amp;$H$2),
AND($H$2=Data!$A$10,$K$2=Data!$A$2),SUMIFS(Proventos!$H:$H,Proventos!$D:$D,"&gt;="&amp;CONCATENATE($I$6,"/",B19),Proventos!$D:$D,"&lt;"&amp;CONCATENATE($J$6,"/",B19),Proventos!$J:$J,"="&amp;$H$2),
AND($H$2=Data!$A$11,$K$2=Data!$A$2),SUMIFS(Proventos!$H:$H,Proventos!$D:$D,"&gt;="&amp;CONCATENATE($I$6,"/",B19),Proventos!$D:$D,"&lt;"&amp;CONCATENATE($J$6,"/",B19),Proventos!$J:$J,"="&amp;$H$2),
$K$2=Data!$A$2,SUMIFS(Proventos!$H:$H,Proventos!$D:$D,"&gt;="&amp;CONCATENATE($I$6,"/",B19),Proventos!$D:$D,"&lt;"&amp;CONCATENATE($J$6,"/",B19)),
$K$2&lt;&gt;Data!$A$2,SUMIFS(Proventos!$H:$H,Proventos!$D:$D,"&gt;="&amp;CONCATENATE($I$6,"/",B19),Proventos!$D:$D,"&lt;"&amp;CONCATENATE($J$6,"/",B19),Proventos!$A:$A,"="&amp;$K$2))</f>
        <v>0</v>
      </c>
      <c r="J19" s="245">
        <f>IFS(
AND($H$2=Data!$A$3,$K$2=Data!$A$2),SUMIFS(Proventos!$H:$H,Proventos!$D:$D,"&gt;="&amp;CONCATENATE($J$6,"/",B19),Proventos!$D:$D,"&lt;"&amp;CONCATENATE($K$6,"/",B19),Proventos!$J:$J,"="&amp;$H$2),
AND($H$2=Data!$A$4,$K$2=Data!$A$2),SUMIFS(Proventos!$H:$H,Proventos!$D:$D,"&gt;="&amp;CONCATENATE($J$6,"/",B19),Proventos!$D:$D,"&lt;"&amp;CONCATENATE($K$6,"/",B19),Proventos!$J:$J,"="&amp;$H$2),
AND($H$2=Data!$A$5,$K$2=Data!$A$2),SUMIFS(Proventos!$H:$H,Proventos!$D:$D,"&gt;="&amp;CONCATENATE($J$6,"/",B19),Proventos!$D:$D,"&lt;"&amp;CONCATENATE($K$6,"/",B19),Proventos!$J:$J,"="&amp;$H$2),
AND($H$2=Data!$A$6,$K$2=Data!$A$2),SUMIFS(Proventos!$H:$H,Proventos!$D:$D,"&gt;="&amp;CONCATENATE($J$6,"/",B19),Proventos!$D:$D,"&lt;"&amp;CONCATENATE($K$6,"/",B19),Proventos!$J:$J,"="&amp;$H$2),
AND($H$2=Data!$A$7,$K$2=Data!$A$2),SUMIFS(Proventos!$H:$H,Proventos!$D:$D,"&gt;="&amp;CONCATENATE($J$6,"/",B19),Proventos!$D:$D,"&lt;"&amp;CONCATENATE($K$6,"/",B19),Proventos!$J:$J,"="&amp;$H$2),
AND($H$2=Data!$A$8,$K$2=Data!$A$2),SUMIFS(Proventos!$H:$H,Proventos!$D:$D,"&gt;="&amp;CONCATENATE($J$6,"/",B19),Proventos!$D:$D,"&lt;"&amp;CONCATENATE($K$6,"/",B19),Proventos!$J:$J,"="&amp;$H$2),
AND($H$2=Data!$A$9,$K$2=Data!$A$2),SUMIFS(Proventos!$H:$H,Proventos!$D:$D,"&gt;="&amp;CONCATENATE($J$6,"/",B19),Proventos!$D:$D,"&lt;"&amp;CONCATENATE($K$6,"/",B19),Proventos!$J:$J,"="&amp;$H$2),
AND($H$2=Data!$A$10,$K$2=Data!$A$2),SUMIFS(Proventos!$H:$H,Proventos!$D:$D,"&gt;="&amp;CONCATENATE($J$6,"/",B19),Proventos!$D:$D,"&lt;"&amp;CONCATENATE($K$6,"/",B19),Proventos!$J:$J,"="&amp;$H$2),
AND($H$2=Data!$A$11,$K$2=Data!$A$2),SUMIFS(Proventos!$H:$H,Proventos!$D:$D,"&gt;="&amp;CONCATENATE($J$6,"/",B19),Proventos!$D:$D,"&lt;"&amp;CONCATENATE($K$6,"/",B19),Proventos!$J:$J,"="&amp;$H$2),
$K$2=Data!$A$2,SUMIFS(Proventos!$H:$H,Proventos!$D:$D,"&gt;="&amp;CONCATENATE($J$6,"/",B19),Proventos!$D:$D,"&lt;"&amp;CONCATENATE($K$6,"/",B19)),
$K$2&lt;&gt;Data!$A$2,SUMIFS(Proventos!$H:$H,Proventos!$D:$D,"&gt;="&amp;CONCATENATE($J$6,"/",B19),Proventos!$D:$D,"&lt;"&amp;CONCATENATE($K$6,"/",B19),Proventos!$A:$A,"="&amp;$K$2))</f>
        <v>0</v>
      </c>
      <c r="K19" s="245">
        <f>IFS(
AND($H$2=Data!$A$3,$K$2=Data!$A$2),SUMIFS(Proventos!$H:$H,Proventos!$D:$D,"&gt;="&amp;CONCATENATE($K$6,"/",B19),Proventos!$D:$D,"&lt;"&amp;CONCATENATE($L$6,"/",B19),Proventos!$J:$J,"="&amp;$H$2),
AND($H$2=Data!$A$4,$K$2=Data!$A$2),SUMIFS(Proventos!$H:$H,Proventos!$D:$D,"&gt;="&amp;CONCATENATE($K$6,"/",B19),Proventos!$D:$D,"&lt;"&amp;CONCATENATE($L$6,"/",B19),Proventos!$J:$J,"="&amp;$H$2),
AND($H$2=Data!$A$5,$K$2=Data!$A$2),SUMIFS(Proventos!$H:$H,Proventos!$D:$D,"&gt;="&amp;CONCATENATE($K$6,"/",B19),Proventos!$D:$D,"&lt;"&amp;CONCATENATE($L$6,"/",B19),Proventos!$J:$J,"="&amp;$H$2),
AND($H$2=Data!$A$6,$K$2=Data!$A$2),SUMIFS(Proventos!$H:$H,Proventos!$D:$D,"&gt;="&amp;CONCATENATE($K$6,"/",B19),Proventos!$D:$D,"&lt;"&amp;CONCATENATE($L$6,"/",B19),Proventos!$J:$J,"="&amp;$H$2),
AND($H$2=Data!$A$7,$K$2=Data!$A$2),SUMIFS(Proventos!$H:$H,Proventos!$D:$D,"&gt;="&amp;CONCATENATE($K$6,"/",B19),Proventos!$D:$D,"&lt;"&amp;CONCATENATE($L$6,"/",B19),Proventos!$J:$J,"="&amp;$H$2),
AND($H$2=Data!$A$8,$K$2=Data!$A$2),SUMIFS(Proventos!$H:$H,Proventos!$D:$D,"&gt;="&amp;CONCATENATE($K$6,"/",B19),Proventos!$D:$D,"&lt;"&amp;CONCATENATE($L$6,"/",B19),Proventos!$J:$J,"="&amp;$H$2),
AND($H$2=Data!$A$9,$K$2=Data!$A$2),SUMIFS(Proventos!$H:$H,Proventos!$D:$D,"&gt;="&amp;CONCATENATE($K$6,"/",B19),Proventos!$D:$D,"&lt;"&amp;CONCATENATE($L$6,"/",B19),Proventos!$J:$J,"="&amp;$H$2),
AND($H$2=Data!$A$10,$K$2=Data!$A$2),SUMIFS(Proventos!$H:$H,Proventos!$D:$D,"&gt;="&amp;CONCATENATE($K$6,"/",B19),Proventos!$D:$D,"&lt;"&amp;CONCATENATE($L$6,"/",B19),Proventos!$J:$J,"="&amp;$H$2),
AND($H$2=Data!$A$11,$K$2=Data!$A$2),SUMIFS(Proventos!$H:$H,Proventos!$D:$D,"&gt;="&amp;CONCATENATE($K$6,"/",B19),Proventos!$D:$D,"&lt;"&amp;CONCATENATE($L$6,"/",B19),Proventos!$J:$J,"="&amp;$H$2),
$K$2=Data!$A$2,SUMIFS(Proventos!$H:$H,Proventos!$D:$D,"&gt;="&amp;CONCATENATE($K$6,"/",B19),Proventos!$D:$D,"&lt;"&amp;CONCATENATE($L$6,"/",B19)),
$K$2&lt;&gt;Data!$A$2,SUMIFS(Proventos!$H:$H,Proventos!$D:$D,"&gt;="&amp;CONCATENATE($K$6,"/",B19),Proventos!$D:$D,"&lt;"&amp;CONCATENATE($L$6,"/",B19),Proventos!$A:$A,"="&amp;$K$2))</f>
        <v>0</v>
      </c>
      <c r="L19" s="245">
        <f>IFS(
AND($H$2=Data!$A$3,$K$2=Data!$A$2),SUMIFS(Proventos!$H:$H,Proventos!$D:$D,"&gt;="&amp;CONCATENATE($L$6,"/",B19),Proventos!$D:$D,"&lt;"&amp;CONCATENATE($M$6,"/",B19),Proventos!$J:$J,"="&amp;$H$2),
AND($H$2=Data!$A$4,$K$2=Data!$A$2),SUMIFS(Proventos!$H:$H,Proventos!$D:$D,"&gt;="&amp;CONCATENATE($L$6,"/",B19),Proventos!$D:$D,"&lt;"&amp;CONCATENATE($M$6,"/",B19),Proventos!$J:$J,"="&amp;$H$2),
AND($H$2=Data!$A$5,$K$2=Data!$A$2),SUMIFS(Proventos!$H:$H,Proventos!$D:$D,"&gt;="&amp;CONCATENATE($L$6,"/",B19),Proventos!$D:$D,"&lt;"&amp;CONCATENATE($M$6,"/",B19),Proventos!$J:$J,"="&amp;$H$2),
AND($H$2=Data!$A$6,$K$2=Data!$A$2),SUMIFS(Proventos!$H:$H,Proventos!$D:$D,"&gt;="&amp;CONCATENATE($L$6,"/",B19),Proventos!$D:$D,"&lt;"&amp;CONCATENATE($M$6,"/",B19),Proventos!$J:$J,"="&amp;$H$2),
AND($H$2=Data!$A$7,$K$2=Data!$A$2),SUMIFS(Proventos!$H:$H,Proventos!$D:$D,"&gt;="&amp;CONCATENATE($L$6,"/",B19),Proventos!$D:$D,"&lt;"&amp;CONCATENATE($M$6,"/",B19),Proventos!$J:$J,"="&amp;$H$2),
AND($H$2=Data!$A$8,$K$2=Data!$A$2),SUMIFS(Proventos!$H:$H,Proventos!$D:$D,"&gt;="&amp;CONCATENATE($L$6,"/",B19),Proventos!$D:$D,"&lt;"&amp;CONCATENATE($M$6,"/",B19),Proventos!$J:$J,"="&amp;$H$2),
AND($H$2=Data!$A$9,$K$2=Data!$A$2),SUMIFS(Proventos!$H:$H,Proventos!$D:$D,"&gt;="&amp;CONCATENATE($L$6,"/",B19),Proventos!$D:$D,"&lt;"&amp;CONCATENATE($M$6,"/",B19),Proventos!$J:$J,"="&amp;$H$2),
AND($H$2=Data!$A$10,$K$2=Data!$A$2),SUMIFS(Proventos!$H:$H,Proventos!$D:$D,"&gt;="&amp;CONCATENATE($L$6,"/",B19),Proventos!$D:$D,"&lt;"&amp;CONCATENATE($M$6,"/",B19),Proventos!$J:$J,"="&amp;$H$2),
AND($H$2=Data!$A$11,$K$2=Data!$A$2),SUMIFS(Proventos!$H:$H,Proventos!$D:$D,"&gt;="&amp;CONCATENATE($L$6,"/",B19),Proventos!$D:$D,"&lt;"&amp;CONCATENATE($M$6,"/",B19),Proventos!$J:$J,"="&amp;$H$2),
$K$2=Data!$A$2,SUMIFS(Proventos!$H:$H,Proventos!$D:$D,"&gt;="&amp;CONCATENATE($L$6,"/",B19),Proventos!$D:$D,"&lt;"&amp;CONCATENATE($M$6,"/",B19)),
$K$2&lt;&gt;Data!$A$2,SUMIFS(Proventos!$H:$H,Proventos!$D:$D,"&gt;="&amp;CONCATENATE($L$6,"/",B19),Proventos!$D:$D,"&lt;"&amp;CONCATENATE($M$6,"/",B19),Proventos!$A:$A,"="&amp;$K$2))</f>
        <v>0</v>
      </c>
      <c r="M19" s="245">
        <f>IFS(
AND($H$2=Data!$A$3,$K$2=Data!$A$2),SUMIFS(Proventos!$H:$H,Proventos!$D:$D,"&gt;="&amp;CONCATENATE($M$6,"/",B19),Proventos!$D:$D,"&lt;"&amp;CONCATENATE($N$6,"/",B19),Proventos!$J:$J,"="&amp;$H$2),
AND($H$2=Data!$A$4,$K$2=Data!$A$2),SUMIFS(Proventos!$H:$H,Proventos!$D:$D,"&gt;="&amp;CONCATENATE($M$6,"/",B19),Proventos!$D:$D,"&lt;"&amp;CONCATENATE($N$6,"/",B19),Proventos!$J:$J,"="&amp;$H$2),
AND($H$2=Data!$A$5,$K$2=Data!$A$2),SUMIFS(Proventos!$H:$H,Proventos!$D:$D,"&gt;="&amp;CONCATENATE($M$6,"/",B19),Proventos!$D:$D,"&lt;"&amp;CONCATENATE($N$6,"/",B19),Proventos!$J:$J,"="&amp;$H$2),
AND($H$2=Data!$A$6,$K$2=Data!$A$2),SUMIFS(Proventos!$H:$H,Proventos!$D:$D,"&gt;="&amp;CONCATENATE($M$6,"/",B19),Proventos!$D:$D,"&lt;"&amp;CONCATENATE($N$6,"/",B19),Proventos!$J:$J,"="&amp;$H$2),
AND($H$2=Data!$A$7,$K$2=Data!$A$2),SUMIFS(Proventos!$H:$H,Proventos!$D:$D,"&gt;="&amp;CONCATENATE($M$6,"/",B19),Proventos!$D:$D,"&lt;"&amp;CONCATENATE($N$6,"/",B19),Proventos!$J:$J,"="&amp;$H$2),
AND($H$2=Data!$A$8,$K$2=Data!$A$2),SUMIFS(Proventos!$H:$H,Proventos!$D:$D,"&gt;="&amp;CONCATENATE($M$6,"/",B19),Proventos!$D:$D,"&lt;"&amp;CONCATENATE($N$6,"/",B19),Proventos!$J:$J,"="&amp;$H$2),
AND($H$2=Data!$A$9,$K$2=Data!$A$2),SUMIFS(Proventos!$H:$H,Proventos!$D:$D,"&gt;="&amp;CONCATENATE($M$6,"/",B19),Proventos!$D:$D,"&lt;"&amp;CONCATENATE($N$6,"/",B19),Proventos!$J:$J,"="&amp;$H$2),
AND($H$2=Data!$A$10,$K$2=Data!$A$2),SUMIFS(Proventos!$H:$H,Proventos!$D:$D,"&gt;="&amp;CONCATENATE($M$6,"/",B19),Proventos!$D:$D,"&lt;"&amp;CONCATENATE($N$6,"/",B19),Proventos!$J:$J,"="&amp;$H$2),
AND($H$2=Data!$A$11,$K$2=Data!$A$2),SUMIFS(Proventos!$H:$H,Proventos!$D:$D,"&gt;="&amp;CONCATENATE($M$6,"/",B19),Proventos!$D:$D,"&lt;"&amp;CONCATENATE($N$6,"/",B19),Proventos!$J:$J,"="&amp;$H$2),
$K$2=Data!$A$2,SUMIFS(Proventos!$H:$H,Proventos!$D:$D,"&gt;="&amp;CONCATENATE($M$6,"/",B19),Proventos!$D:$D,"&lt;"&amp;CONCATENATE($N$6,"/",B19)),
$K$2&lt;&gt;Data!$A$2,SUMIFS(Proventos!$H:$H,Proventos!$D:$D,"&gt;="&amp;CONCATENATE($M$6,"/",B19),Proventos!$D:$D,"&lt;"&amp;CONCATENATE($N$6,"/",B19),Proventos!$A:$A,"="&amp;$K$2))</f>
        <v>0</v>
      </c>
      <c r="N19" s="245">
        <f>IFS(
AND($H$2=Data!$A$3,$K$2=Data!$A$2),SUMIFS(Proventos!$H:$H,Proventos!$D:$D,"&gt;="&amp;CONCATENATE($N$6,"/",B19),Proventos!$D:$D,"&lt;"&amp;CONCATENATE($C$6,"/",B20),Proventos!$J:$J,"="&amp;$H$2),
AND($H$2=Data!$A$4,$K$2=Data!$A$2),SUMIFS(Proventos!$H:$H,Proventos!$D:$D,"&gt;="&amp;CONCATENATE($N$6,"/",B19),Proventos!$D:$D,"&lt;"&amp;CONCATENATE($C$6,"/",B20),Proventos!$J:$J,"="&amp;$H$2),
AND($H$2=Data!$A$5,$K$2=Data!$A$2),SUMIFS(Proventos!$H:$H,Proventos!$D:$D,"&gt;="&amp;CONCATENATE($N$6,"/",B19),Proventos!$D:$D,"&lt;"&amp;CONCATENATE($C$6,"/",B20),Proventos!$J:$J,"="&amp;$H$2),
AND($H$2=Data!$A$6,$K$2=Data!$A$2),SUMIFS(Proventos!$H:$H,Proventos!$D:$D,"&gt;="&amp;CONCATENATE($N$6,"/",B19),Proventos!$D:$D,"&lt;"&amp;CONCATENATE($C$6,"/",B20),Proventos!$J:$J,"="&amp;$H$2),
AND($H$2=Data!$A$7,$K$2=Data!$A$2),SUMIFS(Proventos!$H:$H,Proventos!$D:$D,"&gt;="&amp;CONCATENATE($N$6,"/",B19),Proventos!$D:$D,"&lt;"&amp;CONCATENATE($C$6,"/",B20),Proventos!$J:$J,"="&amp;$H$2),
AND($H$2=Data!$A$8,$K$2=Data!$A$2),SUMIFS(Proventos!$H:$H,Proventos!$D:$D,"&gt;="&amp;CONCATENATE($N$6,"/",B19),Proventos!$D:$D,"&lt;"&amp;CONCATENATE($C$6,"/",B20),Proventos!$J:$J,"="&amp;$H$2),
AND($H$2=Data!$A$9,$K$2=Data!$A$2),SUMIFS(Proventos!$H:$H,Proventos!$D:$D,"&gt;="&amp;CONCATENATE($N$6,"/",B19),Proventos!$D:$D,"&lt;"&amp;CONCATENATE($C$6,"/",B20),Proventos!$J:$J,"="&amp;$H$2),
AND($H$2=Data!$A$10,$K$2=Data!$A$2),SUMIFS(Proventos!$H:$H,Proventos!$D:$D,"&gt;="&amp;CONCATENATE($N$6,"/",B19),Proventos!$D:$D,"&lt;"&amp;CONCATENATE($C$6,"/",B20),Proventos!$J:$J,"="&amp;$H$2),
AND($H$2=Data!$A$11,$K$2=Data!$A$2),SUMIFS(Proventos!$H:$H,Proventos!$D:$D,"&gt;="&amp;CONCATENATE($N$6,"/",B19),Proventos!$D:$D,"&lt;"&amp;CONCATENATE($C$6,"/",B20),Proventos!$J:$J,"="&amp;$H$2),
$K$2=Data!$A$2,SUMIFS(Proventos!$H:$H,Proventos!$D:$D,"&gt;="&amp;CONCATENATE($N$6,"/",B19),Proventos!$D:$D,"&lt;"&amp;CONCATENATE($C$6,"/",B20)),
$K$2&lt;&gt;Data!$A$2,SUMIFS(Proventos!$H:$H,Proventos!$D:$D,"&gt;="&amp;CONCATENATE($N$6,"/",B19),Proventos!$D:$D,"&lt;"&amp;CONCATENATE($C$6,"/",B20),Proventos!$A:$A,"="&amp;$K$2))</f>
        <v>0</v>
      </c>
      <c r="O19" s="245"/>
      <c r="P19" s="245">
        <f t="shared" si="1"/>
        <v>0</v>
      </c>
      <c r="Q19" s="245">
        <f t="shared" si="2"/>
        <v>0</v>
      </c>
    </row>
    <row r="20" ht="32.25" customHeight="1">
      <c r="A20" s="246" t="str">
        <f>IFERROR(__xludf.DUMMYFUNCTION("""COMPUTED_VALUE"""),"HGRE11")</f>
        <v>HGRE11</v>
      </c>
      <c r="B20" s="244"/>
      <c r="C20" s="245">
        <f>IFS(
AND($H$2=Data!$A$3,$K$2=Data!$A$2),SUMIFS(Proventos!$H:$H,Proventos!$D:$D,"&gt;="&amp;CONCATENATE($C$6,"/",B20),Proventos!$D:$D,"&lt;"&amp;CONCATENATE($D$6,"/",B20),Proventos!$J:$J,"="&amp;$H$2),
AND($H$2=Data!$A$4,$K$2=Data!$A$2),SUMIFS(Proventos!$H:$H,Proventos!$D:$D,"&gt;="&amp;CONCATENATE($C$6,"/",B20),Proventos!$D:$D,"&lt;"&amp;CONCATENATE($D$6,"/",B20),Proventos!$J:$J,"="&amp;$H$2),
AND($H$2=Data!$A$5,$K$2=Data!$A$2),SUMIFS(Proventos!$H:$H,Proventos!$D:$D,"&gt;="&amp;CONCATENATE($C$6,"/",B20),Proventos!$D:$D,"&lt;"&amp;CONCATENATE($D$6,"/",B20),Proventos!$J:$J,"="&amp;$H$2),
AND($H$2=Data!$A$6,$K$2=Data!$A$2),SUMIFS(Proventos!$H:$H,Proventos!$D:$D,"&gt;="&amp;CONCATENATE($C$6,"/",B20),Proventos!$D:$D,"&lt;"&amp;CONCATENATE($D$6,"/",B20),Proventos!$J:$J,"="&amp;$H$2),
AND($H$2=Data!$A$7,$K$2=Data!$A$2),SUMIFS(Proventos!$H:$H,Proventos!$D:$D,"&gt;="&amp;CONCATENATE($C$6,"/",B20),Proventos!$D:$D,"&lt;"&amp;CONCATENATE($D$6,"/",B20),Proventos!$J:$J,"="&amp;$H$2),
AND($H$2=Data!$A$8,$K$2=Data!$A$2),SUMIFS(Proventos!$H:$H,Proventos!$D:$D,"&gt;="&amp;CONCATENATE($C$6,"/",B20),Proventos!$D:$D,"&lt;"&amp;CONCATENATE($D$6,"/",B20),Proventos!$J:$J,"="&amp;$H$2),
AND($H$2=Data!$A$9,$K$2=Data!$A$2),SUMIFS(Proventos!$H:$H,Proventos!$D:$D,"&gt;="&amp;CONCATENATE($C$6,"/",B20),Proventos!$D:$D,"&lt;"&amp;CONCATENATE($D$6,"/",B20),Proventos!$J:$J,"="&amp;$H$2),
AND($H$2=Data!$A$10,$K$2=Data!$A$2),SUMIFS(Proventos!$H:$H,Proventos!$D:$D,"&gt;="&amp;CONCATENATE($C$6,"/",B20),Proventos!$D:$D,"&lt;"&amp;CONCATENATE($D$6,"/",B20),Proventos!$J:$J,"="&amp;$H$2),
AND($H$2=Data!$A$11,$K$2=Data!$A$2),SUMIFS(Proventos!$H:$H,Proventos!$D:$D,"&gt;="&amp;CONCATENATE($C$6,"/",B20),Proventos!$D:$D,"&lt;"&amp;CONCATENATE($D$6,"/",B20),Proventos!$J:$J,"="&amp;$H$2),
$K$2=Data!$A$2,SUMIFS(Proventos!$H:$H,Proventos!$D:$D,"&gt;="&amp;CONCATENATE($C$6,"/",B20),Proventos!$D:$D,"&lt;"&amp;CONCATENATE($D$6,"/",B20)),
$K$2&lt;&gt;Data!$A$2,SUMIFS(Proventos!$H:$H,Proventos!$D:$D,"&gt;="&amp;CONCATENATE($C$6,"/",B20),Proventos!$D:$D,"&lt;"&amp;CONCATENATE($D$6,"/",B20),Proventos!$A:$A,"="&amp;$K$2))</f>
        <v>0</v>
      </c>
      <c r="D20" s="245">
        <f>IFS(
AND($H$2=Data!$A$3,$K$2=Data!$A$2),SUMIFS(Proventos!$H:$H,Proventos!$D:$D,"&gt;="&amp;CONCATENATE($D$6,"/",B20),Proventos!$D:$D,"&lt;"&amp;CONCATENATE($E$6,"/",B20),Proventos!$J:$J,"="&amp;$H$2),
AND($H$2=Data!$A$4,$K$2=Data!$A$2),SUMIFS(Proventos!$H:$H,Proventos!$D:$D,"&gt;="&amp;CONCATENATE($D$6,"/",B20),Proventos!$D:$D,"&lt;"&amp;CONCATENATE($E$6,"/",B20),Proventos!$J:$J,"="&amp;$H$2),
AND($H$2=Data!$A$5,$K$2=Data!$A$2),SUMIFS(Proventos!$H:$H,Proventos!$D:$D,"&gt;="&amp;CONCATENATE($D$6,"/",B20),Proventos!$D:$D,"&lt;"&amp;CONCATENATE($E$6,"/",B20),Proventos!$J:$J,"="&amp;$H$2),
AND($H$2=Data!$A$6,$K$2=Data!$A$2),SUMIFS(Proventos!$H:$H,Proventos!$D:$D,"&gt;="&amp;CONCATENATE($D$6,"/",B20),Proventos!$D:$D,"&lt;"&amp;CONCATENATE($E$6,"/",B20),Proventos!$J:$J,"="&amp;$H$2),
AND($H$2=Data!$A$7,$K$2=Data!$A$2),SUMIFS(Proventos!$H:$H,Proventos!$D:$D,"&gt;="&amp;CONCATENATE($D$6,"/",B20),Proventos!$D:$D,"&lt;"&amp;CONCATENATE($E$6,"/",B20),Proventos!$J:$J,"="&amp;$H$2),
AND($H$2=Data!$A$8,$K$2=Data!$A$2),SUMIFS(Proventos!$H:$H,Proventos!$D:$D,"&gt;="&amp;CONCATENATE($D$6,"/",B20),Proventos!$D:$D,"&lt;"&amp;CONCATENATE($E$6,"/",B20),Proventos!$J:$J,"="&amp;$H$2),
AND($H$2=Data!$A$9,$K$2=Data!$A$2),SUMIFS(Proventos!$H:$H,Proventos!$D:$D,"&gt;="&amp;CONCATENATE($D$6,"/",B20),Proventos!$D:$D,"&lt;"&amp;CONCATENATE($E$6,"/",B20),Proventos!$J:$J,"="&amp;$H$2),
AND($H$2=Data!$A$10,$K$2=Data!$A$2),SUMIFS(Proventos!$H:$H,Proventos!$D:$D,"&gt;="&amp;CONCATENATE($D$6,"/",B20),Proventos!$D:$D,"&lt;"&amp;CONCATENATE($E$6,"/",B20),Proventos!$J:$J,"="&amp;$H$2),
AND($H$2=Data!$A$11,$K$2=Data!$A$2),SUMIFS(Proventos!$H:$H,Proventos!$D:$D,"&gt;="&amp;CONCATENATE($D$6,"/",B20),Proventos!$D:$D,"&lt;"&amp;CONCATENATE($E$6,"/",B20),Proventos!$J:$J,"="&amp;$H$2),
$K$2=Data!$A$2,SUMIFS(Proventos!$H:$H,Proventos!$D:$D,"&gt;="&amp;CONCATENATE($D$6,"/",B20),Proventos!$D:$D,"&lt;"&amp;CONCATENATE($E$6,"/",B20)),
$K$2&lt;&gt;Data!$A$2,SUMIFS(Proventos!$H:$H,Proventos!$D:$D,"&gt;="&amp;CONCATENATE($D$6,"/",B20),Proventos!$D:$D,"&lt;"&amp;CONCATENATE($E$6,"/",B20),Proventos!$A:$A,"="&amp;$K$2))</f>
        <v>0</v>
      </c>
      <c r="E20" s="245">
        <f>IFS(
AND($H$2=Data!$A$3,$K$2=Data!$A$2),SUMIFS(Proventos!$H:$H,Proventos!$D:$D,"&gt;="&amp;CONCATENATE($E$6,"/",B20),Proventos!$D:$D,"&lt;"&amp;CONCATENATE($F$6,"/",B20),Proventos!$J:$J,"="&amp;$H$2),
AND($H$2=Data!$A$4,$K$2=Data!$A$2),SUMIFS(Proventos!$H:$H,Proventos!$D:$D,"&gt;="&amp;CONCATENATE($E$6,"/",B20),Proventos!$D:$D,"&lt;"&amp;CONCATENATE($F$6,"/",B20),Proventos!$J:$J,"="&amp;$H$2),
AND($H$2=Data!$A$5,$K$2=Data!$A$2),SUMIFS(Proventos!$H:$H,Proventos!$D:$D,"&gt;="&amp;CONCATENATE($E$6,"/",B20),Proventos!$D:$D,"&lt;"&amp;CONCATENATE($F$6,"/",B20),Proventos!$J:$J,"="&amp;$H$2),
AND($H$2=Data!$A$6,$K$2=Data!$A$2),SUMIFS(Proventos!$H:$H,Proventos!$D:$D,"&gt;="&amp;CONCATENATE($E$6,"/",B20),Proventos!$D:$D,"&lt;"&amp;CONCATENATE($F$6,"/",B20),Proventos!$J:$J,"="&amp;$H$2),
AND($H$2=Data!$A$7,$K$2=Data!$A$2),SUMIFS(Proventos!$H:$H,Proventos!$D:$D,"&gt;="&amp;CONCATENATE($E$6,"/",B20),Proventos!$D:$D,"&lt;"&amp;CONCATENATE($F$6,"/",B20),Proventos!$J:$J,"="&amp;$H$2),
AND($H$2=Data!$A$8,$K$2=Data!$A$2),SUMIFS(Proventos!$H:$H,Proventos!$D:$D,"&gt;="&amp;CONCATENATE($E$6,"/",B20),Proventos!$D:$D,"&lt;"&amp;CONCATENATE($F$6,"/",B20),Proventos!$J:$J,"="&amp;$H$2),
AND($H$2=Data!$A$9,$K$2=Data!$A$2),SUMIFS(Proventos!$H:$H,Proventos!$D:$D,"&gt;="&amp;CONCATENATE($E$6,"/",B20),Proventos!$D:$D,"&lt;"&amp;CONCATENATE($F$6,"/",B20),Proventos!$J:$J,"="&amp;$H$2),
AND($H$2=Data!$A$10,$K$2=Data!$A$2),SUMIFS(Proventos!$H:$H,Proventos!$D:$D,"&gt;="&amp;CONCATENATE($E$6,"/",B20),Proventos!$D:$D,"&lt;"&amp;CONCATENATE($F$6,"/",B20),Proventos!$J:$J,"="&amp;$H$2),
AND($H$2=Data!$A$11,$K$2=Data!$A$2),SUMIFS(Proventos!$H:$H,Proventos!$D:$D,"&gt;="&amp;CONCATENATE($E$6,"/",B20),Proventos!$D:$D,"&lt;"&amp;CONCATENATE($F$6,"/",B20),Proventos!$J:$J,"="&amp;$H$2),
$K$2=Data!$A$2,SUMIFS(Proventos!$H:$H,Proventos!$D:$D,"&gt;="&amp;CONCATENATE($E$6,"/",B20),Proventos!$D:$D,"&lt;"&amp;CONCATENATE($F$6,"/",B20)),
$K$2&lt;&gt;Data!$A$2,SUMIFS(Proventos!$H:$H,Proventos!$D:$D,"&gt;="&amp;CONCATENATE($E$6,"/",B20),Proventos!$D:$D,"&lt;"&amp;CONCATENATE($F$6,"/",B20),Proventos!$A:$A,"="&amp;$K$2))</f>
        <v>0</v>
      </c>
      <c r="F20" s="245">
        <f>IFS(
AND($H$2=Data!$A$3,$K$2=Data!$A$2),SUMIFS(Proventos!$H:$H,Proventos!$D:$D,"&gt;="&amp;CONCATENATE($F$6,"/",B20),Proventos!$D:$D,"&lt;"&amp;CONCATENATE($G$6,"/",B20),Proventos!$J:$J,"="&amp;$H$2),
AND($H$2=Data!$A$4,$K$2=Data!$A$2),SUMIFS(Proventos!$H:$H,Proventos!$D:$D,"&gt;="&amp;CONCATENATE($F$6,"/",B20),Proventos!$D:$D,"&lt;"&amp;CONCATENATE($G$6,"/",B20),Proventos!$J:$J,"="&amp;$H$2),
AND($H$2=Data!$A$5,$K$2=Data!$A$2),SUMIFS(Proventos!$H:$H,Proventos!$D:$D,"&gt;="&amp;CONCATENATE($F$6,"/",B20),Proventos!$D:$D,"&lt;"&amp;CONCATENATE($G$6,"/",B20),Proventos!$J:$J,"="&amp;$H$2),
AND($H$2=Data!$A$6,$K$2=Data!$A$2),SUMIFS(Proventos!$H:$H,Proventos!$D:$D,"&gt;="&amp;CONCATENATE($F$6,"/",B20),Proventos!$D:$D,"&lt;"&amp;CONCATENATE($G$6,"/",B20),Proventos!$J:$J,"="&amp;$H$2),
AND($H$2=Data!$A$7,$K$2=Data!$A$2),SUMIFS(Proventos!$H:$H,Proventos!$D:$D,"&gt;="&amp;CONCATENATE($F$6,"/",B20),Proventos!$D:$D,"&lt;"&amp;CONCATENATE($G$6,"/",B20),Proventos!$J:$J,"="&amp;$H$2),
AND($H$2=Data!$A$8,$K$2=Data!$A$2),SUMIFS(Proventos!$H:$H,Proventos!$D:$D,"&gt;="&amp;CONCATENATE($F$6,"/",B20),Proventos!$D:$D,"&lt;"&amp;CONCATENATE($G$6,"/",B20),Proventos!$J:$J,"="&amp;$H$2),
AND($H$2=Data!$A$9,$K$2=Data!$A$2),SUMIFS(Proventos!$H:$H,Proventos!$D:$D,"&gt;="&amp;CONCATENATE($F$6,"/",B20),Proventos!$D:$D,"&lt;"&amp;CONCATENATE($G$6,"/",B20),Proventos!$J:$J,"="&amp;$H$2),
AND($H$2=Data!$A$10,$K$2=Data!$A$2),SUMIFS(Proventos!$H:$H,Proventos!$D:$D,"&gt;="&amp;CONCATENATE($F$6,"/",B20),Proventos!$D:$D,"&lt;"&amp;CONCATENATE($G$6,"/",B20),Proventos!$J:$J,"="&amp;$H$2),
AND($H$2=Data!$A$11,$K$2=Data!$A$2),SUMIFS(Proventos!$H:$H,Proventos!$D:$D,"&gt;="&amp;CONCATENATE($F$6,"/",B20),Proventos!$D:$D,"&lt;"&amp;CONCATENATE($G$6,"/",B20),Proventos!$J:$J,"="&amp;$H$2),
$K$2=Data!$A$2,SUMIFS(Proventos!$H:$H,Proventos!$D:$D,"&gt;="&amp;CONCATENATE($F$6,"/",B20),Proventos!$D:$D,"&lt;"&amp;CONCATENATE($G$6,"/",B20)),
$K$2&lt;&gt;Data!$A$2,SUMIFS(Proventos!$H:$H,Proventos!$D:$D,"&gt;="&amp;CONCATENATE($F$6,"/",B20),Proventos!$D:$D,"&lt;"&amp;CONCATENATE($G$6,"/",B20),Proventos!$A:$A,"="&amp;$K$2))</f>
        <v>0</v>
      </c>
      <c r="G20" s="245">
        <f>IFS(
AND($H$2=Data!$A$3,$K$2=Data!$A$2),SUMIFS(Proventos!$H:$H,Proventos!$D:$D,"&gt;="&amp;CONCATENATE($G$6,"/",B20),Proventos!$D:$D,"&lt;"&amp;CONCATENATE($H$6,"/",B20),Proventos!$J:$J,"="&amp;$H$2),
AND($H$2=Data!$A$4,$K$2=Data!$A$2),SUMIFS(Proventos!$H:$H,Proventos!$D:$D,"&gt;="&amp;CONCATENATE($G$6,"/",B20),Proventos!$D:$D,"&lt;"&amp;CONCATENATE($H$6,"/",B20),Proventos!$J:$J,"="&amp;$H$2),
AND($H$2=Data!$A$5,$K$2=Data!$A$2),SUMIFS(Proventos!$H:$H,Proventos!$D:$D,"&gt;="&amp;CONCATENATE($G$6,"/",B20),Proventos!$D:$D,"&lt;"&amp;CONCATENATE($H$6,"/",B20),Proventos!$J:$J,"="&amp;$H$2),
AND($H$2=Data!$A$6,$K$2=Data!$A$2),SUMIFS(Proventos!$H:$H,Proventos!$D:$D,"&gt;="&amp;CONCATENATE($G$6,"/",B20),Proventos!$D:$D,"&lt;"&amp;CONCATENATE($H$6,"/",B20),Proventos!$J:$J,"="&amp;$H$2),
AND($H$2=Data!$A$7,$K$2=Data!$A$2),SUMIFS(Proventos!$H:$H,Proventos!$D:$D,"&gt;="&amp;CONCATENATE($G$6,"/",B20),Proventos!$D:$D,"&lt;"&amp;CONCATENATE($H$6,"/",B20),Proventos!$J:$J,"="&amp;$H$2),
AND($H$2=Data!$A$8,$K$2=Data!$A$2),SUMIFS(Proventos!$H:$H,Proventos!$D:$D,"&gt;="&amp;CONCATENATE($G$6,"/",B20),Proventos!$D:$D,"&lt;"&amp;CONCATENATE($H$6,"/",B20),Proventos!$J:$J,"="&amp;$H$2),
AND($H$2=Data!$A$9,$K$2=Data!$A$2),SUMIFS(Proventos!$H:$H,Proventos!$D:$D,"&gt;="&amp;CONCATENATE($G$6,"/",B20),Proventos!$D:$D,"&lt;"&amp;CONCATENATE($H$6,"/",B20),Proventos!$J:$J,"="&amp;$H$2),
AND($H$2=Data!$A$10,$K$2=Data!$A$2),SUMIFS(Proventos!$H:$H,Proventos!$D:$D,"&gt;="&amp;CONCATENATE($G$6,"/",B20),Proventos!$D:$D,"&lt;"&amp;CONCATENATE($H$6,"/",B20),Proventos!$J:$J,"="&amp;$H$2),
AND($H$2=Data!$A$11,$K$2=Data!$A$2),SUMIFS(Proventos!$H:$H,Proventos!$D:$D,"&gt;="&amp;CONCATENATE($G$6,"/",B20),Proventos!$D:$D,"&lt;"&amp;CONCATENATE($H$6,"/",B20),Proventos!$J:$J,"="&amp;$H$2),
$K$2=Data!$A$2,SUMIFS(Proventos!$H:$H,Proventos!$D:$D,"&gt;="&amp;CONCATENATE($G$6,"/",B20),Proventos!$D:$D,"&lt;"&amp;CONCATENATE($H$6,"/",B20)),
$K$2&lt;&gt;Data!$A$2,SUMIFS(Proventos!$H:$H,Proventos!$D:$D,"&gt;="&amp;CONCATENATE($G$6,"/",B20),Proventos!$D:$D,"&lt;"&amp;CONCATENATE($H$6,"/",B20),Proventos!$A:$A,"="&amp;$K$2))</f>
        <v>0</v>
      </c>
      <c r="H20" s="245">
        <f>IFS(
AND($H$2=Data!$A$3,$K$2=Data!$A$2),SUMIFS(Proventos!$H:$H,Proventos!$D:$D,"&gt;="&amp;CONCATENATE($H$6,"/",B20),Proventos!$D:$D,"&lt;"&amp;CONCATENATE($I$6,"/",B20),Proventos!$J:$J,"="&amp;$H$2),
AND($H$2=Data!$A$4,$K$2=Data!$A$2),SUMIFS(Proventos!$H:$H,Proventos!$D:$D,"&gt;="&amp;CONCATENATE($H$6,"/",B20),Proventos!$D:$D,"&lt;"&amp;CONCATENATE($I$6,"/",B20),Proventos!$J:$J,"="&amp;$H$2),
AND($H$2=Data!$A$5,$K$2=Data!$A$2),SUMIFS(Proventos!$H:$H,Proventos!$D:$D,"&gt;="&amp;CONCATENATE($H$6,"/",B20),Proventos!$D:$D,"&lt;"&amp;CONCATENATE($I$6,"/",B20),Proventos!$J:$J,"="&amp;$H$2),
AND($H$2=Data!$A$6,$K$2=Data!$A$2),SUMIFS(Proventos!$H:$H,Proventos!$D:$D,"&gt;="&amp;CONCATENATE($H$6,"/",B20),Proventos!$D:$D,"&lt;"&amp;CONCATENATE($I$6,"/",B20),Proventos!$J:$J,"="&amp;$H$2),
AND($H$2=Data!$A$7,$K$2=Data!$A$2),SUMIFS(Proventos!$H:$H,Proventos!$D:$D,"&gt;="&amp;CONCATENATE($H$6,"/",B20),Proventos!$D:$D,"&lt;"&amp;CONCATENATE($I$6,"/",B20),Proventos!$J:$J,"="&amp;$H$2),
AND($H$2=Data!$A$8,$K$2=Data!$A$2),SUMIFS(Proventos!$H:$H,Proventos!$D:$D,"&gt;="&amp;CONCATENATE($H$6,"/",B20),Proventos!$D:$D,"&lt;"&amp;CONCATENATE($I$6,"/",B20),Proventos!$J:$J,"="&amp;$H$2),
AND($H$2=Data!$A$9,$K$2=Data!$A$2),SUMIFS(Proventos!$H:$H,Proventos!$D:$D,"&gt;="&amp;CONCATENATE($H$6,"/",B20),Proventos!$D:$D,"&lt;"&amp;CONCATENATE($I$6,"/",B20),Proventos!$J:$J,"="&amp;$H$2),
AND($H$2=Data!$A$10,$K$2=Data!$A$2),SUMIFS(Proventos!$H:$H,Proventos!$D:$D,"&gt;="&amp;CONCATENATE($H$6,"/",B20),Proventos!$D:$D,"&lt;"&amp;CONCATENATE($I$6,"/",B20),Proventos!$J:$J,"="&amp;$H$2),
AND($H$2=Data!$A$11,$K$2=Data!$A$2),SUMIFS(Proventos!$H:$H,Proventos!$D:$D,"&gt;="&amp;CONCATENATE($H$6,"/",B20),Proventos!$D:$D,"&lt;"&amp;CONCATENATE($I$6,"/",B20),Proventos!$J:$J,"="&amp;$H$2),
$K$2=Data!$A$2,SUMIFS(Proventos!$H:$H,Proventos!$D:$D,"&gt;="&amp;CONCATENATE($H$6,"/",B20),Proventos!$D:$D,"&lt;"&amp;CONCATENATE($I$6,"/",B20)),
$K$2&lt;&gt;Data!$A$2,SUMIFS(Proventos!$H:$H,Proventos!$D:$D,"&gt;="&amp;CONCATENATE($H$6,"/",B20),Proventos!$D:$D,"&lt;"&amp;CONCATENATE($I$6,"/",B20),Proventos!$A:$A,"="&amp;$K$2))</f>
        <v>0</v>
      </c>
      <c r="I20" s="245">
        <f>IFS(
AND($H$2=Data!$A$3,$K$2=Data!$A$2),SUMIFS(Proventos!$H:$H,Proventos!$D:$D,"&gt;="&amp;CONCATENATE($I$6,"/",B20),Proventos!$D:$D,"&lt;"&amp;CONCATENATE($J$6,"/",B20),Proventos!$J:$J,"="&amp;$H$2),
AND($H$2=Data!$A$4,$K$2=Data!$A$2),SUMIFS(Proventos!$H:$H,Proventos!$D:$D,"&gt;="&amp;CONCATENATE($I$6,"/",B20),Proventos!$D:$D,"&lt;"&amp;CONCATENATE($J$6,"/",B20),Proventos!$J:$J,"="&amp;$H$2),
AND($H$2=Data!$A$5,$K$2=Data!$A$2),SUMIFS(Proventos!$H:$H,Proventos!$D:$D,"&gt;="&amp;CONCATENATE($I$6,"/",B20),Proventos!$D:$D,"&lt;"&amp;CONCATENATE($J$6,"/",B20),Proventos!$J:$J,"="&amp;$H$2),
AND($H$2=Data!$A$6,$K$2=Data!$A$2),SUMIFS(Proventos!$H:$H,Proventos!$D:$D,"&gt;="&amp;CONCATENATE($I$6,"/",B20),Proventos!$D:$D,"&lt;"&amp;CONCATENATE($J$6,"/",B20),Proventos!$J:$J,"="&amp;$H$2),
AND($H$2=Data!$A$7,$K$2=Data!$A$2),SUMIFS(Proventos!$H:$H,Proventos!$D:$D,"&gt;="&amp;CONCATENATE($I$6,"/",B20),Proventos!$D:$D,"&lt;"&amp;CONCATENATE($J$6,"/",B20),Proventos!$J:$J,"="&amp;$H$2),
AND($H$2=Data!$A$8,$K$2=Data!$A$2),SUMIFS(Proventos!$H:$H,Proventos!$D:$D,"&gt;="&amp;CONCATENATE($I$6,"/",B20),Proventos!$D:$D,"&lt;"&amp;CONCATENATE($J$6,"/",B20),Proventos!$J:$J,"="&amp;$H$2),
AND($H$2=Data!$A$9,$K$2=Data!$A$2),SUMIFS(Proventos!$H:$H,Proventos!$D:$D,"&gt;="&amp;CONCATENATE($I$6,"/",B20),Proventos!$D:$D,"&lt;"&amp;CONCATENATE($J$6,"/",B20),Proventos!$J:$J,"="&amp;$H$2),
AND($H$2=Data!$A$10,$K$2=Data!$A$2),SUMIFS(Proventos!$H:$H,Proventos!$D:$D,"&gt;="&amp;CONCATENATE($I$6,"/",B20),Proventos!$D:$D,"&lt;"&amp;CONCATENATE($J$6,"/",B20),Proventos!$J:$J,"="&amp;$H$2),
AND($H$2=Data!$A$11,$K$2=Data!$A$2),SUMIFS(Proventos!$H:$H,Proventos!$D:$D,"&gt;="&amp;CONCATENATE($I$6,"/",B20),Proventos!$D:$D,"&lt;"&amp;CONCATENATE($J$6,"/",B20),Proventos!$J:$J,"="&amp;$H$2),
$K$2=Data!$A$2,SUMIFS(Proventos!$H:$H,Proventos!$D:$D,"&gt;="&amp;CONCATENATE($I$6,"/",B20),Proventos!$D:$D,"&lt;"&amp;CONCATENATE($J$6,"/",B20)),
$K$2&lt;&gt;Data!$A$2,SUMIFS(Proventos!$H:$H,Proventos!$D:$D,"&gt;="&amp;CONCATENATE($I$6,"/",B20),Proventos!$D:$D,"&lt;"&amp;CONCATENATE($J$6,"/",B20),Proventos!$A:$A,"="&amp;$K$2))</f>
        <v>0</v>
      </c>
      <c r="J20" s="245">
        <f>IFS(
AND($H$2=Data!$A$3,$K$2=Data!$A$2),SUMIFS(Proventos!$H:$H,Proventos!$D:$D,"&gt;="&amp;CONCATENATE($J$6,"/",B20),Proventos!$D:$D,"&lt;"&amp;CONCATENATE($K$6,"/",B20),Proventos!$J:$J,"="&amp;$H$2),
AND($H$2=Data!$A$4,$K$2=Data!$A$2),SUMIFS(Proventos!$H:$H,Proventos!$D:$D,"&gt;="&amp;CONCATENATE($J$6,"/",B20),Proventos!$D:$D,"&lt;"&amp;CONCATENATE($K$6,"/",B20),Proventos!$J:$J,"="&amp;$H$2),
AND($H$2=Data!$A$5,$K$2=Data!$A$2),SUMIFS(Proventos!$H:$H,Proventos!$D:$D,"&gt;="&amp;CONCATENATE($J$6,"/",B20),Proventos!$D:$D,"&lt;"&amp;CONCATENATE($K$6,"/",B20),Proventos!$J:$J,"="&amp;$H$2),
AND($H$2=Data!$A$6,$K$2=Data!$A$2),SUMIFS(Proventos!$H:$H,Proventos!$D:$D,"&gt;="&amp;CONCATENATE($J$6,"/",B20),Proventos!$D:$D,"&lt;"&amp;CONCATENATE($K$6,"/",B20),Proventos!$J:$J,"="&amp;$H$2),
AND($H$2=Data!$A$7,$K$2=Data!$A$2),SUMIFS(Proventos!$H:$H,Proventos!$D:$D,"&gt;="&amp;CONCATENATE($J$6,"/",B20),Proventos!$D:$D,"&lt;"&amp;CONCATENATE($K$6,"/",B20),Proventos!$J:$J,"="&amp;$H$2),
AND($H$2=Data!$A$8,$K$2=Data!$A$2),SUMIFS(Proventos!$H:$H,Proventos!$D:$D,"&gt;="&amp;CONCATENATE($J$6,"/",B20),Proventos!$D:$D,"&lt;"&amp;CONCATENATE($K$6,"/",B20),Proventos!$J:$J,"="&amp;$H$2),
AND($H$2=Data!$A$9,$K$2=Data!$A$2),SUMIFS(Proventos!$H:$H,Proventos!$D:$D,"&gt;="&amp;CONCATENATE($J$6,"/",B20),Proventos!$D:$D,"&lt;"&amp;CONCATENATE($K$6,"/",B20),Proventos!$J:$J,"="&amp;$H$2),
AND($H$2=Data!$A$10,$K$2=Data!$A$2),SUMIFS(Proventos!$H:$H,Proventos!$D:$D,"&gt;="&amp;CONCATENATE($J$6,"/",B20),Proventos!$D:$D,"&lt;"&amp;CONCATENATE($K$6,"/",B20),Proventos!$J:$J,"="&amp;$H$2),
AND($H$2=Data!$A$11,$K$2=Data!$A$2),SUMIFS(Proventos!$H:$H,Proventos!$D:$D,"&gt;="&amp;CONCATENATE($J$6,"/",B20),Proventos!$D:$D,"&lt;"&amp;CONCATENATE($K$6,"/",B20),Proventos!$J:$J,"="&amp;$H$2),
$K$2=Data!$A$2,SUMIFS(Proventos!$H:$H,Proventos!$D:$D,"&gt;="&amp;CONCATENATE($J$6,"/",B20),Proventos!$D:$D,"&lt;"&amp;CONCATENATE($K$6,"/",B20)),
$K$2&lt;&gt;Data!$A$2,SUMIFS(Proventos!$H:$H,Proventos!$D:$D,"&gt;="&amp;CONCATENATE($J$6,"/",B20),Proventos!$D:$D,"&lt;"&amp;CONCATENATE($K$6,"/",B20),Proventos!$A:$A,"="&amp;$K$2))</f>
        <v>0</v>
      </c>
      <c r="K20" s="245">
        <f>IFS(
AND($H$2=Data!$A$3,$K$2=Data!$A$2),SUMIFS(Proventos!$H:$H,Proventos!$D:$D,"&gt;="&amp;CONCATENATE($K$6,"/",B20),Proventos!$D:$D,"&lt;"&amp;CONCATENATE($L$6,"/",B20),Proventos!$J:$J,"="&amp;$H$2),
AND($H$2=Data!$A$4,$K$2=Data!$A$2),SUMIFS(Proventos!$H:$H,Proventos!$D:$D,"&gt;="&amp;CONCATENATE($K$6,"/",B20),Proventos!$D:$D,"&lt;"&amp;CONCATENATE($L$6,"/",B20),Proventos!$J:$J,"="&amp;$H$2),
AND($H$2=Data!$A$5,$K$2=Data!$A$2),SUMIFS(Proventos!$H:$H,Proventos!$D:$D,"&gt;="&amp;CONCATENATE($K$6,"/",B20),Proventos!$D:$D,"&lt;"&amp;CONCATENATE($L$6,"/",B20),Proventos!$J:$J,"="&amp;$H$2),
AND($H$2=Data!$A$6,$K$2=Data!$A$2),SUMIFS(Proventos!$H:$H,Proventos!$D:$D,"&gt;="&amp;CONCATENATE($K$6,"/",B20),Proventos!$D:$D,"&lt;"&amp;CONCATENATE($L$6,"/",B20),Proventos!$J:$J,"="&amp;$H$2),
AND($H$2=Data!$A$7,$K$2=Data!$A$2),SUMIFS(Proventos!$H:$H,Proventos!$D:$D,"&gt;="&amp;CONCATENATE($K$6,"/",B20),Proventos!$D:$D,"&lt;"&amp;CONCATENATE($L$6,"/",B20),Proventos!$J:$J,"="&amp;$H$2),
AND($H$2=Data!$A$8,$K$2=Data!$A$2),SUMIFS(Proventos!$H:$H,Proventos!$D:$D,"&gt;="&amp;CONCATENATE($K$6,"/",B20),Proventos!$D:$D,"&lt;"&amp;CONCATENATE($L$6,"/",B20),Proventos!$J:$J,"="&amp;$H$2),
AND($H$2=Data!$A$9,$K$2=Data!$A$2),SUMIFS(Proventos!$H:$H,Proventos!$D:$D,"&gt;="&amp;CONCATENATE($K$6,"/",B20),Proventos!$D:$D,"&lt;"&amp;CONCATENATE($L$6,"/",B20),Proventos!$J:$J,"="&amp;$H$2),
AND($H$2=Data!$A$10,$K$2=Data!$A$2),SUMIFS(Proventos!$H:$H,Proventos!$D:$D,"&gt;="&amp;CONCATENATE($K$6,"/",B20),Proventos!$D:$D,"&lt;"&amp;CONCATENATE($L$6,"/",B20),Proventos!$J:$J,"="&amp;$H$2),
AND($H$2=Data!$A$11,$K$2=Data!$A$2),SUMIFS(Proventos!$H:$H,Proventos!$D:$D,"&gt;="&amp;CONCATENATE($K$6,"/",B20),Proventos!$D:$D,"&lt;"&amp;CONCATENATE($L$6,"/",B20),Proventos!$J:$J,"="&amp;$H$2),
$K$2=Data!$A$2,SUMIFS(Proventos!$H:$H,Proventos!$D:$D,"&gt;="&amp;CONCATENATE($K$6,"/",B20),Proventos!$D:$D,"&lt;"&amp;CONCATENATE($L$6,"/",B20)),
$K$2&lt;&gt;Data!$A$2,SUMIFS(Proventos!$H:$H,Proventos!$D:$D,"&gt;="&amp;CONCATENATE($K$6,"/",B20),Proventos!$D:$D,"&lt;"&amp;CONCATENATE($L$6,"/",B20),Proventos!$A:$A,"="&amp;$K$2))</f>
        <v>0</v>
      </c>
      <c r="L20" s="245">
        <f>IFS(
AND($H$2=Data!$A$3,$K$2=Data!$A$2),SUMIFS(Proventos!$H:$H,Proventos!$D:$D,"&gt;="&amp;CONCATENATE($L$6,"/",B20),Proventos!$D:$D,"&lt;"&amp;CONCATENATE($M$6,"/",B20),Proventos!$J:$J,"="&amp;$H$2),
AND($H$2=Data!$A$4,$K$2=Data!$A$2),SUMIFS(Proventos!$H:$H,Proventos!$D:$D,"&gt;="&amp;CONCATENATE($L$6,"/",B20),Proventos!$D:$D,"&lt;"&amp;CONCATENATE($M$6,"/",B20),Proventos!$J:$J,"="&amp;$H$2),
AND($H$2=Data!$A$5,$K$2=Data!$A$2),SUMIFS(Proventos!$H:$H,Proventos!$D:$D,"&gt;="&amp;CONCATENATE($L$6,"/",B20),Proventos!$D:$D,"&lt;"&amp;CONCATENATE($M$6,"/",B20),Proventos!$J:$J,"="&amp;$H$2),
AND($H$2=Data!$A$6,$K$2=Data!$A$2),SUMIFS(Proventos!$H:$H,Proventos!$D:$D,"&gt;="&amp;CONCATENATE($L$6,"/",B20),Proventos!$D:$D,"&lt;"&amp;CONCATENATE($M$6,"/",B20),Proventos!$J:$J,"="&amp;$H$2),
AND($H$2=Data!$A$7,$K$2=Data!$A$2),SUMIFS(Proventos!$H:$H,Proventos!$D:$D,"&gt;="&amp;CONCATENATE($L$6,"/",B20),Proventos!$D:$D,"&lt;"&amp;CONCATENATE($M$6,"/",B20),Proventos!$J:$J,"="&amp;$H$2),
AND($H$2=Data!$A$8,$K$2=Data!$A$2),SUMIFS(Proventos!$H:$H,Proventos!$D:$D,"&gt;="&amp;CONCATENATE($L$6,"/",B20),Proventos!$D:$D,"&lt;"&amp;CONCATENATE($M$6,"/",B20),Proventos!$J:$J,"="&amp;$H$2),
AND($H$2=Data!$A$9,$K$2=Data!$A$2),SUMIFS(Proventos!$H:$H,Proventos!$D:$D,"&gt;="&amp;CONCATENATE($L$6,"/",B20),Proventos!$D:$D,"&lt;"&amp;CONCATENATE($M$6,"/",B20),Proventos!$J:$J,"="&amp;$H$2),
AND($H$2=Data!$A$10,$K$2=Data!$A$2),SUMIFS(Proventos!$H:$H,Proventos!$D:$D,"&gt;="&amp;CONCATENATE($L$6,"/",B20),Proventos!$D:$D,"&lt;"&amp;CONCATENATE($M$6,"/",B20),Proventos!$J:$J,"="&amp;$H$2),
AND($H$2=Data!$A$11,$K$2=Data!$A$2),SUMIFS(Proventos!$H:$H,Proventos!$D:$D,"&gt;="&amp;CONCATENATE($L$6,"/",B20),Proventos!$D:$D,"&lt;"&amp;CONCATENATE($M$6,"/",B20),Proventos!$J:$J,"="&amp;$H$2),
$K$2=Data!$A$2,SUMIFS(Proventos!$H:$H,Proventos!$D:$D,"&gt;="&amp;CONCATENATE($L$6,"/",B20),Proventos!$D:$D,"&lt;"&amp;CONCATENATE($M$6,"/",B20)),
$K$2&lt;&gt;Data!$A$2,SUMIFS(Proventos!$H:$H,Proventos!$D:$D,"&gt;="&amp;CONCATENATE($L$6,"/",B20),Proventos!$D:$D,"&lt;"&amp;CONCATENATE($M$6,"/",B20),Proventos!$A:$A,"="&amp;$K$2))</f>
        <v>0</v>
      </c>
      <c r="M20" s="245">
        <f>IFS(
AND($H$2=Data!$A$3,$K$2=Data!$A$2),SUMIFS(Proventos!$H:$H,Proventos!$D:$D,"&gt;="&amp;CONCATENATE($M$6,"/",B20),Proventos!$D:$D,"&lt;"&amp;CONCATENATE($N$6,"/",B20),Proventos!$J:$J,"="&amp;$H$2),
AND($H$2=Data!$A$4,$K$2=Data!$A$2),SUMIFS(Proventos!$H:$H,Proventos!$D:$D,"&gt;="&amp;CONCATENATE($M$6,"/",B20),Proventos!$D:$D,"&lt;"&amp;CONCATENATE($N$6,"/",B20),Proventos!$J:$J,"="&amp;$H$2),
AND($H$2=Data!$A$5,$K$2=Data!$A$2),SUMIFS(Proventos!$H:$H,Proventos!$D:$D,"&gt;="&amp;CONCATENATE($M$6,"/",B20),Proventos!$D:$D,"&lt;"&amp;CONCATENATE($N$6,"/",B20),Proventos!$J:$J,"="&amp;$H$2),
AND($H$2=Data!$A$6,$K$2=Data!$A$2),SUMIFS(Proventos!$H:$H,Proventos!$D:$D,"&gt;="&amp;CONCATENATE($M$6,"/",B20),Proventos!$D:$D,"&lt;"&amp;CONCATENATE($N$6,"/",B20),Proventos!$J:$J,"="&amp;$H$2),
AND($H$2=Data!$A$7,$K$2=Data!$A$2),SUMIFS(Proventos!$H:$H,Proventos!$D:$D,"&gt;="&amp;CONCATENATE($M$6,"/",B20),Proventos!$D:$D,"&lt;"&amp;CONCATENATE($N$6,"/",B20),Proventos!$J:$J,"="&amp;$H$2),
AND($H$2=Data!$A$8,$K$2=Data!$A$2),SUMIFS(Proventos!$H:$H,Proventos!$D:$D,"&gt;="&amp;CONCATENATE($M$6,"/",B20),Proventos!$D:$D,"&lt;"&amp;CONCATENATE($N$6,"/",B20),Proventos!$J:$J,"="&amp;$H$2),
AND($H$2=Data!$A$9,$K$2=Data!$A$2),SUMIFS(Proventos!$H:$H,Proventos!$D:$D,"&gt;="&amp;CONCATENATE($M$6,"/",B20),Proventos!$D:$D,"&lt;"&amp;CONCATENATE($N$6,"/",B20),Proventos!$J:$J,"="&amp;$H$2),
AND($H$2=Data!$A$10,$K$2=Data!$A$2),SUMIFS(Proventos!$H:$H,Proventos!$D:$D,"&gt;="&amp;CONCATENATE($M$6,"/",B20),Proventos!$D:$D,"&lt;"&amp;CONCATENATE($N$6,"/",B20),Proventos!$J:$J,"="&amp;$H$2),
AND($H$2=Data!$A$11,$K$2=Data!$A$2),SUMIFS(Proventos!$H:$H,Proventos!$D:$D,"&gt;="&amp;CONCATENATE($M$6,"/",B20),Proventos!$D:$D,"&lt;"&amp;CONCATENATE($N$6,"/",B20),Proventos!$J:$J,"="&amp;$H$2),
$K$2=Data!$A$2,SUMIFS(Proventos!$H:$H,Proventos!$D:$D,"&gt;="&amp;CONCATENATE($M$6,"/",B20),Proventos!$D:$D,"&lt;"&amp;CONCATENATE($N$6,"/",B20)),
$K$2&lt;&gt;Data!$A$2,SUMIFS(Proventos!$H:$H,Proventos!$D:$D,"&gt;="&amp;CONCATENATE($M$6,"/",B20),Proventos!$D:$D,"&lt;"&amp;CONCATENATE($N$6,"/",B20),Proventos!$A:$A,"="&amp;$K$2))</f>
        <v>0</v>
      </c>
      <c r="N20" s="245">
        <f>IFS(
AND($H$2=Data!$A$3,$K$2=Data!$A$2),SUMIFS(Proventos!$H:$H,Proventos!$D:$D,"&gt;="&amp;CONCATENATE($N$6,"/",B20),Proventos!$D:$D,"&lt;"&amp;CONCATENATE($C$6,"/",B21),Proventos!$J:$J,"="&amp;$H$2),
AND($H$2=Data!$A$4,$K$2=Data!$A$2),SUMIFS(Proventos!$H:$H,Proventos!$D:$D,"&gt;="&amp;CONCATENATE($N$6,"/",B20),Proventos!$D:$D,"&lt;"&amp;CONCATENATE($C$6,"/",B21),Proventos!$J:$J,"="&amp;$H$2),
AND($H$2=Data!$A$5,$K$2=Data!$A$2),SUMIFS(Proventos!$H:$H,Proventos!$D:$D,"&gt;="&amp;CONCATENATE($N$6,"/",B20),Proventos!$D:$D,"&lt;"&amp;CONCATENATE($C$6,"/",B21),Proventos!$J:$J,"="&amp;$H$2),
AND($H$2=Data!$A$6,$K$2=Data!$A$2),SUMIFS(Proventos!$H:$H,Proventos!$D:$D,"&gt;="&amp;CONCATENATE($N$6,"/",B20),Proventos!$D:$D,"&lt;"&amp;CONCATENATE($C$6,"/",B21),Proventos!$J:$J,"="&amp;$H$2),
AND($H$2=Data!$A$7,$K$2=Data!$A$2),SUMIFS(Proventos!$H:$H,Proventos!$D:$D,"&gt;="&amp;CONCATENATE($N$6,"/",B20),Proventos!$D:$D,"&lt;"&amp;CONCATENATE($C$6,"/",B21),Proventos!$J:$J,"="&amp;$H$2),
AND($H$2=Data!$A$8,$K$2=Data!$A$2),SUMIFS(Proventos!$H:$H,Proventos!$D:$D,"&gt;="&amp;CONCATENATE($N$6,"/",B20),Proventos!$D:$D,"&lt;"&amp;CONCATENATE($C$6,"/",B21),Proventos!$J:$J,"="&amp;$H$2),
AND($H$2=Data!$A$9,$K$2=Data!$A$2),SUMIFS(Proventos!$H:$H,Proventos!$D:$D,"&gt;="&amp;CONCATENATE($N$6,"/",B20),Proventos!$D:$D,"&lt;"&amp;CONCATENATE($C$6,"/",B21),Proventos!$J:$J,"="&amp;$H$2),
AND($H$2=Data!$A$10,$K$2=Data!$A$2),SUMIFS(Proventos!$H:$H,Proventos!$D:$D,"&gt;="&amp;CONCATENATE($N$6,"/",B20),Proventos!$D:$D,"&lt;"&amp;CONCATENATE($C$6,"/",B21),Proventos!$J:$J,"="&amp;$H$2),
AND($H$2=Data!$A$11,$K$2=Data!$A$2),SUMIFS(Proventos!$H:$H,Proventos!$D:$D,"&gt;="&amp;CONCATENATE($N$6,"/",B20),Proventos!$D:$D,"&lt;"&amp;CONCATENATE($C$6,"/",B21),Proventos!$J:$J,"="&amp;$H$2),
$K$2=Data!$A$2,SUMIFS(Proventos!$H:$H,Proventos!$D:$D,"&gt;="&amp;CONCATENATE($N$6,"/",B20),Proventos!$D:$D,"&lt;"&amp;CONCATENATE($C$6,"/",B21)),
$K$2&lt;&gt;Data!$A$2,SUMIFS(Proventos!$H:$H,Proventos!$D:$D,"&gt;="&amp;CONCATENATE($N$6,"/",B20),Proventos!$D:$D,"&lt;"&amp;CONCATENATE($C$6,"/",B21),Proventos!$A:$A,"="&amp;$K$2))</f>
        <v>0</v>
      </c>
      <c r="O20" s="245"/>
      <c r="P20" s="245">
        <f t="shared" si="1"/>
        <v>0</v>
      </c>
      <c r="Q20" s="245">
        <f t="shared" si="2"/>
        <v>0</v>
      </c>
    </row>
    <row r="21" ht="32.25" customHeight="1">
      <c r="A21" s="246" t="str">
        <f>IFERROR(__xludf.DUMMYFUNCTION("""COMPUTED_VALUE"""),"ITUB3")</f>
        <v>ITUB3</v>
      </c>
      <c r="B21" s="244"/>
      <c r="C21" s="245">
        <f>IFS(
AND($H$2=Data!$A$3,$K$2=Data!$A$2),SUMIFS(Proventos!$H:$H,Proventos!$D:$D,"&gt;="&amp;CONCATENATE($C$6,"/",B21),Proventos!$D:$D,"&lt;"&amp;CONCATENATE($D$6,"/",B21),Proventos!$J:$J,"="&amp;$H$2),
AND($H$2=Data!$A$4,$K$2=Data!$A$2),SUMIFS(Proventos!$H:$H,Proventos!$D:$D,"&gt;="&amp;CONCATENATE($C$6,"/",B21),Proventos!$D:$D,"&lt;"&amp;CONCATENATE($D$6,"/",B21),Proventos!$J:$J,"="&amp;$H$2),
AND($H$2=Data!$A$5,$K$2=Data!$A$2),SUMIFS(Proventos!$H:$H,Proventos!$D:$D,"&gt;="&amp;CONCATENATE($C$6,"/",B21),Proventos!$D:$D,"&lt;"&amp;CONCATENATE($D$6,"/",B21),Proventos!$J:$J,"="&amp;$H$2),
AND($H$2=Data!$A$6,$K$2=Data!$A$2),SUMIFS(Proventos!$H:$H,Proventos!$D:$D,"&gt;="&amp;CONCATENATE($C$6,"/",B21),Proventos!$D:$D,"&lt;"&amp;CONCATENATE($D$6,"/",B21),Proventos!$J:$J,"="&amp;$H$2),
AND($H$2=Data!$A$7,$K$2=Data!$A$2),SUMIFS(Proventos!$H:$H,Proventos!$D:$D,"&gt;="&amp;CONCATENATE($C$6,"/",B21),Proventos!$D:$D,"&lt;"&amp;CONCATENATE($D$6,"/",B21),Proventos!$J:$J,"="&amp;$H$2),
AND($H$2=Data!$A$8,$K$2=Data!$A$2),SUMIFS(Proventos!$H:$H,Proventos!$D:$D,"&gt;="&amp;CONCATENATE($C$6,"/",B21),Proventos!$D:$D,"&lt;"&amp;CONCATENATE($D$6,"/",B21),Proventos!$J:$J,"="&amp;$H$2),
AND($H$2=Data!$A$9,$K$2=Data!$A$2),SUMIFS(Proventos!$H:$H,Proventos!$D:$D,"&gt;="&amp;CONCATENATE($C$6,"/",B21),Proventos!$D:$D,"&lt;"&amp;CONCATENATE($D$6,"/",B21),Proventos!$J:$J,"="&amp;$H$2),
AND($H$2=Data!$A$10,$K$2=Data!$A$2),SUMIFS(Proventos!$H:$H,Proventos!$D:$D,"&gt;="&amp;CONCATENATE($C$6,"/",B21),Proventos!$D:$D,"&lt;"&amp;CONCATENATE($D$6,"/",B21),Proventos!$J:$J,"="&amp;$H$2),
AND($H$2=Data!$A$11,$K$2=Data!$A$2),SUMIFS(Proventos!$H:$H,Proventos!$D:$D,"&gt;="&amp;CONCATENATE($C$6,"/",B21),Proventos!$D:$D,"&lt;"&amp;CONCATENATE($D$6,"/",B21),Proventos!$J:$J,"="&amp;$H$2),
$K$2=Data!$A$2,SUMIFS(Proventos!$H:$H,Proventos!$D:$D,"&gt;="&amp;CONCATENATE($C$6,"/",B21),Proventos!$D:$D,"&lt;"&amp;CONCATENATE($D$6,"/",B21)),
$K$2&lt;&gt;Data!$A$2,SUMIFS(Proventos!$H:$H,Proventos!$D:$D,"&gt;="&amp;CONCATENATE($C$6,"/",B21),Proventos!$D:$D,"&lt;"&amp;CONCATENATE($D$6,"/",B21),Proventos!$A:$A,"="&amp;$K$2))</f>
        <v>0</v>
      </c>
      <c r="D21" s="245">
        <f>IFS(
AND($H$2=Data!$A$3,$K$2=Data!$A$2),SUMIFS(Proventos!$H:$H,Proventos!$D:$D,"&gt;="&amp;CONCATENATE($D$6,"/",B21),Proventos!$D:$D,"&lt;"&amp;CONCATENATE($E$6,"/",B21),Proventos!$J:$J,"="&amp;$H$2),
AND($H$2=Data!$A$4,$K$2=Data!$A$2),SUMIFS(Proventos!$H:$H,Proventos!$D:$D,"&gt;="&amp;CONCATENATE($D$6,"/",B21),Proventos!$D:$D,"&lt;"&amp;CONCATENATE($E$6,"/",B21),Proventos!$J:$J,"="&amp;$H$2),
AND($H$2=Data!$A$5,$K$2=Data!$A$2),SUMIFS(Proventos!$H:$H,Proventos!$D:$D,"&gt;="&amp;CONCATENATE($D$6,"/",B21),Proventos!$D:$D,"&lt;"&amp;CONCATENATE($E$6,"/",B21),Proventos!$J:$J,"="&amp;$H$2),
AND($H$2=Data!$A$6,$K$2=Data!$A$2),SUMIFS(Proventos!$H:$H,Proventos!$D:$D,"&gt;="&amp;CONCATENATE($D$6,"/",B21),Proventos!$D:$D,"&lt;"&amp;CONCATENATE($E$6,"/",B21),Proventos!$J:$J,"="&amp;$H$2),
AND($H$2=Data!$A$7,$K$2=Data!$A$2),SUMIFS(Proventos!$H:$H,Proventos!$D:$D,"&gt;="&amp;CONCATENATE($D$6,"/",B21),Proventos!$D:$D,"&lt;"&amp;CONCATENATE($E$6,"/",B21),Proventos!$J:$J,"="&amp;$H$2),
AND($H$2=Data!$A$8,$K$2=Data!$A$2),SUMIFS(Proventos!$H:$H,Proventos!$D:$D,"&gt;="&amp;CONCATENATE($D$6,"/",B21),Proventos!$D:$D,"&lt;"&amp;CONCATENATE($E$6,"/",B21),Proventos!$J:$J,"="&amp;$H$2),
AND($H$2=Data!$A$9,$K$2=Data!$A$2),SUMIFS(Proventos!$H:$H,Proventos!$D:$D,"&gt;="&amp;CONCATENATE($D$6,"/",B21),Proventos!$D:$D,"&lt;"&amp;CONCATENATE($E$6,"/",B21),Proventos!$J:$J,"="&amp;$H$2),
AND($H$2=Data!$A$10,$K$2=Data!$A$2),SUMIFS(Proventos!$H:$H,Proventos!$D:$D,"&gt;="&amp;CONCATENATE($D$6,"/",B21),Proventos!$D:$D,"&lt;"&amp;CONCATENATE($E$6,"/",B21),Proventos!$J:$J,"="&amp;$H$2),
AND($H$2=Data!$A$11,$K$2=Data!$A$2),SUMIFS(Proventos!$H:$H,Proventos!$D:$D,"&gt;="&amp;CONCATENATE($D$6,"/",B21),Proventos!$D:$D,"&lt;"&amp;CONCATENATE($E$6,"/",B21),Proventos!$J:$J,"="&amp;$H$2),
$K$2=Data!$A$2,SUMIFS(Proventos!$H:$H,Proventos!$D:$D,"&gt;="&amp;CONCATENATE($D$6,"/",B21),Proventos!$D:$D,"&lt;"&amp;CONCATENATE($E$6,"/",B21)),
$K$2&lt;&gt;Data!$A$2,SUMIFS(Proventos!$H:$H,Proventos!$D:$D,"&gt;="&amp;CONCATENATE($D$6,"/",B21),Proventos!$D:$D,"&lt;"&amp;CONCATENATE($E$6,"/",B21),Proventos!$A:$A,"="&amp;$K$2))</f>
        <v>0</v>
      </c>
      <c r="E21" s="245">
        <f>IFS(
AND($H$2=Data!$A$3,$K$2=Data!$A$2),SUMIFS(Proventos!$H:$H,Proventos!$D:$D,"&gt;="&amp;CONCATENATE($E$6,"/",B21),Proventos!$D:$D,"&lt;"&amp;CONCATENATE($F$6,"/",B21),Proventos!$J:$J,"="&amp;$H$2),
AND($H$2=Data!$A$4,$K$2=Data!$A$2),SUMIFS(Proventos!$H:$H,Proventos!$D:$D,"&gt;="&amp;CONCATENATE($E$6,"/",B21),Proventos!$D:$D,"&lt;"&amp;CONCATENATE($F$6,"/",B21),Proventos!$J:$J,"="&amp;$H$2),
AND($H$2=Data!$A$5,$K$2=Data!$A$2),SUMIFS(Proventos!$H:$H,Proventos!$D:$D,"&gt;="&amp;CONCATENATE($E$6,"/",B21),Proventos!$D:$D,"&lt;"&amp;CONCATENATE($F$6,"/",B21),Proventos!$J:$J,"="&amp;$H$2),
AND($H$2=Data!$A$6,$K$2=Data!$A$2),SUMIFS(Proventos!$H:$H,Proventos!$D:$D,"&gt;="&amp;CONCATENATE($E$6,"/",B21),Proventos!$D:$D,"&lt;"&amp;CONCATENATE($F$6,"/",B21),Proventos!$J:$J,"="&amp;$H$2),
AND($H$2=Data!$A$7,$K$2=Data!$A$2),SUMIFS(Proventos!$H:$H,Proventos!$D:$D,"&gt;="&amp;CONCATENATE($E$6,"/",B21),Proventos!$D:$D,"&lt;"&amp;CONCATENATE($F$6,"/",B21),Proventos!$J:$J,"="&amp;$H$2),
AND($H$2=Data!$A$8,$K$2=Data!$A$2),SUMIFS(Proventos!$H:$H,Proventos!$D:$D,"&gt;="&amp;CONCATENATE($E$6,"/",B21),Proventos!$D:$D,"&lt;"&amp;CONCATENATE($F$6,"/",B21),Proventos!$J:$J,"="&amp;$H$2),
AND($H$2=Data!$A$9,$K$2=Data!$A$2),SUMIFS(Proventos!$H:$H,Proventos!$D:$D,"&gt;="&amp;CONCATENATE($E$6,"/",B21),Proventos!$D:$D,"&lt;"&amp;CONCATENATE($F$6,"/",B21),Proventos!$J:$J,"="&amp;$H$2),
AND($H$2=Data!$A$10,$K$2=Data!$A$2),SUMIFS(Proventos!$H:$H,Proventos!$D:$D,"&gt;="&amp;CONCATENATE($E$6,"/",B21),Proventos!$D:$D,"&lt;"&amp;CONCATENATE($F$6,"/",B21),Proventos!$J:$J,"="&amp;$H$2),
AND($H$2=Data!$A$11,$K$2=Data!$A$2),SUMIFS(Proventos!$H:$H,Proventos!$D:$D,"&gt;="&amp;CONCATENATE($E$6,"/",B21),Proventos!$D:$D,"&lt;"&amp;CONCATENATE($F$6,"/",B21),Proventos!$J:$J,"="&amp;$H$2),
$K$2=Data!$A$2,SUMIFS(Proventos!$H:$H,Proventos!$D:$D,"&gt;="&amp;CONCATENATE($E$6,"/",B21),Proventos!$D:$D,"&lt;"&amp;CONCATENATE($F$6,"/",B21)),
$K$2&lt;&gt;Data!$A$2,SUMIFS(Proventos!$H:$H,Proventos!$D:$D,"&gt;="&amp;CONCATENATE($E$6,"/",B21),Proventos!$D:$D,"&lt;"&amp;CONCATENATE($F$6,"/",B21),Proventos!$A:$A,"="&amp;$K$2))</f>
        <v>0</v>
      </c>
      <c r="F21" s="245">
        <f>IFS(
AND($H$2=Data!$A$3,$K$2=Data!$A$2),SUMIFS(Proventos!$H:$H,Proventos!$D:$D,"&gt;="&amp;CONCATENATE($F$6,"/",B21),Proventos!$D:$D,"&lt;"&amp;CONCATENATE($G$6,"/",B21),Proventos!$J:$J,"="&amp;$H$2),
AND($H$2=Data!$A$4,$K$2=Data!$A$2),SUMIFS(Proventos!$H:$H,Proventos!$D:$D,"&gt;="&amp;CONCATENATE($F$6,"/",B21),Proventos!$D:$D,"&lt;"&amp;CONCATENATE($G$6,"/",B21),Proventos!$J:$J,"="&amp;$H$2),
AND($H$2=Data!$A$5,$K$2=Data!$A$2),SUMIFS(Proventos!$H:$H,Proventos!$D:$D,"&gt;="&amp;CONCATENATE($F$6,"/",B21),Proventos!$D:$D,"&lt;"&amp;CONCATENATE($G$6,"/",B21),Proventos!$J:$J,"="&amp;$H$2),
AND($H$2=Data!$A$6,$K$2=Data!$A$2),SUMIFS(Proventos!$H:$H,Proventos!$D:$D,"&gt;="&amp;CONCATENATE($F$6,"/",B21),Proventos!$D:$D,"&lt;"&amp;CONCATENATE($G$6,"/",B21),Proventos!$J:$J,"="&amp;$H$2),
AND($H$2=Data!$A$7,$K$2=Data!$A$2),SUMIFS(Proventos!$H:$H,Proventos!$D:$D,"&gt;="&amp;CONCATENATE($F$6,"/",B21),Proventos!$D:$D,"&lt;"&amp;CONCATENATE($G$6,"/",B21),Proventos!$J:$J,"="&amp;$H$2),
AND($H$2=Data!$A$8,$K$2=Data!$A$2),SUMIFS(Proventos!$H:$H,Proventos!$D:$D,"&gt;="&amp;CONCATENATE($F$6,"/",B21),Proventos!$D:$D,"&lt;"&amp;CONCATENATE($G$6,"/",B21),Proventos!$J:$J,"="&amp;$H$2),
AND($H$2=Data!$A$9,$K$2=Data!$A$2),SUMIFS(Proventos!$H:$H,Proventos!$D:$D,"&gt;="&amp;CONCATENATE($F$6,"/",B21),Proventos!$D:$D,"&lt;"&amp;CONCATENATE($G$6,"/",B21),Proventos!$J:$J,"="&amp;$H$2),
AND($H$2=Data!$A$10,$K$2=Data!$A$2),SUMIFS(Proventos!$H:$H,Proventos!$D:$D,"&gt;="&amp;CONCATENATE($F$6,"/",B21),Proventos!$D:$D,"&lt;"&amp;CONCATENATE($G$6,"/",B21),Proventos!$J:$J,"="&amp;$H$2),
AND($H$2=Data!$A$11,$K$2=Data!$A$2),SUMIFS(Proventos!$H:$H,Proventos!$D:$D,"&gt;="&amp;CONCATENATE($F$6,"/",B21),Proventos!$D:$D,"&lt;"&amp;CONCATENATE($G$6,"/",B21),Proventos!$J:$J,"="&amp;$H$2),
$K$2=Data!$A$2,SUMIFS(Proventos!$H:$H,Proventos!$D:$D,"&gt;="&amp;CONCATENATE($F$6,"/",B21),Proventos!$D:$D,"&lt;"&amp;CONCATENATE($G$6,"/",B21)),
$K$2&lt;&gt;Data!$A$2,SUMIFS(Proventos!$H:$H,Proventos!$D:$D,"&gt;="&amp;CONCATENATE($F$6,"/",B21),Proventos!$D:$D,"&lt;"&amp;CONCATENATE($G$6,"/",B21),Proventos!$A:$A,"="&amp;$K$2))</f>
        <v>0</v>
      </c>
      <c r="G21" s="245">
        <f>IFS(
AND($H$2=Data!$A$3,$K$2=Data!$A$2),SUMIFS(Proventos!$H:$H,Proventos!$D:$D,"&gt;="&amp;CONCATENATE($G$6,"/",B21),Proventos!$D:$D,"&lt;"&amp;CONCATENATE($H$6,"/",B21),Proventos!$J:$J,"="&amp;$H$2),
AND($H$2=Data!$A$4,$K$2=Data!$A$2),SUMIFS(Proventos!$H:$H,Proventos!$D:$D,"&gt;="&amp;CONCATENATE($G$6,"/",B21),Proventos!$D:$D,"&lt;"&amp;CONCATENATE($H$6,"/",B21),Proventos!$J:$J,"="&amp;$H$2),
AND($H$2=Data!$A$5,$K$2=Data!$A$2),SUMIFS(Proventos!$H:$H,Proventos!$D:$D,"&gt;="&amp;CONCATENATE($G$6,"/",B21),Proventos!$D:$D,"&lt;"&amp;CONCATENATE($H$6,"/",B21),Proventos!$J:$J,"="&amp;$H$2),
AND($H$2=Data!$A$6,$K$2=Data!$A$2),SUMIFS(Proventos!$H:$H,Proventos!$D:$D,"&gt;="&amp;CONCATENATE($G$6,"/",B21),Proventos!$D:$D,"&lt;"&amp;CONCATENATE($H$6,"/",B21),Proventos!$J:$J,"="&amp;$H$2),
AND($H$2=Data!$A$7,$K$2=Data!$A$2),SUMIFS(Proventos!$H:$H,Proventos!$D:$D,"&gt;="&amp;CONCATENATE($G$6,"/",B21),Proventos!$D:$D,"&lt;"&amp;CONCATENATE($H$6,"/",B21),Proventos!$J:$J,"="&amp;$H$2),
AND($H$2=Data!$A$8,$K$2=Data!$A$2),SUMIFS(Proventos!$H:$H,Proventos!$D:$D,"&gt;="&amp;CONCATENATE($G$6,"/",B21),Proventos!$D:$D,"&lt;"&amp;CONCATENATE($H$6,"/",B21),Proventos!$J:$J,"="&amp;$H$2),
AND($H$2=Data!$A$9,$K$2=Data!$A$2),SUMIFS(Proventos!$H:$H,Proventos!$D:$D,"&gt;="&amp;CONCATENATE($G$6,"/",B21),Proventos!$D:$D,"&lt;"&amp;CONCATENATE($H$6,"/",B21),Proventos!$J:$J,"="&amp;$H$2),
AND($H$2=Data!$A$10,$K$2=Data!$A$2),SUMIFS(Proventos!$H:$H,Proventos!$D:$D,"&gt;="&amp;CONCATENATE($G$6,"/",B21),Proventos!$D:$D,"&lt;"&amp;CONCATENATE($H$6,"/",B21),Proventos!$J:$J,"="&amp;$H$2),
AND($H$2=Data!$A$11,$K$2=Data!$A$2),SUMIFS(Proventos!$H:$H,Proventos!$D:$D,"&gt;="&amp;CONCATENATE($G$6,"/",B21),Proventos!$D:$D,"&lt;"&amp;CONCATENATE($H$6,"/",B21),Proventos!$J:$J,"="&amp;$H$2),
$K$2=Data!$A$2,SUMIFS(Proventos!$H:$H,Proventos!$D:$D,"&gt;="&amp;CONCATENATE($G$6,"/",B21),Proventos!$D:$D,"&lt;"&amp;CONCATENATE($H$6,"/",B21)),
$K$2&lt;&gt;Data!$A$2,SUMIFS(Proventos!$H:$H,Proventos!$D:$D,"&gt;="&amp;CONCATENATE($G$6,"/",B21),Proventos!$D:$D,"&lt;"&amp;CONCATENATE($H$6,"/",B21),Proventos!$A:$A,"="&amp;$K$2))</f>
        <v>0</v>
      </c>
      <c r="H21" s="245">
        <f>IFS(
AND($H$2=Data!$A$3,$K$2=Data!$A$2),SUMIFS(Proventos!$H:$H,Proventos!$D:$D,"&gt;="&amp;CONCATENATE($H$6,"/",B21),Proventos!$D:$D,"&lt;"&amp;CONCATENATE($I$6,"/",B21),Proventos!$J:$J,"="&amp;$H$2),
AND($H$2=Data!$A$4,$K$2=Data!$A$2),SUMIFS(Proventos!$H:$H,Proventos!$D:$D,"&gt;="&amp;CONCATENATE($H$6,"/",B21),Proventos!$D:$D,"&lt;"&amp;CONCATENATE($I$6,"/",B21),Proventos!$J:$J,"="&amp;$H$2),
AND($H$2=Data!$A$5,$K$2=Data!$A$2),SUMIFS(Proventos!$H:$H,Proventos!$D:$D,"&gt;="&amp;CONCATENATE($H$6,"/",B21),Proventos!$D:$D,"&lt;"&amp;CONCATENATE($I$6,"/",B21),Proventos!$J:$J,"="&amp;$H$2),
AND($H$2=Data!$A$6,$K$2=Data!$A$2),SUMIFS(Proventos!$H:$H,Proventos!$D:$D,"&gt;="&amp;CONCATENATE($H$6,"/",B21),Proventos!$D:$D,"&lt;"&amp;CONCATENATE($I$6,"/",B21),Proventos!$J:$J,"="&amp;$H$2),
AND($H$2=Data!$A$7,$K$2=Data!$A$2),SUMIFS(Proventos!$H:$H,Proventos!$D:$D,"&gt;="&amp;CONCATENATE($H$6,"/",B21),Proventos!$D:$D,"&lt;"&amp;CONCATENATE($I$6,"/",B21),Proventos!$J:$J,"="&amp;$H$2),
AND($H$2=Data!$A$8,$K$2=Data!$A$2),SUMIFS(Proventos!$H:$H,Proventos!$D:$D,"&gt;="&amp;CONCATENATE($H$6,"/",B21),Proventos!$D:$D,"&lt;"&amp;CONCATENATE($I$6,"/",B21),Proventos!$J:$J,"="&amp;$H$2),
AND($H$2=Data!$A$9,$K$2=Data!$A$2),SUMIFS(Proventos!$H:$H,Proventos!$D:$D,"&gt;="&amp;CONCATENATE($H$6,"/",B21),Proventos!$D:$D,"&lt;"&amp;CONCATENATE($I$6,"/",B21),Proventos!$J:$J,"="&amp;$H$2),
AND($H$2=Data!$A$10,$K$2=Data!$A$2),SUMIFS(Proventos!$H:$H,Proventos!$D:$D,"&gt;="&amp;CONCATENATE($H$6,"/",B21),Proventos!$D:$D,"&lt;"&amp;CONCATENATE($I$6,"/",B21),Proventos!$J:$J,"="&amp;$H$2),
AND($H$2=Data!$A$11,$K$2=Data!$A$2),SUMIFS(Proventos!$H:$H,Proventos!$D:$D,"&gt;="&amp;CONCATENATE($H$6,"/",B21),Proventos!$D:$D,"&lt;"&amp;CONCATENATE($I$6,"/",B21),Proventos!$J:$J,"="&amp;$H$2),
$K$2=Data!$A$2,SUMIFS(Proventos!$H:$H,Proventos!$D:$D,"&gt;="&amp;CONCATENATE($H$6,"/",B21),Proventos!$D:$D,"&lt;"&amp;CONCATENATE($I$6,"/",B21)),
$K$2&lt;&gt;Data!$A$2,SUMIFS(Proventos!$H:$H,Proventos!$D:$D,"&gt;="&amp;CONCATENATE($H$6,"/",B21),Proventos!$D:$D,"&lt;"&amp;CONCATENATE($I$6,"/",B21),Proventos!$A:$A,"="&amp;$K$2))</f>
        <v>0</v>
      </c>
      <c r="I21" s="245">
        <f>IFS(
AND($H$2=Data!$A$3,$K$2=Data!$A$2),SUMIFS(Proventos!$H:$H,Proventos!$D:$D,"&gt;="&amp;CONCATENATE($I$6,"/",B21),Proventos!$D:$D,"&lt;"&amp;CONCATENATE($J$6,"/",B21),Proventos!$J:$J,"="&amp;$H$2),
AND($H$2=Data!$A$4,$K$2=Data!$A$2),SUMIFS(Proventos!$H:$H,Proventos!$D:$D,"&gt;="&amp;CONCATENATE($I$6,"/",B21),Proventos!$D:$D,"&lt;"&amp;CONCATENATE($J$6,"/",B21),Proventos!$J:$J,"="&amp;$H$2),
AND($H$2=Data!$A$5,$K$2=Data!$A$2),SUMIFS(Proventos!$H:$H,Proventos!$D:$D,"&gt;="&amp;CONCATENATE($I$6,"/",B21),Proventos!$D:$D,"&lt;"&amp;CONCATENATE($J$6,"/",B21),Proventos!$J:$J,"="&amp;$H$2),
AND($H$2=Data!$A$6,$K$2=Data!$A$2),SUMIFS(Proventos!$H:$H,Proventos!$D:$D,"&gt;="&amp;CONCATENATE($I$6,"/",B21),Proventos!$D:$D,"&lt;"&amp;CONCATENATE($J$6,"/",B21),Proventos!$J:$J,"="&amp;$H$2),
AND($H$2=Data!$A$7,$K$2=Data!$A$2),SUMIFS(Proventos!$H:$H,Proventos!$D:$D,"&gt;="&amp;CONCATENATE($I$6,"/",B21),Proventos!$D:$D,"&lt;"&amp;CONCATENATE($J$6,"/",B21),Proventos!$J:$J,"="&amp;$H$2),
AND($H$2=Data!$A$8,$K$2=Data!$A$2),SUMIFS(Proventos!$H:$H,Proventos!$D:$D,"&gt;="&amp;CONCATENATE($I$6,"/",B21),Proventos!$D:$D,"&lt;"&amp;CONCATENATE($J$6,"/",B21),Proventos!$J:$J,"="&amp;$H$2),
AND($H$2=Data!$A$9,$K$2=Data!$A$2),SUMIFS(Proventos!$H:$H,Proventos!$D:$D,"&gt;="&amp;CONCATENATE($I$6,"/",B21),Proventos!$D:$D,"&lt;"&amp;CONCATENATE($J$6,"/",B21),Proventos!$J:$J,"="&amp;$H$2),
AND($H$2=Data!$A$10,$K$2=Data!$A$2),SUMIFS(Proventos!$H:$H,Proventos!$D:$D,"&gt;="&amp;CONCATENATE($I$6,"/",B21),Proventos!$D:$D,"&lt;"&amp;CONCATENATE($J$6,"/",B21),Proventos!$J:$J,"="&amp;$H$2),
AND($H$2=Data!$A$11,$K$2=Data!$A$2),SUMIFS(Proventos!$H:$H,Proventos!$D:$D,"&gt;="&amp;CONCATENATE($I$6,"/",B21),Proventos!$D:$D,"&lt;"&amp;CONCATENATE($J$6,"/",B21),Proventos!$J:$J,"="&amp;$H$2),
$K$2=Data!$A$2,SUMIFS(Proventos!$H:$H,Proventos!$D:$D,"&gt;="&amp;CONCATENATE($I$6,"/",B21),Proventos!$D:$D,"&lt;"&amp;CONCATENATE($J$6,"/",B21)),
$K$2&lt;&gt;Data!$A$2,SUMIFS(Proventos!$H:$H,Proventos!$D:$D,"&gt;="&amp;CONCATENATE($I$6,"/",B21),Proventos!$D:$D,"&lt;"&amp;CONCATENATE($J$6,"/",B21),Proventos!$A:$A,"="&amp;$K$2))</f>
        <v>0</v>
      </c>
      <c r="J21" s="245">
        <f>IFS(
AND($H$2=Data!$A$3,$K$2=Data!$A$2),SUMIFS(Proventos!$H:$H,Proventos!$D:$D,"&gt;="&amp;CONCATENATE($J$6,"/",B21),Proventos!$D:$D,"&lt;"&amp;CONCATENATE($K$6,"/",B21),Proventos!$J:$J,"="&amp;$H$2),
AND($H$2=Data!$A$4,$K$2=Data!$A$2),SUMIFS(Proventos!$H:$H,Proventos!$D:$D,"&gt;="&amp;CONCATENATE($J$6,"/",B21),Proventos!$D:$D,"&lt;"&amp;CONCATENATE($K$6,"/",B21),Proventos!$J:$J,"="&amp;$H$2),
AND($H$2=Data!$A$5,$K$2=Data!$A$2),SUMIFS(Proventos!$H:$H,Proventos!$D:$D,"&gt;="&amp;CONCATENATE($J$6,"/",B21),Proventos!$D:$D,"&lt;"&amp;CONCATENATE($K$6,"/",B21),Proventos!$J:$J,"="&amp;$H$2),
AND($H$2=Data!$A$6,$K$2=Data!$A$2),SUMIFS(Proventos!$H:$H,Proventos!$D:$D,"&gt;="&amp;CONCATENATE($J$6,"/",B21),Proventos!$D:$D,"&lt;"&amp;CONCATENATE($K$6,"/",B21),Proventos!$J:$J,"="&amp;$H$2),
AND($H$2=Data!$A$7,$K$2=Data!$A$2),SUMIFS(Proventos!$H:$H,Proventos!$D:$D,"&gt;="&amp;CONCATENATE($J$6,"/",B21),Proventos!$D:$D,"&lt;"&amp;CONCATENATE($K$6,"/",B21),Proventos!$J:$J,"="&amp;$H$2),
AND($H$2=Data!$A$8,$K$2=Data!$A$2),SUMIFS(Proventos!$H:$H,Proventos!$D:$D,"&gt;="&amp;CONCATENATE($J$6,"/",B21),Proventos!$D:$D,"&lt;"&amp;CONCATENATE($K$6,"/",B21),Proventos!$J:$J,"="&amp;$H$2),
AND($H$2=Data!$A$9,$K$2=Data!$A$2),SUMIFS(Proventos!$H:$H,Proventos!$D:$D,"&gt;="&amp;CONCATENATE($J$6,"/",B21),Proventos!$D:$D,"&lt;"&amp;CONCATENATE($K$6,"/",B21),Proventos!$J:$J,"="&amp;$H$2),
AND($H$2=Data!$A$10,$K$2=Data!$A$2),SUMIFS(Proventos!$H:$H,Proventos!$D:$D,"&gt;="&amp;CONCATENATE($J$6,"/",B21),Proventos!$D:$D,"&lt;"&amp;CONCATENATE($K$6,"/",B21),Proventos!$J:$J,"="&amp;$H$2),
AND($H$2=Data!$A$11,$K$2=Data!$A$2),SUMIFS(Proventos!$H:$H,Proventos!$D:$D,"&gt;="&amp;CONCATENATE($J$6,"/",B21),Proventos!$D:$D,"&lt;"&amp;CONCATENATE($K$6,"/",B21),Proventos!$J:$J,"="&amp;$H$2),
$K$2=Data!$A$2,SUMIFS(Proventos!$H:$H,Proventos!$D:$D,"&gt;="&amp;CONCATENATE($J$6,"/",B21),Proventos!$D:$D,"&lt;"&amp;CONCATENATE($K$6,"/",B21)),
$K$2&lt;&gt;Data!$A$2,SUMIFS(Proventos!$H:$H,Proventos!$D:$D,"&gt;="&amp;CONCATENATE($J$6,"/",B21),Proventos!$D:$D,"&lt;"&amp;CONCATENATE($K$6,"/",B21),Proventos!$A:$A,"="&amp;$K$2))</f>
        <v>0</v>
      </c>
      <c r="K21" s="245">
        <f>IFS(
AND($H$2=Data!$A$3,$K$2=Data!$A$2),SUMIFS(Proventos!$H:$H,Proventos!$D:$D,"&gt;="&amp;CONCATENATE($K$6,"/",B21),Proventos!$D:$D,"&lt;"&amp;CONCATENATE($L$6,"/",B21),Proventos!$J:$J,"="&amp;$H$2),
AND($H$2=Data!$A$4,$K$2=Data!$A$2),SUMIFS(Proventos!$H:$H,Proventos!$D:$D,"&gt;="&amp;CONCATENATE($K$6,"/",B21),Proventos!$D:$D,"&lt;"&amp;CONCATENATE($L$6,"/",B21),Proventos!$J:$J,"="&amp;$H$2),
AND($H$2=Data!$A$5,$K$2=Data!$A$2),SUMIFS(Proventos!$H:$H,Proventos!$D:$D,"&gt;="&amp;CONCATENATE($K$6,"/",B21),Proventos!$D:$D,"&lt;"&amp;CONCATENATE($L$6,"/",B21),Proventos!$J:$J,"="&amp;$H$2),
AND($H$2=Data!$A$6,$K$2=Data!$A$2),SUMIFS(Proventos!$H:$H,Proventos!$D:$D,"&gt;="&amp;CONCATENATE($K$6,"/",B21),Proventos!$D:$D,"&lt;"&amp;CONCATENATE($L$6,"/",B21),Proventos!$J:$J,"="&amp;$H$2),
AND($H$2=Data!$A$7,$K$2=Data!$A$2),SUMIFS(Proventos!$H:$H,Proventos!$D:$D,"&gt;="&amp;CONCATENATE($K$6,"/",B21),Proventos!$D:$D,"&lt;"&amp;CONCATENATE($L$6,"/",B21),Proventos!$J:$J,"="&amp;$H$2),
AND($H$2=Data!$A$8,$K$2=Data!$A$2),SUMIFS(Proventos!$H:$H,Proventos!$D:$D,"&gt;="&amp;CONCATENATE($K$6,"/",B21),Proventos!$D:$D,"&lt;"&amp;CONCATENATE($L$6,"/",B21),Proventos!$J:$J,"="&amp;$H$2),
AND($H$2=Data!$A$9,$K$2=Data!$A$2),SUMIFS(Proventos!$H:$H,Proventos!$D:$D,"&gt;="&amp;CONCATENATE($K$6,"/",B21),Proventos!$D:$D,"&lt;"&amp;CONCATENATE($L$6,"/",B21),Proventos!$J:$J,"="&amp;$H$2),
AND($H$2=Data!$A$10,$K$2=Data!$A$2),SUMIFS(Proventos!$H:$H,Proventos!$D:$D,"&gt;="&amp;CONCATENATE($K$6,"/",B21),Proventos!$D:$D,"&lt;"&amp;CONCATENATE($L$6,"/",B21),Proventos!$J:$J,"="&amp;$H$2),
AND($H$2=Data!$A$11,$K$2=Data!$A$2),SUMIFS(Proventos!$H:$H,Proventos!$D:$D,"&gt;="&amp;CONCATENATE($K$6,"/",B21),Proventos!$D:$D,"&lt;"&amp;CONCATENATE($L$6,"/",B21),Proventos!$J:$J,"="&amp;$H$2),
$K$2=Data!$A$2,SUMIFS(Proventos!$H:$H,Proventos!$D:$D,"&gt;="&amp;CONCATENATE($K$6,"/",B21),Proventos!$D:$D,"&lt;"&amp;CONCATENATE($L$6,"/",B21)),
$K$2&lt;&gt;Data!$A$2,SUMIFS(Proventos!$H:$H,Proventos!$D:$D,"&gt;="&amp;CONCATENATE($K$6,"/",B21),Proventos!$D:$D,"&lt;"&amp;CONCATENATE($L$6,"/",B21),Proventos!$A:$A,"="&amp;$K$2))</f>
        <v>0</v>
      </c>
      <c r="L21" s="245">
        <f>IFS(
AND($H$2=Data!$A$3,$K$2=Data!$A$2),SUMIFS(Proventos!$H:$H,Proventos!$D:$D,"&gt;="&amp;CONCATENATE($L$6,"/",B21),Proventos!$D:$D,"&lt;"&amp;CONCATENATE($M$6,"/",B21),Proventos!$J:$J,"="&amp;$H$2),
AND($H$2=Data!$A$4,$K$2=Data!$A$2),SUMIFS(Proventos!$H:$H,Proventos!$D:$D,"&gt;="&amp;CONCATENATE($L$6,"/",B21),Proventos!$D:$D,"&lt;"&amp;CONCATENATE($M$6,"/",B21),Proventos!$J:$J,"="&amp;$H$2),
AND($H$2=Data!$A$5,$K$2=Data!$A$2),SUMIFS(Proventos!$H:$H,Proventos!$D:$D,"&gt;="&amp;CONCATENATE($L$6,"/",B21),Proventos!$D:$D,"&lt;"&amp;CONCATENATE($M$6,"/",B21),Proventos!$J:$J,"="&amp;$H$2),
AND($H$2=Data!$A$6,$K$2=Data!$A$2),SUMIFS(Proventos!$H:$H,Proventos!$D:$D,"&gt;="&amp;CONCATENATE($L$6,"/",B21),Proventos!$D:$D,"&lt;"&amp;CONCATENATE($M$6,"/",B21),Proventos!$J:$J,"="&amp;$H$2),
AND($H$2=Data!$A$7,$K$2=Data!$A$2),SUMIFS(Proventos!$H:$H,Proventos!$D:$D,"&gt;="&amp;CONCATENATE($L$6,"/",B21),Proventos!$D:$D,"&lt;"&amp;CONCATENATE($M$6,"/",B21),Proventos!$J:$J,"="&amp;$H$2),
AND($H$2=Data!$A$8,$K$2=Data!$A$2),SUMIFS(Proventos!$H:$H,Proventos!$D:$D,"&gt;="&amp;CONCATENATE($L$6,"/",B21),Proventos!$D:$D,"&lt;"&amp;CONCATENATE($M$6,"/",B21),Proventos!$J:$J,"="&amp;$H$2),
AND($H$2=Data!$A$9,$K$2=Data!$A$2),SUMIFS(Proventos!$H:$H,Proventos!$D:$D,"&gt;="&amp;CONCATENATE($L$6,"/",B21),Proventos!$D:$D,"&lt;"&amp;CONCATENATE($M$6,"/",B21),Proventos!$J:$J,"="&amp;$H$2),
AND($H$2=Data!$A$10,$K$2=Data!$A$2),SUMIFS(Proventos!$H:$H,Proventos!$D:$D,"&gt;="&amp;CONCATENATE($L$6,"/",B21),Proventos!$D:$D,"&lt;"&amp;CONCATENATE($M$6,"/",B21),Proventos!$J:$J,"="&amp;$H$2),
AND($H$2=Data!$A$11,$K$2=Data!$A$2),SUMIFS(Proventos!$H:$H,Proventos!$D:$D,"&gt;="&amp;CONCATENATE($L$6,"/",B21),Proventos!$D:$D,"&lt;"&amp;CONCATENATE($M$6,"/",B21),Proventos!$J:$J,"="&amp;$H$2),
$K$2=Data!$A$2,SUMIFS(Proventos!$H:$H,Proventos!$D:$D,"&gt;="&amp;CONCATENATE($L$6,"/",B21),Proventos!$D:$D,"&lt;"&amp;CONCATENATE($M$6,"/",B21)),
$K$2&lt;&gt;Data!$A$2,SUMIFS(Proventos!$H:$H,Proventos!$D:$D,"&gt;="&amp;CONCATENATE($L$6,"/",B21),Proventos!$D:$D,"&lt;"&amp;CONCATENATE($M$6,"/",B21),Proventos!$A:$A,"="&amp;$K$2))</f>
        <v>0</v>
      </c>
      <c r="M21" s="245">
        <f>IFS(
AND($H$2=Data!$A$3,$K$2=Data!$A$2),SUMIFS(Proventos!$H:$H,Proventos!$D:$D,"&gt;="&amp;CONCATENATE($M$6,"/",B21),Proventos!$D:$D,"&lt;"&amp;CONCATENATE($N$6,"/",B21),Proventos!$J:$J,"="&amp;$H$2),
AND($H$2=Data!$A$4,$K$2=Data!$A$2),SUMIFS(Proventos!$H:$H,Proventos!$D:$D,"&gt;="&amp;CONCATENATE($M$6,"/",B21),Proventos!$D:$D,"&lt;"&amp;CONCATENATE($N$6,"/",B21),Proventos!$J:$J,"="&amp;$H$2),
AND($H$2=Data!$A$5,$K$2=Data!$A$2),SUMIFS(Proventos!$H:$H,Proventos!$D:$D,"&gt;="&amp;CONCATENATE($M$6,"/",B21),Proventos!$D:$D,"&lt;"&amp;CONCATENATE($N$6,"/",B21),Proventos!$J:$J,"="&amp;$H$2),
AND($H$2=Data!$A$6,$K$2=Data!$A$2),SUMIFS(Proventos!$H:$H,Proventos!$D:$D,"&gt;="&amp;CONCATENATE($M$6,"/",B21),Proventos!$D:$D,"&lt;"&amp;CONCATENATE($N$6,"/",B21),Proventos!$J:$J,"="&amp;$H$2),
AND($H$2=Data!$A$7,$K$2=Data!$A$2),SUMIFS(Proventos!$H:$H,Proventos!$D:$D,"&gt;="&amp;CONCATENATE($M$6,"/",B21),Proventos!$D:$D,"&lt;"&amp;CONCATENATE($N$6,"/",B21),Proventos!$J:$J,"="&amp;$H$2),
AND($H$2=Data!$A$8,$K$2=Data!$A$2),SUMIFS(Proventos!$H:$H,Proventos!$D:$D,"&gt;="&amp;CONCATENATE($M$6,"/",B21),Proventos!$D:$D,"&lt;"&amp;CONCATENATE($N$6,"/",B21),Proventos!$J:$J,"="&amp;$H$2),
AND($H$2=Data!$A$9,$K$2=Data!$A$2),SUMIFS(Proventos!$H:$H,Proventos!$D:$D,"&gt;="&amp;CONCATENATE($M$6,"/",B21),Proventos!$D:$D,"&lt;"&amp;CONCATENATE($N$6,"/",B21),Proventos!$J:$J,"="&amp;$H$2),
AND($H$2=Data!$A$10,$K$2=Data!$A$2),SUMIFS(Proventos!$H:$H,Proventos!$D:$D,"&gt;="&amp;CONCATENATE($M$6,"/",B21),Proventos!$D:$D,"&lt;"&amp;CONCATENATE($N$6,"/",B21),Proventos!$J:$J,"="&amp;$H$2),
AND($H$2=Data!$A$11,$K$2=Data!$A$2),SUMIFS(Proventos!$H:$H,Proventos!$D:$D,"&gt;="&amp;CONCATENATE($M$6,"/",B21),Proventos!$D:$D,"&lt;"&amp;CONCATENATE($N$6,"/",B21),Proventos!$J:$J,"="&amp;$H$2),
$K$2=Data!$A$2,SUMIFS(Proventos!$H:$H,Proventos!$D:$D,"&gt;="&amp;CONCATENATE($M$6,"/",B21),Proventos!$D:$D,"&lt;"&amp;CONCATENATE($N$6,"/",B21)),
$K$2&lt;&gt;Data!$A$2,SUMIFS(Proventos!$H:$H,Proventos!$D:$D,"&gt;="&amp;CONCATENATE($M$6,"/",B21),Proventos!$D:$D,"&lt;"&amp;CONCATENATE($N$6,"/",B21),Proventos!$A:$A,"="&amp;$K$2))</f>
        <v>0</v>
      </c>
      <c r="N21" s="245">
        <f>IFS(
AND($H$2=Data!$A$3,$K$2=Data!$A$2),SUMIFS(Proventos!$H:$H,Proventos!$D:$D,"&gt;="&amp;CONCATENATE($N$6,"/",B21),Proventos!$D:$D,"&lt;"&amp;CONCATENATE($C$6,"/",B22),Proventos!$J:$J,"="&amp;$H$2),
AND($H$2=Data!$A$4,$K$2=Data!$A$2),SUMIFS(Proventos!$H:$H,Proventos!$D:$D,"&gt;="&amp;CONCATENATE($N$6,"/",B21),Proventos!$D:$D,"&lt;"&amp;CONCATENATE($C$6,"/",B22),Proventos!$J:$J,"="&amp;$H$2),
AND($H$2=Data!$A$5,$K$2=Data!$A$2),SUMIFS(Proventos!$H:$H,Proventos!$D:$D,"&gt;="&amp;CONCATENATE($N$6,"/",B21),Proventos!$D:$D,"&lt;"&amp;CONCATENATE($C$6,"/",B22),Proventos!$J:$J,"="&amp;$H$2),
AND($H$2=Data!$A$6,$K$2=Data!$A$2),SUMIFS(Proventos!$H:$H,Proventos!$D:$D,"&gt;="&amp;CONCATENATE($N$6,"/",B21),Proventos!$D:$D,"&lt;"&amp;CONCATENATE($C$6,"/",B22),Proventos!$J:$J,"="&amp;$H$2),
AND($H$2=Data!$A$7,$K$2=Data!$A$2),SUMIFS(Proventos!$H:$H,Proventos!$D:$D,"&gt;="&amp;CONCATENATE($N$6,"/",B21),Proventos!$D:$D,"&lt;"&amp;CONCATENATE($C$6,"/",B22),Proventos!$J:$J,"="&amp;$H$2),
AND($H$2=Data!$A$8,$K$2=Data!$A$2),SUMIFS(Proventos!$H:$H,Proventos!$D:$D,"&gt;="&amp;CONCATENATE($N$6,"/",B21),Proventos!$D:$D,"&lt;"&amp;CONCATENATE($C$6,"/",B22),Proventos!$J:$J,"="&amp;$H$2),
AND($H$2=Data!$A$9,$K$2=Data!$A$2),SUMIFS(Proventos!$H:$H,Proventos!$D:$D,"&gt;="&amp;CONCATENATE($N$6,"/",B21),Proventos!$D:$D,"&lt;"&amp;CONCATENATE($C$6,"/",B22),Proventos!$J:$J,"="&amp;$H$2),
AND($H$2=Data!$A$10,$K$2=Data!$A$2),SUMIFS(Proventos!$H:$H,Proventos!$D:$D,"&gt;="&amp;CONCATENATE($N$6,"/",B21),Proventos!$D:$D,"&lt;"&amp;CONCATENATE($C$6,"/",B22),Proventos!$J:$J,"="&amp;$H$2),
AND($H$2=Data!$A$11,$K$2=Data!$A$2),SUMIFS(Proventos!$H:$H,Proventos!$D:$D,"&gt;="&amp;CONCATENATE($N$6,"/",B21),Proventos!$D:$D,"&lt;"&amp;CONCATENATE($C$6,"/",B22),Proventos!$J:$J,"="&amp;$H$2),
$K$2=Data!$A$2,SUMIFS(Proventos!$H:$H,Proventos!$D:$D,"&gt;="&amp;CONCATENATE($N$6,"/",B21),Proventos!$D:$D,"&lt;"&amp;CONCATENATE($C$6,"/",B22)),
$K$2&lt;&gt;Data!$A$2,SUMIFS(Proventos!$H:$H,Proventos!$D:$D,"&gt;="&amp;CONCATENATE($N$6,"/",B21),Proventos!$D:$D,"&lt;"&amp;CONCATENATE($C$6,"/",B22),Proventos!$A:$A,"="&amp;$K$2))</f>
        <v>0</v>
      </c>
      <c r="O21" s="245"/>
      <c r="P21" s="245">
        <f t="shared" si="1"/>
        <v>0</v>
      </c>
      <c r="Q21" s="245">
        <f t="shared" si="2"/>
        <v>0</v>
      </c>
    </row>
    <row r="22" ht="32.25" customHeight="1">
      <c r="A22" s="230" t="str">
        <f>IFERROR(__xludf.DUMMYFUNCTION("""COMPUTED_VALUE"""),"IVVB11")</f>
        <v>IVVB11</v>
      </c>
      <c r="B22" s="244"/>
      <c r="C22" s="245">
        <f>IFS(
AND($H$2=Data!$A$3,$K$2=Data!$A$2),SUMIFS(Proventos!$H:$H,Proventos!$D:$D,"&gt;="&amp;CONCATENATE($C$6,"/",B22),Proventos!$D:$D,"&lt;"&amp;CONCATENATE($D$6,"/",B22),Proventos!$J:$J,"="&amp;$H$2),
AND($H$2=Data!$A$4,$K$2=Data!$A$2),SUMIFS(Proventos!$H:$H,Proventos!$D:$D,"&gt;="&amp;CONCATENATE($C$6,"/",B22),Proventos!$D:$D,"&lt;"&amp;CONCATENATE($D$6,"/",B22),Proventos!$J:$J,"="&amp;$H$2),
AND($H$2=Data!$A$5,$K$2=Data!$A$2),SUMIFS(Proventos!$H:$H,Proventos!$D:$D,"&gt;="&amp;CONCATENATE($C$6,"/",B22),Proventos!$D:$D,"&lt;"&amp;CONCATENATE($D$6,"/",B22),Proventos!$J:$J,"="&amp;$H$2),
AND($H$2=Data!$A$6,$K$2=Data!$A$2),SUMIFS(Proventos!$H:$H,Proventos!$D:$D,"&gt;="&amp;CONCATENATE($C$6,"/",B22),Proventos!$D:$D,"&lt;"&amp;CONCATENATE($D$6,"/",B22),Proventos!$J:$J,"="&amp;$H$2),
AND($H$2=Data!$A$7,$K$2=Data!$A$2),SUMIFS(Proventos!$H:$H,Proventos!$D:$D,"&gt;="&amp;CONCATENATE($C$6,"/",B22),Proventos!$D:$D,"&lt;"&amp;CONCATENATE($D$6,"/",B22),Proventos!$J:$J,"="&amp;$H$2),
AND($H$2=Data!$A$8,$K$2=Data!$A$2),SUMIFS(Proventos!$H:$H,Proventos!$D:$D,"&gt;="&amp;CONCATENATE($C$6,"/",B22),Proventos!$D:$D,"&lt;"&amp;CONCATENATE($D$6,"/",B22),Proventos!$J:$J,"="&amp;$H$2),
AND($H$2=Data!$A$9,$K$2=Data!$A$2),SUMIFS(Proventos!$H:$H,Proventos!$D:$D,"&gt;="&amp;CONCATENATE($C$6,"/",B22),Proventos!$D:$D,"&lt;"&amp;CONCATENATE($D$6,"/",B22),Proventos!$J:$J,"="&amp;$H$2),
AND($H$2=Data!$A$10,$K$2=Data!$A$2),SUMIFS(Proventos!$H:$H,Proventos!$D:$D,"&gt;="&amp;CONCATENATE($C$6,"/",B22),Proventos!$D:$D,"&lt;"&amp;CONCATENATE($D$6,"/",B22),Proventos!$J:$J,"="&amp;$H$2),
AND($H$2=Data!$A$11,$K$2=Data!$A$2),SUMIFS(Proventos!$H:$H,Proventos!$D:$D,"&gt;="&amp;CONCATENATE($C$6,"/",B22),Proventos!$D:$D,"&lt;"&amp;CONCATENATE($D$6,"/",B22),Proventos!$J:$J,"="&amp;$H$2),
$K$2=Data!$A$2,SUMIFS(Proventos!$H:$H,Proventos!$D:$D,"&gt;="&amp;CONCATENATE($C$6,"/",B22),Proventos!$D:$D,"&lt;"&amp;CONCATENATE($D$6,"/",B22)),
$K$2&lt;&gt;Data!$A$2,SUMIFS(Proventos!$H:$H,Proventos!$D:$D,"&gt;="&amp;CONCATENATE($C$6,"/",B22),Proventos!$D:$D,"&lt;"&amp;CONCATENATE($D$6,"/",B22),Proventos!$A:$A,"="&amp;$K$2))</f>
        <v>0</v>
      </c>
      <c r="D22" s="245">
        <f>IFS(
AND($H$2=Data!$A$3,$K$2=Data!$A$2),SUMIFS(Proventos!$H:$H,Proventos!$D:$D,"&gt;="&amp;CONCATENATE($D$6,"/",B22),Proventos!$D:$D,"&lt;"&amp;CONCATENATE($E$6,"/",B22),Proventos!$J:$J,"="&amp;$H$2),
AND($H$2=Data!$A$4,$K$2=Data!$A$2),SUMIFS(Proventos!$H:$H,Proventos!$D:$D,"&gt;="&amp;CONCATENATE($D$6,"/",B22),Proventos!$D:$D,"&lt;"&amp;CONCATENATE($E$6,"/",B22),Proventos!$J:$J,"="&amp;$H$2),
AND($H$2=Data!$A$5,$K$2=Data!$A$2),SUMIFS(Proventos!$H:$H,Proventos!$D:$D,"&gt;="&amp;CONCATENATE($D$6,"/",B22),Proventos!$D:$D,"&lt;"&amp;CONCATENATE($E$6,"/",B22),Proventos!$J:$J,"="&amp;$H$2),
AND($H$2=Data!$A$6,$K$2=Data!$A$2),SUMIFS(Proventos!$H:$H,Proventos!$D:$D,"&gt;="&amp;CONCATENATE($D$6,"/",B22),Proventos!$D:$D,"&lt;"&amp;CONCATENATE($E$6,"/",B22),Proventos!$J:$J,"="&amp;$H$2),
AND($H$2=Data!$A$7,$K$2=Data!$A$2),SUMIFS(Proventos!$H:$H,Proventos!$D:$D,"&gt;="&amp;CONCATENATE($D$6,"/",B22),Proventos!$D:$D,"&lt;"&amp;CONCATENATE($E$6,"/",B22),Proventos!$J:$J,"="&amp;$H$2),
AND($H$2=Data!$A$8,$K$2=Data!$A$2),SUMIFS(Proventos!$H:$H,Proventos!$D:$D,"&gt;="&amp;CONCATENATE($D$6,"/",B22),Proventos!$D:$D,"&lt;"&amp;CONCATENATE($E$6,"/",B22),Proventos!$J:$J,"="&amp;$H$2),
AND($H$2=Data!$A$9,$K$2=Data!$A$2),SUMIFS(Proventos!$H:$H,Proventos!$D:$D,"&gt;="&amp;CONCATENATE($D$6,"/",B22),Proventos!$D:$D,"&lt;"&amp;CONCATENATE($E$6,"/",B22),Proventos!$J:$J,"="&amp;$H$2),
AND($H$2=Data!$A$10,$K$2=Data!$A$2),SUMIFS(Proventos!$H:$H,Proventos!$D:$D,"&gt;="&amp;CONCATENATE($D$6,"/",B22),Proventos!$D:$D,"&lt;"&amp;CONCATENATE($E$6,"/",B22),Proventos!$J:$J,"="&amp;$H$2),
AND($H$2=Data!$A$11,$K$2=Data!$A$2),SUMIFS(Proventos!$H:$H,Proventos!$D:$D,"&gt;="&amp;CONCATENATE($D$6,"/",B22),Proventos!$D:$D,"&lt;"&amp;CONCATENATE($E$6,"/",B22),Proventos!$J:$J,"="&amp;$H$2),
$K$2=Data!$A$2,SUMIFS(Proventos!$H:$H,Proventos!$D:$D,"&gt;="&amp;CONCATENATE($D$6,"/",B22),Proventos!$D:$D,"&lt;"&amp;CONCATENATE($E$6,"/",B22)),
$K$2&lt;&gt;Data!$A$2,SUMIFS(Proventos!$H:$H,Proventos!$D:$D,"&gt;="&amp;CONCATENATE($D$6,"/",B22),Proventos!$D:$D,"&lt;"&amp;CONCATENATE($E$6,"/",B22),Proventos!$A:$A,"="&amp;$K$2))</f>
        <v>0</v>
      </c>
      <c r="E22" s="245">
        <f>IFS(
AND($H$2=Data!$A$3,$K$2=Data!$A$2),SUMIFS(Proventos!$H:$H,Proventos!$D:$D,"&gt;="&amp;CONCATENATE($E$6,"/",B22),Proventos!$D:$D,"&lt;"&amp;CONCATENATE($F$6,"/",B22),Proventos!$J:$J,"="&amp;$H$2),
AND($H$2=Data!$A$4,$K$2=Data!$A$2),SUMIFS(Proventos!$H:$H,Proventos!$D:$D,"&gt;="&amp;CONCATENATE($E$6,"/",B22),Proventos!$D:$D,"&lt;"&amp;CONCATENATE($F$6,"/",B22),Proventos!$J:$J,"="&amp;$H$2),
AND($H$2=Data!$A$5,$K$2=Data!$A$2),SUMIFS(Proventos!$H:$H,Proventos!$D:$D,"&gt;="&amp;CONCATENATE($E$6,"/",B22),Proventos!$D:$D,"&lt;"&amp;CONCATENATE($F$6,"/",B22),Proventos!$J:$J,"="&amp;$H$2),
AND($H$2=Data!$A$6,$K$2=Data!$A$2),SUMIFS(Proventos!$H:$H,Proventos!$D:$D,"&gt;="&amp;CONCATENATE($E$6,"/",B22),Proventos!$D:$D,"&lt;"&amp;CONCATENATE($F$6,"/",B22),Proventos!$J:$J,"="&amp;$H$2),
AND($H$2=Data!$A$7,$K$2=Data!$A$2),SUMIFS(Proventos!$H:$H,Proventos!$D:$D,"&gt;="&amp;CONCATENATE($E$6,"/",B22),Proventos!$D:$D,"&lt;"&amp;CONCATENATE($F$6,"/",B22),Proventos!$J:$J,"="&amp;$H$2),
AND($H$2=Data!$A$8,$K$2=Data!$A$2),SUMIFS(Proventos!$H:$H,Proventos!$D:$D,"&gt;="&amp;CONCATENATE($E$6,"/",B22),Proventos!$D:$D,"&lt;"&amp;CONCATENATE($F$6,"/",B22),Proventos!$J:$J,"="&amp;$H$2),
AND($H$2=Data!$A$9,$K$2=Data!$A$2),SUMIFS(Proventos!$H:$H,Proventos!$D:$D,"&gt;="&amp;CONCATENATE($E$6,"/",B22),Proventos!$D:$D,"&lt;"&amp;CONCATENATE($F$6,"/",B22),Proventos!$J:$J,"="&amp;$H$2),
AND($H$2=Data!$A$10,$K$2=Data!$A$2),SUMIFS(Proventos!$H:$H,Proventos!$D:$D,"&gt;="&amp;CONCATENATE($E$6,"/",B22),Proventos!$D:$D,"&lt;"&amp;CONCATENATE($F$6,"/",B22),Proventos!$J:$J,"="&amp;$H$2),
AND($H$2=Data!$A$11,$K$2=Data!$A$2),SUMIFS(Proventos!$H:$H,Proventos!$D:$D,"&gt;="&amp;CONCATENATE($E$6,"/",B22),Proventos!$D:$D,"&lt;"&amp;CONCATENATE($F$6,"/",B22),Proventos!$J:$J,"="&amp;$H$2),
$K$2=Data!$A$2,SUMIFS(Proventos!$H:$H,Proventos!$D:$D,"&gt;="&amp;CONCATENATE($E$6,"/",B22),Proventos!$D:$D,"&lt;"&amp;CONCATENATE($F$6,"/",B22)),
$K$2&lt;&gt;Data!$A$2,SUMIFS(Proventos!$H:$H,Proventos!$D:$D,"&gt;="&amp;CONCATENATE($E$6,"/",B22),Proventos!$D:$D,"&lt;"&amp;CONCATENATE($F$6,"/",B22),Proventos!$A:$A,"="&amp;$K$2))</f>
        <v>0</v>
      </c>
      <c r="F22" s="245">
        <f>IFS(
AND($H$2=Data!$A$3,$K$2=Data!$A$2),SUMIFS(Proventos!$H:$H,Proventos!$D:$D,"&gt;="&amp;CONCATENATE($F$6,"/",B22),Proventos!$D:$D,"&lt;"&amp;CONCATENATE($G$6,"/",B22),Proventos!$J:$J,"="&amp;$H$2),
AND($H$2=Data!$A$4,$K$2=Data!$A$2),SUMIFS(Proventos!$H:$H,Proventos!$D:$D,"&gt;="&amp;CONCATENATE($F$6,"/",B22),Proventos!$D:$D,"&lt;"&amp;CONCATENATE($G$6,"/",B22),Proventos!$J:$J,"="&amp;$H$2),
AND($H$2=Data!$A$5,$K$2=Data!$A$2),SUMIFS(Proventos!$H:$H,Proventos!$D:$D,"&gt;="&amp;CONCATENATE($F$6,"/",B22),Proventos!$D:$D,"&lt;"&amp;CONCATENATE($G$6,"/",B22),Proventos!$J:$J,"="&amp;$H$2),
AND($H$2=Data!$A$6,$K$2=Data!$A$2),SUMIFS(Proventos!$H:$H,Proventos!$D:$D,"&gt;="&amp;CONCATENATE($F$6,"/",B22),Proventos!$D:$D,"&lt;"&amp;CONCATENATE($G$6,"/",B22),Proventos!$J:$J,"="&amp;$H$2),
AND($H$2=Data!$A$7,$K$2=Data!$A$2),SUMIFS(Proventos!$H:$H,Proventos!$D:$D,"&gt;="&amp;CONCATENATE($F$6,"/",B22),Proventos!$D:$D,"&lt;"&amp;CONCATENATE($G$6,"/",B22),Proventos!$J:$J,"="&amp;$H$2),
AND($H$2=Data!$A$8,$K$2=Data!$A$2),SUMIFS(Proventos!$H:$H,Proventos!$D:$D,"&gt;="&amp;CONCATENATE($F$6,"/",B22),Proventos!$D:$D,"&lt;"&amp;CONCATENATE($G$6,"/",B22),Proventos!$J:$J,"="&amp;$H$2),
AND($H$2=Data!$A$9,$K$2=Data!$A$2),SUMIFS(Proventos!$H:$H,Proventos!$D:$D,"&gt;="&amp;CONCATENATE($F$6,"/",B22),Proventos!$D:$D,"&lt;"&amp;CONCATENATE($G$6,"/",B22),Proventos!$J:$J,"="&amp;$H$2),
AND($H$2=Data!$A$10,$K$2=Data!$A$2),SUMIFS(Proventos!$H:$H,Proventos!$D:$D,"&gt;="&amp;CONCATENATE($F$6,"/",B22),Proventos!$D:$D,"&lt;"&amp;CONCATENATE($G$6,"/",B22),Proventos!$J:$J,"="&amp;$H$2),
AND($H$2=Data!$A$11,$K$2=Data!$A$2),SUMIFS(Proventos!$H:$H,Proventos!$D:$D,"&gt;="&amp;CONCATENATE($F$6,"/",B22),Proventos!$D:$D,"&lt;"&amp;CONCATENATE($G$6,"/",B22),Proventos!$J:$J,"="&amp;$H$2),
$K$2=Data!$A$2,SUMIFS(Proventos!$H:$H,Proventos!$D:$D,"&gt;="&amp;CONCATENATE($F$6,"/",B22),Proventos!$D:$D,"&lt;"&amp;CONCATENATE($G$6,"/",B22)),
$K$2&lt;&gt;Data!$A$2,SUMIFS(Proventos!$H:$H,Proventos!$D:$D,"&gt;="&amp;CONCATENATE($F$6,"/",B22),Proventos!$D:$D,"&lt;"&amp;CONCATENATE($G$6,"/",B22),Proventos!$A:$A,"="&amp;$K$2))</f>
        <v>0</v>
      </c>
      <c r="G22" s="245">
        <f>IFS(
AND($H$2=Data!$A$3,$K$2=Data!$A$2),SUMIFS(Proventos!$H:$H,Proventos!$D:$D,"&gt;="&amp;CONCATENATE($G$6,"/",B22),Proventos!$D:$D,"&lt;"&amp;CONCATENATE($H$6,"/",B22),Proventos!$J:$J,"="&amp;$H$2),
AND($H$2=Data!$A$4,$K$2=Data!$A$2),SUMIFS(Proventos!$H:$H,Proventos!$D:$D,"&gt;="&amp;CONCATENATE($G$6,"/",B22),Proventos!$D:$D,"&lt;"&amp;CONCATENATE($H$6,"/",B22),Proventos!$J:$J,"="&amp;$H$2),
AND($H$2=Data!$A$5,$K$2=Data!$A$2),SUMIFS(Proventos!$H:$H,Proventos!$D:$D,"&gt;="&amp;CONCATENATE($G$6,"/",B22),Proventos!$D:$D,"&lt;"&amp;CONCATENATE($H$6,"/",B22),Proventos!$J:$J,"="&amp;$H$2),
AND($H$2=Data!$A$6,$K$2=Data!$A$2),SUMIFS(Proventos!$H:$H,Proventos!$D:$D,"&gt;="&amp;CONCATENATE($G$6,"/",B22),Proventos!$D:$D,"&lt;"&amp;CONCATENATE($H$6,"/",B22),Proventos!$J:$J,"="&amp;$H$2),
AND($H$2=Data!$A$7,$K$2=Data!$A$2),SUMIFS(Proventos!$H:$H,Proventos!$D:$D,"&gt;="&amp;CONCATENATE($G$6,"/",B22),Proventos!$D:$D,"&lt;"&amp;CONCATENATE($H$6,"/",B22),Proventos!$J:$J,"="&amp;$H$2),
AND($H$2=Data!$A$8,$K$2=Data!$A$2),SUMIFS(Proventos!$H:$H,Proventos!$D:$D,"&gt;="&amp;CONCATENATE($G$6,"/",B22),Proventos!$D:$D,"&lt;"&amp;CONCATENATE($H$6,"/",B22),Proventos!$J:$J,"="&amp;$H$2),
AND($H$2=Data!$A$9,$K$2=Data!$A$2),SUMIFS(Proventos!$H:$H,Proventos!$D:$D,"&gt;="&amp;CONCATENATE($G$6,"/",B22),Proventos!$D:$D,"&lt;"&amp;CONCATENATE($H$6,"/",B22),Proventos!$J:$J,"="&amp;$H$2),
AND($H$2=Data!$A$10,$K$2=Data!$A$2),SUMIFS(Proventos!$H:$H,Proventos!$D:$D,"&gt;="&amp;CONCATENATE($G$6,"/",B22),Proventos!$D:$D,"&lt;"&amp;CONCATENATE($H$6,"/",B22),Proventos!$J:$J,"="&amp;$H$2),
AND($H$2=Data!$A$11,$K$2=Data!$A$2),SUMIFS(Proventos!$H:$H,Proventos!$D:$D,"&gt;="&amp;CONCATENATE($G$6,"/",B22),Proventos!$D:$D,"&lt;"&amp;CONCATENATE($H$6,"/",B22),Proventos!$J:$J,"="&amp;$H$2),
$K$2=Data!$A$2,SUMIFS(Proventos!$H:$H,Proventos!$D:$D,"&gt;="&amp;CONCATENATE($G$6,"/",B22),Proventos!$D:$D,"&lt;"&amp;CONCATENATE($H$6,"/",B22)),
$K$2&lt;&gt;Data!$A$2,SUMIFS(Proventos!$H:$H,Proventos!$D:$D,"&gt;="&amp;CONCATENATE($G$6,"/",B22),Proventos!$D:$D,"&lt;"&amp;CONCATENATE($H$6,"/",B22),Proventos!$A:$A,"="&amp;$K$2))</f>
        <v>0</v>
      </c>
      <c r="H22" s="245">
        <f>IFS(
AND($H$2=Data!$A$3,$K$2=Data!$A$2),SUMIFS(Proventos!$H:$H,Proventos!$D:$D,"&gt;="&amp;CONCATENATE($H$6,"/",B22),Proventos!$D:$D,"&lt;"&amp;CONCATENATE($I$6,"/",B22),Proventos!$J:$J,"="&amp;$H$2),
AND($H$2=Data!$A$4,$K$2=Data!$A$2),SUMIFS(Proventos!$H:$H,Proventos!$D:$D,"&gt;="&amp;CONCATENATE($H$6,"/",B22),Proventos!$D:$D,"&lt;"&amp;CONCATENATE($I$6,"/",B22),Proventos!$J:$J,"="&amp;$H$2),
AND($H$2=Data!$A$5,$K$2=Data!$A$2),SUMIFS(Proventos!$H:$H,Proventos!$D:$D,"&gt;="&amp;CONCATENATE($H$6,"/",B22),Proventos!$D:$D,"&lt;"&amp;CONCATENATE($I$6,"/",B22),Proventos!$J:$J,"="&amp;$H$2),
AND($H$2=Data!$A$6,$K$2=Data!$A$2),SUMIFS(Proventos!$H:$H,Proventos!$D:$D,"&gt;="&amp;CONCATENATE($H$6,"/",B22),Proventos!$D:$D,"&lt;"&amp;CONCATENATE($I$6,"/",B22),Proventos!$J:$J,"="&amp;$H$2),
AND($H$2=Data!$A$7,$K$2=Data!$A$2),SUMIFS(Proventos!$H:$H,Proventos!$D:$D,"&gt;="&amp;CONCATENATE($H$6,"/",B22),Proventos!$D:$D,"&lt;"&amp;CONCATENATE($I$6,"/",B22),Proventos!$J:$J,"="&amp;$H$2),
AND($H$2=Data!$A$8,$K$2=Data!$A$2),SUMIFS(Proventos!$H:$H,Proventos!$D:$D,"&gt;="&amp;CONCATENATE($H$6,"/",B22),Proventos!$D:$D,"&lt;"&amp;CONCATENATE($I$6,"/",B22),Proventos!$J:$J,"="&amp;$H$2),
AND($H$2=Data!$A$9,$K$2=Data!$A$2),SUMIFS(Proventos!$H:$H,Proventos!$D:$D,"&gt;="&amp;CONCATENATE($H$6,"/",B22),Proventos!$D:$D,"&lt;"&amp;CONCATENATE($I$6,"/",B22),Proventos!$J:$J,"="&amp;$H$2),
AND($H$2=Data!$A$10,$K$2=Data!$A$2),SUMIFS(Proventos!$H:$H,Proventos!$D:$D,"&gt;="&amp;CONCATENATE($H$6,"/",B22),Proventos!$D:$D,"&lt;"&amp;CONCATENATE($I$6,"/",B22),Proventos!$J:$J,"="&amp;$H$2),
AND($H$2=Data!$A$11,$K$2=Data!$A$2),SUMIFS(Proventos!$H:$H,Proventos!$D:$D,"&gt;="&amp;CONCATENATE($H$6,"/",B22),Proventos!$D:$D,"&lt;"&amp;CONCATENATE($I$6,"/",B22),Proventos!$J:$J,"="&amp;$H$2),
$K$2=Data!$A$2,SUMIFS(Proventos!$H:$H,Proventos!$D:$D,"&gt;="&amp;CONCATENATE($H$6,"/",B22),Proventos!$D:$D,"&lt;"&amp;CONCATENATE($I$6,"/",B22)),
$K$2&lt;&gt;Data!$A$2,SUMIFS(Proventos!$H:$H,Proventos!$D:$D,"&gt;="&amp;CONCATENATE($H$6,"/",B22),Proventos!$D:$D,"&lt;"&amp;CONCATENATE($I$6,"/",B22),Proventos!$A:$A,"="&amp;$K$2))</f>
        <v>0</v>
      </c>
      <c r="I22" s="245">
        <f>IFS(
AND($H$2=Data!$A$3,$K$2=Data!$A$2),SUMIFS(Proventos!$H:$H,Proventos!$D:$D,"&gt;="&amp;CONCATENATE($I$6,"/",B22),Proventos!$D:$D,"&lt;"&amp;CONCATENATE($J$6,"/",B22),Proventos!$J:$J,"="&amp;$H$2),
AND($H$2=Data!$A$4,$K$2=Data!$A$2),SUMIFS(Proventos!$H:$H,Proventos!$D:$D,"&gt;="&amp;CONCATENATE($I$6,"/",B22),Proventos!$D:$D,"&lt;"&amp;CONCATENATE($J$6,"/",B22),Proventos!$J:$J,"="&amp;$H$2),
AND($H$2=Data!$A$5,$K$2=Data!$A$2),SUMIFS(Proventos!$H:$H,Proventos!$D:$D,"&gt;="&amp;CONCATENATE($I$6,"/",B22),Proventos!$D:$D,"&lt;"&amp;CONCATENATE($J$6,"/",B22),Proventos!$J:$J,"="&amp;$H$2),
AND($H$2=Data!$A$6,$K$2=Data!$A$2),SUMIFS(Proventos!$H:$H,Proventos!$D:$D,"&gt;="&amp;CONCATENATE($I$6,"/",B22),Proventos!$D:$D,"&lt;"&amp;CONCATENATE($J$6,"/",B22),Proventos!$J:$J,"="&amp;$H$2),
AND($H$2=Data!$A$7,$K$2=Data!$A$2),SUMIFS(Proventos!$H:$H,Proventos!$D:$D,"&gt;="&amp;CONCATENATE($I$6,"/",B22),Proventos!$D:$D,"&lt;"&amp;CONCATENATE($J$6,"/",B22),Proventos!$J:$J,"="&amp;$H$2),
AND($H$2=Data!$A$8,$K$2=Data!$A$2),SUMIFS(Proventos!$H:$H,Proventos!$D:$D,"&gt;="&amp;CONCATENATE($I$6,"/",B22),Proventos!$D:$D,"&lt;"&amp;CONCATENATE($J$6,"/",B22),Proventos!$J:$J,"="&amp;$H$2),
AND($H$2=Data!$A$9,$K$2=Data!$A$2),SUMIFS(Proventos!$H:$H,Proventos!$D:$D,"&gt;="&amp;CONCATENATE($I$6,"/",B22),Proventos!$D:$D,"&lt;"&amp;CONCATENATE($J$6,"/",B22),Proventos!$J:$J,"="&amp;$H$2),
AND($H$2=Data!$A$10,$K$2=Data!$A$2),SUMIFS(Proventos!$H:$H,Proventos!$D:$D,"&gt;="&amp;CONCATENATE($I$6,"/",B22),Proventos!$D:$D,"&lt;"&amp;CONCATENATE($J$6,"/",B22),Proventos!$J:$J,"="&amp;$H$2),
AND($H$2=Data!$A$11,$K$2=Data!$A$2),SUMIFS(Proventos!$H:$H,Proventos!$D:$D,"&gt;="&amp;CONCATENATE($I$6,"/",B22),Proventos!$D:$D,"&lt;"&amp;CONCATENATE($J$6,"/",B22),Proventos!$J:$J,"="&amp;$H$2),
$K$2=Data!$A$2,SUMIFS(Proventos!$H:$H,Proventos!$D:$D,"&gt;="&amp;CONCATENATE($I$6,"/",B22),Proventos!$D:$D,"&lt;"&amp;CONCATENATE($J$6,"/",B22)),
$K$2&lt;&gt;Data!$A$2,SUMIFS(Proventos!$H:$H,Proventos!$D:$D,"&gt;="&amp;CONCATENATE($I$6,"/",B22),Proventos!$D:$D,"&lt;"&amp;CONCATENATE($J$6,"/",B22),Proventos!$A:$A,"="&amp;$K$2))</f>
        <v>0</v>
      </c>
      <c r="J22" s="245">
        <f>IFS(
AND($H$2=Data!$A$3,$K$2=Data!$A$2),SUMIFS(Proventos!$H:$H,Proventos!$D:$D,"&gt;="&amp;CONCATENATE($J$6,"/",B22),Proventos!$D:$D,"&lt;"&amp;CONCATENATE($K$6,"/",B22),Proventos!$J:$J,"="&amp;$H$2),
AND($H$2=Data!$A$4,$K$2=Data!$A$2),SUMIFS(Proventos!$H:$H,Proventos!$D:$D,"&gt;="&amp;CONCATENATE($J$6,"/",B22),Proventos!$D:$D,"&lt;"&amp;CONCATENATE($K$6,"/",B22),Proventos!$J:$J,"="&amp;$H$2),
AND($H$2=Data!$A$5,$K$2=Data!$A$2),SUMIFS(Proventos!$H:$H,Proventos!$D:$D,"&gt;="&amp;CONCATENATE($J$6,"/",B22),Proventos!$D:$D,"&lt;"&amp;CONCATENATE($K$6,"/",B22),Proventos!$J:$J,"="&amp;$H$2),
AND($H$2=Data!$A$6,$K$2=Data!$A$2),SUMIFS(Proventos!$H:$H,Proventos!$D:$D,"&gt;="&amp;CONCATENATE($J$6,"/",B22),Proventos!$D:$D,"&lt;"&amp;CONCATENATE($K$6,"/",B22),Proventos!$J:$J,"="&amp;$H$2),
AND($H$2=Data!$A$7,$K$2=Data!$A$2),SUMIFS(Proventos!$H:$H,Proventos!$D:$D,"&gt;="&amp;CONCATENATE($J$6,"/",B22),Proventos!$D:$D,"&lt;"&amp;CONCATENATE($K$6,"/",B22),Proventos!$J:$J,"="&amp;$H$2),
AND($H$2=Data!$A$8,$K$2=Data!$A$2),SUMIFS(Proventos!$H:$H,Proventos!$D:$D,"&gt;="&amp;CONCATENATE($J$6,"/",B22),Proventos!$D:$D,"&lt;"&amp;CONCATENATE($K$6,"/",B22),Proventos!$J:$J,"="&amp;$H$2),
AND($H$2=Data!$A$9,$K$2=Data!$A$2),SUMIFS(Proventos!$H:$H,Proventos!$D:$D,"&gt;="&amp;CONCATENATE($J$6,"/",B22),Proventos!$D:$D,"&lt;"&amp;CONCATENATE($K$6,"/",B22),Proventos!$J:$J,"="&amp;$H$2),
AND($H$2=Data!$A$10,$K$2=Data!$A$2),SUMIFS(Proventos!$H:$H,Proventos!$D:$D,"&gt;="&amp;CONCATENATE($J$6,"/",B22),Proventos!$D:$D,"&lt;"&amp;CONCATENATE($K$6,"/",B22),Proventos!$J:$J,"="&amp;$H$2),
AND($H$2=Data!$A$11,$K$2=Data!$A$2),SUMIFS(Proventos!$H:$H,Proventos!$D:$D,"&gt;="&amp;CONCATENATE($J$6,"/",B22),Proventos!$D:$D,"&lt;"&amp;CONCATENATE($K$6,"/",B22),Proventos!$J:$J,"="&amp;$H$2),
$K$2=Data!$A$2,SUMIFS(Proventos!$H:$H,Proventos!$D:$D,"&gt;="&amp;CONCATENATE($J$6,"/",B22),Proventos!$D:$D,"&lt;"&amp;CONCATENATE($K$6,"/",B22)),
$K$2&lt;&gt;Data!$A$2,SUMIFS(Proventos!$H:$H,Proventos!$D:$D,"&gt;="&amp;CONCATENATE($J$6,"/",B22),Proventos!$D:$D,"&lt;"&amp;CONCATENATE($K$6,"/",B22),Proventos!$A:$A,"="&amp;$K$2))</f>
        <v>0</v>
      </c>
      <c r="K22" s="245">
        <f>IFS(
AND($H$2=Data!$A$3,$K$2=Data!$A$2),SUMIFS(Proventos!$H:$H,Proventos!$D:$D,"&gt;="&amp;CONCATENATE($K$6,"/",B22),Proventos!$D:$D,"&lt;"&amp;CONCATENATE($L$6,"/",B22),Proventos!$J:$J,"="&amp;$H$2),
AND($H$2=Data!$A$4,$K$2=Data!$A$2),SUMIFS(Proventos!$H:$H,Proventos!$D:$D,"&gt;="&amp;CONCATENATE($K$6,"/",B22),Proventos!$D:$D,"&lt;"&amp;CONCATENATE($L$6,"/",B22),Proventos!$J:$J,"="&amp;$H$2),
AND($H$2=Data!$A$5,$K$2=Data!$A$2),SUMIFS(Proventos!$H:$H,Proventos!$D:$D,"&gt;="&amp;CONCATENATE($K$6,"/",B22),Proventos!$D:$D,"&lt;"&amp;CONCATENATE($L$6,"/",B22),Proventos!$J:$J,"="&amp;$H$2),
AND($H$2=Data!$A$6,$K$2=Data!$A$2),SUMIFS(Proventos!$H:$H,Proventos!$D:$D,"&gt;="&amp;CONCATENATE($K$6,"/",B22),Proventos!$D:$D,"&lt;"&amp;CONCATENATE($L$6,"/",B22),Proventos!$J:$J,"="&amp;$H$2),
AND($H$2=Data!$A$7,$K$2=Data!$A$2),SUMIFS(Proventos!$H:$H,Proventos!$D:$D,"&gt;="&amp;CONCATENATE($K$6,"/",B22),Proventos!$D:$D,"&lt;"&amp;CONCATENATE($L$6,"/",B22),Proventos!$J:$J,"="&amp;$H$2),
AND($H$2=Data!$A$8,$K$2=Data!$A$2),SUMIFS(Proventos!$H:$H,Proventos!$D:$D,"&gt;="&amp;CONCATENATE($K$6,"/",B22),Proventos!$D:$D,"&lt;"&amp;CONCATENATE($L$6,"/",B22),Proventos!$J:$J,"="&amp;$H$2),
AND($H$2=Data!$A$9,$K$2=Data!$A$2),SUMIFS(Proventos!$H:$H,Proventos!$D:$D,"&gt;="&amp;CONCATENATE($K$6,"/",B22),Proventos!$D:$D,"&lt;"&amp;CONCATENATE($L$6,"/",B22),Proventos!$J:$J,"="&amp;$H$2),
AND($H$2=Data!$A$10,$K$2=Data!$A$2),SUMIFS(Proventos!$H:$H,Proventos!$D:$D,"&gt;="&amp;CONCATENATE($K$6,"/",B22),Proventos!$D:$D,"&lt;"&amp;CONCATENATE($L$6,"/",B22),Proventos!$J:$J,"="&amp;$H$2),
AND($H$2=Data!$A$11,$K$2=Data!$A$2),SUMIFS(Proventos!$H:$H,Proventos!$D:$D,"&gt;="&amp;CONCATENATE($K$6,"/",B22),Proventos!$D:$D,"&lt;"&amp;CONCATENATE($L$6,"/",B22),Proventos!$J:$J,"="&amp;$H$2),
$K$2=Data!$A$2,SUMIFS(Proventos!$H:$H,Proventos!$D:$D,"&gt;="&amp;CONCATENATE($K$6,"/",B22),Proventos!$D:$D,"&lt;"&amp;CONCATENATE($L$6,"/",B22)),
$K$2&lt;&gt;Data!$A$2,SUMIFS(Proventos!$H:$H,Proventos!$D:$D,"&gt;="&amp;CONCATENATE($K$6,"/",B22),Proventos!$D:$D,"&lt;"&amp;CONCATENATE($L$6,"/",B22),Proventos!$A:$A,"="&amp;$K$2))</f>
        <v>0</v>
      </c>
      <c r="L22" s="245">
        <f>IFS(
AND($H$2=Data!$A$3,$K$2=Data!$A$2),SUMIFS(Proventos!$H:$H,Proventos!$D:$D,"&gt;="&amp;CONCATENATE($L$6,"/",B22),Proventos!$D:$D,"&lt;"&amp;CONCATENATE($M$6,"/",B22),Proventos!$J:$J,"="&amp;$H$2),
AND($H$2=Data!$A$4,$K$2=Data!$A$2),SUMIFS(Proventos!$H:$H,Proventos!$D:$D,"&gt;="&amp;CONCATENATE($L$6,"/",B22),Proventos!$D:$D,"&lt;"&amp;CONCATENATE($M$6,"/",B22),Proventos!$J:$J,"="&amp;$H$2),
AND($H$2=Data!$A$5,$K$2=Data!$A$2),SUMIFS(Proventos!$H:$H,Proventos!$D:$D,"&gt;="&amp;CONCATENATE($L$6,"/",B22),Proventos!$D:$D,"&lt;"&amp;CONCATENATE($M$6,"/",B22),Proventos!$J:$J,"="&amp;$H$2),
AND($H$2=Data!$A$6,$K$2=Data!$A$2),SUMIFS(Proventos!$H:$H,Proventos!$D:$D,"&gt;="&amp;CONCATENATE($L$6,"/",B22),Proventos!$D:$D,"&lt;"&amp;CONCATENATE($M$6,"/",B22),Proventos!$J:$J,"="&amp;$H$2),
AND($H$2=Data!$A$7,$K$2=Data!$A$2),SUMIFS(Proventos!$H:$H,Proventos!$D:$D,"&gt;="&amp;CONCATENATE($L$6,"/",B22),Proventos!$D:$D,"&lt;"&amp;CONCATENATE($M$6,"/",B22),Proventos!$J:$J,"="&amp;$H$2),
AND($H$2=Data!$A$8,$K$2=Data!$A$2),SUMIFS(Proventos!$H:$H,Proventos!$D:$D,"&gt;="&amp;CONCATENATE($L$6,"/",B22),Proventos!$D:$D,"&lt;"&amp;CONCATENATE($M$6,"/",B22),Proventos!$J:$J,"="&amp;$H$2),
AND($H$2=Data!$A$9,$K$2=Data!$A$2),SUMIFS(Proventos!$H:$H,Proventos!$D:$D,"&gt;="&amp;CONCATENATE($L$6,"/",B22),Proventos!$D:$D,"&lt;"&amp;CONCATENATE($M$6,"/",B22),Proventos!$J:$J,"="&amp;$H$2),
AND($H$2=Data!$A$10,$K$2=Data!$A$2),SUMIFS(Proventos!$H:$H,Proventos!$D:$D,"&gt;="&amp;CONCATENATE($L$6,"/",B22),Proventos!$D:$D,"&lt;"&amp;CONCATENATE($M$6,"/",B22),Proventos!$J:$J,"="&amp;$H$2),
AND($H$2=Data!$A$11,$K$2=Data!$A$2),SUMIFS(Proventos!$H:$H,Proventos!$D:$D,"&gt;="&amp;CONCATENATE($L$6,"/",B22),Proventos!$D:$D,"&lt;"&amp;CONCATENATE($M$6,"/",B22),Proventos!$J:$J,"="&amp;$H$2),
$K$2=Data!$A$2,SUMIFS(Proventos!$H:$H,Proventos!$D:$D,"&gt;="&amp;CONCATENATE($L$6,"/",B22),Proventos!$D:$D,"&lt;"&amp;CONCATENATE($M$6,"/",B22)),
$K$2&lt;&gt;Data!$A$2,SUMIFS(Proventos!$H:$H,Proventos!$D:$D,"&gt;="&amp;CONCATENATE($L$6,"/",B22),Proventos!$D:$D,"&lt;"&amp;CONCATENATE($M$6,"/",B22),Proventos!$A:$A,"="&amp;$K$2))</f>
        <v>0</v>
      </c>
      <c r="M22" s="245">
        <f>IFS(
AND($H$2=Data!$A$3,$K$2=Data!$A$2),SUMIFS(Proventos!$H:$H,Proventos!$D:$D,"&gt;="&amp;CONCATENATE($M$6,"/",B22),Proventos!$D:$D,"&lt;"&amp;CONCATENATE($N$6,"/",B22),Proventos!$J:$J,"="&amp;$H$2),
AND($H$2=Data!$A$4,$K$2=Data!$A$2),SUMIFS(Proventos!$H:$H,Proventos!$D:$D,"&gt;="&amp;CONCATENATE($M$6,"/",B22),Proventos!$D:$D,"&lt;"&amp;CONCATENATE($N$6,"/",B22),Proventos!$J:$J,"="&amp;$H$2),
AND($H$2=Data!$A$5,$K$2=Data!$A$2),SUMIFS(Proventos!$H:$H,Proventos!$D:$D,"&gt;="&amp;CONCATENATE($M$6,"/",B22),Proventos!$D:$D,"&lt;"&amp;CONCATENATE($N$6,"/",B22),Proventos!$J:$J,"="&amp;$H$2),
AND($H$2=Data!$A$6,$K$2=Data!$A$2),SUMIFS(Proventos!$H:$H,Proventos!$D:$D,"&gt;="&amp;CONCATENATE($M$6,"/",B22),Proventos!$D:$D,"&lt;"&amp;CONCATENATE($N$6,"/",B22),Proventos!$J:$J,"="&amp;$H$2),
AND($H$2=Data!$A$7,$K$2=Data!$A$2),SUMIFS(Proventos!$H:$H,Proventos!$D:$D,"&gt;="&amp;CONCATENATE($M$6,"/",B22),Proventos!$D:$D,"&lt;"&amp;CONCATENATE($N$6,"/",B22),Proventos!$J:$J,"="&amp;$H$2),
AND($H$2=Data!$A$8,$K$2=Data!$A$2),SUMIFS(Proventos!$H:$H,Proventos!$D:$D,"&gt;="&amp;CONCATENATE($M$6,"/",B22),Proventos!$D:$D,"&lt;"&amp;CONCATENATE($N$6,"/",B22),Proventos!$J:$J,"="&amp;$H$2),
AND($H$2=Data!$A$9,$K$2=Data!$A$2),SUMIFS(Proventos!$H:$H,Proventos!$D:$D,"&gt;="&amp;CONCATENATE($M$6,"/",B22),Proventos!$D:$D,"&lt;"&amp;CONCATENATE($N$6,"/",B22),Proventos!$J:$J,"="&amp;$H$2),
AND($H$2=Data!$A$10,$K$2=Data!$A$2),SUMIFS(Proventos!$H:$H,Proventos!$D:$D,"&gt;="&amp;CONCATENATE($M$6,"/",B22),Proventos!$D:$D,"&lt;"&amp;CONCATENATE($N$6,"/",B22),Proventos!$J:$J,"="&amp;$H$2),
AND($H$2=Data!$A$11,$K$2=Data!$A$2),SUMIFS(Proventos!$H:$H,Proventos!$D:$D,"&gt;="&amp;CONCATENATE($M$6,"/",B22),Proventos!$D:$D,"&lt;"&amp;CONCATENATE($N$6,"/",B22),Proventos!$J:$J,"="&amp;$H$2),
$K$2=Data!$A$2,SUMIFS(Proventos!$H:$H,Proventos!$D:$D,"&gt;="&amp;CONCATENATE($M$6,"/",B22),Proventos!$D:$D,"&lt;"&amp;CONCATENATE($N$6,"/",B22)),
$K$2&lt;&gt;Data!$A$2,SUMIFS(Proventos!$H:$H,Proventos!$D:$D,"&gt;="&amp;CONCATENATE($M$6,"/",B22),Proventos!$D:$D,"&lt;"&amp;CONCATENATE($N$6,"/",B22),Proventos!$A:$A,"="&amp;$K$2))</f>
        <v>0</v>
      </c>
      <c r="N22" s="245">
        <f>IFS(
AND($H$2=Data!$A$3,$K$2=Data!$A$2),SUMIFS(Proventos!$H:$H,Proventos!$D:$D,"&gt;="&amp;CONCATENATE($N$6,"/",B22),Proventos!$D:$D,"&lt;"&amp;CONCATENATE($C$6,"/",B23),Proventos!$J:$J,"="&amp;$H$2),
AND($H$2=Data!$A$4,$K$2=Data!$A$2),SUMIFS(Proventos!$H:$H,Proventos!$D:$D,"&gt;="&amp;CONCATENATE($N$6,"/",B22),Proventos!$D:$D,"&lt;"&amp;CONCATENATE($C$6,"/",B23),Proventos!$J:$J,"="&amp;$H$2),
AND($H$2=Data!$A$5,$K$2=Data!$A$2),SUMIFS(Proventos!$H:$H,Proventos!$D:$D,"&gt;="&amp;CONCATENATE($N$6,"/",B22),Proventos!$D:$D,"&lt;"&amp;CONCATENATE($C$6,"/",B23),Proventos!$J:$J,"="&amp;$H$2),
AND($H$2=Data!$A$6,$K$2=Data!$A$2),SUMIFS(Proventos!$H:$H,Proventos!$D:$D,"&gt;="&amp;CONCATENATE($N$6,"/",B22),Proventos!$D:$D,"&lt;"&amp;CONCATENATE($C$6,"/",B23),Proventos!$J:$J,"="&amp;$H$2),
AND($H$2=Data!$A$7,$K$2=Data!$A$2),SUMIFS(Proventos!$H:$H,Proventos!$D:$D,"&gt;="&amp;CONCATENATE($N$6,"/",B22),Proventos!$D:$D,"&lt;"&amp;CONCATENATE($C$6,"/",B23),Proventos!$J:$J,"="&amp;$H$2),
AND($H$2=Data!$A$8,$K$2=Data!$A$2),SUMIFS(Proventos!$H:$H,Proventos!$D:$D,"&gt;="&amp;CONCATENATE($N$6,"/",B22),Proventos!$D:$D,"&lt;"&amp;CONCATENATE($C$6,"/",B23),Proventos!$J:$J,"="&amp;$H$2),
AND($H$2=Data!$A$9,$K$2=Data!$A$2),SUMIFS(Proventos!$H:$H,Proventos!$D:$D,"&gt;="&amp;CONCATENATE($N$6,"/",B22),Proventos!$D:$D,"&lt;"&amp;CONCATENATE($C$6,"/",B23),Proventos!$J:$J,"="&amp;$H$2),
AND($H$2=Data!$A$10,$K$2=Data!$A$2),SUMIFS(Proventos!$H:$H,Proventos!$D:$D,"&gt;="&amp;CONCATENATE($N$6,"/",B22),Proventos!$D:$D,"&lt;"&amp;CONCATENATE($C$6,"/",B23),Proventos!$J:$J,"="&amp;$H$2),
AND($H$2=Data!$A$11,$K$2=Data!$A$2),SUMIFS(Proventos!$H:$H,Proventos!$D:$D,"&gt;="&amp;CONCATENATE($N$6,"/",B22),Proventos!$D:$D,"&lt;"&amp;CONCATENATE($C$6,"/",B23),Proventos!$J:$J,"="&amp;$H$2),
$K$2=Data!$A$2,SUMIFS(Proventos!$H:$H,Proventos!$D:$D,"&gt;="&amp;CONCATENATE($N$6,"/",B22),Proventos!$D:$D,"&lt;"&amp;CONCATENATE($C$6,"/",B23)),
$K$2&lt;&gt;Data!$A$2,SUMIFS(Proventos!$H:$H,Proventos!$D:$D,"&gt;="&amp;CONCATENATE($N$6,"/",B22),Proventos!$D:$D,"&lt;"&amp;CONCATENATE($C$6,"/",B23),Proventos!$A:$A,"="&amp;$K$2))</f>
        <v>0</v>
      </c>
      <c r="O22" s="245"/>
      <c r="P22" s="245">
        <f t="shared" si="1"/>
        <v>0</v>
      </c>
      <c r="Q22" s="245">
        <f t="shared" si="2"/>
        <v>0</v>
      </c>
    </row>
    <row r="23" ht="32.25" customHeight="1">
      <c r="A23" s="246" t="str">
        <f>IFERROR(__xludf.DUMMYFUNCTION("""COMPUTED_VALUE"""),"KNRI11")</f>
        <v>KNRI11</v>
      </c>
      <c r="B23" s="244"/>
      <c r="C23" s="245">
        <f>IFS(
AND($H$2=Data!$A$3,$K$2=Data!$A$2),SUMIFS(Proventos!$H:$H,Proventos!$D:$D,"&gt;="&amp;CONCATENATE($C$6,"/",B23),Proventos!$D:$D,"&lt;"&amp;CONCATENATE($D$6,"/",B23),Proventos!$J:$J,"="&amp;$H$2),
AND($H$2=Data!$A$4,$K$2=Data!$A$2),SUMIFS(Proventos!$H:$H,Proventos!$D:$D,"&gt;="&amp;CONCATENATE($C$6,"/",B23),Proventos!$D:$D,"&lt;"&amp;CONCATENATE($D$6,"/",B23),Proventos!$J:$J,"="&amp;$H$2),
AND($H$2=Data!$A$5,$K$2=Data!$A$2),SUMIFS(Proventos!$H:$H,Proventos!$D:$D,"&gt;="&amp;CONCATENATE($C$6,"/",B23),Proventos!$D:$D,"&lt;"&amp;CONCATENATE($D$6,"/",B23),Proventos!$J:$J,"="&amp;$H$2),
AND($H$2=Data!$A$6,$K$2=Data!$A$2),SUMIFS(Proventos!$H:$H,Proventos!$D:$D,"&gt;="&amp;CONCATENATE($C$6,"/",B23),Proventos!$D:$D,"&lt;"&amp;CONCATENATE($D$6,"/",B23),Proventos!$J:$J,"="&amp;$H$2),
AND($H$2=Data!$A$7,$K$2=Data!$A$2),SUMIFS(Proventos!$H:$H,Proventos!$D:$D,"&gt;="&amp;CONCATENATE($C$6,"/",B23),Proventos!$D:$D,"&lt;"&amp;CONCATENATE($D$6,"/",B23),Proventos!$J:$J,"="&amp;$H$2),
AND($H$2=Data!$A$8,$K$2=Data!$A$2),SUMIFS(Proventos!$H:$H,Proventos!$D:$D,"&gt;="&amp;CONCATENATE($C$6,"/",B23),Proventos!$D:$D,"&lt;"&amp;CONCATENATE($D$6,"/",B23),Proventos!$J:$J,"="&amp;$H$2),
AND($H$2=Data!$A$9,$K$2=Data!$A$2),SUMIFS(Proventos!$H:$H,Proventos!$D:$D,"&gt;="&amp;CONCATENATE($C$6,"/",B23),Proventos!$D:$D,"&lt;"&amp;CONCATENATE($D$6,"/",B23),Proventos!$J:$J,"="&amp;$H$2),
AND($H$2=Data!$A$10,$K$2=Data!$A$2),SUMIFS(Proventos!$H:$H,Proventos!$D:$D,"&gt;="&amp;CONCATENATE($C$6,"/",B23),Proventos!$D:$D,"&lt;"&amp;CONCATENATE($D$6,"/",B23),Proventos!$J:$J,"="&amp;$H$2),
AND($H$2=Data!$A$11,$K$2=Data!$A$2),SUMIFS(Proventos!$H:$H,Proventos!$D:$D,"&gt;="&amp;CONCATENATE($C$6,"/",B23),Proventos!$D:$D,"&lt;"&amp;CONCATENATE($D$6,"/",B23),Proventos!$J:$J,"="&amp;$H$2),
$K$2=Data!$A$2,SUMIFS(Proventos!$H:$H,Proventos!$D:$D,"&gt;="&amp;CONCATENATE($C$6,"/",B23),Proventos!$D:$D,"&lt;"&amp;CONCATENATE($D$6,"/",B23)),
$K$2&lt;&gt;Data!$A$2,SUMIFS(Proventos!$H:$H,Proventos!$D:$D,"&gt;="&amp;CONCATENATE($C$6,"/",B23),Proventos!$D:$D,"&lt;"&amp;CONCATENATE($D$6,"/",B23),Proventos!$A:$A,"="&amp;$K$2))</f>
        <v>0</v>
      </c>
      <c r="D23" s="245">
        <f>IFS(
AND($H$2=Data!$A$3,$K$2=Data!$A$2),SUMIFS(Proventos!$H:$H,Proventos!$D:$D,"&gt;="&amp;CONCATENATE($D$6,"/",B23),Proventos!$D:$D,"&lt;"&amp;CONCATENATE($E$6,"/",B23),Proventos!$J:$J,"="&amp;$H$2),
AND($H$2=Data!$A$4,$K$2=Data!$A$2),SUMIFS(Proventos!$H:$H,Proventos!$D:$D,"&gt;="&amp;CONCATENATE($D$6,"/",B23),Proventos!$D:$D,"&lt;"&amp;CONCATENATE($E$6,"/",B23),Proventos!$J:$J,"="&amp;$H$2),
AND($H$2=Data!$A$5,$K$2=Data!$A$2),SUMIFS(Proventos!$H:$H,Proventos!$D:$D,"&gt;="&amp;CONCATENATE($D$6,"/",B23),Proventos!$D:$D,"&lt;"&amp;CONCATENATE($E$6,"/",B23),Proventos!$J:$J,"="&amp;$H$2),
AND($H$2=Data!$A$6,$K$2=Data!$A$2),SUMIFS(Proventos!$H:$H,Proventos!$D:$D,"&gt;="&amp;CONCATENATE($D$6,"/",B23),Proventos!$D:$D,"&lt;"&amp;CONCATENATE($E$6,"/",B23),Proventos!$J:$J,"="&amp;$H$2),
AND($H$2=Data!$A$7,$K$2=Data!$A$2),SUMIFS(Proventos!$H:$H,Proventos!$D:$D,"&gt;="&amp;CONCATENATE($D$6,"/",B23),Proventos!$D:$D,"&lt;"&amp;CONCATENATE($E$6,"/",B23),Proventos!$J:$J,"="&amp;$H$2),
AND($H$2=Data!$A$8,$K$2=Data!$A$2),SUMIFS(Proventos!$H:$H,Proventos!$D:$D,"&gt;="&amp;CONCATENATE($D$6,"/",B23),Proventos!$D:$D,"&lt;"&amp;CONCATENATE($E$6,"/",B23),Proventos!$J:$J,"="&amp;$H$2),
AND($H$2=Data!$A$9,$K$2=Data!$A$2),SUMIFS(Proventos!$H:$H,Proventos!$D:$D,"&gt;="&amp;CONCATENATE($D$6,"/",B23),Proventos!$D:$D,"&lt;"&amp;CONCATENATE($E$6,"/",B23),Proventos!$J:$J,"="&amp;$H$2),
AND($H$2=Data!$A$10,$K$2=Data!$A$2),SUMIFS(Proventos!$H:$H,Proventos!$D:$D,"&gt;="&amp;CONCATENATE($D$6,"/",B23),Proventos!$D:$D,"&lt;"&amp;CONCATENATE($E$6,"/",B23),Proventos!$J:$J,"="&amp;$H$2),
AND($H$2=Data!$A$11,$K$2=Data!$A$2),SUMIFS(Proventos!$H:$H,Proventos!$D:$D,"&gt;="&amp;CONCATENATE($D$6,"/",B23),Proventos!$D:$D,"&lt;"&amp;CONCATENATE($E$6,"/",B23),Proventos!$J:$J,"="&amp;$H$2),
$K$2=Data!$A$2,SUMIFS(Proventos!$H:$H,Proventos!$D:$D,"&gt;="&amp;CONCATENATE($D$6,"/",B23),Proventos!$D:$D,"&lt;"&amp;CONCATENATE($E$6,"/",B23)),
$K$2&lt;&gt;Data!$A$2,SUMIFS(Proventos!$H:$H,Proventos!$D:$D,"&gt;="&amp;CONCATENATE($D$6,"/",B23),Proventos!$D:$D,"&lt;"&amp;CONCATENATE($E$6,"/",B23),Proventos!$A:$A,"="&amp;$K$2))</f>
        <v>0</v>
      </c>
      <c r="E23" s="245">
        <f>IFS(
AND($H$2=Data!$A$3,$K$2=Data!$A$2),SUMIFS(Proventos!$H:$H,Proventos!$D:$D,"&gt;="&amp;CONCATENATE($E$6,"/",B23),Proventos!$D:$D,"&lt;"&amp;CONCATENATE($F$6,"/",B23),Proventos!$J:$J,"="&amp;$H$2),
AND($H$2=Data!$A$4,$K$2=Data!$A$2),SUMIFS(Proventos!$H:$H,Proventos!$D:$D,"&gt;="&amp;CONCATENATE($E$6,"/",B23),Proventos!$D:$D,"&lt;"&amp;CONCATENATE($F$6,"/",B23),Proventos!$J:$J,"="&amp;$H$2),
AND($H$2=Data!$A$5,$K$2=Data!$A$2),SUMIFS(Proventos!$H:$H,Proventos!$D:$D,"&gt;="&amp;CONCATENATE($E$6,"/",B23),Proventos!$D:$D,"&lt;"&amp;CONCATENATE($F$6,"/",B23),Proventos!$J:$J,"="&amp;$H$2),
AND($H$2=Data!$A$6,$K$2=Data!$A$2),SUMIFS(Proventos!$H:$H,Proventos!$D:$D,"&gt;="&amp;CONCATENATE($E$6,"/",B23),Proventos!$D:$D,"&lt;"&amp;CONCATENATE($F$6,"/",B23),Proventos!$J:$J,"="&amp;$H$2),
AND($H$2=Data!$A$7,$K$2=Data!$A$2),SUMIFS(Proventos!$H:$H,Proventos!$D:$D,"&gt;="&amp;CONCATENATE($E$6,"/",B23),Proventos!$D:$D,"&lt;"&amp;CONCATENATE($F$6,"/",B23),Proventos!$J:$J,"="&amp;$H$2),
AND($H$2=Data!$A$8,$K$2=Data!$A$2),SUMIFS(Proventos!$H:$H,Proventos!$D:$D,"&gt;="&amp;CONCATENATE($E$6,"/",B23),Proventos!$D:$D,"&lt;"&amp;CONCATENATE($F$6,"/",B23),Proventos!$J:$J,"="&amp;$H$2),
AND($H$2=Data!$A$9,$K$2=Data!$A$2),SUMIFS(Proventos!$H:$H,Proventos!$D:$D,"&gt;="&amp;CONCATENATE($E$6,"/",B23),Proventos!$D:$D,"&lt;"&amp;CONCATENATE($F$6,"/",B23),Proventos!$J:$J,"="&amp;$H$2),
AND($H$2=Data!$A$10,$K$2=Data!$A$2),SUMIFS(Proventos!$H:$H,Proventos!$D:$D,"&gt;="&amp;CONCATENATE($E$6,"/",B23),Proventos!$D:$D,"&lt;"&amp;CONCATENATE($F$6,"/",B23),Proventos!$J:$J,"="&amp;$H$2),
AND($H$2=Data!$A$11,$K$2=Data!$A$2),SUMIFS(Proventos!$H:$H,Proventos!$D:$D,"&gt;="&amp;CONCATENATE($E$6,"/",B23),Proventos!$D:$D,"&lt;"&amp;CONCATENATE($F$6,"/",B23),Proventos!$J:$J,"="&amp;$H$2),
$K$2=Data!$A$2,SUMIFS(Proventos!$H:$H,Proventos!$D:$D,"&gt;="&amp;CONCATENATE($E$6,"/",B23),Proventos!$D:$D,"&lt;"&amp;CONCATENATE($F$6,"/",B23)),
$K$2&lt;&gt;Data!$A$2,SUMIFS(Proventos!$H:$H,Proventos!$D:$D,"&gt;="&amp;CONCATENATE($E$6,"/",B23),Proventos!$D:$D,"&lt;"&amp;CONCATENATE($F$6,"/",B23),Proventos!$A:$A,"="&amp;$K$2))</f>
        <v>0</v>
      </c>
      <c r="F23" s="245">
        <f>IFS(
AND($H$2=Data!$A$3,$K$2=Data!$A$2),SUMIFS(Proventos!$H:$H,Proventos!$D:$D,"&gt;="&amp;CONCATENATE($F$6,"/",B23),Proventos!$D:$D,"&lt;"&amp;CONCATENATE($G$6,"/",B23),Proventos!$J:$J,"="&amp;$H$2),
AND($H$2=Data!$A$4,$K$2=Data!$A$2),SUMIFS(Proventos!$H:$H,Proventos!$D:$D,"&gt;="&amp;CONCATENATE($F$6,"/",B23),Proventos!$D:$D,"&lt;"&amp;CONCATENATE($G$6,"/",B23),Proventos!$J:$J,"="&amp;$H$2),
AND($H$2=Data!$A$5,$K$2=Data!$A$2),SUMIFS(Proventos!$H:$H,Proventos!$D:$D,"&gt;="&amp;CONCATENATE($F$6,"/",B23),Proventos!$D:$D,"&lt;"&amp;CONCATENATE($G$6,"/",B23),Proventos!$J:$J,"="&amp;$H$2),
AND($H$2=Data!$A$6,$K$2=Data!$A$2),SUMIFS(Proventos!$H:$H,Proventos!$D:$D,"&gt;="&amp;CONCATENATE($F$6,"/",B23),Proventos!$D:$D,"&lt;"&amp;CONCATENATE($G$6,"/",B23),Proventos!$J:$J,"="&amp;$H$2),
AND($H$2=Data!$A$7,$K$2=Data!$A$2),SUMIFS(Proventos!$H:$H,Proventos!$D:$D,"&gt;="&amp;CONCATENATE($F$6,"/",B23),Proventos!$D:$D,"&lt;"&amp;CONCATENATE($G$6,"/",B23),Proventos!$J:$J,"="&amp;$H$2),
AND($H$2=Data!$A$8,$K$2=Data!$A$2),SUMIFS(Proventos!$H:$H,Proventos!$D:$D,"&gt;="&amp;CONCATENATE($F$6,"/",B23),Proventos!$D:$D,"&lt;"&amp;CONCATENATE($G$6,"/",B23),Proventos!$J:$J,"="&amp;$H$2),
AND($H$2=Data!$A$9,$K$2=Data!$A$2),SUMIFS(Proventos!$H:$H,Proventos!$D:$D,"&gt;="&amp;CONCATENATE($F$6,"/",B23),Proventos!$D:$D,"&lt;"&amp;CONCATENATE($G$6,"/",B23),Proventos!$J:$J,"="&amp;$H$2),
AND($H$2=Data!$A$10,$K$2=Data!$A$2),SUMIFS(Proventos!$H:$H,Proventos!$D:$D,"&gt;="&amp;CONCATENATE($F$6,"/",B23),Proventos!$D:$D,"&lt;"&amp;CONCATENATE($G$6,"/",B23),Proventos!$J:$J,"="&amp;$H$2),
AND($H$2=Data!$A$11,$K$2=Data!$A$2),SUMIFS(Proventos!$H:$H,Proventos!$D:$D,"&gt;="&amp;CONCATENATE($F$6,"/",B23),Proventos!$D:$D,"&lt;"&amp;CONCATENATE($G$6,"/",B23),Proventos!$J:$J,"="&amp;$H$2),
$K$2=Data!$A$2,SUMIFS(Proventos!$H:$H,Proventos!$D:$D,"&gt;="&amp;CONCATENATE($F$6,"/",B23),Proventos!$D:$D,"&lt;"&amp;CONCATENATE($G$6,"/",B23)),
$K$2&lt;&gt;Data!$A$2,SUMIFS(Proventos!$H:$H,Proventos!$D:$D,"&gt;="&amp;CONCATENATE($F$6,"/",B23),Proventos!$D:$D,"&lt;"&amp;CONCATENATE($G$6,"/",B23),Proventos!$A:$A,"="&amp;$K$2))</f>
        <v>0</v>
      </c>
      <c r="G23" s="245">
        <f>IFS(
AND($H$2=Data!$A$3,$K$2=Data!$A$2),SUMIFS(Proventos!$H:$H,Proventos!$D:$D,"&gt;="&amp;CONCATENATE($G$6,"/",B23),Proventos!$D:$D,"&lt;"&amp;CONCATENATE($H$6,"/",B23),Proventos!$J:$J,"="&amp;$H$2),
AND($H$2=Data!$A$4,$K$2=Data!$A$2),SUMIFS(Proventos!$H:$H,Proventos!$D:$D,"&gt;="&amp;CONCATENATE($G$6,"/",B23),Proventos!$D:$D,"&lt;"&amp;CONCATENATE($H$6,"/",B23),Proventos!$J:$J,"="&amp;$H$2),
AND($H$2=Data!$A$5,$K$2=Data!$A$2),SUMIFS(Proventos!$H:$H,Proventos!$D:$D,"&gt;="&amp;CONCATENATE($G$6,"/",B23),Proventos!$D:$D,"&lt;"&amp;CONCATENATE($H$6,"/",B23),Proventos!$J:$J,"="&amp;$H$2),
AND($H$2=Data!$A$6,$K$2=Data!$A$2),SUMIFS(Proventos!$H:$H,Proventos!$D:$D,"&gt;="&amp;CONCATENATE($G$6,"/",B23),Proventos!$D:$D,"&lt;"&amp;CONCATENATE($H$6,"/",B23),Proventos!$J:$J,"="&amp;$H$2),
AND($H$2=Data!$A$7,$K$2=Data!$A$2),SUMIFS(Proventos!$H:$H,Proventos!$D:$D,"&gt;="&amp;CONCATENATE($G$6,"/",B23),Proventos!$D:$D,"&lt;"&amp;CONCATENATE($H$6,"/",B23),Proventos!$J:$J,"="&amp;$H$2),
AND($H$2=Data!$A$8,$K$2=Data!$A$2),SUMIFS(Proventos!$H:$H,Proventos!$D:$D,"&gt;="&amp;CONCATENATE($G$6,"/",B23),Proventos!$D:$D,"&lt;"&amp;CONCATENATE($H$6,"/",B23),Proventos!$J:$J,"="&amp;$H$2),
AND($H$2=Data!$A$9,$K$2=Data!$A$2),SUMIFS(Proventos!$H:$H,Proventos!$D:$D,"&gt;="&amp;CONCATENATE($G$6,"/",B23),Proventos!$D:$D,"&lt;"&amp;CONCATENATE($H$6,"/",B23),Proventos!$J:$J,"="&amp;$H$2),
AND($H$2=Data!$A$10,$K$2=Data!$A$2),SUMIFS(Proventos!$H:$H,Proventos!$D:$D,"&gt;="&amp;CONCATENATE($G$6,"/",B23),Proventos!$D:$D,"&lt;"&amp;CONCATENATE($H$6,"/",B23),Proventos!$J:$J,"="&amp;$H$2),
AND($H$2=Data!$A$11,$K$2=Data!$A$2),SUMIFS(Proventos!$H:$H,Proventos!$D:$D,"&gt;="&amp;CONCATENATE($G$6,"/",B23),Proventos!$D:$D,"&lt;"&amp;CONCATENATE($H$6,"/",B23),Proventos!$J:$J,"="&amp;$H$2),
$K$2=Data!$A$2,SUMIFS(Proventos!$H:$H,Proventos!$D:$D,"&gt;="&amp;CONCATENATE($G$6,"/",B23),Proventos!$D:$D,"&lt;"&amp;CONCATENATE($H$6,"/",B23)),
$K$2&lt;&gt;Data!$A$2,SUMIFS(Proventos!$H:$H,Proventos!$D:$D,"&gt;="&amp;CONCATENATE($G$6,"/",B23),Proventos!$D:$D,"&lt;"&amp;CONCATENATE($H$6,"/",B23),Proventos!$A:$A,"="&amp;$K$2))</f>
        <v>0</v>
      </c>
      <c r="H23" s="245">
        <f>IFS(
AND($H$2=Data!$A$3,$K$2=Data!$A$2),SUMIFS(Proventos!$H:$H,Proventos!$D:$D,"&gt;="&amp;CONCATENATE($H$6,"/",B23),Proventos!$D:$D,"&lt;"&amp;CONCATENATE($I$6,"/",B23),Proventos!$J:$J,"="&amp;$H$2),
AND($H$2=Data!$A$4,$K$2=Data!$A$2),SUMIFS(Proventos!$H:$H,Proventos!$D:$D,"&gt;="&amp;CONCATENATE($H$6,"/",B23),Proventos!$D:$D,"&lt;"&amp;CONCATENATE($I$6,"/",B23),Proventos!$J:$J,"="&amp;$H$2),
AND($H$2=Data!$A$5,$K$2=Data!$A$2),SUMIFS(Proventos!$H:$H,Proventos!$D:$D,"&gt;="&amp;CONCATENATE($H$6,"/",B23),Proventos!$D:$D,"&lt;"&amp;CONCATENATE($I$6,"/",B23),Proventos!$J:$J,"="&amp;$H$2),
AND($H$2=Data!$A$6,$K$2=Data!$A$2),SUMIFS(Proventos!$H:$H,Proventos!$D:$D,"&gt;="&amp;CONCATENATE($H$6,"/",B23),Proventos!$D:$D,"&lt;"&amp;CONCATENATE($I$6,"/",B23),Proventos!$J:$J,"="&amp;$H$2),
AND($H$2=Data!$A$7,$K$2=Data!$A$2),SUMIFS(Proventos!$H:$H,Proventos!$D:$D,"&gt;="&amp;CONCATENATE($H$6,"/",B23),Proventos!$D:$D,"&lt;"&amp;CONCATENATE($I$6,"/",B23),Proventos!$J:$J,"="&amp;$H$2),
AND($H$2=Data!$A$8,$K$2=Data!$A$2),SUMIFS(Proventos!$H:$H,Proventos!$D:$D,"&gt;="&amp;CONCATENATE($H$6,"/",B23),Proventos!$D:$D,"&lt;"&amp;CONCATENATE($I$6,"/",B23),Proventos!$J:$J,"="&amp;$H$2),
AND($H$2=Data!$A$9,$K$2=Data!$A$2),SUMIFS(Proventos!$H:$H,Proventos!$D:$D,"&gt;="&amp;CONCATENATE($H$6,"/",B23),Proventos!$D:$D,"&lt;"&amp;CONCATENATE($I$6,"/",B23),Proventos!$J:$J,"="&amp;$H$2),
AND($H$2=Data!$A$10,$K$2=Data!$A$2),SUMIFS(Proventos!$H:$H,Proventos!$D:$D,"&gt;="&amp;CONCATENATE($H$6,"/",B23),Proventos!$D:$D,"&lt;"&amp;CONCATENATE($I$6,"/",B23),Proventos!$J:$J,"="&amp;$H$2),
AND($H$2=Data!$A$11,$K$2=Data!$A$2),SUMIFS(Proventos!$H:$H,Proventos!$D:$D,"&gt;="&amp;CONCATENATE($H$6,"/",B23),Proventos!$D:$D,"&lt;"&amp;CONCATENATE($I$6,"/",B23),Proventos!$J:$J,"="&amp;$H$2),
$K$2=Data!$A$2,SUMIFS(Proventos!$H:$H,Proventos!$D:$D,"&gt;="&amp;CONCATENATE($H$6,"/",B23),Proventos!$D:$D,"&lt;"&amp;CONCATENATE($I$6,"/",B23)),
$K$2&lt;&gt;Data!$A$2,SUMIFS(Proventos!$H:$H,Proventos!$D:$D,"&gt;="&amp;CONCATENATE($H$6,"/",B23),Proventos!$D:$D,"&lt;"&amp;CONCATENATE($I$6,"/",B23),Proventos!$A:$A,"="&amp;$K$2))</f>
        <v>0</v>
      </c>
      <c r="I23" s="245">
        <f>IFS(
AND($H$2=Data!$A$3,$K$2=Data!$A$2),SUMIFS(Proventos!$H:$H,Proventos!$D:$D,"&gt;="&amp;CONCATENATE($I$6,"/",B23),Proventos!$D:$D,"&lt;"&amp;CONCATENATE($J$6,"/",B23),Proventos!$J:$J,"="&amp;$H$2),
AND($H$2=Data!$A$4,$K$2=Data!$A$2),SUMIFS(Proventos!$H:$H,Proventos!$D:$D,"&gt;="&amp;CONCATENATE($I$6,"/",B23),Proventos!$D:$D,"&lt;"&amp;CONCATENATE($J$6,"/",B23),Proventos!$J:$J,"="&amp;$H$2),
AND($H$2=Data!$A$5,$K$2=Data!$A$2),SUMIFS(Proventos!$H:$H,Proventos!$D:$D,"&gt;="&amp;CONCATENATE($I$6,"/",B23),Proventos!$D:$D,"&lt;"&amp;CONCATENATE($J$6,"/",B23),Proventos!$J:$J,"="&amp;$H$2),
AND($H$2=Data!$A$6,$K$2=Data!$A$2),SUMIFS(Proventos!$H:$H,Proventos!$D:$D,"&gt;="&amp;CONCATENATE($I$6,"/",B23),Proventos!$D:$D,"&lt;"&amp;CONCATENATE($J$6,"/",B23),Proventos!$J:$J,"="&amp;$H$2),
AND($H$2=Data!$A$7,$K$2=Data!$A$2),SUMIFS(Proventos!$H:$H,Proventos!$D:$D,"&gt;="&amp;CONCATENATE($I$6,"/",B23),Proventos!$D:$D,"&lt;"&amp;CONCATENATE($J$6,"/",B23),Proventos!$J:$J,"="&amp;$H$2),
AND($H$2=Data!$A$8,$K$2=Data!$A$2),SUMIFS(Proventos!$H:$H,Proventos!$D:$D,"&gt;="&amp;CONCATENATE($I$6,"/",B23),Proventos!$D:$D,"&lt;"&amp;CONCATENATE($J$6,"/",B23),Proventos!$J:$J,"="&amp;$H$2),
AND($H$2=Data!$A$9,$K$2=Data!$A$2),SUMIFS(Proventos!$H:$H,Proventos!$D:$D,"&gt;="&amp;CONCATENATE($I$6,"/",B23),Proventos!$D:$D,"&lt;"&amp;CONCATENATE($J$6,"/",B23),Proventos!$J:$J,"="&amp;$H$2),
AND($H$2=Data!$A$10,$K$2=Data!$A$2),SUMIFS(Proventos!$H:$H,Proventos!$D:$D,"&gt;="&amp;CONCATENATE($I$6,"/",B23),Proventos!$D:$D,"&lt;"&amp;CONCATENATE($J$6,"/",B23),Proventos!$J:$J,"="&amp;$H$2),
AND($H$2=Data!$A$11,$K$2=Data!$A$2),SUMIFS(Proventos!$H:$H,Proventos!$D:$D,"&gt;="&amp;CONCATENATE($I$6,"/",B23),Proventos!$D:$D,"&lt;"&amp;CONCATENATE($J$6,"/",B23),Proventos!$J:$J,"="&amp;$H$2),
$K$2=Data!$A$2,SUMIFS(Proventos!$H:$H,Proventos!$D:$D,"&gt;="&amp;CONCATENATE($I$6,"/",B23),Proventos!$D:$D,"&lt;"&amp;CONCATENATE($J$6,"/",B23)),
$K$2&lt;&gt;Data!$A$2,SUMIFS(Proventos!$H:$H,Proventos!$D:$D,"&gt;="&amp;CONCATENATE($I$6,"/",B23),Proventos!$D:$D,"&lt;"&amp;CONCATENATE($J$6,"/",B23),Proventos!$A:$A,"="&amp;$K$2))</f>
        <v>0</v>
      </c>
      <c r="J23" s="245">
        <f>IFS(
AND($H$2=Data!$A$3,$K$2=Data!$A$2),SUMIFS(Proventos!$H:$H,Proventos!$D:$D,"&gt;="&amp;CONCATENATE($J$6,"/",B23),Proventos!$D:$D,"&lt;"&amp;CONCATENATE($K$6,"/",B23),Proventos!$J:$J,"="&amp;$H$2),
AND($H$2=Data!$A$4,$K$2=Data!$A$2),SUMIFS(Proventos!$H:$H,Proventos!$D:$D,"&gt;="&amp;CONCATENATE($J$6,"/",B23),Proventos!$D:$D,"&lt;"&amp;CONCATENATE($K$6,"/",B23),Proventos!$J:$J,"="&amp;$H$2),
AND($H$2=Data!$A$5,$K$2=Data!$A$2),SUMIFS(Proventos!$H:$H,Proventos!$D:$D,"&gt;="&amp;CONCATENATE($J$6,"/",B23),Proventos!$D:$D,"&lt;"&amp;CONCATENATE($K$6,"/",B23),Proventos!$J:$J,"="&amp;$H$2),
AND($H$2=Data!$A$6,$K$2=Data!$A$2),SUMIFS(Proventos!$H:$H,Proventos!$D:$D,"&gt;="&amp;CONCATENATE($J$6,"/",B23),Proventos!$D:$D,"&lt;"&amp;CONCATENATE($K$6,"/",B23),Proventos!$J:$J,"="&amp;$H$2),
AND($H$2=Data!$A$7,$K$2=Data!$A$2),SUMIFS(Proventos!$H:$H,Proventos!$D:$D,"&gt;="&amp;CONCATENATE($J$6,"/",B23),Proventos!$D:$D,"&lt;"&amp;CONCATENATE($K$6,"/",B23),Proventos!$J:$J,"="&amp;$H$2),
AND($H$2=Data!$A$8,$K$2=Data!$A$2),SUMIFS(Proventos!$H:$H,Proventos!$D:$D,"&gt;="&amp;CONCATENATE($J$6,"/",B23),Proventos!$D:$D,"&lt;"&amp;CONCATENATE($K$6,"/",B23),Proventos!$J:$J,"="&amp;$H$2),
AND($H$2=Data!$A$9,$K$2=Data!$A$2),SUMIFS(Proventos!$H:$H,Proventos!$D:$D,"&gt;="&amp;CONCATENATE($J$6,"/",B23),Proventos!$D:$D,"&lt;"&amp;CONCATENATE($K$6,"/",B23),Proventos!$J:$J,"="&amp;$H$2),
AND($H$2=Data!$A$10,$K$2=Data!$A$2),SUMIFS(Proventos!$H:$H,Proventos!$D:$D,"&gt;="&amp;CONCATENATE($J$6,"/",B23),Proventos!$D:$D,"&lt;"&amp;CONCATENATE($K$6,"/",B23),Proventos!$J:$J,"="&amp;$H$2),
AND($H$2=Data!$A$11,$K$2=Data!$A$2),SUMIFS(Proventos!$H:$H,Proventos!$D:$D,"&gt;="&amp;CONCATENATE($J$6,"/",B23),Proventos!$D:$D,"&lt;"&amp;CONCATENATE($K$6,"/",B23),Proventos!$J:$J,"="&amp;$H$2),
$K$2=Data!$A$2,SUMIFS(Proventos!$H:$H,Proventos!$D:$D,"&gt;="&amp;CONCATENATE($J$6,"/",B23),Proventos!$D:$D,"&lt;"&amp;CONCATENATE($K$6,"/",B23)),
$K$2&lt;&gt;Data!$A$2,SUMIFS(Proventos!$H:$H,Proventos!$D:$D,"&gt;="&amp;CONCATENATE($J$6,"/",B23),Proventos!$D:$D,"&lt;"&amp;CONCATENATE($K$6,"/",B23),Proventos!$A:$A,"="&amp;$K$2))</f>
        <v>0</v>
      </c>
      <c r="K23" s="245">
        <f>IFS(
AND($H$2=Data!$A$3,$K$2=Data!$A$2),SUMIFS(Proventos!$H:$H,Proventos!$D:$D,"&gt;="&amp;CONCATENATE($K$6,"/",B23),Proventos!$D:$D,"&lt;"&amp;CONCATENATE($L$6,"/",B23),Proventos!$J:$J,"="&amp;$H$2),
AND($H$2=Data!$A$4,$K$2=Data!$A$2),SUMIFS(Proventos!$H:$H,Proventos!$D:$D,"&gt;="&amp;CONCATENATE($K$6,"/",B23),Proventos!$D:$D,"&lt;"&amp;CONCATENATE($L$6,"/",B23),Proventos!$J:$J,"="&amp;$H$2),
AND($H$2=Data!$A$5,$K$2=Data!$A$2),SUMIFS(Proventos!$H:$H,Proventos!$D:$D,"&gt;="&amp;CONCATENATE($K$6,"/",B23),Proventos!$D:$D,"&lt;"&amp;CONCATENATE($L$6,"/",B23),Proventos!$J:$J,"="&amp;$H$2),
AND($H$2=Data!$A$6,$K$2=Data!$A$2),SUMIFS(Proventos!$H:$H,Proventos!$D:$D,"&gt;="&amp;CONCATENATE($K$6,"/",B23),Proventos!$D:$D,"&lt;"&amp;CONCATENATE($L$6,"/",B23),Proventos!$J:$J,"="&amp;$H$2),
AND($H$2=Data!$A$7,$K$2=Data!$A$2),SUMIFS(Proventos!$H:$H,Proventos!$D:$D,"&gt;="&amp;CONCATENATE($K$6,"/",B23),Proventos!$D:$D,"&lt;"&amp;CONCATENATE($L$6,"/",B23),Proventos!$J:$J,"="&amp;$H$2),
AND($H$2=Data!$A$8,$K$2=Data!$A$2),SUMIFS(Proventos!$H:$H,Proventos!$D:$D,"&gt;="&amp;CONCATENATE($K$6,"/",B23),Proventos!$D:$D,"&lt;"&amp;CONCATENATE($L$6,"/",B23),Proventos!$J:$J,"="&amp;$H$2),
AND($H$2=Data!$A$9,$K$2=Data!$A$2),SUMIFS(Proventos!$H:$H,Proventos!$D:$D,"&gt;="&amp;CONCATENATE($K$6,"/",B23),Proventos!$D:$D,"&lt;"&amp;CONCATENATE($L$6,"/",B23),Proventos!$J:$J,"="&amp;$H$2),
AND($H$2=Data!$A$10,$K$2=Data!$A$2),SUMIFS(Proventos!$H:$H,Proventos!$D:$D,"&gt;="&amp;CONCATENATE($K$6,"/",B23),Proventos!$D:$D,"&lt;"&amp;CONCATENATE($L$6,"/",B23),Proventos!$J:$J,"="&amp;$H$2),
AND($H$2=Data!$A$11,$K$2=Data!$A$2),SUMIFS(Proventos!$H:$H,Proventos!$D:$D,"&gt;="&amp;CONCATENATE($K$6,"/",B23),Proventos!$D:$D,"&lt;"&amp;CONCATENATE($L$6,"/",B23),Proventos!$J:$J,"="&amp;$H$2),
$K$2=Data!$A$2,SUMIFS(Proventos!$H:$H,Proventos!$D:$D,"&gt;="&amp;CONCATENATE($K$6,"/",B23),Proventos!$D:$D,"&lt;"&amp;CONCATENATE($L$6,"/",B23)),
$K$2&lt;&gt;Data!$A$2,SUMIFS(Proventos!$H:$H,Proventos!$D:$D,"&gt;="&amp;CONCATENATE($K$6,"/",B23),Proventos!$D:$D,"&lt;"&amp;CONCATENATE($L$6,"/",B23),Proventos!$A:$A,"="&amp;$K$2))</f>
        <v>0</v>
      </c>
      <c r="L23" s="245">
        <f>IFS(
AND($H$2=Data!$A$3,$K$2=Data!$A$2),SUMIFS(Proventos!$H:$H,Proventos!$D:$D,"&gt;="&amp;CONCATENATE($L$6,"/",B23),Proventos!$D:$D,"&lt;"&amp;CONCATENATE($M$6,"/",B23),Proventos!$J:$J,"="&amp;$H$2),
AND($H$2=Data!$A$4,$K$2=Data!$A$2),SUMIFS(Proventos!$H:$H,Proventos!$D:$D,"&gt;="&amp;CONCATENATE($L$6,"/",B23),Proventos!$D:$D,"&lt;"&amp;CONCATENATE($M$6,"/",B23),Proventos!$J:$J,"="&amp;$H$2),
AND($H$2=Data!$A$5,$K$2=Data!$A$2),SUMIFS(Proventos!$H:$H,Proventos!$D:$D,"&gt;="&amp;CONCATENATE($L$6,"/",B23),Proventos!$D:$D,"&lt;"&amp;CONCATENATE($M$6,"/",B23),Proventos!$J:$J,"="&amp;$H$2),
AND($H$2=Data!$A$6,$K$2=Data!$A$2),SUMIFS(Proventos!$H:$H,Proventos!$D:$D,"&gt;="&amp;CONCATENATE($L$6,"/",B23),Proventos!$D:$D,"&lt;"&amp;CONCATENATE($M$6,"/",B23),Proventos!$J:$J,"="&amp;$H$2),
AND($H$2=Data!$A$7,$K$2=Data!$A$2),SUMIFS(Proventos!$H:$H,Proventos!$D:$D,"&gt;="&amp;CONCATENATE($L$6,"/",B23),Proventos!$D:$D,"&lt;"&amp;CONCATENATE($M$6,"/",B23),Proventos!$J:$J,"="&amp;$H$2),
AND($H$2=Data!$A$8,$K$2=Data!$A$2),SUMIFS(Proventos!$H:$H,Proventos!$D:$D,"&gt;="&amp;CONCATENATE($L$6,"/",B23),Proventos!$D:$D,"&lt;"&amp;CONCATENATE($M$6,"/",B23),Proventos!$J:$J,"="&amp;$H$2),
AND($H$2=Data!$A$9,$K$2=Data!$A$2),SUMIFS(Proventos!$H:$H,Proventos!$D:$D,"&gt;="&amp;CONCATENATE($L$6,"/",B23),Proventos!$D:$D,"&lt;"&amp;CONCATENATE($M$6,"/",B23),Proventos!$J:$J,"="&amp;$H$2),
AND($H$2=Data!$A$10,$K$2=Data!$A$2),SUMIFS(Proventos!$H:$H,Proventos!$D:$D,"&gt;="&amp;CONCATENATE($L$6,"/",B23),Proventos!$D:$D,"&lt;"&amp;CONCATENATE($M$6,"/",B23),Proventos!$J:$J,"="&amp;$H$2),
AND($H$2=Data!$A$11,$K$2=Data!$A$2),SUMIFS(Proventos!$H:$H,Proventos!$D:$D,"&gt;="&amp;CONCATENATE($L$6,"/",B23),Proventos!$D:$D,"&lt;"&amp;CONCATENATE($M$6,"/",B23),Proventos!$J:$J,"="&amp;$H$2),
$K$2=Data!$A$2,SUMIFS(Proventos!$H:$H,Proventos!$D:$D,"&gt;="&amp;CONCATENATE($L$6,"/",B23),Proventos!$D:$D,"&lt;"&amp;CONCATENATE($M$6,"/",B23)),
$K$2&lt;&gt;Data!$A$2,SUMIFS(Proventos!$H:$H,Proventos!$D:$D,"&gt;="&amp;CONCATENATE($L$6,"/",B23),Proventos!$D:$D,"&lt;"&amp;CONCATENATE($M$6,"/",B23),Proventos!$A:$A,"="&amp;$K$2))</f>
        <v>0</v>
      </c>
      <c r="M23" s="245">
        <f>IFS(
AND($H$2=Data!$A$3,$K$2=Data!$A$2),SUMIFS(Proventos!$H:$H,Proventos!$D:$D,"&gt;="&amp;CONCATENATE($M$6,"/",B23),Proventos!$D:$D,"&lt;"&amp;CONCATENATE($N$6,"/",B23),Proventos!$J:$J,"="&amp;$H$2),
AND($H$2=Data!$A$4,$K$2=Data!$A$2),SUMIFS(Proventos!$H:$H,Proventos!$D:$D,"&gt;="&amp;CONCATENATE($M$6,"/",B23),Proventos!$D:$D,"&lt;"&amp;CONCATENATE($N$6,"/",B23),Proventos!$J:$J,"="&amp;$H$2),
AND($H$2=Data!$A$5,$K$2=Data!$A$2),SUMIFS(Proventos!$H:$H,Proventos!$D:$D,"&gt;="&amp;CONCATENATE($M$6,"/",B23),Proventos!$D:$D,"&lt;"&amp;CONCATENATE($N$6,"/",B23),Proventos!$J:$J,"="&amp;$H$2),
AND($H$2=Data!$A$6,$K$2=Data!$A$2),SUMIFS(Proventos!$H:$H,Proventos!$D:$D,"&gt;="&amp;CONCATENATE($M$6,"/",B23),Proventos!$D:$D,"&lt;"&amp;CONCATENATE($N$6,"/",B23),Proventos!$J:$J,"="&amp;$H$2),
AND($H$2=Data!$A$7,$K$2=Data!$A$2),SUMIFS(Proventos!$H:$H,Proventos!$D:$D,"&gt;="&amp;CONCATENATE($M$6,"/",B23),Proventos!$D:$D,"&lt;"&amp;CONCATENATE($N$6,"/",B23),Proventos!$J:$J,"="&amp;$H$2),
AND($H$2=Data!$A$8,$K$2=Data!$A$2),SUMIFS(Proventos!$H:$H,Proventos!$D:$D,"&gt;="&amp;CONCATENATE($M$6,"/",B23),Proventos!$D:$D,"&lt;"&amp;CONCATENATE($N$6,"/",B23),Proventos!$J:$J,"="&amp;$H$2),
AND($H$2=Data!$A$9,$K$2=Data!$A$2),SUMIFS(Proventos!$H:$H,Proventos!$D:$D,"&gt;="&amp;CONCATENATE($M$6,"/",B23),Proventos!$D:$D,"&lt;"&amp;CONCATENATE($N$6,"/",B23),Proventos!$J:$J,"="&amp;$H$2),
AND($H$2=Data!$A$10,$K$2=Data!$A$2),SUMIFS(Proventos!$H:$H,Proventos!$D:$D,"&gt;="&amp;CONCATENATE($M$6,"/",B23),Proventos!$D:$D,"&lt;"&amp;CONCATENATE($N$6,"/",B23),Proventos!$J:$J,"="&amp;$H$2),
AND($H$2=Data!$A$11,$K$2=Data!$A$2),SUMIFS(Proventos!$H:$H,Proventos!$D:$D,"&gt;="&amp;CONCATENATE($M$6,"/",B23),Proventos!$D:$D,"&lt;"&amp;CONCATENATE($N$6,"/",B23),Proventos!$J:$J,"="&amp;$H$2),
$K$2=Data!$A$2,SUMIFS(Proventos!$H:$H,Proventos!$D:$D,"&gt;="&amp;CONCATENATE($M$6,"/",B23),Proventos!$D:$D,"&lt;"&amp;CONCATENATE($N$6,"/",B23)),
$K$2&lt;&gt;Data!$A$2,SUMIFS(Proventos!$H:$H,Proventos!$D:$D,"&gt;="&amp;CONCATENATE($M$6,"/",B23),Proventos!$D:$D,"&lt;"&amp;CONCATENATE($N$6,"/",B23),Proventos!$A:$A,"="&amp;$K$2))</f>
        <v>0</v>
      </c>
      <c r="N23" s="245">
        <f>IFS(
AND($H$2=Data!$A$3,$K$2=Data!$A$2),SUMIFS(Proventos!$H:$H,Proventos!$D:$D,"&gt;="&amp;CONCATENATE($N$6,"/",B23),Proventos!$D:$D,"&lt;"&amp;CONCATENATE($C$6,"/",B24),Proventos!$J:$J,"="&amp;$H$2),
AND($H$2=Data!$A$4,$K$2=Data!$A$2),SUMIFS(Proventos!$H:$H,Proventos!$D:$D,"&gt;="&amp;CONCATENATE($N$6,"/",B23),Proventos!$D:$D,"&lt;"&amp;CONCATENATE($C$6,"/",B24),Proventos!$J:$J,"="&amp;$H$2),
AND($H$2=Data!$A$5,$K$2=Data!$A$2),SUMIFS(Proventos!$H:$H,Proventos!$D:$D,"&gt;="&amp;CONCATENATE($N$6,"/",B23),Proventos!$D:$D,"&lt;"&amp;CONCATENATE($C$6,"/",B24),Proventos!$J:$J,"="&amp;$H$2),
AND($H$2=Data!$A$6,$K$2=Data!$A$2),SUMIFS(Proventos!$H:$H,Proventos!$D:$D,"&gt;="&amp;CONCATENATE($N$6,"/",B23),Proventos!$D:$D,"&lt;"&amp;CONCATENATE($C$6,"/",B24),Proventos!$J:$J,"="&amp;$H$2),
AND($H$2=Data!$A$7,$K$2=Data!$A$2),SUMIFS(Proventos!$H:$H,Proventos!$D:$D,"&gt;="&amp;CONCATENATE($N$6,"/",B23),Proventos!$D:$D,"&lt;"&amp;CONCATENATE($C$6,"/",B24),Proventos!$J:$J,"="&amp;$H$2),
AND($H$2=Data!$A$8,$K$2=Data!$A$2),SUMIFS(Proventos!$H:$H,Proventos!$D:$D,"&gt;="&amp;CONCATENATE($N$6,"/",B23),Proventos!$D:$D,"&lt;"&amp;CONCATENATE($C$6,"/",B24),Proventos!$J:$J,"="&amp;$H$2),
AND($H$2=Data!$A$9,$K$2=Data!$A$2),SUMIFS(Proventos!$H:$H,Proventos!$D:$D,"&gt;="&amp;CONCATENATE($N$6,"/",B23),Proventos!$D:$D,"&lt;"&amp;CONCATENATE($C$6,"/",B24),Proventos!$J:$J,"="&amp;$H$2),
AND($H$2=Data!$A$10,$K$2=Data!$A$2),SUMIFS(Proventos!$H:$H,Proventos!$D:$D,"&gt;="&amp;CONCATENATE($N$6,"/",B23),Proventos!$D:$D,"&lt;"&amp;CONCATENATE($C$6,"/",B24),Proventos!$J:$J,"="&amp;$H$2),
AND($H$2=Data!$A$11,$K$2=Data!$A$2),SUMIFS(Proventos!$H:$H,Proventos!$D:$D,"&gt;="&amp;CONCATENATE($N$6,"/",B23),Proventos!$D:$D,"&lt;"&amp;CONCATENATE($C$6,"/",B24),Proventos!$J:$J,"="&amp;$H$2),
$K$2=Data!$A$2,SUMIFS(Proventos!$H:$H,Proventos!$D:$D,"&gt;="&amp;CONCATENATE($N$6,"/",B23),Proventos!$D:$D,"&lt;"&amp;CONCATENATE($C$6,"/",B24)),
$K$2&lt;&gt;Data!$A$2,SUMIFS(Proventos!$H:$H,Proventos!$D:$D,"&gt;="&amp;CONCATENATE($N$6,"/",B23),Proventos!$D:$D,"&lt;"&amp;CONCATENATE($C$6,"/",B24),Proventos!$A:$A,"="&amp;$K$2))</f>
        <v>0</v>
      </c>
      <c r="O23" s="245"/>
      <c r="P23" s="245">
        <f t="shared" si="1"/>
        <v>0</v>
      </c>
      <c r="Q23" s="245">
        <f t="shared" si="2"/>
        <v>0</v>
      </c>
    </row>
    <row r="24" ht="32.25" customHeight="1">
      <c r="A24" s="246" t="str">
        <f>IFERROR(__xludf.DUMMYFUNCTION("""COMPUTED_VALUE"""),"MGLU3")</f>
        <v>MGLU3</v>
      </c>
      <c r="B24" s="244"/>
      <c r="C24" s="245">
        <f>IFS(
AND($H$2=Data!$A$3,$K$2=Data!$A$2),SUMIFS(Proventos!$H:$H,Proventos!$D:$D,"&gt;="&amp;CONCATENATE($C$6,"/",B24),Proventos!$D:$D,"&lt;"&amp;CONCATENATE($D$6,"/",B24),Proventos!$J:$J,"="&amp;$H$2),
AND($H$2=Data!$A$4,$K$2=Data!$A$2),SUMIFS(Proventos!$H:$H,Proventos!$D:$D,"&gt;="&amp;CONCATENATE($C$6,"/",B24),Proventos!$D:$D,"&lt;"&amp;CONCATENATE($D$6,"/",B24),Proventos!$J:$J,"="&amp;$H$2),
AND($H$2=Data!$A$5,$K$2=Data!$A$2),SUMIFS(Proventos!$H:$H,Proventos!$D:$D,"&gt;="&amp;CONCATENATE($C$6,"/",B24),Proventos!$D:$D,"&lt;"&amp;CONCATENATE($D$6,"/",B24),Proventos!$J:$J,"="&amp;$H$2),
AND($H$2=Data!$A$6,$K$2=Data!$A$2),SUMIFS(Proventos!$H:$H,Proventos!$D:$D,"&gt;="&amp;CONCATENATE($C$6,"/",B24),Proventos!$D:$D,"&lt;"&amp;CONCATENATE($D$6,"/",B24),Proventos!$J:$J,"="&amp;$H$2),
AND($H$2=Data!$A$7,$K$2=Data!$A$2),SUMIFS(Proventos!$H:$H,Proventos!$D:$D,"&gt;="&amp;CONCATENATE($C$6,"/",B24),Proventos!$D:$D,"&lt;"&amp;CONCATENATE($D$6,"/",B24),Proventos!$J:$J,"="&amp;$H$2),
AND($H$2=Data!$A$8,$K$2=Data!$A$2),SUMIFS(Proventos!$H:$H,Proventos!$D:$D,"&gt;="&amp;CONCATENATE($C$6,"/",B24),Proventos!$D:$D,"&lt;"&amp;CONCATENATE($D$6,"/",B24),Proventos!$J:$J,"="&amp;$H$2),
AND($H$2=Data!$A$9,$K$2=Data!$A$2),SUMIFS(Proventos!$H:$H,Proventos!$D:$D,"&gt;="&amp;CONCATENATE($C$6,"/",B24),Proventos!$D:$D,"&lt;"&amp;CONCATENATE($D$6,"/",B24),Proventos!$J:$J,"="&amp;$H$2),
AND($H$2=Data!$A$10,$K$2=Data!$A$2),SUMIFS(Proventos!$H:$H,Proventos!$D:$D,"&gt;="&amp;CONCATENATE($C$6,"/",B24),Proventos!$D:$D,"&lt;"&amp;CONCATENATE($D$6,"/",B24),Proventos!$J:$J,"="&amp;$H$2),
AND($H$2=Data!$A$11,$K$2=Data!$A$2),SUMIFS(Proventos!$H:$H,Proventos!$D:$D,"&gt;="&amp;CONCATENATE($C$6,"/",B24),Proventos!$D:$D,"&lt;"&amp;CONCATENATE($D$6,"/",B24),Proventos!$J:$J,"="&amp;$H$2),
$K$2=Data!$A$2,SUMIFS(Proventos!$H:$H,Proventos!$D:$D,"&gt;="&amp;CONCATENATE($C$6,"/",B24),Proventos!$D:$D,"&lt;"&amp;CONCATENATE($D$6,"/",B24)),
$K$2&lt;&gt;Data!$A$2,SUMIFS(Proventos!$H:$H,Proventos!$D:$D,"&gt;="&amp;CONCATENATE($C$6,"/",B24),Proventos!$D:$D,"&lt;"&amp;CONCATENATE($D$6,"/",B24),Proventos!$A:$A,"="&amp;$K$2))</f>
        <v>0</v>
      </c>
      <c r="D24" s="245">
        <f>IFS(
AND($H$2=Data!$A$3,$K$2=Data!$A$2),SUMIFS(Proventos!$H:$H,Proventos!$D:$D,"&gt;="&amp;CONCATENATE($D$6,"/",B24),Proventos!$D:$D,"&lt;"&amp;CONCATENATE($E$6,"/",B24),Proventos!$J:$J,"="&amp;$H$2),
AND($H$2=Data!$A$4,$K$2=Data!$A$2),SUMIFS(Proventos!$H:$H,Proventos!$D:$D,"&gt;="&amp;CONCATENATE($D$6,"/",B24),Proventos!$D:$D,"&lt;"&amp;CONCATENATE($E$6,"/",B24),Proventos!$J:$J,"="&amp;$H$2),
AND($H$2=Data!$A$5,$K$2=Data!$A$2),SUMIFS(Proventos!$H:$H,Proventos!$D:$D,"&gt;="&amp;CONCATENATE($D$6,"/",B24),Proventos!$D:$D,"&lt;"&amp;CONCATENATE($E$6,"/",B24),Proventos!$J:$J,"="&amp;$H$2),
AND($H$2=Data!$A$6,$K$2=Data!$A$2),SUMIFS(Proventos!$H:$H,Proventos!$D:$D,"&gt;="&amp;CONCATENATE($D$6,"/",B24),Proventos!$D:$D,"&lt;"&amp;CONCATENATE($E$6,"/",B24),Proventos!$J:$J,"="&amp;$H$2),
AND($H$2=Data!$A$7,$K$2=Data!$A$2),SUMIFS(Proventos!$H:$H,Proventos!$D:$D,"&gt;="&amp;CONCATENATE($D$6,"/",B24),Proventos!$D:$D,"&lt;"&amp;CONCATENATE($E$6,"/",B24),Proventos!$J:$J,"="&amp;$H$2),
AND($H$2=Data!$A$8,$K$2=Data!$A$2),SUMIFS(Proventos!$H:$H,Proventos!$D:$D,"&gt;="&amp;CONCATENATE($D$6,"/",B24),Proventos!$D:$D,"&lt;"&amp;CONCATENATE($E$6,"/",B24),Proventos!$J:$J,"="&amp;$H$2),
AND($H$2=Data!$A$9,$K$2=Data!$A$2),SUMIFS(Proventos!$H:$H,Proventos!$D:$D,"&gt;="&amp;CONCATENATE($D$6,"/",B24),Proventos!$D:$D,"&lt;"&amp;CONCATENATE($E$6,"/",B24),Proventos!$J:$J,"="&amp;$H$2),
AND($H$2=Data!$A$10,$K$2=Data!$A$2),SUMIFS(Proventos!$H:$H,Proventos!$D:$D,"&gt;="&amp;CONCATENATE($D$6,"/",B24),Proventos!$D:$D,"&lt;"&amp;CONCATENATE($E$6,"/",B24),Proventos!$J:$J,"="&amp;$H$2),
AND($H$2=Data!$A$11,$K$2=Data!$A$2),SUMIFS(Proventos!$H:$H,Proventos!$D:$D,"&gt;="&amp;CONCATENATE($D$6,"/",B24),Proventos!$D:$D,"&lt;"&amp;CONCATENATE($E$6,"/",B24),Proventos!$J:$J,"="&amp;$H$2),
$K$2=Data!$A$2,SUMIFS(Proventos!$H:$H,Proventos!$D:$D,"&gt;="&amp;CONCATENATE($D$6,"/",B24),Proventos!$D:$D,"&lt;"&amp;CONCATENATE($E$6,"/",B24)),
$K$2&lt;&gt;Data!$A$2,SUMIFS(Proventos!$H:$H,Proventos!$D:$D,"&gt;="&amp;CONCATENATE($D$6,"/",B24),Proventos!$D:$D,"&lt;"&amp;CONCATENATE($E$6,"/",B24),Proventos!$A:$A,"="&amp;$K$2))</f>
        <v>0</v>
      </c>
      <c r="E24" s="245">
        <f>IFS(
AND($H$2=Data!$A$3,$K$2=Data!$A$2),SUMIFS(Proventos!$H:$H,Proventos!$D:$D,"&gt;="&amp;CONCATENATE($E$6,"/",B24),Proventos!$D:$D,"&lt;"&amp;CONCATENATE($F$6,"/",B24),Proventos!$J:$J,"="&amp;$H$2),
AND($H$2=Data!$A$4,$K$2=Data!$A$2),SUMIFS(Proventos!$H:$H,Proventos!$D:$D,"&gt;="&amp;CONCATENATE($E$6,"/",B24),Proventos!$D:$D,"&lt;"&amp;CONCATENATE($F$6,"/",B24),Proventos!$J:$J,"="&amp;$H$2),
AND($H$2=Data!$A$5,$K$2=Data!$A$2),SUMIFS(Proventos!$H:$H,Proventos!$D:$D,"&gt;="&amp;CONCATENATE($E$6,"/",B24),Proventos!$D:$D,"&lt;"&amp;CONCATENATE($F$6,"/",B24),Proventos!$J:$J,"="&amp;$H$2),
AND($H$2=Data!$A$6,$K$2=Data!$A$2),SUMIFS(Proventos!$H:$H,Proventos!$D:$D,"&gt;="&amp;CONCATENATE($E$6,"/",B24),Proventos!$D:$D,"&lt;"&amp;CONCATENATE($F$6,"/",B24),Proventos!$J:$J,"="&amp;$H$2),
AND($H$2=Data!$A$7,$K$2=Data!$A$2),SUMIFS(Proventos!$H:$H,Proventos!$D:$D,"&gt;="&amp;CONCATENATE($E$6,"/",B24),Proventos!$D:$D,"&lt;"&amp;CONCATENATE($F$6,"/",B24),Proventos!$J:$J,"="&amp;$H$2),
AND($H$2=Data!$A$8,$K$2=Data!$A$2),SUMIFS(Proventos!$H:$H,Proventos!$D:$D,"&gt;="&amp;CONCATENATE($E$6,"/",B24),Proventos!$D:$D,"&lt;"&amp;CONCATENATE($F$6,"/",B24),Proventos!$J:$J,"="&amp;$H$2),
AND($H$2=Data!$A$9,$K$2=Data!$A$2),SUMIFS(Proventos!$H:$H,Proventos!$D:$D,"&gt;="&amp;CONCATENATE($E$6,"/",B24),Proventos!$D:$D,"&lt;"&amp;CONCATENATE($F$6,"/",B24),Proventos!$J:$J,"="&amp;$H$2),
AND($H$2=Data!$A$10,$K$2=Data!$A$2),SUMIFS(Proventos!$H:$H,Proventos!$D:$D,"&gt;="&amp;CONCATENATE($E$6,"/",B24),Proventos!$D:$D,"&lt;"&amp;CONCATENATE($F$6,"/",B24),Proventos!$J:$J,"="&amp;$H$2),
AND($H$2=Data!$A$11,$K$2=Data!$A$2),SUMIFS(Proventos!$H:$H,Proventos!$D:$D,"&gt;="&amp;CONCATENATE($E$6,"/",B24),Proventos!$D:$D,"&lt;"&amp;CONCATENATE($F$6,"/",B24),Proventos!$J:$J,"="&amp;$H$2),
$K$2=Data!$A$2,SUMIFS(Proventos!$H:$H,Proventos!$D:$D,"&gt;="&amp;CONCATENATE($E$6,"/",B24),Proventos!$D:$D,"&lt;"&amp;CONCATENATE($F$6,"/",B24)),
$K$2&lt;&gt;Data!$A$2,SUMIFS(Proventos!$H:$H,Proventos!$D:$D,"&gt;="&amp;CONCATENATE($E$6,"/",B24),Proventos!$D:$D,"&lt;"&amp;CONCATENATE($F$6,"/",B24),Proventos!$A:$A,"="&amp;$K$2))</f>
        <v>0</v>
      </c>
      <c r="F24" s="245">
        <f>IFS(
AND($H$2=Data!$A$3,$K$2=Data!$A$2),SUMIFS(Proventos!$H:$H,Proventos!$D:$D,"&gt;="&amp;CONCATENATE($F$6,"/",B24),Proventos!$D:$D,"&lt;"&amp;CONCATENATE($G$6,"/",B24),Proventos!$J:$J,"="&amp;$H$2),
AND($H$2=Data!$A$4,$K$2=Data!$A$2),SUMIFS(Proventos!$H:$H,Proventos!$D:$D,"&gt;="&amp;CONCATENATE($F$6,"/",B24),Proventos!$D:$D,"&lt;"&amp;CONCATENATE($G$6,"/",B24),Proventos!$J:$J,"="&amp;$H$2),
AND($H$2=Data!$A$5,$K$2=Data!$A$2),SUMIFS(Proventos!$H:$H,Proventos!$D:$D,"&gt;="&amp;CONCATENATE($F$6,"/",B24),Proventos!$D:$D,"&lt;"&amp;CONCATENATE($G$6,"/",B24),Proventos!$J:$J,"="&amp;$H$2),
AND($H$2=Data!$A$6,$K$2=Data!$A$2),SUMIFS(Proventos!$H:$H,Proventos!$D:$D,"&gt;="&amp;CONCATENATE($F$6,"/",B24),Proventos!$D:$D,"&lt;"&amp;CONCATENATE($G$6,"/",B24),Proventos!$J:$J,"="&amp;$H$2),
AND($H$2=Data!$A$7,$K$2=Data!$A$2),SUMIFS(Proventos!$H:$H,Proventos!$D:$D,"&gt;="&amp;CONCATENATE($F$6,"/",B24),Proventos!$D:$D,"&lt;"&amp;CONCATENATE($G$6,"/",B24),Proventos!$J:$J,"="&amp;$H$2),
AND($H$2=Data!$A$8,$K$2=Data!$A$2),SUMIFS(Proventos!$H:$H,Proventos!$D:$D,"&gt;="&amp;CONCATENATE($F$6,"/",B24),Proventos!$D:$D,"&lt;"&amp;CONCATENATE($G$6,"/",B24),Proventos!$J:$J,"="&amp;$H$2),
AND($H$2=Data!$A$9,$K$2=Data!$A$2),SUMIFS(Proventos!$H:$H,Proventos!$D:$D,"&gt;="&amp;CONCATENATE($F$6,"/",B24),Proventos!$D:$D,"&lt;"&amp;CONCATENATE($G$6,"/",B24),Proventos!$J:$J,"="&amp;$H$2),
AND($H$2=Data!$A$10,$K$2=Data!$A$2),SUMIFS(Proventos!$H:$H,Proventos!$D:$D,"&gt;="&amp;CONCATENATE($F$6,"/",B24),Proventos!$D:$D,"&lt;"&amp;CONCATENATE($G$6,"/",B24),Proventos!$J:$J,"="&amp;$H$2),
AND($H$2=Data!$A$11,$K$2=Data!$A$2),SUMIFS(Proventos!$H:$H,Proventos!$D:$D,"&gt;="&amp;CONCATENATE($F$6,"/",B24),Proventos!$D:$D,"&lt;"&amp;CONCATENATE($G$6,"/",B24),Proventos!$J:$J,"="&amp;$H$2),
$K$2=Data!$A$2,SUMIFS(Proventos!$H:$H,Proventos!$D:$D,"&gt;="&amp;CONCATENATE($F$6,"/",B24),Proventos!$D:$D,"&lt;"&amp;CONCATENATE($G$6,"/",B24)),
$K$2&lt;&gt;Data!$A$2,SUMIFS(Proventos!$H:$H,Proventos!$D:$D,"&gt;="&amp;CONCATENATE($F$6,"/",B24),Proventos!$D:$D,"&lt;"&amp;CONCATENATE($G$6,"/",B24),Proventos!$A:$A,"="&amp;$K$2))</f>
        <v>0</v>
      </c>
      <c r="G24" s="245">
        <f>IFS(
AND($H$2=Data!$A$3,$K$2=Data!$A$2),SUMIFS(Proventos!$H:$H,Proventos!$D:$D,"&gt;="&amp;CONCATENATE($G$6,"/",B24),Proventos!$D:$D,"&lt;"&amp;CONCATENATE($H$6,"/",B24),Proventos!$J:$J,"="&amp;$H$2),
AND($H$2=Data!$A$4,$K$2=Data!$A$2),SUMIFS(Proventos!$H:$H,Proventos!$D:$D,"&gt;="&amp;CONCATENATE($G$6,"/",B24),Proventos!$D:$D,"&lt;"&amp;CONCATENATE($H$6,"/",B24),Proventos!$J:$J,"="&amp;$H$2),
AND($H$2=Data!$A$5,$K$2=Data!$A$2),SUMIFS(Proventos!$H:$H,Proventos!$D:$D,"&gt;="&amp;CONCATENATE($G$6,"/",B24),Proventos!$D:$D,"&lt;"&amp;CONCATENATE($H$6,"/",B24),Proventos!$J:$J,"="&amp;$H$2),
AND($H$2=Data!$A$6,$K$2=Data!$A$2),SUMIFS(Proventos!$H:$H,Proventos!$D:$D,"&gt;="&amp;CONCATENATE($G$6,"/",B24),Proventos!$D:$D,"&lt;"&amp;CONCATENATE($H$6,"/",B24),Proventos!$J:$J,"="&amp;$H$2),
AND($H$2=Data!$A$7,$K$2=Data!$A$2),SUMIFS(Proventos!$H:$H,Proventos!$D:$D,"&gt;="&amp;CONCATENATE($G$6,"/",B24),Proventos!$D:$D,"&lt;"&amp;CONCATENATE($H$6,"/",B24),Proventos!$J:$J,"="&amp;$H$2),
AND($H$2=Data!$A$8,$K$2=Data!$A$2),SUMIFS(Proventos!$H:$H,Proventos!$D:$D,"&gt;="&amp;CONCATENATE($G$6,"/",B24),Proventos!$D:$D,"&lt;"&amp;CONCATENATE($H$6,"/",B24),Proventos!$J:$J,"="&amp;$H$2),
AND($H$2=Data!$A$9,$K$2=Data!$A$2),SUMIFS(Proventos!$H:$H,Proventos!$D:$D,"&gt;="&amp;CONCATENATE($G$6,"/",B24),Proventos!$D:$D,"&lt;"&amp;CONCATENATE($H$6,"/",B24),Proventos!$J:$J,"="&amp;$H$2),
AND($H$2=Data!$A$10,$K$2=Data!$A$2),SUMIFS(Proventos!$H:$H,Proventos!$D:$D,"&gt;="&amp;CONCATENATE($G$6,"/",B24),Proventos!$D:$D,"&lt;"&amp;CONCATENATE($H$6,"/",B24),Proventos!$J:$J,"="&amp;$H$2),
AND($H$2=Data!$A$11,$K$2=Data!$A$2),SUMIFS(Proventos!$H:$H,Proventos!$D:$D,"&gt;="&amp;CONCATENATE($G$6,"/",B24),Proventos!$D:$D,"&lt;"&amp;CONCATENATE($H$6,"/",B24),Proventos!$J:$J,"="&amp;$H$2),
$K$2=Data!$A$2,SUMIFS(Proventos!$H:$H,Proventos!$D:$D,"&gt;="&amp;CONCATENATE($G$6,"/",B24),Proventos!$D:$D,"&lt;"&amp;CONCATENATE($H$6,"/",B24)),
$K$2&lt;&gt;Data!$A$2,SUMIFS(Proventos!$H:$H,Proventos!$D:$D,"&gt;="&amp;CONCATENATE($G$6,"/",B24),Proventos!$D:$D,"&lt;"&amp;CONCATENATE($H$6,"/",B24),Proventos!$A:$A,"="&amp;$K$2))</f>
        <v>0</v>
      </c>
      <c r="H24" s="245">
        <f>IFS(
AND($H$2=Data!$A$3,$K$2=Data!$A$2),SUMIFS(Proventos!$H:$H,Proventos!$D:$D,"&gt;="&amp;CONCATENATE($H$6,"/",B24),Proventos!$D:$D,"&lt;"&amp;CONCATENATE($I$6,"/",B24),Proventos!$J:$J,"="&amp;$H$2),
AND($H$2=Data!$A$4,$K$2=Data!$A$2),SUMIFS(Proventos!$H:$H,Proventos!$D:$D,"&gt;="&amp;CONCATENATE($H$6,"/",B24),Proventos!$D:$D,"&lt;"&amp;CONCATENATE($I$6,"/",B24),Proventos!$J:$J,"="&amp;$H$2),
AND($H$2=Data!$A$5,$K$2=Data!$A$2),SUMIFS(Proventos!$H:$H,Proventos!$D:$D,"&gt;="&amp;CONCATENATE($H$6,"/",B24),Proventos!$D:$D,"&lt;"&amp;CONCATENATE($I$6,"/",B24),Proventos!$J:$J,"="&amp;$H$2),
AND($H$2=Data!$A$6,$K$2=Data!$A$2),SUMIFS(Proventos!$H:$H,Proventos!$D:$D,"&gt;="&amp;CONCATENATE($H$6,"/",B24),Proventos!$D:$D,"&lt;"&amp;CONCATENATE($I$6,"/",B24),Proventos!$J:$J,"="&amp;$H$2),
AND($H$2=Data!$A$7,$K$2=Data!$A$2),SUMIFS(Proventos!$H:$H,Proventos!$D:$D,"&gt;="&amp;CONCATENATE($H$6,"/",B24),Proventos!$D:$D,"&lt;"&amp;CONCATENATE($I$6,"/",B24),Proventos!$J:$J,"="&amp;$H$2),
AND($H$2=Data!$A$8,$K$2=Data!$A$2),SUMIFS(Proventos!$H:$H,Proventos!$D:$D,"&gt;="&amp;CONCATENATE($H$6,"/",B24),Proventos!$D:$D,"&lt;"&amp;CONCATENATE($I$6,"/",B24),Proventos!$J:$J,"="&amp;$H$2),
AND($H$2=Data!$A$9,$K$2=Data!$A$2),SUMIFS(Proventos!$H:$H,Proventos!$D:$D,"&gt;="&amp;CONCATENATE($H$6,"/",B24),Proventos!$D:$D,"&lt;"&amp;CONCATENATE($I$6,"/",B24),Proventos!$J:$J,"="&amp;$H$2),
AND($H$2=Data!$A$10,$K$2=Data!$A$2),SUMIFS(Proventos!$H:$H,Proventos!$D:$D,"&gt;="&amp;CONCATENATE($H$6,"/",B24),Proventos!$D:$D,"&lt;"&amp;CONCATENATE($I$6,"/",B24),Proventos!$J:$J,"="&amp;$H$2),
AND($H$2=Data!$A$11,$K$2=Data!$A$2),SUMIFS(Proventos!$H:$H,Proventos!$D:$D,"&gt;="&amp;CONCATENATE($H$6,"/",B24),Proventos!$D:$D,"&lt;"&amp;CONCATENATE($I$6,"/",B24),Proventos!$J:$J,"="&amp;$H$2),
$K$2=Data!$A$2,SUMIFS(Proventos!$H:$H,Proventos!$D:$D,"&gt;="&amp;CONCATENATE($H$6,"/",B24),Proventos!$D:$D,"&lt;"&amp;CONCATENATE($I$6,"/",B24)),
$K$2&lt;&gt;Data!$A$2,SUMIFS(Proventos!$H:$H,Proventos!$D:$D,"&gt;="&amp;CONCATENATE($H$6,"/",B24),Proventos!$D:$D,"&lt;"&amp;CONCATENATE($I$6,"/",B24),Proventos!$A:$A,"="&amp;$K$2))</f>
        <v>0</v>
      </c>
      <c r="I24" s="245">
        <f>IFS(
AND($H$2=Data!$A$3,$K$2=Data!$A$2),SUMIFS(Proventos!$H:$H,Proventos!$D:$D,"&gt;="&amp;CONCATENATE($I$6,"/",B24),Proventos!$D:$D,"&lt;"&amp;CONCATENATE($J$6,"/",B24),Proventos!$J:$J,"="&amp;$H$2),
AND($H$2=Data!$A$4,$K$2=Data!$A$2),SUMIFS(Proventos!$H:$H,Proventos!$D:$D,"&gt;="&amp;CONCATENATE($I$6,"/",B24),Proventos!$D:$D,"&lt;"&amp;CONCATENATE($J$6,"/",B24),Proventos!$J:$J,"="&amp;$H$2),
AND($H$2=Data!$A$5,$K$2=Data!$A$2),SUMIFS(Proventos!$H:$H,Proventos!$D:$D,"&gt;="&amp;CONCATENATE($I$6,"/",B24),Proventos!$D:$D,"&lt;"&amp;CONCATENATE($J$6,"/",B24),Proventos!$J:$J,"="&amp;$H$2),
AND($H$2=Data!$A$6,$K$2=Data!$A$2),SUMIFS(Proventos!$H:$H,Proventos!$D:$D,"&gt;="&amp;CONCATENATE($I$6,"/",B24),Proventos!$D:$D,"&lt;"&amp;CONCATENATE($J$6,"/",B24),Proventos!$J:$J,"="&amp;$H$2),
AND($H$2=Data!$A$7,$K$2=Data!$A$2),SUMIFS(Proventos!$H:$H,Proventos!$D:$D,"&gt;="&amp;CONCATENATE($I$6,"/",B24),Proventos!$D:$D,"&lt;"&amp;CONCATENATE($J$6,"/",B24),Proventos!$J:$J,"="&amp;$H$2),
AND($H$2=Data!$A$8,$K$2=Data!$A$2),SUMIFS(Proventos!$H:$H,Proventos!$D:$D,"&gt;="&amp;CONCATENATE($I$6,"/",B24),Proventos!$D:$D,"&lt;"&amp;CONCATENATE($J$6,"/",B24),Proventos!$J:$J,"="&amp;$H$2),
AND($H$2=Data!$A$9,$K$2=Data!$A$2),SUMIFS(Proventos!$H:$H,Proventos!$D:$D,"&gt;="&amp;CONCATENATE($I$6,"/",B24),Proventos!$D:$D,"&lt;"&amp;CONCATENATE($J$6,"/",B24),Proventos!$J:$J,"="&amp;$H$2),
AND($H$2=Data!$A$10,$K$2=Data!$A$2),SUMIFS(Proventos!$H:$H,Proventos!$D:$D,"&gt;="&amp;CONCATENATE($I$6,"/",B24),Proventos!$D:$D,"&lt;"&amp;CONCATENATE($J$6,"/",B24),Proventos!$J:$J,"="&amp;$H$2),
AND($H$2=Data!$A$11,$K$2=Data!$A$2),SUMIFS(Proventos!$H:$H,Proventos!$D:$D,"&gt;="&amp;CONCATENATE($I$6,"/",B24),Proventos!$D:$D,"&lt;"&amp;CONCATENATE($J$6,"/",B24),Proventos!$J:$J,"="&amp;$H$2),
$K$2=Data!$A$2,SUMIFS(Proventos!$H:$H,Proventos!$D:$D,"&gt;="&amp;CONCATENATE($I$6,"/",B24),Proventos!$D:$D,"&lt;"&amp;CONCATENATE($J$6,"/",B24)),
$K$2&lt;&gt;Data!$A$2,SUMIFS(Proventos!$H:$H,Proventos!$D:$D,"&gt;="&amp;CONCATENATE($I$6,"/",B24),Proventos!$D:$D,"&lt;"&amp;CONCATENATE($J$6,"/",B24),Proventos!$A:$A,"="&amp;$K$2))</f>
        <v>0</v>
      </c>
      <c r="J24" s="245">
        <f>IFS(
AND($H$2=Data!$A$3,$K$2=Data!$A$2),SUMIFS(Proventos!$H:$H,Proventos!$D:$D,"&gt;="&amp;CONCATENATE($J$6,"/",B24),Proventos!$D:$D,"&lt;"&amp;CONCATENATE($K$6,"/",B24),Proventos!$J:$J,"="&amp;$H$2),
AND($H$2=Data!$A$4,$K$2=Data!$A$2),SUMIFS(Proventos!$H:$H,Proventos!$D:$D,"&gt;="&amp;CONCATENATE($J$6,"/",B24),Proventos!$D:$D,"&lt;"&amp;CONCATENATE($K$6,"/",B24),Proventos!$J:$J,"="&amp;$H$2),
AND($H$2=Data!$A$5,$K$2=Data!$A$2),SUMIFS(Proventos!$H:$H,Proventos!$D:$D,"&gt;="&amp;CONCATENATE($J$6,"/",B24),Proventos!$D:$D,"&lt;"&amp;CONCATENATE($K$6,"/",B24),Proventos!$J:$J,"="&amp;$H$2),
AND($H$2=Data!$A$6,$K$2=Data!$A$2),SUMIFS(Proventos!$H:$H,Proventos!$D:$D,"&gt;="&amp;CONCATENATE($J$6,"/",B24),Proventos!$D:$D,"&lt;"&amp;CONCATENATE($K$6,"/",B24),Proventos!$J:$J,"="&amp;$H$2),
AND($H$2=Data!$A$7,$K$2=Data!$A$2),SUMIFS(Proventos!$H:$H,Proventos!$D:$D,"&gt;="&amp;CONCATENATE($J$6,"/",B24),Proventos!$D:$D,"&lt;"&amp;CONCATENATE($K$6,"/",B24),Proventos!$J:$J,"="&amp;$H$2),
AND($H$2=Data!$A$8,$K$2=Data!$A$2),SUMIFS(Proventos!$H:$H,Proventos!$D:$D,"&gt;="&amp;CONCATENATE($J$6,"/",B24),Proventos!$D:$D,"&lt;"&amp;CONCATENATE($K$6,"/",B24),Proventos!$J:$J,"="&amp;$H$2),
AND($H$2=Data!$A$9,$K$2=Data!$A$2),SUMIFS(Proventos!$H:$H,Proventos!$D:$D,"&gt;="&amp;CONCATENATE($J$6,"/",B24),Proventos!$D:$D,"&lt;"&amp;CONCATENATE($K$6,"/",B24),Proventos!$J:$J,"="&amp;$H$2),
AND($H$2=Data!$A$10,$K$2=Data!$A$2),SUMIFS(Proventos!$H:$H,Proventos!$D:$D,"&gt;="&amp;CONCATENATE($J$6,"/",B24),Proventos!$D:$D,"&lt;"&amp;CONCATENATE($K$6,"/",B24),Proventos!$J:$J,"="&amp;$H$2),
AND($H$2=Data!$A$11,$K$2=Data!$A$2),SUMIFS(Proventos!$H:$H,Proventos!$D:$D,"&gt;="&amp;CONCATENATE($J$6,"/",B24),Proventos!$D:$D,"&lt;"&amp;CONCATENATE($K$6,"/",B24),Proventos!$J:$J,"="&amp;$H$2),
$K$2=Data!$A$2,SUMIFS(Proventos!$H:$H,Proventos!$D:$D,"&gt;="&amp;CONCATENATE($J$6,"/",B24),Proventos!$D:$D,"&lt;"&amp;CONCATENATE($K$6,"/",B24)),
$K$2&lt;&gt;Data!$A$2,SUMIFS(Proventos!$H:$H,Proventos!$D:$D,"&gt;="&amp;CONCATENATE($J$6,"/",B24),Proventos!$D:$D,"&lt;"&amp;CONCATENATE($K$6,"/",B24),Proventos!$A:$A,"="&amp;$K$2))</f>
        <v>0</v>
      </c>
      <c r="K24" s="245">
        <f>IFS(
AND($H$2=Data!$A$3,$K$2=Data!$A$2),SUMIFS(Proventos!$H:$H,Proventos!$D:$D,"&gt;="&amp;CONCATENATE($K$6,"/",B24),Proventos!$D:$D,"&lt;"&amp;CONCATENATE($L$6,"/",B24),Proventos!$J:$J,"="&amp;$H$2),
AND($H$2=Data!$A$4,$K$2=Data!$A$2),SUMIFS(Proventos!$H:$H,Proventos!$D:$D,"&gt;="&amp;CONCATENATE($K$6,"/",B24),Proventos!$D:$D,"&lt;"&amp;CONCATENATE($L$6,"/",B24),Proventos!$J:$J,"="&amp;$H$2),
AND($H$2=Data!$A$5,$K$2=Data!$A$2),SUMIFS(Proventos!$H:$H,Proventos!$D:$D,"&gt;="&amp;CONCATENATE($K$6,"/",B24),Proventos!$D:$D,"&lt;"&amp;CONCATENATE($L$6,"/",B24),Proventos!$J:$J,"="&amp;$H$2),
AND($H$2=Data!$A$6,$K$2=Data!$A$2),SUMIFS(Proventos!$H:$H,Proventos!$D:$D,"&gt;="&amp;CONCATENATE($K$6,"/",B24),Proventos!$D:$D,"&lt;"&amp;CONCATENATE($L$6,"/",B24),Proventos!$J:$J,"="&amp;$H$2),
AND($H$2=Data!$A$7,$K$2=Data!$A$2),SUMIFS(Proventos!$H:$H,Proventos!$D:$D,"&gt;="&amp;CONCATENATE($K$6,"/",B24),Proventos!$D:$D,"&lt;"&amp;CONCATENATE($L$6,"/",B24),Proventos!$J:$J,"="&amp;$H$2),
AND($H$2=Data!$A$8,$K$2=Data!$A$2),SUMIFS(Proventos!$H:$H,Proventos!$D:$D,"&gt;="&amp;CONCATENATE($K$6,"/",B24),Proventos!$D:$D,"&lt;"&amp;CONCATENATE($L$6,"/",B24),Proventos!$J:$J,"="&amp;$H$2),
AND($H$2=Data!$A$9,$K$2=Data!$A$2),SUMIFS(Proventos!$H:$H,Proventos!$D:$D,"&gt;="&amp;CONCATENATE($K$6,"/",B24),Proventos!$D:$D,"&lt;"&amp;CONCATENATE($L$6,"/",B24),Proventos!$J:$J,"="&amp;$H$2),
AND($H$2=Data!$A$10,$K$2=Data!$A$2),SUMIFS(Proventos!$H:$H,Proventos!$D:$D,"&gt;="&amp;CONCATENATE($K$6,"/",B24),Proventos!$D:$D,"&lt;"&amp;CONCATENATE($L$6,"/",B24),Proventos!$J:$J,"="&amp;$H$2),
AND($H$2=Data!$A$11,$K$2=Data!$A$2),SUMIFS(Proventos!$H:$H,Proventos!$D:$D,"&gt;="&amp;CONCATENATE($K$6,"/",B24),Proventos!$D:$D,"&lt;"&amp;CONCATENATE($L$6,"/",B24),Proventos!$J:$J,"="&amp;$H$2),
$K$2=Data!$A$2,SUMIFS(Proventos!$H:$H,Proventos!$D:$D,"&gt;="&amp;CONCATENATE($K$6,"/",B24),Proventos!$D:$D,"&lt;"&amp;CONCATENATE($L$6,"/",B24)),
$K$2&lt;&gt;Data!$A$2,SUMIFS(Proventos!$H:$H,Proventos!$D:$D,"&gt;="&amp;CONCATENATE($K$6,"/",B24),Proventos!$D:$D,"&lt;"&amp;CONCATENATE($L$6,"/",B24),Proventos!$A:$A,"="&amp;$K$2))</f>
        <v>0</v>
      </c>
      <c r="L24" s="245">
        <f>IFS(
AND($H$2=Data!$A$3,$K$2=Data!$A$2),SUMIFS(Proventos!$H:$H,Proventos!$D:$D,"&gt;="&amp;CONCATENATE($L$6,"/",B24),Proventos!$D:$D,"&lt;"&amp;CONCATENATE($M$6,"/",B24),Proventos!$J:$J,"="&amp;$H$2),
AND($H$2=Data!$A$4,$K$2=Data!$A$2),SUMIFS(Proventos!$H:$H,Proventos!$D:$D,"&gt;="&amp;CONCATENATE($L$6,"/",B24),Proventos!$D:$D,"&lt;"&amp;CONCATENATE($M$6,"/",B24),Proventos!$J:$J,"="&amp;$H$2),
AND($H$2=Data!$A$5,$K$2=Data!$A$2),SUMIFS(Proventos!$H:$H,Proventos!$D:$D,"&gt;="&amp;CONCATENATE($L$6,"/",B24),Proventos!$D:$D,"&lt;"&amp;CONCATENATE($M$6,"/",B24),Proventos!$J:$J,"="&amp;$H$2),
AND($H$2=Data!$A$6,$K$2=Data!$A$2),SUMIFS(Proventos!$H:$H,Proventos!$D:$D,"&gt;="&amp;CONCATENATE($L$6,"/",B24),Proventos!$D:$D,"&lt;"&amp;CONCATENATE($M$6,"/",B24),Proventos!$J:$J,"="&amp;$H$2),
AND($H$2=Data!$A$7,$K$2=Data!$A$2),SUMIFS(Proventos!$H:$H,Proventos!$D:$D,"&gt;="&amp;CONCATENATE($L$6,"/",B24),Proventos!$D:$D,"&lt;"&amp;CONCATENATE($M$6,"/",B24),Proventos!$J:$J,"="&amp;$H$2),
AND($H$2=Data!$A$8,$K$2=Data!$A$2),SUMIFS(Proventos!$H:$H,Proventos!$D:$D,"&gt;="&amp;CONCATENATE($L$6,"/",B24),Proventos!$D:$D,"&lt;"&amp;CONCATENATE($M$6,"/",B24),Proventos!$J:$J,"="&amp;$H$2),
AND($H$2=Data!$A$9,$K$2=Data!$A$2),SUMIFS(Proventos!$H:$H,Proventos!$D:$D,"&gt;="&amp;CONCATENATE($L$6,"/",B24),Proventos!$D:$D,"&lt;"&amp;CONCATENATE($M$6,"/",B24),Proventos!$J:$J,"="&amp;$H$2),
AND($H$2=Data!$A$10,$K$2=Data!$A$2),SUMIFS(Proventos!$H:$H,Proventos!$D:$D,"&gt;="&amp;CONCATENATE($L$6,"/",B24),Proventos!$D:$D,"&lt;"&amp;CONCATENATE($M$6,"/",B24),Proventos!$J:$J,"="&amp;$H$2),
AND($H$2=Data!$A$11,$K$2=Data!$A$2),SUMIFS(Proventos!$H:$H,Proventos!$D:$D,"&gt;="&amp;CONCATENATE($L$6,"/",B24),Proventos!$D:$D,"&lt;"&amp;CONCATENATE($M$6,"/",B24),Proventos!$J:$J,"="&amp;$H$2),
$K$2=Data!$A$2,SUMIFS(Proventos!$H:$H,Proventos!$D:$D,"&gt;="&amp;CONCATENATE($L$6,"/",B24),Proventos!$D:$D,"&lt;"&amp;CONCATENATE($M$6,"/",B24)),
$K$2&lt;&gt;Data!$A$2,SUMIFS(Proventos!$H:$H,Proventos!$D:$D,"&gt;="&amp;CONCATENATE($L$6,"/",B24),Proventos!$D:$D,"&lt;"&amp;CONCATENATE($M$6,"/",B24),Proventos!$A:$A,"="&amp;$K$2))</f>
        <v>0</v>
      </c>
      <c r="M24" s="245">
        <f>IFS(
AND($H$2=Data!$A$3,$K$2=Data!$A$2),SUMIFS(Proventos!$H:$H,Proventos!$D:$D,"&gt;="&amp;CONCATENATE($M$6,"/",B24),Proventos!$D:$D,"&lt;"&amp;CONCATENATE($N$6,"/",B24),Proventos!$J:$J,"="&amp;$H$2),
AND($H$2=Data!$A$4,$K$2=Data!$A$2),SUMIFS(Proventos!$H:$H,Proventos!$D:$D,"&gt;="&amp;CONCATENATE($M$6,"/",B24),Proventos!$D:$D,"&lt;"&amp;CONCATENATE($N$6,"/",B24),Proventos!$J:$J,"="&amp;$H$2),
AND($H$2=Data!$A$5,$K$2=Data!$A$2),SUMIFS(Proventos!$H:$H,Proventos!$D:$D,"&gt;="&amp;CONCATENATE($M$6,"/",B24),Proventos!$D:$D,"&lt;"&amp;CONCATENATE($N$6,"/",B24),Proventos!$J:$J,"="&amp;$H$2),
AND($H$2=Data!$A$6,$K$2=Data!$A$2),SUMIFS(Proventos!$H:$H,Proventos!$D:$D,"&gt;="&amp;CONCATENATE($M$6,"/",B24),Proventos!$D:$D,"&lt;"&amp;CONCATENATE($N$6,"/",B24),Proventos!$J:$J,"="&amp;$H$2),
AND($H$2=Data!$A$7,$K$2=Data!$A$2),SUMIFS(Proventos!$H:$H,Proventos!$D:$D,"&gt;="&amp;CONCATENATE($M$6,"/",B24),Proventos!$D:$D,"&lt;"&amp;CONCATENATE($N$6,"/",B24),Proventos!$J:$J,"="&amp;$H$2),
AND($H$2=Data!$A$8,$K$2=Data!$A$2),SUMIFS(Proventos!$H:$H,Proventos!$D:$D,"&gt;="&amp;CONCATENATE($M$6,"/",B24),Proventos!$D:$D,"&lt;"&amp;CONCATENATE($N$6,"/",B24),Proventos!$J:$J,"="&amp;$H$2),
AND($H$2=Data!$A$9,$K$2=Data!$A$2),SUMIFS(Proventos!$H:$H,Proventos!$D:$D,"&gt;="&amp;CONCATENATE($M$6,"/",B24),Proventos!$D:$D,"&lt;"&amp;CONCATENATE($N$6,"/",B24),Proventos!$J:$J,"="&amp;$H$2),
AND($H$2=Data!$A$10,$K$2=Data!$A$2),SUMIFS(Proventos!$H:$H,Proventos!$D:$D,"&gt;="&amp;CONCATENATE($M$6,"/",B24),Proventos!$D:$D,"&lt;"&amp;CONCATENATE($N$6,"/",B24),Proventos!$J:$J,"="&amp;$H$2),
AND($H$2=Data!$A$11,$K$2=Data!$A$2),SUMIFS(Proventos!$H:$H,Proventos!$D:$D,"&gt;="&amp;CONCATENATE($M$6,"/",B24),Proventos!$D:$D,"&lt;"&amp;CONCATENATE($N$6,"/",B24),Proventos!$J:$J,"="&amp;$H$2),
$K$2=Data!$A$2,SUMIFS(Proventos!$H:$H,Proventos!$D:$D,"&gt;="&amp;CONCATENATE($M$6,"/",B24),Proventos!$D:$D,"&lt;"&amp;CONCATENATE($N$6,"/",B24)),
$K$2&lt;&gt;Data!$A$2,SUMIFS(Proventos!$H:$H,Proventos!$D:$D,"&gt;="&amp;CONCATENATE($M$6,"/",B24),Proventos!$D:$D,"&lt;"&amp;CONCATENATE($N$6,"/",B24),Proventos!$A:$A,"="&amp;$K$2))</f>
        <v>0</v>
      </c>
      <c r="N24" s="245">
        <f>IFS(
AND($H$2=Data!$A$3,$K$2=Data!$A$2),SUMIFS(Proventos!$H:$H,Proventos!$D:$D,"&gt;="&amp;CONCATENATE($N$6,"/",B24),Proventos!$D:$D,"&lt;"&amp;CONCATENATE($C$6,"/",B25),Proventos!$J:$J,"="&amp;$H$2),
AND($H$2=Data!$A$4,$K$2=Data!$A$2),SUMIFS(Proventos!$H:$H,Proventos!$D:$D,"&gt;="&amp;CONCATENATE($N$6,"/",B24),Proventos!$D:$D,"&lt;"&amp;CONCATENATE($C$6,"/",B25),Proventos!$J:$J,"="&amp;$H$2),
AND($H$2=Data!$A$5,$K$2=Data!$A$2),SUMIFS(Proventos!$H:$H,Proventos!$D:$D,"&gt;="&amp;CONCATENATE($N$6,"/",B24),Proventos!$D:$D,"&lt;"&amp;CONCATENATE($C$6,"/",B25),Proventos!$J:$J,"="&amp;$H$2),
AND($H$2=Data!$A$6,$K$2=Data!$A$2),SUMIFS(Proventos!$H:$H,Proventos!$D:$D,"&gt;="&amp;CONCATENATE($N$6,"/",B24),Proventos!$D:$D,"&lt;"&amp;CONCATENATE($C$6,"/",B25),Proventos!$J:$J,"="&amp;$H$2),
AND($H$2=Data!$A$7,$K$2=Data!$A$2),SUMIFS(Proventos!$H:$H,Proventos!$D:$D,"&gt;="&amp;CONCATENATE($N$6,"/",B24),Proventos!$D:$D,"&lt;"&amp;CONCATENATE($C$6,"/",B25),Proventos!$J:$J,"="&amp;$H$2),
AND($H$2=Data!$A$8,$K$2=Data!$A$2),SUMIFS(Proventos!$H:$H,Proventos!$D:$D,"&gt;="&amp;CONCATENATE($N$6,"/",B24),Proventos!$D:$D,"&lt;"&amp;CONCATENATE($C$6,"/",B25),Proventos!$J:$J,"="&amp;$H$2),
AND($H$2=Data!$A$9,$K$2=Data!$A$2),SUMIFS(Proventos!$H:$H,Proventos!$D:$D,"&gt;="&amp;CONCATENATE($N$6,"/",B24),Proventos!$D:$D,"&lt;"&amp;CONCATENATE($C$6,"/",B25),Proventos!$J:$J,"="&amp;$H$2),
AND($H$2=Data!$A$10,$K$2=Data!$A$2),SUMIFS(Proventos!$H:$H,Proventos!$D:$D,"&gt;="&amp;CONCATENATE($N$6,"/",B24),Proventos!$D:$D,"&lt;"&amp;CONCATENATE($C$6,"/",B25),Proventos!$J:$J,"="&amp;$H$2),
AND($H$2=Data!$A$11,$K$2=Data!$A$2),SUMIFS(Proventos!$H:$H,Proventos!$D:$D,"&gt;="&amp;CONCATENATE($N$6,"/",B24),Proventos!$D:$D,"&lt;"&amp;CONCATENATE($C$6,"/",B25),Proventos!$J:$J,"="&amp;$H$2),
$K$2=Data!$A$2,SUMIFS(Proventos!$H:$H,Proventos!$D:$D,"&gt;="&amp;CONCATENATE($N$6,"/",B24),Proventos!$D:$D,"&lt;"&amp;CONCATENATE($C$6,"/",B25)),
$K$2&lt;&gt;Data!$A$2,SUMIFS(Proventos!$H:$H,Proventos!$D:$D,"&gt;="&amp;CONCATENATE($N$6,"/",B24),Proventos!$D:$D,"&lt;"&amp;CONCATENATE($C$6,"/",B25),Proventos!$A:$A,"="&amp;$K$2))</f>
        <v>0</v>
      </c>
      <c r="O24" s="245"/>
      <c r="P24" s="245">
        <f t="shared" si="1"/>
        <v>0</v>
      </c>
      <c r="Q24" s="245">
        <f t="shared" si="2"/>
        <v>0</v>
      </c>
    </row>
    <row r="25" ht="32.25" customHeight="1">
      <c r="A25" s="246" t="str">
        <f>IFERROR(__xludf.DUMMYFUNCTION("""COMPUTED_VALUE"""),"ODPV3")</f>
        <v>ODPV3</v>
      </c>
      <c r="B25" s="244"/>
      <c r="C25" s="245">
        <f>IFS(
AND($H$2=Data!$A$3,$K$2=Data!$A$2),SUMIFS(Proventos!$H:$H,Proventos!$D:$D,"&gt;="&amp;CONCATENATE($C$6,"/",B25),Proventos!$D:$D,"&lt;"&amp;CONCATENATE($D$6,"/",B25),Proventos!$J:$J,"="&amp;$H$2),
AND($H$2=Data!$A$4,$K$2=Data!$A$2),SUMIFS(Proventos!$H:$H,Proventos!$D:$D,"&gt;="&amp;CONCATENATE($C$6,"/",B25),Proventos!$D:$D,"&lt;"&amp;CONCATENATE($D$6,"/",B25),Proventos!$J:$J,"="&amp;$H$2),
AND($H$2=Data!$A$5,$K$2=Data!$A$2),SUMIFS(Proventos!$H:$H,Proventos!$D:$D,"&gt;="&amp;CONCATENATE($C$6,"/",B25),Proventos!$D:$D,"&lt;"&amp;CONCATENATE($D$6,"/",B25),Proventos!$J:$J,"="&amp;$H$2),
AND($H$2=Data!$A$6,$K$2=Data!$A$2),SUMIFS(Proventos!$H:$H,Proventos!$D:$D,"&gt;="&amp;CONCATENATE($C$6,"/",B25),Proventos!$D:$D,"&lt;"&amp;CONCATENATE($D$6,"/",B25),Proventos!$J:$J,"="&amp;$H$2),
AND($H$2=Data!$A$7,$K$2=Data!$A$2),SUMIFS(Proventos!$H:$H,Proventos!$D:$D,"&gt;="&amp;CONCATENATE($C$6,"/",B25),Proventos!$D:$D,"&lt;"&amp;CONCATENATE($D$6,"/",B25),Proventos!$J:$J,"="&amp;$H$2),
AND($H$2=Data!$A$8,$K$2=Data!$A$2),SUMIFS(Proventos!$H:$H,Proventos!$D:$D,"&gt;="&amp;CONCATENATE($C$6,"/",B25),Proventos!$D:$D,"&lt;"&amp;CONCATENATE($D$6,"/",B25),Proventos!$J:$J,"="&amp;$H$2),
AND($H$2=Data!$A$9,$K$2=Data!$A$2),SUMIFS(Proventos!$H:$H,Proventos!$D:$D,"&gt;="&amp;CONCATENATE($C$6,"/",B25),Proventos!$D:$D,"&lt;"&amp;CONCATENATE($D$6,"/",B25),Proventos!$J:$J,"="&amp;$H$2),
AND($H$2=Data!$A$10,$K$2=Data!$A$2),SUMIFS(Proventos!$H:$H,Proventos!$D:$D,"&gt;="&amp;CONCATENATE($C$6,"/",B25),Proventos!$D:$D,"&lt;"&amp;CONCATENATE($D$6,"/",B25),Proventos!$J:$J,"="&amp;$H$2),
AND($H$2=Data!$A$11,$K$2=Data!$A$2),SUMIFS(Proventos!$H:$H,Proventos!$D:$D,"&gt;="&amp;CONCATENATE($C$6,"/",B25),Proventos!$D:$D,"&lt;"&amp;CONCATENATE($D$6,"/",B25),Proventos!$J:$J,"="&amp;$H$2),
$K$2=Data!$A$2,SUMIFS(Proventos!$H:$H,Proventos!$D:$D,"&gt;="&amp;CONCATENATE($C$6,"/",B25),Proventos!$D:$D,"&lt;"&amp;CONCATENATE($D$6,"/",B25)),
$K$2&lt;&gt;Data!$A$2,SUMIFS(Proventos!$H:$H,Proventos!$D:$D,"&gt;="&amp;CONCATENATE($C$6,"/",B25),Proventos!$D:$D,"&lt;"&amp;CONCATENATE($D$6,"/",B25),Proventos!$A:$A,"="&amp;$K$2))</f>
        <v>0</v>
      </c>
      <c r="D25" s="245">
        <f>IFS(
AND($H$2=Data!$A$3,$K$2=Data!$A$2),SUMIFS(Proventos!$H:$H,Proventos!$D:$D,"&gt;="&amp;CONCATENATE($D$6,"/",B25),Proventos!$D:$D,"&lt;"&amp;CONCATENATE($E$6,"/",B25),Proventos!$J:$J,"="&amp;$H$2),
AND($H$2=Data!$A$4,$K$2=Data!$A$2),SUMIFS(Proventos!$H:$H,Proventos!$D:$D,"&gt;="&amp;CONCATENATE($D$6,"/",B25),Proventos!$D:$D,"&lt;"&amp;CONCATENATE($E$6,"/",B25),Proventos!$J:$J,"="&amp;$H$2),
AND($H$2=Data!$A$5,$K$2=Data!$A$2),SUMIFS(Proventos!$H:$H,Proventos!$D:$D,"&gt;="&amp;CONCATENATE($D$6,"/",B25),Proventos!$D:$D,"&lt;"&amp;CONCATENATE($E$6,"/",B25),Proventos!$J:$J,"="&amp;$H$2),
AND($H$2=Data!$A$6,$K$2=Data!$A$2),SUMIFS(Proventos!$H:$H,Proventos!$D:$D,"&gt;="&amp;CONCATENATE($D$6,"/",B25),Proventos!$D:$D,"&lt;"&amp;CONCATENATE($E$6,"/",B25),Proventos!$J:$J,"="&amp;$H$2),
AND($H$2=Data!$A$7,$K$2=Data!$A$2),SUMIFS(Proventos!$H:$H,Proventos!$D:$D,"&gt;="&amp;CONCATENATE($D$6,"/",B25),Proventos!$D:$D,"&lt;"&amp;CONCATENATE($E$6,"/",B25),Proventos!$J:$J,"="&amp;$H$2),
AND($H$2=Data!$A$8,$K$2=Data!$A$2),SUMIFS(Proventos!$H:$H,Proventos!$D:$D,"&gt;="&amp;CONCATENATE($D$6,"/",B25),Proventos!$D:$D,"&lt;"&amp;CONCATENATE($E$6,"/",B25),Proventos!$J:$J,"="&amp;$H$2),
AND($H$2=Data!$A$9,$K$2=Data!$A$2),SUMIFS(Proventos!$H:$H,Proventos!$D:$D,"&gt;="&amp;CONCATENATE($D$6,"/",B25),Proventos!$D:$D,"&lt;"&amp;CONCATENATE($E$6,"/",B25),Proventos!$J:$J,"="&amp;$H$2),
AND($H$2=Data!$A$10,$K$2=Data!$A$2),SUMIFS(Proventos!$H:$H,Proventos!$D:$D,"&gt;="&amp;CONCATENATE($D$6,"/",B25),Proventos!$D:$D,"&lt;"&amp;CONCATENATE($E$6,"/",B25),Proventos!$J:$J,"="&amp;$H$2),
AND($H$2=Data!$A$11,$K$2=Data!$A$2),SUMIFS(Proventos!$H:$H,Proventos!$D:$D,"&gt;="&amp;CONCATENATE($D$6,"/",B25),Proventos!$D:$D,"&lt;"&amp;CONCATENATE($E$6,"/",B25),Proventos!$J:$J,"="&amp;$H$2),
$K$2=Data!$A$2,SUMIFS(Proventos!$H:$H,Proventos!$D:$D,"&gt;="&amp;CONCATENATE($D$6,"/",B25),Proventos!$D:$D,"&lt;"&amp;CONCATENATE($E$6,"/",B25)),
$K$2&lt;&gt;Data!$A$2,SUMIFS(Proventos!$H:$H,Proventos!$D:$D,"&gt;="&amp;CONCATENATE($D$6,"/",B25),Proventos!$D:$D,"&lt;"&amp;CONCATENATE($E$6,"/",B25),Proventos!$A:$A,"="&amp;$K$2))</f>
        <v>0</v>
      </c>
      <c r="E25" s="245">
        <f>IFS(
AND($H$2=Data!$A$3,$K$2=Data!$A$2),SUMIFS(Proventos!$H:$H,Proventos!$D:$D,"&gt;="&amp;CONCATENATE($E$6,"/",B25),Proventos!$D:$D,"&lt;"&amp;CONCATENATE($F$6,"/",B25),Proventos!$J:$J,"="&amp;$H$2),
AND($H$2=Data!$A$4,$K$2=Data!$A$2),SUMIFS(Proventos!$H:$H,Proventos!$D:$D,"&gt;="&amp;CONCATENATE($E$6,"/",B25),Proventos!$D:$D,"&lt;"&amp;CONCATENATE($F$6,"/",B25),Proventos!$J:$J,"="&amp;$H$2),
AND($H$2=Data!$A$5,$K$2=Data!$A$2),SUMIFS(Proventos!$H:$H,Proventos!$D:$D,"&gt;="&amp;CONCATENATE($E$6,"/",B25),Proventos!$D:$D,"&lt;"&amp;CONCATENATE($F$6,"/",B25),Proventos!$J:$J,"="&amp;$H$2),
AND($H$2=Data!$A$6,$K$2=Data!$A$2),SUMIFS(Proventos!$H:$H,Proventos!$D:$D,"&gt;="&amp;CONCATENATE($E$6,"/",B25),Proventos!$D:$D,"&lt;"&amp;CONCATENATE($F$6,"/",B25),Proventos!$J:$J,"="&amp;$H$2),
AND($H$2=Data!$A$7,$K$2=Data!$A$2),SUMIFS(Proventos!$H:$H,Proventos!$D:$D,"&gt;="&amp;CONCATENATE($E$6,"/",B25),Proventos!$D:$D,"&lt;"&amp;CONCATENATE($F$6,"/",B25),Proventos!$J:$J,"="&amp;$H$2),
AND($H$2=Data!$A$8,$K$2=Data!$A$2),SUMIFS(Proventos!$H:$H,Proventos!$D:$D,"&gt;="&amp;CONCATENATE($E$6,"/",B25),Proventos!$D:$D,"&lt;"&amp;CONCATENATE($F$6,"/",B25),Proventos!$J:$J,"="&amp;$H$2),
AND($H$2=Data!$A$9,$K$2=Data!$A$2),SUMIFS(Proventos!$H:$H,Proventos!$D:$D,"&gt;="&amp;CONCATENATE($E$6,"/",B25),Proventos!$D:$D,"&lt;"&amp;CONCATENATE($F$6,"/",B25),Proventos!$J:$J,"="&amp;$H$2),
AND($H$2=Data!$A$10,$K$2=Data!$A$2),SUMIFS(Proventos!$H:$H,Proventos!$D:$D,"&gt;="&amp;CONCATENATE($E$6,"/",B25),Proventos!$D:$D,"&lt;"&amp;CONCATENATE($F$6,"/",B25),Proventos!$J:$J,"="&amp;$H$2),
AND($H$2=Data!$A$11,$K$2=Data!$A$2),SUMIFS(Proventos!$H:$H,Proventos!$D:$D,"&gt;="&amp;CONCATENATE($E$6,"/",B25),Proventos!$D:$D,"&lt;"&amp;CONCATENATE($F$6,"/",B25),Proventos!$J:$J,"="&amp;$H$2),
$K$2=Data!$A$2,SUMIFS(Proventos!$H:$H,Proventos!$D:$D,"&gt;="&amp;CONCATENATE($E$6,"/",B25),Proventos!$D:$D,"&lt;"&amp;CONCATENATE($F$6,"/",B25)),
$K$2&lt;&gt;Data!$A$2,SUMIFS(Proventos!$H:$H,Proventos!$D:$D,"&gt;="&amp;CONCATENATE($E$6,"/",B25),Proventos!$D:$D,"&lt;"&amp;CONCATENATE($F$6,"/",B25),Proventos!$A:$A,"="&amp;$K$2))</f>
        <v>0</v>
      </c>
      <c r="F25" s="245">
        <f>IFS(
AND($H$2=Data!$A$3,$K$2=Data!$A$2),SUMIFS(Proventos!$H:$H,Proventos!$D:$D,"&gt;="&amp;CONCATENATE($F$6,"/",B25),Proventos!$D:$D,"&lt;"&amp;CONCATENATE($G$6,"/",B25),Proventos!$J:$J,"="&amp;$H$2),
AND($H$2=Data!$A$4,$K$2=Data!$A$2),SUMIFS(Proventos!$H:$H,Proventos!$D:$D,"&gt;="&amp;CONCATENATE($F$6,"/",B25),Proventos!$D:$D,"&lt;"&amp;CONCATENATE($G$6,"/",B25),Proventos!$J:$J,"="&amp;$H$2),
AND($H$2=Data!$A$5,$K$2=Data!$A$2),SUMIFS(Proventos!$H:$H,Proventos!$D:$D,"&gt;="&amp;CONCATENATE($F$6,"/",B25),Proventos!$D:$D,"&lt;"&amp;CONCATENATE($G$6,"/",B25),Proventos!$J:$J,"="&amp;$H$2),
AND($H$2=Data!$A$6,$K$2=Data!$A$2),SUMIFS(Proventos!$H:$H,Proventos!$D:$D,"&gt;="&amp;CONCATENATE($F$6,"/",B25),Proventos!$D:$D,"&lt;"&amp;CONCATENATE($G$6,"/",B25),Proventos!$J:$J,"="&amp;$H$2),
AND($H$2=Data!$A$7,$K$2=Data!$A$2),SUMIFS(Proventos!$H:$H,Proventos!$D:$D,"&gt;="&amp;CONCATENATE($F$6,"/",B25),Proventos!$D:$D,"&lt;"&amp;CONCATENATE($G$6,"/",B25),Proventos!$J:$J,"="&amp;$H$2),
AND($H$2=Data!$A$8,$K$2=Data!$A$2),SUMIFS(Proventos!$H:$H,Proventos!$D:$D,"&gt;="&amp;CONCATENATE($F$6,"/",B25),Proventos!$D:$D,"&lt;"&amp;CONCATENATE($G$6,"/",B25),Proventos!$J:$J,"="&amp;$H$2),
AND($H$2=Data!$A$9,$K$2=Data!$A$2),SUMIFS(Proventos!$H:$H,Proventos!$D:$D,"&gt;="&amp;CONCATENATE($F$6,"/",B25),Proventos!$D:$D,"&lt;"&amp;CONCATENATE($G$6,"/",B25),Proventos!$J:$J,"="&amp;$H$2),
AND($H$2=Data!$A$10,$K$2=Data!$A$2),SUMIFS(Proventos!$H:$H,Proventos!$D:$D,"&gt;="&amp;CONCATENATE($F$6,"/",B25),Proventos!$D:$D,"&lt;"&amp;CONCATENATE($G$6,"/",B25),Proventos!$J:$J,"="&amp;$H$2),
AND($H$2=Data!$A$11,$K$2=Data!$A$2),SUMIFS(Proventos!$H:$H,Proventos!$D:$D,"&gt;="&amp;CONCATENATE($F$6,"/",B25),Proventos!$D:$D,"&lt;"&amp;CONCATENATE($G$6,"/",B25),Proventos!$J:$J,"="&amp;$H$2),
$K$2=Data!$A$2,SUMIFS(Proventos!$H:$H,Proventos!$D:$D,"&gt;="&amp;CONCATENATE($F$6,"/",B25),Proventos!$D:$D,"&lt;"&amp;CONCATENATE($G$6,"/",B25)),
$K$2&lt;&gt;Data!$A$2,SUMIFS(Proventos!$H:$H,Proventos!$D:$D,"&gt;="&amp;CONCATENATE($F$6,"/",B25),Proventos!$D:$D,"&lt;"&amp;CONCATENATE($G$6,"/",B25),Proventos!$A:$A,"="&amp;$K$2))</f>
        <v>0</v>
      </c>
      <c r="G25" s="245">
        <f>IFS(
AND($H$2=Data!$A$3,$K$2=Data!$A$2),SUMIFS(Proventos!$H:$H,Proventos!$D:$D,"&gt;="&amp;CONCATENATE($G$6,"/",B25),Proventos!$D:$D,"&lt;"&amp;CONCATENATE($H$6,"/",B25),Proventos!$J:$J,"="&amp;$H$2),
AND($H$2=Data!$A$4,$K$2=Data!$A$2),SUMIFS(Proventos!$H:$H,Proventos!$D:$D,"&gt;="&amp;CONCATENATE($G$6,"/",B25),Proventos!$D:$D,"&lt;"&amp;CONCATENATE($H$6,"/",B25),Proventos!$J:$J,"="&amp;$H$2),
AND($H$2=Data!$A$5,$K$2=Data!$A$2),SUMIFS(Proventos!$H:$H,Proventos!$D:$D,"&gt;="&amp;CONCATENATE($G$6,"/",B25),Proventos!$D:$D,"&lt;"&amp;CONCATENATE($H$6,"/",B25),Proventos!$J:$J,"="&amp;$H$2),
AND($H$2=Data!$A$6,$K$2=Data!$A$2),SUMIFS(Proventos!$H:$H,Proventos!$D:$D,"&gt;="&amp;CONCATENATE($G$6,"/",B25),Proventos!$D:$D,"&lt;"&amp;CONCATENATE($H$6,"/",B25),Proventos!$J:$J,"="&amp;$H$2),
AND($H$2=Data!$A$7,$K$2=Data!$A$2),SUMIFS(Proventos!$H:$H,Proventos!$D:$D,"&gt;="&amp;CONCATENATE($G$6,"/",B25),Proventos!$D:$D,"&lt;"&amp;CONCATENATE($H$6,"/",B25),Proventos!$J:$J,"="&amp;$H$2),
AND($H$2=Data!$A$8,$K$2=Data!$A$2),SUMIFS(Proventos!$H:$H,Proventos!$D:$D,"&gt;="&amp;CONCATENATE($G$6,"/",B25),Proventos!$D:$D,"&lt;"&amp;CONCATENATE($H$6,"/",B25),Proventos!$J:$J,"="&amp;$H$2),
AND($H$2=Data!$A$9,$K$2=Data!$A$2),SUMIFS(Proventos!$H:$H,Proventos!$D:$D,"&gt;="&amp;CONCATENATE($G$6,"/",B25),Proventos!$D:$D,"&lt;"&amp;CONCATENATE($H$6,"/",B25),Proventos!$J:$J,"="&amp;$H$2),
AND($H$2=Data!$A$10,$K$2=Data!$A$2),SUMIFS(Proventos!$H:$H,Proventos!$D:$D,"&gt;="&amp;CONCATENATE($G$6,"/",B25),Proventos!$D:$D,"&lt;"&amp;CONCATENATE($H$6,"/",B25),Proventos!$J:$J,"="&amp;$H$2),
AND($H$2=Data!$A$11,$K$2=Data!$A$2),SUMIFS(Proventos!$H:$H,Proventos!$D:$D,"&gt;="&amp;CONCATENATE($G$6,"/",B25),Proventos!$D:$D,"&lt;"&amp;CONCATENATE($H$6,"/",B25),Proventos!$J:$J,"="&amp;$H$2),
$K$2=Data!$A$2,SUMIFS(Proventos!$H:$H,Proventos!$D:$D,"&gt;="&amp;CONCATENATE($G$6,"/",B25),Proventos!$D:$D,"&lt;"&amp;CONCATENATE($H$6,"/",B25)),
$K$2&lt;&gt;Data!$A$2,SUMIFS(Proventos!$H:$H,Proventos!$D:$D,"&gt;="&amp;CONCATENATE($G$6,"/",B25),Proventos!$D:$D,"&lt;"&amp;CONCATENATE($H$6,"/",B25),Proventos!$A:$A,"="&amp;$K$2))</f>
        <v>0</v>
      </c>
      <c r="H25" s="245">
        <f>IFS(
AND($H$2=Data!$A$3,$K$2=Data!$A$2),SUMIFS(Proventos!$H:$H,Proventos!$D:$D,"&gt;="&amp;CONCATENATE($H$6,"/",B25),Proventos!$D:$D,"&lt;"&amp;CONCATENATE($I$6,"/",B25),Proventos!$J:$J,"="&amp;$H$2),
AND($H$2=Data!$A$4,$K$2=Data!$A$2),SUMIFS(Proventos!$H:$H,Proventos!$D:$D,"&gt;="&amp;CONCATENATE($H$6,"/",B25),Proventos!$D:$D,"&lt;"&amp;CONCATENATE($I$6,"/",B25),Proventos!$J:$J,"="&amp;$H$2),
AND($H$2=Data!$A$5,$K$2=Data!$A$2),SUMIFS(Proventos!$H:$H,Proventos!$D:$D,"&gt;="&amp;CONCATENATE($H$6,"/",B25),Proventos!$D:$D,"&lt;"&amp;CONCATENATE($I$6,"/",B25),Proventos!$J:$J,"="&amp;$H$2),
AND($H$2=Data!$A$6,$K$2=Data!$A$2),SUMIFS(Proventos!$H:$H,Proventos!$D:$D,"&gt;="&amp;CONCATENATE($H$6,"/",B25),Proventos!$D:$D,"&lt;"&amp;CONCATENATE($I$6,"/",B25),Proventos!$J:$J,"="&amp;$H$2),
AND($H$2=Data!$A$7,$K$2=Data!$A$2),SUMIFS(Proventos!$H:$H,Proventos!$D:$D,"&gt;="&amp;CONCATENATE($H$6,"/",B25),Proventos!$D:$D,"&lt;"&amp;CONCATENATE($I$6,"/",B25),Proventos!$J:$J,"="&amp;$H$2),
AND($H$2=Data!$A$8,$K$2=Data!$A$2),SUMIFS(Proventos!$H:$H,Proventos!$D:$D,"&gt;="&amp;CONCATENATE($H$6,"/",B25),Proventos!$D:$D,"&lt;"&amp;CONCATENATE($I$6,"/",B25),Proventos!$J:$J,"="&amp;$H$2),
AND($H$2=Data!$A$9,$K$2=Data!$A$2),SUMIFS(Proventos!$H:$H,Proventos!$D:$D,"&gt;="&amp;CONCATENATE($H$6,"/",B25),Proventos!$D:$D,"&lt;"&amp;CONCATENATE($I$6,"/",B25),Proventos!$J:$J,"="&amp;$H$2),
AND($H$2=Data!$A$10,$K$2=Data!$A$2),SUMIFS(Proventos!$H:$H,Proventos!$D:$D,"&gt;="&amp;CONCATENATE($H$6,"/",B25),Proventos!$D:$D,"&lt;"&amp;CONCATENATE($I$6,"/",B25),Proventos!$J:$J,"="&amp;$H$2),
AND($H$2=Data!$A$11,$K$2=Data!$A$2),SUMIFS(Proventos!$H:$H,Proventos!$D:$D,"&gt;="&amp;CONCATENATE($H$6,"/",B25),Proventos!$D:$D,"&lt;"&amp;CONCATENATE($I$6,"/",B25),Proventos!$J:$J,"="&amp;$H$2),
$K$2=Data!$A$2,SUMIFS(Proventos!$H:$H,Proventos!$D:$D,"&gt;="&amp;CONCATENATE($H$6,"/",B25),Proventos!$D:$D,"&lt;"&amp;CONCATENATE($I$6,"/",B25)),
$K$2&lt;&gt;Data!$A$2,SUMIFS(Proventos!$H:$H,Proventos!$D:$D,"&gt;="&amp;CONCATENATE($H$6,"/",B25),Proventos!$D:$D,"&lt;"&amp;CONCATENATE($I$6,"/",B25),Proventos!$A:$A,"="&amp;$K$2))</f>
        <v>0</v>
      </c>
      <c r="I25" s="245">
        <f>IFS(
AND($H$2=Data!$A$3,$K$2=Data!$A$2),SUMIFS(Proventos!$H:$H,Proventos!$D:$D,"&gt;="&amp;CONCATENATE($I$6,"/",B25),Proventos!$D:$D,"&lt;"&amp;CONCATENATE($J$6,"/",B25),Proventos!$J:$J,"="&amp;$H$2),
AND($H$2=Data!$A$4,$K$2=Data!$A$2),SUMIFS(Proventos!$H:$H,Proventos!$D:$D,"&gt;="&amp;CONCATENATE($I$6,"/",B25),Proventos!$D:$D,"&lt;"&amp;CONCATENATE($J$6,"/",B25),Proventos!$J:$J,"="&amp;$H$2),
AND($H$2=Data!$A$5,$K$2=Data!$A$2),SUMIFS(Proventos!$H:$H,Proventos!$D:$D,"&gt;="&amp;CONCATENATE($I$6,"/",B25),Proventos!$D:$D,"&lt;"&amp;CONCATENATE($J$6,"/",B25),Proventos!$J:$J,"="&amp;$H$2),
AND($H$2=Data!$A$6,$K$2=Data!$A$2),SUMIFS(Proventos!$H:$H,Proventos!$D:$D,"&gt;="&amp;CONCATENATE($I$6,"/",B25),Proventos!$D:$D,"&lt;"&amp;CONCATENATE($J$6,"/",B25),Proventos!$J:$J,"="&amp;$H$2),
AND($H$2=Data!$A$7,$K$2=Data!$A$2),SUMIFS(Proventos!$H:$H,Proventos!$D:$D,"&gt;="&amp;CONCATENATE($I$6,"/",B25),Proventos!$D:$D,"&lt;"&amp;CONCATENATE($J$6,"/",B25),Proventos!$J:$J,"="&amp;$H$2),
AND($H$2=Data!$A$8,$K$2=Data!$A$2),SUMIFS(Proventos!$H:$H,Proventos!$D:$D,"&gt;="&amp;CONCATENATE($I$6,"/",B25),Proventos!$D:$D,"&lt;"&amp;CONCATENATE($J$6,"/",B25),Proventos!$J:$J,"="&amp;$H$2),
AND($H$2=Data!$A$9,$K$2=Data!$A$2),SUMIFS(Proventos!$H:$H,Proventos!$D:$D,"&gt;="&amp;CONCATENATE($I$6,"/",B25),Proventos!$D:$D,"&lt;"&amp;CONCATENATE($J$6,"/",B25),Proventos!$J:$J,"="&amp;$H$2),
AND($H$2=Data!$A$10,$K$2=Data!$A$2),SUMIFS(Proventos!$H:$H,Proventos!$D:$D,"&gt;="&amp;CONCATENATE($I$6,"/",B25),Proventos!$D:$D,"&lt;"&amp;CONCATENATE($J$6,"/",B25),Proventos!$J:$J,"="&amp;$H$2),
AND($H$2=Data!$A$11,$K$2=Data!$A$2),SUMIFS(Proventos!$H:$H,Proventos!$D:$D,"&gt;="&amp;CONCATENATE($I$6,"/",B25),Proventos!$D:$D,"&lt;"&amp;CONCATENATE($J$6,"/",B25),Proventos!$J:$J,"="&amp;$H$2),
$K$2=Data!$A$2,SUMIFS(Proventos!$H:$H,Proventos!$D:$D,"&gt;="&amp;CONCATENATE($I$6,"/",B25),Proventos!$D:$D,"&lt;"&amp;CONCATENATE($J$6,"/",B25)),
$K$2&lt;&gt;Data!$A$2,SUMIFS(Proventos!$H:$H,Proventos!$D:$D,"&gt;="&amp;CONCATENATE($I$6,"/",B25),Proventos!$D:$D,"&lt;"&amp;CONCATENATE($J$6,"/",B25),Proventos!$A:$A,"="&amp;$K$2))</f>
        <v>0</v>
      </c>
      <c r="J25" s="245">
        <f>IFS(
AND($H$2=Data!$A$3,$K$2=Data!$A$2),SUMIFS(Proventos!$H:$H,Proventos!$D:$D,"&gt;="&amp;CONCATENATE($J$6,"/",B25),Proventos!$D:$D,"&lt;"&amp;CONCATENATE($K$6,"/",B25),Proventos!$J:$J,"="&amp;$H$2),
AND($H$2=Data!$A$4,$K$2=Data!$A$2),SUMIFS(Proventos!$H:$H,Proventos!$D:$D,"&gt;="&amp;CONCATENATE($J$6,"/",B25),Proventos!$D:$D,"&lt;"&amp;CONCATENATE($K$6,"/",B25),Proventos!$J:$J,"="&amp;$H$2),
AND($H$2=Data!$A$5,$K$2=Data!$A$2),SUMIFS(Proventos!$H:$H,Proventos!$D:$D,"&gt;="&amp;CONCATENATE($J$6,"/",B25),Proventos!$D:$D,"&lt;"&amp;CONCATENATE($K$6,"/",B25),Proventos!$J:$J,"="&amp;$H$2),
AND($H$2=Data!$A$6,$K$2=Data!$A$2),SUMIFS(Proventos!$H:$H,Proventos!$D:$D,"&gt;="&amp;CONCATENATE($J$6,"/",B25),Proventos!$D:$D,"&lt;"&amp;CONCATENATE($K$6,"/",B25),Proventos!$J:$J,"="&amp;$H$2),
AND($H$2=Data!$A$7,$K$2=Data!$A$2),SUMIFS(Proventos!$H:$H,Proventos!$D:$D,"&gt;="&amp;CONCATENATE($J$6,"/",B25),Proventos!$D:$D,"&lt;"&amp;CONCATENATE($K$6,"/",B25),Proventos!$J:$J,"="&amp;$H$2),
AND($H$2=Data!$A$8,$K$2=Data!$A$2),SUMIFS(Proventos!$H:$H,Proventos!$D:$D,"&gt;="&amp;CONCATENATE($J$6,"/",B25),Proventos!$D:$D,"&lt;"&amp;CONCATENATE($K$6,"/",B25),Proventos!$J:$J,"="&amp;$H$2),
AND($H$2=Data!$A$9,$K$2=Data!$A$2),SUMIFS(Proventos!$H:$H,Proventos!$D:$D,"&gt;="&amp;CONCATENATE($J$6,"/",B25),Proventos!$D:$D,"&lt;"&amp;CONCATENATE($K$6,"/",B25),Proventos!$J:$J,"="&amp;$H$2),
AND($H$2=Data!$A$10,$K$2=Data!$A$2),SUMIFS(Proventos!$H:$H,Proventos!$D:$D,"&gt;="&amp;CONCATENATE($J$6,"/",B25),Proventos!$D:$D,"&lt;"&amp;CONCATENATE($K$6,"/",B25),Proventos!$J:$J,"="&amp;$H$2),
AND($H$2=Data!$A$11,$K$2=Data!$A$2),SUMIFS(Proventos!$H:$H,Proventos!$D:$D,"&gt;="&amp;CONCATENATE($J$6,"/",B25),Proventos!$D:$D,"&lt;"&amp;CONCATENATE($K$6,"/",B25),Proventos!$J:$J,"="&amp;$H$2),
$K$2=Data!$A$2,SUMIFS(Proventos!$H:$H,Proventos!$D:$D,"&gt;="&amp;CONCATENATE($J$6,"/",B25),Proventos!$D:$D,"&lt;"&amp;CONCATENATE($K$6,"/",B25)),
$K$2&lt;&gt;Data!$A$2,SUMIFS(Proventos!$H:$H,Proventos!$D:$D,"&gt;="&amp;CONCATENATE($J$6,"/",B25),Proventos!$D:$D,"&lt;"&amp;CONCATENATE($K$6,"/",B25),Proventos!$A:$A,"="&amp;$K$2))</f>
        <v>0</v>
      </c>
      <c r="K25" s="245">
        <f>IFS(
AND($H$2=Data!$A$3,$K$2=Data!$A$2),SUMIFS(Proventos!$H:$H,Proventos!$D:$D,"&gt;="&amp;CONCATENATE($K$6,"/",B25),Proventos!$D:$D,"&lt;"&amp;CONCATENATE($L$6,"/",B25),Proventos!$J:$J,"="&amp;$H$2),
AND($H$2=Data!$A$4,$K$2=Data!$A$2),SUMIFS(Proventos!$H:$H,Proventos!$D:$D,"&gt;="&amp;CONCATENATE($K$6,"/",B25),Proventos!$D:$D,"&lt;"&amp;CONCATENATE($L$6,"/",B25),Proventos!$J:$J,"="&amp;$H$2),
AND($H$2=Data!$A$5,$K$2=Data!$A$2),SUMIFS(Proventos!$H:$H,Proventos!$D:$D,"&gt;="&amp;CONCATENATE($K$6,"/",B25),Proventos!$D:$D,"&lt;"&amp;CONCATENATE($L$6,"/",B25),Proventos!$J:$J,"="&amp;$H$2),
AND($H$2=Data!$A$6,$K$2=Data!$A$2),SUMIFS(Proventos!$H:$H,Proventos!$D:$D,"&gt;="&amp;CONCATENATE($K$6,"/",B25),Proventos!$D:$D,"&lt;"&amp;CONCATENATE($L$6,"/",B25),Proventos!$J:$J,"="&amp;$H$2),
AND($H$2=Data!$A$7,$K$2=Data!$A$2),SUMIFS(Proventos!$H:$H,Proventos!$D:$D,"&gt;="&amp;CONCATENATE($K$6,"/",B25),Proventos!$D:$D,"&lt;"&amp;CONCATENATE($L$6,"/",B25),Proventos!$J:$J,"="&amp;$H$2),
AND($H$2=Data!$A$8,$K$2=Data!$A$2),SUMIFS(Proventos!$H:$H,Proventos!$D:$D,"&gt;="&amp;CONCATENATE($K$6,"/",B25),Proventos!$D:$D,"&lt;"&amp;CONCATENATE($L$6,"/",B25),Proventos!$J:$J,"="&amp;$H$2),
AND($H$2=Data!$A$9,$K$2=Data!$A$2),SUMIFS(Proventos!$H:$H,Proventos!$D:$D,"&gt;="&amp;CONCATENATE($K$6,"/",B25),Proventos!$D:$D,"&lt;"&amp;CONCATENATE($L$6,"/",B25),Proventos!$J:$J,"="&amp;$H$2),
AND($H$2=Data!$A$10,$K$2=Data!$A$2),SUMIFS(Proventos!$H:$H,Proventos!$D:$D,"&gt;="&amp;CONCATENATE($K$6,"/",B25),Proventos!$D:$D,"&lt;"&amp;CONCATENATE($L$6,"/",B25),Proventos!$J:$J,"="&amp;$H$2),
AND($H$2=Data!$A$11,$K$2=Data!$A$2),SUMIFS(Proventos!$H:$H,Proventos!$D:$D,"&gt;="&amp;CONCATENATE($K$6,"/",B25),Proventos!$D:$D,"&lt;"&amp;CONCATENATE($L$6,"/",B25),Proventos!$J:$J,"="&amp;$H$2),
$K$2=Data!$A$2,SUMIFS(Proventos!$H:$H,Proventos!$D:$D,"&gt;="&amp;CONCATENATE($K$6,"/",B25),Proventos!$D:$D,"&lt;"&amp;CONCATENATE($L$6,"/",B25)),
$K$2&lt;&gt;Data!$A$2,SUMIFS(Proventos!$H:$H,Proventos!$D:$D,"&gt;="&amp;CONCATENATE($K$6,"/",B25),Proventos!$D:$D,"&lt;"&amp;CONCATENATE($L$6,"/",B25),Proventos!$A:$A,"="&amp;$K$2))</f>
        <v>0</v>
      </c>
      <c r="L25" s="245">
        <f>IFS(
AND($H$2=Data!$A$3,$K$2=Data!$A$2),SUMIFS(Proventos!$H:$H,Proventos!$D:$D,"&gt;="&amp;CONCATENATE($L$6,"/",B25),Proventos!$D:$D,"&lt;"&amp;CONCATENATE($M$6,"/",B25),Proventos!$J:$J,"="&amp;$H$2),
AND($H$2=Data!$A$4,$K$2=Data!$A$2),SUMIFS(Proventos!$H:$H,Proventos!$D:$D,"&gt;="&amp;CONCATENATE($L$6,"/",B25),Proventos!$D:$D,"&lt;"&amp;CONCATENATE($M$6,"/",B25),Proventos!$J:$J,"="&amp;$H$2),
AND($H$2=Data!$A$5,$K$2=Data!$A$2),SUMIFS(Proventos!$H:$H,Proventos!$D:$D,"&gt;="&amp;CONCATENATE($L$6,"/",B25),Proventos!$D:$D,"&lt;"&amp;CONCATENATE($M$6,"/",B25),Proventos!$J:$J,"="&amp;$H$2),
AND($H$2=Data!$A$6,$K$2=Data!$A$2),SUMIFS(Proventos!$H:$H,Proventos!$D:$D,"&gt;="&amp;CONCATENATE($L$6,"/",B25),Proventos!$D:$D,"&lt;"&amp;CONCATENATE($M$6,"/",B25),Proventos!$J:$J,"="&amp;$H$2),
AND($H$2=Data!$A$7,$K$2=Data!$A$2),SUMIFS(Proventos!$H:$H,Proventos!$D:$D,"&gt;="&amp;CONCATENATE($L$6,"/",B25),Proventos!$D:$D,"&lt;"&amp;CONCATENATE($M$6,"/",B25),Proventos!$J:$J,"="&amp;$H$2),
AND($H$2=Data!$A$8,$K$2=Data!$A$2),SUMIFS(Proventos!$H:$H,Proventos!$D:$D,"&gt;="&amp;CONCATENATE($L$6,"/",B25),Proventos!$D:$D,"&lt;"&amp;CONCATENATE($M$6,"/",B25),Proventos!$J:$J,"="&amp;$H$2),
AND($H$2=Data!$A$9,$K$2=Data!$A$2),SUMIFS(Proventos!$H:$H,Proventos!$D:$D,"&gt;="&amp;CONCATENATE($L$6,"/",B25),Proventos!$D:$D,"&lt;"&amp;CONCATENATE($M$6,"/",B25),Proventos!$J:$J,"="&amp;$H$2),
AND($H$2=Data!$A$10,$K$2=Data!$A$2),SUMIFS(Proventos!$H:$H,Proventos!$D:$D,"&gt;="&amp;CONCATENATE($L$6,"/",B25),Proventos!$D:$D,"&lt;"&amp;CONCATENATE($M$6,"/",B25),Proventos!$J:$J,"="&amp;$H$2),
AND($H$2=Data!$A$11,$K$2=Data!$A$2),SUMIFS(Proventos!$H:$H,Proventos!$D:$D,"&gt;="&amp;CONCATENATE($L$6,"/",B25),Proventos!$D:$D,"&lt;"&amp;CONCATENATE($M$6,"/",B25),Proventos!$J:$J,"="&amp;$H$2),
$K$2=Data!$A$2,SUMIFS(Proventos!$H:$H,Proventos!$D:$D,"&gt;="&amp;CONCATENATE($L$6,"/",B25),Proventos!$D:$D,"&lt;"&amp;CONCATENATE($M$6,"/",B25)),
$K$2&lt;&gt;Data!$A$2,SUMIFS(Proventos!$H:$H,Proventos!$D:$D,"&gt;="&amp;CONCATENATE($L$6,"/",B25),Proventos!$D:$D,"&lt;"&amp;CONCATENATE($M$6,"/",B25),Proventos!$A:$A,"="&amp;$K$2))</f>
        <v>0</v>
      </c>
      <c r="M25" s="245">
        <f>IFS(
AND($H$2=Data!$A$3,$K$2=Data!$A$2),SUMIFS(Proventos!$H:$H,Proventos!$D:$D,"&gt;="&amp;CONCATENATE($M$6,"/",B25),Proventos!$D:$D,"&lt;"&amp;CONCATENATE($N$6,"/",B25),Proventos!$J:$J,"="&amp;$H$2),
AND($H$2=Data!$A$4,$K$2=Data!$A$2),SUMIFS(Proventos!$H:$H,Proventos!$D:$D,"&gt;="&amp;CONCATENATE($M$6,"/",B25),Proventos!$D:$D,"&lt;"&amp;CONCATENATE($N$6,"/",B25),Proventos!$J:$J,"="&amp;$H$2),
AND($H$2=Data!$A$5,$K$2=Data!$A$2),SUMIFS(Proventos!$H:$H,Proventos!$D:$D,"&gt;="&amp;CONCATENATE($M$6,"/",B25),Proventos!$D:$D,"&lt;"&amp;CONCATENATE($N$6,"/",B25),Proventos!$J:$J,"="&amp;$H$2),
AND($H$2=Data!$A$6,$K$2=Data!$A$2),SUMIFS(Proventos!$H:$H,Proventos!$D:$D,"&gt;="&amp;CONCATENATE($M$6,"/",B25),Proventos!$D:$D,"&lt;"&amp;CONCATENATE($N$6,"/",B25),Proventos!$J:$J,"="&amp;$H$2),
AND($H$2=Data!$A$7,$K$2=Data!$A$2),SUMIFS(Proventos!$H:$H,Proventos!$D:$D,"&gt;="&amp;CONCATENATE($M$6,"/",B25),Proventos!$D:$D,"&lt;"&amp;CONCATENATE($N$6,"/",B25),Proventos!$J:$J,"="&amp;$H$2),
AND($H$2=Data!$A$8,$K$2=Data!$A$2),SUMIFS(Proventos!$H:$H,Proventos!$D:$D,"&gt;="&amp;CONCATENATE($M$6,"/",B25),Proventos!$D:$D,"&lt;"&amp;CONCATENATE($N$6,"/",B25),Proventos!$J:$J,"="&amp;$H$2),
AND($H$2=Data!$A$9,$K$2=Data!$A$2),SUMIFS(Proventos!$H:$H,Proventos!$D:$D,"&gt;="&amp;CONCATENATE($M$6,"/",B25),Proventos!$D:$D,"&lt;"&amp;CONCATENATE($N$6,"/",B25),Proventos!$J:$J,"="&amp;$H$2),
AND($H$2=Data!$A$10,$K$2=Data!$A$2),SUMIFS(Proventos!$H:$H,Proventos!$D:$D,"&gt;="&amp;CONCATENATE($M$6,"/",B25),Proventos!$D:$D,"&lt;"&amp;CONCATENATE($N$6,"/",B25),Proventos!$J:$J,"="&amp;$H$2),
AND($H$2=Data!$A$11,$K$2=Data!$A$2),SUMIFS(Proventos!$H:$H,Proventos!$D:$D,"&gt;="&amp;CONCATENATE($M$6,"/",B25),Proventos!$D:$D,"&lt;"&amp;CONCATENATE($N$6,"/",B25),Proventos!$J:$J,"="&amp;$H$2),
$K$2=Data!$A$2,SUMIFS(Proventos!$H:$H,Proventos!$D:$D,"&gt;="&amp;CONCATENATE($M$6,"/",B25),Proventos!$D:$D,"&lt;"&amp;CONCATENATE($N$6,"/",B25)),
$K$2&lt;&gt;Data!$A$2,SUMIFS(Proventos!$H:$H,Proventos!$D:$D,"&gt;="&amp;CONCATENATE($M$6,"/",B25),Proventos!$D:$D,"&lt;"&amp;CONCATENATE($N$6,"/",B25),Proventos!$A:$A,"="&amp;$K$2))</f>
        <v>0</v>
      </c>
      <c r="N25" s="245">
        <f>IFS(
AND($H$2=Data!$A$3,$K$2=Data!$A$2),SUMIFS(Proventos!$H:$H,Proventos!$D:$D,"&gt;="&amp;CONCATENATE($N$6,"/",B25),Proventos!$D:$D,"&lt;"&amp;CONCATENATE($C$6,"/",B26),Proventos!$J:$J,"="&amp;$H$2),
AND($H$2=Data!$A$4,$K$2=Data!$A$2),SUMIFS(Proventos!$H:$H,Proventos!$D:$D,"&gt;="&amp;CONCATENATE($N$6,"/",B25),Proventos!$D:$D,"&lt;"&amp;CONCATENATE($C$6,"/",B26),Proventos!$J:$J,"="&amp;$H$2),
AND($H$2=Data!$A$5,$K$2=Data!$A$2),SUMIFS(Proventos!$H:$H,Proventos!$D:$D,"&gt;="&amp;CONCATENATE($N$6,"/",B25),Proventos!$D:$D,"&lt;"&amp;CONCATENATE($C$6,"/",B26),Proventos!$J:$J,"="&amp;$H$2),
AND($H$2=Data!$A$6,$K$2=Data!$A$2),SUMIFS(Proventos!$H:$H,Proventos!$D:$D,"&gt;="&amp;CONCATENATE($N$6,"/",B25),Proventos!$D:$D,"&lt;"&amp;CONCATENATE($C$6,"/",B26),Proventos!$J:$J,"="&amp;$H$2),
AND($H$2=Data!$A$7,$K$2=Data!$A$2),SUMIFS(Proventos!$H:$H,Proventos!$D:$D,"&gt;="&amp;CONCATENATE($N$6,"/",B25),Proventos!$D:$D,"&lt;"&amp;CONCATENATE($C$6,"/",B26),Proventos!$J:$J,"="&amp;$H$2),
AND($H$2=Data!$A$8,$K$2=Data!$A$2),SUMIFS(Proventos!$H:$H,Proventos!$D:$D,"&gt;="&amp;CONCATENATE($N$6,"/",B25),Proventos!$D:$D,"&lt;"&amp;CONCATENATE($C$6,"/",B26),Proventos!$J:$J,"="&amp;$H$2),
AND($H$2=Data!$A$9,$K$2=Data!$A$2),SUMIFS(Proventos!$H:$H,Proventos!$D:$D,"&gt;="&amp;CONCATENATE($N$6,"/",B25),Proventos!$D:$D,"&lt;"&amp;CONCATENATE($C$6,"/",B26),Proventos!$J:$J,"="&amp;$H$2),
AND($H$2=Data!$A$10,$K$2=Data!$A$2),SUMIFS(Proventos!$H:$H,Proventos!$D:$D,"&gt;="&amp;CONCATENATE($N$6,"/",B25),Proventos!$D:$D,"&lt;"&amp;CONCATENATE($C$6,"/",B26),Proventos!$J:$J,"="&amp;$H$2),
AND($H$2=Data!$A$11,$K$2=Data!$A$2),SUMIFS(Proventos!$H:$H,Proventos!$D:$D,"&gt;="&amp;CONCATENATE($N$6,"/",B25),Proventos!$D:$D,"&lt;"&amp;CONCATENATE($C$6,"/",B26),Proventos!$J:$J,"="&amp;$H$2),
$K$2=Data!$A$2,SUMIFS(Proventos!$H:$H,Proventos!$D:$D,"&gt;="&amp;CONCATENATE($N$6,"/",B25),Proventos!$D:$D,"&lt;"&amp;CONCATENATE($C$6,"/",B26)),
$K$2&lt;&gt;Data!$A$2,SUMIFS(Proventos!$H:$H,Proventos!$D:$D,"&gt;="&amp;CONCATENATE($N$6,"/",B25),Proventos!$D:$D,"&lt;"&amp;CONCATENATE($C$6,"/",B26),Proventos!$A:$A,"="&amp;$K$2))</f>
        <v>0</v>
      </c>
      <c r="O25" s="245"/>
      <c r="P25" s="245">
        <f t="shared" si="1"/>
        <v>0</v>
      </c>
      <c r="Q25" s="245">
        <f t="shared" si="2"/>
        <v>0</v>
      </c>
    </row>
    <row r="26" ht="32.25" customHeight="1">
      <c r="A26" s="246" t="str">
        <f>IFERROR(__xludf.DUMMYFUNCTION("""COMPUTED_VALUE"""),"RADL3")</f>
        <v>RADL3</v>
      </c>
      <c r="B26" s="244"/>
      <c r="C26" s="245">
        <f>IFS(
AND($H$2=Data!$A$3,$K$2=Data!$A$2),SUMIFS(Proventos!$H:$H,Proventos!$D:$D,"&gt;="&amp;CONCATENATE($C$6,"/",B26),Proventos!$D:$D,"&lt;"&amp;CONCATENATE($D$6,"/",B26),Proventos!$J:$J,"="&amp;$H$2),
AND($H$2=Data!$A$4,$K$2=Data!$A$2),SUMIFS(Proventos!$H:$H,Proventos!$D:$D,"&gt;="&amp;CONCATENATE($C$6,"/",B26),Proventos!$D:$D,"&lt;"&amp;CONCATENATE($D$6,"/",B26),Proventos!$J:$J,"="&amp;$H$2),
AND($H$2=Data!$A$5,$K$2=Data!$A$2),SUMIFS(Proventos!$H:$H,Proventos!$D:$D,"&gt;="&amp;CONCATENATE($C$6,"/",B26),Proventos!$D:$D,"&lt;"&amp;CONCATENATE($D$6,"/",B26),Proventos!$J:$J,"="&amp;$H$2),
AND($H$2=Data!$A$6,$K$2=Data!$A$2),SUMIFS(Proventos!$H:$H,Proventos!$D:$D,"&gt;="&amp;CONCATENATE($C$6,"/",B26),Proventos!$D:$D,"&lt;"&amp;CONCATENATE($D$6,"/",B26),Proventos!$J:$J,"="&amp;$H$2),
AND($H$2=Data!$A$7,$K$2=Data!$A$2),SUMIFS(Proventos!$H:$H,Proventos!$D:$D,"&gt;="&amp;CONCATENATE($C$6,"/",B26),Proventos!$D:$D,"&lt;"&amp;CONCATENATE($D$6,"/",B26),Proventos!$J:$J,"="&amp;$H$2),
AND($H$2=Data!$A$8,$K$2=Data!$A$2),SUMIFS(Proventos!$H:$H,Proventos!$D:$D,"&gt;="&amp;CONCATENATE($C$6,"/",B26),Proventos!$D:$D,"&lt;"&amp;CONCATENATE($D$6,"/",B26),Proventos!$J:$J,"="&amp;$H$2),
AND($H$2=Data!$A$9,$K$2=Data!$A$2),SUMIFS(Proventos!$H:$H,Proventos!$D:$D,"&gt;="&amp;CONCATENATE($C$6,"/",B26),Proventos!$D:$D,"&lt;"&amp;CONCATENATE($D$6,"/",B26),Proventos!$J:$J,"="&amp;$H$2),
AND($H$2=Data!$A$10,$K$2=Data!$A$2),SUMIFS(Proventos!$H:$H,Proventos!$D:$D,"&gt;="&amp;CONCATENATE($C$6,"/",B26),Proventos!$D:$D,"&lt;"&amp;CONCATENATE($D$6,"/",B26),Proventos!$J:$J,"="&amp;$H$2),
AND($H$2=Data!$A$11,$K$2=Data!$A$2),SUMIFS(Proventos!$H:$H,Proventos!$D:$D,"&gt;="&amp;CONCATENATE($C$6,"/",B26),Proventos!$D:$D,"&lt;"&amp;CONCATENATE($D$6,"/",B26),Proventos!$J:$J,"="&amp;$H$2),
$K$2=Data!$A$2,SUMIFS(Proventos!$H:$H,Proventos!$D:$D,"&gt;="&amp;CONCATENATE($C$6,"/",B26),Proventos!$D:$D,"&lt;"&amp;CONCATENATE($D$6,"/",B26)),
$K$2&lt;&gt;Data!$A$2,SUMIFS(Proventos!$H:$H,Proventos!$D:$D,"&gt;="&amp;CONCATENATE($C$6,"/",B26),Proventos!$D:$D,"&lt;"&amp;CONCATENATE($D$6,"/",B26),Proventos!$A:$A,"="&amp;$K$2))</f>
        <v>0</v>
      </c>
      <c r="D26" s="245">
        <f>IFS(
AND($H$2=Data!$A$3,$K$2=Data!$A$2),SUMIFS(Proventos!$H:$H,Proventos!$D:$D,"&gt;="&amp;CONCATENATE($D$6,"/",B26),Proventos!$D:$D,"&lt;"&amp;CONCATENATE($E$6,"/",B26),Proventos!$J:$J,"="&amp;$H$2),
AND($H$2=Data!$A$4,$K$2=Data!$A$2),SUMIFS(Proventos!$H:$H,Proventos!$D:$D,"&gt;="&amp;CONCATENATE($D$6,"/",B26),Proventos!$D:$D,"&lt;"&amp;CONCATENATE($E$6,"/",B26),Proventos!$J:$J,"="&amp;$H$2),
AND($H$2=Data!$A$5,$K$2=Data!$A$2),SUMIFS(Proventos!$H:$H,Proventos!$D:$D,"&gt;="&amp;CONCATENATE($D$6,"/",B26),Proventos!$D:$D,"&lt;"&amp;CONCATENATE($E$6,"/",B26),Proventos!$J:$J,"="&amp;$H$2),
AND($H$2=Data!$A$6,$K$2=Data!$A$2),SUMIFS(Proventos!$H:$H,Proventos!$D:$D,"&gt;="&amp;CONCATENATE($D$6,"/",B26),Proventos!$D:$D,"&lt;"&amp;CONCATENATE($E$6,"/",B26),Proventos!$J:$J,"="&amp;$H$2),
AND($H$2=Data!$A$7,$K$2=Data!$A$2),SUMIFS(Proventos!$H:$H,Proventos!$D:$D,"&gt;="&amp;CONCATENATE($D$6,"/",B26),Proventos!$D:$D,"&lt;"&amp;CONCATENATE($E$6,"/",B26),Proventos!$J:$J,"="&amp;$H$2),
AND($H$2=Data!$A$8,$K$2=Data!$A$2),SUMIFS(Proventos!$H:$H,Proventos!$D:$D,"&gt;="&amp;CONCATENATE($D$6,"/",B26),Proventos!$D:$D,"&lt;"&amp;CONCATENATE($E$6,"/",B26),Proventos!$J:$J,"="&amp;$H$2),
AND($H$2=Data!$A$9,$K$2=Data!$A$2),SUMIFS(Proventos!$H:$H,Proventos!$D:$D,"&gt;="&amp;CONCATENATE($D$6,"/",B26),Proventos!$D:$D,"&lt;"&amp;CONCATENATE($E$6,"/",B26),Proventos!$J:$J,"="&amp;$H$2),
AND($H$2=Data!$A$10,$K$2=Data!$A$2),SUMIFS(Proventos!$H:$H,Proventos!$D:$D,"&gt;="&amp;CONCATENATE($D$6,"/",B26),Proventos!$D:$D,"&lt;"&amp;CONCATENATE($E$6,"/",B26),Proventos!$J:$J,"="&amp;$H$2),
AND($H$2=Data!$A$11,$K$2=Data!$A$2),SUMIFS(Proventos!$H:$H,Proventos!$D:$D,"&gt;="&amp;CONCATENATE($D$6,"/",B26),Proventos!$D:$D,"&lt;"&amp;CONCATENATE($E$6,"/",B26),Proventos!$J:$J,"="&amp;$H$2),
$K$2=Data!$A$2,SUMIFS(Proventos!$H:$H,Proventos!$D:$D,"&gt;="&amp;CONCATENATE($D$6,"/",B26),Proventos!$D:$D,"&lt;"&amp;CONCATENATE($E$6,"/",B26)),
$K$2&lt;&gt;Data!$A$2,SUMIFS(Proventos!$H:$H,Proventos!$D:$D,"&gt;="&amp;CONCATENATE($D$6,"/",B26),Proventos!$D:$D,"&lt;"&amp;CONCATENATE($E$6,"/",B26),Proventos!$A:$A,"="&amp;$K$2))</f>
        <v>0</v>
      </c>
      <c r="E26" s="245">
        <f>IFS(
AND($H$2=Data!$A$3,$K$2=Data!$A$2),SUMIFS(Proventos!$H:$H,Proventos!$D:$D,"&gt;="&amp;CONCATENATE($E$6,"/",B26),Proventos!$D:$D,"&lt;"&amp;CONCATENATE($F$6,"/",B26),Proventos!$J:$J,"="&amp;$H$2),
AND($H$2=Data!$A$4,$K$2=Data!$A$2),SUMIFS(Proventos!$H:$H,Proventos!$D:$D,"&gt;="&amp;CONCATENATE($E$6,"/",B26),Proventos!$D:$D,"&lt;"&amp;CONCATENATE($F$6,"/",B26),Proventos!$J:$J,"="&amp;$H$2),
AND($H$2=Data!$A$5,$K$2=Data!$A$2),SUMIFS(Proventos!$H:$H,Proventos!$D:$D,"&gt;="&amp;CONCATENATE($E$6,"/",B26),Proventos!$D:$D,"&lt;"&amp;CONCATENATE($F$6,"/",B26),Proventos!$J:$J,"="&amp;$H$2),
AND($H$2=Data!$A$6,$K$2=Data!$A$2),SUMIFS(Proventos!$H:$H,Proventos!$D:$D,"&gt;="&amp;CONCATENATE($E$6,"/",B26),Proventos!$D:$D,"&lt;"&amp;CONCATENATE($F$6,"/",B26),Proventos!$J:$J,"="&amp;$H$2),
AND($H$2=Data!$A$7,$K$2=Data!$A$2),SUMIFS(Proventos!$H:$H,Proventos!$D:$D,"&gt;="&amp;CONCATENATE($E$6,"/",B26),Proventos!$D:$D,"&lt;"&amp;CONCATENATE($F$6,"/",B26),Proventos!$J:$J,"="&amp;$H$2),
AND($H$2=Data!$A$8,$K$2=Data!$A$2),SUMIFS(Proventos!$H:$H,Proventos!$D:$D,"&gt;="&amp;CONCATENATE($E$6,"/",B26),Proventos!$D:$D,"&lt;"&amp;CONCATENATE($F$6,"/",B26),Proventos!$J:$J,"="&amp;$H$2),
AND($H$2=Data!$A$9,$K$2=Data!$A$2),SUMIFS(Proventos!$H:$H,Proventos!$D:$D,"&gt;="&amp;CONCATENATE($E$6,"/",B26),Proventos!$D:$D,"&lt;"&amp;CONCATENATE($F$6,"/",B26),Proventos!$J:$J,"="&amp;$H$2),
AND($H$2=Data!$A$10,$K$2=Data!$A$2),SUMIFS(Proventos!$H:$H,Proventos!$D:$D,"&gt;="&amp;CONCATENATE($E$6,"/",B26),Proventos!$D:$D,"&lt;"&amp;CONCATENATE($F$6,"/",B26),Proventos!$J:$J,"="&amp;$H$2),
AND($H$2=Data!$A$11,$K$2=Data!$A$2),SUMIFS(Proventos!$H:$H,Proventos!$D:$D,"&gt;="&amp;CONCATENATE($E$6,"/",B26),Proventos!$D:$D,"&lt;"&amp;CONCATENATE($F$6,"/",B26),Proventos!$J:$J,"="&amp;$H$2),
$K$2=Data!$A$2,SUMIFS(Proventos!$H:$H,Proventos!$D:$D,"&gt;="&amp;CONCATENATE($E$6,"/",B26),Proventos!$D:$D,"&lt;"&amp;CONCATENATE($F$6,"/",B26)),
$K$2&lt;&gt;Data!$A$2,SUMIFS(Proventos!$H:$H,Proventos!$D:$D,"&gt;="&amp;CONCATENATE($E$6,"/",B26),Proventos!$D:$D,"&lt;"&amp;CONCATENATE($F$6,"/",B26),Proventos!$A:$A,"="&amp;$K$2))</f>
        <v>0</v>
      </c>
      <c r="F26" s="245">
        <f>IFS(
AND($H$2=Data!$A$3,$K$2=Data!$A$2),SUMIFS(Proventos!$H:$H,Proventos!$D:$D,"&gt;="&amp;CONCATENATE($F$6,"/",B26),Proventos!$D:$D,"&lt;"&amp;CONCATENATE($G$6,"/",B26),Proventos!$J:$J,"="&amp;$H$2),
AND($H$2=Data!$A$4,$K$2=Data!$A$2),SUMIFS(Proventos!$H:$H,Proventos!$D:$D,"&gt;="&amp;CONCATENATE($F$6,"/",B26),Proventos!$D:$D,"&lt;"&amp;CONCATENATE($G$6,"/",B26),Proventos!$J:$J,"="&amp;$H$2),
AND($H$2=Data!$A$5,$K$2=Data!$A$2),SUMIFS(Proventos!$H:$H,Proventos!$D:$D,"&gt;="&amp;CONCATENATE($F$6,"/",B26),Proventos!$D:$D,"&lt;"&amp;CONCATENATE($G$6,"/",B26),Proventos!$J:$J,"="&amp;$H$2),
AND($H$2=Data!$A$6,$K$2=Data!$A$2),SUMIFS(Proventos!$H:$H,Proventos!$D:$D,"&gt;="&amp;CONCATENATE($F$6,"/",B26),Proventos!$D:$D,"&lt;"&amp;CONCATENATE($G$6,"/",B26),Proventos!$J:$J,"="&amp;$H$2),
AND($H$2=Data!$A$7,$K$2=Data!$A$2),SUMIFS(Proventos!$H:$H,Proventos!$D:$D,"&gt;="&amp;CONCATENATE($F$6,"/",B26),Proventos!$D:$D,"&lt;"&amp;CONCATENATE($G$6,"/",B26),Proventos!$J:$J,"="&amp;$H$2),
AND($H$2=Data!$A$8,$K$2=Data!$A$2),SUMIFS(Proventos!$H:$H,Proventos!$D:$D,"&gt;="&amp;CONCATENATE($F$6,"/",B26),Proventos!$D:$D,"&lt;"&amp;CONCATENATE($G$6,"/",B26),Proventos!$J:$J,"="&amp;$H$2),
AND($H$2=Data!$A$9,$K$2=Data!$A$2),SUMIFS(Proventos!$H:$H,Proventos!$D:$D,"&gt;="&amp;CONCATENATE($F$6,"/",B26),Proventos!$D:$D,"&lt;"&amp;CONCATENATE($G$6,"/",B26),Proventos!$J:$J,"="&amp;$H$2),
AND($H$2=Data!$A$10,$K$2=Data!$A$2),SUMIFS(Proventos!$H:$H,Proventos!$D:$D,"&gt;="&amp;CONCATENATE($F$6,"/",B26),Proventos!$D:$D,"&lt;"&amp;CONCATENATE($G$6,"/",B26),Proventos!$J:$J,"="&amp;$H$2),
AND($H$2=Data!$A$11,$K$2=Data!$A$2),SUMIFS(Proventos!$H:$H,Proventos!$D:$D,"&gt;="&amp;CONCATENATE($F$6,"/",B26),Proventos!$D:$D,"&lt;"&amp;CONCATENATE($G$6,"/",B26),Proventos!$J:$J,"="&amp;$H$2),
$K$2=Data!$A$2,SUMIFS(Proventos!$H:$H,Proventos!$D:$D,"&gt;="&amp;CONCATENATE($F$6,"/",B26),Proventos!$D:$D,"&lt;"&amp;CONCATENATE($G$6,"/",B26)),
$K$2&lt;&gt;Data!$A$2,SUMIFS(Proventos!$H:$H,Proventos!$D:$D,"&gt;="&amp;CONCATENATE($F$6,"/",B26),Proventos!$D:$D,"&lt;"&amp;CONCATENATE($G$6,"/",B26),Proventos!$A:$A,"="&amp;$K$2))</f>
        <v>0</v>
      </c>
      <c r="G26" s="245">
        <f>IFS(
AND($H$2=Data!$A$3,$K$2=Data!$A$2),SUMIFS(Proventos!$H:$H,Proventos!$D:$D,"&gt;="&amp;CONCATENATE($G$6,"/",B26),Proventos!$D:$D,"&lt;"&amp;CONCATENATE($H$6,"/",B26),Proventos!$J:$J,"="&amp;$H$2),
AND($H$2=Data!$A$4,$K$2=Data!$A$2),SUMIFS(Proventos!$H:$H,Proventos!$D:$D,"&gt;="&amp;CONCATENATE($G$6,"/",B26),Proventos!$D:$D,"&lt;"&amp;CONCATENATE($H$6,"/",B26),Proventos!$J:$J,"="&amp;$H$2),
AND($H$2=Data!$A$5,$K$2=Data!$A$2),SUMIFS(Proventos!$H:$H,Proventos!$D:$D,"&gt;="&amp;CONCATENATE($G$6,"/",B26),Proventos!$D:$D,"&lt;"&amp;CONCATENATE($H$6,"/",B26),Proventos!$J:$J,"="&amp;$H$2),
AND($H$2=Data!$A$6,$K$2=Data!$A$2),SUMIFS(Proventos!$H:$H,Proventos!$D:$D,"&gt;="&amp;CONCATENATE($G$6,"/",B26),Proventos!$D:$D,"&lt;"&amp;CONCATENATE($H$6,"/",B26),Proventos!$J:$J,"="&amp;$H$2),
AND($H$2=Data!$A$7,$K$2=Data!$A$2),SUMIFS(Proventos!$H:$H,Proventos!$D:$D,"&gt;="&amp;CONCATENATE($G$6,"/",B26),Proventos!$D:$D,"&lt;"&amp;CONCATENATE($H$6,"/",B26),Proventos!$J:$J,"="&amp;$H$2),
AND($H$2=Data!$A$8,$K$2=Data!$A$2),SUMIFS(Proventos!$H:$H,Proventos!$D:$D,"&gt;="&amp;CONCATENATE($G$6,"/",B26),Proventos!$D:$D,"&lt;"&amp;CONCATENATE($H$6,"/",B26),Proventos!$J:$J,"="&amp;$H$2),
AND($H$2=Data!$A$9,$K$2=Data!$A$2),SUMIFS(Proventos!$H:$H,Proventos!$D:$D,"&gt;="&amp;CONCATENATE($G$6,"/",B26),Proventos!$D:$D,"&lt;"&amp;CONCATENATE($H$6,"/",B26),Proventos!$J:$J,"="&amp;$H$2),
AND($H$2=Data!$A$10,$K$2=Data!$A$2),SUMIFS(Proventos!$H:$H,Proventos!$D:$D,"&gt;="&amp;CONCATENATE($G$6,"/",B26),Proventos!$D:$D,"&lt;"&amp;CONCATENATE($H$6,"/",B26),Proventos!$J:$J,"="&amp;$H$2),
AND($H$2=Data!$A$11,$K$2=Data!$A$2),SUMIFS(Proventos!$H:$H,Proventos!$D:$D,"&gt;="&amp;CONCATENATE($G$6,"/",B26),Proventos!$D:$D,"&lt;"&amp;CONCATENATE($H$6,"/",B26),Proventos!$J:$J,"="&amp;$H$2),
$K$2=Data!$A$2,SUMIFS(Proventos!$H:$H,Proventos!$D:$D,"&gt;="&amp;CONCATENATE($G$6,"/",B26),Proventos!$D:$D,"&lt;"&amp;CONCATENATE($H$6,"/",B26)),
$K$2&lt;&gt;Data!$A$2,SUMIFS(Proventos!$H:$H,Proventos!$D:$D,"&gt;="&amp;CONCATENATE($G$6,"/",B26),Proventos!$D:$D,"&lt;"&amp;CONCATENATE($H$6,"/",B26),Proventos!$A:$A,"="&amp;$K$2))</f>
        <v>0</v>
      </c>
      <c r="H26" s="245">
        <f>IFS(
AND($H$2=Data!$A$3,$K$2=Data!$A$2),SUMIFS(Proventos!$H:$H,Proventos!$D:$D,"&gt;="&amp;CONCATENATE($H$6,"/",B26),Proventos!$D:$D,"&lt;"&amp;CONCATENATE($I$6,"/",B26),Proventos!$J:$J,"="&amp;$H$2),
AND($H$2=Data!$A$4,$K$2=Data!$A$2),SUMIFS(Proventos!$H:$H,Proventos!$D:$D,"&gt;="&amp;CONCATENATE($H$6,"/",B26),Proventos!$D:$D,"&lt;"&amp;CONCATENATE($I$6,"/",B26),Proventos!$J:$J,"="&amp;$H$2),
AND($H$2=Data!$A$5,$K$2=Data!$A$2),SUMIFS(Proventos!$H:$H,Proventos!$D:$D,"&gt;="&amp;CONCATENATE($H$6,"/",B26),Proventos!$D:$D,"&lt;"&amp;CONCATENATE($I$6,"/",B26),Proventos!$J:$J,"="&amp;$H$2),
AND($H$2=Data!$A$6,$K$2=Data!$A$2),SUMIFS(Proventos!$H:$H,Proventos!$D:$D,"&gt;="&amp;CONCATENATE($H$6,"/",B26),Proventos!$D:$D,"&lt;"&amp;CONCATENATE($I$6,"/",B26),Proventos!$J:$J,"="&amp;$H$2),
AND($H$2=Data!$A$7,$K$2=Data!$A$2),SUMIFS(Proventos!$H:$H,Proventos!$D:$D,"&gt;="&amp;CONCATENATE($H$6,"/",B26),Proventos!$D:$D,"&lt;"&amp;CONCATENATE($I$6,"/",B26),Proventos!$J:$J,"="&amp;$H$2),
AND($H$2=Data!$A$8,$K$2=Data!$A$2),SUMIFS(Proventos!$H:$H,Proventos!$D:$D,"&gt;="&amp;CONCATENATE($H$6,"/",B26),Proventos!$D:$D,"&lt;"&amp;CONCATENATE($I$6,"/",B26),Proventos!$J:$J,"="&amp;$H$2),
AND($H$2=Data!$A$9,$K$2=Data!$A$2),SUMIFS(Proventos!$H:$H,Proventos!$D:$D,"&gt;="&amp;CONCATENATE($H$6,"/",B26),Proventos!$D:$D,"&lt;"&amp;CONCATENATE($I$6,"/",B26),Proventos!$J:$J,"="&amp;$H$2),
AND($H$2=Data!$A$10,$K$2=Data!$A$2),SUMIFS(Proventos!$H:$H,Proventos!$D:$D,"&gt;="&amp;CONCATENATE($H$6,"/",B26),Proventos!$D:$D,"&lt;"&amp;CONCATENATE($I$6,"/",B26),Proventos!$J:$J,"="&amp;$H$2),
AND($H$2=Data!$A$11,$K$2=Data!$A$2),SUMIFS(Proventos!$H:$H,Proventos!$D:$D,"&gt;="&amp;CONCATENATE($H$6,"/",B26),Proventos!$D:$D,"&lt;"&amp;CONCATENATE($I$6,"/",B26),Proventos!$J:$J,"="&amp;$H$2),
$K$2=Data!$A$2,SUMIFS(Proventos!$H:$H,Proventos!$D:$D,"&gt;="&amp;CONCATENATE($H$6,"/",B26),Proventos!$D:$D,"&lt;"&amp;CONCATENATE($I$6,"/",B26)),
$K$2&lt;&gt;Data!$A$2,SUMIFS(Proventos!$H:$H,Proventos!$D:$D,"&gt;="&amp;CONCATENATE($H$6,"/",B26),Proventos!$D:$D,"&lt;"&amp;CONCATENATE($I$6,"/",B26),Proventos!$A:$A,"="&amp;$K$2))</f>
        <v>0</v>
      </c>
      <c r="I26" s="245">
        <f>IFS(
AND($H$2=Data!$A$3,$K$2=Data!$A$2),SUMIFS(Proventos!$H:$H,Proventos!$D:$D,"&gt;="&amp;CONCATENATE($I$6,"/",B26),Proventos!$D:$D,"&lt;"&amp;CONCATENATE($J$6,"/",B26),Proventos!$J:$J,"="&amp;$H$2),
AND($H$2=Data!$A$4,$K$2=Data!$A$2),SUMIFS(Proventos!$H:$H,Proventos!$D:$D,"&gt;="&amp;CONCATENATE($I$6,"/",B26),Proventos!$D:$D,"&lt;"&amp;CONCATENATE($J$6,"/",B26),Proventos!$J:$J,"="&amp;$H$2),
AND($H$2=Data!$A$5,$K$2=Data!$A$2),SUMIFS(Proventos!$H:$H,Proventos!$D:$D,"&gt;="&amp;CONCATENATE($I$6,"/",B26),Proventos!$D:$D,"&lt;"&amp;CONCATENATE($J$6,"/",B26),Proventos!$J:$J,"="&amp;$H$2),
AND($H$2=Data!$A$6,$K$2=Data!$A$2),SUMIFS(Proventos!$H:$H,Proventos!$D:$D,"&gt;="&amp;CONCATENATE($I$6,"/",B26),Proventos!$D:$D,"&lt;"&amp;CONCATENATE($J$6,"/",B26),Proventos!$J:$J,"="&amp;$H$2),
AND($H$2=Data!$A$7,$K$2=Data!$A$2),SUMIFS(Proventos!$H:$H,Proventos!$D:$D,"&gt;="&amp;CONCATENATE($I$6,"/",B26),Proventos!$D:$D,"&lt;"&amp;CONCATENATE($J$6,"/",B26),Proventos!$J:$J,"="&amp;$H$2),
AND($H$2=Data!$A$8,$K$2=Data!$A$2),SUMIFS(Proventos!$H:$H,Proventos!$D:$D,"&gt;="&amp;CONCATENATE($I$6,"/",B26),Proventos!$D:$D,"&lt;"&amp;CONCATENATE($J$6,"/",B26),Proventos!$J:$J,"="&amp;$H$2),
AND($H$2=Data!$A$9,$K$2=Data!$A$2),SUMIFS(Proventos!$H:$H,Proventos!$D:$D,"&gt;="&amp;CONCATENATE($I$6,"/",B26),Proventos!$D:$D,"&lt;"&amp;CONCATENATE($J$6,"/",B26),Proventos!$J:$J,"="&amp;$H$2),
AND($H$2=Data!$A$10,$K$2=Data!$A$2),SUMIFS(Proventos!$H:$H,Proventos!$D:$D,"&gt;="&amp;CONCATENATE($I$6,"/",B26),Proventos!$D:$D,"&lt;"&amp;CONCATENATE($J$6,"/",B26),Proventos!$J:$J,"="&amp;$H$2),
AND($H$2=Data!$A$11,$K$2=Data!$A$2),SUMIFS(Proventos!$H:$H,Proventos!$D:$D,"&gt;="&amp;CONCATENATE($I$6,"/",B26),Proventos!$D:$D,"&lt;"&amp;CONCATENATE($J$6,"/",B26),Proventos!$J:$J,"="&amp;$H$2),
$K$2=Data!$A$2,SUMIFS(Proventos!$H:$H,Proventos!$D:$D,"&gt;="&amp;CONCATENATE($I$6,"/",B26),Proventos!$D:$D,"&lt;"&amp;CONCATENATE($J$6,"/",B26)),
$K$2&lt;&gt;Data!$A$2,SUMIFS(Proventos!$H:$H,Proventos!$D:$D,"&gt;="&amp;CONCATENATE($I$6,"/",B26),Proventos!$D:$D,"&lt;"&amp;CONCATENATE($J$6,"/",B26),Proventos!$A:$A,"="&amp;$K$2))</f>
        <v>0</v>
      </c>
      <c r="J26" s="245">
        <f>IFS(
AND($H$2=Data!$A$3,$K$2=Data!$A$2),SUMIFS(Proventos!$H:$H,Proventos!$D:$D,"&gt;="&amp;CONCATENATE($J$6,"/",B26),Proventos!$D:$D,"&lt;"&amp;CONCATENATE($K$6,"/",B26),Proventos!$J:$J,"="&amp;$H$2),
AND($H$2=Data!$A$4,$K$2=Data!$A$2),SUMIFS(Proventos!$H:$H,Proventos!$D:$D,"&gt;="&amp;CONCATENATE($J$6,"/",B26),Proventos!$D:$D,"&lt;"&amp;CONCATENATE($K$6,"/",B26),Proventos!$J:$J,"="&amp;$H$2),
AND($H$2=Data!$A$5,$K$2=Data!$A$2),SUMIFS(Proventos!$H:$H,Proventos!$D:$D,"&gt;="&amp;CONCATENATE($J$6,"/",B26),Proventos!$D:$D,"&lt;"&amp;CONCATENATE($K$6,"/",B26),Proventos!$J:$J,"="&amp;$H$2),
AND($H$2=Data!$A$6,$K$2=Data!$A$2),SUMIFS(Proventos!$H:$H,Proventos!$D:$D,"&gt;="&amp;CONCATENATE($J$6,"/",B26),Proventos!$D:$D,"&lt;"&amp;CONCATENATE($K$6,"/",B26),Proventos!$J:$J,"="&amp;$H$2),
AND($H$2=Data!$A$7,$K$2=Data!$A$2),SUMIFS(Proventos!$H:$H,Proventos!$D:$D,"&gt;="&amp;CONCATENATE($J$6,"/",B26),Proventos!$D:$D,"&lt;"&amp;CONCATENATE($K$6,"/",B26),Proventos!$J:$J,"="&amp;$H$2),
AND($H$2=Data!$A$8,$K$2=Data!$A$2),SUMIFS(Proventos!$H:$H,Proventos!$D:$D,"&gt;="&amp;CONCATENATE($J$6,"/",B26),Proventos!$D:$D,"&lt;"&amp;CONCATENATE($K$6,"/",B26),Proventos!$J:$J,"="&amp;$H$2),
AND($H$2=Data!$A$9,$K$2=Data!$A$2),SUMIFS(Proventos!$H:$H,Proventos!$D:$D,"&gt;="&amp;CONCATENATE($J$6,"/",B26),Proventos!$D:$D,"&lt;"&amp;CONCATENATE($K$6,"/",B26),Proventos!$J:$J,"="&amp;$H$2),
AND($H$2=Data!$A$10,$K$2=Data!$A$2),SUMIFS(Proventos!$H:$H,Proventos!$D:$D,"&gt;="&amp;CONCATENATE($J$6,"/",B26),Proventos!$D:$D,"&lt;"&amp;CONCATENATE($K$6,"/",B26),Proventos!$J:$J,"="&amp;$H$2),
AND($H$2=Data!$A$11,$K$2=Data!$A$2),SUMIFS(Proventos!$H:$H,Proventos!$D:$D,"&gt;="&amp;CONCATENATE($J$6,"/",B26),Proventos!$D:$D,"&lt;"&amp;CONCATENATE($K$6,"/",B26),Proventos!$J:$J,"="&amp;$H$2),
$K$2=Data!$A$2,SUMIFS(Proventos!$H:$H,Proventos!$D:$D,"&gt;="&amp;CONCATENATE($J$6,"/",B26),Proventos!$D:$D,"&lt;"&amp;CONCATENATE($K$6,"/",B26)),
$K$2&lt;&gt;Data!$A$2,SUMIFS(Proventos!$H:$H,Proventos!$D:$D,"&gt;="&amp;CONCATENATE($J$6,"/",B26),Proventos!$D:$D,"&lt;"&amp;CONCATENATE($K$6,"/",B26),Proventos!$A:$A,"="&amp;$K$2))</f>
        <v>0</v>
      </c>
      <c r="K26" s="245">
        <f>IFS(
AND($H$2=Data!$A$3,$K$2=Data!$A$2),SUMIFS(Proventos!$H:$H,Proventos!$D:$D,"&gt;="&amp;CONCATENATE($K$6,"/",B26),Proventos!$D:$D,"&lt;"&amp;CONCATENATE($L$6,"/",B26),Proventos!$J:$J,"="&amp;$H$2),
AND($H$2=Data!$A$4,$K$2=Data!$A$2),SUMIFS(Proventos!$H:$H,Proventos!$D:$D,"&gt;="&amp;CONCATENATE($K$6,"/",B26),Proventos!$D:$D,"&lt;"&amp;CONCATENATE($L$6,"/",B26),Proventos!$J:$J,"="&amp;$H$2),
AND($H$2=Data!$A$5,$K$2=Data!$A$2),SUMIFS(Proventos!$H:$H,Proventos!$D:$D,"&gt;="&amp;CONCATENATE($K$6,"/",B26),Proventos!$D:$D,"&lt;"&amp;CONCATENATE($L$6,"/",B26),Proventos!$J:$J,"="&amp;$H$2),
AND($H$2=Data!$A$6,$K$2=Data!$A$2),SUMIFS(Proventos!$H:$H,Proventos!$D:$D,"&gt;="&amp;CONCATENATE($K$6,"/",B26),Proventos!$D:$D,"&lt;"&amp;CONCATENATE($L$6,"/",B26),Proventos!$J:$J,"="&amp;$H$2),
AND($H$2=Data!$A$7,$K$2=Data!$A$2),SUMIFS(Proventos!$H:$H,Proventos!$D:$D,"&gt;="&amp;CONCATENATE($K$6,"/",B26),Proventos!$D:$D,"&lt;"&amp;CONCATENATE($L$6,"/",B26),Proventos!$J:$J,"="&amp;$H$2),
AND($H$2=Data!$A$8,$K$2=Data!$A$2),SUMIFS(Proventos!$H:$H,Proventos!$D:$D,"&gt;="&amp;CONCATENATE($K$6,"/",B26),Proventos!$D:$D,"&lt;"&amp;CONCATENATE($L$6,"/",B26),Proventos!$J:$J,"="&amp;$H$2),
AND($H$2=Data!$A$9,$K$2=Data!$A$2),SUMIFS(Proventos!$H:$H,Proventos!$D:$D,"&gt;="&amp;CONCATENATE($K$6,"/",B26),Proventos!$D:$D,"&lt;"&amp;CONCATENATE($L$6,"/",B26),Proventos!$J:$J,"="&amp;$H$2),
AND($H$2=Data!$A$10,$K$2=Data!$A$2),SUMIFS(Proventos!$H:$H,Proventos!$D:$D,"&gt;="&amp;CONCATENATE($K$6,"/",B26),Proventos!$D:$D,"&lt;"&amp;CONCATENATE($L$6,"/",B26),Proventos!$J:$J,"="&amp;$H$2),
AND($H$2=Data!$A$11,$K$2=Data!$A$2),SUMIFS(Proventos!$H:$H,Proventos!$D:$D,"&gt;="&amp;CONCATENATE($K$6,"/",B26),Proventos!$D:$D,"&lt;"&amp;CONCATENATE($L$6,"/",B26),Proventos!$J:$J,"="&amp;$H$2),
$K$2=Data!$A$2,SUMIFS(Proventos!$H:$H,Proventos!$D:$D,"&gt;="&amp;CONCATENATE($K$6,"/",B26),Proventos!$D:$D,"&lt;"&amp;CONCATENATE($L$6,"/",B26)),
$K$2&lt;&gt;Data!$A$2,SUMIFS(Proventos!$H:$H,Proventos!$D:$D,"&gt;="&amp;CONCATENATE($K$6,"/",B26),Proventos!$D:$D,"&lt;"&amp;CONCATENATE($L$6,"/",B26),Proventos!$A:$A,"="&amp;$K$2))</f>
        <v>0</v>
      </c>
      <c r="L26" s="245">
        <f>IFS(
AND($H$2=Data!$A$3,$K$2=Data!$A$2),SUMIFS(Proventos!$H:$H,Proventos!$D:$D,"&gt;="&amp;CONCATENATE($L$6,"/",B26),Proventos!$D:$D,"&lt;"&amp;CONCATENATE($M$6,"/",B26),Proventos!$J:$J,"="&amp;$H$2),
AND($H$2=Data!$A$4,$K$2=Data!$A$2),SUMIFS(Proventos!$H:$H,Proventos!$D:$D,"&gt;="&amp;CONCATENATE($L$6,"/",B26),Proventos!$D:$D,"&lt;"&amp;CONCATENATE($M$6,"/",B26),Proventos!$J:$J,"="&amp;$H$2),
AND($H$2=Data!$A$5,$K$2=Data!$A$2),SUMIFS(Proventos!$H:$H,Proventos!$D:$D,"&gt;="&amp;CONCATENATE($L$6,"/",B26),Proventos!$D:$D,"&lt;"&amp;CONCATENATE($M$6,"/",B26),Proventos!$J:$J,"="&amp;$H$2),
AND($H$2=Data!$A$6,$K$2=Data!$A$2),SUMIFS(Proventos!$H:$H,Proventos!$D:$D,"&gt;="&amp;CONCATENATE($L$6,"/",B26),Proventos!$D:$D,"&lt;"&amp;CONCATENATE($M$6,"/",B26),Proventos!$J:$J,"="&amp;$H$2),
AND($H$2=Data!$A$7,$K$2=Data!$A$2),SUMIFS(Proventos!$H:$H,Proventos!$D:$D,"&gt;="&amp;CONCATENATE($L$6,"/",B26),Proventos!$D:$D,"&lt;"&amp;CONCATENATE($M$6,"/",B26),Proventos!$J:$J,"="&amp;$H$2),
AND($H$2=Data!$A$8,$K$2=Data!$A$2),SUMIFS(Proventos!$H:$H,Proventos!$D:$D,"&gt;="&amp;CONCATENATE($L$6,"/",B26),Proventos!$D:$D,"&lt;"&amp;CONCATENATE($M$6,"/",B26),Proventos!$J:$J,"="&amp;$H$2),
AND($H$2=Data!$A$9,$K$2=Data!$A$2),SUMIFS(Proventos!$H:$H,Proventos!$D:$D,"&gt;="&amp;CONCATENATE($L$6,"/",B26),Proventos!$D:$D,"&lt;"&amp;CONCATENATE($M$6,"/",B26),Proventos!$J:$J,"="&amp;$H$2),
AND($H$2=Data!$A$10,$K$2=Data!$A$2),SUMIFS(Proventos!$H:$H,Proventos!$D:$D,"&gt;="&amp;CONCATENATE($L$6,"/",B26),Proventos!$D:$D,"&lt;"&amp;CONCATENATE($M$6,"/",B26),Proventos!$J:$J,"="&amp;$H$2),
AND($H$2=Data!$A$11,$K$2=Data!$A$2),SUMIFS(Proventos!$H:$H,Proventos!$D:$D,"&gt;="&amp;CONCATENATE($L$6,"/",B26),Proventos!$D:$D,"&lt;"&amp;CONCATENATE($M$6,"/",B26),Proventos!$J:$J,"="&amp;$H$2),
$K$2=Data!$A$2,SUMIFS(Proventos!$H:$H,Proventos!$D:$D,"&gt;="&amp;CONCATENATE($L$6,"/",B26),Proventos!$D:$D,"&lt;"&amp;CONCATENATE($M$6,"/",B26)),
$K$2&lt;&gt;Data!$A$2,SUMIFS(Proventos!$H:$H,Proventos!$D:$D,"&gt;="&amp;CONCATENATE($L$6,"/",B26),Proventos!$D:$D,"&lt;"&amp;CONCATENATE($M$6,"/",B26),Proventos!$A:$A,"="&amp;$K$2))</f>
        <v>0</v>
      </c>
      <c r="M26" s="245">
        <f>IFS(
AND($H$2=Data!$A$3,$K$2=Data!$A$2),SUMIFS(Proventos!$H:$H,Proventos!$D:$D,"&gt;="&amp;CONCATENATE($M$6,"/",B26),Proventos!$D:$D,"&lt;"&amp;CONCATENATE($N$6,"/",B26),Proventos!$J:$J,"="&amp;$H$2),
AND($H$2=Data!$A$4,$K$2=Data!$A$2),SUMIFS(Proventos!$H:$H,Proventos!$D:$D,"&gt;="&amp;CONCATENATE($M$6,"/",B26),Proventos!$D:$D,"&lt;"&amp;CONCATENATE($N$6,"/",B26),Proventos!$J:$J,"="&amp;$H$2),
AND($H$2=Data!$A$5,$K$2=Data!$A$2),SUMIFS(Proventos!$H:$H,Proventos!$D:$D,"&gt;="&amp;CONCATENATE($M$6,"/",B26),Proventos!$D:$D,"&lt;"&amp;CONCATENATE($N$6,"/",B26),Proventos!$J:$J,"="&amp;$H$2),
AND($H$2=Data!$A$6,$K$2=Data!$A$2),SUMIFS(Proventos!$H:$H,Proventos!$D:$D,"&gt;="&amp;CONCATENATE($M$6,"/",B26),Proventos!$D:$D,"&lt;"&amp;CONCATENATE($N$6,"/",B26),Proventos!$J:$J,"="&amp;$H$2),
AND($H$2=Data!$A$7,$K$2=Data!$A$2),SUMIFS(Proventos!$H:$H,Proventos!$D:$D,"&gt;="&amp;CONCATENATE($M$6,"/",B26),Proventos!$D:$D,"&lt;"&amp;CONCATENATE($N$6,"/",B26),Proventos!$J:$J,"="&amp;$H$2),
AND($H$2=Data!$A$8,$K$2=Data!$A$2),SUMIFS(Proventos!$H:$H,Proventos!$D:$D,"&gt;="&amp;CONCATENATE($M$6,"/",B26),Proventos!$D:$D,"&lt;"&amp;CONCATENATE($N$6,"/",B26),Proventos!$J:$J,"="&amp;$H$2),
AND($H$2=Data!$A$9,$K$2=Data!$A$2),SUMIFS(Proventos!$H:$H,Proventos!$D:$D,"&gt;="&amp;CONCATENATE($M$6,"/",B26),Proventos!$D:$D,"&lt;"&amp;CONCATENATE($N$6,"/",B26),Proventos!$J:$J,"="&amp;$H$2),
AND($H$2=Data!$A$10,$K$2=Data!$A$2),SUMIFS(Proventos!$H:$H,Proventos!$D:$D,"&gt;="&amp;CONCATENATE($M$6,"/",B26),Proventos!$D:$D,"&lt;"&amp;CONCATENATE($N$6,"/",B26),Proventos!$J:$J,"="&amp;$H$2),
AND($H$2=Data!$A$11,$K$2=Data!$A$2),SUMIFS(Proventos!$H:$H,Proventos!$D:$D,"&gt;="&amp;CONCATENATE($M$6,"/",B26),Proventos!$D:$D,"&lt;"&amp;CONCATENATE($N$6,"/",B26),Proventos!$J:$J,"="&amp;$H$2),
$K$2=Data!$A$2,SUMIFS(Proventos!$H:$H,Proventos!$D:$D,"&gt;="&amp;CONCATENATE($M$6,"/",B26),Proventos!$D:$D,"&lt;"&amp;CONCATENATE($N$6,"/",B26)),
$K$2&lt;&gt;Data!$A$2,SUMIFS(Proventos!$H:$H,Proventos!$D:$D,"&gt;="&amp;CONCATENATE($M$6,"/",B26),Proventos!$D:$D,"&lt;"&amp;CONCATENATE($N$6,"/",B26),Proventos!$A:$A,"="&amp;$K$2))</f>
        <v>0</v>
      </c>
      <c r="N26" s="245">
        <f>IFS(
AND($H$2=Data!$A$3,$K$2=Data!$A$2),SUMIFS(Proventos!$H:$H,Proventos!$D:$D,"&gt;="&amp;CONCATENATE($N$6,"/",B26),Proventos!$D:$D,"&lt;"&amp;CONCATENATE($C$6,"/",B27),Proventos!$J:$J,"="&amp;$H$2),
AND($H$2=Data!$A$4,$K$2=Data!$A$2),SUMIFS(Proventos!$H:$H,Proventos!$D:$D,"&gt;="&amp;CONCATENATE($N$6,"/",B26),Proventos!$D:$D,"&lt;"&amp;CONCATENATE($C$6,"/",B27),Proventos!$J:$J,"="&amp;$H$2),
AND($H$2=Data!$A$5,$K$2=Data!$A$2),SUMIFS(Proventos!$H:$H,Proventos!$D:$D,"&gt;="&amp;CONCATENATE($N$6,"/",B26),Proventos!$D:$D,"&lt;"&amp;CONCATENATE($C$6,"/",B27),Proventos!$J:$J,"="&amp;$H$2),
AND($H$2=Data!$A$6,$K$2=Data!$A$2),SUMIFS(Proventos!$H:$H,Proventos!$D:$D,"&gt;="&amp;CONCATENATE($N$6,"/",B26),Proventos!$D:$D,"&lt;"&amp;CONCATENATE($C$6,"/",B27),Proventos!$J:$J,"="&amp;$H$2),
AND($H$2=Data!$A$7,$K$2=Data!$A$2),SUMIFS(Proventos!$H:$H,Proventos!$D:$D,"&gt;="&amp;CONCATENATE($N$6,"/",B26),Proventos!$D:$D,"&lt;"&amp;CONCATENATE($C$6,"/",B27),Proventos!$J:$J,"="&amp;$H$2),
AND($H$2=Data!$A$8,$K$2=Data!$A$2),SUMIFS(Proventos!$H:$H,Proventos!$D:$D,"&gt;="&amp;CONCATENATE($N$6,"/",B26),Proventos!$D:$D,"&lt;"&amp;CONCATENATE($C$6,"/",B27),Proventos!$J:$J,"="&amp;$H$2),
AND($H$2=Data!$A$9,$K$2=Data!$A$2),SUMIFS(Proventos!$H:$H,Proventos!$D:$D,"&gt;="&amp;CONCATENATE($N$6,"/",B26),Proventos!$D:$D,"&lt;"&amp;CONCATENATE($C$6,"/",B27),Proventos!$J:$J,"="&amp;$H$2),
AND($H$2=Data!$A$10,$K$2=Data!$A$2),SUMIFS(Proventos!$H:$H,Proventos!$D:$D,"&gt;="&amp;CONCATENATE($N$6,"/",B26),Proventos!$D:$D,"&lt;"&amp;CONCATENATE($C$6,"/",B27),Proventos!$J:$J,"="&amp;$H$2),
AND($H$2=Data!$A$11,$K$2=Data!$A$2),SUMIFS(Proventos!$H:$H,Proventos!$D:$D,"&gt;="&amp;CONCATENATE($N$6,"/",B26),Proventos!$D:$D,"&lt;"&amp;CONCATENATE($C$6,"/",B27),Proventos!$J:$J,"="&amp;$H$2),
$K$2=Data!$A$2,SUMIFS(Proventos!$H:$H,Proventos!$D:$D,"&gt;="&amp;CONCATENATE($N$6,"/",B26),Proventos!$D:$D,"&lt;"&amp;CONCATENATE($C$6,"/",B27)),
$K$2&lt;&gt;Data!$A$2,SUMIFS(Proventos!$H:$H,Proventos!$D:$D,"&gt;="&amp;CONCATENATE($N$6,"/",B26),Proventos!$D:$D,"&lt;"&amp;CONCATENATE($C$6,"/",B27),Proventos!$A:$A,"="&amp;$K$2))</f>
        <v>0</v>
      </c>
      <c r="O26" s="245"/>
      <c r="P26" s="245">
        <f t="shared" si="1"/>
        <v>0</v>
      </c>
      <c r="Q26" s="245">
        <f t="shared" si="2"/>
        <v>0</v>
      </c>
    </row>
    <row r="27" ht="32.25" customHeight="1">
      <c r="A27" s="246" t="str">
        <f>IFERROR(__xludf.DUMMYFUNCTION("""COMPUTED_VALUE"""),"WEGE3")</f>
        <v>WEGE3</v>
      </c>
      <c r="B27" s="244"/>
      <c r="C27" s="245">
        <f>IFS(
AND($H$2=Data!$A$3,$K$2=Data!$A$2),SUMIFS(Proventos!$H:$H,Proventos!$D:$D,"&gt;="&amp;CONCATENATE($C$6,"/",B27),Proventos!$D:$D,"&lt;"&amp;CONCATENATE($D$6,"/",B27),Proventos!$J:$J,"="&amp;$H$2),
AND($H$2=Data!$A$4,$K$2=Data!$A$2),SUMIFS(Proventos!$H:$H,Proventos!$D:$D,"&gt;="&amp;CONCATENATE($C$6,"/",B27),Proventos!$D:$D,"&lt;"&amp;CONCATENATE($D$6,"/",B27),Proventos!$J:$J,"="&amp;$H$2),
AND($H$2=Data!$A$5,$K$2=Data!$A$2),SUMIFS(Proventos!$H:$H,Proventos!$D:$D,"&gt;="&amp;CONCATENATE($C$6,"/",B27),Proventos!$D:$D,"&lt;"&amp;CONCATENATE($D$6,"/",B27),Proventos!$J:$J,"="&amp;$H$2),
AND($H$2=Data!$A$6,$K$2=Data!$A$2),SUMIFS(Proventos!$H:$H,Proventos!$D:$D,"&gt;="&amp;CONCATENATE($C$6,"/",B27),Proventos!$D:$D,"&lt;"&amp;CONCATENATE($D$6,"/",B27),Proventos!$J:$J,"="&amp;$H$2),
AND($H$2=Data!$A$7,$K$2=Data!$A$2),SUMIFS(Proventos!$H:$H,Proventos!$D:$D,"&gt;="&amp;CONCATENATE($C$6,"/",B27),Proventos!$D:$D,"&lt;"&amp;CONCATENATE($D$6,"/",B27),Proventos!$J:$J,"="&amp;$H$2),
AND($H$2=Data!$A$8,$K$2=Data!$A$2),SUMIFS(Proventos!$H:$H,Proventos!$D:$D,"&gt;="&amp;CONCATENATE($C$6,"/",B27),Proventos!$D:$D,"&lt;"&amp;CONCATENATE($D$6,"/",B27),Proventos!$J:$J,"="&amp;$H$2),
AND($H$2=Data!$A$9,$K$2=Data!$A$2),SUMIFS(Proventos!$H:$H,Proventos!$D:$D,"&gt;="&amp;CONCATENATE($C$6,"/",B27),Proventos!$D:$D,"&lt;"&amp;CONCATENATE($D$6,"/",B27),Proventos!$J:$J,"="&amp;$H$2),
AND($H$2=Data!$A$10,$K$2=Data!$A$2),SUMIFS(Proventos!$H:$H,Proventos!$D:$D,"&gt;="&amp;CONCATENATE($C$6,"/",B27),Proventos!$D:$D,"&lt;"&amp;CONCATENATE($D$6,"/",B27),Proventos!$J:$J,"="&amp;$H$2),
AND($H$2=Data!$A$11,$K$2=Data!$A$2),SUMIFS(Proventos!$H:$H,Proventos!$D:$D,"&gt;="&amp;CONCATENATE($C$6,"/",B27),Proventos!$D:$D,"&lt;"&amp;CONCATENATE($D$6,"/",B27),Proventos!$J:$J,"="&amp;$H$2),
$K$2=Data!$A$2,SUMIFS(Proventos!$H:$H,Proventos!$D:$D,"&gt;="&amp;CONCATENATE($C$6,"/",B27),Proventos!$D:$D,"&lt;"&amp;CONCATENATE($D$6,"/",B27)),
$K$2&lt;&gt;Data!$A$2,SUMIFS(Proventos!$H:$H,Proventos!$D:$D,"&gt;="&amp;CONCATENATE($C$6,"/",B27),Proventos!$D:$D,"&lt;"&amp;CONCATENATE($D$6,"/",B27),Proventos!$A:$A,"="&amp;$K$2))</f>
        <v>0</v>
      </c>
      <c r="D27" s="245">
        <f>IFS(
AND($H$2=Data!$A$3,$K$2=Data!$A$2),SUMIFS(Proventos!$H:$H,Proventos!$D:$D,"&gt;="&amp;CONCATENATE($D$6,"/",B27),Proventos!$D:$D,"&lt;"&amp;CONCATENATE($E$6,"/",B27),Proventos!$J:$J,"="&amp;$H$2),
AND($H$2=Data!$A$4,$K$2=Data!$A$2),SUMIFS(Proventos!$H:$H,Proventos!$D:$D,"&gt;="&amp;CONCATENATE($D$6,"/",B27),Proventos!$D:$D,"&lt;"&amp;CONCATENATE($E$6,"/",B27),Proventos!$J:$J,"="&amp;$H$2),
AND($H$2=Data!$A$5,$K$2=Data!$A$2),SUMIFS(Proventos!$H:$H,Proventos!$D:$D,"&gt;="&amp;CONCATENATE($D$6,"/",B27),Proventos!$D:$D,"&lt;"&amp;CONCATENATE($E$6,"/",B27),Proventos!$J:$J,"="&amp;$H$2),
AND($H$2=Data!$A$6,$K$2=Data!$A$2),SUMIFS(Proventos!$H:$H,Proventos!$D:$D,"&gt;="&amp;CONCATENATE($D$6,"/",B27),Proventos!$D:$D,"&lt;"&amp;CONCATENATE($E$6,"/",B27),Proventos!$J:$J,"="&amp;$H$2),
AND($H$2=Data!$A$7,$K$2=Data!$A$2),SUMIFS(Proventos!$H:$H,Proventos!$D:$D,"&gt;="&amp;CONCATENATE($D$6,"/",B27),Proventos!$D:$D,"&lt;"&amp;CONCATENATE($E$6,"/",B27),Proventos!$J:$J,"="&amp;$H$2),
AND($H$2=Data!$A$8,$K$2=Data!$A$2),SUMIFS(Proventos!$H:$H,Proventos!$D:$D,"&gt;="&amp;CONCATENATE($D$6,"/",B27),Proventos!$D:$D,"&lt;"&amp;CONCATENATE($E$6,"/",B27),Proventos!$J:$J,"="&amp;$H$2),
AND($H$2=Data!$A$9,$K$2=Data!$A$2),SUMIFS(Proventos!$H:$H,Proventos!$D:$D,"&gt;="&amp;CONCATENATE($D$6,"/",B27),Proventos!$D:$D,"&lt;"&amp;CONCATENATE($E$6,"/",B27),Proventos!$J:$J,"="&amp;$H$2),
AND($H$2=Data!$A$10,$K$2=Data!$A$2),SUMIFS(Proventos!$H:$H,Proventos!$D:$D,"&gt;="&amp;CONCATENATE($D$6,"/",B27),Proventos!$D:$D,"&lt;"&amp;CONCATENATE($E$6,"/",B27),Proventos!$J:$J,"="&amp;$H$2),
AND($H$2=Data!$A$11,$K$2=Data!$A$2),SUMIFS(Proventos!$H:$H,Proventos!$D:$D,"&gt;="&amp;CONCATENATE($D$6,"/",B27),Proventos!$D:$D,"&lt;"&amp;CONCATENATE($E$6,"/",B27),Proventos!$J:$J,"="&amp;$H$2),
$K$2=Data!$A$2,SUMIFS(Proventos!$H:$H,Proventos!$D:$D,"&gt;="&amp;CONCATENATE($D$6,"/",B27),Proventos!$D:$D,"&lt;"&amp;CONCATENATE($E$6,"/",B27)),
$K$2&lt;&gt;Data!$A$2,SUMIFS(Proventos!$H:$H,Proventos!$D:$D,"&gt;="&amp;CONCATENATE($D$6,"/",B27),Proventos!$D:$D,"&lt;"&amp;CONCATENATE($E$6,"/",B27),Proventos!$A:$A,"="&amp;$K$2))</f>
        <v>0</v>
      </c>
      <c r="E27" s="245">
        <f>IFS(
AND($H$2=Data!$A$3,$K$2=Data!$A$2),SUMIFS(Proventos!$H:$H,Proventos!$D:$D,"&gt;="&amp;CONCATENATE($E$6,"/",B27),Proventos!$D:$D,"&lt;"&amp;CONCATENATE($F$6,"/",B27),Proventos!$J:$J,"="&amp;$H$2),
AND($H$2=Data!$A$4,$K$2=Data!$A$2),SUMIFS(Proventos!$H:$H,Proventos!$D:$D,"&gt;="&amp;CONCATENATE($E$6,"/",B27),Proventos!$D:$D,"&lt;"&amp;CONCATENATE($F$6,"/",B27),Proventos!$J:$J,"="&amp;$H$2),
AND($H$2=Data!$A$5,$K$2=Data!$A$2),SUMIFS(Proventos!$H:$H,Proventos!$D:$D,"&gt;="&amp;CONCATENATE($E$6,"/",B27),Proventos!$D:$D,"&lt;"&amp;CONCATENATE($F$6,"/",B27),Proventos!$J:$J,"="&amp;$H$2),
AND($H$2=Data!$A$6,$K$2=Data!$A$2),SUMIFS(Proventos!$H:$H,Proventos!$D:$D,"&gt;="&amp;CONCATENATE($E$6,"/",B27),Proventos!$D:$D,"&lt;"&amp;CONCATENATE($F$6,"/",B27),Proventos!$J:$J,"="&amp;$H$2),
AND($H$2=Data!$A$7,$K$2=Data!$A$2),SUMIFS(Proventos!$H:$H,Proventos!$D:$D,"&gt;="&amp;CONCATENATE($E$6,"/",B27),Proventos!$D:$D,"&lt;"&amp;CONCATENATE($F$6,"/",B27),Proventos!$J:$J,"="&amp;$H$2),
AND($H$2=Data!$A$8,$K$2=Data!$A$2),SUMIFS(Proventos!$H:$H,Proventos!$D:$D,"&gt;="&amp;CONCATENATE($E$6,"/",B27),Proventos!$D:$D,"&lt;"&amp;CONCATENATE($F$6,"/",B27),Proventos!$J:$J,"="&amp;$H$2),
AND($H$2=Data!$A$9,$K$2=Data!$A$2),SUMIFS(Proventos!$H:$H,Proventos!$D:$D,"&gt;="&amp;CONCATENATE($E$6,"/",B27),Proventos!$D:$D,"&lt;"&amp;CONCATENATE($F$6,"/",B27),Proventos!$J:$J,"="&amp;$H$2),
AND($H$2=Data!$A$10,$K$2=Data!$A$2),SUMIFS(Proventos!$H:$H,Proventos!$D:$D,"&gt;="&amp;CONCATENATE($E$6,"/",B27),Proventos!$D:$D,"&lt;"&amp;CONCATENATE($F$6,"/",B27),Proventos!$J:$J,"="&amp;$H$2),
AND($H$2=Data!$A$11,$K$2=Data!$A$2),SUMIFS(Proventos!$H:$H,Proventos!$D:$D,"&gt;="&amp;CONCATENATE($E$6,"/",B27),Proventos!$D:$D,"&lt;"&amp;CONCATENATE($F$6,"/",B27),Proventos!$J:$J,"="&amp;$H$2),
$K$2=Data!$A$2,SUMIFS(Proventos!$H:$H,Proventos!$D:$D,"&gt;="&amp;CONCATENATE($E$6,"/",B27),Proventos!$D:$D,"&lt;"&amp;CONCATENATE($F$6,"/",B27)),
$K$2&lt;&gt;Data!$A$2,SUMIFS(Proventos!$H:$H,Proventos!$D:$D,"&gt;="&amp;CONCATENATE($E$6,"/",B27),Proventos!$D:$D,"&lt;"&amp;CONCATENATE($F$6,"/",B27),Proventos!$A:$A,"="&amp;$K$2))</f>
        <v>0</v>
      </c>
      <c r="F27" s="245">
        <f>IFS(
AND($H$2=Data!$A$3,$K$2=Data!$A$2),SUMIFS(Proventos!$H:$H,Proventos!$D:$D,"&gt;="&amp;CONCATENATE($F$6,"/",B27),Proventos!$D:$D,"&lt;"&amp;CONCATENATE($G$6,"/",B27),Proventos!$J:$J,"="&amp;$H$2),
AND($H$2=Data!$A$4,$K$2=Data!$A$2),SUMIFS(Proventos!$H:$H,Proventos!$D:$D,"&gt;="&amp;CONCATENATE($F$6,"/",B27),Proventos!$D:$D,"&lt;"&amp;CONCATENATE($G$6,"/",B27),Proventos!$J:$J,"="&amp;$H$2),
AND($H$2=Data!$A$5,$K$2=Data!$A$2),SUMIFS(Proventos!$H:$H,Proventos!$D:$D,"&gt;="&amp;CONCATENATE($F$6,"/",B27),Proventos!$D:$D,"&lt;"&amp;CONCATENATE($G$6,"/",B27),Proventos!$J:$J,"="&amp;$H$2),
AND($H$2=Data!$A$6,$K$2=Data!$A$2),SUMIFS(Proventos!$H:$H,Proventos!$D:$D,"&gt;="&amp;CONCATENATE($F$6,"/",B27),Proventos!$D:$D,"&lt;"&amp;CONCATENATE($G$6,"/",B27),Proventos!$J:$J,"="&amp;$H$2),
AND($H$2=Data!$A$7,$K$2=Data!$A$2),SUMIFS(Proventos!$H:$H,Proventos!$D:$D,"&gt;="&amp;CONCATENATE($F$6,"/",B27),Proventos!$D:$D,"&lt;"&amp;CONCATENATE($G$6,"/",B27),Proventos!$J:$J,"="&amp;$H$2),
AND($H$2=Data!$A$8,$K$2=Data!$A$2),SUMIFS(Proventos!$H:$H,Proventos!$D:$D,"&gt;="&amp;CONCATENATE($F$6,"/",B27),Proventos!$D:$D,"&lt;"&amp;CONCATENATE($G$6,"/",B27),Proventos!$J:$J,"="&amp;$H$2),
AND($H$2=Data!$A$9,$K$2=Data!$A$2),SUMIFS(Proventos!$H:$H,Proventos!$D:$D,"&gt;="&amp;CONCATENATE($F$6,"/",B27),Proventos!$D:$D,"&lt;"&amp;CONCATENATE($G$6,"/",B27),Proventos!$J:$J,"="&amp;$H$2),
AND($H$2=Data!$A$10,$K$2=Data!$A$2),SUMIFS(Proventos!$H:$H,Proventos!$D:$D,"&gt;="&amp;CONCATENATE($F$6,"/",B27),Proventos!$D:$D,"&lt;"&amp;CONCATENATE($G$6,"/",B27),Proventos!$J:$J,"="&amp;$H$2),
AND($H$2=Data!$A$11,$K$2=Data!$A$2),SUMIFS(Proventos!$H:$H,Proventos!$D:$D,"&gt;="&amp;CONCATENATE($F$6,"/",B27),Proventos!$D:$D,"&lt;"&amp;CONCATENATE($G$6,"/",B27),Proventos!$J:$J,"="&amp;$H$2),
$K$2=Data!$A$2,SUMIFS(Proventos!$H:$H,Proventos!$D:$D,"&gt;="&amp;CONCATENATE($F$6,"/",B27),Proventos!$D:$D,"&lt;"&amp;CONCATENATE($G$6,"/",B27)),
$K$2&lt;&gt;Data!$A$2,SUMIFS(Proventos!$H:$H,Proventos!$D:$D,"&gt;="&amp;CONCATENATE($F$6,"/",B27),Proventos!$D:$D,"&lt;"&amp;CONCATENATE($G$6,"/",B27),Proventos!$A:$A,"="&amp;$K$2))</f>
        <v>0</v>
      </c>
      <c r="G27" s="245">
        <f>IFS(
AND($H$2=Data!$A$3,$K$2=Data!$A$2),SUMIFS(Proventos!$H:$H,Proventos!$D:$D,"&gt;="&amp;CONCATENATE($G$6,"/",B27),Proventos!$D:$D,"&lt;"&amp;CONCATENATE($H$6,"/",B27),Proventos!$J:$J,"="&amp;$H$2),
AND($H$2=Data!$A$4,$K$2=Data!$A$2),SUMIFS(Proventos!$H:$H,Proventos!$D:$D,"&gt;="&amp;CONCATENATE($G$6,"/",B27),Proventos!$D:$D,"&lt;"&amp;CONCATENATE($H$6,"/",B27),Proventos!$J:$J,"="&amp;$H$2),
AND($H$2=Data!$A$5,$K$2=Data!$A$2),SUMIFS(Proventos!$H:$H,Proventos!$D:$D,"&gt;="&amp;CONCATENATE($G$6,"/",B27),Proventos!$D:$D,"&lt;"&amp;CONCATENATE($H$6,"/",B27),Proventos!$J:$J,"="&amp;$H$2),
AND($H$2=Data!$A$6,$K$2=Data!$A$2),SUMIFS(Proventos!$H:$H,Proventos!$D:$D,"&gt;="&amp;CONCATENATE($G$6,"/",B27),Proventos!$D:$D,"&lt;"&amp;CONCATENATE($H$6,"/",B27),Proventos!$J:$J,"="&amp;$H$2),
AND($H$2=Data!$A$7,$K$2=Data!$A$2),SUMIFS(Proventos!$H:$H,Proventos!$D:$D,"&gt;="&amp;CONCATENATE($G$6,"/",B27),Proventos!$D:$D,"&lt;"&amp;CONCATENATE($H$6,"/",B27),Proventos!$J:$J,"="&amp;$H$2),
AND($H$2=Data!$A$8,$K$2=Data!$A$2),SUMIFS(Proventos!$H:$H,Proventos!$D:$D,"&gt;="&amp;CONCATENATE($G$6,"/",B27),Proventos!$D:$D,"&lt;"&amp;CONCATENATE($H$6,"/",B27),Proventos!$J:$J,"="&amp;$H$2),
AND($H$2=Data!$A$9,$K$2=Data!$A$2),SUMIFS(Proventos!$H:$H,Proventos!$D:$D,"&gt;="&amp;CONCATENATE($G$6,"/",B27),Proventos!$D:$D,"&lt;"&amp;CONCATENATE($H$6,"/",B27),Proventos!$J:$J,"="&amp;$H$2),
AND($H$2=Data!$A$10,$K$2=Data!$A$2),SUMIFS(Proventos!$H:$H,Proventos!$D:$D,"&gt;="&amp;CONCATENATE($G$6,"/",B27),Proventos!$D:$D,"&lt;"&amp;CONCATENATE($H$6,"/",B27),Proventos!$J:$J,"="&amp;$H$2),
AND($H$2=Data!$A$11,$K$2=Data!$A$2),SUMIFS(Proventos!$H:$H,Proventos!$D:$D,"&gt;="&amp;CONCATENATE($G$6,"/",B27),Proventos!$D:$D,"&lt;"&amp;CONCATENATE($H$6,"/",B27),Proventos!$J:$J,"="&amp;$H$2),
$K$2=Data!$A$2,SUMIFS(Proventos!$H:$H,Proventos!$D:$D,"&gt;="&amp;CONCATENATE($G$6,"/",B27),Proventos!$D:$D,"&lt;"&amp;CONCATENATE($H$6,"/",B27)),
$K$2&lt;&gt;Data!$A$2,SUMIFS(Proventos!$H:$H,Proventos!$D:$D,"&gt;="&amp;CONCATENATE($G$6,"/",B27),Proventos!$D:$D,"&lt;"&amp;CONCATENATE($H$6,"/",B27),Proventos!$A:$A,"="&amp;$K$2))</f>
        <v>0</v>
      </c>
      <c r="H27" s="245">
        <f>IFS(
AND($H$2=Data!$A$3,$K$2=Data!$A$2),SUMIFS(Proventos!$H:$H,Proventos!$D:$D,"&gt;="&amp;CONCATENATE($H$6,"/",B27),Proventos!$D:$D,"&lt;"&amp;CONCATENATE($I$6,"/",B27),Proventos!$J:$J,"="&amp;$H$2),
AND($H$2=Data!$A$4,$K$2=Data!$A$2),SUMIFS(Proventos!$H:$H,Proventos!$D:$D,"&gt;="&amp;CONCATENATE($H$6,"/",B27),Proventos!$D:$D,"&lt;"&amp;CONCATENATE($I$6,"/",B27),Proventos!$J:$J,"="&amp;$H$2),
AND($H$2=Data!$A$5,$K$2=Data!$A$2),SUMIFS(Proventos!$H:$H,Proventos!$D:$D,"&gt;="&amp;CONCATENATE($H$6,"/",B27),Proventos!$D:$D,"&lt;"&amp;CONCATENATE($I$6,"/",B27),Proventos!$J:$J,"="&amp;$H$2),
AND($H$2=Data!$A$6,$K$2=Data!$A$2),SUMIFS(Proventos!$H:$H,Proventos!$D:$D,"&gt;="&amp;CONCATENATE($H$6,"/",B27),Proventos!$D:$D,"&lt;"&amp;CONCATENATE($I$6,"/",B27),Proventos!$J:$J,"="&amp;$H$2),
AND($H$2=Data!$A$7,$K$2=Data!$A$2),SUMIFS(Proventos!$H:$H,Proventos!$D:$D,"&gt;="&amp;CONCATENATE($H$6,"/",B27),Proventos!$D:$D,"&lt;"&amp;CONCATENATE($I$6,"/",B27),Proventos!$J:$J,"="&amp;$H$2),
AND($H$2=Data!$A$8,$K$2=Data!$A$2),SUMIFS(Proventos!$H:$H,Proventos!$D:$D,"&gt;="&amp;CONCATENATE($H$6,"/",B27),Proventos!$D:$D,"&lt;"&amp;CONCATENATE($I$6,"/",B27),Proventos!$J:$J,"="&amp;$H$2),
AND($H$2=Data!$A$9,$K$2=Data!$A$2),SUMIFS(Proventos!$H:$H,Proventos!$D:$D,"&gt;="&amp;CONCATENATE($H$6,"/",B27),Proventos!$D:$D,"&lt;"&amp;CONCATENATE($I$6,"/",B27),Proventos!$J:$J,"="&amp;$H$2),
AND($H$2=Data!$A$10,$K$2=Data!$A$2),SUMIFS(Proventos!$H:$H,Proventos!$D:$D,"&gt;="&amp;CONCATENATE($H$6,"/",B27),Proventos!$D:$D,"&lt;"&amp;CONCATENATE($I$6,"/",B27),Proventos!$J:$J,"="&amp;$H$2),
AND($H$2=Data!$A$11,$K$2=Data!$A$2),SUMIFS(Proventos!$H:$H,Proventos!$D:$D,"&gt;="&amp;CONCATENATE($H$6,"/",B27),Proventos!$D:$D,"&lt;"&amp;CONCATENATE($I$6,"/",B27),Proventos!$J:$J,"="&amp;$H$2),
$K$2=Data!$A$2,SUMIFS(Proventos!$H:$H,Proventos!$D:$D,"&gt;="&amp;CONCATENATE($H$6,"/",B27),Proventos!$D:$D,"&lt;"&amp;CONCATENATE($I$6,"/",B27)),
$K$2&lt;&gt;Data!$A$2,SUMIFS(Proventos!$H:$H,Proventos!$D:$D,"&gt;="&amp;CONCATENATE($H$6,"/",B27),Proventos!$D:$D,"&lt;"&amp;CONCATENATE($I$6,"/",B27),Proventos!$A:$A,"="&amp;$K$2))</f>
        <v>0</v>
      </c>
      <c r="I27" s="245">
        <f>IFS(
AND($H$2=Data!$A$3,$K$2=Data!$A$2),SUMIFS(Proventos!$H:$H,Proventos!$D:$D,"&gt;="&amp;CONCATENATE($I$6,"/",B27),Proventos!$D:$D,"&lt;"&amp;CONCATENATE($J$6,"/",B27),Proventos!$J:$J,"="&amp;$H$2),
AND($H$2=Data!$A$4,$K$2=Data!$A$2),SUMIFS(Proventos!$H:$H,Proventos!$D:$D,"&gt;="&amp;CONCATENATE($I$6,"/",B27),Proventos!$D:$D,"&lt;"&amp;CONCATENATE($J$6,"/",B27),Proventos!$J:$J,"="&amp;$H$2),
AND($H$2=Data!$A$5,$K$2=Data!$A$2),SUMIFS(Proventos!$H:$H,Proventos!$D:$D,"&gt;="&amp;CONCATENATE($I$6,"/",B27),Proventos!$D:$D,"&lt;"&amp;CONCATENATE($J$6,"/",B27),Proventos!$J:$J,"="&amp;$H$2),
AND($H$2=Data!$A$6,$K$2=Data!$A$2),SUMIFS(Proventos!$H:$H,Proventos!$D:$D,"&gt;="&amp;CONCATENATE($I$6,"/",B27),Proventos!$D:$D,"&lt;"&amp;CONCATENATE($J$6,"/",B27),Proventos!$J:$J,"="&amp;$H$2),
AND($H$2=Data!$A$7,$K$2=Data!$A$2),SUMIFS(Proventos!$H:$H,Proventos!$D:$D,"&gt;="&amp;CONCATENATE($I$6,"/",B27),Proventos!$D:$D,"&lt;"&amp;CONCATENATE($J$6,"/",B27),Proventos!$J:$J,"="&amp;$H$2),
AND($H$2=Data!$A$8,$K$2=Data!$A$2),SUMIFS(Proventos!$H:$H,Proventos!$D:$D,"&gt;="&amp;CONCATENATE($I$6,"/",B27),Proventos!$D:$D,"&lt;"&amp;CONCATENATE($J$6,"/",B27),Proventos!$J:$J,"="&amp;$H$2),
AND($H$2=Data!$A$9,$K$2=Data!$A$2),SUMIFS(Proventos!$H:$H,Proventos!$D:$D,"&gt;="&amp;CONCATENATE($I$6,"/",B27),Proventos!$D:$D,"&lt;"&amp;CONCATENATE($J$6,"/",B27),Proventos!$J:$J,"="&amp;$H$2),
AND($H$2=Data!$A$10,$K$2=Data!$A$2),SUMIFS(Proventos!$H:$H,Proventos!$D:$D,"&gt;="&amp;CONCATENATE($I$6,"/",B27),Proventos!$D:$D,"&lt;"&amp;CONCATENATE($J$6,"/",B27),Proventos!$J:$J,"="&amp;$H$2),
AND($H$2=Data!$A$11,$K$2=Data!$A$2),SUMIFS(Proventos!$H:$H,Proventos!$D:$D,"&gt;="&amp;CONCATENATE($I$6,"/",B27),Proventos!$D:$D,"&lt;"&amp;CONCATENATE($J$6,"/",B27),Proventos!$J:$J,"="&amp;$H$2),
$K$2=Data!$A$2,SUMIFS(Proventos!$H:$H,Proventos!$D:$D,"&gt;="&amp;CONCATENATE($I$6,"/",B27),Proventos!$D:$D,"&lt;"&amp;CONCATENATE($J$6,"/",B27)),
$K$2&lt;&gt;Data!$A$2,SUMIFS(Proventos!$H:$H,Proventos!$D:$D,"&gt;="&amp;CONCATENATE($I$6,"/",B27),Proventos!$D:$D,"&lt;"&amp;CONCATENATE($J$6,"/",B27),Proventos!$A:$A,"="&amp;$K$2))</f>
        <v>0</v>
      </c>
      <c r="J27" s="245">
        <f>IFS(
AND($H$2=Data!$A$3,$K$2=Data!$A$2),SUMIFS(Proventos!$H:$H,Proventos!$D:$D,"&gt;="&amp;CONCATENATE($J$6,"/",B27),Proventos!$D:$D,"&lt;"&amp;CONCATENATE($K$6,"/",B27),Proventos!$J:$J,"="&amp;$H$2),
AND($H$2=Data!$A$4,$K$2=Data!$A$2),SUMIFS(Proventos!$H:$H,Proventos!$D:$D,"&gt;="&amp;CONCATENATE($J$6,"/",B27),Proventos!$D:$D,"&lt;"&amp;CONCATENATE($K$6,"/",B27),Proventos!$J:$J,"="&amp;$H$2),
AND($H$2=Data!$A$5,$K$2=Data!$A$2),SUMIFS(Proventos!$H:$H,Proventos!$D:$D,"&gt;="&amp;CONCATENATE($J$6,"/",B27),Proventos!$D:$D,"&lt;"&amp;CONCATENATE($K$6,"/",B27),Proventos!$J:$J,"="&amp;$H$2),
AND($H$2=Data!$A$6,$K$2=Data!$A$2),SUMIFS(Proventos!$H:$H,Proventos!$D:$D,"&gt;="&amp;CONCATENATE($J$6,"/",B27),Proventos!$D:$D,"&lt;"&amp;CONCATENATE($K$6,"/",B27),Proventos!$J:$J,"="&amp;$H$2),
AND($H$2=Data!$A$7,$K$2=Data!$A$2),SUMIFS(Proventos!$H:$H,Proventos!$D:$D,"&gt;="&amp;CONCATENATE($J$6,"/",B27),Proventos!$D:$D,"&lt;"&amp;CONCATENATE($K$6,"/",B27),Proventos!$J:$J,"="&amp;$H$2),
AND($H$2=Data!$A$8,$K$2=Data!$A$2),SUMIFS(Proventos!$H:$H,Proventos!$D:$D,"&gt;="&amp;CONCATENATE($J$6,"/",B27),Proventos!$D:$D,"&lt;"&amp;CONCATENATE($K$6,"/",B27),Proventos!$J:$J,"="&amp;$H$2),
AND($H$2=Data!$A$9,$K$2=Data!$A$2),SUMIFS(Proventos!$H:$H,Proventos!$D:$D,"&gt;="&amp;CONCATENATE($J$6,"/",B27),Proventos!$D:$D,"&lt;"&amp;CONCATENATE($K$6,"/",B27),Proventos!$J:$J,"="&amp;$H$2),
AND($H$2=Data!$A$10,$K$2=Data!$A$2),SUMIFS(Proventos!$H:$H,Proventos!$D:$D,"&gt;="&amp;CONCATENATE($J$6,"/",B27),Proventos!$D:$D,"&lt;"&amp;CONCATENATE($K$6,"/",B27),Proventos!$J:$J,"="&amp;$H$2),
AND($H$2=Data!$A$11,$K$2=Data!$A$2),SUMIFS(Proventos!$H:$H,Proventos!$D:$D,"&gt;="&amp;CONCATENATE($J$6,"/",B27),Proventos!$D:$D,"&lt;"&amp;CONCATENATE($K$6,"/",B27),Proventos!$J:$J,"="&amp;$H$2),
$K$2=Data!$A$2,SUMIFS(Proventos!$H:$H,Proventos!$D:$D,"&gt;="&amp;CONCATENATE($J$6,"/",B27),Proventos!$D:$D,"&lt;"&amp;CONCATENATE($K$6,"/",B27)),
$K$2&lt;&gt;Data!$A$2,SUMIFS(Proventos!$H:$H,Proventos!$D:$D,"&gt;="&amp;CONCATENATE($J$6,"/",B27),Proventos!$D:$D,"&lt;"&amp;CONCATENATE($K$6,"/",B27),Proventos!$A:$A,"="&amp;$K$2))</f>
        <v>0</v>
      </c>
      <c r="K27" s="245">
        <f>IFS(
AND($H$2=Data!$A$3,$K$2=Data!$A$2),SUMIFS(Proventos!$H:$H,Proventos!$D:$D,"&gt;="&amp;CONCATENATE($K$6,"/",B27),Proventos!$D:$D,"&lt;"&amp;CONCATENATE($L$6,"/",B27),Proventos!$J:$J,"="&amp;$H$2),
AND($H$2=Data!$A$4,$K$2=Data!$A$2),SUMIFS(Proventos!$H:$H,Proventos!$D:$D,"&gt;="&amp;CONCATENATE($K$6,"/",B27),Proventos!$D:$D,"&lt;"&amp;CONCATENATE($L$6,"/",B27),Proventos!$J:$J,"="&amp;$H$2),
AND($H$2=Data!$A$5,$K$2=Data!$A$2),SUMIFS(Proventos!$H:$H,Proventos!$D:$D,"&gt;="&amp;CONCATENATE($K$6,"/",B27),Proventos!$D:$D,"&lt;"&amp;CONCATENATE($L$6,"/",B27),Proventos!$J:$J,"="&amp;$H$2),
AND($H$2=Data!$A$6,$K$2=Data!$A$2),SUMIFS(Proventos!$H:$H,Proventos!$D:$D,"&gt;="&amp;CONCATENATE($K$6,"/",B27),Proventos!$D:$D,"&lt;"&amp;CONCATENATE($L$6,"/",B27),Proventos!$J:$J,"="&amp;$H$2),
AND($H$2=Data!$A$7,$K$2=Data!$A$2),SUMIFS(Proventos!$H:$H,Proventos!$D:$D,"&gt;="&amp;CONCATENATE($K$6,"/",B27),Proventos!$D:$D,"&lt;"&amp;CONCATENATE($L$6,"/",B27),Proventos!$J:$J,"="&amp;$H$2),
AND($H$2=Data!$A$8,$K$2=Data!$A$2),SUMIFS(Proventos!$H:$H,Proventos!$D:$D,"&gt;="&amp;CONCATENATE($K$6,"/",B27),Proventos!$D:$D,"&lt;"&amp;CONCATENATE($L$6,"/",B27),Proventos!$J:$J,"="&amp;$H$2),
AND($H$2=Data!$A$9,$K$2=Data!$A$2),SUMIFS(Proventos!$H:$H,Proventos!$D:$D,"&gt;="&amp;CONCATENATE($K$6,"/",B27),Proventos!$D:$D,"&lt;"&amp;CONCATENATE($L$6,"/",B27),Proventos!$J:$J,"="&amp;$H$2),
AND($H$2=Data!$A$10,$K$2=Data!$A$2),SUMIFS(Proventos!$H:$H,Proventos!$D:$D,"&gt;="&amp;CONCATENATE($K$6,"/",B27),Proventos!$D:$D,"&lt;"&amp;CONCATENATE($L$6,"/",B27),Proventos!$J:$J,"="&amp;$H$2),
AND($H$2=Data!$A$11,$K$2=Data!$A$2),SUMIFS(Proventos!$H:$H,Proventos!$D:$D,"&gt;="&amp;CONCATENATE($K$6,"/",B27),Proventos!$D:$D,"&lt;"&amp;CONCATENATE($L$6,"/",B27),Proventos!$J:$J,"="&amp;$H$2),
$K$2=Data!$A$2,SUMIFS(Proventos!$H:$H,Proventos!$D:$D,"&gt;="&amp;CONCATENATE($K$6,"/",B27),Proventos!$D:$D,"&lt;"&amp;CONCATENATE($L$6,"/",B27)),
$K$2&lt;&gt;Data!$A$2,SUMIFS(Proventos!$H:$H,Proventos!$D:$D,"&gt;="&amp;CONCATENATE($K$6,"/",B27),Proventos!$D:$D,"&lt;"&amp;CONCATENATE($L$6,"/",B27),Proventos!$A:$A,"="&amp;$K$2))</f>
        <v>0</v>
      </c>
      <c r="L27" s="245">
        <f>IFS(
AND($H$2=Data!$A$3,$K$2=Data!$A$2),SUMIFS(Proventos!$H:$H,Proventos!$D:$D,"&gt;="&amp;CONCATENATE($L$6,"/",B27),Proventos!$D:$D,"&lt;"&amp;CONCATENATE($M$6,"/",B27),Proventos!$J:$J,"="&amp;$H$2),
AND($H$2=Data!$A$4,$K$2=Data!$A$2),SUMIFS(Proventos!$H:$H,Proventos!$D:$D,"&gt;="&amp;CONCATENATE($L$6,"/",B27),Proventos!$D:$D,"&lt;"&amp;CONCATENATE($M$6,"/",B27),Proventos!$J:$J,"="&amp;$H$2),
AND($H$2=Data!$A$5,$K$2=Data!$A$2),SUMIFS(Proventos!$H:$H,Proventos!$D:$D,"&gt;="&amp;CONCATENATE($L$6,"/",B27),Proventos!$D:$D,"&lt;"&amp;CONCATENATE($M$6,"/",B27),Proventos!$J:$J,"="&amp;$H$2),
AND($H$2=Data!$A$6,$K$2=Data!$A$2),SUMIFS(Proventos!$H:$H,Proventos!$D:$D,"&gt;="&amp;CONCATENATE($L$6,"/",B27),Proventos!$D:$D,"&lt;"&amp;CONCATENATE($M$6,"/",B27),Proventos!$J:$J,"="&amp;$H$2),
AND($H$2=Data!$A$7,$K$2=Data!$A$2),SUMIFS(Proventos!$H:$H,Proventos!$D:$D,"&gt;="&amp;CONCATENATE($L$6,"/",B27),Proventos!$D:$D,"&lt;"&amp;CONCATENATE($M$6,"/",B27),Proventos!$J:$J,"="&amp;$H$2),
AND($H$2=Data!$A$8,$K$2=Data!$A$2),SUMIFS(Proventos!$H:$H,Proventos!$D:$D,"&gt;="&amp;CONCATENATE($L$6,"/",B27),Proventos!$D:$D,"&lt;"&amp;CONCATENATE($M$6,"/",B27),Proventos!$J:$J,"="&amp;$H$2),
AND($H$2=Data!$A$9,$K$2=Data!$A$2),SUMIFS(Proventos!$H:$H,Proventos!$D:$D,"&gt;="&amp;CONCATENATE($L$6,"/",B27),Proventos!$D:$D,"&lt;"&amp;CONCATENATE($M$6,"/",B27),Proventos!$J:$J,"="&amp;$H$2),
AND($H$2=Data!$A$10,$K$2=Data!$A$2),SUMIFS(Proventos!$H:$H,Proventos!$D:$D,"&gt;="&amp;CONCATENATE($L$6,"/",B27),Proventos!$D:$D,"&lt;"&amp;CONCATENATE($M$6,"/",B27),Proventos!$J:$J,"="&amp;$H$2),
AND($H$2=Data!$A$11,$K$2=Data!$A$2),SUMIFS(Proventos!$H:$H,Proventos!$D:$D,"&gt;="&amp;CONCATENATE($L$6,"/",B27),Proventos!$D:$D,"&lt;"&amp;CONCATENATE($M$6,"/",B27),Proventos!$J:$J,"="&amp;$H$2),
$K$2=Data!$A$2,SUMIFS(Proventos!$H:$H,Proventos!$D:$D,"&gt;="&amp;CONCATENATE($L$6,"/",B27),Proventos!$D:$D,"&lt;"&amp;CONCATENATE($M$6,"/",B27)),
$K$2&lt;&gt;Data!$A$2,SUMIFS(Proventos!$H:$H,Proventos!$D:$D,"&gt;="&amp;CONCATENATE($L$6,"/",B27),Proventos!$D:$D,"&lt;"&amp;CONCATENATE($M$6,"/",B27),Proventos!$A:$A,"="&amp;$K$2))</f>
        <v>0</v>
      </c>
      <c r="M27" s="245">
        <f>IFS(
AND($H$2=Data!$A$3,$K$2=Data!$A$2),SUMIFS(Proventos!$H:$H,Proventos!$D:$D,"&gt;="&amp;CONCATENATE($M$6,"/",B27),Proventos!$D:$D,"&lt;"&amp;CONCATENATE($N$6,"/",B27),Proventos!$J:$J,"="&amp;$H$2),
AND($H$2=Data!$A$4,$K$2=Data!$A$2),SUMIFS(Proventos!$H:$H,Proventos!$D:$D,"&gt;="&amp;CONCATENATE($M$6,"/",B27),Proventos!$D:$D,"&lt;"&amp;CONCATENATE($N$6,"/",B27),Proventos!$J:$J,"="&amp;$H$2),
AND($H$2=Data!$A$5,$K$2=Data!$A$2),SUMIFS(Proventos!$H:$H,Proventos!$D:$D,"&gt;="&amp;CONCATENATE($M$6,"/",B27),Proventos!$D:$D,"&lt;"&amp;CONCATENATE($N$6,"/",B27),Proventos!$J:$J,"="&amp;$H$2),
AND($H$2=Data!$A$6,$K$2=Data!$A$2),SUMIFS(Proventos!$H:$H,Proventos!$D:$D,"&gt;="&amp;CONCATENATE($M$6,"/",B27),Proventos!$D:$D,"&lt;"&amp;CONCATENATE($N$6,"/",B27),Proventos!$J:$J,"="&amp;$H$2),
AND($H$2=Data!$A$7,$K$2=Data!$A$2),SUMIFS(Proventos!$H:$H,Proventos!$D:$D,"&gt;="&amp;CONCATENATE($M$6,"/",B27),Proventos!$D:$D,"&lt;"&amp;CONCATENATE($N$6,"/",B27),Proventos!$J:$J,"="&amp;$H$2),
AND($H$2=Data!$A$8,$K$2=Data!$A$2),SUMIFS(Proventos!$H:$H,Proventos!$D:$D,"&gt;="&amp;CONCATENATE($M$6,"/",B27),Proventos!$D:$D,"&lt;"&amp;CONCATENATE($N$6,"/",B27),Proventos!$J:$J,"="&amp;$H$2),
AND($H$2=Data!$A$9,$K$2=Data!$A$2),SUMIFS(Proventos!$H:$H,Proventos!$D:$D,"&gt;="&amp;CONCATENATE($M$6,"/",B27),Proventos!$D:$D,"&lt;"&amp;CONCATENATE($N$6,"/",B27),Proventos!$J:$J,"="&amp;$H$2),
AND($H$2=Data!$A$10,$K$2=Data!$A$2),SUMIFS(Proventos!$H:$H,Proventos!$D:$D,"&gt;="&amp;CONCATENATE($M$6,"/",B27),Proventos!$D:$D,"&lt;"&amp;CONCATENATE($N$6,"/",B27),Proventos!$J:$J,"="&amp;$H$2),
AND($H$2=Data!$A$11,$K$2=Data!$A$2),SUMIFS(Proventos!$H:$H,Proventos!$D:$D,"&gt;="&amp;CONCATENATE($M$6,"/",B27),Proventos!$D:$D,"&lt;"&amp;CONCATENATE($N$6,"/",B27),Proventos!$J:$J,"="&amp;$H$2),
$K$2=Data!$A$2,SUMIFS(Proventos!$H:$H,Proventos!$D:$D,"&gt;="&amp;CONCATENATE($M$6,"/",B27),Proventos!$D:$D,"&lt;"&amp;CONCATENATE($N$6,"/",B27)),
$K$2&lt;&gt;Data!$A$2,SUMIFS(Proventos!$H:$H,Proventos!$D:$D,"&gt;="&amp;CONCATENATE($M$6,"/",B27),Proventos!$D:$D,"&lt;"&amp;CONCATENATE($N$6,"/",B27),Proventos!$A:$A,"="&amp;$K$2))</f>
        <v>0</v>
      </c>
      <c r="N27" s="245">
        <f>IFS(
AND($H$2=Data!$A$3,$K$2=Data!$A$2),SUMIFS(Proventos!$H:$H,Proventos!$D:$D,"&gt;="&amp;CONCATENATE($N$6,"/",B27),Proventos!$D:$D,"&lt;"&amp;CONCATENATE($C$6,"/",B28),Proventos!$J:$J,"="&amp;$H$2),
AND($H$2=Data!$A$4,$K$2=Data!$A$2),SUMIFS(Proventos!$H:$H,Proventos!$D:$D,"&gt;="&amp;CONCATENATE($N$6,"/",B27),Proventos!$D:$D,"&lt;"&amp;CONCATENATE($C$6,"/",B28),Proventos!$J:$J,"="&amp;$H$2),
AND($H$2=Data!$A$5,$K$2=Data!$A$2),SUMIFS(Proventos!$H:$H,Proventos!$D:$D,"&gt;="&amp;CONCATENATE($N$6,"/",B27),Proventos!$D:$D,"&lt;"&amp;CONCATENATE($C$6,"/",B28),Proventos!$J:$J,"="&amp;$H$2),
AND($H$2=Data!$A$6,$K$2=Data!$A$2),SUMIFS(Proventos!$H:$H,Proventos!$D:$D,"&gt;="&amp;CONCATENATE($N$6,"/",B27),Proventos!$D:$D,"&lt;"&amp;CONCATENATE($C$6,"/",B28),Proventos!$J:$J,"="&amp;$H$2),
AND($H$2=Data!$A$7,$K$2=Data!$A$2),SUMIFS(Proventos!$H:$H,Proventos!$D:$D,"&gt;="&amp;CONCATENATE($N$6,"/",B27),Proventos!$D:$D,"&lt;"&amp;CONCATENATE($C$6,"/",B28),Proventos!$J:$J,"="&amp;$H$2),
AND($H$2=Data!$A$8,$K$2=Data!$A$2),SUMIFS(Proventos!$H:$H,Proventos!$D:$D,"&gt;="&amp;CONCATENATE($N$6,"/",B27),Proventos!$D:$D,"&lt;"&amp;CONCATENATE($C$6,"/",B28),Proventos!$J:$J,"="&amp;$H$2),
AND($H$2=Data!$A$9,$K$2=Data!$A$2),SUMIFS(Proventos!$H:$H,Proventos!$D:$D,"&gt;="&amp;CONCATENATE($N$6,"/",B27),Proventos!$D:$D,"&lt;"&amp;CONCATENATE($C$6,"/",B28),Proventos!$J:$J,"="&amp;$H$2),
AND($H$2=Data!$A$10,$K$2=Data!$A$2),SUMIFS(Proventos!$H:$H,Proventos!$D:$D,"&gt;="&amp;CONCATENATE($N$6,"/",B27),Proventos!$D:$D,"&lt;"&amp;CONCATENATE($C$6,"/",B28),Proventos!$J:$J,"="&amp;$H$2),
AND($H$2=Data!$A$11,$K$2=Data!$A$2),SUMIFS(Proventos!$H:$H,Proventos!$D:$D,"&gt;="&amp;CONCATENATE($N$6,"/",B27),Proventos!$D:$D,"&lt;"&amp;CONCATENATE($C$6,"/",B28),Proventos!$J:$J,"="&amp;$H$2),
$K$2=Data!$A$2,SUMIFS(Proventos!$H:$H,Proventos!$D:$D,"&gt;="&amp;CONCATENATE($N$6,"/",B27),Proventos!$D:$D,"&lt;"&amp;CONCATENATE($C$6,"/",B28)),
$K$2&lt;&gt;Data!$A$2,SUMIFS(Proventos!$H:$H,Proventos!$D:$D,"&gt;="&amp;CONCATENATE($N$6,"/",B27),Proventos!$D:$D,"&lt;"&amp;CONCATENATE($C$6,"/",B28),Proventos!$A:$A,"="&amp;$K$2))</f>
        <v>0</v>
      </c>
      <c r="O27" s="245"/>
      <c r="P27" s="245">
        <f t="shared" si="1"/>
        <v>0</v>
      </c>
      <c r="Q27" s="245">
        <f t="shared" si="2"/>
        <v>0</v>
      </c>
    </row>
    <row r="28" ht="32.25" customHeight="1">
      <c r="A28" s="230" t="str">
        <f>IFERROR(__xludf.DUMMYFUNCTION("""COMPUTED_VALUE"""),"XPBR31")</f>
        <v>XPBR31</v>
      </c>
      <c r="B28" s="244"/>
      <c r="C28" s="245">
        <f>IFS(
AND($H$2=Data!$A$3,$K$2=Data!$A$2),SUMIFS(Proventos!$H:$H,Proventos!$D:$D,"&gt;="&amp;CONCATENATE($C$6,"/",B28),Proventos!$D:$D,"&lt;"&amp;CONCATENATE($D$6,"/",B28),Proventos!$J:$J,"="&amp;$H$2),
AND($H$2=Data!$A$4,$K$2=Data!$A$2),SUMIFS(Proventos!$H:$H,Proventos!$D:$D,"&gt;="&amp;CONCATENATE($C$6,"/",B28),Proventos!$D:$D,"&lt;"&amp;CONCATENATE($D$6,"/",B28),Proventos!$J:$J,"="&amp;$H$2),
AND($H$2=Data!$A$5,$K$2=Data!$A$2),SUMIFS(Proventos!$H:$H,Proventos!$D:$D,"&gt;="&amp;CONCATENATE($C$6,"/",B28),Proventos!$D:$D,"&lt;"&amp;CONCATENATE($D$6,"/",B28),Proventos!$J:$J,"="&amp;$H$2),
AND($H$2=Data!$A$6,$K$2=Data!$A$2),SUMIFS(Proventos!$H:$H,Proventos!$D:$D,"&gt;="&amp;CONCATENATE($C$6,"/",B28),Proventos!$D:$D,"&lt;"&amp;CONCATENATE($D$6,"/",B28),Proventos!$J:$J,"="&amp;$H$2),
AND($H$2=Data!$A$7,$K$2=Data!$A$2),SUMIFS(Proventos!$H:$H,Proventos!$D:$D,"&gt;="&amp;CONCATENATE($C$6,"/",B28),Proventos!$D:$D,"&lt;"&amp;CONCATENATE($D$6,"/",B28),Proventos!$J:$J,"="&amp;$H$2),
AND($H$2=Data!$A$8,$K$2=Data!$A$2),SUMIFS(Proventos!$H:$H,Proventos!$D:$D,"&gt;="&amp;CONCATENATE($C$6,"/",B28),Proventos!$D:$D,"&lt;"&amp;CONCATENATE($D$6,"/",B28),Proventos!$J:$J,"="&amp;$H$2),
AND($H$2=Data!$A$9,$K$2=Data!$A$2),SUMIFS(Proventos!$H:$H,Proventos!$D:$D,"&gt;="&amp;CONCATENATE($C$6,"/",B28),Proventos!$D:$D,"&lt;"&amp;CONCATENATE($D$6,"/",B28),Proventos!$J:$J,"="&amp;$H$2),
AND($H$2=Data!$A$10,$K$2=Data!$A$2),SUMIFS(Proventos!$H:$H,Proventos!$D:$D,"&gt;="&amp;CONCATENATE($C$6,"/",B28),Proventos!$D:$D,"&lt;"&amp;CONCATENATE($D$6,"/",B28),Proventos!$J:$J,"="&amp;$H$2),
AND($H$2=Data!$A$11,$K$2=Data!$A$2),SUMIFS(Proventos!$H:$H,Proventos!$D:$D,"&gt;="&amp;CONCATENATE($C$6,"/",B28),Proventos!$D:$D,"&lt;"&amp;CONCATENATE($D$6,"/",B28),Proventos!$J:$J,"="&amp;$H$2),
$K$2=Data!$A$2,SUMIFS(Proventos!$H:$H,Proventos!$D:$D,"&gt;="&amp;CONCATENATE($C$6,"/",B28),Proventos!$D:$D,"&lt;"&amp;CONCATENATE($D$6,"/",B28)),
$K$2&lt;&gt;Data!$A$2,SUMIFS(Proventos!$H:$H,Proventos!$D:$D,"&gt;="&amp;CONCATENATE($C$6,"/",B28),Proventos!$D:$D,"&lt;"&amp;CONCATENATE($D$6,"/",B28),Proventos!$A:$A,"="&amp;$K$2))</f>
        <v>0</v>
      </c>
      <c r="D28" s="245">
        <f>IFS(
AND($H$2=Data!$A$3,$K$2=Data!$A$2),SUMIFS(Proventos!$H:$H,Proventos!$D:$D,"&gt;="&amp;CONCATENATE($D$6,"/",B28),Proventos!$D:$D,"&lt;"&amp;CONCATENATE($E$6,"/",B28),Proventos!$J:$J,"="&amp;$H$2),
AND($H$2=Data!$A$4,$K$2=Data!$A$2),SUMIFS(Proventos!$H:$H,Proventos!$D:$D,"&gt;="&amp;CONCATENATE($D$6,"/",B28),Proventos!$D:$D,"&lt;"&amp;CONCATENATE($E$6,"/",B28),Proventos!$J:$J,"="&amp;$H$2),
AND($H$2=Data!$A$5,$K$2=Data!$A$2),SUMIFS(Proventos!$H:$H,Proventos!$D:$D,"&gt;="&amp;CONCATENATE($D$6,"/",B28),Proventos!$D:$D,"&lt;"&amp;CONCATENATE($E$6,"/",B28),Proventos!$J:$J,"="&amp;$H$2),
AND($H$2=Data!$A$6,$K$2=Data!$A$2),SUMIFS(Proventos!$H:$H,Proventos!$D:$D,"&gt;="&amp;CONCATENATE($D$6,"/",B28),Proventos!$D:$D,"&lt;"&amp;CONCATENATE($E$6,"/",B28),Proventos!$J:$J,"="&amp;$H$2),
AND($H$2=Data!$A$7,$K$2=Data!$A$2),SUMIFS(Proventos!$H:$H,Proventos!$D:$D,"&gt;="&amp;CONCATENATE($D$6,"/",B28),Proventos!$D:$D,"&lt;"&amp;CONCATENATE($E$6,"/",B28),Proventos!$J:$J,"="&amp;$H$2),
AND($H$2=Data!$A$8,$K$2=Data!$A$2),SUMIFS(Proventos!$H:$H,Proventos!$D:$D,"&gt;="&amp;CONCATENATE($D$6,"/",B28),Proventos!$D:$D,"&lt;"&amp;CONCATENATE($E$6,"/",B28),Proventos!$J:$J,"="&amp;$H$2),
AND($H$2=Data!$A$9,$K$2=Data!$A$2),SUMIFS(Proventos!$H:$H,Proventos!$D:$D,"&gt;="&amp;CONCATENATE($D$6,"/",B28),Proventos!$D:$D,"&lt;"&amp;CONCATENATE($E$6,"/",B28),Proventos!$J:$J,"="&amp;$H$2),
AND($H$2=Data!$A$10,$K$2=Data!$A$2),SUMIFS(Proventos!$H:$H,Proventos!$D:$D,"&gt;="&amp;CONCATENATE($D$6,"/",B28),Proventos!$D:$D,"&lt;"&amp;CONCATENATE($E$6,"/",B28),Proventos!$J:$J,"="&amp;$H$2),
AND($H$2=Data!$A$11,$K$2=Data!$A$2),SUMIFS(Proventos!$H:$H,Proventos!$D:$D,"&gt;="&amp;CONCATENATE($D$6,"/",B28),Proventos!$D:$D,"&lt;"&amp;CONCATENATE($E$6,"/",B28),Proventos!$J:$J,"="&amp;$H$2),
$K$2=Data!$A$2,SUMIFS(Proventos!$H:$H,Proventos!$D:$D,"&gt;="&amp;CONCATENATE($D$6,"/",B28),Proventos!$D:$D,"&lt;"&amp;CONCATENATE($E$6,"/",B28)),
$K$2&lt;&gt;Data!$A$2,SUMIFS(Proventos!$H:$H,Proventos!$D:$D,"&gt;="&amp;CONCATENATE($D$6,"/",B28),Proventos!$D:$D,"&lt;"&amp;CONCATENATE($E$6,"/",B28),Proventos!$A:$A,"="&amp;$K$2))</f>
        <v>0</v>
      </c>
      <c r="E28" s="245">
        <f>IFS(
AND($H$2=Data!$A$3,$K$2=Data!$A$2),SUMIFS(Proventos!$H:$H,Proventos!$D:$D,"&gt;="&amp;CONCATENATE($E$6,"/",B28),Proventos!$D:$D,"&lt;"&amp;CONCATENATE($F$6,"/",B28),Proventos!$J:$J,"="&amp;$H$2),
AND($H$2=Data!$A$4,$K$2=Data!$A$2),SUMIFS(Proventos!$H:$H,Proventos!$D:$D,"&gt;="&amp;CONCATENATE($E$6,"/",B28),Proventos!$D:$D,"&lt;"&amp;CONCATENATE($F$6,"/",B28),Proventos!$J:$J,"="&amp;$H$2),
AND($H$2=Data!$A$5,$K$2=Data!$A$2),SUMIFS(Proventos!$H:$H,Proventos!$D:$D,"&gt;="&amp;CONCATENATE($E$6,"/",B28),Proventos!$D:$D,"&lt;"&amp;CONCATENATE($F$6,"/",B28),Proventos!$J:$J,"="&amp;$H$2),
AND($H$2=Data!$A$6,$K$2=Data!$A$2),SUMIFS(Proventos!$H:$H,Proventos!$D:$D,"&gt;="&amp;CONCATENATE($E$6,"/",B28),Proventos!$D:$D,"&lt;"&amp;CONCATENATE($F$6,"/",B28),Proventos!$J:$J,"="&amp;$H$2),
AND($H$2=Data!$A$7,$K$2=Data!$A$2),SUMIFS(Proventos!$H:$H,Proventos!$D:$D,"&gt;="&amp;CONCATENATE($E$6,"/",B28),Proventos!$D:$D,"&lt;"&amp;CONCATENATE($F$6,"/",B28),Proventos!$J:$J,"="&amp;$H$2),
AND($H$2=Data!$A$8,$K$2=Data!$A$2),SUMIFS(Proventos!$H:$H,Proventos!$D:$D,"&gt;="&amp;CONCATENATE($E$6,"/",B28),Proventos!$D:$D,"&lt;"&amp;CONCATENATE($F$6,"/",B28),Proventos!$J:$J,"="&amp;$H$2),
AND($H$2=Data!$A$9,$K$2=Data!$A$2),SUMIFS(Proventos!$H:$H,Proventos!$D:$D,"&gt;="&amp;CONCATENATE($E$6,"/",B28),Proventos!$D:$D,"&lt;"&amp;CONCATENATE($F$6,"/",B28),Proventos!$J:$J,"="&amp;$H$2),
AND($H$2=Data!$A$10,$K$2=Data!$A$2),SUMIFS(Proventos!$H:$H,Proventos!$D:$D,"&gt;="&amp;CONCATENATE($E$6,"/",B28),Proventos!$D:$D,"&lt;"&amp;CONCATENATE($F$6,"/",B28),Proventos!$J:$J,"="&amp;$H$2),
AND($H$2=Data!$A$11,$K$2=Data!$A$2),SUMIFS(Proventos!$H:$H,Proventos!$D:$D,"&gt;="&amp;CONCATENATE($E$6,"/",B28),Proventos!$D:$D,"&lt;"&amp;CONCATENATE($F$6,"/",B28),Proventos!$J:$J,"="&amp;$H$2),
$K$2=Data!$A$2,SUMIFS(Proventos!$H:$H,Proventos!$D:$D,"&gt;="&amp;CONCATENATE($E$6,"/",B28),Proventos!$D:$D,"&lt;"&amp;CONCATENATE($F$6,"/",B28)),
$K$2&lt;&gt;Data!$A$2,SUMIFS(Proventos!$H:$H,Proventos!$D:$D,"&gt;="&amp;CONCATENATE($E$6,"/",B28),Proventos!$D:$D,"&lt;"&amp;CONCATENATE($F$6,"/",B28),Proventos!$A:$A,"="&amp;$K$2))</f>
        <v>0</v>
      </c>
      <c r="F28" s="245">
        <f>IFS(
AND($H$2=Data!$A$3,$K$2=Data!$A$2),SUMIFS(Proventos!$H:$H,Proventos!$D:$D,"&gt;="&amp;CONCATENATE($F$6,"/",B28),Proventos!$D:$D,"&lt;"&amp;CONCATENATE($G$6,"/",B28),Proventos!$J:$J,"="&amp;$H$2),
AND($H$2=Data!$A$4,$K$2=Data!$A$2),SUMIFS(Proventos!$H:$H,Proventos!$D:$D,"&gt;="&amp;CONCATENATE($F$6,"/",B28),Proventos!$D:$D,"&lt;"&amp;CONCATENATE($G$6,"/",B28),Proventos!$J:$J,"="&amp;$H$2),
AND($H$2=Data!$A$5,$K$2=Data!$A$2),SUMIFS(Proventos!$H:$H,Proventos!$D:$D,"&gt;="&amp;CONCATENATE($F$6,"/",B28),Proventos!$D:$D,"&lt;"&amp;CONCATENATE($G$6,"/",B28),Proventos!$J:$J,"="&amp;$H$2),
AND($H$2=Data!$A$6,$K$2=Data!$A$2),SUMIFS(Proventos!$H:$H,Proventos!$D:$D,"&gt;="&amp;CONCATENATE($F$6,"/",B28),Proventos!$D:$D,"&lt;"&amp;CONCATENATE($G$6,"/",B28),Proventos!$J:$J,"="&amp;$H$2),
AND($H$2=Data!$A$7,$K$2=Data!$A$2),SUMIFS(Proventos!$H:$H,Proventos!$D:$D,"&gt;="&amp;CONCATENATE($F$6,"/",B28),Proventos!$D:$D,"&lt;"&amp;CONCATENATE($G$6,"/",B28),Proventos!$J:$J,"="&amp;$H$2),
AND($H$2=Data!$A$8,$K$2=Data!$A$2),SUMIFS(Proventos!$H:$H,Proventos!$D:$D,"&gt;="&amp;CONCATENATE($F$6,"/",B28),Proventos!$D:$D,"&lt;"&amp;CONCATENATE($G$6,"/",B28),Proventos!$J:$J,"="&amp;$H$2),
AND($H$2=Data!$A$9,$K$2=Data!$A$2),SUMIFS(Proventos!$H:$H,Proventos!$D:$D,"&gt;="&amp;CONCATENATE($F$6,"/",B28),Proventos!$D:$D,"&lt;"&amp;CONCATENATE($G$6,"/",B28),Proventos!$J:$J,"="&amp;$H$2),
AND($H$2=Data!$A$10,$K$2=Data!$A$2),SUMIFS(Proventos!$H:$H,Proventos!$D:$D,"&gt;="&amp;CONCATENATE($F$6,"/",B28),Proventos!$D:$D,"&lt;"&amp;CONCATENATE($G$6,"/",B28),Proventos!$J:$J,"="&amp;$H$2),
AND($H$2=Data!$A$11,$K$2=Data!$A$2),SUMIFS(Proventos!$H:$H,Proventos!$D:$D,"&gt;="&amp;CONCATENATE($F$6,"/",B28),Proventos!$D:$D,"&lt;"&amp;CONCATENATE($G$6,"/",B28),Proventos!$J:$J,"="&amp;$H$2),
$K$2=Data!$A$2,SUMIFS(Proventos!$H:$H,Proventos!$D:$D,"&gt;="&amp;CONCATENATE($F$6,"/",B28),Proventos!$D:$D,"&lt;"&amp;CONCATENATE($G$6,"/",B28)),
$K$2&lt;&gt;Data!$A$2,SUMIFS(Proventos!$H:$H,Proventos!$D:$D,"&gt;="&amp;CONCATENATE($F$6,"/",B28),Proventos!$D:$D,"&lt;"&amp;CONCATENATE($G$6,"/",B28),Proventos!$A:$A,"="&amp;$K$2))</f>
        <v>0</v>
      </c>
      <c r="G28" s="245">
        <f>IFS(
AND($H$2=Data!$A$3,$K$2=Data!$A$2),SUMIFS(Proventos!$H:$H,Proventos!$D:$D,"&gt;="&amp;CONCATENATE($G$6,"/",B28),Proventos!$D:$D,"&lt;"&amp;CONCATENATE($H$6,"/",B28),Proventos!$J:$J,"="&amp;$H$2),
AND($H$2=Data!$A$4,$K$2=Data!$A$2),SUMIFS(Proventos!$H:$H,Proventos!$D:$D,"&gt;="&amp;CONCATENATE($G$6,"/",B28),Proventos!$D:$D,"&lt;"&amp;CONCATENATE($H$6,"/",B28),Proventos!$J:$J,"="&amp;$H$2),
AND($H$2=Data!$A$5,$K$2=Data!$A$2),SUMIFS(Proventos!$H:$H,Proventos!$D:$D,"&gt;="&amp;CONCATENATE($G$6,"/",B28),Proventos!$D:$D,"&lt;"&amp;CONCATENATE($H$6,"/",B28),Proventos!$J:$J,"="&amp;$H$2),
AND($H$2=Data!$A$6,$K$2=Data!$A$2),SUMIFS(Proventos!$H:$H,Proventos!$D:$D,"&gt;="&amp;CONCATENATE($G$6,"/",B28),Proventos!$D:$D,"&lt;"&amp;CONCATENATE($H$6,"/",B28),Proventos!$J:$J,"="&amp;$H$2),
AND($H$2=Data!$A$7,$K$2=Data!$A$2),SUMIFS(Proventos!$H:$H,Proventos!$D:$D,"&gt;="&amp;CONCATENATE($G$6,"/",B28),Proventos!$D:$D,"&lt;"&amp;CONCATENATE($H$6,"/",B28),Proventos!$J:$J,"="&amp;$H$2),
AND($H$2=Data!$A$8,$K$2=Data!$A$2),SUMIFS(Proventos!$H:$H,Proventos!$D:$D,"&gt;="&amp;CONCATENATE($G$6,"/",B28),Proventos!$D:$D,"&lt;"&amp;CONCATENATE($H$6,"/",B28),Proventos!$J:$J,"="&amp;$H$2),
AND($H$2=Data!$A$9,$K$2=Data!$A$2),SUMIFS(Proventos!$H:$H,Proventos!$D:$D,"&gt;="&amp;CONCATENATE($G$6,"/",B28),Proventos!$D:$D,"&lt;"&amp;CONCATENATE($H$6,"/",B28),Proventos!$J:$J,"="&amp;$H$2),
AND($H$2=Data!$A$10,$K$2=Data!$A$2),SUMIFS(Proventos!$H:$H,Proventos!$D:$D,"&gt;="&amp;CONCATENATE($G$6,"/",B28),Proventos!$D:$D,"&lt;"&amp;CONCATENATE($H$6,"/",B28),Proventos!$J:$J,"="&amp;$H$2),
AND($H$2=Data!$A$11,$K$2=Data!$A$2),SUMIFS(Proventos!$H:$H,Proventos!$D:$D,"&gt;="&amp;CONCATENATE($G$6,"/",B28),Proventos!$D:$D,"&lt;"&amp;CONCATENATE($H$6,"/",B28),Proventos!$J:$J,"="&amp;$H$2),
$K$2=Data!$A$2,SUMIFS(Proventos!$H:$H,Proventos!$D:$D,"&gt;="&amp;CONCATENATE($G$6,"/",B28),Proventos!$D:$D,"&lt;"&amp;CONCATENATE($H$6,"/",B28)),
$K$2&lt;&gt;Data!$A$2,SUMIFS(Proventos!$H:$H,Proventos!$D:$D,"&gt;="&amp;CONCATENATE($G$6,"/",B28),Proventos!$D:$D,"&lt;"&amp;CONCATENATE($H$6,"/",B28),Proventos!$A:$A,"="&amp;$K$2))</f>
        <v>0</v>
      </c>
      <c r="H28" s="245">
        <f>IFS(
AND($H$2=Data!$A$3,$K$2=Data!$A$2),SUMIFS(Proventos!$H:$H,Proventos!$D:$D,"&gt;="&amp;CONCATENATE($H$6,"/",B28),Proventos!$D:$D,"&lt;"&amp;CONCATENATE($I$6,"/",B28),Proventos!$J:$J,"="&amp;$H$2),
AND($H$2=Data!$A$4,$K$2=Data!$A$2),SUMIFS(Proventos!$H:$H,Proventos!$D:$D,"&gt;="&amp;CONCATENATE($H$6,"/",B28),Proventos!$D:$D,"&lt;"&amp;CONCATENATE($I$6,"/",B28),Proventos!$J:$J,"="&amp;$H$2),
AND($H$2=Data!$A$5,$K$2=Data!$A$2),SUMIFS(Proventos!$H:$H,Proventos!$D:$D,"&gt;="&amp;CONCATENATE($H$6,"/",B28),Proventos!$D:$D,"&lt;"&amp;CONCATENATE($I$6,"/",B28),Proventos!$J:$J,"="&amp;$H$2),
AND($H$2=Data!$A$6,$K$2=Data!$A$2),SUMIFS(Proventos!$H:$H,Proventos!$D:$D,"&gt;="&amp;CONCATENATE($H$6,"/",B28),Proventos!$D:$D,"&lt;"&amp;CONCATENATE($I$6,"/",B28),Proventos!$J:$J,"="&amp;$H$2),
AND($H$2=Data!$A$7,$K$2=Data!$A$2),SUMIFS(Proventos!$H:$H,Proventos!$D:$D,"&gt;="&amp;CONCATENATE($H$6,"/",B28),Proventos!$D:$D,"&lt;"&amp;CONCATENATE($I$6,"/",B28),Proventos!$J:$J,"="&amp;$H$2),
AND($H$2=Data!$A$8,$K$2=Data!$A$2),SUMIFS(Proventos!$H:$H,Proventos!$D:$D,"&gt;="&amp;CONCATENATE($H$6,"/",B28),Proventos!$D:$D,"&lt;"&amp;CONCATENATE($I$6,"/",B28),Proventos!$J:$J,"="&amp;$H$2),
AND($H$2=Data!$A$9,$K$2=Data!$A$2),SUMIFS(Proventos!$H:$H,Proventos!$D:$D,"&gt;="&amp;CONCATENATE($H$6,"/",B28),Proventos!$D:$D,"&lt;"&amp;CONCATENATE($I$6,"/",B28),Proventos!$J:$J,"="&amp;$H$2),
AND($H$2=Data!$A$10,$K$2=Data!$A$2),SUMIFS(Proventos!$H:$H,Proventos!$D:$D,"&gt;="&amp;CONCATENATE($H$6,"/",B28),Proventos!$D:$D,"&lt;"&amp;CONCATENATE($I$6,"/",B28),Proventos!$J:$J,"="&amp;$H$2),
AND($H$2=Data!$A$11,$K$2=Data!$A$2),SUMIFS(Proventos!$H:$H,Proventos!$D:$D,"&gt;="&amp;CONCATENATE($H$6,"/",B28),Proventos!$D:$D,"&lt;"&amp;CONCATENATE($I$6,"/",B28),Proventos!$J:$J,"="&amp;$H$2),
$K$2=Data!$A$2,SUMIFS(Proventos!$H:$H,Proventos!$D:$D,"&gt;="&amp;CONCATENATE($H$6,"/",B28),Proventos!$D:$D,"&lt;"&amp;CONCATENATE($I$6,"/",B28)),
$K$2&lt;&gt;Data!$A$2,SUMIFS(Proventos!$H:$H,Proventos!$D:$D,"&gt;="&amp;CONCATENATE($H$6,"/",B28),Proventos!$D:$D,"&lt;"&amp;CONCATENATE($I$6,"/",B28),Proventos!$A:$A,"="&amp;$K$2))</f>
        <v>0</v>
      </c>
      <c r="I28" s="245">
        <f>IFS(
AND($H$2=Data!$A$3,$K$2=Data!$A$2),SUMIFS(Proventos!$H:$H,Proventos!$D:$D,"&gt;="&amp;CONCATENATE($I$6,"/",B28),Proventos!$D:$D,"&lt;"&amp;CONCATENATE($J$6,"/",B28),Proventos!$J:$J,"="&amp;$H$2),
AND($H$2=Data!$A$4,$K$2=Data!$A$2),SUMIFS(Proventos!$H:$H,Proventos!$D:$D,"&gt;="&amp;CONCATENATE($I$6,"/",B28),Proventos!$D:$D,"&lt;"&amp;CONCATENATE($J$6,"/",B28),Proventos!$J:$J,"="&amp;$H$2),
AND($H$2=Data!$A$5,$K$2=Data!$A$2),SUMIFS(Proventos!$H:$H,Proventos!$D:$D,"&gt;="&amp;CONCATENATE($I$6,"/",B28),Proventos!$D:$D,"&lt;"&amp;CONCATENATE($J$6,"/",B28),Proventos!$J:$J,"="&amp;$H$2),
AND($H$2=Data!$A$6,$K$2=Data!$A$2),SUMIFS(Proventos!$H:$H,Proventos!$D:$D,"&gt;="&amp;CONCATENATE($I$6,"/",B28),Proventos!$D:$D,"&lt;"&amp;CONCATENATE($J$6,"/",B28),Proventos!$J:$J,"="&amp;$H$2),
AND($H$2=Data!$A$7,$K$2=Data!$A$2),SUMIFS(Proventos!$H:$H,Proventos!$D:$D,"&gt;="&amp;CONCATENATE($I$6,"/",B28),Proventos!$D:$D,"&lt;"&amp;CONCATENATE($J$6,"/",B28),Proventos!$J:$J,"="&amp;$H$2),
AND($H$2=Data!$A$8,$K$2=Data!$A$2),SUMIFS(Proventos!$H:$H,Proventos!$D:$D,"&gt;="&amp;CONCATENATE($I$6,"/",B28),Proventos!$D:$D,"&lt;"&amp;CONCATENATE($J$6,"/",B28),Proventos!$J:$J,"="&amp;$H$2),
AND($H$2=Data!$A$9,$K$2=Data!$A$2),SUMIFS(Proventos!$H:$H,Proventos!$D:$D,"&gt;="&amp;CONCATENATE($I$6,"/",B28),Proventos!$D:$D,"&lt;"&amp;CONCATENATE($J$6,"/",B28),Proventos!$J:$J,"="&amp;$H$2),
AND($H$2=Data!$A$10,$K$2=Data!$A$2),SUMIFS(Proventos!$H:$H,Proventos!$D:$D,"&gt;="&amp;CONCATENATE($I$6,"/",B28),Proventos!$D:$D,"&lt;"&amp;CONCATENATE($J$6,"/",B28),Proventos!$J:$J,"="&amp;$H$2),
AND($H$2=Data!$A$11,$K$2=Data!$A$2),SUMIFS(Proventos!$H:$H,Proventos!$D:$D,"&gt;="&amp;CONCATENATE($I$6,"/",B28),Proventos!$D:$D,"&lt;"&amp;CONCATENATE($J$6,"/",B28),Proventos!$J:$J,"="&amp;$H$2),
$K$2=Data!$A$2,SUMIFS(Proventos!$H:$H,Proventos!$D:$D,"&gt;="&amp;CONCATENATE($I$6,"/",B28),Proventos!$D:$D,"&lt;"&amp;CONCATENATE($J$6,"/",B28)),
$K$2&lt;&gt;Data!$A$2,SUMIFS(Proventos!$H:$H,Proventos!$D:$D,"&gt;="&amp;CONCATENATE($I$6,"/",B28),Proventos!$D:$D,"&lt;"&amp;CONCATENATE($J$6,"/",B28),Proventos!$A:$A,"="&amp;$K$2))</f>
        <v>0</v>
      </c>
      <c r="J28" s="245">
        <f>IFS(
AND($H$2=Data!$A$3,$K$2=Data!$A$2),SUMIFS(Proventos!$H:$H,Proventos!$D:$D,"&gt;="&amp;CONCATENATE($J$6,"/",B28),Proventos!$D:$D,"&lt;"&amp;CONCATENATE($K$6,"/",B28),Proventos!$J:$J,"="&amp;$H$2),
AND($H$2=Data!$A$4,$K$2=Data!$A$2),SUMIFS(Proventos!$H:$H,Proventos!$D:$D,"&gt;="&amp;CONCATENATE($J$6,"/",B28),Proventos!$D:$D,"&lt;"&amp;CONCATENATE($K$6,"/",B28),Proventos!$J:$J,"="&amp;$H$2),
AND($H$2=Data!$A$5,$K$2=Data!$A$2),SUMIFS(Proventos!$H:$H,Proventos!$D:$D,"&gt;="&amp;CONCATENATE($J$6,"/",B28),Proventos!$D:$D,"&lt;"&amp;CONCATENATE($K$6,"/",B28),Proventos!$J:$J,"="&amp;$H$2),
AND($H$2=Data!$A$6,$K$2=Data!$A$2),SUMIFS(Proventos!$H:$H,Proventos!$D:$D,"&gt;="&amp;CONCATENATE($J$6,"/",B28),Proventos!$D:$D,"&lt;"&amp;CONCATENATE($K$6,"/",B28),Proventos!$J:$J,"="&amp;$H$2),
AND($H$2=Data!$A$7,$K$2=Data!$A$2),SUMIFS(Proventos!$H:$H,Proventos!$D:$D,"&gt;="&amp;CONCATENATE($J$6,"/",B28),Proventos!$D:$D,"&lt;"&amp;CONCATENATE($K$6,"/",B28),Proventos!$J:$J,"="&amp;$H$2),
AND($H$2=Data!$A$8,$K$2=Data!$A$2),SUMIFS(Proventos!$H:$H,Proventos!$D:$D,"&gt;="&amp;CONCATENATE($J$6,"/",B28),Proventos!$D:$D,"&lt;"&amp;CONCATENATE($K$6,"/",B28),Proventos!$J:$J,"="&amp;$H$2),
AND($H$2=Data!$A$9,$K$2=Data!$A$2),SUMIFS(Proventos!$H:$H,Proventos!$D:$D,"&gt;="&amp;CONCATENATE($J$6,"/",B28),Proventos!$D:$D,"&lt;"&amp;CONCATENATE($K$6,"/",B28),Proventos!$J:$J,"="&amp;$H$2),
AND($H$2=Data!$A$10,$K$2=Data!$A$2),SUMIFS(Proventos!$H:$H,Proventos!$D:$D,"&gt;="&amp;CONCATENATE($J$6,"/",B28),Proventos!$D:$D,"&lt;"&amp;CONCATENATE($K$6,"/",B28),Proventos!$J:$J,"="&amp;$H$2),
AND($H$2=Data!$A$11,$K$2=Data!$A$2),SUMIFS(Proventos!$H:$H,Proventos!$D:$D,"&gt;="&amp;CONCATENATE($J$6,"/",B28),Proventos!$D:$D,"&lt;"&amp;CONCATENATE($K$6,"/",B28),Proventos!$J:$J,"="&amp;$H$2),
$K$2=Data!$A$2,SUMIFS(Proventos!$H:$H,Proventos!$D:$D,"&gt;="&amp;CONCATENATE($J$6,"/",B28),Proventos!$D:$D,"&lt;"&amp;CONCATENATE($K$6,"/",B28)),
$K$2&lt;&gt;Data!$A$2,SUMIFS(Proventos!$H:$H,Proventos!$D:$D,"&gt;="&amp;CONCATENATE($J$6,"/",B28),Proventos!$D:$D,"&lt;"&amp;CONCATENATE($K$6,"/",B28),Proventos!$A:$A,"="&amp;$K$2))</f>
        <v>0</v>
      </c>
      <c r="K28" s="245">
        <f>IFS(
AND($H$2=Data!$A$3,$K$2=Data!$A$2),SUMIFS(Proventos!$H:$H,Proventos!$D:$D,"&gt;="&amp;CONCATENATE($K$6,"/",B28),Proventos!$D:$D,"&lt;"&amp;CONCATENATE($L$6,"/",B28),Proventos!$J:$J,"="&amp;$H$2),
AND($H$2=Data!$A$4,$K$2=Data!$A$2),SUMIFS(Proventos!$H:$H,Proventos!$D:$D,"&gt;="&amp;CONCATENATE($K$6,"/",B28),Proventos!$D:$D,"&lt;"&amp;CONCATENATE($L$6,"/",B28),Proventos!$J:$J,"="&amp;$H$2),
AND($H$2=Data!$A$5,$K$2=Data!$A$2),SUMIFS(Proventos!$H:$H,Proventos!$D:$D,"&gt;="&amp;CONCATENATE($K$6,"/",B28),Proventos!$D:$D,"&lt;"&amp;CONCATENATE($L$6,"/",B28),Proventos!$J:$J,"="&amp;$H$2),
AND($H$2=Data!$A$6,$K$2=Data!$A$2),SUMIFS(Proventos!$H:$H,Proventos!$D:$D,"&gt;="&amp;CONCATENATE($K$6,"/",B28),Proventos!$D:$D,"&lt;"&amp;CONCATENATE($L$6,"/",B28),Proventos!$J:$J,"="&amp;$H$2),
AND($H$2=Data!$A$7,$K$2=Data!$A$2),SUMIFS(Proventos!$H:$H,Proventos!$D:$D,"&gt;="&amp;CONCATENATE($K$6,"/",B28),Proventos!$D:$D,"&lt;"&amp;CONCATENATE($L$6,"/",B28),Proventos!$J:$J,"="&amp;$H$2),
AND($H$2=Data!$A$8,$K$2=Data!$A$2),SUMIFS(Proventos!$H:$H,Proventos!$D:$D,"&gt;="&amp;CONCATENATE($K$6,"/",B28),Proventos!$D:$D,"&lt;"&amp;CONCATENATE($L$6,"/",B28),Proventos!$J:$J,"="&amp;$H$2),
AND($H$2=Data!$A$9,$K$2=Data!$A$2),SUMIFS(Proventos!$H:$H,Proventos!$D:$D,"&gt;="&amp;CONCATENATE($K$6,"/",B28),Proventos!$D:$D,"&lt;"&amp;CONCATENATE($L$6,"/",B28),Proventos!$J:$J,"="&amp;$H$2),
AND($H$2=Data!$A$10,$K$2=Data!$A$2),SUMIFS(Proventos!$H:$H,Proventos!$D:$D,"&gt;="&amp;CONCATENATE($K$6,"/",B28),Proventos!$D:$D,"&lt;"&amp;CONCATENATE($L$6,"/",B28),Proventos!$J:$J,"="&amp;$H$2),
AND($H$2=Data!$A$11,$K$2=Data!$A$2),SUMIFS(Proventos!$H:$H,Proventos!$D:$D,"&gt;="&amp;CONCATENATE($K$6,"/",B28),Proventos!$D:$D,"&lt;"&amp;CONCATENATE($L$6,"/",B28),Proventos!$J:$J,"="&amp;$H$2),
$K$2=Data!$A$2,SUMIFS(Proventos!$H:$H,Proventos!$D:$D,"&gt;="&amp;CONCATENATE($K$6,"/",B28),Proventos!$D:$D,"&lt;"&amp;CONCATENATE($L$6,"/",B28)),
$K$2&lt;&gt;Data!$A$2,SUMIFS(Proventos!$H:$H,Proventos!$D:$D,"&gt;="&amp;CONCATENATE($K$6,"/",B28),Proventos!$D:$D,"&lt;"&amp;CONCATENATE($L$6,"/",B28),Proventos!$A:$A,"="&amp;$K$2))</f>
        <v>0</v>
      </c>
      <c r="L28" s="245">
        <f>IFS(
AND($H$2=Data!$A$3,$K$2=Data!$A$2),SUMIFS(Proventos!$H:$H,Proventos!$D:$D,"&gt;="&amp;CONCATENATE($L$6,"/",B28),Proventos!$D:$D,"&lt;"&amp;CONCATENATE($M$6,"/",B28),Proventos!$J:$J,"="&amp;$H$2),
AND($H$2=Data!$A$4,$K$2=Data!$A$2),SUMIFS(Proventos!$H:$H,Proventos!$D:$D,"&gt;="&amp;CONCATENATE($L$6,"/",B28),Proventos!$D:$D,"&lt;"&amp;CONCATENATE($M$6,"/",B28),Proventos!$J:$J,"="&amp;$H$2),
AND($H$2=Data!$A$5,$K$2=Data!$A$2),SUMIFS(Proventos!$H:$H,Proventos!$D:$D,"&gt;="&amp;CONCATENATE($L$6,"/",B28),Proventos!$D:$D,"&lt;"&amp;CONCATENATE($M$6,"/",B28),Proventos!$J:$J,"="&amp;$H$2),
AND($H$2=Data!$A$6,$K$2=Data!$A$2),SUMIFS(Proventos!$H:$H,Proventos!$D:$D,"&gt;="&amp;CONCATENATE($L$6,"/",B28),Proventos!$D:$D,"&lt;"&amp;CONCATENATE($M$6,"/",B28),Proventos!$J:$J,"="&amp;$H$2),
AND($H$2=Data!$A$7,$K$2=Data!$A$2),SUMIFS(Proventos!$H:$H,Proventos!$D:$D,"&gt;="&amp;CONCATENATE($L$6,"/",B28),Proventos!$D:$D,"&lt;"&amp;CONCATENATE($M$6,"/",B28),Proventos!$J:$J,"="&amp;$H$2),
AND($H$2=Data!$A$8,$K$2=Data!$A$2),SUMIFS(Proventos!$H:$H,Proventos!$D:$D,"&gt;="&amp;CONCATENATE($L$6,"/",B28),Proventos!$D:$D,"&lt;"&amp;CONCATENATE($M$6,"/",B28),Proventos!$J:$J,"="&amp;$H$2),
AND($H$2=Data!$A$9,$K$2=Data!$A$2),SUMIFS(Proventos!$H:$H,Proventos!$D:$D,"&gt;="&amp;CONCATENATE($L$6,"/",B28),Proventos!$D:$D,"&lt;"&amp;CONCATENATE($M$6,"/",B28),Proventos!$J:$J,"="&amp;$H$2),
AND($H$2=Data!$A$10,$K$2=Data!$A$2),SUMIFS(Proventos!$H:$H,Proventos!$D:$D,"&gt;="&amp;CONCATENATE($L$6,"/",B28),Proventos!$D:$D,"&lt;"&amp;CONCATENATE($M$6,"/",B28),Proventos!$J:$J,"="&amp;$H$2),
AND($H$2=Data!$A$11,$K$2=Data!$A$2),SUMIFS(Proventos!$H:$H,Proventos!$D:$D,"&gt;="&amp;CONCATENATE($L$6,"/",B28),Proventos!$D:$D,"&lt;"&amp;CONCATENATE($M$6,"/",B28),Proventos!$J:$J,"="&amp;$H$2),
$K$2=Data!$A$2,SUMIFS(Proventos!$H:$H,Proventos!$D:$D,"&gt;="&amp;CONCATENATE($L$6,"/",B28),Proventos!$D:$D,"&lt;"&amp;CONCATENATE($M$6,"/",B28)),
$K$2&lt;&gt;Data!$A$2,SUMIFS(Proventos!$H:$H,Proventos!$D:$D,"&gt;="&amp;CONCATENATE($L$6,"/",B28),Proventos!$D:$D,"&lt;"&amp;CONCATENATE($M$6,"/",B28),Proventos!$A:$A,"="&amp;$K$2))</f>
        <v>0</v>
      </c>
      <c r="M28" s="245">
        <f>IFS(
AND($H$2=Data!$A$3,$K$2=Data!$A$2),SUMIFS(Proventos!$H:$H,Proventos!$D:$D,"&gt;="&amp;CONCATENATE($M$6,"/",B28),Proventos!$D:$D,"&lt;"&amp;CONCATENATE($N$6,"/",B28),Proventos!$J:$J,"="&amp;$H$2),
AND($H$2=Data!$A$4,$K$2=Data!$A$2),SUMIFS(Proventos!$H:$H,Proventos!$D:$D,"&gt;="&amp;CONCATENATE($M$6,"/",B28),Proventos!$D:$D,"&lt;"&amp;CONCATENATE($N$6,"/",B28),Proventos!$J:$J,"="&amp;$H$2),
AND($H$2=Data!$A$5,$K$2=Data!$A$2),SUMIFS(Proventos!$H:$H,Proventos!$D:$D,"&gt;="&amp;CONCATENATE($M$6,"/",B28),Proventos!$D:$D,"&lt;"&amp;CONCATENATE($N$6,"/",B28),Proventos!$J:$J,"="&amp;$H$2),
AND($H$2=Data!$A$6,$K$2=Data!$A$2),SUMIFS(Proventos!$H:$H,Proventos!$D:$D,"&gt;="&amp;CONCATENATE($M$6,"/",B28),Proventos!$D:$D,"&lt;"&amp;CONCATENATE($N$6,"/",B28),Proventos!$J:$J,"="&amp;$H$2),
AND($H$2=Data!$A$7,$K$2=Data!$A$2),SUMIFS(Proventos!$H:$H,Proventos!$D:$D,"&gt;="&amp;CONCATENATE($M$6,"/",B28),Proventos!$D:$D,"&lt;"&amp;CONCATENATE($N$6,"/",B28),Proventos!$J:$J,"="&amp;$H$2),
AND($H$2=Data!$A$8,$K$2=Data!$A$2),SUMIFS(Proventos!$H:$H,Proventos!$D:$D,"&gt;="&amp;CONCATENATE($M$6,"/",B28),Proventos!$D:$D,"&lt;"&amp;CONCATENATE($N$6,"/",B28),Proventos!$J:$J,"="&amp;$H$2),
AND($H$2=Data!$A$9,$K$2=Data!$A$2),SUMIFS(Proventos!$H:$H,Proventos!$D:$D,"&gt;="&amp;CONCATENATE($M$6,"/",B28),Proventos!$D:$D,"&lt;"&amp;CONCATENATE($N$6,"/",B28),Proventos!$J:$J,"="&amp;$H$2),
AND($H$2=Data!$A$10,$K$2=Data!$A$2),SUMIFS(Proventos!$H:$H,Proventos!$D:$D,"&gt;="&amp;CONCATENATE($M$6,"/",B28),Proventos!$D:$D,"&lt;"&amp;CONCATENATE($N$6,"/",B28),Proventos!$J:$J,"="&amp;$H$2),
AND($H$2=Data!$A$11,$K$2=Data!$A$2),SUMIFS(Proventos!$H:$H,Proventos!$D:$D,"&gt;="&amp;CONCATENATE($M$6,"/",B28),Proventos!$D:$D,"&lt;"&amp;CONCATENATE($N$6,"/",B28),Proventos!$J:$J,"="&amp;$H$2),
$K$2=Data!$A$2,SUMIFS(Proventos!$H:$H,Proventos!$D:$D,"&gt;="&amp;CONCATENATE($M$6,"/",B28),Proventos!$D:$D,"&lt;"&amp;CONCATENATE($N$6,"/",B28)),
$K$2&lt;&gt;Data!$A$2,SUMIFS(Proventos!$H:$H,Proventos!$D:$D,"&gt;="&amp;CONCATENATE($M$6,"/",B28),Proventos!$D:$D,"&lt;"&amp;CONCATENATE($N$6,"/",B28),Proventos!$A:$A,"="&amp;$K$2))</f>
        <v>0</v>
      </c>
      <c r="N28" s="245">
        <f>IFS(
AND($H$2=Data!$A$3,$K$2=Data!$A$2),SUMIFS(Proventos!$H:$H,Proventos!$D:$D,"&gt;="&amp;CONCATENATE($N$6,"/",B28),Proventos!$D:$D,"&lt;"&amp;CONCATENATE($C$6,"/",B29),Proventos!$J:$J,"="&amp;$H$2),
AND($H$2=Data!$A$4,$K$2=Data!$A$2),SUMIFS(Proventos!$H:$H,Proventos!$D:$D,"&gt;="&amp;CONCATENATE($N$6,"/",B28),Proventos!$D:$D,"&lt;"&amp;CONCATENATE($C$6,"/",B29),Proventos!$J:$J,"="&amp;$H$2),
AND($H$2=Data!$A$5,$K$2=Data!$A$2),SUMIFS(Proventos!$H:$H,Proventos!$D:$D,"&gt;="&amp;CONCATENATE($N$6,"/",B28),Proventos!$D:$D,"&lt;"&amp;CONCATENATE($C$6,"/",B29),Proventos!$J:$J,"="&amp;$H$2),
AND($H$2=Data!$A$6,$K$2=Data!$A$2),SUMIFS(Proventos!$H:$H,Proventos!$D:$D,"&gt;="&amp;CONCATENATE($N$6,"/",B28),Proventos!$D:$D,"&lt;"&amp;CONCATENATE($C$6,"/",B29),Proventos!$J:$J,"="&amp;$H$2),
AND($H$2=Data!$A$7,$K$2=Data!$A$2),SUMIFS(Proventos!$H:$H,Proventos!$D:$D,"&gt;="&amp;CONCATENATE($N$6,"/",B28),Proventos!$D:$D,"&lt;"&amp;CONCATENATE($C$6,"/",B29),Proventos!$J:$J,"="&amp;$H$2),
AND($H$2=Data!$A$8,$K$2=Data!$A$2),SUMIFS(Proventos!$H:$H,Proventos!$D:$D,"&gt;="&amp;CONCATENATE($N$6,"/",B28),Proventos!$D:$D,"&lt;"&amp;CONCATENATE($C$6,"/",B29),Proventos!$J:$J,"="&amp;$H$2),
AND($H$2=Data!$A$9,$K$2=Data!$A$2),SUMIFS(Proventos!$H:$H,Proventos!$D:$D,"&gt;="&amp;CONCATENATE($N$6,"/",B28),Proventos!$D:$D,"&lt;"&amp;CONCATENATE($C$6,"/",B29),Proventos!$J:$J,"="&amp;$H$2),
AND($H$2=Data!$A$10,$K$2=Data!$A$2),SUMIFS(Proventos!$H:$H,Proventos!$D:$D,"&gt;="&amp;CONCATENATE($N$6,"/",B28),Proventos!$D:$D,"&lt;"&amp;CONCATENATE($C$6,"/",B29),Proventos!$J:$J,"="&amp;$H$2),
AND($H$2=Data!$A$11,$K$2=Data!$A$2),SUMIFS(Proventos!$H:$H,Proventos!$D:$D,"&gt;="&amp;CONCATENATE($N$6,"/",B28),Proventos!$D:$D,"&lt;"&amp;CONCATENATE($C$6,"/",B29),Proventos!$J:$J,"="&amp;$H$2),
$K$2=Data!$A$2,SUMIFS(Proventos!$H:$H,Proventos!$D:$D,"&gt;="&amp;CONCATENATE($N$6,"/",B28),Proventos!$D:$D,"&lt;"&amp;CONCATENATE($C$6,"/",B29)),
$K$2&lt;&gt;Data!$A$2,SUMIFS(Proventos!$H:$H,Proventos!$D:$D,"&gt;="&amp;CONCATENATE($N$6,"/",B28),Proventos!$D:$D,"&lt;"&amp;CONCATENATE($C$6,"/",B29),Proventos!$A:$A,"="&amp;$K$2))</f>
        <v>0</v>
      </c>
      <c r="O28" s="245"/>
      <c r="P28" s="245">
        <f t="shared" si="1"/>
        <v>0</v>
      </c>
      <c r="Q28" s="245">
        <f t="shared" si="2"/>
        <v>0</v>
      </c>
    </row>
    <row r="29" ht="32.25" customHeight="1">
      <c r="A29" s="230"/>
      <c r="B29" s="244"/>
      <c r="C29" s="245">
        <f>IFS(
AND($H$2=Data!$A$3,$K$2=Data!$A$2),SUMIFS(Proventos!$H:$H,Proventos!$D:$D,"&gt;="&amp;CONCATENATE($C$6,"/",B29),Proventos!$D:$D,"&lt;"&amp;CONCATENATE($D$6,"/",B29),Proventos!$J:$J,"="&amp;$H$2),
AND($H$2=Data!$A$4,$K$2=Data!$A$2),SUMIFS(Proventos!$H:$H,Proventos!$D:$D,"&gt;="&amp;CONCATENATE($C$6,"/",B29),Proventos!$D:$D,"&lt;"&amp;CONCATENATE($D$6,"/",B29),Proventos!$J:$J,"="&amp;$H$2),
AND($H$2=Data!$A$5,$K$2=Data!$A$2),SUMIFS(Proventos!$H:$H,Proventos!$D:$D,"&gt;="&amp;CONCATENATE($C$6,"/",B29),Proventos!$D:$D,"&lt;"&amp;CONCATENATE($D$6,"/",B29),Proventos!$J:$J,"="&amp;$H$2),
AND($H$2=Data!$A$6,$K$2=Data!$A$2),SUMIFS(Proventos!$H:$H,Proventos!$D:$D,"&gt;="&amp;CONCATENATE($C$6,"/",B29),Proventos!$D:$D,"&lt;"&amp;CONCATENATE($D$6,"/",B29),Proventos!$J:$J,"="&amp;$H$2),
AND($H$2=Data!$A$7,$K$2=Data!$A$2),SUMIFS(Proventos!$H:$H,Proventos!$D:$D,"&gt;="&amp;CONCATENATE($C$6,"/",B29),Proventos!$D:$D,"&lt;"&amp;CONCATENATE($D$6,"/",B29),Proventos!$J:$J,"="&amp;$H$2),
AND($H$2=Data!$A$8,$K$2=Data!$A$2),SUMIFS(Proventos!$H:$H,Proventos!$D:$D,"&gt;="&amp;CONCATENATE($C$6,"/",B29),Proventos!$D:$D,"&lt;"&amp;CONCATENATE($D$6,"/",B29),Proventos!$J:$J,"="&amp;$H$2),
AND($H$2=Data!$A$9,$K$2=Data!$A$2),SUMIFS(Proventos!$H:$H,Proventos!$D:$D,"&gt;="&amp;CONCATENATE($C$6,"/",B29),Proventos!$D:$D,"&lt;"&amp;CONCATENATE($D$6,"/",B29),Proventos!$J:$J,"="&amp;$H$2),
AND($H$2=Data!$A$10,$K$2=Data!$A$2),SUMIFS(Proventos!$H:$H,Proventos!$D:$D,"&gt;="&amp;CONCATENATE($C$6,"/",B29),Proventos!$D:$D,"&lt;"&amp;CONCATENATE($D$6,"/",B29),Proventos!$J:$J,"="&amp;$H$2),
AND($H$2=Data!$A$11,$K$2=Data!$A$2),SUMIFS(Proventos!$H:$H,Proventos!$D:$D,"&gt;="&amp;CONCATENATE($C$6,"/",B29),Proventos!$D:$D,"&lt;"&amp;CONCATENATE($D$6,"/",B29),Proventos!$J:$J,"="&amp;$H$2),
$K$2=Data!$A$2,SUMIFS(Proventos!$H:$H,Proventos!$D:$D,"&gt;="&amp;CONCATENATE($C$6,"/",B29),Proventos!$D:$D,"&lt;"&amp;CONCATENATE($D$6,"/",B29)),
$K$2&lt;&gt;Data!$A$2,SUMIFS(Proventos!$H:$H,Proventos!$D:$D,"&gt;="&amp;CONCATENATE($C$6,"/",B29),Proventos!$D:$D,"&lt;"&amp;CONCATENATE($D$6,"/",B29),Proventos!$A:$A,"="&amp;$K$2))</f>
        <v>0</v>
      </c>
      <c r="D29" s="245">
        <f>IFS(
AND($H$2=Data!$A$3,$K$2=Data!$A$2),SUMIFS(Proventos!$H:$H,Proventos!$D:$D,"&gt;="&amp;CONCATENATE($D$6,"/",B29),Proventos!$D:$D,"&lt;"&amp;CONCATENATE($E$6,"/",B29),Proventos!$J:$J,"="&amp;$H$2),
AND($H$2=Data!$A$4,$K$2=Data!$A$2),SUMIFS(Proventos!$H:$H,Proventos!$D:$D,"&gt;="&amp;CONCATENATE($D$6,"/",B29),Proventos!$D:$D,"&lt;"&amp;CONCATENATE($E$6,"/",B29),Proventos!$J:$J,"="&amp;$H$2),
AND($H$2=Data!$A$5,$K$2=Data!$A$2),SUMIFS(Proventos!$H:$H,Proventos!$D:$D,"&gt;="&amp;CONCATENATE($D$6,"/",B29),Proventos!$D:$D,"&lt;"&amp;CONCATENATE($E$6,"/",B29),Proventos!$J:$J,"="&amp;$H$2),
AND($H$2=Data!$A$6,$K$2=Data!$A$2),SUMIFS(Proventos!$H:$H,Proventos!$D:$D,"&gt;="&amp;CONCATENATE($D$6,"/",B29),Proventos!$D:$D,"&lt;"&amp;CONCATENATE($E$6,"/",B29),Proventos!$J:$J,"="&amp;$H$2),
AND($H$2=Data!$A$7,$K$2=Data!$A$2),SUMIFS(Proventos!$H:$H,Proventos!$D:$D,"&gt;="&amp;CONCATENATE($D$6,"/",B29),Proventos!$D:$D,"&lt;"&amp;CONCATENATE($E$6,"/",B29),Proventos!$J:$J,"="&amp;$H$2),
AND($H$2=Data!$A$8,$K$2=Data!$A$2),SUMIFS(Proventos!$H:$H,Proventos!$D:$D,"&gt;="&amp;CONCATENATE($D$6,"/",B29),Proventos!$D:$D,"&lt;"&amp;CONCATENATE($E$6,"/",B29),Proventos!$J:$J,"="&amp;$H$2),
AND($H$2=Data!$A$9,$K$2=Data!$A$2),SUMIFS(Proventos!$H:$H,Proventos!$D:$D,"&gt;="&amp;CONCATENATE($D$6,"/",B29),Proventos!$D:$D,"&lt;"&amp;CONCATENATE($E$6,"/",B29),Proventos!$J:$J,"="&amp;$H$2),
AND($H$2=Data!$A$10,$K$2=Data!$A$2),SUMIFS(Proventos!$H:$H,Proventos!$D:$D,"&gt;="&amp;CONCATENATE($D$6,"/",B29),Proventos!$D:$D,"&lt;"&amp;CONCATENATE($E$6,"/",B29),Proventos!$J:$J,"="&amp;$H$2),
AND($H$2=Data!$A$11,$K$2=Data!$A$2),SUMIFS(Proventos!$H:$H,Proventos!$D:$D,"&gt;="&amp;CONCATENATE($D$6,"/",B29),Proventos!$D:$D,"&lt;"&amp;CONCATENATE($E$6,"/",B29),Proventos!$J:$J,"="&amp;$H$2),
$K$2=Data!$A$2,SUMIFS(Proventos!$H:$H,Proventos!$D:$D,"&gt;="&amp;CONCATENATE($D$6,"/",B29),Proventos!$D:$D,"&lt;"&amp;CONCATENATE($E$6,"/",B29)),
$K$2&lt;&gt;Data!$A$2,SUMIFS(Proventos!$H:$H,Proventos!$D:$D,"&gt;="&amp;CONCATENATE($D$6,"/",B29),Proventos!$D:$D,"&lt;"&amp;CONCATENATE($E$6,"/",B29),Proventos!$A:$A,"="&amp;$K$2))</f>
        <v>0</v>
      </c>
      <c r="E29" s="245">
        <f>IFS(
AND($H$2=Data!$A$3,$K$2=Data!$A$2),SUMIFS(Proventos!$H:$H,Proventos!$D:$D,"&gt;="&amp;CONCATENATE($E$6,"/",B29),Proventos!$D:$D,"&lt;"&amp;CONCATENATE($F$6,"/",B29),Proventos!$J:$J,"="&amp;$H$2),
AND($H$2=Data!$A$4,$K$2=Data!$A$2),SUMIFS(Proventos!$H:$H,Proventos!$D:$D,"&gt;="&amp;CONCATENATE($E$6,"/",B29),Proventos!$D:$D,"&lt;"&amp;CONCATENATE($F$6,"/",B29),Proventos!$J:$J,"="&amp;$H$2),
AND($H$2=Data!$A$5,$K$2=Data!$A$2),SUMIFS(Proventos!$H:$H,Proventos!$D:$D,"&gt;="&amp;CONCATENATE($E$6,"/",B29),Proventos!$D:$D,"&lt;"&amp;CONCATENATE($F$6,"/",B29),Proventos!$J:$J,"="&amp;$H$2),
AND($H$2=Data!$A$6,$K$2=Data!$A$2),SUMIFS(Proventos!$H:$H,Proventos!$D:$D,"&gt;="&amp;CONCATENATE($E$6,"/",B29),Proventos!$D:$D,"&lt;"&amp;CONCATENATE($F$6,"/",B29),Proventos!$J:$J,"="&amp;$H$2),
AND($H$2=Data!$A$7,$K$2=Data!$A$2),SUMIFS(Proventos!$H:$H,Proventos!$D:$D,"&gt;="&amp;CONCATENATE($E$6,"/",B29),Proventos!$D:$D,"&lt;"&amp;CONCATENATE($F$6,"/",B29),Proventos!$J:$J,"="&amp;$H$2),
AND($H$2=Data!$A$8,$K$2=Data!$A$2),SUMIFS(Proventos!$H:$H,Proventos!$D:$D,"&gt;="&amp;CONCATENATE($E$6,"/",B29),Proventos!$D:$D,"&lt;"&amp;CONCATENATE($F$6,"/",B29),Proventos!$J:$J,"="&amp;$H$2),
AND($H$2=Data!$A$9,$K$2=Data!$A$2),SUMIFS(Proventos!$H:$H,Proventos!$D:$D,"&gt;="&amp;CONCATENATE($E$6,"/",B29),Proventos!$D:$D,"&lt;"&amp;CONCATENATE($F$6,"/",B29),Proventos!$J:$J,"="&amp;$H$2),
AND($H$2=Data!$A$10,$K$2=Data!$A$2),SUMIFS(Proventos!$H:$H,Proventos!$D:$D,"&gt;="&amp;CONCATENATE($E$6,"/",B29),Proventos!$D:$D,"&lt;"&amp;CONCATENATE($F$6,"/",B29),Proventos!$J:$J,"="&amp;$H$2),
AND($H$2=Data!$A$11,$K$2=Data!$A$2),SUMIFS(Proventos!$H:$H,Proventos!$D:$D,"&gt;="&amp;CONCATENATE($E$6,"/",B29),Proventos!$D:$D,"&lt;"&amp;CONCATENATE($F$6,"/",B29),Proventos!$J:$J,"="&amp;$H$2),
$K$2=Data!$A$2,SUMIFS(Proventos!$H:$H,Proventos!$D:$D,"&gt;="&amp;CONCATENATE($E$6,"/",B29),Proventos!$D:$D,"&lt;"&amp;CONCATENATE($F$6,"/",B29)),
$K$2&lt;&gt;Data!$A$2,SUMIFS(Proventos!$H:$H,Proventos!$D:$D,"&gt;="&amp;CONCATENATE($E$6,"/",B29),Proventos!$D:$D,"&lt;"&amp;CONCATENATE($F$6,"/",B29),Proventos!$A:$A,"="&amp;$K$2))</f>
        <v>0</v>
      </c>
      <c r="F29" s="245">
        <f>IFS(
AND($H$2=Data!$A$3,$K$2=Data!$A$2),SUMIFS(Proventos!$H:$H,Proventos!$D:$D,"&gt;="&amp;CONCATENATE($F$6,"/",B29),Proventos!$D:$D,"&lt;"&amp;CONCATENATE($G$6,"/",B29),Proventos!$J:$J,"="&amp;$H$2),
AND($H$2=Data!$A$4,$K$2=Data!$A$2),SUMIFS(Proventos!$H:$H,Proventos!$D:$D,"&gt;="&amp;CONCATENATE($F$6,"/",B29),Proventos!$D:$D,"&lt;"&amp;CONCATENATE($G$6,"/",B29),Proventos!$J:$J,"="&amp;$H$2),
AND($H$2=Data!$A$5,$K$2=Data!$A$2),SUMIFS(Proventos!$H:$H,Proventos!$D:$D,"&gt;="&amp;CONCATENATE($F$6,"/",B29),Proventos!$D:$D,"&lt;"&amp;CONCATENATE($G$6,"/",B29),Proventos!$J:$J,"="&amp;$H$2),
AND($H$2=Data!$A$6,$K$2=Data!$A$2),SUMIFS(Proventos!$H:$H,Proventos!$D:$D,"&gt;="&amp;CONCATENATE($F$6,"/",B29),Proventos!$D:$D,"&lt;"&amp;CONCATENATE($G$6,"/",B29),Proventos!$J:$J,"="&amp;$H$2),
AND($H$2=Data!$A$7,$K$2=Data!$A$2),SUMIFS(Proventos!$H:$H,Proventos!$D:$D,"&gt;="&amp;CONCATENATE($F$6,"/",B29),Proventos!$D:$D,"&lt;"&amp;CONCATENATE($G$6,"/",B29),Proventos!$J:$J,"="&amp;$H$2),
AND($H$2=Data!$A$8,$K$2=Data!$A$2),SUMIFS(Proventos!$H:$H,Proventos!$D:$D,"&gt;="&amp;CONCATENATE($F$6,"/",B29),Proventos!$D:$D,"&lt;"&amp;CONCATENATE($G$6,"/",B29),Proventos!$J:$J,"="&amp;$H$2),
AND($H$2=Data!$A$9,$K$2=Data!$A$2),SUMIFS(Proventos!$H:$H,Proventos!$D:$D,"&gt;="&amp;CONCATENATE($F$6,"/",B29),Proventos!$D:$D,"&lt;"&amp;CONCATENATE($G$6,"/",B29),Proventos!$J:$J,"="&amp;$H$2),
AND($H$2=Data!$A$10,$K$2=Data!$A$2),SUMIFS(Proventos!$H:$H,Proventos!$D:$D,"&gt;="&amp;CONCATENATE($F$6,"/",B29),Proventos!$D:$D,"&lt;"&amp;CONCATENATE($G$6,"/",B29),Proventos!$J:$J,"="&amp;$H$2),
AND($H$2=Data!$A$11,$K$2=Data!$A$2),SUMIFS(Proventos!$H:$H,Proventos!$D:$D,"&gt;="&amp;CONCATENATE($F$6,"/",B29),Proventos!$D:$D,"&lt;"&amp;CONCATENATE($G$6,"/",B29),Proventos!$J:$J,"="&amp;$H$2),
$K$2=Data!$A$2,SUMIFS(Proventos!$H:$H,Proventos!$D:$D,"&gt;="&amp;CONCATENATE($F$6,"/",B29),Proventos!$D:$D,"&lt;"&amp;CONCATENATE($G$6,"/",B29)),
$K$2&lt;&gt;Data!$A$2,SUMIFS(Proventos!$H:$H,Proventos!$D:$D,"&gt;="&amp;CONCATENATE($F$6,"/",B29),Proventos!$D:$D,"&lt;"&amp;CONCATENATE($G$6,"/",B29),Proventos!$A:$A,"="&amp;$K$2))</f>
        <v>0</v>
      </c>
      <c r="G29" s="245">
        <f>IFS(
AND($H$2=Data!$A$3,$K$2=Data!$A$2),SUMIFS(Proventos!$H:$H,Proventos!$D:$D,"&gt;="&amp;CONCATENATE($G$6,"/",B29),Proventos!$D:$D,"&lt;"&amp;CONCATENATE($H$6,"/",B29),Proventos!$J:$J,"="&amp;$H$2),
AND($H$2=Data!$A$4,$K$2=Data!$A$2),SUMIFS(Proventos!$H:$H,Proventos!$D:$D,"&gt;="&amp;CONCATENATE($G$6,"/",B29),Proventos!$D:$D,"&lt;"&amp;CONCATENATE($H$6,"/",B29),Proventos!$J:$J,"="&amp;$H$2),
AND($H$2=Data!$A$5,$K$2=Data!$A$2),SUMIFS(Proventos!$H:$H,Proventos!$D:$D,"&gt;="&amp;CONCATENATE($G$6,"/",B29),Proventos!$D:$D,"&lt;"&amp;CONCATENATE($H$6,"/",B29),Proventos!$J:$J,"="&amp;$H$2),
AND($H$2=Data!$A$6,$K$2=Data!$A$2),SUMIFS(Proventos!$H:$H,Proventos!$D:$D,"&gt;="&amp;CONCATENATE($G$6,"/",B29),Proventos!$D:$D,"&lt;"&amp;CONCATENATE($H$6,"/",B29),Proventos!$J:$J,"="&amp;$H$2),
AND($H$2=Data!$A$7,$K$2=Data!$A$2),SUMIFS(Proventos!$H:$H,Proventos!$D:$D,"&gt;="&amp;CONCATENATE($G$6,"/",B29),Proventos!$D:$D,"&lt;"&amp;CONCATENATE($H$6,"/",B29),Proventos!$J:$J,"="&amp;$H$2),
AND($H$2=Data!$A$8,$K$2=Data!$A$2),SUMIFS(Proventos!$H:$H,Proventos!$D:$D,"&gt;="&amp;CONCATENATE($G$6,"/",B29),Proventos!$D:$D,"&lt;"&amp;CONCATENATE($H$6,"/",B29),Proventos!$J:$J,"="&amp;$H$2),
AND($H$2=Data!$A$9,$K$2=Data!$A$2),SUMIFS(Proventos!$H:$H,Proventos!$D:$D,"&gt;="&amp;CONCATENATE($G$6,"/",B29),Proventos!$D:$D,"&lt;"&amp;CONCATENATE($H$6,"/",B29),Proventos!$J:$J,"="&amp;$H$2),
AND($H$2=Data!$A$10,$K$2=Data!$A$2),SUMIFS(Proventos!$H:$H,Proventos!$D:$D,"&gt;="&amp;CONCATENATE($G$6,"/",B29),Proventos!$D:$D,"&lt;"&amp;CONCATENATE($H$6,"/",B29),Proventos!$J:$J,"="&amp;$H$2),
AND($H$2=Data!$A$11,$K$2=Data!$A$2),SUMIFS(Proventos!$H:$H,Proventos!$D:$D,"&gt;="&amp;CONCATENATE($G$6,"/",B29),Proventos!$D:$D,"&lt;"&amp;CONCATENATE($H$6,"/",B29),Proventos!$J:$J,"="&amp;$H$2),
$K$2=Data!$A$2,SUMIFS(Proventos!$H:$H,Proventos!$D:$D,"&gt;="&amp;CONCATENATE($G$6,"/",B29),Proventos!$D:$D,"&lt;"&amp;CONCATENATE($H$6,"/",B29)),
$K$2&lt;&gt;Data!$A$2,SUMIFS(Proventos!$H:$H,Proventos!$D:$D,"&gt;="&amp;CONCATENATE($G$6,"/",B29),Proventos!$D:$D,"&lt;"&amp;CONCATENATE($H$6,"/",B29),Proventos!$A:$A,"="&amp;$K$2))</f>
        <v>0</v>
      </c>
      <c r="H29" s="245">
        <f>IFS(
AND($H$2=Data!$A$3,$K$2=Data!$A$2),SUMIFS(Proventos!$H:$H,Proventos!$D:$D,"&gt;="&amp;CONCATENATE($H$6,"/",B29),Proventos!$D:$D,"&lt;"&amp;CONCATENATE($I$6,"/",B29),Proventos!$J:$J,"="&amp;$H$2),
AND($H$2=Data!$A$4,$K$2=Data!$A$2),SUMIFS(Proventos!$H:$H,Proventos!$D:$D,"&gt;="&amp;CONCATENATE($H$6,"/",B29),Proventos!$D:$D,"&lt;"&amp;CONCATENATE($I$6,"/",B29),Proventos!$J:$J,"="&amp;$H$2),
AND($H$2=Data!$A$5,$K$2=Data!$A$2),SUMIFS(Proventos!$H:$H,Proventos!$D:$D,"&gt;="&amp;CONCATENATE($H$6,"/",B29),Proventos!$D:$D,"&lt;"&amp;CONCATENATE($I$6,"/",B29),Proventos!$J:$J,"="&amp;$H$2),
AND($H$2=Data!$A$6,$K$2=Data!$A$2),SUMIFS(Proventos!$H:$H,Proventos!$D:$D,"&gt;="&amp;CONCATENATE($H$6,"/",B29),Proventos!$D:$D,"&lt;"&amp;CONCATENATE($I$6,"/",B29),Proventos!$J:$J,"="&amp;$H$2),
AND($H$2=Data!$A$7,$K$2=Data!$A$2),SUMIFS(Proventos!$H:$H,Proventos!$D:$D,"&gt;="&amp;CONCATENATE($H$6,"/",B29),Proventos!$D:$D,"&lt;"&amp;CONCATENATE($I$6,"/",B29),Proventos!$J:$J,"="&amp;$H$2),
AND($H$2=Data!$A$8,$K$2=Data!$A$2),SUMIFS(Proventos!$H:$H,Proventos!$D:$D,"&gt;="&amp;CONCATENATE($H$6,"/",B29),Proventos!$D:$D,"&lt;"&amp;CONCATENATE($I$6,"/",B29),Proventos!$J:$J,"="&amp;$H$2),
AND($H$2=Data!$A$9,$K$2=Data!$A$2),SUMIFS(Proventos!$H:$H,Proventos!$D:$D,"&gt;="&amp;CONCATENATE($H$6,"/",B29),Proventos!$D:$D,"&lt;"&amp;CONCATENATE($I$6,"/",B29),Proventos!$J:$J,"="&amp;$H$2),
AND($H$2=Data!$A$10,$K$2=Data!$A$2),SUMIFS(Proventos!$H:$H,Proventos!$D:$D,"&gt;="&amp;CONCATENATE($H$6,"/",B29),Proventos!$D:$D,"&lt;"&amp;CONCATENATE($I$6,"/",B29),Proventos!$J:$J,"="&amp;$H$2),
AND($H$2=Data!$A$11,$K$2=Data!$A$2),SUMIFS(Proventos!$H:$H,Proventos!$D:$D,"&gt;="&amp;CONCATENATE($H$6,"/",B29),Proventos!$D:$D,"&lt;"&amp;CONCATENATE($I$6,"/",B29),Proventos!$J:$J,"="&amp;$H$2),
$K$2=Data!$A$2,SUMIFS(Proventos!$H:$H,Proventos!$D:$D,"&gt;="&amp;CONCATENATE($H$6,"/",B29),Proventos!$D:$D,"&lt;"&amp;CONCATENATE($I$6,"/",B29)),
$K$2&lt;&gt;Data!$A$2,SUMIFS(Proventos!$H:$H,Proventos!$D:$D,"&gt;="&amp;CONCATENATE($H$6,"/",B29),Proventos!$D:$D,"&lt;"&amp;CONCATENATE($I$6,"/",B29),Proventos!$A:$A,"="&amp;$K$2))</f>
        <v>0</v>
      </c>
      <c r="I29" s="245">
        <f>IFS(
AND($H$2=Data!$A$3,$K$2=Data!$A$2),SUMIFS(Proventos!$H:$H,Proventos!$D:$D,"&gt;="&amp;CONCATENATE($I$6,"/",B29),Proventos!$D:$D,"&lt;"&amp;CONCATENATE($J$6,"/",B29),Proventos!$J:$J,"="&amp;$H$2),
AND($H$2=Data!$A$4,$K$2=Data!$A$2),SUMIFS(Proventos!$H:$H,Proventos!$D:$D,"&gt;="&amp;CONCATENATE($I$6,"/",B29),Proventos!$D:$D,"&lt;"&amp;CONCATENATE($J$6,"/",B29),Proventos!$J:$J,"="&amp;$H$2),
AND($H$2=Data!$A$5,$K$2=Data!$A$2),SUMIFS(Proventos!$H:$H,Proventos!$D:$D,"&gt;="&amp;CONCATENATE($I$6,"/",B29),Proventos!$D:$D,"&lt;"&amp;CONCATENATE($J$6,"/",B29),Proventos!$J:$J,"="&amp;$H$2),
AND($H$2=Data!$A$6,$K$2=Data!$A$2),SUMIFS(Proventos!$H:$H,Proventos!$D:$D,"&gt;="&amp;CONCATENATE($I$6,"/",B29),Proventos!$D:$D,"&lt;"&amp;CONCATENATE($J$6,"/",B29),Proventos!$J:$J,"="&amp;$H$2),
AND($H$2=Data!$A$7,$K$2=Data!$A$2),SUMIFS(Proventos!$H:$H,Proventos!$D:$D,"&gt;="&amp;CONCATENATE($I$6,"/",B29),Proventos!$D:$D,"&lt;"&amp;CONCATENATE($J$6,"/",B29),Proventos!$J:$J,"="&amp;$H$2),
AND($H$2=Data!$A$8,$K$2=Data!$A$2),SUMIFS(Proventos!$H:$H,Proventos!$D:$D,"&gt;="&amp;CONCATENATE($I$6,"/",B29),Proventos!$D:$D,"&lt;"&amp;CONCATENATE($J$6,"/",B29),Proventos!$J:$J,"="&amp;$H$2),
AND($H$2=Data!$A$9,$K$2=Data!$A$2),SUMIFS(Proventos!$H:$H,Proventos!$D:$D,"&gt;="&amp;CONCATENATE($I$6,"/",B29),Proventos!$D:$D,"&lt;"&amp;CONCATENATE($J$6,"/",B29),Proventos!$J:$J,"="&amp;$H$2),
AND($H$2=Data!$A$10,$K$2=Data!$A$2),SUMIFS(Proventos!$H:$H,Proventos!$D:$D,"&gt;="&amp;CONCATENATE($I$6,"/",B29),Proventos!$D:$D,"&lt;"&amp;CONCATENATE($J$6,"/",B29),Proventos!$J:$J,"="&amp;$H$2),
AND($H$2=Data!$A$11,$K$2=Data!$A$2),SUMIFS(Proventos!$H:$H,Proventos!$D:$D,"&gt;="&amp;CONCATENATE($I$6,"/",B29),Proventos!$D:$D,"&lt;"&amp;CONCATENATE($J$6,"/",B29),Proventos!$J:$J,"="&amp;$H$2),
$K$2=Data!$A$2,SUMIFS(Proventos!$H:$H,Proventos!$D:$D,"&gt;="&amp;CONCATENATE($I$6,"/",B29),Proventos!$D:$D,"&lt;"&amp;CONCATENATE($J$6,"/",B29)),
$K$2&lt;&gt;Data!$A$2,SUMIFS(Proventos!$H:$H,Proventos!$D:$D,"&gt;="&amp;CONCATENATE($I$6,"/",B29),Proventos!$D:$D,"&lt;"&amp;CONCATENATE($J$6,"/",B29),Proventos!$A:$A,"="&amp;$K$2))</f>
        <v>0</v>
      </c>
      <c r="J29" s="245">
        <f>IFS(
AND($H$2=Data!$A$3,$K$2=Data!$A$2),SUMIFS(Proventos!$H:$H,Proventos!$D:$D,"&gt;="&amp;CONCATENATE($J$6,"/",B29),Proventos!$D:$D,"&lt;"&amp;CONCATENATE($K$6,"/",B29),Proventos!$J:$J,"="&amp;$H$2),
AND($H$2=Data!$A$4,$K$2=Data!$A$2),SUMIFS(Proventos!$H:$H,Proventos!$D:$D,"&gt;="&amp;CONCATENATE($J$6,"/",B29),Proventos!$D:$D,"&lt;"&amp;CONCATENATE($K$6,"/",B29),Proventos!$J:$J,"="&amp;$H$2),
AND($H$2=Data!$A$5,$K$2=Data!$A$2),SUMIFS(Proventos!$H:$H,Proventos!$D:$D,"&gt;="&amp;CONCATENATE($J$6,"/",B29),Proventos!$D:$D,"&lt;"&amp;CONCATENATE($K$6,"/",B29),Proventos!$J:$J,"="&amp;$H$2),
AND($H$2=Data!$A$6,$K$2=Data!$A$2),SUMIFS(Proventos!$H:$H,Proventos!$D:$D,"&gt;="&amp;CONCATENATE($J$6,"/",B29),Proventos!$D:$D,"&lt;"&amp;CONCATENATE($K$6,"/",B29),Proventos!$J:$J,"="&amp;$H$2),
AND($H$2=Data!$A$7,$K$2=Data!$A$2),SUMIFS(Proventos!$H:$H,Proventos!$D:$D,"&gt;="&amp;CONCATENATE($J$6,"/",B29),Proventos!$D:$D,"&lt;"&amp;CONCATENATE($K$6,"/",B29),Proventos!$J:$J,"="&amp;$H$2),
AND($H$2=Data!$A$8,$K$2=Data!$A$2),SUMIFS(Proventos!$H:$H,Proventos!$D:$D,"&gt;="&amp;CONCATENATE($J$6,"/",B29),Proventos!$D:$D,"&lt;"&amp;CONCATENATE($K$6,"/",B29),Proventos!$J:$J,"="&amp;$H$2),
AND($H$2=Data!$A$9,$K$2=Data!$A$2),SUMIFS(Proventos!$H:$H,Proventos!$D:$D,"&gt;="&amp;CONCATENATE($J$6,"/",B29),Proventos!$D:$D,"&lt;"&amp;CONCATENATE($K$6,"/",B29),Proventos!$J:$J,"="&amp;$H$2),
AND($H$2=Data!$A$10,$K$2=Data!$A$2),SUMIFS(Proventos!$H:$H,Proventos!$D:$D,"&gt;="&amp;CONCATENATE($J$6,"/",B29),Proventos!$D:$D,"&lt;"&amp;CONCATENATE($K$6,"/",B29),Proventos!$J:$J,"="&amp;$H$2),
AND($H$2=Data!$A$11,$K$2=Data!$A$2),SUMIFS(Proventos!$H:$H,Proventos!$D:$D,"&gt;="&amp;CONCATENATE($J$6,"/",B29),Proventos!$D:$D,"&lt;"&amp;CONCATENATE($K$6,"/",B29),Proventos!$J:$J,"="&amp;$H$2),
$K$2=Data!$A$2,SUMIFS(Proventos!$H:$H,Proventos!$D:$D,"&gt;="&amp;CONCATENATE($J$6,"/",B29),Proventos!$D:$D,"&lt;"&amp;CONCATENATE($K$6,"/",B29)),
$K$2&lt;&gt;Data!$A$2,SUMIFS(Proventos!$H:$H,Proventos!$D:$D,"&gt;="&amp;CONCATENATE($J$6,"/",B29),Proventos!$D:$D,"&lt;"&amp;CONCATENATE($K$6,"/",B29),Proventos!$A:$A,"="&amp;$K$2))</f>
        <v>0</v>
      </c>
      <c r="K29" s="245">
        <f>IFS(
AND($H$2=Data!$A$3,$K$2=Data!$A$2),SUMIFS(Proventos!$H:$H,Proventos!$D:$D,"&gt;="&amp;CONCATENATE($K$6,"/",B29),Proventos!$D:$D,"&lt;"&amp;CONCATENATE($L$6,"/",B29),Proventos!$J:$J,"="&amp;$H$2),
AND($H$2=Data!$A$4,$K$2=Data!$A$2),SUMIFS(Proventos!$H:$H,Proventos!$D:$D,"&gt;="&amp;CONCATENATE($K$6,"/",B29),Proventos!$D:$D,"&lt;"&amp;CONCATENATE($L$6,"/",B29),Proventos!$J:$J,"="&amp;$H$2),
AND($H$2=Data!$A$5,$K$2=Data!$A$2),SUMIFS(Proventos!$H:$H,Proventos!$D:$D,"&gt;="&amp;CONCATENATE($K$6,"/",B29),Proventos!$D:$D,"&lt;"&amp;CONCATENATE($L$6,"/",B29),Proventos!$J:$J,"="&amp;$H$2),
AND($H$2=Data!$A$6,$K$2=Data!$A$2),SUMIFS(Proventos!$H:$H,Proventos!$D:$D,"&gt;="&amp;CONCATENATE($K$6,"/",B29),Proventos!$D:$D,"&lt;"&amp;CONCATENATE($L$6,"/",B29),Proventos!$J:$J,"="&amp;$H$2),
AND($H$2=Data!$A$7,$K$2=Data!$A$2),SUMIFS(Proventos!$H:$H,Proventos!$D:$D,"&gt;="&amp;CONCATENATE($K$6,"/",B29),Proventos!$D:$D,"&lt;"&amp;CONCATENATE($L$6,"/",B29),Proventos!$J:$J,"="&amp;$H$2),
AND($H$2=Data!$A$8,$K$2=Data!$A$2),SUMIFS(Proventos!$H:$H,Proventos!$D:$D,"&gt;="&amp;CONCATENATE($K$6,"/",B29),Proventos!$D:$D,"&lt;"&amp;CONCATENATE($L$6,"/",B29),Proventos!$J:$J,"="&amp;$H$2),
AND($H$2=Data!$A$9,$K$2=Data!$A$2),SUMIFS(Proventos!$H:$H,Proventos!$D:$D,"&gt;="&amp;CONCATENATE($K$6,"/",B29),Proventos!$D:$D,"&lt;"&amp;CONCATENATE($L$6,"/",B29),Proventos!$J:$J,"="&amp;$H$2),
AND($H$2=Data!$A$10,$K$2=Data!$A$2),SUMIFS(Proventos!$H:$H,Proventos!$D:$D,"&gt;="&amp;CONCATENATE($K$6,"/",B29),Proventos!$D:$D,"&lt;"&amp;CONCATENATE($L$6,"/",B29),Proventos!$J:$J,"="&amp;$H$2),
AND($H$2=Data!$A$11,$K$2=Data!$A$2),SUMIFS(Proventos!$H:$H,Proventos!$D:$D,"&gt;="&amp;CONCATENATE($K$6,"/",B29),Proventos!$D:$D,"&lt;"&amp;CONCATENATE($L$6,"/",B29),Proventos!$J:$J,"="&amp;$H$2),
$K$2=Data!$A$2,SUMIFS(Proventos!$H:$H,Proventos!$D:$D,"&gt;="&amp;CONCATENATE($K$6,"/",B29),Proventos!$D:$D,"&lt;"&amp;CONCATENATE($L$6,"/",B29)),
$K$2&lt;&gt;Data!$A$2,SUMIFS(Proventos!$H:$H,Proventos!$D:$D,"&gt;="&amp;CONCATENATE($K$6,"/",B29),Proventos!$D:$D,"&lt;"&amp;CONCATENATE($L$6,"/",B29),Proventos!$A:$A,"="&amp;$K$2))</f>
        <v>0</v>
      </c>
      <c r="L29" s="245">
        <f>IFS(
AND($H$2=Data!$A$3,$K$2=Data!$A$2),SUMIFS(Proventos!$H:$H,Proventos!$D:$D,"&gt;="&amp;CONCATENATE($L$6,"/",B29),Proventos!$D:$D,"&lt;"&amp;CONCATENATE($M$6,"/",B29),Proventos!$J:$J,"="&amp;$H$2),
AND($H$2=Data!$A$4,$K$2=Data!$A$2),SUMIFS(Proventos!$H:$H,Proventos!$D:$D,"&gt;="&amp;CONCATENATE($L$6,"/",B29),Proventos!$D:$D,"&lt;"&amp;CONCATENATE($M$6,"/",B29),Proventos!$J:$J,"="&amp;$H$2),
AND($H$2=Data!$A$5,$K$2=Data!$A$2),SUMIFS(Proventos!$H:$H,Proventos!$D:$D,"&gt;="&amp;CONCATENATE($L$6,"/",B29),Proventos!$D:$D,"&lt;"&amp;CONCATENATE($M$6,"/",B29),Proventos!$J:$J,"="&amp;$H$2),
AND($H$2=Data!$A$6,$K$2=Data!$A$2),SUMIFS(Proventos!$H:$H,Proventos!$D:$D,"&gt;="&amp;CONCATENATE($L$6,"/",B29),Proventos!$D:$D,"&lt;"&amp;CONCATENATE($M$6,"/",B29),Proventos!$J:$J,"="&amp;$H$2),
AND($H$2=Data!$A$7,$K$2=Data!$A$2),SUMIFS(Proventos!$H:$H,Proventos!$D:$D,"&gt;="&amp;CONCATENATE($L$6,"/",B29),Proventos!$D:$D,"&lt;"&amp;CONCATENATE($M$6,"/",B29),Proventos!$J:$J,"="&amp;$H$2),
AND($H$2=Data!$A$8,$K$2=Data!$A$2),SUMIFS(Proventos!$H:$H,Proventos!$D:$D,"&gt;="&amp;CONCATENATE($L$6,"/",B29),Proventos!$D:$D,"&lt;"&amp;CONCATENATE($M$6,"/",B29),Proventos!$J:$J,"="&amp;$H$2),
AND($H$2=Data!$A$9,$K$2=Data!$A$2),SUMIFS(Proventos!$H:$H,Proventos!$D:$D,"&gt;="&amp;CONCATENATE($L$6,"/",B29),Proventos!$D:$D,"&lt;"&amp;CONCATENATE($M$6,"/",B29),Proventos!$J:$J,"="&amp;$H$2),
AND($H$2=Data!$A$10,$K$2=Data!$A$2),SUMIFS(Proventos!$H:$H,Proventos!$D:$D,"&gt;="&amp;CONCATENATE($L$6,"/",B29),Proventos!$D:$D,"&lt;"&amp;CONCATENATE($M$6,"/",B29),Proventos!$J:$J,"="&amp;$H$2),
AND($H$2=Data!$A$11,$K$2=Data!$A$2),SUMIFS(Proventos!$H:$H,Proventos!$D:$D,"&gt;="&amp;CONCATENATE($L$6,"/",B29),Proventos!$D:$D,"&lt;"&amp;CONCATENATE($M$6,"/",B29),Proventos!$J:$J,"="&amp;$H$2),
$K$2=Data!$A$2,SUMIFS(Proventos!$H:$H,Proventos!$D:$D,"&gt;="&amp;CONCATENATE($L$6,"/",B29),Proventos!$D:$D,"&lt;"&amp;CONCATENATE($M$6,"/",B29)),
$K$2&lt;&gt;Data!$A$2,SUMIFS(Proventos!$H:$H,Proventos!$D:$D,"&gt;="&amp;CONCATENATE($L$6,"/",B29),Proventos!$D:$D,"&lt;"&amp;CONCATENATE($M$6,"/",B29),Proventos!$A:$A,"="&amp;$K$2))</f>
        <v>0</v>
      </c>
      <c r="M29" s="245">
        <f>IFS(
AND($H$2=Data!$A$3,$K$2=Data!$A$2),SUMIFS(Proventos!$H:$H,Proventos!$D:$D,"&gt;="&amp;CONCATENATE($M$6,"/",B29),Proventos!$D:$D,"&lt;"&amp;CONCATENATE($N$6,"/",B29),Proventos!$J:$J,"="&amp;$H$2),
AND($H$2=Data!$A$4,$K$2=Data!$A$2),SUMIFS(Proventos!$H:$H,Proventos!$D:$D,"&gt;="&amp;CONCATENATE($M$6,"/",B29),Proventos!$D:$D,"&lt;"&amp;CONCATENATE($N$6,"/",B29),Proventos!$J:$J,"="&amp;$H$2),
AND($H$2=Data!$A$5,$K$2=Data!$A$2),SUMIFS(Proventos!$H:$H,Proventos!$D:$D,"&gt;="&amp;CONCATENATE($M$6,"/",B29),Proventos!$D:$D,"&lt;"&amp;CONCATENATE($N$6,"/",B29),Proventos!$J:$J,"="&amp;$H$2),
AND($H$2=Data!$A$6,$K$2=Data!$A$2),SUMIFS(Proventos!$H:$H,Proventos!$D:$D,"&gt;="&amp;CONCATENATE($M$6,"/",B29),Proventos!$D:$D,"&lt;"&amp;CONCATENATE($N$6,"/",B29),Proventos!$J:$J,"="&amp;$H$2),
AND($H$2=Data!$A$7,$K$2=Data!$A$2),SUMIFS(Proventos!$H:$H,Proventos!$D:$D,"&gt;="&amp;CONCATENATE($M$6,"/",B29),Proventos!$D:$D,"&lt;"&amp;CONCATENATE($N$6,"/",B29),Proventos!$J:$J,"="&amp;$H$2),
AND($H$2=Data!$A$8,$K$2=Data!$A$2),SUMIFS(Proventos!$H:$H,Proventos!$D:$D,"&gt;="&amp;CONCATENATE($M$6,"/",B29),Proventos!$D:$D,"&lt;"&amp;CONCATENATE($N$6,"/",B29),Proventos!$J:$J,"="&amp;$H$2),
AND($H$2=Data!$A$9,$K$2=Data!$A$2),SUMIFS(Proventos!$H:$H,Proventos!$D:$D,"&gt;="&amp;CONCATENATE($M$6,"/",B29),Proventos!$D:$D,"&lt;"&amp;CONCATENATE($N$6,"/",B29),Proventos!$J:$J,"="&amp;$H$2),
AND($H$2=Data!$A$10,$K$2=Data!$A$2),SUMIFS(Proventos!$H:$H,Proventos!$D:$D,"&gt;="&amp;CONCATENATE($M$6,"/",B29),Proventos!$D:$D,"&lt;"&amp;CONCATENATE($N$6,"/",B29),Proventos!$J:$J,"="&amp;$H$2),
AND($H$2=Data!$A$11,$K$2=Data!$A$2),SUMIFS(Proventos!$H:$H,Proventos!$D:$D,"&gt;="&amp;CONCATENATE($M$6,"/",B29),Proventos!$D:$D,"&lt;"&amp;CONCATENATE($N$6,"/",B29),Proventos!$J:$J,"="&amp;$H$2),
$K$2=Data!$A$2,SUMIFS(Proventos!$H:$H,Proventos!$D:$D,"&gt;="&amp;CONCATENATE($M$6,"/",B29),Proventos!$D:$D,"&lt;"&amp;CONCATENATE($N$6,"/",B29)),
$K$2&lt;&gt;Data!$A$2,SUMIFS(Proventos!$H:$H,Proventos!$D:$D,"&gt;="&amp;CONCATENATE($M$6,"/",B29),Proventos!$D:$D,"&lt;"&amp;CONCATENATE($N$6,"/",B29),Proventos!$A:$A,"="&amp;$K$2))</f>
        <v>0</v>
      </c>
      <c r="N29" s="245">
        <f>IFS(
AND($H$2=Data!$A$3,$K$2=Data!$A$2),SUMIFS(Proventos!$H:$H,Proventos!$D:$D,"&gt;="&amp;CONCATENATE($N$6,"/",B29),Proventos!$D:$D,"&lt;"&amp;CONCATENATE($C$6,"/",B30),Proventos!$J:$J,"="&amp;$H$2),
AND($H$2=Data!$A$4,$K$2=Data!$A$2),SUMIFS(Proventos!$H:$H,Proventos!$D:$D,"&gt;="&amp;CONCATENATE($N$6,"/",B29),Proventos!$D:$D,"&lt;"&amp;CONCATENATE($C$6,"/",B30),Proventos!$J:$J,"="&amp;$H$2),
AND($H$2=Data!$A$5,$K$2=Data!$A$2),SUMIFS(Proventos!$H:$H,Proventos!$D:$D,"&gt;="&amp;CONCATENATE($N$6,"/",B29),Proventos!$D:$D,"&lt;"&amp;CONCATENATE($C$6,"/",B30),Proventos!$J:$J,"="&amp;$H$2),
AND($H$2=Data!$A$6,$K$2=Data!$A$2),SUMIFS(Proventos!$H:$H,Proventos!$D:$D,"&gt;="&amp;CONCATENATE($N$6,"/",B29),Proventos!$D:$D,"&lt;"&amp;CONCATENATE($C$6,"/",B30),Proventos!$J:$J,"="&amp;$H$2),
AND($H$2=Data!$A$7,$K$2=Data!$A$2),SUMIFS(Proventos!$H:$H,Proventos!$D:$D,"&gt;="&amp;CONCATENATE($N$6,"/",B29),Proventos!$D:$D,"&lt;"&amp;CONCATENATE($C$6,"/",B30),Proventos!$J:$J,"="&amp;$H$2),
AND($H$2=Data!$A$8,$K$2=Data!$A$2),SUMIFS(Proventos!$H:$H,Proventos!$D:$D,"&gt;="&amp;CONCATENATE($N$6,"/",B29),Proventos!$D:$D,"&lt;"&amp;CONCATENATE($C$6,"/",B30),Proventos!$J:$J,"="&amp;$H$2),
AND($H$2=Data!$A$9,$K$2=Data!$A$2),SUMIFS(Proventos!$H:$H,Proventos!$D:$D,"&gt;="&amp;CONCATENATE($N$6,"/",B29),Proventos!$D:$D,"&lt;"&amp;CONCATENATE($C$6,"/",B30),Proventos!$J:$J,"="&amp;$H$2),
AND($H$2=Data!$A$10,$K$2=Data!$A$2),SUMIFS(Proventos!$H:$H,Proventos!$D:$D,"&gt;="&amp;CONCATENATE($N$6,"/",B29),Proventos!$D:$D,"&lt;"&amp;CONCATENATE($C$6,"/",B30),Proventos!$J:$J,"="&amp;$H$2),
AND($H$2=Data!$A$11,$K$2=Data!$A$2),SUMIFS(Proventos!$H:$H,Proventos!$D:$D,"&gt;="&amp;CONCATENATE($N$6,"/",B29),Proventos!$D:$D,"&lt;"&amp;CONCATENATE($C$6,"/",B30),Proventos!$J:$J,"="&amp;$H$2),
$K$2=Data!$A$2,SUMIFS(Proventos!$H:$H,Proventos!$D:$D,"&gt;="&amp;CONCATENATE($N$6,"/",B29),Proventos!$D:$D,"&lt;"&amp;CONCATENATE($C$6,"/",B30)),
$K$2&lt;&gt;Data!$A$2,SUMIFS(Proventos!$H:$H,Proventos!$D:$D,"&gt;="&amp;CONCATENATE($N$6,"/",B29),Proventos!$D:$D,"&lt;"&amp;CONCATENATE($C$6,"/",B30),Proventos!$A:$A,"="&amp;$K$2))</f>
        <v>0</v>
      </c>
      <c r="O29" s="245"/>
      <c r="P29" s="245">
        <f t="shared" si="1"/>
        <v>0</v>
      </c>
      <c r="Q29" s="245">
        <f t="shared" si="2"/>
        <v>0</v>
      </c>
    </row>
    <row r="30" ht="32.25" customHeight="1">
      <c r="A30" s="230"/>
      <c r="B30" s="244"/>
      <c r="C30" s="245">
        <f>IFS(
AND($H$2=Data!$A$3,$K$2=Data!$A$2),SUMIFS(Proventos!$H:$H,Proventos!$D:$D,"&gt;="&amp;CONCATENATE($C$6,"/",B30),Proventos!$D:$D,"&lt;"&amp;CONCATENATE($D$6,"/",B30),Proventos!$J:$J,"="&amp;$H$2),
AND($H$2=Data!$A$4,$K$2=Data!$A$2),SUMIFS(Proventos!$H:$H,Proventos!$D:$D,"&gt;="&amp;CONCATENATE($C$6,"/",B30),Proventos!$D:$D,"&lt;"&amp;CONCATENATE($D$6,"/",B30),Proventos!$J:$J,"="&amp;$H$2),
AND($H$2=Data!$A$5,$K$2=Data!$A$2),SUMIFS(Proventos!$H:$H,Proventos!$D:$D,"&gt;="&amp;CONCATENATE($C$6,"/",B30),Proventos!$D:$D,"&lt;"&amp;CONCATENATE($D$6,"/",B30),Proventos!$J:$J,"="&amp;$H$2),
AND($H$2=Data!$A$6,$K$2=Data!$A$2),SUMIFS(Proventos!$H:$H,Proventos!$D:$D,"&gt;="&amp;CONCATENATE($C$6,"/",B30),Proventos!$D:$D,"&lt;"&amp;CONCATENATE($D$6,"/",B30),Proventos!$J:$J,"="&amp;$H$2),
AND($H$2=Data!$A$7,$K$2=Data!$A$2),SUMIFS(Proventos!$H:$H,Proventos!$D:$D,"&gt;="&amp;CONCATENATE($C$6,"/",B30),Proventos!$D:$D,"&lt;"&amp;CONCATENATE($D$6,"/",B30),Proventos!$J:$J,"="&amp;$H$2),
AND($H$2=Data!$A$8,$K$2=Data!$A$2),SUMIFS(Proventos!$H:$H,Proventos!$D:$D,"&gt;="&amp;CONCATENATE($C$6,"/",B30),Proventos!$D:$D,"&lt;"&amp;CONCATENATE($D$6,"/",B30),Proventos!$J:$J,"="&amp;$H$2),
AND($H$2=Data!$A$9,$K$2=Data!$A$2),SUMIFS(Proventos!$H:$H,Proventos!$D:$D,"&gt;="&amp;CONCATENATE($C$6,"/",B30),Proventos!$D:$D,"&lt;"&amp;CONCATENATE($D$6,"/",B30),Proventos!$J:$J,"="&amp;$H$2),
AND($H$2=Data!$A$10,$K$2=Data!$A$2),SUMIFS(Proventos!$H:$H,Proventos!$D:$D,"&gt;="&amp;CONCATENATE($C$6,"/",B30),Proventos!$D:$D,"&lt;"&amp;CONCATENATE($D$6,"/",B30),Proventos!$J:$J,"="&amp;$H$2),
AND($H$2=Data!$A$11,$K$2=Data!$A$2),SUMIFS(Proventos!$H:$H,Proventos!$D:$D,"&gt;="&amp;CONCATENATE($C$6,"/",B30),Proventos!$D:$D,"&lt;"&amp;CONCATENATE($D$6,"/",B30),Proventos!$J:$J,"="&amp;$H$2),
$K$2=Data!$A$2,SUMIFS(Proventos!$H:$H,Proventos!$D:$D,"&gt;="&amp;CONCATENATE($C$6,"/",B30),Proventos!$D:$D,"&lt;"&amp;CONCATENATE($D$6,"/",B30)),
$K$2&lt;&gt;Data!$A$2,SUMIFS(Proventos!$H:$H,Proventos!$D:$D,"&gt;="&amp;CONCATENATE($C$6,"/",B30),Proventos!$D:$D,"&lt;"&amp;CONCATENATE($D$6,"/",B30),Proventos!$A:$A,"="&amp;$K$2))</f>
        <v>0</v>
      </c>
      <c r="D30" s="245">
        <f>IFS(
AND($H$2=Data!$A$3,$K$2=Data!$A$2),SUMIFS(Proventos!$H:$H,Proventos!$D:$D,"&gt;="&amp;CONCATENATE($D$6,"/",B30),Proventos!$D:$D,"&lt;"&amp;CONCATENATE($E$6,"/",B30),Proventos!$J:$J,"="&amp;$H$2),
AND($H$2=Data!$A$4,$K$2=Data!$A$2),SUMIFS(Proventos!$H:$H,Proventos!$D:$D,"&gt;="&amp;CONCATENATE($D$6,"/",B30),Proventos!$D:$D,"&lt;"&amp;CONCATENATE($E$6,"/",B30),Proventos!$J:$J,"="&amp;$H$2),
AND($H$2=Data!$A$5,$K$2=Data!$A$2),SUMIFS(Proventos!$H:$H,Proventos!$D:$D,"&gt;="&amp;CONCATENATE($D$6,"/",B30),Proventos!$D:$D,"&lt;"&amp;CONCATENATE($E$6,"/",B30),Proventos!$J:$J,"="&amp;$H$2),
AND($H$2=Data!$A$6,$K$2=Data!$A$2),SUMIFS(Proventos!$H:$H,Proventos!$D:$D,"&gt;="&amp;CONCATENATE($D$6,"/",B30),Proventos!$D:$D,"&lt;"&amp;CONCATENATE($E$6,"/",B30),Proventos!$J:$J,"="&amp;$H$2),
AND($H$2=Data!$A$7,$K$2=Data!$A$2),SUMIFS(Proventos!$H:$H,Proventos!$D:$D,"&gt;="&amp;CONCATENATE($D$6,"/",B30),Proventos!$D:$D,"&lt;"&amp;CONCATENATE($E$6,"/",B30),Proventos!$J:$J,"="&amp;$H$2),
AND($H$2=Data!$A$8,$K$2=Data!$A$2),SUMIFS(Proventos!$H:$H,Proventos!$D:$D,"&gt;="&amp;CONCATENATE($D$6,"/",B30),Proventos!$D:$D,"&lt;"&amp;CONCATENATE($E$6,"/",B30),Proventos!$J:$J,"="&amp;$H$2),
AND($H$2=Data!$A$9,$K$2=Data!$A$2),SUMIFS(Proventos!$H:$H,Proventos!$D:$D,"&gt;="&amp;CONCATENATE($D$6,"/",B30),Proventos!$D:$D,"&lt;"&amp;CONCATENATE($E$6,"/",B30),Proventos!$J:$J,"="&amp;$H$2),
AND($H$2=Data!$A$10,$K$2=Data!$A$2),SUMIFS(Proventos!$H:$H,Proventos!$D:$D,"&gt;="&amp;CONCATENATE($D$6,"/",B30),Proventos!$D:$D,"&lt;"&amp;CONCATENATE($E$6,"/",B30),Proventos!$J:$J,"="&amp;$H$2),
AND($H$2=Data!$A$11,$K$2=Data!$A$2),SUMIFS(Proventos!$H:$H,Proventos!$D:$D,"&gt;="&amp;CONCATENATE($D$6,"/",B30),Proventos!$D:$D,"&lt;"&amp;CONCATENATE($E$6,"/",B30),Proventos!$J:$J,"="&amp;$H$2),
$K$2=Data!$A$2,SUMIFS(Proventos!$H:$H,Proventos!$D:$D,"&gt;="&amp;CONCATENATE($D$6,"/",B30),Proventos!$D:$D,"&lt;"&amp;CONCATENATE($E$6,"/",B30)),
$K$2&lt;&gt;Data!$A$2,SUMIFS(Proventos!$H:$H,Proventos!$D:$D,"&gt;="&amp;CONCATENATE($D$6,"/",B30),Proventos!$D:$D,"&lt;"&amp;CONCATENATE($E$6,"/",B30),Proventos!$A:$A,"="&amp;$K$2))</f>
        <v>0</v>
      </c>
      <c r="E30" s="245">
        <f>IFS(
AND($H$2=Data!$A$3,$K$2=Data!$A$2),SUMIFS(Proventos!$H:$H,Proventos!$D:$D,"&gt;="&amp;CONCATENATE($E$6,"/",B30),Proventos!$D:$D,"&lt;"&amp;CONCATENATE($F$6,"/",B30),Proventos!$J:$J,"="&amp;$H$2),
AND($H$2=Data!$A$4,$K$2=Data!$A$2),SUMIFS(Proventos!$H:$H,Proventos!$D:$D,"&gt;="&amp;CONCATENATE($E$6,"/",B30),Proventos!$D:$D,"&lt;"&amp;CONCATENATE($F$6,"/",B30),Proventos!$J:$J,"="&amp;$H$2),
AND($H$2=Data!$A$5,$K$2=Data!$A$2),SUMIFS(Proventos!$H:$H,Proventos!$D:$D,"&gt;="&amp;CONCATENATE($E$6,"/",B30),Proventos!$D:$D,"&lt;"&amp;CONCATENATE($F$6,"/",B30),Proventos!$J:$J,"="&amp;$H$2),
AND($H$2=Data!$A$6,$K$2=Data!$A$2),SUMIFS(Proventos!$H:$H,Proventos!$D:$D,"&gt;="&amp;CONCATENATE($E$6,"/",B30),Proventos!$D:$D,"&lt;"&amp;CONCATENATE($F$6,"/",B30),Proventos!$J:$J,"="&amp;$H$2),
AND($H$2=Data!$A$7,$K$2=Data!$A$2),SUMIFS(Proventos!$H:$H,Proventos!$D:$D,"&gt;="&amp;CONCATENATE($E$6,"/",B30),Proventos!$D:$D,"&lt;"&amp;CONCATENATE($F$6,"/",B30),Proventos!$J:$J,"="&amp;$H$2),
AND($H$2=Data!$A$8,$K$2=Data!$A$2),SUMIFS(Proventos!$H:$H,Proventos!$D:$D,"&gt;="&amp;CONCATENATE($E$6,"/",B30),Proventos!$D:$D,"&lt;"&amp;CONCATENATE($F$6,"/",B30),Proventos!$J:$J,"="&amp;$H$2),
AND($H$2=Data!$A$9,$K$2=Data!$A$2),SUMIFS(Proventos!$H:$H,Proventos!$D:$D,"&gt;="&amp;CONCATENATE($E$6,"/",B30),Proventos!$D:$D,"&lt;"&amp;CONCATENATE($F$6,"/",B30),Proventos!$J:$J,"="&amp;$H$2),
AND($H$2=Data!$A$10,$K$2=Data!$A$2),SUMIFS(Proventos!$H:$H,Proventos!$D:$D,"&gt;="&amp;CONCATENATE($E$6,"/",B30),Proventos!$D:$D,"&lt;"&amp;CONCATENATE($F$6,"/",B30),Proventos!$J:$J,"="&amp;$H$2),
AND($H$2=Data!$A$11,$K$2=Data!$A$2),SUMIFS(Proventos!$H:$H,Proventos!$D:$D,"&gt;="&amp;CONCATENATE($E$6,"/",B30),Proventos!$D:$D,"&lt;"&amp;CONCATENATE($F$6,"/",B30),Proventos!$J:$J,"="&amp;$H$2),
$K$2=Data!$A$2,SUMIFS(Proventos!$H:$H,Proventos!$D:$D,"&gt;="&amp;CONCATENATE($E$6,"/",B30),Proventos!$D:$D,"&lt;"&amp;CONCATENATE($F$6,"/",B30)),
$K$2&lt;&gt;Data!$A$2,SUMIFS(Proventos!$H:$H,Proventos!$D:$D,"&gt;="&amp;CONCATENATE($E$6,"/",B30),Proventos!$D:$D,"&lt;"&amp;CONCATENATE($F$6,"/",B30),Proventos!$A:$A,"="&amp;$K$2))</f>
        <v>0</v>
      </c>
      <c r="F30" s="245">
        <f>IFS(
AND($H$2=Data!$A$3,$K$2=Data!$A$2),SUMIFS(Proventos!$H:$H,Proventos!$D:$D,"&gt;="&amp;CONCATENATE($F$6,"/",B30),Proventos!$D:$D,"&lt;"&amp;CONCATENATE($G$6,"/",B30),Proventos!$J:$J,"="&amp;$H$2),
AND($H$2=Data!$A$4,$K$2=Data!$A$2),SUMIFS(Proventos!$H:$H,Proventos!$D:$D,"&gt;="&amp;CONCATENATE($F$6,"/",B30),Proventos!$D:$D,"&lt;"&amp;CONCATENATE($G$6,"/",B30),Proventos!$J:$J,"="&amp;$H$2),
AND($H$2=Data!$A$5,$K$2=Data!$A$2),SUMIFS(Proventos!$H:$H,Proventos!$D:$D,"&gt;="&amp;CONCATENATE($F$6,"/",B30),Proventos!$D:$D,"&lt;"&amp;CONCATENATE($G$6,"/",B30),Proventos!$J:$J,"="&amp;$H$2),
AND($H$2=Data!$A$6,$K$2=Data!$A$2),SUMIFS(Proventos!$H:$H,Proventos!$D:$D,"&gt;="&amp;CONCATENATE($F$6,"/",B30),Proventos!$D:$D,"&lt;"&amp;CONCATENATE($G$6,"/",B30),Proventos!$J:$J,"="&amp;$H$2),
AND($H$2=Data!$A$7,$K$2=Data!$A$2),SUMIFS(Proventos!$H:$H,Proventos!$D:$D,"&gt;="&amp;CONCATENATE($F$6,"/",B30),Proventos!$D:$D,"&lt;"&amp;CONCATENATE($G$6,"/",B30),Proventos!$J:$J,"="&amp;$H$2),
AND($H$2=Data!$A$8,$K$2=Data!$A$2),SUMIFS(Proventos!$H:$H,Proventos!$D:$D,"&gt;="&amp;CONCATENATE($F$6,"/",B30),Proventos!$D:$D,"&lt;"&amp;CONCATENATE($G$6,"/",B30),Proventos!$J:$J,"="&amp;$H$2),
AND($H$2=Data!$A$9,$K$2=Data!$A$2),SUMIFS(Proventos!$H:$H,Proventos!$D:$D,"&gt;="&amp;CONCATENATE($F$6,"/",B30),Proventos!$D:$D,"&lt;"&amp;CONCATENATE($G$6,"/",B30),Proventos!$J:$J,"="&amp;$H$2),
AND($H$2=Data!$A$10,$K$2=Data!$A$2),SUMIFS(Proventos!$H:$H,Proventos!$D:$D,"&gt;="&amp;CONCATENATE($F$6,"/",B30),Proventos!$D:$D,"&lt;"&amp;CONCATENATE($G$6,"/",B30),Proventos!$J:$J,"="&amp;$H$2),
AND($H$2=Data!$A$11,$K$2=Data!$A$2),SUMIFS(Proventos!$H:$H,Proventos!$D:$D,"&gt;="&amp;CONCATENATE($F$6,"/",B30),Proventos!$D:$D,"&lt;"&amp;CONCATENATE($G$6,"/",B30),Proventos!$J:$J,"="&amp;$H$2),
$K$2=Data!$A$2,SUMIFS(Proventos!$H:$H,Proventos!$D:$D,"&gt;="&amp;CONCATENATE($F$6,"/",B30),Proventos!$D:$D,"&lt;"&amp;CONCATENATE($G$6,"/",B30)),
$K$2&lt;&gt;Data!$A$2,SUMIFS(Proventos!$H:$H,Proventos!$D:$D,"&gt;="&amp;CONCATENATE($F$6,"/",B30),Proventos!$D:$D,"&lt;"&amp;CONCATENATE($G$6,"/",B30),Proventos!$A:$A,"="&amp;$K$2))</f>
        <v>0</v>
      </c>
      <c r="G30" s="245">
        <f>IFS(
AND($H$2=Data!$A$3,$K$2=Data!$A$2),SUMIFS(Proventos!$H:$H,Proventos!$D:$D,"&gt;="&amp;CONCATENATE($G$6,"/",B30),Proventos!$D:$D,"&lt;"&amp;CONCATENATE($H$6,"/",B30),Proventos!$J:$J,"="&amp;$H$2),
AND($H$2=Data!$A$4,$K$2=Data!$A$2),SUMIFS(Proventos!$H:$H,Proventos!$D:$D,"&gt;="&amp;CONCATENATE($G$6,"/",B30),Proventos!$D:$D,"&lt;"&amp;CONCATENATE($H$6,"/",B30),Proventos!$J:$J,"="&amp;$H$2),
AND($H$2=Data!$A$5,$K$2=Data!$A$2),SUMIFS(Proventos!$H:$H,Proventos!$D:$D,"&gt;="&amp;CONCATENATE($G$6,"/",B30),Proventos!$D:$D,"&lt;"&amp;CONCATENATE($H$6,"/",B30),Proventos!$J:$J,"="&amp;$H$2),
AND($H$2=Data!$A$6,$K$2=Data!$A$2),SUMIFS(Proventos!$H:$H,Proventos!$D:$D,"&gt;="&amp;CONCATENATE($G$6,"/",B30),Proventos!$D:$D,"&lt;"&amp;CONCATENATE($H$6,"/",B30),Proventos!$J:$J,"="&amp;$H$2),
AND($H$2=Data!$A$7,$K$2=Data!$A$2),SUMIFS(Proventos!$H:$H,Proventos!$D:$D,"&gt;="&amp;CONCATENATE($G$6,"/",B30),Proventos!$D:$D,"&lt;"&amp;CONCATENATE($H$6,"/",B30),Proventos!$J:$J,"="&amp;$H$2),
AND($H$2=Data!$A$8,$K$2=Data!$A$2),SUMIFS(Proventos!$H:$H,Proventos!$D:$D,"&gt;="&amp;CONCATENATE($G$6,"/",B30),Proventos!$D:$D,"&lt;"&amp;CONCATENATE($H$6,"/",B30),Proventos!$J:$J,"="&amp;$H$2),
AND($H$2=Data!$A$9,$K$2=Data!$A$2),SUMIFS(Proventos!$H:$H,Proventos!$D:$D,"&gt;="&amp;CONCATENATE($G$6,"/",B30),Proventos!$D:$D,"&lt;"&amp;CONCATENATE($H$6,"/",B30),Proventos!$J:$J,"="&amp;$H$2),
AND($H$2=Data!$A$10,$K$2=Data!$A$2),SUMIFS(Proventos!$H:$H,Proventos!$D:$D,"&gt;="&amp;CONCATENATE($G$6,"/",B30),Proventos!$D:$D,"&lt;"&amp;CONCATENATE($H$6,"/",B30),Proventos!$J:$J,"="&amp;$H$2),
AND($H$2=Data!$A$11,$K$2=Data!$A$2),SUMIFS(Proventos!$H:$H,Proventos!$D:$D,"&gt;="&amp;CONCATENATE($G$6,"/",B30),Proventos!$D:$D,"&lt;"&amp;CONCATENATE($H$6,"/",B30),Proventos!$J:$J,"="&amp;$H$2),
$K$2=Data!$A$2,SUMIFS(Proventos!$H:$H,Proventos!$D:$D,"&gt;="&amp;CONCATENATE($G$6,"/",B30),Proventos!$D:$D,"&lt;"&amp;CONCATENATE($H$6,"/",B30)),
$K$2&lt;&gt;Data!$A$2,SUMIFS(Proventos!$H:$H,Proventos!$D:$D,"&gt;="&amp;CONCATENATE($G$6,"/",B30),Proventos!$D:$D,"&lt;"&amp;CONCATENATE($H$6,"/",B30),Proventos!$A:$A,"="&amp;$K$2))</f>
        <v>0</v>
      </c>
      <c r="H30" s="245">
        <f>IFS(
AND($H$2=Data!$A$3,$K$2=Data!$A$2),SUMIFS(Proventos!$H:$H,Proventos!$D:$D,"&gt;="&amp;CONCATENATE($H$6,"/",B30),Proventos!$D:$D,"&lt;"&amp;CONCATENATE($I$6,"/",B30),Proventos!$J:$J,"="&amp;$H$2),
AND($H$2=Data!$A$4,$K$2=Data!$A$2),SUMIFS(Proventos!$H:$H,Proventos!$D:$D,"&gt;="&amp;CONCATENATE($H$6,"/",B30),Proventos!$D:$D,"&lt;"&amp;CONCATENATE($I$6,"/",B30),Proventos!$J:$J,"="&amp;$H$2),
AND($H$2=Data!$A$5,$K$2=Data!$A$2),SUMIFS(Proventos!$H:$H,Proventos!$D:$D,"&gt;="&amp;CONCATENATE($H$6,"/",B30),Proventos!$D:$D,"&lt;"&amp;CONCATENATE($I$6,"/",B30),Proventos!$J:$J,"="&amp;$H$2),
AND($H$2=Data!$A$6,$K$2=Data!$A$2),SUMIFS(Proventos!$H:$H,Proventos!$D:$D,"&gt;="&amp;CONCATENATE($H$6,"/",B30),Proventos!$D:$D,"&lt;"&amp;CONCATENATE($I$6,"/",B30),Proventos!$J:$J,"="&amp;$H$2),
AND($H$2=Data!$A$7,$K$2=Data!$A$2),SUMIFS(Proventos!$H:$H,Proventos!$D:$D,"&gt;="&amp;CONCATENATE($H$6,"/",B30),Proventos!$D:$D,"&lt;"&amp;CONCATENATE($I$6,"/",B30),Proventos!$J:$J,"="&amp;$H$2),
AND($H$2=Data!$A$8,$K$2=Data!$A$2),SUMIFS(Proventos!$H:$H,Proventos!$D:$D,"&gt;="&amp;CONCATENATE($H$6,"/",B30),Proventos!$D:$D,"&lt;"&amp;CONCATENATE($I$6,"/",B30),Proventos!$J:$J,"="&amp;$H$2),
AND($H$2=Data!$A$9,$K$2=Data!$A$2),SUMIFS(Proventos!$H:$H,Proventos!$D:$D,"&gt;="&amp;CONCATENATE($H$6,"/",B30),Proventos!$D:$D,"&lt;"&amp;CONCATENATE($I$6,"/",B30),Proventos!$J:$J,"="&amp;$H$2),
AND($H$2=Data!$A$10,$K$2=Data!$A$2),SUMIFS(Proventos!$H:$H,Proventos!$D:$D,"&gt;="&amp;CONCATENATE($H$6,"/",B30),Proventos!$D:$D,"&lt;"&amp;CONCATENATE($I$6,"/",B30),Proventos!$J:$J,"="&amp;$H$2),
AND($H$2=Data!$A$11,$K$2=Data!$A$2),SUMIFS(Proventos!$H:$H,Proventos!$D:$D,"&gt;="&amp;CONCATENATE($H$6,"/",B30),Proventos!$D:$D,"&lt;"&amp;CONCATENATE($I$6,"/",B30),Proventos!$J:$J,"="&amp;$H$2),
$K$2=Data!$A$2,SUMIFS(Proventos!$H:$H,Proventos!$D:$D,"&gt;="&amp;CONCATENATE($H$6,"/",B30),Proventos!$D:$D,"&lt;"&amp;CONCATENATE($I$6,"/",B30)),
$K$2&lt;&gt;Data!$A$2,SUMIFS(Proventos!$H:$H,Proventos!$D:$D,"&gt;="&amp;CONCATENATE($H$6,"/",B30),Proventos!$D:$D,"&lt;"&amp;CONCATENATE($I$6,"/",B30),Proventos!$A:$A,"="&amp;$K$2))</f>
        <v>0</v>
      </c>
      <c r="I30" s="245">
        <f>IFS(
AND($H$2=Data!$A$3,$K$2=Data!$A$2),SUMIFS(Proventos!$H:$H,Proventos!$D:$D,"&gt;="&amp;CONCATENATE($I$6,"/",B30),Proventos!$D:$D,"&lt;"&amp;CONCATENATE($J$6,"/",B30),Proventos!$J:$J,"="&amp;$H$2),
AND($H$2=Data!$A$4,$K$2=Data!$A$2),SUMIFS(Proventos!$H:$H,Proventos!$D:$D,"&gt;="&amp;CONCATENATE($I$6,"/",B30),Proventos!$D:$D,"&lt;"&amp;CONCATENATE($J$6,"/",B30),Proventos!$J:$J,"="&amp;$H$2),
AND($H$2=Data!$A$5,$K$2=Data!$A$2),SUMIFS(Proventos!$H:$H,Proventos!$D:$D,"&gt;="&amp;CONCATENATE($I$6,"/",B30),Proventos!$D:$D,"&lt;"&amp;CONCATENATE($J$6,"/",B30),Proventos!$J:$J,"="&amp;$H$2),
AND($H$2=Data!$A$6,$K$2=Data!$A$2),SUMIFS(Proventos!$H:$H,Proventos!$D:$D,"&gt;="&amp;CONCATENATE($I$6,"/",B30),Proventos!$D:$D,"&lt;"&amp;CONCATENATE($J$6,"/",B30),Proventos!$J:$J,"="&amp;$H$2),
AND($H$2=Data!$A$7,$K$2=Data!$A$2),SUMIFS(Proventos!$H:$H,Proventos!$D:$D,"&gt;="&amp;CONCATENATE($I$6,"/",B30),Proventos!$D:$D,"&lt;"&amp;CONCATENATE($J$6,"/",B30),Proventos!$J:$J,"="&amp;$H$2),
AND($H$2=Data!$A$8,$K$2=Data!$A$2),SUMIFS(Proventos!$H:$H,Proventos!$D:$D,"&gt;="&amp;CONCATENATE($I$6,"/",B30),Proventos!$D:$D,"&lt;"&amp;CONCATENATE($J$6,"/",B30),Proventos!$J:$J,"="&amp;$H$2),
AND($H$2=Data!$A$9,$K$2=Data!$A$2),SUMIFS(Proventos!$H:$H,Proventos!$D:$D,"&gt;="&amp;CONCATENATE($I$6,"/",B30),Proventos!$D:$D,"&lt;"&amp;CONCATENATE($J$6,"/",B30),Proventos!$J:$J,"="&amp;$H$2),
AND($H$2=Data!$A$10,$K$2=Data!$A$2),SUMIFS(Proventos!$H:$H,Proventos!$D:$D,"&gt;="&amp;CONCATENATE($I$6,"/",B30),Proventos!$D:$D,"&lt;"&amp;CONCATENATE($J$6,"/",B30),Proventos!$J:$J,"="&amp;$H$2),
AND($H$2=Data!$A$11,$K$2=Data!$A$2),SUMIFS(Proventos!$H:$H,Proventos!$D:$D,"&gt;="&amp;CONCATENATE($I$6,"/",B30),Proventos!$D:$D,"&lt;"&amp;CONCATENATE($J$6,"/",B30),Proventos!$J:$J,"="&amp;$H$2),
$K$2=Data!$A$2,SUMIFS(Proventos!$H:$H,Proventos!$D:$D,"&gt;="&amp;CONCATENATE($I$6,"/",B30),Proventos!$D:$D,"&lt;"&amp;CONCATENATE($J$6,"/",B30)),
$K$2&lt;&gt;Data!$A$2,SUMIFS(Proventos!$H:$H,Proventos!$D:$D,"&gt;="&amp;CONCATENATE($I$6,"/",B30),Proventos!$D:$D,"&lt;"&amp;CONCATENATE($J$6,"/",B30),Proventos!$A:$A,"="&amp;$K$2))</f>
        <v>0</v>
      </c>
      <c r="J30" s="245">
        <f>IFS(
AND($H$2=Data!$A$3,$K$2=Data!$A$2),SUMIFS(Proventos!$H:$H,Proventos!$D:$D,"&gt;="&amp;CONCATENATE($J$6,"/",B30),Proventos!$D:$D,"&lt;"&amp;CONCATENATE($K$6,"/",B30),Proventos!$J:$J,"="&amp;$H$2),
AND($H$2=Data!$A$4,$K$2=Data!$A$2),SUMIFS(Proventos!$H:$H,Proventos!$D:$D,"&gt;="&amp;CONCATENATE($J$6,"/",B30),Proventos!$D:$D,"&lt;"&amp;CONCATENATE($K$6,"/",B30),Proventos!$J:$J,"="&amp;$H$2),
AND($H$2=Data!$A$5,$K$2=Data!$A$2),SUMIFS(Proventos!$H:$H,Proventos!$D:$D,"&gt;="&amp;CONCATENATE($J$6,"/",B30),Proventos!$D:$D,"&lt;"&amp;CONCATENATE($K$6,"/",B30),Proventos!$J:$J,"="&amp;$H$2),
AND($H$2=Data!$A$6,$K$2=Data!$A$2),SUMIFS(Proventos!$H:$H,Proventos!$D:$D,"&gt;="&amp;CONCATENATE($J$6,"/",B30),Proventos!$D:$D,"&lt;"&amp;CONCATENATE($K$6,"/",B30),Proventos!$J:$J,"="&amp;$H$2),
AND($H$2=Data!$A$7,$K$2=Data!$A$2),SUMIFS(Proventos!$H:$H,Proventos!$D:$D,"&gt;="&amp;CONCATENATE($J$6,"/",B30),Proventos!$D:$D,"&lt;"&amp;CONCATENATE($K$6,"/",B30),Proventos!$J:$J,"="&amp;$H$2),
AND($H$2=Data!$A$8,$K$2=Data!$A$2),SUMIFS(Proventos!$H:$H,Proventos!$D:$D,"&gt;="&amp;CONCATENATE($J$6,"/",B30),Proventos!$D:$D,"&lt;"&amp;CONCATENATE($K$6,"/",B30),Proventos!$J:$J,"="&amp;$H$2),
AND($H$2=Data!$A$9,$K$2=Data!$A$2),SUMIFS(Proventos!$H:$H,Proventos!$D:$D,"&gt;="&amp;CONCATENATE($J$6,"/",B30),Proventos!$D:$D,"&lt;"&amp;CONCATENATE($K$6,"/",B30),Proventos!$J:$J,"="&amp;$H$2),
AND($H$2=Data!$A$10,$K$2=Data!$A$2),SUMIFS(Proventos!$H:$H,Proventos!$D:$D,"&gt;="&amp;CONCATENATE($J$6,"/",B30),Proventos!$D:$D,"&lt;"&amp;CONCATENATE($K$6,"/",B30),Proventos!$J:$J,"="&amp;$H$2),
AND($H$2=Data!$A$11,$K$2=Data!$A$2),SUMIFS(Proventos!$H:$H,Proventos!$D:$D,"&gt;="&amp;CONCATENATE($J$6,"/",B30),Proventos!$D:$D,"&lt;"&amp;CONCATENATE($K$6,"/",B30),Proventos!$J:$J,"="&amp;$H$2),
$K$2=Data!$A$2,SUMIFS(Proventos!$H:$H,Proventos!$D:$D,"&gt;="&amp;CONCATENATE($J$6,"/",B30),Proventos!$D:$D,"&lt;"&amp;CONCATENATE($K$6,"/",B30)),
$K$2&lt;&gt;Data!$A$2,SUMIFS(Proventos!$H:$H,Proventos!$D:$D,"&gt;="&amp;CONCATENATE($J$6,"/",B30),Proventos!$D:$D,"&lt;"&amp;CONCATENATE($K$6,"/",B30),Proventos!$A:$A,"="&amp;$K$2))</f>
        <v>0</v>
      </c>
      <c r="K30" s="245">
        <f>IFS(
AND($H$2=Data!$A$3,$K$2=Data!$A$2),SUMIFS(Proventos!$H:$H,Proventos!$D:$D,"&gt;="&amp;CONCATENATE($K$6,"/",B30),Proventos!$D:$D,"&lt;"&amp;CONCATENATE($L$6,"/",B30),Proventos!$J:$J,"="&amp;$H$2),
AND($H$2=Data!$A$4,$K$2=Data!$A$2),SUMIFS(Proventos!$H:$H,Proventos!$D:$D,"&gt;="&amp;CONCATENATE($K$6,"/",B30),Proventos!$D:$D,"&lt;"&amp;CONCATENATE($L$6,"/",B30),Proventos!$J:$J,"="&amp;$H$2),
AND($H$2=Data!$A$5,$K$2=Data!$A$2),SUMIFS(Proventos!$H:$H,Proventos!$D:$D,"&gt;="&amp;CONCATENATE($K$6,"/",B30),Proventos!$D:$D,"&lt;"&amp;CONCATENATE($L$6,"/",B30),Proventos!$J:$J,"="&amp;$H$2),
AND($H$2=Data!$A$6,$K$2=Data!$A$2),SUMIFS(Proventos!$H:$H,Proventos!$D:$D,"&gt;="&amp;CONCATENATE($K$6,"/",B30),Proventos!$D:$D,"&lt;"&amp;CONCATENATE($L$6,"/",B30),Proventos!$J:$J,"="&amp;$H$2),
AND($H$2=Data!$A$7,$K$2=Data!$A$2),SUMIFS(Proventos!$H:$H,Proventos!$D:$D,"&gt;="&amp;CONCATENATE($K$6,"/",B30),Proventos!$D:$D,"&lt;"&amp;CONCATENATE($L$6,"/",B30),Proventos!$J:$J,"="&amp;$H$2),
AND($H$2=Data!$A$8,$K$2=Data!$A$2),SUMIFS(Proventos!$H:$H,Proventos!$D:$D,"&gt;="&amp;CONCATENATE($K$6,"/",B30),Proventos!$D:$D,"&lt;"&amp;CONCATENATE($L$6,"/",B30),Proventos!$J:$J,"="&amp;$H$2),
AND($H$2=Data!$A$9,$K$2=Data!$A$2),SUMIFS(Proventos!$H:$H,Proventos!$D:$D,"&gt;="&amp;CONCATENATE($K$6,"/",B30),Proventos!$D:$D,"&lt;"&amp;CONCATENATE($L$6,"/",B30),Proventos!$J:$J,"="&amp;$H$2),
AND($H$2=Data!$A$10,$K$2=Data!$A$2),SUMIFS(Proventos!$H:$H,Proventos!$D:$D,"&gt;="&amp;CONCATENATE($K$6,"/",B30),Proventos!$D:$D,"&lt;"&amp;CONCATENATE($L$6,"/",B30),Proventos!$J:$J,"="&amp;$H$2),
AND($H$2=Data!$A$11,$K$2=Data!$A$2),SUMIFS(Proventos!$H:$H,Proventos!$D:$D,"&gt;="&amp;CONCATENATE($K$6,"/",B30),Proventos!$D:$D,"&lt;"&amp;CONCATENATE($L$6,"/",B30),Proventos!$J:$J,"="&amp;$H$2),
$K$2=Data!$A$2,SUMIFS(Proventos!$H:$H,Proventos!$D:$D,"&gt;="&amp;CONCATENATE($K$6,"/",B30),Proventos!$D:$D,"&lt;"&amp;CONCATENATE($L$6,"/",B30)),
$K$2&lt;&gt;Data!$A$2,SUMIFS(Proventos!$H:$H,Proventos!$D:$D,"&gt;="&amp;CONCATENATE($K$6,"/",B30),Proventos!$D:$D,"&lt;"&amp;CONCATENATE($L$6,"/",B30),Proventos!$A:$A,"="&amp;$K$2))</f>
        <v>0</v>
      </c>
      <c r="L30" s="245">
        <f>IFS(
AND($H$2=Data!$A$3,$K$2=Data!$A$2),SUMIFS(Proventos!$H:$H,Proventos!$D:$D,"&gt;="&amp;CONCATENATE($L$6,"/",B30),Proventos!$D:$D,"&lt;"&amp;CONCATENATE($M$6,"/",B30),Proventos!$J:$J,"="&amp;$H$2),
AND($H$2=Data!$A$4,$K$2=Data!$A$2),SUMIFS(Proventos!$H:$H,Proventos!$D:$D,"&gt;="&amp;CONCATENATE($L$6,"/",B30),Proventos!$D:$D,"&lt;"&amp;CONCATENATE($M$6,"/",B30),Proventos!$J:$J,"="&amp;$H$2),
AND($H$2=Data!$A$5,$K$2=Data!$A$2),SUMIFS(Proventos!$H:$H,Proventos!$D:$D,"&gt;="&amp;CONCATENATE($L$6,"/",B30),Proventos!$D:$D,"&lt;"&amp;CONCATENATE($M$6,"/",B30),Proventos!$J:$J,"="&amp;$H$2),
AND($H$2=Data!$A$6,$K$2=Data!$A$2),SUMIFS(Proventos!$H:$H,Proventos!$D:$D,"&gt;="&amp;CONCATENATE($L$6,"/",B30),Proventos!$D:$D,"&lt;"&amp;CONCATENATE($M$6,"/",B30),Proventos!$J:$J,"="&amp;$H$2),
AND($H$2=Data!$A$7,$K$2=Data!$A$2),SUMIFS(Proventos!$H:$H,Proventos!$D:$D,"&gt;="&amp;CONCATENATE($L$6,"/",B30),Proventos!$D:$D,"&lt;"&amp;CONCATENATE($M$6,"/",B30),Proventos!$J:$J,"="&amp;$H$2),
AND($H$2=Data!$A$8,$K$2=Data!$A$2),SUMIFS(Proventos!$H:$H,Proventos!$D:$D,"&gt;="&amp;CONCATENATE($L$6,"/",B30),Proventos!$D:$D,"&lt;"&amp;CONCATENATE($M$6,"/",B30),Proventos!$J:$J,"="&amp;$H$2),
AND($H$2=Data!$A$9,$K$2=Data!$A$2),SUMIFS(Proventos!$H:$H,Proventos!$D:$D,"&gt;="&amp;CONCATENATE($L$6,"/",B30),Proventos!$D:$D,"&lt;"&amp;CONCATENATE($M$6,"/",B30),Proventos!$J:$J,"="&amp;$H$2),
AND($H$2=Data!$A$10,$K$2=Data!$A$2),SUMIFS(Proventos!$H:$H,Proventos!$D:$D,"&gt;="&amp;CONCATENATE($L$6,"/",B30),Proventos!$D:$D,"&lt;"&amp;CONCATENATE($M$6,"/",B30),Proventos!$J:$J,"="&amp;$H$2),
AND($H$2=Data!$A$11,$K$2=Data!$A$2),SUMIFS(Proventos!$H:$H,Proventos!$D:$D,"&gt;="&amp;CONCATENATE($L$6,"/",B30),Proventos!$D:$D,"&lt;"&amp;CONCATENATE($M$6,"/",B30),Proventos!$J:$J,"="&amp;$H$2),
$K$2=Data!$A$2,SUMIFS(Proventos!$H:$H,Proventos!$D:$D,"&gt;="&amp;CONCATENATE($L$6,"/",B30),Proventos!$D:$D,"&lt;"&amp;CONCATENATE($M$6,"/",B30)),
$K$2&lt;&gt;Data!$A$2,SUMIFS(Proventos!$H:$H,Proventos!$D:$D,"&gt;="&amp;CONCATENATE($L$6,"/",B30),Proventos!$D:$D,"&lt;"&amp;CONCATENATE($M$6,"/",B30),Proventos!$A:$A,"="&amp;$K$2))</f>
        <v>0</v>
      </c>
      <c r="M30" s="245">
        <f>IFS(
AND($H$2=Data!$A$3,$K$2=Data!$A$2),SUMIFS(Proventos!$H:$H,Proventos!$D:$D,"&gt;="&amp;CONCATENATE($M$6,"/",B30),Proventos!$D:$D,"&lt;"&amp;CONCATENATE($N$6,"/",B30),Proventos!$J:$J,"="&amp;$H$2),
AND($H$2=Data!$A$4,$K$2=Data!$A$2),SUMIFS(Proventos!$H:$H,Proventos!$D:$D,"&gt;="&amp;CONCATENATE($M$6,"/",B30),Proventos!$D:$D,"&lt;"&amp;CONCATENATE($N$6,"/",B30),Proventos!$J:$J,"="&amp;$H$2),
AND($H$2=Data!$A$5,$K$2=Data!$A$2),SUMIFS(Proventos!$H:$H,Proventos!$D:$D,"&gt;="&amp;CONCATENATE($M$6,"/",B30),Proventos!$D:$D,"&lt;"&amp;CONCATENATE($N$6,"/",B30),Proventos!$J:$J,"="&amp;$H$2),
AND($H$2=Data!$A$6,$K$2=Data!$A$2),SUMIFS(Proventos!$H:$H,Proventos!$D:$D,"&gt;="&amp;CONCATENATE($M$6,"/",B30),Proventos!$D:$D,"&lt;"&amp;CONCATENATE($N$6,"/",B30),Proventos!$J:$J,"="&amp;$H$2),
AND($H$2=Data!$A$7,$K$2=Data!$A$2),SUMIFS(Proventos!$H:$H,Proventos!$D:$D,"&gt;="&amp;CONCATENATE($M$6,"/",B30),Proventos!$D:$D,"&lt;"&amp;CONCATENATE($N$6,"/",B30),Proventos!$J:$J,"="&amp;$H$2),
AND($H$2=Data!$A$8,$K$2=Data!$A$2),SUMIFS(Proventos!$H:$H,Proventos!$D:$D,"&gt;="&amp;CONCATENATE($M$6,"/",B30),Proventos!$D:$D,"&lt;"&amp;CONCATENATE($N$6,"/",B30),Proventos!$J:$J,"="&amp;$H$2),
AND($H$2=Data!$A$9,$K$2=Data!$A$2),SUMIFS(Proventos!$H:$H,Proventos!$D:$D,"&gt;="&amp;CONCATENATE($M$6,"/",B30),Proventos!$D:$D,"&lt;"&amp;CONCATENATE($N$6,"/",B30),Proventos!$J:$J,"="&amp;$H$2),
AND($H$2=Data!$A$10,$K$2=Data!$A$2),SUMIFS(Proventos!$H:$H,Proventos!$D:$D,"&gt;="&amp;CONCATENATE($M$6,"/",B30),Proventos!$D:$D,"&lt;"&amp;CONCATENATE($N$6,"/",B30),Proventos!$J:$J,"="&amp;$H$2),
AND($H$2=Data!$A$11,$K$2=Data!$A$2),SUMIFS(Proventos!$H:$H,Proventos!$D:$D,"&gt;="&amp;CONCATENATE($M$6,"/",B30),Proventos!$D:$D,"&lt;"&amp;CONCATENATE($N$6,"/",B30),Proventos!$J:$J,"="&amp;$H$2),
$K$2=Data!$A$2,SUMIFS(Proventos!$H:$H,Proventos!$D:$D,"&gt;="&amp;CONCATENATE($M$6,"/",B30),Proventos!$D:$D,"&lt;"&amp;CONCATENATE($N$6,"/",B30)),
$K$2&lt;&gt;Data!$A$2,SUMIFS(Proventos!$H:$H,Proventos!$D:$D,"&gt;="&amp;CONCATENATE($M$6,"/",B30),Proventos!$D:$D,"&lt;"&amp;CONCATENATE($N$6,"/",B30),Proventos!$A:$A,"="&amp;$K$2))</f>
        <v>0</v>
      </c>
      <c r="N30" s="245">
        <f>IFS(
AND($H$2=Data!$A$3,$K$2=Data!$A$2),SUMIFS(Proventos!$H:$H,Proventos!$D:$D,"&gt;="&amp;CONCATENATE($N$6,"/",B30),Proventos!$D:$D,"&lt;"&amp;CONCATENATE($C$6,"/",B31),Proventos!$J:$J,"="&amp;$H$2),
AND($H$2=Data!$A$4,$K$2=Data!$A$2),SUMIFS(Proventos!$H:$H,Proventos!$D:$D,"&gt;="&amp;CONCATENATE($N$6,"/",B30),Proventos!$D:$D,"&lt;"&amp;CONCATENATE($C$6,"/",B31),Proventos!$J:$J,"="&amp;$H$2),
AND($H$2=Data!$A$5,$K$2=Data!$A$2),SUMIFS(Proventos!$H:$H,Proventos!$D:$D,"&gt;="&amp;CONCATENATE($N$6,"/",B30),Proventos!$D:$D,"&lt;"&amp;CONCATENATE($C$6,"/",B31),Proventos!$J:$J,"="&amp;$H$2),
AND($H$2=Data!$A$6,$K$2=Data!$A$2),SUMIFS(Proventos!$H:$H,Proventos!$D:$D,"&gt;="&amp;CONCATENATE($N$6,"/",B30),Proventos!$D:$D,"&lt;"&amp;CONCATENATE($C$6,"/",B31),Proventos!$J:$J,"="&amp;$H$2),
AND($H$2=Data!$A$7,$K$2=Data!$A$2),SUMIFS(Proventos!$H:$H,Proventos!$D:$D,"&gt;="&amp;CONCATENATE($N$6,"/",B30),Proventos!$D:$D,"&lt;"&amp;CONCATENATE($C$6,"/",B31),Proventos!$J:$J,"="&amp;$H$2),
AND($H$2=Data!$A$8,$K$2=Data!$A$2),SUMIFS(Proventos!$H:$H,Proventos!$D:$D,"&gt;="&amp;CONCATENATE($N$6,"/",B30),Proventos!$D:$D,"&lt;"&amp;CONCATENATE($C$6,"/",B31),Proventos!$J:$J,"="&amp;$H$2),
AND($H$2=Data!$A$9,$K$2=Data!$A$2),SUMIFS(Proventos!$H:$H,Proventos!$D:$D,"&gt;="&amp;CONCATENATE($N$6,"/",B30),Proventos!$D:$D,"&lt;"&amp;CONCATENATE($C$6,"/",B31),Proventos!$J:$J,"="&amp;$H$2),
AND($H$2=Data!$A$10,$K$2=Data!$A$2),SUMIFS(Proventos!$H:$H,Proventos!$D:$D,"&gt;="&amp;CONCATENATE($N$6,"/",B30),Proventos!$D:$D,"&lt;"&amp;CONCATENATE($C$6,"/",B31),Proventos!$J:$J,"="&amp;$H$2),
AND($H$2=Data!$A$11,$K$2=Data!$A$2),SUMIFS(Proventos!$H:$H,Proventos!$D:$D,"&gt;="&amp;CONCATENATE($N$6,"/",B30),Proventos!$D:$D,"&lt;"&amp;CONCATENATE($C$6,"/",B31),Proventos!$J:$J,"="&amp;$H$2),
$K$2=Data!$A$2,SUMIFS(Proventos!$H:$H,Proventos!$D:$D,"&gt;="&amp;CONCATENATE($N$6,"/",B30),Proventos!$D:$D,"&lt;"&amp;CONCATENATE($C$6,"/",B31)),
$K$2&lt;&gt;Data!$A$2,SUMIFS(Proventos!$H:$H,Proventos!$D:$D,"&gt;="&amp;CONCATENATE($N$6,"/",B30),Proventos!$D:$D,"&lt;"&amp;CONCATENATE($C$6,"/",B31),Proventos!$A:$A,"="&amp;$K$2))</f>
        <v>0</v>
      </c>
      <c r="O30" s="245"/>
      <c r="P30" s="245">
        <f t="shared" si="1"/>
        <v>0</v>
      </c>
      <c r="Q30" s="245">
        <f t="shared" si="2"/>
        <v>0</v>
      </c>
    </row>
    <row r="31" ht="32.25" customHeight="1">
      <c r="A31" s="230"/>
      <c r="B31" s="244"/>
      <c r="C31" s="245">
        <f>IFS(
AND($H$2=Data!$A$3,$K$2=Data!$A$2),SUMIFS(Proventos!$H:$H,Proventos!$D:$D,"&gt;="&amp;CONCATENATE($C$6,"/",B31),Proventos!$D:$D,"&lt;"&amp;CONCATENATE($D$6,"/",B31),Proventos!$J:$J,"="&amp;$H$2),
AND($H$2=Data!$A$4,$K$2=Data!$A$2),SUMIFS(Proventos!$H:$H,Proventos!$D:$D,"&gt;="&amp;CONCATENATE($C$6,"/",B31),Proventos!$D:$D,"&lt;"&amp;CONCATENATE($D$6,"/",B31),Proventos!$J:$J,"="&amp;$H$2),
AND($H$2=Data!$A$5,$K$2=Data!$A$2),SUMIFS(Proventos!$H:$H,Proventos!$D:$D,"&gt;="&amp;CONCATENATE($C$6,"/",B31),Proventos!$D:$D,"&lt;"&amp;CONCATENATE($D$6,"/",B31),Proventos!$J:$J,"="&amp;$H$2),
AND($H$2=Data!$A$6,$K$2=Data!$A$2),SUMIFS(Proventos!$H:$H,Proventos!$D:$D,"&gt;="&amp;CONCATENATE($C$6,"/",B31),Proventos!$D:$D,"&lt;"&amp;CONCATENATE($D$6,"/",B31),Proventos!$J:$J,"="&amp;$H$2),
AND($H$2=Data!$A$7,$K$2=Data!$A$2),SUMIFS(Proventos!$H:$H,Proventos!$D:$D,"&gt;="&amp;CONCATENATE($C$6,"/",B31),Proventos!$D:$D,"&lt;"&amp;CONCATENATE($D$6,"/",B31),Proventos!$J:$J,"="&amp;$H$2),
AND($H$2=Data!$A$8,$K$2=Data!$A$2),SUMIFS(Proventos!$H:$H,Proventos!$D:$D,"&gt;="&amp;CONCATENATE($C$6,"/",B31),Proventos!$D:$D,"&lt;"&amp;CONCATENATE($D$6,"/",B31),Proventos!$J:$J,"="&amp;$H$2),
AND($H$2=Data!$A$9,$K$2=Data!$A$2),SUMIFS(Proventos!$H:$H,Proventos!$D:$D,"&gt;="&amp;CONCATENATE($C$6,"/",B31),Proventos!$D:$D,"&lt;"&amp;CONCATENATE($D$6,"/",B31),Proventos!$J:$J,"="&amp;$H$2),
AND($H$2=Data!$A$10,$K$2=Data!$A$2),SUMIFS(Proventos!$H:$H,Proventos!$D:$D,"&gt;="&amp;CONCATENATE($C$6,"/",B31),Proventos!$D:$D,"&lt;"&amp;CONCATENATE($D$6,"/",B31),Proventos!$J:$J,"="&amp;$H$2),
AND($H$2=Data!$A$11,$K$2=Data!$A$2),SUMIFS(Proventos!$H:$H,Proventos!$D:$D,"&gt;="&amp;CONCATENATE($C$6,"/",B31),Proventos!$D:$D,"&lt;"&amp;CONCATENATE($D$6,"/",B31),Proventos!$J:$J,"="&amp;$H$2),
$K$2=Data!$A$2,SUMIFS(Proventos!$H:$H,Proventos!$D:$D,"&gt;="&amp;CONCATENATE($C$6,"/",B31),Proventos!$D:$D,"&lt;"&amp;CONCATENATE($D$6,"/",B31)),
$K$2&lt;&gt;Data!$A$2,SUMIFS(Proventos!$H:$H,Proventos!$D:$D,"&gt;="&amp;CONCATENATE($C$6,"/",B31),Proventos!$D:$D,"&lt;"&amp;CONCATENATE($D$6,"/",B31),Proventos!$A:$A,"="&amp;$K$2))</f>
        <v>0</v>
      </c>
      <c r="D31" s="245">
        <f>IFS(
AND($H$2=Data!$A$3,$K$2=Data!$A$2),SUMIFS(Proventos!$H:$H,Proventos!$D:$D,"&gt;="&amp;CONCATENATE($D$6,"/",B31),Proventos!$D:$D,"&lt;"&amp;CONCATENATE($E$6,"/",B31),Proventos!$J:$J,"="&amp;$H$2),
AND($H$2=Data!$A$4,$K$2=Data!$A$2),SUMIFS(Proventos!$H:$H,Proventos!$D:$D,"&gt;="&amp;CONCATENATE($D$6,"/",B31),Proventos!$D:$D,"&lt;"&amp;CONCATENATE($E$6,"/",B31),Proventos!$J:$J,"="&amp;$H$2),
AND($H$2=Data!$A$5,$K$2=Data!$A$2),SUMIFS(Proventos!$H:$H,Proventos!$D:$D,"&gt;="&amp;CONCATENATE($D$6,"/",B31),Proventos!$D:$D,"&lt;"&amp;CONCATENATE($E$6,"/",B31),Proventos!$J:$J,"="&amp;$H$2),
AND($H$2=Data!$A$6,$K$2=Data!$A$2),SUMIFS(Proventos!$H:$H,Proventos!$D:$D,"&gt;="&amp;CONCATENATE($D$6,"/",B31),Proventos!$D:$D,"&lt;"&amp;CONCATENATE($E$6,"/",B31),Proventos!$J:$J,"="&amp;$H$2),
AND($H$2=Data!$A$7,$K$2=Data!$A$2),SUMIFS(Proventos!$H:$H,Proventos!$D:$D,"&gt;="&amp;CONCATENATE($D$6,"/",B31),Proventos!$D:$D,"&lt;"&amp;CONCATENATE($E$6,"/",B31),Proventos!$J:$J,"="&amp;$H$2),
AND($H$2=Data!$A$8,$K$2=Data!$A$2),SUMIFS(Proventos!$H:$H,Proventos!$D:$D,"&gt;="&amp;CONCATENATE($D$6,"/",B31),Proventos!$D:$D,"&lt;"&amp;CONCATENATE($E$6,"/",B31),Proventos!$J:$J,"="&amp;$H$2),
AND($H$2=Data!$A$9,$K$2=Data!$A$2),SUMIFS(Proventos!$H:$H,Proventos!$D:$D,"&gt;="&amp;CONCATENATE($D$6,"/",B31),Proventos!$D:$D,"&lt;"&amp;CONCATENATE($E$6,"/",B31),Proventos!$J:$J,"="&amp;$H$2),
AND($H$2=Data!$A$10,$K$2=Data!$A$2),SUMIFS(Proventos!$H:$H,Proventos!$D:$D,"&gt;="&amp;CONCATENATE($D$6,"/",B31),Proventos!$D:$D,"&lt;"&amp;CONCATENATE($E$6,"/",B31),Proventos!$J:$J,"="&amp;$H$2),
AND($H$2=Data!$A$11,$K$2=Data!$A$2),SUMIFS(Proventos!$H:$H,Proventos!$D:$D,"&gt;="&amp;CONCATENATE($D$6,"/",B31),Proventos!$D:$D,"&lt;"&amp;CONCATENATE($E$6,"/",B31),Proventos!$J:$J,"="&amp;$H$2),
$K$2=Data!$A$2,SUMIFS(Proventos!$H:$H,Proventos!$D:$D,"&gt;="&amp;CONCATENATE($D$6,"/",B31),Proventos!$D:$D,"&lt;"&amp;CONCATENATE($E$6,"/",B31)),
$K$2&lt;&gt;Data!$A$2,SUMIFS(Proventos!$H:$H,Proventos!$D:$D,"&gt;="&amp;CONCATENATE($D$6,"/",B31),Proventos!$D:$D,"&lt;"&amp;CONCATENATE($E$6,"/",B31),Proventos!$A:$A,"="&amp;$K$2))</f>
        <v>0</v>
      </c>
      <c r="E31" s="245">
        <f>IFS(
AND($H$2=Data!$A$3,$K$2=Data!$A$2),SUMIFS(Proventos!$H:$H,Proventos!$D:$D,"&gt;="&amp;CONCATENATE($E$6,"/",B31),Proventos!$D:$D,"&lt;"&amp;CONCATENATE($F$6,"/",B31),Proventos!$J:$J,"="&amp;$H$2),
AND($H$2=Data!$A$4,$K$2=Data!$A$2),SUMIFS(Proventos!$H:$H,Proventos!$D:$D,"&gt;="&amp;CONCATENATE($E$6,"/",B31),Proventos!$D:$D,"&lt;"&amp;CONCATENATE($F$6,"/",B31),Proventos!$J:$J,"="&amp;$H$2),
AND($H$2=Data!$A$5,$K$2=Data!$A$2),SUMIFS(Proventos!$H:$H,Proventos!$D:$D,"&gt;="&amp;CONCATENATE($E$6,"/",B31),Proventos!$D:$D,"&lt;"&amp;CONCATENATE($F$6,"/",B31),Proventos!$J:$J,"="&amp;$H$2),
AND($H$2=Data!$A$6,$K$2=Data!$A$2),SUMIFS(Proventos!$H:$H,Proventos!$D:$D,"&gt;="&amp;CONCATENATE($E$6,"/",B31),Proventos!$D:$D,"&lt;"&amp;CONCATENATE($F$6,"/",B31),Proventos!$J:$J,"="&amp;$H$2),
AND($H$2=Data!$A$7,$K$2=Data!$A$2),SUMIFS(Proventos!$H:$H,Proventos!$D:$D,"&gt;="&amp;CONCATENATE($E$6,"/",B31),Proventos!$D:$D,"&lt;"&amp;CONCATENATE($F$6,"/",B31),Proventos!$J:$J,"="&amp;$H$2),
AND($H$2=Data!$A$8,$K$2=Data!$A$2),SUMIFS(Proventos!$H:$H,Proventos!$D:$D,"&gt;="&amp;CONCATENATE($E$6,"/",B31),Proventos!$D:$D,"&lt;"&amp;CONCATENATE($F$6,"/",B31),Proventos!$J:$J,"="&amp;$H$2),
AND($H$2=Data!$A$9,$K$2=Data!$A$2),SUMIFS(Proventos!$H:$H,Proventos!$D:$D,"&gt;="&amp;CONCATENATE($E$6,"/",B31),Proventos!$D:$D,"&lt;"&amp;CONCATENATE($F$6,"/",B31),Proventos!$J:$J,"="&amp;$H$2),
AND($H$2=Data!$A$10,$K$2=Data!$A$2),SUMIFS(Proventos!$H:$H,Proventos!$D:$D,"&gt;="&amp;CONCATENATE($E$6,"/",B31),Proventos!$D:$D,"&lt;"&amp;CONCATENATE($F$6,"/",B31),Proventos!$J:$J,"="&amp;$H$2),
AND($H$2=Data!$A$11,$K$2=Data!$A$2),SUMIFS(Proventos!$H:$H,Proventos!$D:$D,"&gt;="&amp;CONCATENATE($E$6,"/",B31),Proventos!$D:$D,"&lt;"&amp;CONCATENATE($F$6,"/",B31),Proventos!$J:$J,"="&amp;$H$2),
$K$2=Data!$A$2,SUMIFS(Proventos!$H:$H,Proventos!$D:$D,"&gt;="&amp;CONCATENATE($E$6,"/",B31),Proventos!$D:$D,"&lt;"&amp;CONCATENATE($F$6,"/",B31)),
$K$2&lt;&gt;Data!$A$2,SUMIFS(Proventos!$H:$H,Proventos!$D:$D,"&gt;="&amp;CONCATENATE($E$6,"/",B31),Proventos!$D:$D,"&lt;"&amp;CONCATENATE($F$6,"/",B31),Proventos!$A:$A,"="&amp;$K$2))</f>
        <v>0</v>
      </c>
      <c r="F31" s="245">
        <f>IFS(
AND($H$2=Data!$A$3,$K$2=Data!$A$2),SUMIFS(Proventos!$H:$H,Proventos!$D:$D,"&gt;="&amp;CONCATENATE($F$6,"/",B31),Proventos!$D:$D,"&lt;"&amp;CONCATENATE($G$6,"/",B31),Proventos!$J:$J,"="&amp;$H$2),
AND($H$2=Data!$A$4,$K$2=Data!$A$2),SUMIFS(Proventos!$H:$H,Proventos!$D:$D,"&gt;="&amp;CONCATENATE($F$6,"/",B31),Proventos!$D:$D,"&lt;"&amp;CONCATENATE($G$6,"/",B31),Proventos!$J:$J,"="&amp;$H$2),
AND($H$2=Data!$A$5,$K$2=Data!$A$2),SUMIFS(Proventos!$H:$H,Proventos!$D:$D,"&gt;="&amp;CONCATENATE($F$6,"/",B31),Proventos!$D:$D,"&lt;"&amp;CONCATENATE($G$6,"/",B31),Proventos!$J:$J,"="&amp;$H$2),
AND($H$2=Data!$A$6,$K$2=Data!$A$2),SUMIFS(Proventos!$H:$H,Proventos!$D:$D,"&gt;="&amp;CONCATENATE($F$6,"/",B31),Proventos!$D:$D,"&lt;"&amp;CONCATENATE($G$6,"/",B31),Proventos!$J:$J,"="&amp;$H$2),
AND($H$2=Data!$A$7,$K$2=Data!$A$2),SUMIFS(Proventos!$H:$H,Proventos!$D:$D,"&gt;="&amp;CONCATENATE($F$6,"/",B31),Proventos!$D:$D,"&lt;"&amp;CONCATENATE($G$6,"/",B31),Proventos!$J:$J,"="&amp;$H$2),
AND($H$2=Data!$A$8,$K$2=Data!$A$2),SUMIFS(Proventos!$H:$H,Proventos!$D:$D,"&gt;="&amp;CONCATENATE($F$6,"/",B31),Proventos!$D:$D,"&lt;"&amp;CONCATENATE($G$6,"/",B31),Proventos!$J:$J,"="&amp;$H$2),
AND($H$2=Data!$A$9,$K$2=Data!$A$2),SUMIFS(Proventos!$H:$H,Proventos!$D:$D,"&gt;="&amp;CONCATENATE($F$6,"/",B31),Proventos!$D:$D,"&lt;"&amp;CONCATENATE($G$6,"/",B31),Proventos!$J:$J,"="&amp;$H$2),
AND($H$2=Data!$A$10,$K$2=Data!$A$2),SUMIFS(Proventos!$H:$H,Proventos!$D:$D,"&gt;="&amp;CONCATENATE($F$6,"/",B31),Proventos!$D:$D,"&lt;"&amp;CONCATENATE($G$6,"/",B31),Proventos!$J:$J,"="&amp;$H$2),
AND($H$2=Data!$A$11,$K$2=Data!$A$2),SUMIFS(Proventos!$H:$H,Proventos!$D:$D,"&gt;="&amp;CONCATENATE($F$6,"/",B31),Proventos!$D:$D,"&lt;"&amp;CONCATENATE($G$6,"/",B31),Proventos!$J:$J,"="&amp;$H$2),
$K$2=Data!$A$2,SUMIFS(Proventos!$H:$H,Proventos!$D:$D,"&gt;="&amp;CONCATENATE($F$6,"/",B31),Proventos!$D:$D,"&lt;"&amp;CONCATENATE($G$6,"/",B31)),
$K$2&lt;&gt;Data!$A$2,SUMIFS(Proventos!$H:$H,Proventos!$D:$D,"&gt;="&amp;CONCATENATE($F$6,"/",B31),Proventos!$D:$D,"&lt;"&amp;CONCATENATE($G$6,"/",B31),Proventos!$A:$A,"="&amp;$K$2))</f>
        <v>0</v>
      </c>
      <c r="G31" s="245">
        <f>IFS(
AND($H$2=Data!$A$3,$K$2=Data!$A$2),SUMIFS(Proventos!$H:$H,Proventos!$D:$D,"&gt;="&amp;CONCATENATE($G$6,"/",B31),Proventos!$D:$D,"&lt;"&amp;CONCATENATE($H$6,"/",B31),Proventos!$J:$J,"="&amp;$H$2),
AND($H$2=Data!$A$4,$K$2=Data!$A$2),SUMIFS(Proventos!$H:$H,Proventos!$D:$D,"&gt;="&amp;CONCATENATE($G$6,"/",B31),Proventos!$D:$D,"&lt;"&amp;CONCATENATE($H$6,"/",B31),Proventos!$J:$J,"="&amp;$H$2),
AND($H$2=Data!$A$5,$K$2=Data!$A$2),SUMIFS(Proventos!$H:$H,Proventos!$D:$D,"&gt;="&amp;CONCATENATE($G$6,"/",B31),Proventos!$D:$D,"&lt;"&amp;CONCATENATE($H$6,"/",B31),Proventos!$J:$J,"="&amp;$H$2),
AND($H$2=Data!$A$6,$K$2=Data!$A$2),SUMIFS(Proventos!$H:$H,Proventos!$D:$D,"&gt;="&amp;CONCATENATE($G$6,"/",B31),Proventos!$D:$D,"&lt;"&amp;CONCATENATE($H$6,"/",B31),Proventos!$J:$J,"="&amp;$H$2),
AND($H$2=Data!$A$7,$K$2=Data!$A$2),SUMIFS(Proventos!$H:$H,Proventos!$D:$D,"&gt;="&amp;CONCATENATE($G$6,"/",B31),Proventos!$D:$D,"&lt;"&amp;CONCATENATE($H$6,"/",B31),Proventos!$J:$J,"="&amp;$H$2),
AND($H$2=Data!$A$8,$K$2=Data!$A$2),SUMIFS(Proventos!$H:$H,Proventos!$D:$D,"&gt;="&amp;CONCATENATE($G$6,"/",B31),Proventos!$D:$D,"&lt;"&amp;CONCATENATE($H$6,"/",B31),Proventos!$J:$J,"="&amp;$H$2),
AND($H$2=Data!$A$9,$K$2=Data!$A$2),SUMIFS(Proventos!$H:$H,Proventos!$D:$D,"&gt;="&amp;CONCATENATE($G$6,"/",B31),Proventos!$D:$D,"&lt;"&amp;CONCATENATE($H$6,"/",B31),Proventos!$J:$J,"="&amp;$H$2),
AND($H$2=Data!$A$10,$K$2=Data!$A$2),SUMIFS(Proventos!$H:$H,Proventos!$D:$D,"&gt;="&amp;CONCATENATE($G$6,"/",B31),Proventos!$D:$D,"&lt;"&amp;CONCATENATE($H$6,"/",B31),Proventos!$J:$J,"="&amp;$H$2),
AND($H$2=Data!$A$11,$K$2=Data!$A$2),SUMIFS(Proventos!$H:$H,Proventos!$D:$D,"&gt;="&amp;CONCATENATE($G$6,"/",B31),Proventos!$D:$D,"&lt;"&amp;CONCATENATE($H$6,"/",B31),Proventos!$J:$J,"="&amp;$H$2),
$K$2=Data!$A$2,SUMIFS(Proventos!$H:$H,Proventos!$D:$D,"&gt;="&amp;CONCATENATE($G$6,"/",B31),Proventos!$D:$D,"&lt;"&amp;CONCATENATE($H$6,"/",B31)),
$K$2&lt;&gt;Data!$A$2,SUMIFS(Proventos!$H:$H,Proventos!$D:$D,"&gt;="&amp;CONCATENATE($G$6,"/",B31),Proventos!$D:$D,"&lt;"&amp;CONCATENATE($H$6,"/",B31),Proventos!$A:$A,"="&amp;$K$2))</f>
        <v>0</v>
      </c>
      <c r="H31" s="245">
        <f>IFS(
AND($H$2=Data!$A$3,$K$2=Data!$A$2),SUMIFS(Proventos!$H:$H,Proventos!$D:$D,"&gt;="&amp;CONCATENATE($H$6,"/",B31),Proventos!$D:$D,"&lt;"&amp;CONCATENATE($I$6,"/",B31),Proventos!$J:$J,"="&amp;$H$2),
AND($H$2=Data!$A$4,$K$2=Data!$A$2),SUMIFS(Proventos!$H:$H,Proventos!$D:$D,"&gt;="&amp;CONCATENATE($H$6,"/",B31),Proventos!$D:$D,"&lt;"&amp;CONCATENATE($I$6,"/",B31),Proventos!$J:$J,"="&amp;$H$2),
AND($H$2=Data!$A$5,$K$2=Data!$A$2),SUMIFS(Proventos!$H:$H,Proventos!$D:$D,"&gt;="&amp;CONCATENATE($H$6,"/",B31),Proventos!$D:$D,"&lt;"&amp;CONCATENATE($I$6,"/",B31),Proventos!$J:$J,"="&amp;$H$2),
AND($H$2=Data!$A$6,$K$2=Data!$A$2),SUMIFS(Proventos!$H:$H,Proventos!$D:$D,"&gt;="&amp;CONCATENATE($H$6,"/",B31),Proventos!$D:$D,"&lt;"&amp;CONCATENATE($I$6,"/",B31),Proventos!$J:$J,"="&amp;$H$2),
AND($H$2=Data!$A$7,$K$2=Data!$A$2),SUMIFS(Proventos!$H:$H,Proventos!$D:$D,"&gt;="&amp;CONCATENATE($H$6,"/",B31),Proventos!$D:$D,"&lt;"&amp;CONCATENATE($I$6,"/",B31),Proventos!$J:$J,"="&amp;$H$2),
AND($H$2=Data!$A$8,$K$2=Data!$A$2),SUMIFS(Proventos!$H:$H,Proventos!$D:$D,"&gt;="&amp;CONCATENATE($H$6,"/",B31),Proventos!$D:$D,"&lt;"&amp;CONCATENATE($I$6,"/",B31),Proventos!$J:$J,"="&amp;$H$2),
AND($H$2=Data!$A$9,$K$2=Data!$A$2),SUMIFS(Proventos!$H:$H,Proventos!$D:$D,"&gt;="&amp;CONCATENATE($H$6,"/",B31),Proventos!$D:$D,"&lt;"&amp;CONCATENATE($I$6,"/",B31),Proventos!$J:$J,"="&amp;$H$2),
AND($H$2=Data!$A$10,$K$2=Data!$A$2),SUMIFS(Proventos!$H:$H,Proventos!$D:$D,"&gt;="&amp;CONCATENATE($H$6,"/",B31),Proventos!$D:$D,"&lt;"&amp;CONCATENATE($I$6,"/",B31),Proventos!$J:$J,"="&amp;$H$2),
AND($H$2=Data!$A$11,$K$2=Data!$A$2),SUMIFS(Proventos!$H:$H,Proventos!$D:$D,"&gt;="&amp;CONCATENATE($H$6,"/",B31),Proventos!$D:$D,"&lt;"&amp;CONCATENATE($I$6,"/",B31),Proventos!$J:$J,"="&amp;$H$2),
$K$2=Data!$A$2,SUMIFS(Proventos!$H:$H,Proventos!$D:$D,"&gt;="&amp;CONCATENATE($H$6,"/",B31),Proventos!$D:$D,"&lt;"&amp;CONCATENATE($I$6,"/",B31)),
$K$2&lt;&gt;Data!$A$2,SUMIFS(Proventos!$H:$H,Proventos!$D:$D,"&gt;="&amp;CONCATENATE($H$6,"/",B31),Proventos!$D:$D,"&lt;"&amp;CONCATENATE($I$6,"/",B31),Proventos!$A:$A,"="&amp;$K$2))</f>
        <v>0</v>
      </c>
      <c r="I31" s="245">
        <f>IFS(
AND($H$2=Data!$A$3,$K$2=Data!$A$2),SUMIFS(Proventos!$H:$H,Proventos!$D:$D,"&gt;="&amp;CONCATENATE($I$6,"/",B31),Proventos!$D:$D,"&lt;"&amp;CONCATENATE($J$6,"/",B31),Proventos!$J:$J,"="&amp;$H$2),
AND($H$2=Data!$A$4,$K$2=Data!$A$2),SUMIFS(Proventos!$H:$H,Proventos!$D:$D,"&gt;="&amp;CONCATENATE($I$6,"/",B31),Proventos!$D:$D,"&lt;"&amp;CONCATENATE($J$6,"/",B31),Proventos!$J:$J,"="&amp;$H$2),
AND($H$2=Data!$A$5,$K$2=Data!$A$2),SUMIFS(Proventos!$H:$H,Proventos!$D:$D,"&gt;="&amp;CONCATENATE($I$6,"/",B31),Proventos!$D:$D,"&lt;"&amp;CONCATENATE($J$6,"/",B31),Proventos!$J:$J,"="&amp;$H$2),
AND($H$2=Data!$A$6,$K$2=Data!$A$2),SUMIFS(Proventos!$H:$H,Proventos!$D:$D,"&gt;="&amp;CONCATENATE($I$6,"/",B31),Proventos!$D:$D,"&lt;"&amp;CONCATENATE($J$6,"/",B31),Proventos!$J:$J,"="&amp;$H$2),
AND($H$2=Data!$A$7,$K$2=Data!$A$2),SUMIFS(Proventos!$H:$H,Proventos!$D:$D,"&gt;="&amp;CONCATENATE($I$6,"/",B31),Proventos!$D:$D,"&lt;"&amp;CONCATENATE($J$6,"/",B31),Proventos!$J:$J,"="&amp;$H$2),
AND($H$2=Data!$A$8,$K$2=Data!$A$2),SUMIFS(Proventos!$H:$H,Proventos!$D:$D,"&gt;="&amp;CONCATENATE($I$6,"/",B31),Proventos!$D:$D,"&lt;"&amp;CONCATENATE($J$6,"/",B31),Proventos!$J:$J,"="&amp;$H$2),
AND($H$2=Data!$A$9,$K$2=Data!$A$2),SUMIFS(Proventos!$H:$H,Proventos!$D:$D,"&gt;="&amp;CONCATENATE($I$6,"/",B31),Proventos!$D:$D,"&lt;"&amp;CONCATENATE($J$6,"/",B31),Proventos!$J:$J,"="&amp;$H$2),
AND($H$2=Data!$A$10,$K$2=Data!$A$2),SUMIFS(Proventos!$H:$H,Proventos!$D:$D,"&gt;="&amp;CONCATENATE($I$6,"/",B31),Proventos!$D:$D,"&lt;"&amp;CONCATENATE($J$6,"/",B31),Proventos!$J:$J,"="&amp;$H$2),
AND($H$2=Data!$A$11,$K$2=Data!$A$2),SUMIFS(Proventos!$H:$H,Proventos!$D:$D,"&gt;="&amp;CONCATENATE($I$6,"/",B31),Proventos!$D:$D,"&lt;"&amp;CONCATENATE($J$6,"/",B31),Proventos!$J:$J,"="&amp;$H$2),
$K$2=Data!$A$2,SUMIFS(Proventos!$H:$H,Proventos!$D:$D,"&gt;="&amp;CONCATENATE($I$6,"/",B31),Proventos!$D:$D,"&lt;"&amp;CONCATENATE($J$6,"/",B31)),
$K$2&lt;&gt;Data!$A$2,SUMIFS(Proventos!$H:$H,Proventos!$D:$D,"&gt;="&amp;CONCATENATE($I$6,"/",B31),Proventos!$D:$D,"&lt;"&amp;CONCATENATE($J$6,"/",B31),Proventos!$A:$A,"="&amp;$K$2))</f>
        <v>0</v>
      </c>
      <c r="J31" s="245">
        <f>IFS(
AND($H$2=Data!$A$3,$K$2=Data!$A$2),SUMIFS(Proventos!$H:$H,Proventos!$D:$D,"&gt;="&amp;CONCATENATE($J$6,"/",B31),Proventos!$D:$D,"&lt;"&amp;CONCATENATE($K$6,"/",B31),Proventos!$J:$J,"="&amp;$H$2),
AND($H$2=Data!$A$4,$K$2=Data!$A$2),SUMIFS(Proventos!$H:$H,Proventos!$D:$D,"&gt;="&amp;CONCATENATE($J$6,"/",B31),Proventos!$D:$D,"&lt;"&amp;CONCATENATE($K$6,"/",B31),Proventos!$J:$J,"="&amp;$H$2),
AND($H$2=Data!$A$5,$K$2=Data!$A$2),SUMIFS(Proventos!$H:$H,Proventos!$D:$D,"&gt;="&amp;CONCATENATE($J$6,"/",B31),Proventos!$D:$D,"&lt;"&amp;CONCATENATE($K$6,"/",B31),Proventos!$J:$J,"="&amp;$H$2),
AND($H$2=Data!$A$6,$K$2=Data!$A$2),SUMIFS(Proventos!$H:$H,Proventos!$D:$D,"&gt;="&amp;CONCATENATE($J$6,"/",B31),Proventos!$D:$D,"&lt;"&amp;CONCATENATE($K$6,"/",B31),Proventos!$J:$J,"="&amp;$H$2),
AND($H$2=Data!$A$7,$K$2=Data!$A$2),SUMIFS(Proventos!$H:$H,Proventos!$D:$D,"&gt;="&amp;CONCATENATE($J$6,"/",B31),Proventos!$D:$D,"&lt;"&amp;CONCATENATE($K$6,"/",B31),Proventos!$J:$J,"="&amp;$H$2),
AND($H$2=Data!$A$8,$K$2=Data!$A$2),SUMIFS(Proventos!$H:$H,Proventos!$D:$D,"&gt;="&amp;CONCATENATE($J$6,"/",B31),Proventos!$D:$D,"&lt;"&amp;CONCATENATE($K$6,"/",B31),Proventos!$J:$J,"="&amp;$H$2),
AND($H$2=Data!$A$9,$K$2=Data!$A$2),SUMIFS(Proventos!$H:$H,Proventos!$D:$D,"&gt;="&amp;CONCATENATE($J$6,"/",B31),Proventos!$D:$D,"&lt;"&amp;CONCATENATE($K$6,"/",B31),Proventos!$J:$J,"="&amp;$H$2),
AND($H$2=Data!$A$10,$K$2=Data!$A$2),SUMIFS(Proventos!$H:$H,Proventos!$D:$D,"&gt;="&amp;CONCATENATE($J$6,"/",B31),Proventos!$D:$D,"&lt;"&amp;CONCATENATE($K$6,"/",B31),Proventos!$J:$J,"="&amp;$H$2),
AND($H$2=Data!$A$11,$K$2=Data!$A$2),SUMIFS(Proventos!$H:$H,Proventos!$D:$D,"&gt;="&amp;CONCATENATE($J$6,"/",B31),Proventos!$D:$D,"&lt;"&amp;CONCATENATE($K$6,"/",B31),Proventos!$J:$J,"="&amp;$H$2),
$K$2=Data!$A$2,SUMIFS(Proventos!$H:$H,Proventos!$D:$D,"&gt;="&amp;CONCATENATE($J$6,"/",B31),Proventos!$D:$D,"&lt;"&amp;CONCATENATE($K$6,"/",B31)),
$K$2&lt;&gt;Data!$A$2,SUMIFS(Proventos!$H:$H,Proventos!$D:$D,"&gt;="&amp;CONCATENATE($J$6,"/",B31),Proventos!$D:$D,"&lt;"&amp;CONCATENATE($K$6,"/",B31),Proventos!$A:$A,"="&amp;$K$2))</f>
        <v>0</v>
      </c>
      <c r="K31" s="245">
        <f>IFS(
AND($H$2=Data!$A$3,$K$2=Data!$A$2),SUMIFS(Proventos!$H:$H,Proventos!$D:$D,"&gt;="&amp;CONCATENATE($K$6,"/",B31),Proventos!$D:$D,"&lt;"&amp;CONCATENATE($L$6,"/",B31),Proventos!$J:$J,"="&amp;$H$2),
AND($H$2=Data!$A$4,$K$2=Data!$A$2),SUMIFS(Proventos!$H:$H,Proventos!$D:$D,"&gt;="&amp;CONCATENATE($K$6,"/",B31),Proventos!$D:$D,"&lt;"&amp;CONCATENATE($L$6,"/",B31),Proventos!$J:$J,"="&amp;$H$2),
AND($H$2=Data!$A$5,$K$2=Data!$A$2),SUMIFS(Proventos!$H:$H,Proventos!$D:$D,"&gt;="&amp;CONCATENATE($K$6,"/",B31),Proventos!$D:$D,"&lt;"&amp;CONCATENATE($L$6,"/",B31),Proventos!$J:$J,"="&amp;$H$2),
AND($H$2=Data!$A$6,$K$2=Data!$A$2),SUMIFS(Proventos!$H:$H,Proventos!$D:$D,"&gt;="&amp;CONCATENATE($K$6,"/",B31),Proventos!$D:$D,"&lt;"&amp;CONCATENATE($L$6,"/",B31),Proventos!$J:$J,"="&amp;$H$2),
AND($H$2=Data!$A$7,$K$2=Data!$A$2),SUMIFS(Proventos!$H:$H,Proventos!$D:$D,"&gt;="&amp;CONCATENATE($K$6,"/",B31),Proventos!$D:$D,"&lt;"&amp;CONCATENATE($L$6,"/",B31),Proventos!$J:$J,"="&amp;$H$2),
AND($H$2=Data!$A$8,$K$2=Data!$A$2),SUMIFS(Proventos!$H:$H,Proventos!$D:$D,"&gt;="&amp;CONCATENATE($K$6,"/",B31),Proventos!$D:$D,"&lt;"&amp;CONCATENATE($L$6,"/",B31),Proventos!$J:$J,"="&amp;$H$2),
AND($H$2=Data!$A$9,$K$2=Data!$A$2),SUMIFS(Proventos!$H:$H,Proventos!$D:$D,"&gt;="&amp;CONCATENATE($K$6,"/",B31),Proventos!$D:$D,"&lt;"&amp;CONCATENATE($L$6,"/",B31),Proventos!$J:$J,"="&amp;$H$2),
AND($H$2=Data!$A$10,$K$2=Data!$A$2),SUMIFS(Proventos!$H:$H,Proventos!$D:$D,"&gt;="&amp;CONCATENATE($K$6,"/",B31),Proventos!$D:$D,"&lt;"&amp;CONCATENATE($L$6,"/",B31),Proventos!$J:$J,"="&amp;$H$2),
AND($H$2=Data!$A$11,$K$2=Data!$A$2),SUMIFS(Proventos!$H:$H,Proventos!$D:$D,"&gt;="&amp;CONCATENATE($K$6,"/",B31),Proventos!$D:$D,"&lt;"&amp;CONCATENATE($L$6,"/",B31),Proventos!$J:$J,"="&amp;$H$2),
$K$2=Data!$A$2,SUMIFS(Proventos!$H:$H,Proventos!$D:$D,"&gt;="&amp;CONCATENATE($K$6,"/",B31),Proventos!$D:$D,"&lt;"&amp;CONCATENATE($L$6,"/",B31)),
$K$2&lt;&gt;Data!$A$2,SUMIFS(Proventos!$H:$H,Proventos!$D:$D,"&gt;="&amp;CONCATENATE($K$6,"/",B31),Proventos!$D:$D,"&lt;"&amp;CONCATENATE($L$6,"/",B31),Proventos!$A:$A,"="&amp;$K$2))</f>
        <v>0</v>
      </c>
      <c r="L31" s="245">
        <f>IFS(
AND($H$2=Data!$A$3,$K$2=Data!$A$2),SUMIFS(Proventos!$H:$H,Proventos!$D:$D,"&gt;="&amp;CONCATENATE($L$6,"/",B31),Proventos!$D:$D,"&lt;"&amp;CONCATENATE($M$6,"/",B31),Proventos!$J:$J,"="&amp;$H$2),
AND($H$2=Data!$A$4,$K$2=Data!$A$2),SUMIFS(Proventos!$H:$H,Proventos!$D:$D,"&gt;="&amp;CONCATENATE($L$6,"/",B31),Proventos!$D:$D,"&lt;"&amp;CONCATENATE($M$6,"/",B31),Proventos!$J:$J,"="&amp;$H$2),
AND($H$2=Data!$A$5,$K$2=Data!$A$2),SUMIFS(Proventos!$H:$H,Proventos!$D:$D,"&gt;="&amp;CONCATENATE($L$6,"/",B31),Proventos!$D:$D,"&lt;"&amp;CONCATENATE($M$6,"/",B31),Proventos!$J:$J,"="&amp;$H$2),
AND($H$2=Data!$A$6,$K$2=Data!$A$2),SUMIFS(Proventos!$H:$H,Proventos!$D:$D,"&gt;="&amp;CONCATENATE($L$6,"/",B31),Proventos!$D:$D,"&lt;"&amp;CONCATENATE($M$6,"/",B31),Proventos!$J:$J,"="&amp;$H$2),
AND($H$2=Data!$A$7,$K$2=Data!$A$2),SUMIFS(Proventos!$H:$H,Proventos!$D:$D,"&gt;="&amp;CONCATENATE($L$6,"/",B31),Proventos!$D:$D,"&lt;"&amp;CONCATENATE($M$6,"/",B31),Proventos!$J:$J,"="&amp;$H$2),
AND($H$2=Data!$A$8,$K$2=Data!$A$2),SUMIFS(Proventos!$H:$H,Proventos!$D:$D,"&gt;="&amp;CONCATENATE($L$6,"/",B31),Proventos!$D:$D,"&lt;"&amp;CONCATENATE($M$6,"/",B31),Proventos!$J:$J,"="&amp;$H$2),
AND($H$2=Data!$A$9,$K$2=Data!$A$2),SUMIFS(Proventos!$H:$H,Proventos!$D:$D,"&gt;="&amp;CONCATENATE($L$6,"/",B31),Proventos!$D:$D,"&lt;"&amp;CONCATENATE($M$6,"/",B31),Proventos!$J:$J,"="&amp;$H$2),
AND($H$2=Data!$A$10,$K$2=Data!$A$2),SUMIFS(Proventos!$H:$H,Proventos!$D:$D,"&gt;="&amp;CONCATENATE($L$6,"/",B31),Proventos!$D:$D,"&lt;"&amp;CONCATENATE($M$6,"/",B31),Proventos!$J:$J,"="&amp;$H$2),
AND($H$2=Data!$A$11,$K$2=Data!$A$2),SUMIFS(Proventos!$H:$H,Proventos!$D:$D,"&gt;="&amp;CONCATENATE($L$6,"/",B31),Proventos!$D:$D,"&lt;"&amp;CONCATENATE($M$6,"/",B31),Proventos!$J:$J,"="&amp;$H$2),
$K$2=Data!$A$2,SUMIFS(Proventos!$H:$H,Proventos!$D:$D,"&gt;="&amp;CONCATENATE($L$6,"/",B31),Proventos!$D:$D,"&lt;"&amp;CONCATENATE($M$6,"/",B31)),
$K$2&lt;&gt;Data!$A$2,SUMIFS(Proventos!$H:$H,Proventos!$D:$D,"&gt;="&amp;CONCATENATE($L$6,"/",B31),Proventos!$D:$D,"&lt;"&amp;CONCATENATE($M$6,"/",B31),Proventos!$A:$A,"="&amp;$K$2))</f>
        <v>0</v>
      </c>
      <c r="M31" s="245">
        <f>IFS(
AND($H$2=Data!$A$3,$K$2=Data!$A$2),SUMIFS(Proventos!$H:$H,Proventos!$D:$D,"&gt;="&amp;CONCATENATE($M$6,"/",B31),Proventos!$D:$D,"&lt;"&amp;CONCATENATE($N$6,"/",B31),Proventos!$J:$J,"="&amp;$H$2),
AND($H$2=Data!$A$4,$K$2=Data!$A$2),SUMIFS(Proventos!$H:$H,Proventos!$D:$D,"&gt;="&amp;CONCATENATE($M$6,"/",B31),Proventos!$D:$D,"&lt;"&amp;CONCATENATE($N$6,"/",B31),Proventos!$J:$J,"="&amp;$H$2),
AND($H$2=Data!$A$5,$K$2=Data!$A$2),SUMIFS(Proventos!$H:$H,Proventos!$D:$D,"&gt;="&amp;CONCATENATE($M$6,"/",B31),Proventos!$D:$D,"&lt;"&amp;CONCATENATE($N$6,"/",B31),Proventos!$J:$J,"="&amp;$H$2),
AND($H$2=Data!$A$6,$K$2=Data!$A$2),SUMIFS(Proventos!$H:$H,Proventos!$D:$D,"&gt;="&amp;CONCATENATE($M$6,"/",B31),Proventos!$D:$D,"&lt;"&amp;CONCATENATE($N$6,"/",B31),Proventos!$J:$J,"="&amp;$H$2),
AND($H$2=Data!$A$7,$K$2=Data!$A$2),SUMIFS(Proventos!$H:$H,Proventos!$D:$D,"&gt;="&amp;CONCATENATE($M$6,"/",B31),Proventos!$D:$D,"&lt;"&amp;CONCATENATE($N$6,"/",B31),Proventos!$J:$J,"="&amp;$H$2),
AND($H$2=Data!$A$8,$K$2=Data!$A$2),SUMIFS(Proventos!$H:$H,Proventos!$D:$D,"&gt;="&amp;CONCATENATE($M$6,"/",B31),Proventos!$D:$D,"&lt;"&amp;CONCATENATE($N$6,"/",B31),Proventos!$J:$J,"="&amp;$H$2),
AND($H$2=Data!$A$9,$K$2=Data!$A$2),SUMIFS(Proventos!$H:$H,Proventos!$D:$D,"&gt;="&amp;CONCATENATE($M$6,"/",B31),Proventos!$D:$D,"&lt;"&amp;CONCATENATE($N$6,"/",B31),Proventos!$J:$J,"="&amp;$H$2),
AND($H$2=Data!$A$10,$K$2=Data!$A$2),SUMIFS(Proventos!$H:$H,Proventos!$D:$D,"&gt;="&amp;CONCATENATE($M$6,"/",B31),Proventos!$D:$D,"&lt;"&amp;CONCATENATE($N$6,"/",B31),Proventos!$J:$J,"="&amp;$H$2),
AND($H$2=Data!$A$11,$K$2=Data!$A$2),SUMIFS(Proventos!$H:$H,Proventos!$D:$D,"&gt;="&amp;CONCATENATE($M$6,"/",B31),Proventos!$D:$D,"&lt;"&amp;CONCATENATE($N$6,"/",B31),Proventos!$J:$J,"="&amp;$H$2),
$K$2=Data!$A$2,SUMIFS(Proventos!$H:$H,Proventos!$D:$D,"&gt;="&amp;CONCATENATE($M$6,"/",B31),Proventos!$D:$D,"&lt;"&amp;CONCATENATE($N$6,"/",B31)),
$K$2&lt;&gt;Data!$A$2,SUMIFS(Proventos!$H:$H,Proventos!$D:$D,"&gt;="&amp;CONCATENATE($M$6,"/",B31),Proventos!$D:$D,"&lt;"&amp;CONCATENATE($N$6,"/",B31),Proventos!$A:$A,"="&amp;$K$2))</f>
        <v>0</v>
      </c>
      <c r="N31" s="245">
        <f>IFS(
AND($H$2=Data!$A$3,$K$2=Data!$A$2),SUMIFS(Proventos!$H:$H,Proventos!$D:$D,"&gt;="&amp;CONCATENATE($N$6,"/",B31),Proventos!$D:$D,"&lt;"&amp;CONCATENATE($C$6,"/",B32),Proventos!$J:$J,"="&amp;$H$2),
AND($H$2=Data!$A$4,$K$2=Data!$A$2),SUMIFS(Proventos!$H:$H,Proventos!$D:$D,"&gt;="&amp;CONCATENATE($N$6,"/",B31),Proventos!$D:$D,"&lt;"&amp;CONCATENATE($C$6,"/",B32),Proventos!$J:$J,"="&amp;$H$2),
AND($H$2=Data!$A$5,$K$2=Data!$A$2),SUMIFS(Proventos!$H:$H,Proventos!$D:$D,"&gt;="&amp;CONCATENATE($N$6,"/",B31),Proventos!$D:$D,"&lt;"&amp;CONCATENATE($C$6,"/",B32),Proventos!$J:$J,"="&amp;$H$2),
AND($H$2=Data!$A$6,$K$2=Data!$A$2),SUMIFS(Proventos!$H:$H,Proventos!$D:$D,"&gt;="&amp;CONCATENATE($N$6,"/",B31),Proventos!$D:$D,"&lt;"&amp;CONCATENATE($C$6,"/",B32),Proventos!$J:$J,"="&amp;$H$2),
AND($H$2=Data!$A$7,$K$2=Data!$A$2),SUMIFS(Proventos!$H:$H,Proventos!$D:$D,"&gt;="&amp;CONCATENATE($N$6,"/",B31),Proventos!$D:$D,"&lt;"&amp;CONCATENATE($C$6,"/",B32),Proventos!$J:$J,"="&amp;$H$2),
AND($H$2=Data!$A$8,$K$2=Data!$A$2),SUMIFS(Proventos!$H:$H,Proventos!$D:$D,"&gt;="&amp;CONCATENATE($N$6,"/",B31),Proventos!$D:$D,"&lt;"&amp;CONCATENATE($C$6,"/",B32),Proventos!$J:$J,"="&amp;$H$2),
AND($H$2=Data!$A$9,$K$2=Data!$A$2),SUMIFS(Proventos!$H:$H,Proventos!$D:$D,"&gt;="&amp;CONCATENATE($N$6,"/",B31),Proventos!$D:$D,"&lt;"&amp;CONCATENATE($C$6,"/",B32),Proventos!$J:$J,"="&amp;$H$2),
AND($H$2=Data!$A$10,$K$2=Data!$A$2),SUMIFS(Proventos!$H:$H,Proventos!$D:$D,"&gt;="&amp;CONCATENATE($N$6,"/",B31),Proventos!$D:$D,"&lt;"&amp;CONCATENATE($C$6,"/",B32),Proventos!$J:$J,"="&amp;$H$2),
AND($H$2=Data!$A$11,$K$2=Data!$A$2),SUMIFS(Proventos!$H:$H,Proventos!$D:$D,"&gt;="&amp;CONCATENATE($N$6,"/",B31),Proventos!$D:$D,"&lt;"&amp;CONCATENATE($C$6,"/",B32),Proventos!$J:$J,"="&amp;$H$2),
$K$2=Data!$A$2,SUMIFS(Proventos!$H:$H,Proventos!$D:$D,"&gt;="&amp;CONCATENATE($N$6,"/",B31),Proventos!$D:$D,"&lt;"&amp;CONCATENATE($C$6,"/",B32)),
$K$2&lt;&gt;Data!$A$2,SUMIFS(Proventos!$H:$H,Proventos!$D:$D,"&gt;="&amp;CONCATENATE($N$6,"/",B31),Proventos!$D:$D,"&lt;"&amp;CONCATENATE($C$6,"/",B32),Proventos!$A:$A,"="&amp;$K$2))</f>
        <v>0</v>
      </c>
      <c r="O31" s="245"/>
      <c r="P31" s="245">
        <f t="shared" si="1"/>
        <v>0</v>
      </c>
      <c r="Q31" s="245">
        <f t="shared" si="2"/>
        <v>0</v>
      </c>
    </row>
    <row r="32" ht="32.25" customHeight="1">
      <c r="A32" s="230"/>
      <c r="B32" s="244"/>
      <c r="C32" s="245">
        <f>IFS(
AND($H$2=Data!$A$3,$K$2=Data!$A$2),SUMIFS(Proventos!$H:$H,Proventos!$D:$D,"&gt;="&amp;CONCATENATE($C$6,"/",B32),Proventos!$D:$D,"&lt;"&amp;CONCATENATE($D$6,"/",B32),Proventos!$J:$J,"="&amp;$H$2),
AND($H$2=Data!$A$4,$K$2=Data!$A$2),SUMIFS(Proventos!$H:$H,Proventos!$D:$D,"&gt;="&amp;CONCATENATE($C$6,"/",B32),Proventos!$D:$D,"&lt;"&amp;CONCATENATE($D$6,"/",B32),Proventos!$J:$J,"="&amp;$H$2),
AND($H$2=Data!$A$5,$K$2=Data!$A$2),SUMIFS(Proventos!$H:$H,Proventos!$D:$D,"&gt;="&amp;CONCATENATE($C$6,"/",B32),Proventos!$D:$D,"&lt;"&amp;CONCATENATE($D$6,"/",B32),Proventos!$J:$J,"="&amp;$H$2),
AND($H$2=Data!$A$6,$K$2=Data!$A$2),SUMIFS(Proventos!$H:$H,Proventos!$D:$D,"&gt;="&amp;CONCATENATE($C$6,"/",B32),Proventos!$D:$D,"&lt;"&amp;CONCATENATE($D$6,"/",B32),Proventos!$J:$J,"="&amp;$H$2),
AND($H$2=Data!$A$7,$K$2=Data!$A$2),SUMIFS(Proventos!$H:$H,Proventos!$D:$D,"&gt;="&amp;CONCATENATE($C$6,"/",B32),Proventos!$D:$D,"&lt;"&amp;CONCATENATE($D$6,"/",B32),Proventos!$J:$J,"="&amp;$H$2),
AND($H$2=Data!$A$8,$K$2=Data!$A$2),SUMIFS(Proventos!$H:$H,Proventos!$D:$D,"&gt;="&amp;CONCATENATE($C$6,"/",B32),Proventos!$D:$D,"&lt;"&amp;CONCATENATE($D$6,"/",B32),Proventos!$J:$J,"="&amp;$H$2),
AND($H$2=Data!$A$9,$K$2=Data!$A$2),SUMIFS(Proventos!$H:$H,Proventos!$D:$D,"&gt;="&amp;CONCATENATE($C$6,"/",B32),Proventos!$D:$D,"&lt;"&amp;CONCATENATE($D$6,"/",B32),Proventos!$J:$J,"="&amp;$H$2),
AND($H$2=Data!$A$10,$K$2=Data!$A$2),SUMIFS(Proventos!$H:$H,Proventos!$D:$D,"&gt;="&amp;CONCATENATE($C$6,"/",B32),Proventos!$D:$D,"&lt;"&amp;CONCATENATE($D$6,"/",B32),Proventos!$J:$J,"="&amp;$H$2),
AND($H$2=Data!$A$11,$K$2=Data!$A$2),SUMIFS(Proventos!$H:$H,Proventos!$D:$D,"&gt;="&amp;CONCATENATE($C$6,"/",B32),Proventos!$D:$D,"&lt;"&amp;CONCATENATE($D$6,"/",B32),Proventos!$J:$J,"="&amp;$H$2),
$K$2=Data!$A$2,SUMIFS(Proventos!$H:$H,Proventos!$D:$D,"&gt;="&amp;CONCATENATE($C$6,"/",B32),Proventos!$D:$D,"&lt;"&amp;CONCATENATE($D$6,"/",B32)),
$K$2&lt;&gt;Data!$A$2,SUMIFS(Proventos!$H:$H,Proventos!$D:$D,"&gt;="&amp;CONCATENATE($C$6,"/",B32),Proventos!$D:$D,"&lt;"&amp;CONCATENATE($D$6,"/",B32),Proventos!$A:$A,"="&amp;$K$2))</f>
        <v>0</v>
      </c>
      <c r="D32" s="245">
        <f>IFS(
AND($H$2=Data!$A$3,$K$2=Data!$A$2),SUMIFS(Proventos!$H:$H,Proventos!$D:$D,"&gt;="&amp;CONCATENATE($D$6,"/",B32),Proventos!$D:$D,"&lt;"&amp;CONCATENATE($E$6,"/",B32),Proventos!$J:$J,"="&amp;$H$2),
AND($H$2=Data!$A$4,$K$2=Data!$A$2),SUMIFS(Proventos!$H:$H,Proventos!$D:$D,"&gt;="&amp;CONCATENATE($D$6,"/",B32),Proventos!$D:$D,"&lt;"&amp;CONCATENATE($E$6,"/",B32),Proventos!$J:$J,"="&amp;$H$2),
AND($H$2=Data!$A$5,$K$2=Data!$A$2),SUMIFS(Proventos!$H:$H,Proventos!$D:$D,"&gt;="&amp;CONCATENATE($D$6,"/",B32),Proventos!$D:$D,"&lt;"&amp;CONCATENATE($E$6,"/",B32),Proventos!$J:$J,"="&amp;$H$2),
AND($H$2=Data!$A$6,$K$2=Data!$A$2),SUMIFS(Proventos!$H:$H,Proventos!$D:$D,"&gt;="&amp;CONCATENATE($D$6,"/",B32),Proventos!$D:$D,"&lt;"&amp;CONCATENATE($E$6,"/",B32),Proventos!$J:$J,"="&amp;$H$2),
AND($H$2=Data!$A$7,$K$2=Data!$A$2),SUMIFS(Proventos!$H:$H,Proventos!$D:$D,"&gt;="&amp;CONCATENATE($D$6,"/",B32),Proventos!$D:$D,"&lt;"&amp;CONCATENATE($E$6,"/",B32),Proventos!$J:$J,"="&amp;$H$2),
AND($H$2=Data!$A$8,$K$2=Data!$A$2),SUMIFS(Proventos!$H:$H,Proventos!$D:$D,"&gt;="&amp;CONCATENATE($D$6,"/",B32),Proventos!$D:$D,"&lt;"&amp;CONCATENATE($E$6,"/",B32),Proventos!$J:$J,"="&amp;$H$2),
AND($H$2=Data!$A$9,$K$2=Data!$A$2),SUMIFS(Proventos!$H:$H,Proventos!$D:$D,"&gt;="&amp;CONCATENATE($D$6,"/",B32),Proventos!$D:$D,"&lt;"&amp;CONCATENATE($E$6,"/",B32),Proventos!$J:$J,"="&amp;$H$2),
AND($H$2=Data!$A$10,$K$2=Data!$A$2),SUMIFS(Proventos!$H:$H,Proventos!$D:$D,"&gt;="&amp;CONCATENATE($D$6,"/",B32),Proventos!$D:$D,"&lt;"&amp;CONCATENATE($E$6,"/",B32),Proventos!$J:$J,"="&amp;$H$2),
AND($H$2=Data!$A$11,$K$2=Data!$A$2),SUMIFS(Proventos!$H:$H,Proventos!$D:$D,"&gt;="&amp;CONCATENATE($D$6,"/",B32),Proventos!$D:$D,"&lt;"&amp;CONCATENATE($E$6,"/",B32),Proventos!$J:$J,"="&amp;$H$2),
$K$2=Data!$A$2,SUMIFS(Proventos!$H:$H,Proventos!$D:$D,"&gt;="&amp;CONCATENATE($D$6,"/",B32),Proventos!$D:$D,"&lt;"&amp;CONCATENATE($E$6,"/",B32)),
$K$2&lt;&gt;Data!$A$2,SUMIFS(Proventos!$H:$H,Proventos!$D:$D,"&gt;="&amp;CONCATENATE($D$6,"/",B32),Proventos!$D:$D,"&lt;"&amp;CONCATENATE($E$6,"/",B32),Proventos!$A:$A,"="&amp;$K$2))</f>
        <v>0</v>
      </c>
      <c r="E32" s="245">
        <f>IFS(
AND($H$2=Data!$A$3,$K$2=Data!$A$2),SUMIFS(Proventos!$H:$H,Proventos!$D:$D,"&gt;="&amp;CONCATENATE($E$6,"/",B32),Proventos!$D:$D,"&lt;"&amp;CONCATENATE($F$6,"/",B32),Proventos!$J:$J,"="&amp;$H$2),
AND($H$2=Data!$A$4,$K$2=Data!$A$2),SUMIFS(Proventos!$H:$H,Proventos!$D:$D,"&gt;="&amp;CONCATENATE($E$6,"/",B32),Proventos!$D:$D,"&lt;"&amp;CONCATENATE($F$6,"/",B32),Proventos!$J:$J,"="&amp;$H$2),
AND($H$2=Data!$A$5,$K$2=Data!$A$2),SUMIFS(Proventos!$H:$H,Proventos!$D:$D,"&gt;="&amp;CONCATENATE($E$6,"/",B32),Proventos!$D:$D,"&lt;"&amp;CONCATENATE($F$6,"/",B32),Proventos!$J:$J,"="&amp;$H$2),
AND($H$2=Data!$A$6,$K$2=Data!$A$2),SUMIFS(Proventos!$H:$H,Proventos!$D:$D,"&gt;="&amp;CONCATENATE($E$6,"/",B32),Proventos!$D:$D,"&lt;"&amp;CONCATENATE($F$6,"/",B32),Proventos!$J:$J,"="&amp;$H$2),
AND($H$2=Data!$A$7,$K$2=Data!$A$2),SUMIFS(Proventos!$H:$H,Proventos!$D:$D,"&gt;="&amp;CONCATENATE($E$6,"/",B32),Proventos!$D:$D,"&lt;"&amp;CONCATENATE($F$6,"/",B32),Proventos!$J:$J,"="&amp;$H$2),
AND($H$2=Data!$A$8,$K$2=Data!$A$2),SUMIFS(Proventos!$H:$H,Proventos!$D:$D,"&gt;="&amp;CONCATENATE($E$6,"/",B32),Proventos!$D:$D,"&lt;"&amp;CONCATENATE($F$6,"/",B32),Proventos!$J:$J,"="&amp;$H$2),
AND($H$2=Data!$A$9,$K$2=Data!$A$2),SUMIFS(Proventos!$H:$H,Proventos!$D:$D,"&gt;="&amp;CONCATENATE($E$6,"/",B32),Proventos!$D:$D,"&lt;"&amp;CONCATENATE($F$6,"/",B32),Proventos!$J:$J,"="&amp;$H$2),
AND($H$2=Data!$A$10,$K$2=Data!$A$2),SUMIFS(Proventos!$H:$H,Proventos!$D:$D,"&gt;="&amp;CONCATENATE($E$6,"/",B32),Proventos!$D:$D,"&lt;"&amp;CONCATENATE($F$6,"/",B32),Proventos!$J:$J,"="&amp;$H$2),
AND($H$2=Data!$A$11,$K$2=Data!$A$2),SUMIFS(Proventos!$H:$H,Proventos!$D:$D,"&gt;="&amp;CONCATENATE($E$6,"/",B32),Proventos!$D:$D,"&lt;"&amp;CONCATENATE($F$6,"/",B32),Proventos!$J:$J,"="&amp;$H$2),
$K$2=Data!$A$2,SUMIFS(Proventos!$H:$H,Proventos!$D:$D,"&gt;="&amp;CONCATENATE($E$6,"/",B32),Proventos!$D:$D,"&lt;"&amp;CONCATENATE($F$6,"/",B32)),
$K$2&lt;&gt;Data!$A$2,SUMIFS(Proventos!$H:$H,Proventos!$D:$D,"&gt;="&amp;CONCATENATE($E$6,"/",B32),Proventos!$D:$D,"&lt;"&amp;CONCATENATE($F$6,"/",B32),Proventos!$A:$A,"="&amp;$K$2))</f>
        <v>0</v>
      </c>
      <c r="F32" s="245">
        <f>IFS(
AND($H$2=Data!$A$3,$K$2=Data!$A$2),SUMIFS(Proventos!$H:$H,Proventos!$D:$D,"&gt;="&amp;CONCATENATE($F$6,"/",B32),Proventos!$D:$D,"&lt;"&amp;CONCATENATE($G$6,"/",B32),Proventos!$J:$J,"="&amp;$H$2),
AND($H$2=Data!$A$4,$K$2=Data!$A$2),SUMIFS(Proventos!$H:$H,Proventos!$D:$D,"&gt;="&amp;CONCATENATE($F$6,"/",B32),Proventos!$D:$D,"&lt;"&amp;CONCATENATE($G$6,"/",B32),Proventos!$J:$J,"="&amp;$H$2),
AND($H$2=Data!$A$5,$K$2=Data!$A$2),SUMIFS(Proventos!$H:$H,Proventos!$D:$D,"&gt;="&amp;CONCATENATE($F$6,"/",B32),Proventos!$D:$D,"&lt;"&amp;CONCATENATE($G$6,"/",B32),Proventos!$J:$J,"="&amp;$H$2),
AND($H$2=Data!$A$6,$K$2=Data!$A$2),SUMIFS(Proventos!$H:$H,Proventos!$D:$D,"&gt;="&amp;CONCATENATE($F$6,"/",B32),Proventos!$D:$D,"&lt;"&amp;CONCATENATE($G$6,"/",B32),Proventos!$J:$J,"="&amp;$H$2),
AND($H$2=Data!$A$7,$K$2=Data!$A$2),SUMIFS(Proventos!$H:$H,Proventos!$D:$D,"&gt;="&amp;CONCATENATE($F$6,"/",B32),Proventos!$D:$D,"&lt;"&amp;CONCATENATE($G$6,"/",B32),Proventos!$J:$J,"="&amp;$H$2),
AND($H$2=Data!$A$8,$K$2=Data!$A$2),SUMIFS(Proventos!$H:$H,Proventos!$D:$D,"&gt;="&amp;CONCATENATE($F$6,"/",B32),Proventos!$D:$D,"&lt;"&amp;CONCATENATE($G$6,"/",B32),Proventos!$J:$J,"="&amp;$H$2),
AND($H$2=Data!$A$9,$K$2=Data!$A$2),SUMIFS(Proventos!$H:$H,Proventos!$D:$D,"&gt;="&amp;CONCATENATE($F$6,"/",B32),Proventos!$D:$D,"&lt;"&amp;CONCATENATE($G$6,"/",B32),Proventos!$J:$J,"="&amp;$H$2),
AND($H$2=Data!$A$10,$K$2=Data!$A$2),SUMIFS(Proventos!$H:$H,Proventos!$D:$D,"&gt;="&amp;CONCATENATE($F$6,"/",B32),Proventos!$D:$D,"&lt;"&amp;CONCATENATE($G$6,"/",B32),Proventos!$J:$J,"="&amp;$H$2),
AND($H$2=Data!$A$11,$K$2=Data!$A$2),SUMIFS(Proventos!$H:$H,Proventos!$D:$D,"&gt;="&amp;CONCATENATE($F$6,"/",B32),Proventos!$D:$D,"&lt;"&amp;CONCATENATE($G$6,"/",B32),Proventos!$J:$J,"="&amp;$H$2),
$K$2=Data!$A$2,SUMIFS(Proventos!$H:$H,Proventos!$D:$D,"&gt;="&amp;CONCATENATE($F$6,"/",B32),Proventos!$D:$D,"&lt;"&amp;CONCATENATE($G$6,"/",B32)),
$K$2&lt;&gt;Data!$A$2,SUMIFS(Proventos!$H:$H,Proventos!$D:$D,"&gt;="&amp;CONCATENATE($F$6,"/",B32),Proventos!$D:$D,"&lt;"&amp;CONCATENATE($G$6,"/",B32),Proventos!$A:$A,"="&amp;$K$2))</f>
        <v>0</v>
      </c>
      <c r="G32" s="245">
        <f>IFS(
AND($H$2=Data!$A$3,$K$2=Data!$A$2),SUMIFS(Proventos!$H:$H,Proventos!$D:$D,"&gt;="&amp;CONCATENATE($G$6,"/",B32),Proventos!$D:$D,"&lt;"&amp;CONCATENATE($H$6,"/",B32),Proventos!$J:$J,"="&amp;$H$2),
AND($H$2=Data!$A$4,$K$2=Data!$A$2),SUMIFS(Proventos!$H:$H,Proventos!$D:$D,"&gt;="&amp;CONCATENATE($G$6,"/",B32),Proventos!$D:$D,"&lt;"&amp;CONCATENATE($H$6,"/",B32),Proventos!$J:$J,"="&amp;$H$2),
AND($H$2=Data!$A$5,$K$2=Data!$A$2),SUMIFS(Proventos!$H:$H,Proventos!$D:$D,"&gt;="&amp;CONCATENATE($G$6,"/",B32),Proventos!$D:$D,"&lt;"&amp;CONCATENATE($H$6,"/",B32),Proventos!$J:$J,"="&amp;$H$2),
AND($H$2=Data!$A$6,$K$2=Data!$A$2),SUMIFS(Proventos!$H:$H,Proventos!$D:$D,"&gt;="&amp;CONCATENATE($G$6,"/",B32),Proventos!$D:$D,"&lt;"&amp;CONCATENATE($H$6,"/",B32),Proventos!$J:$J,"="&amp;$H$2),
AND($H$2=Data!$A$7,$K$2=Data!$A$2),SUMIFS(Proventos!$H:$H,Proventos!$D:$D,"&gt;="&amp;CONCATENATE($G$6,"/",B32),Proventos!$D:$D,"&lt;"&amp;CONCATENATE($H$6,"/",B32),Proventos!$J:$J,"="&amp;$H$2),
AND($H$2=Data!$A$8,$K$2=Data!$A$2),SUMIFS(Proventos!$H:$H,Proventos!$D:$D,"&gt;="&amp;CONCATENATE($G$6,"/",B32),Proventos!$D:$D,"&lt;"&amp;CONCATENATE($H$6,"/",B32),Proventos!$J:$J,"="&amp;$H$2),
AND($H$2=Data!$A$9,$K$2=Data!$A$2),SUMIFS(Proventos!$H:$H,Proventos!$D:$D,"&gt;="&amp;CONCATENATE($G$6,"/",B32),Proventos!$D:$D,"&lt;"&amp;CONCATENATE($H$6,"/",B32),Proventos!$J:$J,"="&amp;$H$2),
AND($H$2=Data!$A$10,$K$2=Data!$A$2),SUMIFS(Proventos!$H:$H,Proventos!$D:$D,"&gt;="&amp;CONCATENATE($G$6,"/",B32),Proventos!$D:$D,"&lt;"&amp;CONCATENATE($H$6,"/",B32),Proventos!$J:$J,"="&amp;$H$2),
AND($H$2=Data!$A$11,$K$2=Data!$A$2),SUMIFS(Proventos!$H:$H,Proventos!$D:$D,"&gt;="&amp;CONCATENATE($G$6,"/",B32),Proventos!$D:$D,"&lt;"&amp;CONCATENATE($H$6,"/",B32),Proventos!$J:$J,"="&amp;$H$2),
$K$2=Data!$A$2,SUMIFS(Proventos!$H:$H,Proventos!$D:$D,"&gt;="&amp;CONCATENATE($G$6,"/",B32),Proventos!$D:$D,"&lt;"&amp;CONCATENATE($H$6,"/",B32)),
$K$2&lt;&gt;Data!$A$2,SUMIFS(Proventos!$H:$H,Proventos!$D:$D,"&gt;="&amp;CONCATENATE($G$6,"/",B32),Proventos!$D:$D,"&lt;"&amp;CONCATENATE($H$6,"/",B32),Proventos!$A:$A,"="&amp;$K$2))</f>
        <v>0</v>
      </c>
      <c r="H32" s="245">
        <f>IFS(
AND($H$2=Data!$A$3,$K$2=Data!$A$2),SUMIFS(Proventos!$H:$H,Proventos!$D:$D,"&gt;="&amp;CONCATENATE($H$6,"/",B32),Proventos!$D:$D,"&lt;"&amp;CONCATENATE($I$6,"/",B32),Proventos!$J:$J,"="&amp;$H$2),
AND($H$2=Data!$A$4,$K$2=Data!$A$2),SUMIFS(Proventos!$H:$H,Proventos!$D:$D,"&gt;="&amp;CONCATENATE($H$6,"/",B32),Proventos!$D:$D,"&lt;"&amp;CONCATENATE($I$6,"/",B32),Proventos!$J:$J,"="&amp;$H$2),
AND($H$2=Data!$A$5,$K$2=Data!$A$2),SUMIFS(Proventos!$H:$H,Proventos!$D:$D,"&gt;="&amp;CONCATENATE($H$6,"/",B32),Proventos!$D:$D,"&lt;"&amp;CONCATENATE($I$6,"/",B32),Proventos!$J:$J,"="&amp;$H$2),
AND($H$2=Data!$A$6,$K$2=Data!$A$2),SUMIFS(Proventos!$H:$H,Proventos!$D:$D,"&gt;="&amp;CONCATENATE($H$6,"/",B32),Proventos!$D:$D,"&lt;"&amp;CONCATENATE($I$6,"/",B32),Proventos!$J:$J,"="&amp;$H$2),
AND($H$2=Data!$A$7,$K$2=Data!$A$2),SUMIFS(Proventos!$H:$H,Proventos!$D:$D,"&gt;="&amp;CONCATENATE($H$6,"/",B32),Proventos!$D:$D,"&lt;"&amp;CONCATENATE($I$6,"/",B32),Proventos!$J:$J,"="&amp;$H$2),
AND($H$2=Data!$A$8,$K$2=Data!$A$2),SUMIFS(Proventos!$H:$H,Proventos!$D:$D,"&gt;="&amp;CONCATENATE($H$6,"/",B32),Proventos!$D:$D,"&lt;"&amp;CONCATENATE($I$6,"/",B32),Proventos!$J:$J,"="&amp;$H$2),
AND($H$2=Data!$A$9,$K$2=Data!$A$2),SUMIFS(Proventos!$H:$H,Proventos!$D:$D,"&gt;="&amp;CONCATENATE($H$6,"/",B32),Proventos!$D:$D,"&lt;"&amp;CONCATENATE($I$6,"/",B32),Proventos!$J:$J,"="&amp;$H$2),
AND($H$2=Data!$A$10,$K$2=Data!$A$2),SUMIFS(Proventos!$H:$H,Proventos!$D:$D,"&gt;="&amp;CONCATENATE($H$6,"/",B32),Proventos!$D:$D,"&lt;"&amp;CONCATENATE($I$6,"/",B32),Proventos!$J:$J,"="&amp;$H$2),
AND($H$2=Data!$A$11,$K$2=Data!$A$2),SUMIFS(Proventos!$H:$H,Proventos!$D:$D,"&gt;="&amp;CONCATENATE($H$6,"/",B32),Proventos!$D:$D,"&lt;"&amp;CONCATENATE($I$6,"/",B32),Proventos!$J:$J,"="&amp;$H$2),
$K$2=Data!$A$2,SUMIFS(Proventos!$H:$H,Proventos!$D:$D,"&gt;="&amp;CONCATENATE($H$6,"/",B32),Proventos!$D:$D,"&lt;"&amp;CONCATENATE($I$6,"/",B32)),
$K$2&lt;&gt;Data!$A$2,SUMIFS(Proventos!$H:$H,Proventos!$D:$D,"&gt;="&amp;CONCATENATE($H$6,"/",B32),Proventos!$D:$D,"&lt;"&amp;CONCATENATE($I$6,"/",B32),Proventos!$A:$A,"="&amp;$K$2))</f>
        <v>0</v>
      </c>
      <c r="I32" s="245">
        <f>IFS(
AND($H$2=Data!$A$3,$K$2=Data!$A$2),SUMIFS(Proventos!$H:$H,Proventos!$D:$D,"&gt;="&amp;CONCATENATE($I$6,"/",B32),Proventos!$D:$D,"&lt;"&amp;CONCATENATE($J$6,"/",B32),Proventos!$J:$J,"="&amp;$H$2),
AND($H$2=Data!$A$4,$K$2=Data!$A$2),SUMIFS(Proventos!$H:$H,Proventos!$D:$D,"&gt;="&amp;CONCATENATE($I$6,"/",B32),Proventos!$D:$D,"&lt;"&amp;CONCATENATE($J$6,"/",B32),Proventos!$J:$J,"="&amp;$H$2),
AND($H$2=Data!$A$5,$K$2=Data!$A$2),SUMIFS(Proventos!$H:$H,Proventos!$D:$D,"&gt;="&amp;CONCATENATE($I$6,"/",B32),Proventos!$D:$D,"&lt;"&amp;CONCATENATE($J$6,"/",B32),Proventos!$J:$J,"="&amp;$H$2),
AND($H$2=Data!$A$6,$K$2=Data!$A$2),SUMIFS(Proventos!$H:$H,Proventos!$D:$D,"&gt;="&amp;CONCATENATE($I$6,"/",B32),Proventos!$D:$D,"&lt;"&amp;CONCATENATE($J$6,"/",B32),Proventos!$J:$J,"="&amp;$H$2),
AND($H$2=Data!$A$7,$K$2=Data!$A$2),SUMIFS(Proventos!$H:$H,Proventos!$D:$D,"&gt;="&amp;CONCATENATE($I$6,"/",B32),Proventos!$D:$D,"&lt;"&amp;CONCATENATE($J$6,"/",B32),Proventos!$J:$J,"="&amp;$H$2),
AND($H$2=Data!$A$8,$K$2=Data!$A$2),SUMIFS(Proventos!$H:$H,Proventos!$D:$D,"&gt;="&amp;CONCATENATE($I$6,"/",B32),Proventos!$D:$D,"&lt;"&amp;CONCATENATE($J$6,"/",B32),Proventos!$J:$J,"="&amp;$H$2),
AND($H$2=Data!$A$9,$K$2=Data!$A$2),SUMIFS(Proventos!$H:$H,Proventos!$D:$D,"&gt;="&amp;CONCATENATE($I$6,"/",B32),Proventos!$D:$D,"&lt;"&amp;CONCATENATE($J$6,"/",B32),Proventos!$J:$J,"="&amp;$H$2),
AND($H$2=Data!$A$10,$K$2=Data!$A$2),SUMIFS(Proventos!$H:$H,Proventos!$D:$D,"&gt;="&amp;CONCATENATE($I$6,"/",B32),Proventos!$D:$D,"&lt;"&amp;CONCATENATE($J$6,"/",B32),Proventos!$J:$J,"="&amp;$H$2),
AND($H$2=Data!$A$11,$K$2=Data!$A$2),SUMIFS(Proventos!$H:$H,Proventos!$D:$D,"&gt;="&amp;CONCATENATE($I$6,"/",B32),Proventos!$D:$D,"&lt;"&amp;CONCATENATE($J$6,"/",B32),Proventos!$J:$J,"="&amp;$H$2),
$K$2=Data!$A$2,SUMIFS(Proventos!$H:$H,Proventos!$D:$D,"&gt;="&amp;CONCATENATE($I$6,"/",B32),Proventos!$D:$D,"&lt;"&amp;CONCATENATE($J$6,"/",B32)),
$K$2&lt;&gt;Data!$A$2,SUMIFS(Proventos!$H:$H,Proventos!$D:$D,"&gt;="&amp;CONCATENATE($I$6,"/",B32),Proventos!$D:$D,"&lt;"&amp;CONCATENATE($J$6,"/",B32),Proventos!$A:$A,"="&amp;$K$2))</f>
        <v>0</v>
      </c>
      <c r="J32" s="245">
        <f>IFS(
AND($H$2=Data!$A$3,$K$2=Data!$A$2),SUMIFS(Proventos!$H:$H,Proventos!$D:$D,"&gt;="&amp;CONCATENATE($J$6,"/",B32),Proventos!$D:$D,"&lt;"&amp;CONCATENATE($K$6,"/",B32),Proventos!$J:$J,"="&amp;$H$2),
AND($H$2=Data!$A$4,$K$2=Data!$A$2),SUMIFS(Proventos!$H:$H,Proventos!$D:$D,"&gt;="&amp;CONCATENATE($J$6,"/",B32),Proventos!$D:$D,"&lt;"&amp;CONCATENATE($K$6,"/",B32),Proventos!$J:$J,"="&amp;$H$2),
AND($H$2=Data!$A$5,$K$2=Data!$A$2),SUMIFS(Proventos!$H:$H,Proventos!$D:$D,"&gt;="&amp;CONCATENATE($J$6,"/",B32),Proventos!$D:$D,"&lt;"&amp;CONCATENATE($K$6,"/",B32),Proventos!$J:$J,"="&amp;$H$2),
AND($H$2=Data!$A$6,$K$2=Data!$A$2),SUMIFS(Proventos!$H:$H,Proventos!$D:$D,"&gt;="&amp;CONCATENATE($J$6,"/",B32),Proventos!$D:$D,"&lt;"&amp;CONCATENATE($K$6,"/",B32),Proventos!$J:$J,"="&amp;$H$2),
AND($H$2=Data!$A$7,$K$2=Data!$A$2),SUMIFS(Proventos!$H:$H,Proventos!$D:$D,"&gt;="&amp;CONCATENATE($J$6,"/",B32),Proventos!$D:$D,"&lt;"&amp;CONCATENATE($K$6,"/",B32),Proventos!$J:$J,"="&amp;$H$2),
AND($H$2=Data!$A$8,$K$2=Data!$A$2),SUMIFS(Proventos!$H:$H,Proventos!$D:$D,"&gt;="&amp;CONCATENATE($J$6,"/",B32),Proventos!$D:$D,"&lt;"&amp;CONCATENATE($K$6,"/",B32),Proventos!$J:$J,"="&amp;$H$2),
AND($H$2=Data!$A$9,$K$2=Data!$A$2),SUMIFS(Proventos!$H:$H,Proventos!$D:$D,"&gt;="&amp;CONCATENATE($J$6,"/",B32),Proventos!$D:$D,"&lt;"&amp;CONCATENATE($K$6,"/",B32),Proventos!$J:$J,"="&amp;$H$2),
AND($H$2=Data!$A$10,$K$2=Data!$A$2),SUMIFS(Proventos!$H:$H,Proventos!$D:$D,"&gt;="&amp;CONCATENATE($J$6,"/",B32),Proventos!$D:$D,"&lt;"&amp;CONCATENATE($K$6,"/",B32),Proventos!$J:$J,"="&amp;$H$2),
AND($H$2=Data!$A$11,$K$2=Data!$A$2),SUMIFS(Proventos!$H:$H,Proventos!$D:$D,"&gt;="&amp;CONCATENATE($J$6,"/",B32),Proventos!$D:$D,"&lt;"&amp;CONCATENATE($K$6,"/",B32),Proventos!$J:$J,"="&amp;$H$2),
$K$2=Data!$A$2,SUMIFS(Proventos!$H:$H,Proventos!$D:$D,"&gt;="&amp;CONCATENATE($J$6,"/",B32),Proventos!$D:$D,"&lt;"&amp;CONCATENATE($K$6,"/",B32)),
$K$2&lt;&gt;Data!$A$2,SUMIFS(Proventos!$H:$H,Proventos!$D:$D,"&gt;="&amp;CONCATENATE($J$6,"/",B32),Proventos!$D:$D,"&lt;"&amp;CONCATENATE($K$6,"/",B32),Proventos!$A:$A,"="&amp;$K$2))</f>
        <v>0</v>
      </c>
      <c r="K32" s="245">
        <f>IFS(
AND($H$2=Data!$A$3,$K$2=Data!$A$2),SUMIFS(Proventos!$H:$H,Proventos!$D:$D,"&gt;="&amp;CONCATENATE($K$6,"/",B32),Proventos!$D:$D,"&lt;"&amp;CONCATENATE($L$6,"/",B32),Proventos!$J:$J,"="&amp;$H$2),
AND($H$2=Data!$A$4,$K$2=Data!$A$2),SUMIFS(Proventos!$H:$H,Proventos!$D:$D,"&gt;="&amp;CONCATENATE($K$6,"/",B32),Proventos!$D:$D,"&lt;"&amp;CONCATENATE($L$6,"/",B32),Proventos!$J:$J,"="&amp;$H$2),
AND($H$2=Data!$A$5,$K$2=Data!$A$2),SUMIFS(Proventos!$H:$H,Proventos!$D:$D,"&gt;="&amp;CONCATENATE($K$6,"/",B32),Proventos!$D:$D,"&lt;"&amp;CONCATENATE($L$6,"/",B32),Proventos!$J:$J,"="&amp;$H$2),
AND($H$2=Data!$A$6,$K$2=Data!$A$2),SUMIFS(Proventos!$H:$H,Proventos!$D:$D,"&gt;="&amp;CONCATENATE($K$6,"/",B32),Proventos!$D:$D,"&lt;"&amp;CONCATENATE($L$6,"/",B32),Proventos!$J:$J,"="&amp;$H$2),
AND($H$2=Data!$A$7,$K$2=Data!$A$2),SUMIFS(Proventos!$H:$H,Proventos!$D:$D,"&gt;="&amp;CONCATENATE($K$6,"/",B32),Proventos!$D:$D,"&lt;"&amp;CONCATENATE($L$6,"/",B32),Proventos!$J:$J,"="&amp;$H$2),
AND($H$2=Data!$A$8,$K$2=Data!$A$2),SUMIFS(Proventos!$H:$H,Proventos!$D:$D,"&gt;="&amp;CONCATENATE($K$6,"/",B32),Proventos!$D:$D,"&lt;"&amp;CONCATENATE($L$6,"/",B32),Proventos!$J:$J,"="&amp;$H$2),
AND($H$2=Data!$A$9,$K$2=Data!$A$2),SUMIFS(Proventos!$H:$H,Proventos!$D:$D,"&gt;="&amp;CONCATENATE($K$6,"/",B32),Proventos!$D:$D,"&lt;"&amp;CONCATENATE($L$6,"/",B32),Proventos!$J:$J,"="&amp;$H$2),
AND($H$2=Data!$A$10,$K$2=Data!$A$2),SUMIFS(Proventos!$H:$H,Proventos!$D:$D,"&gt;="&amp;CONCATENATE($K$6,"/",B32),Proventos!$D:$D,"&lt;"&amp;CONCATENATE($L$6,"/",B32),Proventos!$J:$J,"="&amp;$H$2),
AND($H$2=Data!$A$11,$K$2=Data!$A$2),SUMIFS(Proventos!$H:$H,Proventos!$D:$D,"&gt;="&amp;CONCATENATE($K$6,"/",B32),Proventos!$D:$D,"&lt;"&amp;CONCATENATE($L$6,"/",B32),Proventos!$J:$J,"="&amp;$H$2),
$K$2=Data!$A$2,SUMIFS(Proventos!$H:$H,Proventos!$D:$D,"&gt;="&amp;CONCATENATE($K$6,"/",B32),Proventos!$D:$D,"&lt;"&amp;CONCATENATE($L$6,"/",B32)),
$K$2&lt;&gt;Data!$A$2,SUMIFS(Proventos!$H:$H,Proventos!$D:$D,"&gt;="&amp;CONCATENATE($K$6,"/",B32),Proventos!$D:$D,"&lt;"&amp;CONCATENATE($L$6,"/",B32),Proventos!$A:$A,"="&amp;$K$2))</f>
        <v>0</v>
      </c>
      <c r="L32" s="245">
        <f>IFS(
AND($H$2=Data!$A$3,$K$2=Data!$A$2),SUMIFS(Proventos!$H:$H,Proventos!$D:$D,"&gt;="&amp;CONCATENATE($L$6,"/",B32),Proventos!$D:$D,"&lt;"&amp;CONCATENATE($M$6,"/",B32),Proventos!$J:$J,"="&amp;$H$2),
AND($H$2=Data!$A$4,$K$2=Data!$A$2),SUMIFS(Proventos!$H:$H,Proventos!$D:$D,"&gt;="&amp;CONCATENATE($L$6,"/",B32),Proventos!$D:$D,"&lt;"&amp;CONCATENATE($M$6,"/",B32),Proventos!$J:$J,"="&amp;$H$2),
AND($H$2=Data!$A$5,$K$2=Data!$A$2),SUMIFS(Proventos!$H:$H,Proventos!$D:$D,"&gt;="&amp;CONCATENATE($L$6,"/",B32),Proventos!$D:$D,"&lt;"&amp;CONCATENATE($M$6,"/",B32),Proventos!$J:$J,"="&amp;$H$2),
AND($H$2=Data!$A$6,$K$2=Data!$A$2),SUMIFS(Proventos!$H:$H,Proventos!$D:$D,"&gt;="&amp;CONCATENATE($L$6,"/",B32),Proventos!$D:$D,"&lt;"&amp;CONCATENATE($M$6,"/",B32),Proventos!$J:$J,"="&amp;$H$2),
AND($H$2=Data!$A$7,$K$2=Data!$A$2),SUMIFS(Proventos!$H:$H,Proventos!$D:$D,"&gt;="&amp;CONCATENATE($L$6,"/",B32),Proventos!$D:$D,"&lt;"&amp;CONCATENATE($M$6,"/",B32),Proventos!$J:$J,"="&amp;$H$2),
AND($H$2=Data!$A$8,$K$2=Data!$A$2),SUMIFS(Proventos!$H:$H,Proventos!$D:$D,"&gt;="&amp;CONCATENATE($L$6,"/",B32),Proventos!$D:$D,"&lt;"&amp;CONCATENATE($M$6,"/",B32),Proventos!$J:$J,"="&amp;$H$2),
AND($H$2=Data!$A$9,$K$2=Data!$A$2),SUMIFS(Proventos!$H:$H,Proventos!$D:$D,"&gt;="&amp;CONCATENATE($L$6,"/",B32),Proventos!$D:$D,"&lt;"&amp;CONCATENATE($M$6,"/",B32),Proventos!$J:$J,"="&amp;$H$2),
AND($H$2=Data!$A$10,$K$2=Data!$A$2),SUMIFS(Proventos!$H:$H,Proventos!$D:$D,"&gt;="&amp;CONCATENATE($L$6,"/",B32),Proventos!$D:$D,"&lt;"&amp;CONCATENATE($M$6,"/",B32),Proventos!$J:$J,"="&amp;$H$2),
AND($H$2=Data!$A$11,$K$2=Data!$A$2),SUMIFS(Proventos!$H:$H,Proventos!$D:$D,"&gt;="&amp;CONCATENATE($L$6,"/",B32),Proventos!$D:$D,"&lt;"&amp;CONCATENATE($M$6,"/",B32),Proventos!$J:$J,"="&amp;$H$2),
$K$2=Data!$A$2,SUMIFS(Proventos!$H:$H,Proventos!$D:$D,"&gt;="&amp;CONCATENATE($L$6,"/",B32),Proventos!$D:$D,"&lt;"&amp;CONCATENATE($M$6,"/",B32)),
$K$2&lt;&gt;Data!$A$2,SUMIFS(Proventos!$H:$H,Proventos!$D:$D,"&gt;="&amp;CONCATENATE($L$6,"/",B32),Proventos!$D:$D,"&lt;"&amp;CONCATENATE($M$6,"/",B32),Proventos!$A:$A,"="&amp;$K$2))</f>
        <v>0</v>
      </c>
      <c r="M32" s="245">
        <f>IFS(
AND($H$2=Data!$A$3,$K$2=Data!$A$2),SUMIFS(Proventos!$H:$H,Proventos!$D:$D,"&gt;="&amp;CONCATENATE($M$6,"/",B32),Proventos!$D:$D,"&lt;"&amp;CONCATENATE($N$6,"/",B32),Proventos!$J:$J,"="&amp;$H$2),
AND($H$2=Data!$A$4,$K$2=Data!$A$2),SUMIFS(Proventos!$H:$H,Proventos!$D:$D,"&gt;="&amp;CONCATENATE($M$6,"/",B32),Proventos!$D:$D,"&lt;"&amp;CONCATENATE($N$6,"/",B32),Proventos!$J:$J,"="&amp;$H$2),
AND($H$2=Data!$A$5,$K$2=Data!$A$2),SUMIFS(Proventos!$H:$H,Proventos!$D:$D,"&gt;="&amp;CONCATENATE($M$6,"/",B32),Proventos!$D:$D,"&lt;"&amp;CONCATENATE($N$6,"/",B32),Proventos!$J:$J,"="&amp;$H$2),
AND($H$2=Data!$A$6,$K$2=Data!$A$2),SUMIFS(Proventos!$H:$H,Proventos!$D:$D,"&gt;="&amp;CONCATENATE($M$6,"/",B32),Proventos!$D:$D,"&lt;"&amp;CONCATENATE($N$6,"/",B32),Proventos!$J:$J,"="&amp;$H$2),
AND($H$2=Data!$A$7,$K$2=Data!$A$2),SUMIFS(Proventos!$H:$H,Proventos!$D:$D,"&gt;="&amp;CONCATENATE($M$6,"/",B32),Proventos!$D:$D,"&lt;"&amp;CONCATENATE($N$6,"/",B32),Proventos!$J:$J,"="&amp;$H$2),
AND($H$2=Data!$A$8,$K$2=Data!$A$2),SUMIFS(Proventos!$H:$H,Proventos!$D:$D,"&gt;="&amp;CONCATENATE($M$6,"/",B32),Proventos!$D:$D,"&lt;"&amp;CONCATENATE($N$6,"/",B32),Proventos!$J:$J,"="&amp;$H$2),
AND($H$2=Data!$A$9,$K$2=Data!$A$2),SUMIFS(Proventos!$H:$H,Proventos!$D:$D,"&gt;="&amp;CONCATENATE($M$6,"/",B32),Proventos!$D:$D,"&lt;"&amp;CONCATENATE($N$6,"/",B32),Proventos!$J:$J,"="&amp;$H$2),
AND($H$2=Data!$A$10,$K$2=Data!$A$2),SUMIFS(Proventos!$H:$H,Proventos!$D:$D,"&gt;="&amp;CONCATENATE($M$6,"/",B32),Proventos!$D:$D,"&lt;"&amp;CONCATENATE($N$6,"/",B32),Proventos!$J:$J,"="&amp;$H$2),
AND($H$2=Data!$A$11,$K$2=Data!$A$2),SUMIFS(Proventos!$H:$H,Proventos!$D:$D,"&gt;="&amp;CONCATENATE($M$6,"/",B32),Proventos!$D:$D,"&lt;"&amp;CONCATENATE($N$6,"/",B32),Proventos!$J:$J,"="&amp;$H$2),
$K$2=Data!$A$2,SUMIFS(Proventos!$H:$H,Proventos!$D:$D,"&gt;="&amp;CONCATENATE($M$6,"/",B32),Proventos!$D:$D,"&lt;"&amp;CONCATENATE($N$6,"/",B32)),
$K$2&lt;&gt;Data!$A$2,SUMIFS(Proventos!$H:$H,Proventos!$D:$D,"&gt;="&amp;CONCATENATE($M$6,"/",B32),Proventos!$D:$D,"&lt;"&amp;CONCATENATE($N$6,"/",B32),Proventos!$A:$A,"="&amp;$K$2))</f>
        <v>0</v>
      </c>
      <c r="N32" s="245">
        <f>IFS(
AND($H$2=Data!$A$3,$K$2=Data!$A$2),SUMIFS(Proventos!$H:$H,Proventos!$D:$D,"&gt;="&amp;CONCATENATE($N$6,"/",B32),Proventos!$D:$D,"&lt;"&amp;CONCATENATE($C$6,"/",B33),Proventos!$J:$J,"="&amp;$H$2),
AND($H$2=Data!$A$4,$K$2=Data!$A$2),SUMIFS(Proventos!$H:$H,Proventos!$D:$D,"&gt;="&amp;CONCATENATE($N$6,"/",B32),Proventos!$D:$D,"&lt;"&amp;CONCATENATE($C$6,"/",B33),Proventos!$J:$J,"="&amp;$H$2),
AND($H$2=Data!$A$5,$K$2=Data!$A$2),SUMIFS(Proventos!$H:$H,Proventos!$D:$D,"&gt;="&amp;CONCATENATE($N$6,"/",B32),Proventos!$D:$D,"&lt;"&amp;CONCATENATE($C$6,"/",B33),Proventos!$J:$J,"="&amp;$H$2),
AND($H$2=Data!$A$6,$K$2=Data!$A$2),SUMIFS(Proventos!$H:$H,Proventos!$D:$D,"&gt;="&amp;CONCATENATE($N$6,"/",B32),Proventos!$D:$D,"&lt;"&amp;CONCATENATE($C$6,"/",B33),Proventos!$J:$J,"="&amp;$H$2),
AND($H$2=Data!$A$7,$K$2=Data!$A$2),SUMIFS(Proventos!$H:$H,Proventos!$D:$D,"&gt;="&amp;CONCATENATE($N$6,"/",B32),Proventos!$D:$D,"&lt;"&amp;CONCATENATE($C$6,"/",B33),Proventos!$J:$J,"="&amp;$H$2),
AND($H$2=Data!$A$8,$K$2=Data!$A$2),SUMIFS(Proventos!$H:$H,Proventos!$D:$D,"&gt;="&amp;CONCATENATE($N$6,"/",B32),Proventos!$D:$D,"&lt;"&amp;CONCATENATE($C$6,"/",B33),Proventos!$J:$J,"="&amp;$H$2),
AND($H$2=Data!$A$9,$K$2=Data!$A$2),SUMIFS(Proventos!$H:$H,Proventos!$D:$D,"&gt;="&amp;CONCATENATE($N$6,"/",B32),Proventos!$D:$D,"&lt;"&amp;CONCATENATE($C$6,"/",B33),Proventos!$J:$J,"="&amp;$H$2),
AND($H$2=Data!$A$10,$K$2=Data!$A$2),SUMIFS(Proventos!$H:$H,Proventos!$D:$D,"&gt;="&amp;CONCATENATE($N$6,"/",B32),Proventos!$D:$D,"&lt;"&amp;CONCATENATE($C$6,"/",B33),Proventos!$J:$J,"="&amp;$H$2),
AND($H$2=Data!$A$11,$K$2=Data!$A$2),SUMIFS(Proventos!$H:$H,Proventos!$D:$D,"&gt;="&amp;CONCATENATE($N$6,"/",B32),Proventos!$D:$D,"&lt;"&amp;CONCATENATE($C$6,"/",B33),Proventos!$J:$J,"="&amp;$H$2),
$K$2=Data!$A$2,SUMIFS(Proventos!$H:$H,Proventos!$D:$D,"&gt;="&amp;CONCATENATE($N$6,"/",B32),Proventos!$D:$D,"&lt;"&amp;CONCATENATE($C$6,"/",B33)),
$K$2&lt;&gt;Data!$A$2,SUMIFS(Proventos!$H:$H,Proventos!$D:$D,"&gt;="&amp;CONCATENATE($N$6,"/",B32),Proventos!$D:$D,"&lt;"&amp;CONCATENATE($C$6,"/",B33),Proventos!$A:$A,"="&amp;$K$2))</f>
        <v>0</v>
      </c>
      <c r="O32" s="245"/>
      <c r="P32" s="245">
        <f t="shared" si="1"/>
        <v>0</v>
      </c>
      <c r="Q32" s="245">
        <f t="shared" si="2"/>
        <v>0</v>
      </c>
    </row>
    <row r="33" ht="32.25" customHeight="1">
      <c r="A33" s="230"/>
      <c r="B33" s="244"/>
      <c r="C33" s="245">
        <f>IFS(
AND($H$2=Data!$A$3,$K$2=Data!$A$2),SUMIFS(Proventos!$H:$H,Proventos!$D:$D,"&gt;="&amp;CONCATENATE($C$6,"/",B33),Proventos!$D:$D,"&lt;"&amp;CONCATENATE($D$6,"/",B33),Proventos!$J:$J,"="&amp;$H$2),
AND($H$2=Data!$A$4,$K$2=Data!$A$2),SUMIFS(Proventos!$H:$H,Proventos!$D:$D,"&gt;="&amp;CONCATENATE($C$6,"/",B33),Proventos!$D:$D,"&lt;"&amp;CONCATENATE($D$6,"/",B33),Proventos!$J:$J,"="&amp;$H$2),
AND($H$2=Data!$A$5,$K$2=Data!$A$2),SUMIFS(Proventos!$H:$H,Proventos!$D:$D,"&gt;="&amp;CONCATENATE($C$6,"/",B33),Proventos!$D:$D,"&lt;"&amp;CONCATENATE($D$6,"/",B33),Proventos!$J:$J,"="&amp;$H$2),
AND($H$2=Data!$A$6,$K$2=Data!$A$2),SUMIFS(Proventos!$H:$H,Proventos!$D:$D,"&gt;="&amp;CONCATENATE($C$6,"/",B33),Proventos!$D:$D,"&lt;"&amp;CONCATENATE($D$6,"/",B33),Proventos!$J:$J,"="&amp;$H$2),
AND($H$2=Data!$A$7,$K$2=Data!$A$2),SUMIFS(Proventos!$H:$H,Proventos!$D:$D,"&gt;="&amp;CONCATENATE($C$6,"/",B33),Proventos!$D:$D,"&lt;"&amp;CONCATENATE($D$6,"/",B33),Proventos!$J:$J,"="&amp;$H$2),
AND($H$2=Data!$A$8,$K$2=Data!$A$2),SUMIFS(Proventos!$H:$H,Proventos!$D:$D,"&gt;="&amp;CONCATENATE($C$6,"/",B33),Proventos!$D:$D,"&lt;"&amp;CONCATENATE($D$6,"/",B33),Proventos!$J:$J,"="&amp;$H$2),
AND($H$2=Data!$A$9,$K$2=Data!$A$2),SUMIFS(Proventos!$H:$H,Proventos!$D:$D,"&gt;="&amp;CONCATENATE($C$6,"/",B33),Proventos!$D:$D,"&lt;"&amp;CONCATENATE($D$6,"/",B33),Proventos!$J:$J,"="&amp;$H$2),
AND($H$2=Data!$A$10,$K$2=Data!$A$2),SUMIFS(Proventos!$H:$H,Proventos!$D:$D,"&gt;="&amp;CONCATENATE($C$6,"/",B33),Proventos!$D:$D,"&lt;"&amp;CONCATENATE($D$6,"/",B33),Proventos!$J:$J,"="&amp;$H$2),
AND($H$2=Data!$A$11,$K$2=Data!$A$2),SUMIFS(Proventos!$H:$H,Proventos!$D:$D,"&gt;="&amp;CONCATENATE($C$6,"/",B33),Proventos!$D:$D,"&lt;"&amp;CONCATENATE($D$6,"/",B33),Proventos!$J:$J,"="&amp;$H$2),
$K$2=Data!$A$2,SUMIFS(Proventos!$H:$H,Proventos!$D:$D,"&gt;="&amp;CONCATENATE($C$6,"/",B33),Proventos!$D:$D,"&lt;"&amp;CONCATENATE($D$6,"/",B33)),
$K$2&lt;&gt;Data!$A$2,SUMIFS(Proventos!$H:$H,Proventos!$D:$D,"&gt;="&amp;CONCATENATE($C$6,"/",B33),Proventos!$D:$D,"&lt;"&amp;CONCATENATE($D$6,"/",B33),Proventos!$A:$A,"="&amp;$K$2))</f>
        <v>0</v>
      </c>
      <c r="D33" s="245">
        <f>IFS(
AND($H$2=Data!$A$3,$K$2=Data!$A$2),SUMIFS(Proventos!$H:$H,Proventos!$D:$D,"&gt;="&amp;CONCATENATE($D$6,"/",B33),Proventos!$D:$D,"&lt;"&amp;CONCATENATE($E$6,"/",B33),Proventos!$J:$J,"="&amp;$H$2),
AND($H$2=Data!$A$4,$K$2=Data!$A$2),SUMIFS(Proventos!$H:$H,Proventos!$D:$D,"&gt;="&amp;CONCATENATE($D$6,"/",B33),Proventos!$D:$D,"&lt;"&amp;CONCATENATE($E$6,"/",B33),Proventos!$J:$J,"="&amp;$H$2),
AND($H$2=Data!$A$5,$K$2=Data!$A$2),SUMIFS(Proventos!$H:$H,Proventos!$D:$D,"&gt;="&amp;CONCATENATE($D$6,"/",B33),Proventos!$D:$D,"&lt;"&amp;CONCATENATE($E$6,"/",B33),Proventos!$J:$J,"="&amp;$H$2),
AND($H$2=Data!$A$6,$K$2=Data!$A$2),SUMIFS(Proventos!$H:$H,Proventos!$D:$D,"&gt;="&amp;CONCATENATE($D$6,"/",B33),Proventos!$D:$D,"&lt;"&amp;CONCATENATE($E$6,"/",B33),Proventos!$J:$J,"="&amp;$H$2),
AND($H$2=Data!$A$7,$K$2=Data!$A$2),SUMIFS(Proventos!$H:$H,Proventos!$D:$D,"&gt;="&amp;CONCATENATE($D$6,"/",B33),Proventos!$D:$D,"&lt;"&amp;CONCATENATE($E$6,"/",B33),Proventos!$J:$J,"="&amp;$H$2),
AND($H$2=Data!$A$8,$K$2=Data!$A$2),SUMIFS(Proventos!$H:$H,Proventos!$D:$D,"&gt;="&amp;CONCATENATE($D$6,"/",B33),Proventos!$D:$D,"&lt;"&amp;CONCATENATE($E$6,"/",B33),Proventos!$J:$J,"="&amp;$H$2),
AND($H$2=Data!$A$9,$K$2=Data!$A$2),SUMIFS(Proventos!$H:$H,Proventos!$D:$D,"&gt;="&amp;CONCATENATE($D$6,"/",B33),Proventos!$D:$D,"&lt;"&amp;CONCATENATE($E$6,"/",B33),Proventos!$J:$J,"="&amp;$H$2),
AND($H$2=Data!$A$10,$K$2=Data!$A$2),SUMIFS(Proventos!$H:$H,Proventos!$D:$D,"&gt;="&amp;CONCATENATE($D$6,"/",B33),Proventos!$D:$D,"&lt;"&amp;CONCATENATE($E$6,"/",B33),Proventos!$J:$J,"="&amp;$H$2),
AND($H$2=Data!$A$11,$K$2=Data!$A$2),SUMIFS(Proventos!$H:$H,Proventos!$D:$D,"&gt;="&amp;CONCATENATE($D$6,"/",B33),Proventos!$D:$D,"&lt;"&amp;CONCATENATE($E$6,"/",B33),Proventos!$J:$J,"="&amp;$H$2),
$K$2=Data!$A$2,SUMIFS(Proventos!$H:$H,Proventos!$D:$D,"&gt;="&amp;CONCATENATE($D$6,"/",B33),Proventos!$D:$D,"&lt;"&amp;CONCATENATE($E$6,"/",B33)),
$K$2&lt;&gt;Data!$A$2,SUMIFS(Proventos!$H:$H,Proventos!$D:$D,"&gt;="&amp;CONCATENATE($D$6,"/",B33),Proventos!$D:$D,"&lt;"&amp;CONCATENATE($E$6,"/",B33),Proventos!$A:$A,"="&amp;$K$2))</f>
        <v>0</v>
      </c>
      <c r="E33" s="245">
        <f>IFS(
AND($H$2=Data!$A$3,$K$2=Data!$A$2),SUMIFS(Proventos!$H:$H,Proventos!$D:$D,"&gt;="&amp;CONCATENATE($E$6,"/",B33),Proventos!$D:$D,"&lt;"&amp;CONCATENATE($F$6,"/",B33),Proventos!$J:$J,"="&amp;$H$2),
AND($H$2=Data!$A$4,$K$2=Data!$A$2),SUMIFS(Proventos!$H:$H,Proventos!$D:$D,"&gt;="&amp;CONCATENATE($E$6,"/",B33),Proventos!$D:$D,"&lt;"&amp;CONCATENATE($F$6,"/",B33),Proventos!$J:$J,"="&amp;$H$2),
AND($H$2=Data!$A$5,$K$2=Data!$A$2),SUMIFS(Proventos!$H:$H,Proventos!$D:$D,"&gt;="&amp;CONCATENATE($E$6,"/",B33),Proventos!$D:$D,"&lt;"&amp;CONCATENATE($F$6,"/",B33),Proventos!$J:$J,"="&amp;$H$2),
AND($H$2=Data!$A$6,$K$2=Data!$A$2),SUMIFS(Proventos!$H:$H,Proventos!$D:$D,"&gt;="&amp;CONCATENATE($E$6,"/",B33),Proventos!$D:$D,"&lt;"&amp;CONCATENATE($F$6,"/",B33),Proventos!$J:$J,"="&amp;$H$2),
AND($H$2=Data!$A$7,$K$2=Data!$A$2),SUMIFS(Proventos!$H:$H,Proventos!$D:$D,"&gt;="&amp;CONCATENATE($E$6,"/",B33),Proventos!$D:$D,"&lt;"&amp;CONCATENATE($F$6,"/",B33),Proventos!$J:$J,"="&amp;$H$2),
AND($H$2=Data!$A$8,$K$2=Data!$A$2),SUMIFS(Proventos!$H:$H,Proventos!$D:$D,"&gt;="&amp;CONCATENATE($E$6,"/",B33),Proventos!$D:$D,"&lt;"&amp;CONCATENATE($F$6,"/",B33),Proventos!$J:$J,"="&amp;$H$2),
AND($H$2=Data!$A$9,$K$2=Data!$A$2),SUMIFS(Proventos!$H:$H,Proventos!$D:$D,"&gt;="&amp;CONCATENATE($E$6,"/",B33),Proventos!$D:$D,"&lt;"&amp;CONCATENATE($F$6,"/",B33),Proventos!$J:$J,"="&amp;$H$2),
AND($H$2=Data!$A$10,$K$2=Data!$A$2),SUMIFS(Proventos!$H:$H,Proventos!$D:$D,"&gt;="&amp;CONCATENATE($E$6,"/",B33),Proventos!$D:$D,"&lt;"&amp;CONCATENATE($F$6,"/",B33),Proventos!$J:$J,"="&amp;$H$2),
AND($H$2=Data!$A$11,$K$2=Data!$A$2),SUMIFS(Proventos!$H:$H,Proventos!$D:$D,"&gt;="&amp;CONCATENATE($E$6,"/",B33),Proventos!$D:$D,"&lt;"&amp;CONCATENATE($F$6,"/",B33),Proventos!$J:$J,"="&amp;$H$2),
$K$2=Data!$A$2,SUMIFS(Proventos!$H:$H,Proventos!$D:$D,"&gt;="&amp;CONCATENATE($E$6,"/",B33),Proventos!$D:$D,"&lt;"&amp;CONCATENATE($F$6,"/",B33)),
$K$2&lt;&gt;Data!$A$2,SUMIFS(Proventos!$H:$H,Proventos!$D:$D,"&gt;="&amp;CONCATENATE($E$6,"/",B33),Proventos!$D:$D,"&lt;"&amp;CONCATENATE($F$6,"/",B33),Proventos!$A:$A,"="&amp;$K$2))</f>
        <v>0</v>
      </c>
      <c r="F33" s="245">
        <f>IFS(
AND($H$2=Data!$A$3,$K$2=Data!$A$2),SUMIFS(Proventos!$H:$H,Proventos!$D:$D,"&gt;="&amp;CONCATENATE($F$6,"/",B33),Proventos!$D:$D,"&lt;"&amp;CONCATENATE($G$6,"/",B33),Proventos!$J:$J,"="&amp;$H$2),
AND($H$2=Data!$A$4,$K$2=Data!$A$2),SUMIFS(Proventos!$H:$H,Proventos!$D:$D,"&gt;="&amp;CONCATENATE($F$6,"/",B33),Proventos!$D:$D,"&lt;"&amp;CONCATENATE($G$6,"/",B33),Proventos!$J:$J,"="&amp;$H$2),
AND($H$2=Data!$A$5,$K$2=Data!$A$2),SUMIFS(Proventos!$H:$H,Proventos!$D:$D,"&gt;="&amp;CONCATENATE($F$6,"/",B33),Proventos!$D:$D,"&lt;"&amp;CONCATENATE($G$6,"/",B33),Proventos!$J:$J,"="&amp;$H$2),
AND($H$2=Data!$A$6,$K$2=Data!$A$2),SUMIFS(Proventos!$H:$H,Proventos!$D:$D,"&gt;="&amp;CONCATENATE($F$6,"/",B33),Proventos!$D:$D,"&lt;"&amp;CONCATENATE($G$6,"/",B33),Proventos!$J:$J,"="&amp;$H$2),
AND($H$2=Data!$A$7,$K$2=Data!$A$2),SUMIFS(Proventos!$H:$H,Proventos!$D:$D,"&gt;="&amp;CONCATENATE($F$6,"/",B33),Proventos!$D:$D,"&lt;"&amp;CONCATENATE($G$6,"/",B33),Proventos!$J:$J,"="&amp;$H$2),
AND($H$2=Data!$A$8,$K$2=Data!$A$2),SUMIFS(Proventos!$H:$H,Proventos!$D:$D,"&gt;="&amp;CONCATENATE($F$6,"/",B33),Proventos!$D:$D,"&lt;"&amp;CONCATENATE($G$6,"/",B33),Proventos!$J:$J,"="&amp;$H$2),
AND($H$2=Data!$A$9,$K$2=Data!$A$2),SUMIFS(Proventos!$H:$H,Proventos!$D:$D,"&gt;="&amp;CONCATENATE($F$6,"/",B33),Proventos!$D:$D,"&lt;"&amp;CONCATENATE($G$6,"/",B33),Proventos!$J:$J,"="&amp;$H$2),
AND($H$2=Data!$A$10,$K$2=Data!$A$2),SUMIFS(Proventos!$H:$H,Proventos!$D:$D,"&gt;="&amp;CONCATENATE($F$6,"/",B33),Proventos!$D:$D,"&lt;"&amp;CONCATENATE($G$6,"/",B33),Proventos!$J:$J,"="&amp;$H$2),
AND($H$2=Data!$A$11,$K$2=Data!$A$2),SUMIFS(Proventos!$H:$H,Proventos!$D:$D,"&gt;="&amp;CONCATENATE($F$6,"/",B33),Proventos!$D:$D,"&lt;"&amp;CONCATENATE($G$6,"/",B33),Proventos!$J:$J,"="&amp;$H$2),
$K$2=Data!$A$2,SUMIFS(Proventos!$H:$H,Proventos!$D:$D,"&gt;="&amp;CONCATENATE($F$6,"/",B33),Proventos!$D:$D,"&lt;"&amp;CONCATENATE($G$6,"/",B33)),
$K$2&lt;&gt;Data!$A$2,SUMIFS(Proventos!$H:$H,Proventos!$D:$D,"&gt;="&amp;CONCATENATE($F$6,"/",B33),Proventos!$D:$D,"&lt;"&amp;CONCATENATE($G$6,"/",B33),Proventos!$A:$A,"="&amp;$K$2))</f>
        <v>0</v>
      </c>
      <c r="G33" s="245">
        <f>IFS(
AND($H$2=Data!$A$3,$K$2=Data!$A$2),SUMIFS(Proventos!$H:$H,Proventos!$D:$D,"&gt;="&amp;CONCATENATE($G$6,"/",B33),Proventos!$D:$D,"&lt;"&amp;CONCATENATE($H$6,"/",B33),Proventos!$J:$J,"="&amp;$H$2),
AND($H$2=Data!$A$4,$K$2=Data!$A$2),SUMIFS(Proventos!$H:$H,Proventos!$D:$D,"&gt;="&amp;CONCATENATE($G$6,"/",B33),Proventos!$D:$D,"&lt;"&amp;CONCATENATE($H$6,"/",B33),Proventos!$J:$J,"="&amp;$H$2),
AND($H$2=Data!$A$5,$K$2=Data!$A$2),SUMIFS(Proventos!$H:$H,Proventos!$D:$D,"&gt;="&amp;CONCATENATE($G$6,"/",B33),Proventos!$D:$D,"&lt;"&amp;CONCATENATE($H$6,"/",B33),Proventos!$J:$J,"="&amp;$H$2),
AND($H$2=Data!$A$6,$K$2=Data!$A$2),SUMIFS(Proventos!$H:$H,Proventos!$D:$D,"&gt;="&amp;CONCATENATE($G$6,"/",B33),Proventos!$D:$D,"&lt;"&amp;CONCATENATE($H$6,"/",B33),Proventos!$J:$J,"="&amp;$H$2),
AND($H$2=Data!$A$7,$K$2=Data!$A$2),SUMIFS(Proventos!$H:$H,Proventos!$D:$D,"&gt;="&amp;CONCATENATE($G$6,"/",B33),Proventos!$D:$D,"&lt;"&amp;CONCATENATE($H$6,"/",B33),Proventos!$J:$J,"="&amp;$H$2),
AND($H$2=Data!$A$8,$K$2=Data!$A$2),SUMIFS(Proventos!$H:$H,Proventos!$D:$D,"&gt;="&amp;CONCATENATE($G$6,"/",B33),Proventos!$D:$D,"&lt;"&amp;CONCATENATE($H$6,"/",B33),Proventos!$J:$J,"="&amp;$H$2),
AND($H$2=Data!$A$9,$K$2=Data!$A$2),SUMIFS(Proventos!$H:$H,Proventos!$D:$D,"&gt;="&amp;CONCATENATE($G$6,"/",B33),Proventos!$D:$D,"&lt;"&amp;CONCATENATE($H$6,"/",B33),Proventos!$J:$J,"="&amp;$H$2),
AND($H$2=Data!$A$10,$K$2=Data!$A$2),SUMIFS(Proventos!$H:$H,Proventos!$D:$D,"&gt;="&amp;CONCATENATE($G$6,"/",B33),Proventos!$D:$D,"&lt;"&amp;CONCATENATE($H$6,"/",B33),Proventos!$J:$J,"="&amp;$H$2),
AND($H$2=Data!$A$11,$K$2=Data!$A$2),SUMIFS(Proventos!$H:$H,Proventos!$D:$D,"&gt;="&amp;CONCATENATE($G$6,"/",B33),Proventos!$D:$D,"&lt;"&amp;CONCATENATE($H$6,"/",B33),Proventos!$J:$J,"="&amp;$H$2),
$K$2=Data!$A$2,SUMIFS(Proventos!$H:$H,Proventos!$D:$D,"&gt;="&amp;CONCATENATE($G$6,"/",B33),Proventos!$D:$D,"&lt;"&amp;CONCATENATE($H$6,"/",B33)),
$K$2&lt;&gt;Data!$A$2,SUMIFS(Proventos!$H:$H,Proventos!$D:$D,"&gt;="&amp;CONCATENATE($G$6,"/",B33),Proventos!$D:$D,"&lt;"&amp;CONCATENATE($H$6,"/",B33),Proventos!$A:$A,"="&amp;$K$2))</f>
        <v>0</v>
      </c>
      <c r="H33" s="245">
        <f>IFS(
AND($H$2=Data!$A$3,$K$2=Data!$A$2),SUMIFS(Proventos!$H:$H,Proventos!$D:$D,"&gt;="&amp;CONCATENATE($H$6,"/",B33),Proventos!$D:$D,"&lt;"&amp;CONCATENATE($I$6,"/",B33),Proventos!$J:$J,"="&amp;$H$2),
AND($H$2=Data!$A$4,$K$2=Data!$A$2),SUMIFS(Proventos!$H:$H,Proventos!$D:$D,"&gt;="&amp;CONCATENATE($H$6,"/",B33),Proventos!$D:$D,"&lt;"&amp;CONCATENATE($I$6,"/",B33),Proventos!$J:$J,"="&amp;$H$2),
AND($H$2=Data!$A$5,$K$2=Data!$A$2),SUMIFS(Proventos!$H:$H,Proventos!$D:$D,"&gt;="&amp;CONCATENATE($H$6,"/",B33),Proventos!$D:$D,"&lt;"&amp;CONCATENATE($I$6,"/",B33),Proventos!$J:$J,"="&amp;$H$2),
AND($H$2=Data!$A$6,$K$2=Data!$A$2),SUMIFS(Proventos!$H:$H,Proventos!$D:$D,"&gt;="&amp;CONCATENATE($H$6,"/",B33),Proventos!$D:$D,"&lt;"&amp;CONCATENATE($I$6,"/",B33),Proventos!$J:$J,"="&amp;$H$2),
AND($H$2=Data!$A$7,$K$2=Data!$A$2),SUMIFS(Proventos!$H:$H,Proventos!$D:$D,"&gt;="&amp;CONCATENATE($H$6,"/",B33),Proventos!$D:$D,"&lt;"&amp;CONCATENATE($I$6,"/",B33),Proventos!$J:$J,"="&amp;$H$2),
AND($H$2=Data!$A$8,$K$2=Data!$A$2),SUMIFS(Proventos!$H:$H,Proventos!$D:$D,"&gt;="&amp;CONCATENATE($H$6,"/",B33),Proventos!$D:$D,"&lt;"&amp;CONCATENATE($I$6,"/",B33),Proventos!$J:$J,"="&amp;$H$2),
AND($H$2=Data!$A$9,$K$2=Data!$A$2),SUMIFS(Proventos!$H:$H,Proventos!$D:$D,"&gt;="&amp;CONCATENATE($H$6,"/",B33),Proventos!$D:$D,"&lt;"&amp;CONCATENATE($I$6,"/",B33),Proventos!$J:$J,"="&amp;$H$2),
AND($H$2=Data!$A$10,$K$2=Data!$A$2),SUMIFS(Proventos!$H:$H,Proventos!$D:$D,"&gt;="&amp;CONCATENATE($H$6,"/",B33),Proventos!$D:$D,"&lt;"&amp;CONCATENATE($I$6,"/",B33),Proventos!$J:$J,"="&amp;$H$2),
AND($H$2=Data!$A$11,$K$2=Data!$A$2),SUMIFS(Proventos!$H:$H,Proventos!$D:$D,"&gt;="&amp;CONCATENATE($H$6,"/",B33),Proventos!$D:$D,"&lt;"&amp;CONCATENATE($I$6,"/",B33),Proventos!$J:$J,"="&amp;$H$2),
$K$2=Data!$A$2,SUMIFS(Proventos!$H:$H,Proventos!$D:$D,"&gt;="&amp;CONCATENATE($H$6,"/",B33),Proventos!$D:$D,"&lt;"&amp;CONCATENATE($I$6,"/",B33)),
$K$2&lt;&gt;Data!$A$2,SUMIFS(Proventos!$H:$H,Proventos!$D:$D,"&gt;="&amp;CONCATENATE($H$6,"/",B33),Proventos!$D:$D,"&lt;"&amp;CONCATENATE($I$6,"/",B33),Proventos!$A:$A,"="&amp;$K$2))</f>
        <v>0</v>
      </c>
      <c r="I33" s="245">
        <f>IFS(
AND($H$2=Data!$A$3,$K$2=Data!$A$2),SUMIFS(Proventos!$H:$H,Proventos!$D:$D,"&gt;="&amp;CONCATENATE($I$6,"/",B33),Proventos!$D:$D,"&lt;"&amp;CONCATENATE($J$6,"/",B33),Proventos!$J:$J,"="&amp;$H$2),
AND($H$2=Data!$A$4,$K$2=Data!$A$2),SUMIFS(Proventos!$H:$H,Proventos!$D:$D,"&gt;="&amp;CONCATENATE($I$6,"/",B33),Proventos!$D:$D,"&lt;"&amp;CONCATENATE($J$6,"/",B33),Proventos!$J:$J,"="&amp;$H$2),
AND($H$2=Data!$A$5,$K$2=Data!$A$2),SUMIFS(Proventos!$H:$H,Proventos!$D:$D,"&gt;="&amp;CONCATENATE($I$6,"/",B33),Proventos!$D:$D,"&lt;"&amp;CONCATENATE($J$6,"/",B33),Proventos!$J:$J,"="&amp;$H$2),
AND($H$2=Data!$A$6,$K$2=Data!$A$2),SUMIFS(Proventos!$H:$H,Proventos!$D:$D,"&gt;="&amp;CONCATENATE($I$6,"/",B33),Proventos!$D:$D,"&lt;"&amp;CONCATENATE($J$6,"/",B33),Proventos!$J:$J,"="&amp;$H$2),
AND($H$2=Data!$A$7,$K$2=Data!$A$2),SUMIFS(Proventos!$H:$H,Proventos!$D:$D,"&gt;="&amp;CONCATENATE($I$6,"/",B33),Proventos!$D:$D,"&lt;"&amp;CONCATENATE($J$6,"/",B33),Proventos!$J:$J,"="&amp;$H$2),
AND($H$2=Data!$A$8,$K$2=Data!$A$2),SUMIFS(Proventos!$H:$H,Proventos!$D:$D,"&gt;="&amp;CONCATENATE($I$6,"/",B33),Proventos!$D:$D,"&lt;"&amp;CONCATENATE($J$6,"/",B33),Proventos!$J:$J,"="&amp;$H$2),
AND($H$2=Data!$A$9,$K$2=Data!$A$2),SUMIFS(Proventos!$H:$H,Proventos!$D:$D,"&gt;="&amp;CONCATENATE($I$6,"/",B33),Proventos!$D:$D,"&lt;"&amp;CONCATENATE($J$6,"/",B33),Proventos!$J:$J,"="&amp;$H$2),
AND($H$2=Data!$A$10,$K$2=Data!$A$2),SUMIFS(Proventos!$H:$H,Proventos!$D:$D,"&gt;="&amp;CONCATENATE($I$6,"/",B33),Proventos!$D:$D,"&lt;"&amp;CONCATENATE($J$6,"/",B33),Proventos!$J:$J,"="&amp;$H$2),
AND($H$2=Data!$A$11,$K$2=Data!$A$2),SUMIFS(Proventos!$H:$H,Proventos!$D:$D,"&gt;="&amp;CONCATENATE($I$6,"/",B33),Proventos!$D:$D,"&lt;"&amp;CONCATENATE($J$6,"/",B33),Proventos!$J:$J,"="&amp;$H$2),
$K$2=Data!$A$2,SUMIFS(Proventos!$H:$H,Proventos!$D:$D,"&gt;="&amp;CONCATENATE($I$6,"/",B33),Proventos!$D:$D,"&lt;"&amp;CONCATENATE($J$6,"/",B33)),
$K$2&lt;&gt;Data!$A$2,SUMIFS(Proventos!$H:$H,Proventos!$D:$D,"&gt;="&amp;CONCATENATE($I$6,"/",B33),Proventos!$D:$D,"&lt;"&amp;CONCATENATE($J$6,"/",B33),Proventos!$A:$A,"="&amp;$K$2))</f>
        <v>0</v>
      </c>
      <c r="J33" s="245">
        <f>IFS(
AND($H$2=Data!$A$3,$K$2=Data!$A$2),SUMIFS(Proventos!$H:$H,Proventos!$D:$D,"&gt;="&amp;CONCATENATE($J$6,"/",B33),Proventos!$D:$D,"&lt;"&amp;CONCATENATE($K$6,"/",B33),Proventos!$J:$J,"="&amp;$H$2),
AND($H$2=Data!$A$4,$K$2=Data!$A$2),SUMIFS(Proventos!$H:$H,Proventos!$D:$D,"&gt;="&amp;CONCATENATE($J$6,"/",B33),Proventos!$D:$D,"&lt;"&amp;CONCATENATE($K$6,"/",B33),Proventos!$J:$J,"="&amp;$H$2),
AND($H$2=Data!$A$5,$K$2=Data!$A$2),SUMIFS(Proventos!$H:$H,Proventos!$D:$D,"&gt;="&amp;CONCATENATE($J$6,"/",B33),Proventos!$D:$D,"&lt;"&amp;CONCATENATE($K$6,"/",B33),Proventos!$J:$J,"="&amp;$H$2),
AND($H$2=Data!$A$6,$K$2=Data!$A$2),SUMIFS(Proventos!$H:$H,Proventos!$D:$D,"&gt;="&amp;CONCATENATE($J$6,"/",B33),Proventos!$D:$D,"&lt;"&amp;CONCATENATE($K$6,"/",B33),Proventos!$J:$J,"="&amp;$H$2),
AND($H$2=Data!$A$7,$K$2=Data!$A$2),SUMIFS(Proventos!$H:$H,Proventos!$D:$D,"&gt;="&amp;CONCATENATE($J$6,"/",B33),Proventos!$D:$D,"&lt;"&amp;CONCATENATE($K$6,"/",B33),Proventos!$J:$J,"="&amp;$H$2),
AND($H$2=Data!$A$8,$K$2=Data!$A$2),SUMIFS(Proventos!$H:$H,Proventos!$D:$D,"&gt;="&amp;CONCATENATE($J$6,"/",B33),Proventos!$D:$D,"&lt;"&amp;CONCATENATE($K$6,"/",B33),Proventos!$J:$J,"="&amp;$H$2),
AND($H$2=Data!$A$9,$K$2=Data!$A$2),SUMIFS(Proventos!$H:$H,Proventos!$D:$D,"&gt;="&amp;CONCATENATE($J$6,"/",B33),Proventos!$D:$D,"&lt;"&amp;CONCATENATE($K$6,"/",B33),Proventos!$J:$J,"="&amp;$H$2),
AND($H$2=Data!$A$10,$K$2=Data!$A$2),SUMIFS(Proventos!$H:$H,Proventos!$D:$D,"&gt;="&amp;CONCATENATE($J$6,"/",B33),Proventos!$D:$D,"&lt;"&amp;CONCATENATE($K$6,"/",B33),Proventos!$J:$J,"="&amp;$H$2),
AND($H$2=Data!$A$11,$K$2=Data!$A$2),SUMIFS(Proventos!$H:$H,Proventos!$D:$D,"&gt;="&amp;CONCATENATE($J$6,"/",B33),Proventos!$D:$D,"&lt;"&amp;CONCATENATE($K$6,"/",B33),Proventos!$J:$J,"="&amp;$H$2),
$K$2=Data!$A$2,SUMIFS(Proventos!$H:$H,Proventos!$D:$D,"&gt;="&amp;CONCATENATE($J$6,"/",B33),Proventos!$D:$D,"&lt;"&amp;CONCATENATE($K$6,"/",B33)),
$K$2&lt;&gt;Data!$A$2,SUMIFS(Proventos!$H:$H,Proventos!$D:$D,"&gt;="&amp;CONCATENATE($J$6,"/",B33),Proventos!$D:$D,"&lt;"&amp;CONCATENATE($K$6,"/",B33),Proventos!$A:$A,"="&amp;$K$2))</f>
        <v>0</v>
      </c>
      <c r="K33" s="245">
        <f>IFS(
AND($H$2=Data!$A$3,$K$2=Data!$A$2),SUMIFS(Proventos!$H:$H,Proventos!$D:$D,"&gt;="&amp;CONCATENATE($K$6,"/",B33),Proventos!$D:$D,"&lt;"&amp;CONCATENATE($L$6,"/",B33),Proventos!$J:$J,"="&amp;$H$2),
AND($H$2=Data!$A$4,$K$2=Data!$A$2),SUMIFS(Proventos!$H:$H,Proventos!$D:$D,"&gt;="&amp;CONCATENATE($K$6,"/",B33),Proventos!$D:$D,"&lt;"&amp;CONCATENATE($L$6,"/",B33),Proventos!$J:$J,"="&amp;$H$2),
AND($H$2=Data!$A$5,$K$2=Data!$A$2),SUMIFS(Proventos!$H:$H,Proventos!$D:$D,"&gt;="&amp;CONCATENATE($K$6,"/",B33),Proventos!$D:$D,"&lt;"&amp;CONCATENATE($L$6,"/",B33),Proventos!$J:$J,"="&amp;$H$2),
AND($H$2=Data!$A$6,$K$2=Data!$A$2),SUMIFS(Proventos!$H:$H,Proventos!$D:$D,"&gt;="&amp;CONCATENATE($K$6,"/",B33),Proventos!$D:$D,"&lt;"&amp;CONCATENATE($L$6,"/",B33),Proventos!$J:$J,"="&amp;$H$2),
AND($H$2=Data!$A$7,$K$2=Data!$A$2),SUMIFS(Proventos!$H:$H,Proventos!$D:$D,"&gt;="&amp;CONCATENATE($K$6,"/",B33),Proventos!$D:$D,"&lt;"&amp;CONCATENATE($L$6,"/",B33),Proventos!$J:$J,"="&amp;$H$2),
AND($H$2=Data!$A$8,$K$2=Data!$A$2),SUMIFS(Proventos!$H:$H,Proventos!$D:$D,"&gt;="&amp;CONCATENATE($K$6,"/",B33),Proventos!$D:$D,"&lt;"&amp;CONCATENATE($L$6,"/",B33),Proventos!$J:$J,"="&amp;$H$2),
AND($H$2=Data!$A$9,$K$2=Data!$A$2),SUMIFS(Proventos!$H:$H,Proventos!$D:$D,"&gt;="&amp;CONCATENATE($K$6,"/",B33),Proventos!$D:$D,"&lt;"&amp;CONCATENATE($L$6,"/",B33),Proventos!$J:$J,"="&amp;$H$2),
AND($H$2=Data!$A$10,$K$2=Data!$A$2),SUMIFS(Proventos!$H:$H,Proventos!$D:$D,"&gt;="&amp;CONCATENATE($K$6,"/",B33),Proventos!$D:$D,"&lt;"&amp;CONCATENATE($L$6,"/",B33),Proventos!$J:$J,"="&amp;$H$2),
AND($H$2=Data!$A$11,$K$2=Data!$A$2),SUMIFS(Proventos!$H:$H,Proventos!$D:$D,"&gt;="&amp;CONCATENATE($K$6,"/",B33),Proventos!$D:$D,"&lt;"&amp;CONCATENATE($L$6,"/",B33),Proventos!$J:$J,"="&amp;$H$2),
$K$2=Data!$A$2,SUMIFS(Proventos!$H:$H,Proventos!$D:$D,"&gt;="&amp;CONCATENATE($K$6,"/",B33),Proventos!$D:$D,"&lt;"&amp;CONCATENATE($L$6,"/",B33)),
$K$2&lt;&gt;Data!$A$2,SUMIFS(Proventos!$H:$H,Proventos!$D:$D,"&gt;="&amp;CONCATENATE($K$6,"/",B33),Proventos!$D:$D,"&lt;"&amp;CONCATENATE($L$6,"/",B33),Proventos!$A:$A,"="&amp;$K$2))</f>
        <v>0</v>
      </c>
      <c r="L33" s="245">
        <f>IFS(
AND($H$2=Data!$A$3,$K$2=Data!$A$2),SUMIFS(Proventos!$H:$H,Proventos!$D:$D,"&gt;="&amp;CONCATENATE($L$6,"/",B33),Proventos!$D:$D,"&lt;"&amp;CONCATENATE($M$6,"/",B33),Proventos!$J:$J,"="&amp;$H$2),
AND($H$2=Data!$A$4,$K$2=Data!$A$2),SUMIFS(Proventos!$H:$H,Proventos!$D:$D,"&gt;="&amp;CONCATENATE($L$6,"/",B33),Proventos!$D:$D,"&lt;"&amp;CONCATENATE($M$6,"/",B33),Proventos!$J:$J,"="&amp;$H$2),
AND($H$2=Data!$A$5,$K$2=Data!$A$2),SUMIFS(Proventos!$H:$H,Proventos!$D:$D,"&gt;="&amp;CONCATENATE($L$6,"/",B33),Proventos!$D:$D,"&lt;"&amp;CONCATENATE($M$6,"/",B33),Proventos!$J:$J,"="&amp;$H$2),
AND($H$2=Data!$A$6,$K$2=Data!$A$2),SUMIFS(Proventos!$H:$H,Proventos!$D:$D,"&gt;="&amp;CONCATENATE($L$6,"/",B33),Proventos!$D:$D,"&lt;"&amp;CONCATENATE($M$6,"/",B33),Proventos!$J:$J,"="&amp;$H$2),
AND($H$2=Data!$A$7,$K$2=Data!$A$2),SUMIFS(Proventos!$H:$H,Proventos!$D:$D,"&gt;="&amp;CONCATENATE($L$6,"/",B33),Proventos!$D:$D,"&lt;"&amp;CONCATENATE($M$6,"/",B33),Proventos!$J:$J,"="&amp;$H$2),
AND($H$2=Data!$A$8,$K$2=Data!$A$2),SUMIFS(Proventos!$H:$H,Proventos!$D:$D,"&gt;="&amp;CONCATENATE($L$6,"/",B33),Proventos!$D:$D,"&lt;"&amp;CONCATENATE($M$6,"/",B33),Proventos!$J:$J,"="&amp;$H$2),
AND($H$2=Data!$A$9,$K$2=Data!$A$2),SUMIFS(Proventos!$H:$H,Proventos!$D:$D,"&gt;="&amp;CONCATENATE($L$6,"/",B33),Proventos!$D:$D,"&lt;"&amp;CONCATENATE($M$6,"/",B33),Proventos!$J:$J,"="&amp;$H$2),
AND($H$2=Data!$A$10,$K$2=Data!$A$2),SUMIFS(Proventos!$H:$H,Proventos!$D:$D,"&gt;="&amp;CONCATENATE($L$6,"/",B33),Proventos!$D:$D,"&lt;"&amp;CONCATENATE($M$6,"/",B33),Proventos!$J:$J,"="&amp;$H$2),
AND($H$2=Data!$A$11,$K$2=Data!$A$2),SUMIFS(Proventos!$H:$H,Proventos!$D:$D,"&gt;="&amp;CONCATENATE($L$6,"/",B33),Proventos!$D:$D,"&lt;"&amp;CONCATENATE($M$6,"/",B33),Proventos!$J:$J,"="&amp;$H$2),
$K$2=Data!$A$2,SUMIFS(Proventos!$H:$H,Proventos!$D:$D,"&gt;="&amp;CONCATENATE($L$6,"/",B33),Proventos!$D:$D,"&lt;"&amp;CONCATENATE($M$6,"/",B33)),
$K$2&lt;&gt;Data!$A$2,SUMIFS(Proventos!$H:$H,Proventos!$D:$D,"&gt;="&amp;CONCATENATE($L$6,"/",B33),Proventos!$D:$D,"&lt;"&amp;CONCATENATE($M$6,"/",B33),Proventos!$A:$A,"="&amp;$K$2))</f>
        <v>0</v>
      </c>
      <c r="M33" s="245">
        <f>IFS(
AND($H$2=Data!$A$3,$K$2=Data!$A$2),SUMIFS(Proventos!$H:$H,Proventos!$D:$D,"&gt;="&amp;CONCATENATE($M$6,"/",B33),Proventos!$D:$D,"&lt;"&amp;CONCATENATE($N$6,"/",B33),Proventos!$J:$J,"="&amp;$H$2),
AND($H$2=Data!$A$4,$K$2=Data!$A$2),SUMIFS(Proventos!$H:$H,Proventos!$D:$D,"&gt;="&amp;CONCATENATE($M$6,"/",B33),Proventos!$D:$D,"&lt;"&amp;CONCATENATE($N$6,"/",B33),Proventos!$J:$J,"="&amp;$H$2),
AND($H$2=Data!$A$5,$K$2=Data!$A$2),SUMIFS(Proventos!$H:$H,Proventos!$D:$D,"&gt;="&amp;CONCATENATE($M$6,"/",B33),Proventos!$D:$D,"&lt;"&amp;CONCATENATE($N$6,"/",B33),Proventos!$J:$J,"="&amp;$H$2),
AND($H$2=Data!$A$6,$K$2=Data!$A$2),SUMIFS(Proventos!$H:$H,Proventos!$D:$D,"&gt;="&amp;CONCATENATE($M$6,"/",B33),Proventos!$D:$D,"&lt;"&amp;CONCATENATE($N$6,"/",B33),Proventos!$J:$J,"="&amp;$H$2),
AND($H$2=Data!$A$7,$K$2=Data!$A$2),SUMIFS(Proventos!$H:$H,Proventos!$D:$D,"&gt;="&amp;CONCATENATE($M$6,"/",B33),Proventos!$D:$D,"&lt;"&amp;CONCATENATE($N$6,"/",B33),Proventos!$J:$J,"="&amp;$H$2),
AND($H$2=Data!$A$8,$K$2=Data!$A$2),SUMIFS(Proventos!$H:$H,Proventos!$D:$D,"&gt;="&amp;CONCATENATE($M$6,"/",B33),Proventos!$D:$D,"&lt;"&amp;CONCATENATE($N$6,"/",B33),Proventos!$J:$J,"="&amp;$H$2),
AND($H$2=Data!$A$9,$K$2=Data!$A$2),SUMIFS(Proventos!$H:$H,Proventos!$D:$D,"&gt;="&amp;CONCATENATE($M$6,"/",B33),Proventos!$D:$D,"&lt;"&amp;CONCATENATE($N$6,"/",B33),Proventos!$J:$J,"="&amp;$H$2),
AND($H$2=Data!$A$10,$K$2=Data!$A$2),SUMIFS(Proventos!$H:$H,Proventos!$D:$D,"&gt;="&amp;CONCATENATE($M$6,"/",B33),Proventos!$D:$D,"&lt;"&amp;CONCATENATE($N$6,"/",B33),Proventos!$J:$J,"="&amp;$H$2),
AND($H$2=Data!$A$11,$K$2=Data!$A$2),SUMIFS(Proventos!$H:$H,Proventos!$D:$D,"&gt;="&amp;CONCATENATE($M$6,"/",B33),Proventos!$D:$D,"&lt;"&amp;CONCATENATE($N$6,"/",B33),Proventos!$J:$J,"="&amp;$H$2),
$K$2=Data!$A$2,SUMIFS(Proventos!$H:$H,Proventos!$D:$D,"&gt;="&amp;CONCATENATE($M$6,"/",B33),Proventos!$D:$D,"&lt;"&amp;CONCATENATE($N$6,"/",B33)),
$K$2&lt;&gt;Data!$A$2,SUMIFS(Proventos!$H:$H,Proventos!$D:$D,"&gt;="&amp;CONCATENATE($M$6,"/",B33),Proventos!$D:$D,"&lt;"&amp;CONCATENATE($N$6,"/",B33),Proventos!$A:$A,"="&amp;$K$2))</f>
        <v>0</v>
      </c>
      <c r="N33" s="245">
        <f>IFS(
AND($H$2=Data!$A$3,$K$2=Data!$A$2),SUMIFS(Proventos!$H:$H,Proventos!$D:$D,"&gt;="&amp;CONCATENATE($N$6,"/",B33),Proventos!$D:$D,"&lt;"&amp;CONCATENATE($C$6,"/",B34),Proventos!$J:$J,"="&amp;$H$2),
AND($H$2=Data!$A$4,$K$2=Data!$A$2),SUMIFS(Proventos!$H:$H,Proventos!$D:$D,"&gt;="&amp;CONCATENATE($N$6,"/",B33),Proventos!$D:$D,"&lt;"&amp;CONCATENATE($C$6,"/",B34),Proventos!$J:$J,"="&amp;$H$2),
AND($H$2=Data!$A$5,$K$2=Data!$A$2),SUMIFS(Proventos!$H:$H,Proventos!$D:$D,"&gt;="&amp;CONCATENATE($N$6,"/",B33),Proventos!$D:$D,"&lt;"&amp;CONCATENATE($C$6,"/",B34),Proventos!$J:$J,"="&amp;$H$2),
AND($H$2=Data!$A$6,$K$2=Data!$A$2),SUMIFS(Proventos!$H:$H,Proventos!$D:$D,"&gt;="&amp;CONCATENATE($N$6,"/",B33),Proventos!$D:$D,"&lt;"&amp;CONCATENATE($C$6,"/",B34),Proventos!$J:$J,"="&amp;$H$2),
AND($H$2=Data!$A$7,$K$2=Data!$A$2),SUMIFS(Proventos!$H:$H,Proventos!$D:$D,"&gt;="&amp;CONCATENATE($N$6,"/",B33),Proventos!$D:$D,"&lt;"&amp;CONCATENATE($C$6,"/",B34),Proventos!$J:$J,"="&amp;$H$2),
AND($H$2=Data!$A$8,$K$2=Data!$A$2),SUMIFS(Proventos!$H:$H,Proventos!$D:$D,"&gt;="&amp;CONCATENATE($N$6,"/",B33),Proventos!$D:$D,"&lt;"&amp;CONCATENATE($C$6,"/",B34),Proventos!$J:$J,"="&amp;$H$2),
AND($H$2=Data!$A$9,$K$2=Data!$A$2),SUMIFS(Proventos!$H:$H,Proventos!$D:$D,"&gt;="&amp;CONCATENATE($N$6,"/",B33),Proventos!$D:$D,"&lt;"&amp;CONCATENATE($C$6,"/",B34),Proventos!$J:$J,"="&amp;$H$2),
AND($H$2=Data!$A$10,$K$2=Data!$A$2),SUMIFS(Proventos!$H:$H,Proventos!$D:$D,"&gt;="&amp;CONCATENATE($N$6,"/",B33),Proventos!$D:$D,"&lt;"&amp;CONCATENATE($C$6,"/",B34),Proventos!$J:$J,"="&amp;$H$2),
AND($H$2=Data!$A$11,$K$2=Data!$A$2),SUMIFS(Proventos!$H:$H,Proventos!$D:$D,"&gt;="&amp;CONCATENATE($N$6,"/",B33),Proventos!$D:$D,"&lt;"&amp;CONCATENATE($C$6,"/",B34),Proventos!$J:$J,"="&amp;$H$2),
$K$2=Data!$A$2,SUMIFS(Proventos!$H:$H,Proventos!$D:$D,"&gt;="&amp;CONCATENATE($N$6,"/",B33),Proventos!$D:$D,"&lt;"&amp;CONCATENATE($C$6,"/",B34)),
$K$2&lt;&gt;Data!$A$2,SUMIFS(Proventos!$H:$H,Proventos!$D:$D,"&gt;="&amp;CONCATENATE($N$6,"/",B33),Proventos!$D:$D,"&lt;"&amp;CONCATENATE($C$6,"/",B34),Proventos!$A:$A,"="&amp;$K$2))</f>
        <v>0</v>
      </c>
      <c r="O33" s="245"/>
      <c r="P33" s="245">
        <f t="shared" si="1"/>
        <v>0</v>
      </c>
      <c r="Q33" s="245">
        <f t="shared" si="2"/>
        <v>0</v>
      </c>
    </row>
    <row r="34" ht="32.25" customHeight="1">
      <c r="A34" s="230"/>
      <c r="B34" s="244"/>
      <c r="C34" s="245">
        <f>IFS(
AND($H$2=Data!$A$3,$K$2=Data!$A$2),SUMIFS(Proventos!$H:$H,Proventos!$D:$D,"&gt;="&amp;CONCATENATE($C$6,"/",B34),Proventos!$D:$D,"&lt;"&amp;CONCATENATE($D$6,"/",B34),Proventos!$J:$J,"="&amp;$H$2),
AND($H$2=Data!$A$4,$K$2=Data!$A$2),SUMIFS(Proventos!$H:$H,Proventos!$D:$D,"&gt;="&amp;CONCATENATE($C$6,"/",B34),Proventos!$D:$D,"&lt;"&amp;CONCATENATE($D$6,"/",B34),Proventos!$J:$J,"="&amp;$H$2),
AND($H$2=Data!$A$5,$K$2=Data!$A$2),SUMIFS(Proventos!$H:$H,Proventos!$D:$D,"&gt;="&amp;CONCATENATE($C$6,"/",B34),Proventos!$D:$D,"&lt;"&amp;CONCATENATE($D$6,"/",B34),Proventos!$J:$J,"="&amp;$H$2),
AND($H$2=Data!$A$6,$K$2=Data!$A$2),SUMIFS(Proventos!$H:$H,Proventos!$D:$D,"&gt;="&amp;CONCATENATE($C$6,"/",B34),Proventos!$D:$D,"&lt;"&amp;CONCATENATE($D$6,"/",B34),Proventos!$J:$J,"="&amp;$H$2),
AND($H$2=Data!$A$7,$K$2=Data!$A$2),SUMIFS(Proventos!$H:$H,Proventos!$D:$D,"&gt;="&amp;CONCATENATE($C$6,"/",B34),Proventos!$D:$D,"&lt;"&amp;CONCATENATE($D$6,"/",B34),Proventos!$J:$J,"="&amp;$H$2),
AND($H$2=Data!$A$8,$K$2=Data!$A$2),SUMIFS(Proventos!$H:$H,Proventos!$D:$D,"&gt;="&amp;CONCATENATE($C$6,"/",B34),Proventos!$D:$D,"&lt;"&amp;CONCATENATE($D$6,"/",B34),Proventos!$J:$J,"="&amp;$H$2),
AND($H$2=Data!$A$9,$K$2=Data!$A$2),SUMIFS(Proventos!$H:$H,Proventos!$D:$D,"&gt;="&amp;CONCATENATE($C$6,"/",B34),Proventos!$D:$D,"&lt;"&amp;CONCATENATE($D$6,"/",B34),Proventos!$J:$J,"="&amp;$H$2),
AND($H$2=Data!$A$10,$K$2=Data!$A$2),SUMIFS(Proventos!$H:$H,Proventos!$D:$D,"&gt;="&amp;CONCATENATE($C$6,"/",B34),Proventos!$D:$D,"&lt;"&amp;CONCATENATE($D$6,"/",B34),Proventos!$J:$J,"="&amp;$H$2),
AND($H$2=Data!$A$11,$K$2=Data!$A$2),SUMIFS(Proventos!$H:$H,Proventos!$D:$D,"&gt;="&amp;CONCATENATE($C$6,"/",B34),Proventos!$D:$D,"&lt;"&amp;CONCATENATE($D$6,"/",B34),Proventos!$J:$J,"="&amp;$H$2),
$K$2=Data!$A$2,SUMIFS(Proventos!$H:$H,Proventos!$D:$D,"&gt;="&amp;CONCATENATE($C$6,"/",B34),Proventos!$D:$D,"&lt;"&amp;CONCATENATE($D$6,"/",B34)),
$K$2&lt;&gt;Data!$A$2,SUMIFS(Proventos!$H:$H,Proventos!$D:$D,"&gt;="&amp;CONCATENATE($C$6,"/",B34),Proventos!$D:$D,"&lt;"&amp;CONCATENATE($D$6,"/",B34),Proventos!$A:$A,"="&amp;$K$2))</f>
        <v>0</v>
      </c>
      <c r="D34" s="245">
        <f>IFS(
AND($H$2=Data!$A$3,$K$2=Data!$A$2),SUMIFS(Proventos!$H:$H,Proventos!$D:$D,"&gt;="&amp;CONCATENATE($D$6,"/",B34),Proventos!$D:$D,"&lt;"&amp;CONCATENATE($E$6,"/",B34),Proventos!$J:$J,"="&amp;$H$2),
AND($H$2=Data!$A$4,$K$2=Data!$A$2),SUMIFS(Proventos!$H:$H,Proventos!$D:$D,"&gt;="&amp;CONCATENATE($D$6,"/",B34),Proventos!$D:$D,"&lt;"&amp;CONCATENATE($E$6,"/",B34),Proventos!$J:$J,"="&amp;$H$2),
AND($H$2=Data!$A$5,$K$2=Data!$A$2),SUMIFS(Proventos!$H:$H,Proventos!$D:$D,"&gt;="&amp;CONCATENATE($D$6,"/",B34),Proventos!$D:$D,"&lt;"&amp;CONCATENATE($E$6,"/",B34),Proventos!$J:$J,"="&amp;$H$2),
AND($H$2=Data!$A$6,$K$2=Data!$A$2),SUMIFS(Proventos!$H:$H,Proventos!$D:$D,"&gt;="&amp;CONCATENATE($D$6,"/",B34),Proventos!$D:$D,"&lt;"&amp;CONCATENATE($E$6,"/",B34),Proventos!$J:$J,"="&amp;$H$2),
AND($H$2=Data!$A$7,$K$2=Data!$A$2),SUMIFS(Proventos!$H:$H,Proventos!$D:$D,"&gt;="&amp;CONCATENATE($D$6,"/",B34),Proventos!$D:$D,"&lt;"&amp;CONCATENATE($E$6,"/",B34),Proventos!$J:$J,"="&amp;$H$2),
AND($H$2=Data!$A$8,$K$2=Data!$A$2),SUMIFS(Proventos!$H:$H,Proventos!$D:$D,"&gt;="&amp;CONCATENATE($D$6,"/",B34),Proventos!$D:$D,"&lt;"&amp;CONCATENATE($E$6,"/",B34),Proventos!$J:$J,"="&amp;$H$2),
AND($H$2=Data!$A$9,$K$2=Data!$A$2),SUMIFS(Proventos!$H:$H,Proventos!$D:$D,"&gt;="&amp;CONCATENATE($D$6,"/",B34),Proventos!$D:$D,"&lt;"&amp;CONCATENATE($E$6,"/",B34),Proventos!$J:$J,"="&amp;$H$2),
AND($H$2=Data!$A$10,$K$2=Data!$A$2),SUMIFS(Proventos!$H:$H,Proventos!$D:$D,"&gt;="&amp;CONCATENATE($D$6,"/",B34),Proventos!$D:$D,"&lt;"&amp;CONCATENATE($E$6,"/",B34),Proventos!$J:$J,"="&amp;$H$2),
AND($H$2=Data!$A$11,$K$2=Data!$A$2),SUMIFS(Proventos!$H:$H,Proventos!$D:$D,"&gt;="&amp;CONCATENATE($D$6,"/",B34),Proventos!$D:$D,"&lt;"&amp;CONCATENATE($E$6,"/",B34),Proventos!$J:$J,"="&amp;$H$2),
$K$2=Data!$A$2,SUMIFS(Proventos!$H:$H,Proventos!$D:$D,"&gt;="&amp;CONCATENATE($D$6,"/",B34),Proventos!$D:$D,"&lt;"&amp;CONCATENATE($E$6,"/",B34)),
$K$2&lt;&gt;Data!$A$2,SUMIFS(Proventos!$H:$H,Proventos!$D:$D,"&gt;="&amp;CONCATENATE($D$6,"/",B34),Proventos!$D:$D,"&lt;"&amp;CONCATENATE($E$6,"/",B34),Proventos!$A:$A,"="&amp;$K$2))</f>
        <v>0</v>
      </c>
      <c r="E34" s="245">
        <f>IFS(
AND($H$2=Data!$A$3,$K$2=Data!$A$2),SUMIFS(Proventos!$H:$H,Proventos!$D:$D,"&gt;="&amp;CONCATENATE($E$6,"/",B34),Proventos!$D:$D,"&lt;"&amp;CONCATENATE($F$6,"/",B34),Proventos!$J:$J,"="&amp;$H$2),
AND($H$2=Data!$A$4,$K$2=Data!$A$2),SUMIFS(Proventos!$H:$H,Proventos!$D:$D,"&gt;="&amp;CONCATENATE($E$6,"/",B34),Proventos!$D:$D,"&lt;"&amp;CONCATENATE($F$6,"/",B34),Proventos!$J:$J,"="&amp;$H$2),
AND($H$2=Data!$A$5,$K$2=Data!$A$2),SUMIFS(Proventos!$H:$H,Proventos!$D:$D,"&gt;="&amp;CONCATENATE($E$6,"/",B34),Proventos!$D:$D,"&lt;"&amp;CONCATENATE($F$6,"/",B34),Proventos!$J:$J,"="&amp;$H$2),
AND($H$2=Data!$A$6,$K$2=Data!$A$2),SUMIFS(Proventos!$H:$H,Proventos!$D:$D,"&gt;="&amp;CONCATENATE($E$6,"/",B34),Proventos!$D:$D,"&lt;"&amp;CONCATENATE($F$6,"/",B34),Proventos!$J:$J,"="&amp;$H$2),
AND($H$2=Data!$A$7,$K$2=Data!$A$2),SUMIFS(Proventos!$H:$H,Proventos!$D:$D,"&gt;="&amp;CONCATENATE($E$6,"/",B34),Proventos!$D:$D,"&lt;"&amp;CONCATENATE($F$6,"/",B34),Proventos!$J:$J,"="&amp;$H$2),
AND($H$2=Data!$A$8,$K$2=Data!$A$2),SUMIFS(Proventos!$H:$H,Proventos!$D:$D,"&gt;="&amp;CONCATENATE($E$6,"/",B34),Proventos!$D:$D,"&lt;"&amp;CONCATENATE($F$6,"/",B34),Proventos!$J:$J,"="&amp;$H$2),
AND($H$2=Data!$A$9,$K$2=Data!$A$2),SUMIFS(Proventos!$H:$H,Proventos!$D:$D,"&gt;="&amp;CONCATENATE($E$6,"/",B34),Proventos!$D:$D,"&lt;"&amp;CONCATENATE($F$6,"/",B34),Proventos!$J:$J,"="&amp;$H$2),
AND($H$2=Data!$A$10,$K$2=Data!$A$2),SUMIFS(Proventos!$H:$H,Proventos!$D:$D,"&gt;="&amp;CONCATENATE($E$6,"/",B34),Proventos!$D:$D,"&lt;"&amp;CONCATENATE($F$6,"/",B34),Proventos!$J:$J,"="&amp;$H$2),
AND($H$2=Data!$A$11,$K$2=Data!$A$2),SUMIFS(Proventos!$H:$H,Proventos!$D:$D,"&gt;="&amp;CONCATENATE($E$6,"/",B34),Proventos!$D:$D,"&lt;"&amp;CONCATENATE($F$6,"/",B34),Proventos!$J:$J,"="&amp;$H$2),
$K$2=Data!$A$2,SUMIFS(Proventos!$H:$H,Proventos!$D:$D,"&gt;="&amp;CONCATENATE($E$6,"/",B34),Proventos!$D:$D,"&lt;"&amp;CONCATENATE($F$6,"/",B34)),
$K$2&lt;&gt;Data!$A$2,SUMIFS(Proventos!$H:$H,Proventos!$D:$D,"&gt;="&amp;CONCATENATE($E$6,"/",B34),Proventos!$D:$D,"&lt;"&amp;CONCATENATE($F$6,"/",B34),Proventos!$A:$A,"="&amp;$K$2))</f>
        <v>0</v>
      </c>
      <c r="F34" s="245">
        <f>IFS(
AND($H$2=Data!$A$3,$K$2=Data!$A$2),SUMIFS(Proventos!$H:$H,Proventos!$D:$D,"&gt;="&amp;CONCATENATE($F$6,"/",B34),Proventos!$D:$D,"&lt;"&amp;CONCATENATE($G$6,"/",B34),Proventos!$J:$J,"="&amp;$H$2),
AND($H$2=Data!$A$4,$K$2=Data!$A$2),SUMIFS(Proventos!$H:$H,Proventos!$D:$D,"&gt;="&amp;CONCATENATE($F$6,"/",B34),Proventos!$D:$D,"&lt;"&amp;CONCATENATE($G$6,"/",B34),Proventos!$J:$J,"="&amp;$H$2),
AND($H$2=Data!$A$5,$K$2=Data!$A$2),SUMIFS(Proventos!$H:$H,Proventos!$D:$D,"&gt;="&amp;CONCATENATE($F$6,"/",B34),Proventos!$D:$D,"&lt;"&amp;CONCATENATE($G$6,"/",B34),Proventos!$J:$J,"="&amp;$H$2),
AND($H$2=Data!$A$6,$K$2=Data!$A$2),SUMIFS(Proventos!$H:$H,Proventos!$D:$D,"&gt;="&amp;CONCATENATE($F$6,"/",B34),Proventos!$D:$D,"&lt;"&amp;CONCATENATE($G$6,"/",B34),Proventos!$J:$J,"="&amp;$H$2),
AND($H$2=Data!$A$7,$K$2=Data!$A$2),SUMIFS(Proventos!$H:$H,Proventos!$D:$D,"&gt;="&amp;CONCATENATE($F$6,"/",B34),Proventos!$D:$D,"&lt;"&amp;CONCATENATE($G$6,"/",B34),Proventos!$J:$J,"="&amp;$H$2),
AND($H$2=Data!$A$8,$K$2=Data!$A$2),SUMIFS(Proventos!$H:$H,Proventos!$D:$D,"&gt;="&amp;CONCATENATE($F$6,"/",B34),Proventos!$D:$D,"&lt;"&amp;CONCATENATE($G$6,"/",B34),Proventos!$J:$J,"="&amp;$H$2),
AND($H$2=Data!$A$9,$K$2=Data!$A$2),SUMIFS(Proventos!$H:$H,Proventos!$D:$D,"&gt;="&amp;CONCATENATE($F$6,"/",B34),Proventos!$D:$D,"&lt;"&amp;CONCATENATE($G$6,"/",B34),Proventos!$J:$J,"="&amp;$H$2),
AND($H$2=Data!$A$10,$K$2=Data!$A$2),SUMIFS(Proventos!$H:$H,Proventos!$D:$D,"&gt;="&amp;CONCATENATE($F$6,"/",B34),Proventos!$D:$D,"&lt;"&amp;CONCATENATE($G$6,"/",B34),Proventos!$J:$J,"="&amp;$H$2),
AND($H$2=Data!$A$11,$K$2=Data!$A$2),SUMIFS(Proventos!$H:$H,Proventos!$D:$D,"&gt;="&amp;CONCATENATE($F$6,"/",B34),Proventos!$D:$D,"&lt;"&amp;CONCATENATE($G$6,"/",B34),Proventos!$J:$J,"="&amp;$H$2),
$K$2=Data!$A$2,SUMIFS(Proventos!$H:$H,Proventos!$D:$D,"&gt;="&amp;CONCATENATE($F$6,"/",B34),Proventos!$D:$D,"&lt;"&amp;CONCATENATE($G$6,"/",B34)),
$K$2&lt;&gt;Data!$A$2,SUMIFS(Proventos!$H:$H,Proventos!$D:$D,"&gt;="&amp;CONCATENATE($F$6,"/",B34),Proventos!$D:$D,"&lt;"&amp;CONCATENATE($G$6,"/",B34),Proventos!$A:$A,"="&amp;$K$2))</f>
        <v>0</v>
      </c>
      <c r="G34" s="245">
        <f>IFS(
AND($H$2=Data!$A$3,$K$2=Data!$A$2),SUMIFS(Proventos!$H:$H,Proventos!$D:$D,"&gt;="&amp;CONCATENATE($G$6,"/",B34),Proventos!$D:$D,"&lt;"&amp;CONCATENATE($H$6,"/",B34),Proventos!$J:$J,"="&amp;$H$2),
AND($H$2=Data!$A$4,$K$2=Data!$A$2),SUMIFS(Proventos!$H:$H,Proventos!$D:$D,"&gt;="&amp;CONCATENATE($G$6,"/",B34),Proventos!$D:$D,"&lt;"&amp;CONCATENATE($H$6,"/",B34),Proventos!$J:$J,"="&amp;$H$2),
AND($H$2=Data!$A$5,$K$2=Data!$A$2),SUMIFS(Proventos!$H:$H,Proventos!$D:$D,"&gt;="&amp;CONCATENATE($G$6,"/",B34),Proventos!$D:$D,"&lt;"&amp;CONCATENATE($H$6,"/",B34),Proventos!$J:$J,"="&amp;$H$2),
AND($H$2=Data!$A$6,$K$2=Data!$A$2),SUMIFS(Proventos!$H:$H,Proventos!$D:$D,"&gt;="&amp;CONCATENATE($G$6,"/",B34),Proventos!$D:$D,"&lt;"&amp;CONCATENATE($H$6,"/",B34),Proventos!$J:$J,"="&amp;$H$2),
AND($H$2=Data!$A$7,$K$2=Data!$A$2),SUMIFS(Proventos!$H:$H,Proventos!$D:$D,"&gt;="&amp;CONCATENATE($G$6,"/",B34),Proventos!$D:$D,"&lt;"&amp;CONCATENATE($H$6,"/",B34),Proventos!$J:$J,"="&amp;$H$2),
AND($H$2=Data!$A$8,$K$2=Data!$A$2),SUMIFS(Proventos!$H:$H,Proventos!$D:$D,"&gt;="&amp;CONCATENATE($G$6,"/",B34),Proventos!$D:$D,"&lt;"&amp;CONCATENATE($H$6,"/",B34),Proventos!$J:$J,"="&amp;$H$2),
AND($H$2=Data!$A$9,$K$2=Data!$A$2),SUMIFS(Proventos!$H:$H,Proventos!$D:$D,"&gt;="&amp;CONCATENATE($G$6,"/",B34),Proventos!$D:$D,"&lt;"&amp;CONCATENATE($H$6,"/",B34),Proventos!$J:$J,"="&amp;$H$2),
AND($H$2=Data!$A$10,$K$2=Data!$A$2),SUMIFS(Proventos!$H:$H,Proventos!$D:$D,"&gt;="&amp;CONCATENATE($G$6,"/",B34),Proventos!$D:$D,"&lt;"&amp;CONCATENATE($H$6,"/",B34),Proventos!$J:$J,"="&amp;$H$2),
AND($H$2=Data!$A$11,$K$2=Data!$A$2),SUMIFS(Proventos!$H:$H,Proventos!$D:$D,"&gt;="&amp;CONCATENATE($G$6,"/",B34),Proventos!$D:$D,"&lt;"&amp;CONCATENATE($H$6,"/",B34),Proventos!$J:$J,"="&amp;$H$2),
$K$2=Data!$A$2,SUMIFS(Proventos!$H:$H,Proventos!$D:$D,"&gt;="&amp;CONCATENATE($G$6,"/",B34),Proventos!$D:$D,"&lt;"&amp;CONCATENATE($H$6,"/",B34)),
$K$2&lt;&gt;Data!$A$2,SUMIFS(Proventos!$H:$H,Proventos!$D:$D,"&gt;="&amp;CONCATENATE($G$6,"/",B34),Proventos!$D:$D,"&lt;"&amp;CONCATENATE($H$6,"/",B34),Proventos!$A:$A,"="&amp;$K$2))</f>
        <v>0</v>
      </c>
      <c r="H34" s="245">
        <f>IFS(
AND($H$2=Data!$A$3,$K$2=Data!$A$2),SUMIFS(Proventos!$H:$H,Proventos!$D:$D,"&gt;="&amp;CONCATENATE($H$6,"/",B34),Proventos!$D:$D,"&lt;"&amp;CONCATENATE($I$6,"/",B34),Proventos!$J:$J,"="&amp;$H$2),
AND($H$2=Data!$A$4,$K$2=Data!$A$2),SUMIFS(Proventos!$H:$H,Proventos!$D:$D,"&gt;="&amp;CONCATENATE($H$6,"/",B34),Proventos!$D:$D,"&lt;"&amp;CONCATENATE($I$6,"/",B34),Proventos!$J:$J,"="&amp;$H$2),
AND($H$2=Data!$A$5,$K$2=Data!$A$2),SUMIFS(Proventos!$H:$H,Proventos!$D:$D,"&gt;="&amp;CONCATENATE($H$6,"/",B34),Proventos!$D:$D,"&lt;"&amp;CONCATENATE($I$6,"/",B34),Proventos!$J:$J,"="&amp;$H$2),
AND($H$2=Data!$A$6,$K$2=Data!$A$2),SUMIFS(Proventos!$H:$H,Proventos!$D:$D,"&gt;="&amp;CONCATENATE($H$6,"/",B34),Proventos!$D:$D,"&lt;"&amp;CONCATENATE($I$6,"/",B34),Proventos!$J:$J,"="&amp;$H$2),
AND($H$2=Data!$A$7,$K$2=Data!$A$2),SUMIFS(Proventos!$H:$H,Proventos!$D:$D,"&gt;="&amp;CONCATENATE($H$6,"/",B34),Proventos!$D:$D,"&lt;"&amp;CONCATENATE($I$6,"/",B34),Proventos!$J:$J,"="&amp;$H$2),
AND($H$2=Data!$A$8,$K$2=Data!$A$2),SUMIFS(Proventos!$H:$H,Proventos!$D:$D,"&gt;="&amp;CONCATENATE($H$6,"/",B34),Proventos!$D:$D,"&lt;"&amp;CONCATENATE($I$6,"/",B34),Proventos!$J:$J,"="&amp;$H$2),
AND($H$2=Data!$A$9,$K$2=Data!$A$2),SUMIFS(Proventos!$H:$H,Proventos!$D:$D,"&gt;="&amp;CONCATENATE($H$6,"/",B34),Proventos!$D:$D,"&lt;"&amp;CONCATENATE($I$6,"/",B34),Proventos!$J:$J,"="&amp;$H$2),
AND($H$2=Data!$A$10,$K$2=Data!$A$2),SUMIFS(Proventos!$H:$H,Proventos!$D:$D,"&gt;="&amp;CONCATENATE($H$6,"/",B34),Proventos!$D:$D,"&lt;"&amp;CONCATENATE($I$6,"/",B34),Proventos!$J:$J,"="&amp;$H$2),
AND($H$2=Data!$A$11,$K$2=Data!$A$2),SUMIFS(Proventos!$H:$H,Proventos!$D:$D,"&gt;="&amp;CONCATENATE($H$6,"/",B34),Proventos!$D:$D,"&lt;"&amp;CONCATENATE($I$6,"/",B34),Proventos!$J:$J,"="&amp;$H$2),
$K$2=Data!$A$2,SUMIFS(Proventos!$H:$H,Proventos!$D:$D,"&gt;="&amp;CONCATENATE($H$6,"/",B34),Proventos!$D:$D,"&lt;"&amp;CONCATENATE($I$6,"/",B34)),
$K$2&lt;&gt;Data!$A$2,SUMIFS(Proventos!$H:$H,Proventos!$D:$D,"&gt;="&amp;CONCATENATE($H$6,"/",B34),Proventos!$D:$D,"&lt;"&amp;CONCATENATE($I$6,"/",B34),Proventos!$A:$A,"="&amp;$K$2))</f>
        <v>0</v>
      </c>
      <c r="I34" s="245">
        <f>IFS(
AND($H$2=Data!$A$3,$K$2=Data!$A$2),SUMIFS(Proventos!$H:$H,Proventos!$D:$D,"&gt;="&amp;CONCATENATE($I$6,"/",B34),Proventos!$D:$D,"&lt;"&amp;CONCATENATE($J$6,"/",B34),Proventos!$J:$J,"="&amp;$H$2),
AND($H$2=Data!$A$4,$K$2=Data!$A$2),SUMIFS(Proventos!$H:$H,Proventos!$D:$D,"&gt;="&amp;CONCATENATE($I$6,"/",B34),Proventos!$D:$D,"&lt;"&amp;CONCATENATE($J$6,"/",B34),Proventos!$J:$J,"="&amp;$H$2),
AND($H$2=Data!$A$5,$K$2=Data!$A$2),SUMIFS(Proventos!$H:$H,Proventos!$D:$D,"&gt;="&amp;CONCATENATE($I$6,"/",B34),Proventos!$D:$D,"&lt;"&amp;CONCATENATE($J$6,"/",B34),Proventos!$J:$J,"="&amp;$H$2),
AND($H$2=Data!$A$6,$K$2=Data!$A$2),SUMIFS(Proventos!$H:$H,Proventos!$D:$D,"&gt;="&amp;CONCATENATE($I$6,"/",B34),Proventos!$D:$D,"&lt;"&amp;CONCATENATE($J$6,"/",B34),Proventos!$J:$J,"="&amp;$H$2),
AND($H$2=Data!$A$7,$K$2=Data!$A$2),SUMIFS(Proventos!$H:$H,Proventos!$D:$D,"&gt;="&amp;CONCATENATE($I$6,"/",B34),Proventos!$D:$D,"&lt;"&amp;CONCATENATE($J$6,"/",B34),Proventos!$J:$J,"="&amp;$H$2),
AND($H$2=Data!$A$8,$K$2=Data!$A$2),SUMIFS(Proventos!$H:$H,Proventos!$D:$D,"&gt;="&amp;CONCATENATE($I$6,"/",B34),Proventos!$D:$D,"&lt;"&amp;CONCATENATE($J$6,"/",B34),Proventos!$J:$J,"="&amp;$H$2),
AND($H$2=Data!$A$9,$K$2=Data!$A$2),SUMIFS(Proventos!$H:$H,Proventos!$D:$D,"&gt;="&amp;CONCATENATE($I$6,"/",B34),Proventos!$D:$D,"&lt;"&amp;CONCATENATE($J$6,"/",B34),Proventos!$J:$J,"="&amp;$H$2),
AND($H$2=Data!$A$10,$K$2=Data!$A$2),SUMIFS(Proventos!$H:$H,Proventos!$D:$D,"&gt;="&amp;CONCATENATE($I$6,"/",B34),Proventos!$D:$D,"&lt;"&amp;CONCATENATE($J$6,"/",B34),Proventos!$J:$J,"="&amp;$H$2),
AND($H$2=Data!$A$11,$K$2=Data!$A$2),SUMIFS(Proventos!$H:$H,Proventos!$D:$D,"&gt;="&amp;CONCATENATE($I$6,"/",B34),Proventos!$D:$D,"&lt;"&amp;CONCATENATE($J$6,"/",B34),Proventos!$J:$J,"="&amp;$H$2),
$K$2=Data!$A$2,SUMIFS(Proventos!$H:$H,Proventos!$D:$D,"&gt;="&amp;CONCATENATE($I$6,"/",B34),Proventos!$D:$D,"&lt;"&amp;CONCATENATE($J$6,"/",B34)),
$K$2&lt;&gt;Data!$A$2,SUMIFS(Proventos!$H:$H,Proventos!$D:$D,"&gt;="&amp;CONCATENATE($I$6,"/",B34),Proventos!$D:$D,"&lt;"&amp;CONCATENATE($J$6,"/",B34),Proventos!$A:$A,"="&amp;$K$2))</f>
        <v>0</v>
      </c>
      <c r="J34" s="245">
        <f>IFS(
AND($H$2=Data!$A$3,$K$2=Data!$A$2),SUMIFS(Proventos!$H:$H,Proventos!$D:$D,"&gt;="&amp;CONCATENATE($J$6,"/",B34),Proventos!$D:$D,"&lt;"&amp;CONCATENATE($K$6,"/",B34),Proventos!$J:$J,"="&amp;$H$2),
AND($H$2=Data!$A$4,$K$2=Data!$A$2),SUMIFS(Proventos!$H:$H,Proventos!$D:$D,"&gt;="&amp;CONCATENATE($J$6,"/",B34),Proventos!$D:$D,"&lt;"&amp;CONCATENATE($K$6,"/",B34),Proventos!$J:$J,"="&amp;$H$2),
AND($H$2=Data!$A$5,$K$2=Data!$A$2),SUMIFS(Proventos!$H:$H,Proventos!$D:$D,"&gt;="&amp;CONCATENATE($J$6,"/",B34),Proventos!$D:$D,"&lt;"&amp;CONCATENATE($K$6,"/",B34),Proventos!$J:$J,"="&amp;$H$2),
AND($H$2=Data!$A$6,$K$2=Data!$A$2),SUMIFS(Proventos!$H:$H,Proventos!$D:$D,"&gt;="&amp;CONCATENATE($J$6,"/",B34),Proventos!$D:$D,"&lt;"&amp;CONCATENATE($K$6,"/",B34),Proventos!$J:$J,"="&amp;$H$2),
AND($H$2=Data!$A$7,$K$2=Data!$A$2),SUMIFS(Proventos!$H:$H,Proventos!$D:$D,"&gt;="&amp;CONCATENATE($J$6,"/",B34),Proventos!$D:$D,"&lt;"&amp;CONCATENATE($K$6,"/",B34),Proventos!$J:$J,"="&amp;$H$2),
AND($H$2=Data!$A$8,$K$2=Data!$A$2),SUMIFS(Proventos!$H:$H,Proventos!$D:$D,"&gt;="&amp;CONCATENATE($J$6,"/",B34),Proventos!$D:$D,"&lt;"&amp;CONCATENATE($K$6,"/",B34),Proventos!$J:$J,"="&amp;$H$2),
AND($H$2=Data!$A$9,$K$2=Data!$A$2),SUMIFS(Proventos!$H:$H,Proventos!$D:$D,"&gt;="&amp;CONCATENATE($J$6,"/",B34),Proventos!$D:$D,"&lt;"&amp;CONCATENATE($K$6,"/",B34),Proventos!$J:$J,"="&amp;$H$2),
AND($H$2=Data!$A$10,$K$2=Data!$A$2),SUMIFS(Proventos!$H:$H,Proventos!$D:$D,"&gt;="&amp;CONCATENATE($J$6,"/",B34),Proventos!$D:$D,"&lt;"&amp;CONCATENATE($K$6,"/",B34),Proventos!$J:$J,"="&amp;$H$2),
AND($H$2=Data!$A$11,$K$2=Data!$A$2),SUMIFS(Proventos!$H:$H,Proventos!$D:$D,"&gt;="&amp;CONCATENATE($J$6,"/",B34),Proventos!$D:$D,"&lt;"&amp;CONCATENATE($K$6,"/",B34),Proventos!$J:$J,"="&amp;$H$2),
$K$2=Data!$A$2,SUMIFS(Proventos!$H:$H,Proventos!$D:$D,"&gt;="&amp;CONCATENATE($J$6,"/",B34),Proventos!$D:$D,"&lt;"&amp;CONCATENATE($K$6,"/",B34)),
$K$2&lt;&gt;Data!$A$2,SUMIFS(Proventos!$H:$H,Proventos!$D:$D,"&gt;="&amp;CONCATENATE($J$6,"/",B34),Proventos!$D:$D,"&lt;"&amp;CONCATENATE($K$6,"/",B34),Proventos!$A:$A,"="&amp;$K$2))</f>
        <v>0</v>
      </c>
      <c r="K34" s="245">
        <f>IFS(
AND($H$2=Data!$A$3,$K$2=Data!$A$2),SUMIFS(Proventos!$H:$H,Proventos!$D:$D,"&gt;="&amp;CONCATENATE($K$6,"/",B34),Proventos!$D:$D,"&lt;"&amp;CONCATENATE($L$6,"/",B34),Proventos!$J:$J,"="&amp;$H$2),
AND($H$2=Data!$A$4,$K$2=Data!$A$2),SUMIFS(Proventos!$H:$H,Proventos!$D:$D,"&gt;="&amp;CONCATENATE($K$6,"/",B34),Proventos!$D:$D,"&lt;"&amp;CONCATENATE($L$6,"/",B34),Proventos!$J:$J,"="&amp;$H$2),
AND($H$2=Data!$A$5,$K$2=Data!$A$2),SUMIFS(Proventos!$H:$H,Proventos!$D:$D,"&gt;="&amp;CONCATENATE($K$6,"/",B34),Proventos!$D:$D,"&lt;"&amp;CONCATENATE($L$6,"/",B34),Proventos!$J:$J,"="&amp;$H$2),
AND($H$2=Data!$A$6,$K$2=Data!$A$2),SUMIFS(Proventos!$H:$H,Proventos!$D:$D,"&gt;="&amp;CONCATENATE($K$6,"/",B34),Proventos!$D:$D,"&lt;"&amp;CONCATENATE($L$6,"/",B34),Proventos!$J:$J,"="&amp;$H$2),
AND($H$2=Data!$A$7,$K$2=Data!$A$2),SUMIFS(Proventos!$H:$H,Proventos!$D:$D,"&gt;="&amp;CONCATENATE($K$6,"/",B34),Proventos!$D:$D,"&lt;"&amp;CONCATENATE($L$6,"/",B34),Proventos!$J:$J,"="&amp;$H$2),
AND($H$2=Data!$A$8,$K$2=Data!$A$2),SUMIFS(Proventos!$H:$H,Proventos!$D:$D,"&gt;="&amp;CONCATENATE($K$6,"/",B34),Proventos!$D:$D,"&lt;"&amp;CONCATENATE($L$6,"/",B34),Proventos!$J:$J,"="&amp;$H$2),
AND($H$2=Data!$A$9,$K$2=Data!$A$2),SUMIFS(Proventos!$H:$H,Proventos!$D:$D,"&gt;="&amp;CONCATENATE($K$6,"/",B34),Proventos!$D:$D,"&lt;"&amp;CONCATENATE($L$6,"/",B34),Proventos!$J:$J,"="&amp;$H$2),
AND($H$2=Data!$A$10,$K$2=Data!$A$2),SUMIFS(Proventos!$H:$H,Proventos!$D:$D,"&gt;="&amp;CONCATENATE($K$6,"/",B34),Proventos!$D:$D,"&lt;"&amp;CONCATENATE($L$6,"/",B34),Proventos!$J:$J,"="&amp;$H$2),
AND($H$2=Data!$A$11,$K$2=Data!$A$2),SUMIFS(Proventos!$H:$H,Proventos!$D:$D,"&gt;="&amp;CONCATENATE($K$6,"/",B34),Proventos!$D:$D,"&lt;"&amp;CONCATENATE($L$6,"/",B34),Proventos!$J:$J,"="&amp;$H$2),
$K$2=Data!$A$2,SUMIFS(Proventos!$H:$H,Proventos!$D:$D,"&gt;="&amp;CONCATENATE($K$6,"/",B34),Proventos!$D:$D,"&lt;"&amp;CONCATENATE($L$6,"/",B34)),
$K$2&lt;&gt;Data!$A$2,SUMIFS(Proventos!$H:$H,Proventos!$D:$D,"&gt;="&amp;CONCATENATE($K$6,"/",B34),Proventos!$D:$D,"&lt;"&amp;CONCATENATE($L$6,"/",B34),Proventos!$A:$A,"="&amp;$K$2))</f>
        <v>0</v>
      </c>
      <c r="L34" s="245">
        <f>IFS(
AND($H$2=Data!$A$3,$K$2=Data!$A$2),SUMIFS(Proventos!$H:$H,Proventos!$D:$D,"&gt;="&amp;CONCATENATE($L$6,"/",B34),Proventos!$D:$D,"&lt;"&amp;CONCATENATE($M$6,"/",B34),Proventos!$J:$J,"="&amp;$H$2),
AND($H$2=Data!$A$4,$K$2=Data!$A$2),SUMIFS(Proventos!$H:$H,Proventos!$D:$D,"&gt;="&amp;CONCATENATE($L$6,"/",B34),Proventos!$D:$D,"&lt;"&amp;CONCATENATE($M$6,"/",B34),Proventos!$J:$J,"="&amp;$H$2),
AND($H$2=Data!$A$5,$K$2=Data!$A$2),SUMIFS(Proventos!$H:$H,Proventos!$D:$D,"&gt;="&amp;CONCATENATE($L$6,"/",B34),Proventos!$D:$D,"&lt;"&amp;CONCATENATE($M$6,"/",B34),Proventos!$J:$J,"="&amp;$H$2),
AND($H$2=Data!$A$6,$K$2=Data!$A$2),SUMIFS(Proventos!$H:$H,Proventos!$D:$D,"&gt;="&amp;CONCATENATE($L$6,"/",B34),Proventos!$D:$D,"&lt;"&amp;CONCATENATE($M$6,"/",B34),Proventos!$J:$J,"="&amp;$H$2),
AND($H$2=Data!$A$7,$K$2=Data!$A$2),SUMIFS(Proventos!$H:$H,Proventos!$D:$D,"&gt;="&amp;CONCATENATE($L$6,"/",B34),Proventos!$D:$D,"&lt;"&amp;CONCATENATE($M$6,"/",B34),Proventos!$J:$J,"="&amp;$H$2),
AND($H$2=Data!$A$8,$K$2=Data!$A$2),SUMIFS(Proventos!$H:$H,Proventos!$D:$D,"&gt;="&amp;CONCATENATE($L$6,"/",B34),Proventos!$D:$D,"&lt;"&amp;CONCATENATE($M$6,"/",B34),Proventos!$J:$J,"="&amp;$H$2),
AND($H$2=Data!$A$9,$K$2=Data!$A$2),SUMIFS(Proventos!$H:$H,Proventos!$D:$D,"&gt;="&amp;CONCATENATE($L$6,"/",B34),Proventos!$D:$D,"&lt;"&amp;CONCATENATE($M$6,"/",B34),Proventos!$J:$J,"="&amp;$H$2),
AND($H$2=Data!$A$10,$K$2=Data!$A$2),SUMIFS(Proventos!$H:$H,Proventos!$D:$D,"&gt;="&amp;CONCATENATE($L$6,"/",B34),Proventos!$D:$D,"&lt;"&amp;CONCATENATE($M$6,"/",B34),Proventos!$J:$J,"="&amp;$H$2),
AND($H$2=Data!$A$11,$K$2=Data!$A$2),SUMIFS(Proventos!$H:$H,Proventos!$D:$D,"&gt;="&amp;CONCATENATE($L$6,"/",B34),Proventos!$D:$D,"&lt;"&amp;CONCATENATE($M$6,"/",B34),Proventos!$J:$J,"="&amp;$H$2),
$K$2=Data!$A$2,SUMIFS(Proventos!$H:$H,Proventos!$D:$D,"&gt;="&amp;CONCATENATE($L$6,"/",B34),Proventos!$D:$D,"&lt;"&amp;CONCATENATE($M$6,"/",B34)),
$K$2&lt;&gt;Data!$A$2,SUMIFS(Proventos!$H:$H,Proventos!$D:$D,"&gt;="&amp;CONCATENATE($L$6,"/",B34),Proventos!$D:$D,"&lt;"&amp;CONCATENATE($M$6,"/",B34),Proventos!$A:$A,"="&amp;$K$2))</f>
        <v>0</v>
      </c>
      <c r="M34" s="245">
        <f>IFS(
AND($H$2=Data!$A$3,$K$2=Data!$A$2),SUMIFS(Proventos!$H:$H,Proventos!$D:$D,"&gt;="&amp;CONCATENATE($M$6,"/",B34),Proventos!$D:$D,"&lt;"&amp;CONCATENATE($N$6,"/",B34),Proventos!$J:$J,"="&amp;$H$2),
AND($H$2=Data!$A$4,$K$2=Data!$A$2),SUMIFS(Proventos!$H:$H,Proventos!$D:$D,"&gt;="&amp;CONCATENATE($M$6,"/",B34),Proventos!$D:$D,"&lt;"&amp;CONCATENATE($N$6,"/",B34),Proventos!$J:$J,"="&amp;$H$2),
AND($H$2=Data!$A$5,$K$2=Data!$A$2),SUMIFS(Proventos!$H:$H,Proventos!$D:$D,"&gt;="&amp;CONCATENATE($M$6,"/",B34),Proventos!$D:$D,"&lt;"&amp;CONCATENATE($N$6,"/",B34),Proventos!$J:$J,"="&amp;$H$2),
AND($H$2=Data!$A$6,$K$2=Data!$A$2),SUMIFS(Proventos!$H:$H,Proventos!$D:$D,"&gt;="&amp;CONCATENATE($M$6,"/",B34),Proventos!$D:$D,"&lt;"&amp;CONCATENATE($N$6,"/",B34),Proventos!$J:$J,"="&amp;$H$2),
AND($H$2=Data!$A$7,$K$2=Data!$A$2),SUMIFS(Proventos!$H:$H,Proventos!$D:$D,"&gt;="&amp;CONCATENATE($M$6,"/",B34),Proventos!$D:$D,"&lt;"&amp;CONCATENATE($N$6,"/",B34),Proventos!$J:$J,"="&amp;$H$2),
AND($H$2=Data!$A$8,$K$2=Data!$A$2),SUMIFS(Proventos!$H:$H,Proventos!$D:$D,"&gt;="&amp;CONCATENATE($M$6,"/",B34),Proventos!$D:$D,"&lt;"&amp;CONCATENATE($N$6,"/",B34),Proventos!$J:$J,"="&amp;$H$2),
AND($H$2=Data!$A$9,$K$2=Data!$A$2),SUMIFS(Proventos!$H:$H,Proventos!$D:$D,"&gt;="&amp;CONCATENATE($M$6,"/",B34),Proventos!$D:$D,"&lt;"&amp;CONCATENATE($N$6,"/",B34),Proventos!$J:$J,"="&amp;$H$2),
AND($H$2=Data!$A$10,$K$2=Data!$A$2),SUMIFS(Proventos!$H:$H,Proventos!$D:$D,"&gt;="&amp;CONCATENATE($M$6,"/",B34),Proventos!$D:$D,"&lt;"&amp;CONCATENATE($N$6,"/",B34),Proventos!$J:$J,"="&amp;$H$2),
AND($H$2=Data!$A$11,$K$2=Data!$A$2),SUMIFS(Proventos!$H:$H,Proventos!$D:$D,"&gt;="&amp;CONCATENATE($M$6,"/",B34),Proventos!$D:$D,"&lt;"&amp;CONCATENATE($N$6,"/",B34),Proventos!$J:$J,"="&amp;$H$2),
$K$2=Data!$A$2,SUMIFS(Proventos!$H:$H,Proventos!$D:$D,"&gt;="&amp;CONCATENATE($M$6,"/",B34),Proventos!$D:$D,"&lt;"&amp;CONCATENATE($N$6,"/",B34)),
$K$2&lt;&gt;Data!$A$2,SUMIFS(Proventos!$H:$H,Proventos!$D:$D,"&gt;="&amp;CONCATENATE($M$6,"/",B34),Proventos!$D:$D,"&lt;"&amp;CONCATENATE($N$6,"/",B34),Proventos!$A:$A,"="&amp;$K$2))</f>
        <v>0</v>
      </c>
      <c r="N34" s="245">
        <f>IFS(
AND($H$2=Data!$A$3,$K$2=Data!$A$2),SUMIFS(Proventos!$H:$H,Proventos!$D:$D,"&gt;="&amp;CONCATENATE($N$6,"/",B34),Proventos!$D:$D,"&lt;"&amp;CONCATENATE($C$6,"/",B35),Proventos!$J:$J,"="&amp;$H$2),
AND($H$2=Data!$A$4,$K$2=Data!$A$2),SUMIFS(Proventos!$H:$H,Proventos!$D:$D,"&gt;="&amp;CONCATENATE($N$6,"/",B34),Proventos!$D:$D,"&lt;"&amp;CONCATENATE($C$6,"/",B35),Proventos!$J:$J,"="&amp;$H$2),
AND($H$2=Data!$A$5,$K$2=Data!$A$2),SUMIFS(Proventos!$H:$H,Proventos!$D:$D,"&gt;="&amp;CONCATENATE($N$6,"/",B34),Proventos!$D:$D,"&lt;"&amp;CONCATENATE($C$6,"/",B35),Proventos!$J:$J,"="&amp;$H$2),
AND($H$2=Data!$A$6,$K$2=Data!$A$2),SUMIFS(Proventos!$H:$H,Proventos!$D:$D,"&gt;="&amp;CONCATENATE($N$6,"/",B34),Proventos!$D:$D,"&lt;"&amp;CONCATENATE($C$6,"/",B35),Proventos!$J:$J,"="&amp;$H$2),
AND($H$2=Data!$A$7,$K$2=Data!$A$2),SUMIFS(Proventos!$H:$H,Proventos!$D:$D,"&gt;="&amp;CONCATENATE($N$6,"/",B34),Proventos!$D:$D,"&lt;"&amp;CONCATENATE($C$6,"/",B35),Proventos!$J:$J,"="&amp;$H$2),
AND($H$2=Data!$A$8,$K$2=Data!$A$2),SUMIFS(Proventos!$H:$H,Proventos!$D:$D,"&gt;="&amp;CONCATENATE($N$6,"/",B34),Proventos!$D:$D,"&lt;"&amp;CONCATENATE($C$6,"/",B35),Proventos!$J:$J,"="&amp;$H$2),
AND($H$2=Data!$A$9,$K$2=Data!$A$2),SUMIFS(Proventos!$H:$H,Proventos!$D:$D,"&gt;="&amp;CONCATENATE($N$6,"/",B34),Proventos!$D:$D,"&lt;"&amp;CONCATENATE($C$6,"/",B35),Proventos!$J:$J,"="&amp;$H$2),
AND($H$2=Data!$A$10,$K$2=Data!$A$2),SUMIFS(Proventos!$H:$H,Proventos!$D:$D,"&gt;="&amp;CONCATENATE($N$6,"/",B34),Proventos!$D:$D,"&lt;"&amp;CONCATENATE($C$6,"/",B35),Proventos!$J:$J,"="&amp;$H$2),
AND($H$2=Data!$A$11,$K$2=Data!$A$2),SUMIFS(Proventos!$H:$H,Proventos!$D:$D,"&gt;="&amp;CONCATENATE($N$6,"/",B34),Proventos!$D:$D,"&lt;"&amp;CONCATENATE($C$6,"/",B35),Proventos!$J:$J,"="&amp;$H$2),
$K$2=Data!$A$2,SUMIFS(Proventos!$H:$H,Proventos!$D:$D,"&gt;="&amp;CONCATENATE($N$6,"/",B34),Proventos!$D:$D,"&lt;"&amp;CONCATENATE($C$6,"/",B35)),
$K$2&lt;&gt;Data!$A$2,SUMIFS(Proventos!$H:$H,Proventos!$D:$D,"&gt;="&amp;CONCATENATE($N$6,"/",B34),Proventos!$D:$D,"&lt;"&amp;CONCATENATE($C$6,"/",B35),Proventos!$A:$A,"="&amp;$K$2))</f>
        <v>0</v>
      </c>
      <c r="O34" s="245"/>
      <c r="P34" s="245">
        <f t="shared" si="1"/>
        <v>0</v>
      </c>
      <c r="Q34" s="245">
        <f t="shared" si="2"/>
        <v>0</v>
      </c>
    </row>
    <row r="35" ht="32.25" customHeight="1">
      <c r="A35" s="230"/>
      <c r="B35" s="244"/>
      <c r="C35" s="245">
        <f>IFS(
AND($H$2=Data!$A$3,$K$2=Data!$A$2),SUMIFS(Proventos!$H:$H,Proventos!$D:$D,"&gt;="&amp;CONCATENATE($C$6,"/",B35),Proventos!$D:$D,"&lt;"&amp;CONCATENATE($D$6,"/",B35),Proventos!$J:$J,"="&amp;$H$2),
AND($H$2=Data!$A$4,$K$2=Data!$A$2),SUMIFS(Proventos!$H:$H,Proventos!$D:$D,"&gt;="&amp;CONCATENATE($C$6,"/",B35),Proventos!$D:$D,"&lt;"&amp;CONCATENATE($D$6,"/",B35),Proventos!$J:$J,"="&amp;$H$2),
AND($H$2=Data!$A$5,$K$2=Data!$A$2),SUMIFS(Proventos!$H:$H,Proventos!$D:$D,"&gt;="&amp;CONCATENATE($C$6,"/",B35),Proventos!$D:$D,"&lt;"&amp;CONCATENATE($D$6,"/",B35),Proventos!$J:$J,"="&amp;$H$2),
AND($H$2=Data!$A$6,$K$2=Data!$A$2),SUMIFS(Proventos!$H:$H,Proventos!$D:$D,"&gt;="&amp;CONCATENATE($C$6,"/",B35),Proventos!$D:$D,"&lt;"&amp;CONCATENATE($D$6,"/",B35),Proventos!$J:$J,"="&amp;$H$2),
AND($H$2=Data!$A$7,$K$2=Data!$A$2),SUMIFS(Proventos!$H:$H,Proventos!$D:$D,"&gt;="&amp;CONCATENATE($C$6,"/",B35),Proventos!$D:$D,"&lt;"&amp;CONCATENATE($D$6,"/",B35),Proventos!$J:$J,"="&amp;$H$2),
AND($H$2=Data!$A$8,$K$2=Data!$A$2),SUMIFS(Proventos!$H:$H,Proventos!$D:$D,"&gt;="&amp;CONCATENATE($C$6,"/",B35),Proventos!$D:$D,"&lt;"&amp;CONCATENATE($D$6,"/",B35),Proventos!$J:$J,"="&amp;$H$2),
AND($H$2=Data!$A$9,$K$2=Data!$A$2),SUMIFS(Proventos!$H:$H,Proventos!$D:$D,"&gt;="&amp;CONCATENATE($C$6,"/",B35),Proventos!$D:$D,"&lt;"&amp;CONCATENATE($D$6,"/",B35),Proventos!$J:$J,"="&amp;$H$2),
AND($H$2=Data!$A$10,$K$2=Data!$A$2),SUMIFS(Proventos!$H:$H,Proventos!$D:$D,"&gt;="&amp;CONCATENATE($C$6,"/",B35),Proventos!$D:$D,"&lt;"&amp;CONCATENATE($D$6,"/",B35),Proventos!$J:$J,"="&amp;$H$2),
AND($H$2=Data!$A$11,$K$2=Data!$A$2),SUMIFS(Proventos!$H:$H,Proventos!$D:$D,"&gt;="&amp;CONCATENATE($C$6,"/",B35),Proventos!$D:$D,"&lt;"&amp;CONCATENATE($D$6,"/",B35),Proventos!$J:$J,"="&amp;$H$2),
$K$2=Data!$A$2,SUMIFS(Proventos!$H:$H,Proventos!$D:$D,"&gt;="&amp;CONCATENATE($C$6,"/",B35),Proventos!$D:$D,"&lt;"&amp;CONCATENATE($D$6,"/",B35)),
$K$2&lt;&gt;Data!$A$2,SUMIFS(Proventos!$H:$H,Proventos!$D:$D,"&gt;="&amp;CONCATENATE($C$6,"/",B35),Proventos!$D:$D,"&lt;"&amp;CONCATENATE($D$6,"/",B35),Proventos!$A:$A,"="&amp;$K$2))</f>
        <v>0</v>
      </c>
      <c r="D35" s="245">
        <f>IFS(
AND($H$2=Data!$A$3,$K$2=Data!$A$2),SUMIFS(Proventos!$H:$H,Proventos!$D:$D,"&gt;="&amp;CONCATENATE($D$6,"/",B35),Proventos!$D:$D,"&lt;"&amp;CONCATENATE($E$6,"/",B35),Proventos!$J:$J,"="&amp;$H$2),
AND($H$2=Data!$A$4,$K$2=Data!$A$2),SUMIFS(Proventos!$H:$H,Proventos!$D:$D,"&gt;="&amp;CONCATENATE($D$6,"/",B35),Proventos!$D:$D,"&lt;"&amp;CONCATENATE($E$6,"/",B35),Proventos!$J:$J,"="&amp;$H$2),
AND($H$2=Data!$A$5,$K$2=Data!$A$2),SUMIFS(Proventos!$H:$H,Proventos!$D:$D,"&gt;="&amp;CONCATENATE($D$6,"/",B35),Proventos!$D:$D,"&lt;"&amp;CONCATENATE($E$6,"/",B35),Proventos!$J:$J,"="&amp;$H$2),
AND($H$2=Data!$A$6,$K$2=Data!$A$2),SUMIFS(Proventos!$H:$H,Proventos!$D:$D,"&gt;="&amp;CONCATENATE($D$6,"/",B35),Proventos!$D:$D,"&lt;"&amp;CONCATENATE($E$6,"/",B35),Proventos!$J:$J,"="&amp;$H$2),
AND($H$2=Data!$A$7,$K$2=Data!$A$2),SUMIFS(Proventos!$H:$H,Proventos!$D:$D,"&gt;="&amp;CONCATENATE($D$6,"/",B35),Proventos!$D:$D,"&lt;"&amp;CONCATENATE($E$6,"/",B35),Proventos!$J:$J,"="&amp;$H$2),
AND($H$2=Data!$A$8,$K$2=Data!$A$2),SUMIFS(Proventos!$H:$H,Proventos!$D:$D,"&gt;="&amp;CONCATENATE($D$6,"/",B35),Proventos!$D:$D,"&lt;"&amp;CONCATENATE($E$6,"/",B35),Proventos!$J:$J,"="&amp;$H$2),
AND($H$2=Data!$A$9,$K$2=Data!$A$2),SUMIFS(Proventos!$H:$H,Proventos!$D:$D,"&gt;="&amp;CONCATENATE($D$6,"/",B35),Proventos!$D:$D,"&lt;"&amp;CONCATENATE($E$6,"/",B35),Proventos!$J:$J,"="&amp;$H$2),
AND($H$2=Data!$A$10,$K$2=Data!$A$2),SUMIFS(Proventos!$H:$H,Proventos!$D:$D,"&gt;="&amp;CONCATENATE($D$6,"/",B35),Proventos!$D:$D,"&lt;"&amp;CONCATENATE($E$6,"/",B35),Proventos!$J:$J,"="&amp;$H$2),
AND($H$2=Data!$A$11,$K$2=Data!$A$2),SUMIFS(Proventos!$H:$H,Proventos!$D:$D,"&gt;="&amp;CONCATENATE($D$6,"/",B35),Proventos!$D:$D,"&lt;"&amp;CONCATENATE($E$6,"/",B35),Proventos!$J:$J,"="&amp;$H$2),
$K$2=Data!$A$2,SUMIFS(Proventos!$H:$H,Proventos!$D:$D,"&gt;="&amp;CONCATENATE($D$6,"/",B35),Proventos!$D:$D,"&lt;"&amp;CONCATENATE($E$6,"/",B35)),
$K$2&lt;&gt;Data!$A$2,SUMIFS(Proventos!$H:$H,Proventos!$D:$D,"&gt;="&amp;CONCATENATE($D$6,"/",B35),Proventos!$D:$D,"&lt;"&amp;CONCATENATE($E$6,"/",B35),Proventos!$A:$A,"="&amp;$K$2))</f>
        <v>0</v>
      </c>
      <c r="E35" s="245">
        <f>IFS(
AND($H$2=Data!$A$3,$K$2=Data!$A$2),SUMIFS(Proventos!$H:$H,Proventos!$D:$D,"&gt;="&amp;CONCATENATE($E$6,"/",B35),Proventos!$D:$D,"&lt;"&amp;CONCATENATE($F$6,"/",B35),Proventos!$J:$J,"="&amp;$H$2),
AND($H$2=Data!$A$4,$K$2=Data!$A$2),SUMIFS(Proventos!$H:$H,Proventos!$D:$D,"&gt;="&amp;CONCATENATE($E$6,"/",B35),Proventos!$D:$D,"&lt;"&amp;CONCATENATE($F$6,"/",B35),Proventos!$J:$J,"="&amp;$H$2),
AND($H$2=Data!$A$5,$K$2=Data!$A$2),SUMIFS(Proventos!$H:$H,Proventos!$D:$D,"&gt;="&amp;CONCATENATE($E$6,"/",B35),Proventos!$D:$D,"&lt;"&amp;CONCATENATE($F$6,"/",B35),Proventos!$J:$J,"="&amp;$H$2),
AND($H$2=Data!$A$6,$K$2=Data!$A$2),SUMIFS(Proventos!$H:$H,Proventos!$D:$D,"&gt;="&amp;CONCATENATE($E$6,"/",B35),Proventos!$D:$D,"&lt;"&amp;CONCATENATE($F$6,"/",B35),Proventos!$J:$J,"="&amp;$H$2),
AND($H$2=Data!$A$7,$K$2=Data!$A$2),SUMIFS(Proventos!$H:$H,Proventos!$D:$D,"&gt;="&amp;CONCATENATE($E$6,"/",B35),Proventos!$D:$D,"&lt;"&amp;CONCATENATE($F$6,"/",B35),Proventos!$J:$J,"="&amp;$H$2),
AND($H$2=Data!$A$8,$K$2=Data!$A$2),SUMIFS(Proventos!$H:$H,Proventos!$D:$D,"&gt;="&amp;CONCATENATE($E$6,"/",B35),Proventos!$D:$D,"&lt;"&amp;CONCATENATE($F$6,"/",B35),Proventos!$J:$J,"="&amp;$H$2),
AND($H$2=Data!$A$9,$K$2=Data!$A$2),SUMIFS(Proventos!$H:$H,Proventos!$D:$D,"&gt;="&amp;CONCATENATE($E$6,"/",B35),Proventos!$D:$D,"&lt;"&amp;CONCATENATE($F$6,"/",B35),Proventos!$J:$J,"="&amp;$H$2),
AND($H$2=Data!$A$10,$K$2=Data!$A$2),SUMIFS(Proventos!$H:$H,Proventos!$D:$D,"&gt;="&amp;CONCATENATE($E$6,"/",B35),Proventos!$D:$D,"&lt;"&amp;CONCATENATE($F$6,"/",B35),Proventos!$J:$J,"="&amp;$H$2),
AND($H$2=Data!$A$11,$K$2=Data!$A$2),SUMIFS(Proventos!$H:$H,Proventos!$D:$D,"&gt;="&amp;CONCATENATE($E$6,"/",B35),Proventos!$D:$D,"&lt;"&amp;CONCATENATE($F$6,"/",B35),Proventos!$J:$J,"="&amp;$H$2),
$K$2=Data!$A$2,SUMIFS(Proventos!$H:$H,Proventos!$D:$D,"&gt;="&amp;CONCATENATE($E$6,"/",B35),Proventos!$D:$D,"&lt;"&amp;CONCATENATE($F$6,"/",B35)),
$K$2&lt;&gt;Data!$A$2,SUMIFS(Proventos!$H:$H,Proventos!$D:$D,"&gt;="&amp;CONCATENATE($E$6,"/",B35),Proventos!$D:$D,"&lt;"&amp;CONCATENATE($F$6,"/",B35),Proventos!$A:$A,"="&amp;$K$2))</f>
        <v>0</v>
      </c>
      <c r="F35" s="245">
        <f>IFS(
AND($H$2=Data!$A$3,$K$2=Data!$A$2),SUMIFS(Proventos!$H:$H,Proventos!$D:$D,"&gt;="&amp;CONCATENATE($F$6,"/",B35),Proventos!$D:$D,"&lt;"&amp;CONCATENATE($G$6,"/",B35),Proventos!$J:$J,"="&amp;$H$2),
AND($H$2=Data!$A$4,$K$2=Data!$A$2),SUMIFS(Proventos!$H:$H,Proventos!$D:$D,"&gt;="&amp;CONCATENATE($F$6,"/",B35),Proventos!$D:$D,"&lt;"&amp;CONCATENATE($G$6,"/",B35),Proventos!$J:$J,"="&amp;$H$2),
AND($H$2=Data!$A$5,$K$2=Data!$A$2),SUMIFS(Proventos!$H:$H,Proventos!$D:$D,"&gt;="&amp;CONCATENATE($F$6,"/",B35),Proventos!$D:$D,"&lt;"&amp;CONCATENATE($G$6,"/",B35),Proventos!$J:$J,"="&amp;$H$2),
AND($H$2=Data!$A$6,$K$2=Data!$A$2),SUMIFS(Proventos!$H:$H,Proventos!$D:$D,"&gt;="&amp;CONCATENATE($F$6,"/",B35),Proventos!$D:$D,"&lt;"&amp;CONCATENATE($G$6,"/",B35),Proventos!$J:$J,"="&amp;$H$2),
AND($H$2=Data!$A$7,$K$2=Data!$A$2),SUMIFS(Proventos!$H:$H,Proventos!$D:$D,"&gt;="&amp;CONCATENATE($F$6,"/",B35),Proventos!$D:$D,"&lt;"&amp;CONCATENATE($G$6,"/",B35),Proventos!$J:$J,"="&amp;$H$2),
AND($H$2=Data!$A$8,$K$2=Data!$A$2),SUMIFS(Proventos!$H:$H,Proventos!$D:$D,"&gt;="&amp;CONCATENATE($F$6,"/",B35),Proventos!$D:$D,"&lt;"&amp;CONCATENATE($G$6,"/",B35),Proventos!$J:$J,"="&amp;$H$2),
AND($H$2=Data!$A$9,$K$2=Data!$A$2),SUMIFS(Proventos!$H:$H,Proventos!$D:$D,"&gt;="&amp;CONCATENATE($F$6,"/",B35),Proventos!$D:$D,"&lt;"&amp;CONCATENATE($G$6,"/",B35),Proventos!$J:$J,"="&amp;$H$2),
AND($H$2=Data!$A$10,$K$2=Data!$A$2),SUMIFS(Proventos!$H:$H,Proventos!$D:$D,"&gt;="&amp;CONCATENATE($F$6,"/",B35),Proventos!$D:$D,"&lt;"&amp;CONCATENATE($G$6,"/",B35),Proventos!$J:$J,"="&amp;$H$2),
AND($H$2=Data!$A$11,$K$2=Data!$A$2),SUMIFS(Proventos!$H:$H,Proventos!$D:$D,"&gt;="&amp;CONCATENATE($F$6,"/",B35),Proventos!$D:$D,"&lt;"&amp;CONCATENATE($G$6,"/",B35),Proventos!$J:$J,"="&amp;$H$2),
$K$2=Data!$A$2,SUMIFS(Proventos!$H:$H,Proventos!$D:$D,"&gt;="&amp;CONCATENATE($F$6,"/",B35),Proventos!$D:$D,"&lt;"&amp;CONCATENATE($G$6,"/",B35)),
$K$2&lt;&gt;Data!$A$2,SUMIFS(Proventos!$H:$H,Proventos!$D:$D,"&gt;="&amp;CONCATENATE($F$6,"/",B35),Proventos!$D:$D,"&lt;"&amp;CONCATENATE($G$6,"/",B35),Proventos!$A:$A,"="&amp;$K$2))</f>
        <v>0</v>
      </c>
      <c r="G35" s="245">
        <f>IFS(
AND($H$2=Data!$A$3,$K$2=Data!$A$2),SUMIFS(Proventos!$H:$H,Proventos!$D:$D,"&gt;="&amp;CONCATENATE($G$6,"/",B35),Proventos!$D:$D,"&lt;"&amp;CONCATENATE($H$6,"/",B35),Proventos!$J:$J,"="&amp;$H$2),
AND($H$2=Data!$A$4,$K$2=Data!$A$2),SUMIFS(Proventos!$H:$H,Proventos!$D:$D,"&gt;="&amp;CONCATENATE($G$6,"/",B35),Proventos!$D:$D,"&lt;"&amp;CONCATENATE($H$6,"/",B35),Proventos!$J:$J,"="&amp;$H$2),
AND($H$2=Data!$A$5,$K$2=Data!$A$2),SUMIFS(Proventos!$H:$H,Proventos!$D:$D,"&gt;="&amp;CONCATENATE($G$6,"/",B35),Proventos!$D:$D,"&lt;"&amp;CONCATENATE($H$6,"/",B35),Proventos!$J:$J,"="&amp;$H$2),
AND($H$2=Data!$A$6,$K$2=Data!$A$2),SUMIFS(Proventos!$H:$H,Proventos!$D:$D,"&gt;="&amp;CONCATENATE($G$6,"/",B35),Proventos!$D:$D,"&lt;"&amp;CONCATENATE($H$6,"/",B35),Proventos!$J:$J,"="&amp;$H$2),
AND($H$2=Data!$A$7,$K$2=Data!$A$2),SUMIFS(Proventos!$H:$H,Proventos!$D:$D,"&gt;="&amp;CONCATENATE($G$6,"/",B35),Proventos!$D:$D,"&lt;"&amp;CONCATENATE($H$6,"/",B35),Proventos!$J:$J,"="&amp;$H$2),
AND($H$2=Data!$A$8,$K$2=Data!$A$2),SUMIFS(Proventos!$H:$H,Proventos!$D:$D,"&gt;="&amp;CONCATENATE($G$6,"/",B35),Proventos!$D:$D,"&lt;"&amp;CONCATENATE($H$6,"/",B35),Proventos!$J:$J,"="&amp;$H$2),
AND($H$2=Data!$A$9,$K$2=Data!$A$2),SUMIFS(Proventos!$H:$H,Proventos!$D:$D,"&gt;="&amp;CONCATENATE($G$6,"/",B35),Proventos!$D:$D,"&lt;"&amp;CONCATENATE($H$6,"/",B35),Proventos!$J:$J,"="&amp;$H$2),
AND($H$2=Data!$A$10,$K$2=Data!$A$2),SUMIFS(Proventos!$H:$H,Proventos!$D:$D,"&gt;="&amp;CONCATENATE($G$6,"/",B35),Proventos!$D:$D,"&lt;"&amp;CONCATENATE($H$6,"/",B35),Proventos!$J:$J,"="&amp;$H$2),
AND($H$2=Data!$A$11,$K$2=Data!$A$2),SUMIFS(Proventos!$H:$H,Proventos!$D:$D,"&gt;="&amp;CONCATENATE($G$6,"/",B35),Proventos!$D:$D,"&lt;"&amp;CONCATENATE($H$6,"/",B35),Proventos!$J:$J,"="&amp;$H$2),
$K$2=Data!$A$2,SUMIFS(Proventos!$H:$H,Proventos!$D:$D,"&gt;="&amp;CONCATENATE($G$6,"/",B35),Proventos!$D:$D,"&lt;"&amp;CONCATENATE($H$6,"/",B35)),
$K$2&lt;&gt;Data!$A$2,SUMIFS(Proventos!$H:$H,Proventos!$D:$D,"&gt;="&amp;CONCATENATE($G$6,"/",B35),Proventos!$D:$D,"&lt;"&amp;CONCATENATE($H$6,"/",B35),Proventos!$A:$A,"="&amp;$K$2))</f>
        <v>0</v>
      </c>
      <c r="H35" s="245">
        <f>IFS(
AND($H$2=Data!$A$3,$K$2=Data!$A$2),SUMIFS(Proventos!$H:$H,Proventos!$D:$D,"&gt;="&amp;CONCATENATE($H$6,"/",B35),Proventos!$D:$D,"&lt;"&amp;CONCATENATE($I$6,"/",B35),Proventos!$J:$J,"="&amp;$H$2),
AND($H$2=Data!$A$4,$K$2=Data!$A$2),SUMIFS(Proventos!$H:$H,Proventos!$D:$D,"&gt;="&amp;CONCATENATE($H$6,"/",B35),Proventos!$D:$D,"&lt;"&amp;CONCATENATE($I$6,"/",B35),Proventos!$J:$J,"="&amp;$H$2),
AND($H$2=Data!$A$5,$K$2=Data!$A$2),SUMIFS(Proventos!$H:$H,Proventos!$D:$D,"&gt;="&amp;CONCATENATE($H$6,"/",B35),Proventos!$D:$D,"&lt;"&amp;CONCATENATE($I$6,"/",B35),Proventos!$J:$J,"="&amp;$H$2),
AND($H$2=Data!$A$6,$K$2=Data!$A$2),SUMIFS(Proventos!$H:$H,Proventos!$D:$D,"&gt;="&amp;CONCATENATE($H$6,"/",B35),Proventos!$D:$D,"&lt;"&amp;CONCATENATE($I$6,"/",B35),Proventos!$J:$J,"="&amp;$H$2),
AND($H$2=Data!$A$7,$K$2=Data!$A$2),SUMIFS(Proventos!$H:$H,Proventos!$D:$D,"&gt;="&amp;CONCATENATE($H$6,"/",B35),Proventos!$D:$D,"&lt;"&amp;CONCATENATE($I$6,"/",B35),Proventos!$J:$J,"="&amp;$H$2),
AND($H$2=Data!$A$8,$K$2=Data!$A$2),SUMIFS(Proventos!$H:$H,Proventos!$D:$D,"&gt;="&amp;CONCATENATE($H$6,"/",B35),Proventos!$D:$D,"&lt;"&amp;CONCATENATE($I$6,"/",B35),Proventos!$J:$J,"="&amp;$H$2),
AND($H$2=Data!$A$9,$K$2=Data!$A$2),SUMIFS(Proventos!$H:$H,Proventos!$D:$D,"&gt;="&amp;CONCATENATE($H$6,"/",B35),Proventos!$D:$D,"&lt;"&amp;CONCATENATE($I$6,"/",B35),Proventos!$J:$J,"="&amp;$H$2),
AND($H$2=Data!$A$10,$K$2=Data!$A$2),SUMIFS(Proventos!$H:$H,Proventos!$D:$D,"&gt;="&amp;CONCATENATE($H$6,"/",B35),Proventos!$D:$D,"&lt;"&amp;CONCATENATE($I$6,"/",B35),Proventos!$J:$J,"="&amp;$H$2),
AND($H$2=Data!$A$11,$K$2=Data!$A$2),SUMIFS(Proventos!$H:$H,Proventos!$D:$D,"&gt;="&amp;CONCATENATE($H$6,"/",B35),Proventos!$D:$D,"&lt;"&amp;CONCATENATE($I$6,"/",B35),Proventos!$J:$J,"="&amp;$H$2),
$K$2=Data!$A$2,SUMIFS(Proventos!$H:$H,Proventos!$D:$D,"&gt;="&amp;CONCATENATE($H$6,"/",B35),Proventos!$D:$D,"&lt;"&amp;CONCATENATE($I$6,"/",B35)),
$K$2&lt;&gt;Data!$A$2,SUMIFS(Proventos!$H:$H,Proventos!$D:$D,"&gt;="&amp;CONCATENATE($H$6,"/",B35),Proventos!$D:$D,"&lt;"&amp;CONCATENATE($I$6,"/",B35),Proventos!$A:$A,"="&amp;$K$2))</f>
        <v>0</v>
      </c>
      <c r="I35" s="245">
        <f>IFS(
AND($H$2=Data!$A$3,$K$2=Data!$A$2),SUMIFS(Proventos!$H:$H,Proventos!$D:$D,"&gt;="&amp;CONCATENATE($I$6,"/",B35),Proventos!$D:$D,"&lt;"&amp;CONCATENATE($J$6,"/",B35),Proventos!$J:$J,"="&amp;$H$2),
AND($H$2=Data!$A$4,$K$2=Data!$A$2),SUMIFS(Proventos!$H:$H,Proventos!$D:$D,"&gt;="&amp;CONCATENATE($I$6,"/",B35),Proventos!$D:$D,"&lt;"&amp;CONCATENATE($J$6,"/",B35),Proventos!$J:$J,"="&amp;$H$2),
AND($H$2=Data!$A$5,$K$2=Data!$A$2),SUMIFS(Proventos!$H:$H,Proventos!$D:$D,"&gt;="&amp;CONCATENATE($I$6,"/",B35),Proventos!$D:$D,"&lt;"&amp;CONCATENATE($J$6,"/",B35),Proventos!$J:$J,"="&amp;$H$2),
AND($H$2=Data!$A$6,$K$2=Data!$A$2),SUMIFS(Proventos!$H:$H,Proventos!$D:$D,"&gt;="&amp;CONCATENATE($I$6,"/",B35),Proventos!$D:$D,"&lt;"&amp;CONCATENATE($J$6,"/",B35),Proventos!$J:$J,"="&amp;$H$2),
AND($H$2=Data!$A$7,$K$2=Data!$A$2),SUMIFS(Proventos!$H:$H,Proventos!$D:$D,"&gt;="&amp;CONCATENATE($I$6,"/",B35),Proventos!$D:$D,"&lt;"&amp;CONCATENATE($J$6,"/",B35),Proventos!$J:$J,"="&amp;$H$2),
AND($H$2=Data!$A$8,$K$2=Data!$A$2),SUMIFS(Proventos!$H:$H,Proventos!$D:$D,"&gt;="&amp;CONCATENATE($I$6,"/",B35),Proventos!$D:$D,"&lt;"&amp;CONCATENATE($J$6,"/",B35),Proventos!$J:$J,"="&amp;$H$2),
AND($H$2=Data!$A$9,$K$2=Data!$A$2),SUMIFS(Proventos!$H:$H,Proventos!$D:$D,"&gt;="&amp;CONCATENATE($I$6,"/",B35),Proventos!$D:$D,"&lt;"&amp;CONCATENATE($J$6,"/",B35),Proventos!$J:$J,"="&amp;$H$2),
AND($H$2=Data!$A$10,$K$2=Data!$A$2),SUMIFS(Proventos!$H:$H,Proventos!$D:$D,"&gt;="&amp;CONCATENATE($I$6,"/",B35),Proventos!$D:$D,"&lt;"&amp;CONCATENATE($J$6,"/",B35),Proventos!$J:$J,"="&amp;$H$2),
AND($H$2=Data!$A$11,$K$2=Data!$A$2),SUMIFS(Proventos!$H:$H,Proventos!$D:$D,"&gt;="&amp;CONCATENATE($I$6,"/",B35),Proventos!$D:$D,"&lt;"&amp;CONCATENATE($J$6,"/",B35),Proventos!$J:$J,"="&amp;$H$2),
$K$2=Data!$A$2,SUMIFS(Proventos!$H:$H,Proventos!$D:$D,"&gt;="&amp;CONCATENATE($I$6,"/",B35),Proventos!$D:$D,"&lt;"&amp;CONCATENATE($J$6,"/",B35)),
$K$2&lt;&gt;Data!$A$2,SUMIFS(Proventos!$H:$H,Proventos!$D:$D,"&gt;="&amp;CONCATENATE($I$6,"/",B35),Proventos!$D:$D,"&lt;"&amp;CONCATENATE($J$6,"/",B35),Proventos!$A:$A,"="&amp;$K$2))</f>
        <v>0</v>
      </c>
      <c r="J35" s="245">
        <f>IFS(
AND($H$2=Data!$A$3,$K$2=Data!$A$2),SUMIFS(Proventos!$H:$H,Proventos!$D:$D,"&gt;="&amp;CONCATENATE($J$6,"/",B35),Proventos!$D:$D,"&lt;"&amp;CONCATENATE($K$6,"/",B35),Proventos!$J:$J,"="&amp;$H$2),
AND($H$2=Data!$A$4,$K$2=Data!$A$2),SUMIFS(Proventos!$H:$H,Proventos!$D:$D,"&gt;="&amp;CONCATENATE($J$6,"/",B35),Proventos!$D:$D,"&lt;"&amp;CONCATENATE($K$6,"/",B35),Proventos!$J:$J,"="&amp;$H$2),
AND($H$2=Data!$A$5,$K$2=Data!$A$2),SUMIFS(Proventos!$H:$H,Proventos!$D:$D,"&gt;="&amp;CONCATENATE($J$6,"/",B35),Proventos!$D:$D,"&lt;"&amp;CONCATENATE($K$6,"/",B35),Proventos!$J:$J,"="&amp;$H$2),
AND($H$2=Data!$A$6,$K$2=Data!$A$2),SUMIFS(Proventos!$H:$H,Proventos!$D:$D,"&gt;="&amp;CONCATENATE($J$6,"/",B35),Proventos!$D:$D,"&lt;"&amp;CONCATENATE($K$6,"/",B35),Proventos!$J:$J,"="&amp;$H$2),
AND($H$2=Data!$A$7,$K$2=Data!$A$2),SUMIFS(Proventos!$H:$H,Proventos!$D:$D,"&gt;="&amp;CONCATENATE($J$6,"/",B35),Proventos!$D:$D,"&lt;"&amp;CONCATENATE($K$6,"/",B35),Proventos!$J:$J,"="&amp;$H$2),
AND($H$2=Data!$A$8,$K$2=Data!$A$2),SUMIFS(Proventos!$H:$H,Proventos!$D:$D,"&gt;="&amp;CONCATENATE($J$6,"/",B35),Proventos!$D:$D,"&lt;"&amp;CONCATENATE($K$6,"/",B35),Proventos!$J:$J,"="&amp;$H$2),
AND($H$2=Data!$A$9,$K$2=Data!$A$2),SUMIFS(Proventos!$H:$H,Proventos!$D:$D,"&gt;="&amp;CONCATENATE($J$6,"/",B35),Proventos!$D:$D,"&lt;"&amp;CONCATENATE($K$6,"/",B35),Proventos!$J:$J,"="&amp;$H$2),
AND($H$2=Data!$A$10,$K$2=Data!$A$2),SUMIFS(Proventos!$H:$H,Proventos!$D:$D,"&gt;="&amp;CONCATENATE($J$6,"/",B35),Proventos!$D:$D,"&lt;"&amp;CONCATENATE($K$6,"/",B35),Proventos!$J:$J,"="&amp;$H$2),
AND($H$2=Data!$A$11,$K$2=Data!$A$2),SUMIFS(Proventos!$H:$H,Proventos!$D:$D,"&gt;="&amp;CONCATENATE($J$6,"/",B35),Proventos!$D:$D,"&lt;"&amp;CONCATENATE($K$6,"/",B35),Proventos!$J:$J,"="&amp;$H$2),
$K$2=Data!$A$2,SUMIFS(Proventos!$H:$H,Proventos!$D:$D,"&gt;="&amp;CONCATENATE($J$6,"/",B35),Proventos!$D:$D,"&lt;"&amp;CONCATENATE($K$6,"/",B35)),
$K$2&lt;&gt;Data!$A$2,SUMIFS(Proventos!$H:$H,Proventos!$D:$D,"&gt;="&amp;CONCATENATE($J$6,"/",B35),Proventos!$D:$D,"&lt;"&amp;CONCATENATE($K$6,"/",B35),Proventos!$A:$A,"="&amp;$K$2))</f>
        <v>0</v>
      </c>
      <c r="K35" s="245">
        <f>IFS(
AND($H$2=Data!$A$3,$K$2=Data!$A$2),SUMIFS(Proventos!$H:$H,Proventos!$D:$D,"&gt;="&amp;CONCATENATE($K$6,"/",B35),Proventos!$D:$D,"&lt;"&amp;CONCATENATE($L$6,"/",B35),Proventos!$J:$J,"="&amp;$H$2),
AND($H$2=Data!$A$4,$K$2=Data!$A$2),SUMIFS(Proventos!$H:$H,Proventos!$D:$D,"&gt;="&amp;CONCATENATE($K$6,"/",B35),Proventos!$D:$D,"&lt;"&amp;CONCATENATE($L$6,"/",B35),Proventos!$J:$J,"="&amp;$H$2),
AND($H$2=Data!$A$5,$K$2=Data!$A$2),SUMIFS(Proventos!$H:$H,Proventos!$D:$D,"&gt;="&amp;CONCATENATE($K$6,"/",B35),Proventos!$D:$D,"&lt;"&amp;CONCATENATE($L$6,"/",B35),Proventos!$J:$J,"="&amp;$H$2),
AND($H$2=Data!$A$6,$K$2=Data!$A$2),SUMIFS(Proventos!$H:$H,Proventos!$D:$D,"&gt;="&amp;CONCATENATE($K$6,"/",B35),Proventos!$D:$D,"&lt;"&amp;CONCATENATE($L$6,"/",B35),Proventos!$J:$J,"="&amp;$H$2),
AND($H$2=Data!$A$7,$K$2=Data!$A$2),SUMIFS(Proventos!$H:$H,Proventos!$D:$D,"&gt;="&amp;CONCATENATE($K$6,"/",B35),Proventos!$D:$D,"&lt;"&amp;CONCATENATE($L$6,"/",B35),Proventos!$J:$J,"="&amp;$H$2),
AND($H$2=Data!$A$8,$K$2=Data!$A$2),SUMIFS(Proventos!$H:$H,Proventos!$D:$D,"&gt;="&amp;CONCATENATE($K$6,"/",B35),Proventos!$D:$D,"&lt;"&amp;CONCATENATE($L$6,"/",B35),Proventos!$J:$J,"="&amp;$H$2),
AND($H$2=Data!$A$9,$K$2=Data!$A$2),SUMIFS(Proventos!$H:$H,Proventos!$D:$D,"&gt;="&amp;CONCATENATE($K$6,"/",B35),Proventos!$D:$D,"&lt;"&amp;CONCATENATE($L$6,"/",B35),Proventos!$J:$J,"="&amp;$H$2),
AND($H$2=Data!$A$10,$K$2=Data!$A$2),SUMIFS(Proventos!$H:$H,Proventos!$D:$D,"&gt;="&amp;CONCATENATE($K$6,"/",B35),Proventos!$D:$D,"&lt;"&amp;CONCATENATE($L$6,"/",B35),Proventos!$J:$J,"="&amp;$H$2),
AND($H$2=Data!$A$11,$K$2=Data!$A$2),SUMIFS(Proventos!$H:$H,Proventos!$D:$D,"&gt;="&amp;CONCATENATE($K$6,"/",B35),Proventos!$D:$D,"&lt;"&amp;CONCATENATE($L$6,"/",B35),Proventos!$J:$J,"="&amp;$H$2),
$K$2=Data!$A$2,SUMIFS(Proventos!$H:$H,Proventos!$D:$D,"&gt;="&amp;CONCATENATE($K$6,"/",B35),Proventos!$D:$D,"&lt;"&amp;CONCATENATE($L$6,"/",B35)),
$K$2&lt;&gt;Data!$A$2,SUMIFS(Proventos!$H:$H,Proventos!$D:$D,"&gt;="&amp;CONCATENATE($K$6,"/",B35),Proventos!$D:$D,"&lt;"&amp;CONCATENATE($L$6,"/",B35),Proventos!$A:$A,"="&amp;$K$2))</f>
        <v>0</v>
      </c>
      <c r="L35" s="245">
        <f>IFS(
AND($H$2=Data!$A$3,$K$2=Data!$A$2),SUMIFS(Proventos!$H:$H,Proventos!$D:$D,"&gt;="&amp;CONCATENATE($L$6,"/",B35),Proventos!$D:$D,"&lt;"&amp;CONCATENATE($M$6,"/",B35),Proventos!$J:$J,"="&amp;$H$2),
AND($H$2=Data!$A$4,$K$2=Data!$A$2),SUMIFS(Proventos!$H:$H,Proventos!$D:$D,"&gt;="&amp;CONCATENATE($L$6,"/",B35),Proventos!$D:$D,"&lt;"&amp;CONCATENATE($M$6,"/",B35),Proventos!$J:$J,"="&amp;$H$2),
AND($H$2=Data!$A$5,$K$2=Data!$A$2),SUMIFS(Proventos!$H:$H,Proventos!$D:$D,"&gt;="&amp;CONCATENATE($L$6,"/",B35),Proventos!$D:$D,"&lt;"&amp;CONCATENATE($M$6,"/",B35),Proventos!$J:$J,"="&amp;$H$2),
AND($H$2=Data!$A$6,$K$2=Data!$A$2),SUMIFS(Proventos!$H:$H,Proventos!$D:$D,"&gt;="&amp;CONCATENATE($L$6,"/",B35),Proventos!$D:$D,"&lt;"&amp;CONCATENATE($M$6,"/",B35),Proventos!$J:$J,"="&amp;$H$2),
AND($H$2=Data!$A$7,$K$2=Data!$A$2),SUMIFS(Proventos!$H:$H,Proventos!$D:$D,"&gt;="&amp;CONCATENATE($L$6,"/",B35),Proventos!$D:$D,"&lt;"&amp;CONCATENATE($M$6,"/",B35),Proventos!$J:$J,"="&amp;$H$2),
AND($H$2=Data!$A$8,$K$2=Data!$A$2),SUMIFS(Proventos!$H:$H,Proventos!$D:$D,"&gt;="&amp;CONCATENATE($L$6,"/",B35),Proventos!$D:$D,"&lt;"&amp;CONCATENATE($M$6,"/",B35),Proventos!$J:$J,"="&amp;$H$2),
AND($H$2=Data!$A$9,$K$2=Data!$A$2),SUMIFS(Proventos!$H:$H,Proventos!$D:$D,"&gt;="&amp;CONCATENATE($L$6,"/",B35),Proventos!$D:$D,"&lt;"&amp;CONCATENATE($M$6,"/",B35),Proventos!$J:$J,"="&amp;$H$2),
AND($H$2=Data!$A$10,$K$2=Data!$A$2),SUMIFS(Proventos!$H:$H,Proventos!$D:$D,"&gt;="&amp;CONCATENATE($L$6,"/",B35),Proventos!$D:$D,"&lt;"&amp;CONCATENATE($M$6,"/",B35),Proventos!$J:$J,"="&amp;$H$2),
AND($H$2=Data!$A$11,$K$2=Data!$A$2),SUMIFS(Proventos!$H:$H,Proventos!$D:$D,"&gt;="&amp;CONCATENATE($L$6,"/",B35),Proventos!$D:$D,"&lt;"&amp;CONCATENATE($M$6,"/",B35),Proventos!$J:$J,"="&amp;$H$2),
$K$2=Data!$A$2,SUMIFS(Proventos!$H:$H,Proventos!$D:$D,"&gt;="&amp;CONCATENATE($L$6,"/",B35),Proventos!$D:$D,"&lt;"&amp;CONCATENATE($M$6,"/",B35)),
$K$2&lt;&gt;Data!$A$2,SUMIFS(Proventos!$H:$H,Proventos!$D:$D,"&gt;="&amp;CONCATENATE($L$6,"/",B35),Proventos!$D:$D,"&lt;"&amp;CONCATENATE($M$6,"/",B35),Proventos!$A:$A,"="&amp;$K$2))</f>
        <v>0</v>
      </c>
      <c r="M35" s="245">
        <f>IFS(
AND($H$2=Data!$A$3,$K$2=Data!$A$2),SUMIFS(Proventos!$H:$H,Proventos!$D:$D,"&gt;="&amp;CONCATENATE($M$6,"/",B35),Proventos!$D:$D,"&lt;"&amp;CONCATENATE($N$6,"/",B35),Proventos!$J:$J,"="&amp;$H$2),
AND($H$2=Data!$A$4,$K$2=Data!$A$2),SUMIFS(Proventos!$H:$H,Proventos!$D:$D,"&gt;="&amp;CONCATENATE($M$6,"/",B35),Proventos!$D:$D,"&lt;"&amp;CONCATENATE($N$6,"/",B35),Proventos!$J:$J,"="&amp;$H$2),
AND($H$2=Data!$A$5,$K$2=Data!$A$2),SUMIFS(Proventos!$H:$H,Proventos!$D:$D,"&gt;="&amp;CONCATENATE($M$6,"/",B35),Proventos!$D:$D,"&lt;"&amp;CONCATENATE($N$6,"/",B35),Proventos!$J:$J,"="&amp;$H$2),
AND($H$2=Data!$A$6,$K$2=Data!$A$2),SUMIFS(Proventos!$H:$H,Proventos!$D:$D,"&gt;="&amp;CONCATENATE($M$6,"/",B35),Proventos!$D:$D,"&lt;"&amp;CONCATENATE($N$6,"/",B35),Proventos!$J:$J,"="&amp;$H$2),
AND($H$2=Data!$A$7,$K$2=Data!$A$2),SUMIFS(Proventos!$H:$H,Proventos!$D:$D,"&gt;="&amp;CONCATENATE($M$6,"/",B35),Proventos!$D:$D,"&lt;"&amp;CONCATENATE($N$6,"/",B35),Proventos!$J:$J,"="&amp;$H$2),
AND($H$2=Data!$A$8,$K$2=Data!$A$2),SUMIFS(Proventos!$H:$H,Proventos!$D:$D,"&gt;="&amp;CONCATENATE($M$6,"/",B35),Proventos!$D:$D,"&lt;"&amp;CONCATENATE($N$6,"/",B35),Proventos!$J:$J,"="&amp;$H$2),
AND($H$2=Data!$A$9,$K$2=Data!$A$2),SUMIFS(Proventos!$H:$H,Proventos!$D:$D,"&gt;="&amp;CONCATENATE($M$6,"/",B35),Proventos!$D:$D,"&lt;"&amp;CONCATENATE($N$6,"/",B35),Proventos!$J:$J,"="&amp;$H$2),
AND($H$2=Data!$A$10,$K$2=Data!$A$2),SUMIFS(Proventos!$H:$H,Proventos!$D:$D,"&gt;="&amp;CONCATENATE($M$6,"/",B35),Proventos!$D:$D,"&lt;"&amp;CONCATENATE($N$6,"/",B35),Proventos!$J:$J,"="&amp;$H$2),
AND($H$2=Data!$A$11,$K$2=Data!$A$2),SUMIFS(Proventos!$H:$H,Proventos!$D:$D,"&gt;="&amp;CONCATENATE($M$6,"/",B35),Proventos!$D:$D,"&lt;"&amp;CONCATENATE($N$6,"/",B35),Proventos!$J:$J,"="&amp;$H$2),
$K$2=Data!$A$2,SUMIFS(Proventos!$H:$H,Proventos!$D:$D,"&gt;="&amp;CONCATENATE($M$6,"/",B35),Proventos!$D:$D,"&lt;"&amp;CONCATENATE($N$6,"/",B35)),
$K$2&lt;&gt;Data!$A$2,SUMIFS(Proventos!$H:$H,Proventos!$D:$D,"&gt;="&amp;CONCATENATE($M$6,"/",B35),Proventos!$D:$D,"&lt;"&amp;CONCATENATE($N$6,"/",B35),Proventos!$A:$A,"="&amp;$K$2))</f>
        <v>0</v>
      </c>
      <c r="N35" s="245">
        <f>IFS(
AND($H$2=Data!$A$3,$K$2=Data!$A$2),SUMIFS(Proventos!$H:$H,Proventos!$D:$D,"&gt;="&amp;CONCATENATE($N$6,"/",B35),Proventos!$D:$D,"&lt;"&amp;CONCATENATE($C$6,"/",B36),Proventos!$J:$J,"="&amp;$H$2),
AND($H$2=Data!$A$4,$K$2=Data!$A$2),SUMIFS(Proventos!$H:$H,Proventos!$D:$D,"&gt;="&amp;CONCATENATE($N$6,"/",B35),Proventos!$D:$D,"&lt;"&amp;CONCATENATE($C$6,"/",B36),Proventos!$J:$J,"="&amp;$H$2),
AND($H$2=Data!$A$5,$K$2=Data!$A$2),SUMIFS(Proventos!$H:$H,Proventos!$D:$D,"&gt;="&amp;CONCATENATE($N$6,"/",B35),Proventos!$D:$D,"&lt;"&amp;CONCATENATE($C$6,"/",B36),Proventos!$J:$J,"="&amp;$H$2),
AND($H$2=Data!$A$6,$K$2=Data!$A$2),SUMIFS(Proventos!$H:$H,Proventos!$D:$D,"&gt;="&amp;CONCATENATE($N$6,"/",B35),Proventos!$D:$D,"&lt;"&amp;CONCATENATE($C$6,"/",B36),Proventos!$J:$J,"="&amp;$H$2),
AND($H$2=Data!$A$7,$K$2=Data!$A$2),SUMIFS(Proventos!$H:$H,Proventos!$D:$D,"&gt;="&amp;CONCATENATE($N$6,"/",B35),Proventos!$D:$D,"&lt;"&amp;CONCATENATE($C$6,"/",B36),Proventos!$J:$J,"="&amp;$H$2),
AND($H$2=Data!$A$8,$K$2=Data!$A$2),SUMIFS(Proventos!$H:$H,Proventos!$D:$D,"&gt;="&amp;CONCATENATE($N$6,"/",B35),Proventos!$D:$D,"&lt;"&amp;CONCATENATE($C$6,"/",B36),Proventos!$J:$J,"="&amp;$H$2),
AND($H$2=Data!$A$9,$K$2=Data!$A$2),SUMIFS(Proventos!$H:$H,Proventos!$D:$D,"&gt;="&amp;CONCATENATE($N$6,"/",B35),Proventos!$D:$D,"&lt;"&amp;CONCATENATE($C$6,"/",B36),Proventos!$J:$J,"="&amp;$H$2),
AND($H$2=Data!$A$10,$K$2=Data!$A$2),SUMIFS(Proventos!$H:$H,Proventos!$D:$D,"&gt;="&amp;CONCATENATE($N$6,"/",B35),Proventos!$D:$D,"&lt;"&amp;CONCATENATE($C$6,"/",B36),Proventos!$J:$J,"="&amp;$H$2),
AND($H$2=Data!$A$11,$K$2=Data!$A$2),SUMIFS(Proventos!$H:$H,Proventos!$D:$D,"&gt;="&amp;CONCATENATE($N$6,"/",B35),Proventos!$D:$D,"&lt;"&amp;CONCATENATE($C$6,"/",B36),Proventos!$J:$J,"="&amp;$H$2),
$K$2=Data!$A$2,SUMIFS(Proventos!$H:$H,Proventos!$D:$D,"&gt;="&amp;CONCATENATE($N$6,"/",B35),Proventos!$D:$D,"&lt;"&amp;CONCATENATE($C$6,"/",B36)),
$K$2&lt;&gt;Data!$A$2,SUMIFS(Proventos!$H:$H,Proventos!$D:$D,"&gt;="&amp;CONCATENATE($N$6,"/",B35),Proventos!$D:$D,"&lt;"&amp;CONCATENATE($C$6,"/",B36),Proventos!$A:$A,"="&amp;$K$2))</f>
        <v>0</v>
      </c>
      <c r="O35" s="245"/>
      <c r="P35" s="245">
        <f t="shared" si="1"/>
        <v>0</v>
      </c>
      <c r="Q35" s="245">
        <f t="shared" si="2"/>
        <v>0</v>
      </c>
    </row>
    <row r="36" ht="32.25" customHeight="1">
      <c r="A36" s="230"/>
      <c r="B36" s="244"/>
      <c r="C36" s="245">
        <f>IFS(
AND($H$2=Data!$A$3,$K$2=Data!$A$2),SUMIFS(Proventos!$H:$H,Proventos!$D:$D,"&gt;="&amp;CONCATENATE($C$6,"/",B36),Proventos!$D:$D,"&lt;"&amp;CONCATENATE($D$6,"/",B36),Proventos!$J:$J,"="&amp;$H$2),
AND($H$2=Data!$A$4,$K$2=Data!$A$2),SUMIFS(Proventos!$H:$H,Proventos!$D:$D,"&gt;="&amp;CONCATENATE($C$6,"/",B36),Proventos!$D:$D,"&lt;"&amp;CONCATENATE($D$6,"/",B36),Proventos!$J:$J,"="&amp;$H$2),
AND($H$2=Data!$A$5,$K$2=Data!$A$2),SUMIFS(Proventos!$H:$H,Proventos!$D:$D,"&gt;="&amp;CONCATENATE($C$6,"/",B36),Proventos!$D:$D,"&lt;"&amp;CONCATENATE($D$6,"/",B36),Proventos!$J:$J,"="&amp;$H$2),
AND($H$2=Data!$A$6,$K$2=Data!$A$2),SUMIFS(Proventos!$H:$H,Proventos!$D:$D,"&gt;="&amp;CONCATENATE($C$6,"/",B36),Proventos!$D:$D,"&lt;"&amp;CONCATENATE($D$6,"/",B36),Proventos!$J:$J,"="&amp;$H$2),
AND($H$2=Data!$A$7,$K$2=Data!$A$2),SUMIFS(Proventos!$H:$H,Proventos!$D:$D,"&gt;="&amp;CONCATENATE($C$6,"/",B36),Proventos!$D:$D,"&lt;"&amp;CONCATENATE($D$6,"/",B36),Proventos!$J:$J,"="&amp;$H$2),
AND($H$2=Data!$A$8,$K$2=Data!$A$2),SUMIFS(Proventos!$H:$H,Proventos!$D:$D,"&gt;="&amp;CONCATENATE($C$6,"/",B36),Proventos!$D:$D,"&lt;"&amp;CONCATENATE($D$6,"/",B36),Proventos!$J:$J,"="&amp;$H$2),
AND($H$2=Data!$A$9,$K$2=Data!$A$2),SUMIFS(Proventos!$H:$H,Proventos!$D:$D,"&gt;="&amp;CONCATENATE($C$6,"/",B36),Proventos!$D:$D,"&lt;"&amp;CONCATENATE($D$6,"/",B36),Proventos!$J:$J,"="&amp;$H$2),
AND($H$2=Data!$A$10,$K$2=Data!$A$2),SUMIFS(Proventos!$H:$H,Proventos!$D:$D,"&gt;="&amp;CONCATENATE($C$6,"/",B36),Proventos!$D:$D,"&lt;"&amp;CONCATENATE($D$6,"/",B36),Proventos!$J:$J,"="&amp;$H$2),
AND($H$2=Data!$A$11,$K$2=Data!$A$2),SUMIFS(Proventos!$H:$H,Proventos!$D:$D,"&gt;="&amp;CONCATENATE($C$6,"/",B36),Proventos!$D:$D,"&lt;"&amp;CONCATENATE($D$6,"/",B36),Proventos!$J:$J,"="&amp;$H$2),
$K$2=Data!$A$2,SUMIFS(Proventos!$H:$H,Proventos!$D:$D,"&gt;="&amp;CONCATENATE($C$6,"/",B36),Proventos!$D:$D,"&lt;"&amp;CONCATENATE($D$6,"/",B36)),
$K$2&lt;&gt;Data!$A$2,SUMIFS(Proventos!$H:$H,Proventos!$D:$D,"&gt;="&amp;CONCATENATE($C$6,"/",B36),Proventos!$D:$D,"&lt;"&amp;CONCATENATE($D$6,"/",B36),Proventos!$A:$A,"="&amp;$K$2))</f>
        <v>0</v>
      </c>
      <c r="D36" s="245">
        <f>IFS(
AND($H$2=Data!$A$3,$K$2=Data!$A$2),SUMIFS(Proventos!$H:$H,Proventos!$D:$D,"&gt;="&amp;CONCATENATE($D$6,"/",B36),Proventos!$D:$D,"&lt;"&amp;CONCATENATE($E$6,"/",B36),Proventos!$J:$J,"="&amp;$H$2),
AND($H$2=Data!$A$4,$K$2=Data!$A$2),SUMIFS(Proventos!$H:$H,Proventos!$D:$D,"&gt;="&amp;CONCATENATE($D$6,"/",B36),Proventos!$D:$D,"&lt;"&amp;CONCATENATE($E$6,"/",B36),Proventos!$J:$J,"="&amp;$H$2),
AND($H$2=Data!$A$5,$K$2=Data!$A$2),SUMIFS(Proventos!$H:$H,Proventos!$D:$D,"&gt;="&amp;CONCATENATE($D$6,"/",B36),Proventos!$D:$D,"&lt;"&amp;CONCATENATE($E$6,"/",B36),Proventos!$J:$J,"="&amp;$H$2),
AND($H$2=Data!$A$6,$K$2=Data!$A$2),SUMIFS(Proventos!$H:$H,Proventos!$D:$D,"&gt;="&amp;CONCATENATE($D$6,"/",B36),Proventos!$D:$D,"&lt;"&amp;CONCATENATE($E$6,"/",B36),Proventos!$J:$J,"="&amp;$H$2),
AND($H$2=Data!$A$7,$K$2=Data!$A$2),SUMIFS(Proventos!$H:$H,Proventos!$D:$D,"&gt;="&amp;CONCATENATE($D$6,"/",B36),Proventos!$D:$D,"&lt;"&amp;CONCATENATE($E$6,"/",B36),Proventos!$J:$J,"="&amp;$H$2),
AND($H$2=Data!$A$8,$K$2=Data!$A$2),SUMIFS(Proventos!$H:$H,Proventos!$D:$D,"&gt;="&amp;CONCATENATE($D$6,"/",B36),Proventos!$D:$D,"&lt;"&amp;CONCATENATE($E$6,"/",B36),Proventos!$J:$J,"="&amp;$H$2),
AND($H$2=Data!$A$9,$K$2=Data!$A$2),SUMIFS(Proventos!$H:$H,Proventos!$D:$D,"&gt;="&amp;CONCATENATE($D$6,"/",B36),Proventos!$D:$D,"&lt;"&amp;CONCATENATE($E$6,"/",B36),Proventos!$J:$J,"="&amp;$H$2),
AND($H$2=Data!$A$10,$K$2=Data!$A$2),SUMIFS(Proventos!$H:$H,Proventos!$D:$D,"&gt;="&amp;CONCATENATE($D$6,"/",B36),Proventos!$D:$D,"&lt;"&amp;CONCATENATE($E$6,"/",B36),Proventos!$J:$J,"="&amp;$H$2),
AND($H$2=Data!$A$11,$K$2=Data!$A$2),SUMIFS(Proventos!$H:$H,Proventos!$D:$D,"&gt;="&amp;CONCATENATE($D$6,"/",B36),Proventos!$D:$D,"&lt;"&amp;CONCATENATE($E$6,"/",B36),Proventos!$J:$J,"="&amp;$H$2),
$K$2=Data!$A$2,SUMIFS(Proventos!$H:$H,Proventos!$D:$D,"&gt;="&amp;CONCATENATE($D$6,"/",B36),Proventos!$D:$D,"&lt;"&amp;CONCATENATE($E$6,"/",B36)),
$K$2&lt;&gt;Data!$A$2,SUMIFS(Proventos!$H:$H,Proventos!$D:$D,"&gt;="&amp;CONCATENATE($D$6,"/",B36),Proventos!$D:$D,"&lt;"&amp;CONCATENATE($E$6,"/",B36),Proventos!$A:$A,"="&amp;$K$2))</f>
        <v>0</v>
      </c>
      <c r="E36" s="245">
        <f>IFS(
AND($H$2=Data!$A$3,$K$2=Data!$A$2),SUMIFS(Proventos!$H:$H,Proventos!$D:$D,"&gt;="&amp;CONCATENATE($E$6,"/",B36),Proventos!$D:$D,"&lt;"&amp;CONCATENATE($F$6,"/",B36),Proventos!$J:$J,"="&amp;$H$2),
AND($H$2=Data!$A$4,$K$2=Data!$A$2),SUMIFS(Proventos!$H:$H,Proventos!$D:$D,"&gt;="&amp;CONCATENATE($E$6,"/",B36),Proventos!$D:$D,"&lt;"&amp;CONCATENATE($F$6,"/",B36),Proventos!$J:$J,"="&amp;$H$2),
AND($H$2=Data!$A$5,$K$2=Data!$A$2),SUMIFS(Proventos!$H:$H,Proventos!$D:$D,"&gt;="&amp;CONCATENATE($E$6,"/",B36),Proventos!$D:$D,"&lt;"&amp;CONCATENATE($F$6,"/",B36),Proventos!$J:$J,"="&amp;$H$2),
AND($H$2=Data!$A$6,$K$2=Data!$A$2),SUMIFS(Proventos!$H:$H,Proventos!$D:$D,"&gt;="&amp;CONCATENATE($E$6,"/",B36),Proventos!$D:$D,"&lt;"&amp;CONCATENATE($F$6,"/",B36),Proventos!$J:$J,"="&amp;$H$2),
AND($H$2=Data!$A$7,$K$2=Data!$A$2),SUMIFS(Proventos!$H:$H,Proventos!$D:$D,"&gt;="&amp;CONCATENATE($E$6,"/",B36),Proventos!$D:$D,"&lt;"&amp;CONCATENATE($F$6,"/",B36),Proventos!$J:$J,"="&amp;$H$2),
AND($H$2=Data!$A$8,$K$2=Data!$A$2),SUMIFS(Proventos!$H:$H,Proventos!$D:$D,"&gt;="&amp;CONCATENATE($E$6,"/",B36),Proventos!$D:$D,"&lt;"&amp;CONCATENATE($F$6,"/",B36),Proventos!$J:$J,"="&amp;$H$2),
AND($H$2=Data!$A$9,$K$2=Data!$A$2),SUMIFS(Proventos!$H:$H,Proventos!$D:$D,"&gt;="&amp;CONCATENATE($E$6,"/",B36),Proventos!$D:$D,"&lt;"&amp;CONCATENATE($F$6,"/",B36),Proventos!$J:$J,"="&amp;$H$2),
AND($H$2=Data!$A$10,$K$2=Data!$A$2),SUMIFS(Proventos!$H:$H,Proventos!$D:$D,"&gt;="&amp;CONCATENATE($E$6,"/",B36),Proventos!$D:$D,"&lt;"&amp;CONCATENATE($F$6,"/",B36),Proventos!$J:$J,"="&amp;$H$2),
AND($H$2=Data!$A$11,$K$2=Data!$A$2),SUMIFS(Proventos!$H:$H,Proventos!$D:$D,"&gt;="&amp;CONCATENATE($E$6,"/",B36),Proventos!$D:$D,"&lt;"&amp;CONCATENATE($F$6,"/",B36),Proventos!$J:$J,"="&amp;$H$2),
$K$2=Data!$A$2,SUMIFS(Proventos!$H:$H,Proventos!$D:$D,"&gt;="&amp;CONCATENATE($E$6,"/",B36),Proventos!$D:$D,"&lt;"&amp;CONCATENATE($F$6,"/",B36)),
$K$2&lt;&gt;Data!$A$2,SUMIFS(Proventos!$H:$H,Proventos!$D:$D,"&gt;="&amp;CONCATENATE($E$6,"/",B36),Proventos!$D:$D,"&lt;"&amp;CONCATENATE($F$6,"/",B36),Proventos!$A:$A,"="&amp;$K$2))</f>
        <v>0</v>
      </c>
      <c r="F36" s="245">
        <f>IFS(
AND($H$2=Data!$A$3,$K$2=Data!$A$2),SUMIFS(Proventos!$H:$H,Proventos!$D:$D,"&gt;="&amp;CONCATENATE($F$6,"/",B36),Proventos!$D:$D,"&lt;"&amp;CONCATENATE($G$6,"/",B36),Proventos!$J:$J,"="&amp;$H$2),
AND($H$2=Data!$A$4,$K$2=Data!$A$2),SUMIFS(Proventos!$H:$H,Proventos!$D:$D,"&gt;="&amp;CONCATENATE($F$6,"/",B36),Proventos!$D:$D,"&lt;"&amp;CONCATENATE($G$6,"/",B36),Proventos!$J:$J,"="&amp;$H$2),
AND($H$2=Data!$A$5,$K$2=Data!$A$2),SUMIFS(Proventos!$H:$H,Proventos!$D:$D,"&gt;="&amp;CONCATENATE($F$6,"/",B36),Proventos!$D:$D,"&lt;"&amp;CONCATENATE($G$6,"/",B36),Proventos!$J:$J,"="&amp;$H$2),
AND($H$2=Data!$A$6,$K$2=Data!$A$2),SUMIFS(Proventos!$H:$H,Proventos!$D:$D,"&gt;="&amp;CONCATENATE($F$6,"/",B36),Proventos!$D:$D,"&lt;"&amp;CONCATENATE($G$6,"/",B36),Proventos!$J:$J,"="&amp;$H$2),
AND($H$2=Data!$A$7,$K$2=Data!$A$2),SUMIFS(Proventos!$H:$H,Proventos!$D:$D,"&gt;="&amp;CONCATENATE($F$6,"/",B36),Proventos!$D:$D,"&lt;"&amp;CONCATENATE($G$6,"/",B36),Proventos!$J:$J,"="&amp;$H$2),
AND($H$2=Data!$A$8,$K$2=Data!$A$2),SUMIFS(Proventos!$H:$H,Proventos!$D:$D,"&gt;="&amp;CONCATENATE($F$6,"/",B36),Proventos!$D:$D,"&lt;"&amp;CONCATENATE($G$6,"/",B36),Proventos!$J:$J,"="&amp;$H$2),
AND($H$2=Data!$A$9,$K$2=Data!$A$2),SUMIFS(Proventos!$H:$H,Proventos!$D:$D,"&gt;="&amp;CONCATENATE($F$6,"/",B36),Proventos!$D:$D,"&lt;"&amp;CONCATENATE($G$6,"/",B36),Proventos!$J:$J,"="&amp;$H$2),
AND($H$2=Data!$A$10,$K$2=Data!$A$2),SUMIFS(Proventos!$H:$H,Proventos!$D:$D,"&gt;="&amp;CONCATENATE($F$6,"/",B36),Proventos!$D:$D,"&lt;"&amp;CONCATENATE($G$6,"/",B36),Proventos!$J:$J,"="&amp;$H$2),
AND($H$2=Data!$A$11,$K$2=Data!$A$2),SUMIFS(Proventos!$H:$H,Proventos!$D:$D,"&gt;="&amp;CONCATENATE($F$6,"/",B36),Proventos!$D:$D,"&lt;"&amp;CONCATENATE($G$6,"/",B36),Proventos!$J:$J,"="&amp;$H$2),
$K$2=Data!$A$2,SUMIFS(Proventos!$H:$H,Proventos!$D:$D,"&gt;="&amp;CONCATENATE($F$6,"/",B36),Proventos!$D:$D,"&lt;"&amp;CONCATENATE($G$6,"/",B36)),
$K$2&lt;&gt;Data!$A$2,SUMIFS(Proventos!$H:$H,Proventos!$D:$D,"&gt;="&amp;CONCATENATE($F$6,"/",B36),Proventos!$D:$D,"&lt;"&amp;CONCATENATE($G$6,"/",B36),Proventos!$A:$A,"="&amp;$K$2))</f>
        <v>0</v>
      </c>
      <c r="G36" s="245">
        <f>IFS(
AND($H$2=Data!$A$3,$K$2=Data!$A$2),SUMIFS(Proventos!$H:$H,Proventos!$D:$D,"&gt;="&amp;CONCATENATE($G$6,"/",B36),Proventos!$D:$D,"&lt;"&amp;CONCATENATE($H$6,"/",B36),Proventos!$J:$J,"="&amp;$H$2),
AND($H$2=Data!$A$4,$K$2=Data!$A$2),SUMIFS(Proventos!$H:$H,Proventos!$D:$D,"&gt;="&amp;CONCATENATE($G$6,"/",B36),Proventos!$D:$D,"&lt;"&amp;CONCATENATE($H$6,"/",B36),Proventos!$J:$J,"="&amp;$H$2),
AND($H$2=Data!$A$5,$K$2=Data!$A$2),SUMIFS(Proventos!$H:$H,Proventos!$D:$D,"&gt;="&amp;CONCATENATE($G$6,"/",B36),Proventos!$D:$D,"&lt;"&amp;CONCATENATE($H$6,"/",B36),Proventos!$J:$J,"="&amp;$H$2),
AND($H$2=Data!$A$6,$K$2=Data!$A$2),SUMIFS(Proventos!$H:$H,Proventos!$D:$D,"&gt;="&amp;CONCATENATE($G$6,"/",B36),Proventos!$D:$D,"&lt;"&amp;CONCATENATE($H$6,"/",B36),Proventos!$J:$J,"="&amp;$H$2),
AND($H$2=Data!$A$7,$K$2=Data!$A$2),SUMIFS(Proventos!$H:$H,Proventos!$D:$D,"&gt;="&amp;CONCATENATE($G$6,"/",B36),Proventos!$D:$D,"&lt;"&amp;CONCATENATE($H$6,"/",B36),Proventos!$J:$J,"="&amp;$H$2),
AND($H$2=Data!$A$8,$K$2=Data!$A$2),SUMIFS(Proventos!$H:$H,Proventos!$D:$D,"&gt;="&amp;CONCATENATE($G$6,"/",B36),Proventos!$D:$D,"&lt;"&amp;CONCATENATE($H$6,"/",B36),Proventos!$J:$J,"="&amp;$H$2),
AND($H$2=Data!$A$9,$K$2=Data!$A$2),SUMIFS(Proventos!$H:$H,Proventos!$D:$D,"&gt;="&amp;CONCATENATE($G$6,"/",B36),Proventos!$D:$D,"&lt;"&amp;CONCATENATE($H$6,"/",B36),Proventos!$J:$J,"="&amp;$H$2),
AND($H$2=Data!$A$10,$K$2=Data!$A$2),SUMIFS(Proventos!$H:$H,Proventos!$D:$D,"&gt;="&amp;CONCATENATE($G$6,"/",B36),Proventos!$D:$D,"&lt;"&amp;CONCATENATE($H$6,"/",B36),Proventos!$J:$J,"="&amp;$H$2),
AND($H$2=Data!$A$11,$K$2=Data!$A$2),SUMIFS(Proventos!$H:$H,Proventos!$D:$D,"&gt;="&amp;CONCATENATE($G$6,"/",B36),Proventos!$D:$D,"&lt;"&amp;CONCATENATE($H$6,"/",B36),Proventos!$J:$J,"="&amp;$H$2),
$K$2=Data!$A$2,SUMIFS(Proventos!$H:$H,Proventos!$D:$D,"&gt;="&amp;CONCATENATE($G$6,"/",B36),Proventos!$D:$D,"&lt;"&amp;CONCATENATE($H$6,"/",B36)),
$K$2&lt;&gt;Data!$A$2,SUMIFS(Proventos!$H:$H,Proventos!$D:$D,"&gt;="&amp;CONCATENATE($G$6,"/",B36),Proventos!$D:$D,"&lt;"&amp;CONCATENATE($H$6,"/",B36),Proventos!$A:$A,"="&amp;$K$2))</f>
        <v>0</v>
      </c>
      <c r="H36" s="245">
        <f>IFS(
AND($H$2=Data!$A$3,$K$2=Data!$A$2),SUMIFS(Proventos!$H:$H,Proventos!$D:$D,"&gt;="&amp;CONCATENATE($H$6,"/",B36),Proventos!$D:$D,"&lt;"&amp;CONCATENATE($I$6,"/",B36),Proventos!$J:$J,"="&amp;$H$2),
AND($H$2=Data!$A$4,$K$2=Data!$A$2),SUMIFS(Proventos!$H:$H,Proventos!$D:$D,"&gt;="&amp;CONCATENATE($H$6,"/",B36),Proventos!$D:$D,"&lt;"&amp;CONCATENATE($I$6,"/",B36),Proventos!$J:$J,"="&amp;$H$2),
AND($H$2=Data!$A$5,$K$2=Data!$A$2),SUMIFS(Proventos!$H:$H,Proventos!$D:$D,"&gt;="&amp;CONCATENATE($H$6,"/",B36),Proventos!$D:$D,"&lt;"&amp;CONCATENATE($I$6,"/",B36),Proventos!$J:$J,"="&amp;$H$2),
AND($H$2=Data!$A$6,$K$2=Data!$A$2),SUMIFS(Proventos!$H:$H,Proventos!$D:$D,"&gt;="&amp;CONCATENATE($H$6,"/",B36),Proventos!$D:$D,"&lt;"&amp;CONCATENATE($I$6,"/",B36),Proventos!$J:$J,"="&amp;$H$2),
AND($H$2=Data!$A$7,$K$2=Data!$A$2),SUMIFS(Proventos!$H:$H,Proventos!$D:$D,"&gt;="&amp;CONCATENATE($H$6,"/",B36),Proventos!$D:$D,"&lt;"&amp;CONCATENATE($I$6,"/",B36),Proventos!$J:$J,"="&amp;$H$2),
AND($H$2=Data!$A$8,$K$2=Data!$A$2),SUMIFS(Proventos!$H:$H,Proventos!$D:$D,"&gt;="&amp;CONCATENATE($H$6,"/",B36),Proventos!$D:$D,"&lt;"&amp;CONCATENATE($I$6,"/",B36),Proventos!$J:$J,"="&amp;$H$2),
AND($H$2=Data!$A$9,$K$2=Data!$A$2),SUMIFS(Proventos!$H:$H,Proventos!$D:$D,"&gt;="&amp;CONCATENATE($H$6,"/",B36),Proventos!$D:$D,"&lt;"&amp;CONCATENATE($I$6,"/",B36),Proventos!$J:$J,"="&amp;$H$2),
AND($H$2=Data!$A$10,$K$2=Data!$A$2),SUMIFS(Proventos!$H:$H,Proventos!$D:$D,"&gt;="&amp;CONCATENATE($H$6,"/",B36),Proventos!$D:$D,"&lt;"&amp;CONCATENATE($I$6,"/",B36),Proventos!$J:$J,"="&amp;$H$2),
AND($H$2=Data!$A$11,$K$2=Data!$A$2),SUMIFS(Proventos!$H:$H,Proventos!$D:$D,"&gt;="&amp;CONCATENATE($H$6,"/",B36),Proventos!$D:$D,"&lt;"&amp;CONCATENATE($I$6,"/",B36),Proventos!$J:$J,"="&amp;$H$2),
$K$2=Data!$A$2,SUMIFS(Proventos!$H:$H,Proventos!$D:$D,"&gt;="&amp;CONCATENATE($H$6,"/",B36),Proventos!$D:$D,"&lt;"&amp;CONCATENATE($I$6,"/",B36)),
$K$2&lt;&gt;Data!$A$2,SUMIFS(Proventos!$H:$H,Proventos!$D:$D,"&gt;="&amp;CONCATENATE($H$6,"/",B36),Proventos!$D:$D,"&lt;"&amp;CONCATENATE($I$6,"/",B36),Proventos!$A:$A,"="&amp;$K$2))</f>
        <v>0</v>
      </c>
      <c r="I36" s="245">
        <f>IFS(
AND($H$2=Data!$A$3,$K$2=Data!$A$2),SUMIFS(Proventos!$H:$H,Proventos!$D:$D,"&gt;="&amp;CONCATENATE($I$6,"/",B36),Proventos!$D:$D,"&lt;"&amp;CONCATENATE($J$6,"/",B36),Proventos!$J:$J,"="&amp;$H$2),
AND($H$2=Data!$A$4,$K$2=Data!$A$2),SUMIFS(Proventos!$H:$H,Proventos!$D:$D,"&gt;="&amp;CONCATENATE($I$6,"/",B36),Proventos!$D:$D,"&lt;"&amp;CONCATENATE($J$6,"/",B36),Proventos!$J:$J,"="&amp;$H$2),
AND($H$2=Data!$A$5,$K$2=Data!$A$2),SUMIFS(Proventos!$H:$H,Proventos!$D:$D,"&gt;="&amp;CONCATENATE($I$6,"/",B36),Proventos!$D:$D,"&lt;"&amp;CONCATENATE($J$6,"/",B36),Proventos!$J:$J,"="&amp;$H$2),
AND($H$2=Data!$A$6,$K$2=Data!$A$2),SUMIFS(Proventos!$H:$H,Proventos!$D:$D,"&gt;="&amp;CONCATENATE($I$6,"/",B36),Proventos!$D:$D,"&lt;"&amp;CONCATENATE($J$6,"/",B36),Proventos!$J:$J,"="&amp;$H$2),
AND($H$2=Data!$A$7,$K$2=Data!$A$2),SUMIFS(Proventos!$H:$H,Proventos!$D:$D,"&gt;="&amp;CONCATENATE($I$6,"/",B36),Proventos!$D:$D,"&lt;"&amp;CONCATENATE($J$6,"/",B36),Proventos!$J:$J,"="&amp;$H$2),
AND($H$2=Data!$A$8,$K$2=Data!$A$2),SUMIFS(Proventos!$H:$H,Proventos!$D:$D,"&gt;="&amp;CONCATENATE($I$6,"/",B36),Proventos!$D:$D,"&lt;"&amp;CONCATENATE($J$6,"/",B36),Proventos!$J:$J,"="&amp;$H$2),
AND($H$2=Data!$A$9,$K$2=Data!$A$2),SUMIFS(Proventos!$H:$H,Proventos!$D:$D,"&gt;="&amp;CONCATENATE($I$6,"/",B36),Proventos!$D:$D,"&lt;"&amp;CONCATENATE($J$6,"/",B36),Proventos!$J:$J,"="&amp;$H$2),
AND($H$2=Data!$A$10,$K$2=Data!$A$2),SUMIFS(Proventos!$H:$H,Proventos!$D:$D,"&gt;="&amp;CONCATENATE($I$6,"/",B36),Proventos!$D:$D,"&lt;"&amp;CONCATENATE($J$6,"/",B36),Proventos!$J:$J,"="&amp;$H$2),
AND($H$2=Data!$A$11,$K$2=Data!$A$2),SUMIFS(Proventos!$H:$H,Proventos!$D:$D,"&gt;="&amp;CONCATENATE($I$6,"/",B36),Proventos!$D:$D,"&lt;"&amp;CONCATENATE($J$6,"/",B36),Proventos!$J:$J,"="&amp;$H$2),
$K$2=Data!$A$2,SUMIFS(Proventos!$H:$H,Proventos!$D:$D,"&gt;="&amp;CONCATENATE($I$6,"/",B36),Proventos!$D:$D,"&lt;"&amp;CONCATENATE($J$6,"/",B36)),
$K$2&lt;&gt;Data!$A$2,SUMIFS(Proventos!$H:$H,Proventos!$D:$D,"&gt;="&amp;CONCATENATE($I$6,"/",B36),Proventos!$D:$D,"&lt;"&amp;CONCATENATE($J$6,"/",B36),Proventos!$A:$A,"="&amp;$K$2))</f>
        <v>0</v>
      </c>
      <c r="J36" s="245">
        <f>IFS(
AND($H$2=Data!$A$3,$K$2=Data!$A$2),SUMIFS(Proventos!$H:$H,Proventos!$D:$D,"&gt;="&amp;CONCATENATE($J$6,"/",B36),Proventos!$D:$D,"&lt;"&amp;CONCATENATE($K$6,"/",B36),Proventos!$J:$J,"="&amp;$H$2),
AND($H$2=Data!$A$4,$K$2=Data!$A$2),SUMIFS(Proventos!$H:$H,Proventos!$D:$D,"&gt;="&amp;CONCATENATE($J$6,"/",B36),Proventos!$D:$D,"&lt;"&amp;CONCATENATE($K$6,"/",B36),Proventos!$J:$J,"="&amp;$H$2),
AND($H$2=Data!$A$5,$K$2=Data!$A$2),SUMIFS(Proventos!$H:$H,Proventos!$D:$D,"&gt;="&amp;CONCATENATE($J$6,"/",B36),Proventos!$D:$D,"&lt;"&amp;CONCATENATE($K$6,"/",B36),Proventos!$J:$J,"="&amp;$H$2),
AND($H$2=Data!$A$6,$K$2=Data!$A$2),SUMIFS(Proventos!$H:$H,Proventos!$D:$D,"&gt;="&amp;CONCATENATE($J$6,"/",B36),Proventos!$D:$D,"&lt;"&amp;CONCATENATE($K$6,"/",B36),Proventos!$J:$J,"="&amp;$H$2),
AND($H$2=Data!$A$7,$K$2=Data!$A$2),SUMIFS(Proventos!$H:$H,Proventos!$D:$D,"&gt;="&amp;CONCATENATE($J$6,"/",B36),Proventos!$D:$D,"&lt;"&amp;CONCATENATE($K$6,"/",B36),Proventos!$J:$J,"="&amp;$H$2),
AND($H$2=Data!$A$8,$K$2=Data!$A$2),SUMIFS(Proventos!$H:$H,Proventos!$D:$D,"&gt;="&amp;CONCATENATE($J$6,"/",B36),Proventos!$D:$D,"&lt;"&amp;CONCATENATE($K$6,"/",B36),Proventos!$J:$J,"="&amp;$H$2),
AND($H$2=Data!$A$9,$K$2=Data!$A$2),SUMIFS(Proventos!$H:$H,Proventos!$D:$D,"&gt;="&amp;CONCATENATE($J$6,"/",B36),Proventos!$D:$D,"&lt;"&amp;CONCATENATE($K$6,"/",B36),Proventos!$J:$J,"="&amp;$H$2),
AND($H$2=Data!$A$10,$K$2=Data!$A$2),SUMIFS(Proventos!$H:$H,Proventos!$D:$D,"&gt;="&amp;CONCATENATE($J$6,"/",B36),Proventos!$D:$D,"&lt;"&amp;CONCATENATE($K$6,"/",B36),Proventos!$J:$J,"="&amp;$H$2),
AND($H$2=Data!$A$11,$K$2=Data!$A$2),SUMIFS(Proventos!$H:$H,Proventos!$D:$D,"&gt;="&amp;CONCATENATE($J$6,"/",B36),Proventos!$D:$D,"&lt;"&amp;CONCATENATE($K$6,"/",B36),Proventos!$J:$J,"="&amp;$H$2),
$K$2=Data!$A$2,SUMIFS(Proventos!$H:$H,Proventos!$D:$D,"&gt;="&amp;CONCATENATE($J$6,"/",B36),Proventos!$D:$D,"&lt;"&amp;CONCATENATE($K$6,"/",B36)),
$K$2&lt;&gt;Data!$A$2,SUMIFS(Proventos!$H:$H,Proventos!$D:$D,"&gt;="&amp;CONCATENATE($J$6,"/",B36),Proventos!$D:$D,"&lt;"&amp;CONCATENATE($K$6,"/",B36),Proventos!$A:$A,"="&amp;$K$2))</f>
        <v>0</v>
      </c>
      <c r="K36" s="245">
        <f>IFS(
AND($H$2=Data!$A$3,$K$2=Data!$A$2),SUMIFS(Proventos!$H:$H,Proventos!$D:$D,"&gt;="&amp;CONCATENATE($K$6,"/",B36),Proventos!$D:$D,"&lt;"&amp;CONCATENATE($L$6,"/",B36),Proventos!$J:$J,"="&amp;$H$2),
AND($H$2=Data!$A$4,$K$2=Data!$A$2),SUMIFS(Proventos!$H:$H,Proventos!$D:$D,"&gt;="&amp;CONCATENATE($K$6,"/",B36),Proventos!$D:$D,"&lt;"&amp;CONCATENATE($L$6,"/",B36),Proventos!$J:$J,"="&amp;$H$2),
AND($H$2=Data!$A$5,$K$2=Data!$A$2),SUMIFS(Proventos!$H:$H,Proventos!$D:$D,"&gt;="&amp;CONCATENATE($K$6,"/",B36),Proventos!$D:$D,"&lt;"&amp;CONCATENATE($L$6,"/",B36),Proventos!$J:$J,"="&amp;$H$2),
AND($H$2=Data!$A$6,$K$2=Data!$A$2),SUMIFS(Proventos!$H:$H,Proventos!$D:$D,"&gt;="&amp;CONCATENATE($K$6,"/",B36),Proventos!$D:$D,"&lt;"&amp;CONCATENATE($L$6,"/",B36),Proventos!$J:$J,"="&amp;$H$2),
AND($H$2=Data!$A$7,$K$2=Data!$A$2),SUMIFS(Proventos!$H:$H,Proventos!$D:$D,"&gt;="&amp;CONCATENATE($K$6,"/",B36),Proventos!$D:$D,"&lt;"&amp;CONCATENATE($L$6,"/",B36),Proventos!$J:$J,"="&amp;$H$2),
AND($H$2=Data!$A$8,$K$2=Data!$A$2),SUMIFS(Proventos!$H:$H,Proventos!$D:$D,"&gt;="&amp;CONCATENATE($K$6,"/",B36),Proventos!$D:$D,"&lt;"&amp;CONCATENATE($L$6,"/",B36),Proventos!$J:$J,"="&amp;$H$2),
AND($H$2=Data!$A$9,$K$2=Data!$A$2),SUMIFS(Proventos!$H:$H,Proventos!$D:$D,"&gt;="&amp;CONCATENATE($K$6,"/",B36),Proventos!$D:$D,"&lt;"&amp;CONCATENATE($L$6,"/",B36),Proventos!$J:$J,"="&amp;$H$2),
AND($H$2=Data!$A$10,$K$2=Data!$A$2),SUMIFS(Proventos!$H:$H,Proventos!$D:$D,"&gt;="&amp;CONCATENATE($K$6,"/",B36),Proventos!$D:$D,"&lt;"&amp;CONCATENATE($L$6,"/",B36),Proventos!$J:$J,"="&amp;$H$2),
AND($H$2=Data!$A$11,$K$2=Data!$A$2),SUMIFS(Proventos!$H:$H,Proventos!$D:$D,"&gt;="&amp;CONCATENATE($K$6,"/",B36),Proventos!$D:$D,"&lt;"&amp;CONCATENATE($L$6,"/",B36),Proventos!$J:$J,"="&amp;$H$2),
$K$2=Data!$A$2,SUMIFS(Proventos!$H:$H,Proventos!$D:$D,"&gt;="&amp;CONCATENATE($K$6,"/",B36),Proventos!$D:$D,"&lt;"&amp;CONCATENATE($L$6,"/",B36)),
$K$2&lt;&gt;Data!$A$2,SUMIFS(Proventos!$H:$H,Proventos!$D:$D,"&gt;="&amp;CONCATENATE($K$6,"/",B36),Proventos!$D:$D,"&lt;"&amp;CONCATENATE($L$6,"/",B36),Proventos!$A:$A,"="&amp;$K$2))</f>
        <v>0</v>
      </c>
      <c r="L36" s="245">
        <f>IFS(
AND($H$2=Data!$A$3,$K$2=Data!$A$2),SUMIFS(Proventos!$H:$H,Proventos!$D:$D,"&gt;="&amp;CONCATENATE($L$6,"/",B36),Proventos!$D:$D,"&lt;"&amp;CONCATENATE($M$6,"/",B36),Proventos!$J:$J,"="&amp;$H$2),
AND($H$2=Data!$A$4,$K$2=Data!$A$2),SUMIFS(Proventos!$H:$H,Proventos!$D:$D,"&gt;="&amp;CONCATENATE($L$6,"/",B36),Proventos!$D:$D,"&lt;"&amp;CONCATENATE($M$6,"/",B36),Proventos!$J:$J,"="&amp;$H$2),
AND($H$2=Data!$A$5,$K$2=Data!$A$2),SUMIFS(Proventos!$H:$H,Proventos!$D:$D,"&gt;="&amp;CONCATENATE($L$6,"/",B36),Proventos!$D:$D,"&lt;"&amp;CONCATENATE($M$6,"/",B36),Proventos!$J:$J,"="&amp;$H$2),
AND($H$2=Data!$A$6,$K$2=Data!$A$2),SUMIFS(Proventos!$H:$H,Proventos!$D:$D,"&gt;="&amp;CONCATENATE($L$6,"/",B36),Proventos!$D:$D,"&lt;"&amp;CONCATENATE($M$6,"/",B36),Proventos!$J:$J,"="&amp;$H$2),
AND($H$2=Data!$A$7,$K$2=Data!$A$2),SUMIFS(Proventos!$H:$H,Proventos!$D:$D,"&gt;="&amp;CONCATENATE($L$6,"/",B36),Proventos!$D:$D,"&lt;"&amp;CONCATENATE($M$6,"/",B36),Proventos!$J:$J,"="&amp;$H$2),
AND($H$2=Data!$A$8,$K$2=Data!$A$2),SUMIFS(Proventos!$H:$H,Proventos!$D:$D,"&gt;="&amp;CONCATENATE($L$6,"/",B36),Proventos!$D:$D,"&lt;"&amp;CONCATENATE($M$6,"/",B36),Proventos!$J:$J,"="&amp;$H$2),
AND($H$2=Data!$A$9,$K$2=Data!$A$2),SUMIFS(Proventos!$H:$H,Proventos!$D:$D,"&gt;="&amp;CONCATENATE($L$6,"/",B36),Proventos!$D:$D,"&lt;"&amp;CONCATENATE($M$6,"/",B36),Proventos!$J:$J,"="&amp;$H$2),
AND($H$2=Data!$A$10,$K$2=Data!$A$2),SUMIFS(Proventos!$H:$H,Proventos!$D:$D,"&gt;="&amp;CONCATENATE($L$6,"/",B36),Proventos!$D:$D,"&lt;"&amp;CONCATENATE($M$6,"/",B36),Proventos!$J:$J,"="&amp;$H$2),
AND($H$2=Data!$A$11,$K$2=Data!$A$2),SUMIFS(Proventos!$H:$H,Proventos!$D:$D,"&gt;="&amp;CONCATENATE($L$6,"/",B36),Proventos!$D:$D,"&lt;"&amp;CONCATENATE($M$6,"/",B36),Proventos!$J:$J,"="&amp;$H$2),
$K$2=Data!$A$2,SUMIFS(Proventos!$H:$H,Proventos!$D:$D,"&gt;="&amp;CONCATENATE($L$6,"/",B36),Proventos!$D:$D,"&lt;"&amp;CONCATENATE($M$6,"/",B36)),
$K$2&lt;&gt;Data!$A$2,SUMIFS(Proventos!$H:$H,Proventos!$D:$D,"&gt;="&amp;CONCATENATE($L$6,"/",B36),Proventos!$D:$D,"&lt;"&amp;CONCATENATE($M$6,"/",B36),Proventos!$A:$A,"="&amp;$K$2))</f>
        <v>0</v>
      </c>
      <c r="M36" s="245">
        <f>IFS(
AND($H$2=Data!$A$3,$K$2=Data!$A$2),SUMIFS(Proventos!$H:$H,Proventos!$D:$D,"&gt;="&amp;CONCATENATE($M$6,"/",B36),Proventos!$D:$D,"&lt;"&amp;CONCATENATE($N$6,"/",B36),Proventos!$J:$J,"="&amp;$H$2),
AND($H$2=Data!$A$4,$K$2=Data!$A$2),SUMIFS(Proventos!$H:$H,Proventos!$D:$D,"&gt;="&amp;CONCATENATE($M$6,"/",B36),Proventos!$D:$D,"&lt;"&amp;CONCATENATE($N$6,"/",B36),Proventos!$J:$J,"="&amp;$H$2),
AND($H$2=Data!$A$5,$K$2=Data!$A$2),SUMIFS(Proventos!$H:$H,Proventos!$D:$D,"&gt;="&amp;CONCATENATE($M$6,"/",B36),Proventos!$D:$D,"&lt;"&amp;CONCATENATE($N$6,"/",B36),Proventos!$J:$J,"="&amp;$H$2),
AND($H$2=Data!$A$6,$K$2=Data!$A$2),SUMIFS(Proventos!$H:$H,Proventos!$D:$D,"&gt;="&amp;CONCATENATE($M$6,"/",B36),Proventos!$D:$D,"&lt;"&amp;CONCATENATE($N$6,"/",B36),Proventos!$J:$J,"="&amp;$H$2),
AND($H$2=Data!$A$7,$K$2=Data!$A$2),SUMIFS(Proventos!$H:$H,Proventos!$D:$D,"&gt;="&amp;CONCATENATE($M$6,"/",B36),Proventos!$D:$D,"&lt;"&amp;CONCATENATE($N$6,"/",B36),Proventos!$J:$J,"="&amp;$H$2),
AND($H$2=Data!$A$8,$K$2=Data!$A$2),SUMIFS(Proventos!$H:$H,Proventos!$D:$D,"&gt;="&amp;CONCATENATE($M$6,"/",B36),Proventos!$D:$D,"&lt;"&amp;CONCATENATE($N$6,"/",B36),Proventos!$J:$J,"="&amp;$H$2),
AND($H$2=Data!$A$9,$K$2=Data!$A$2),SUMIFS(Proventos!$H:$H,Proventos!$D:$D,"&gt;="&amp;CONCATENATE($M$6,"/",B36),Proventos!$D:$D,"&lt;"&amp;CONCATENATE($N$6,"/",B36),Proventos!$J:$J,"="&amp;$H$2),
AND($H$2=Data!$A$10,$K$2=Data!$A$2),SUMIFS(Proventos!$H:$H,Proventos!$D:$D,"&gt;="&amp;CONCATENATE($M$6,"/",B36),Proventos!$D:$D,"&lt;"&amp;CONCATENATE($N$6,"/",B36),Proventos!$J:$J,"="&amp;$H$2),
AND($H$2=Data!$A$11,$K$2=Data!$A$2),SUMIFS(Proventos!$H:$H,Proventos!$D:$D,"&gt;="&amp;CONCATENATE($M$6,"/",B36),Proventos!$D:$D,"&lt;"&amp;CONCATENATE($N$6,"/",B36),Proventos!$J:$J,"="&amp;$H$2),
$K$2=Data!$A$2,SUMIFS(Proventos!$H:$H,Proventos!$D:$D,"&gt;="&amp;CONCATENATE($M$6,"/",B36),Proventos!$D:$D,"&lt;"&amp;CONCATENATE($N$6,"/",B36)),
$K$2&lt;&gt;Data!$A$2,SUMIFS(Proventos!$H:$H,Proventos!$D:$D,"&gt;="&amp;CONCATENATE($M$6,"/",B36),Proventos!$D:$D,"&lt;"&amp;CONCATENATE($N$6,"/",B36),Proventos!$A:$A,"="&amp;$K$2))</f>
        <v>0</v>
      </c>
      <c r="N36" s="245">
        <f>IFS(
AND($H$2=Data!$A$3,$K$2=Data!$A$2),SUMIFS(Proventos!$H:$H,Proventos!$D:$D,"&gt;="&amp;CONCATENATE($N$6,"/",B36),Proventos!$D:$D,"&lt;"&amp;CONCATENATE($C$6,"/",B37),Proventos!$J:$J,"="&amp;$H$2),
AND($H$2=Data!$A$4,$K$2=Data!$A$2),SUMIFS(Proventos!$H:$H,Proventos!$D:$D,"&gt;="&amp;CONCATENATE($N$6,"/",B36),Proventos!$D:$D,"&lt;"&amp;CONCATENATE($C$6,"/",B37),Proventos!$J:$J,"="&amp;$H$2),
AND($H$2=Data!$A$5,$K$2=Data!$A$2),SUMIFS(Proventos!$H:$H,Proventos!$D:$D,"&gt;="&amp;CONCATENATE($N$6,"/",B36),Proventos!$D:$D,"&lt;"&amp;CONCATENATE($C$6,"/",B37),Proventos!$J:$J,"="&amp;$H$2),
AND($H$2=Data!$A$6,$K$2=Data!$A$2),SUMIFS(Proventos!$H:$H,Proventos!$D:$D,"&gt;="&amp;CONCATENATE($N$6,"/",B36),Proventos!$D:$D,"&lt;"&amp;CONCATENATE($C$6,"/",B37),Proventos!$J:$J,"="&amp;$H$2),
AND($H$2=Data!$A$7,$K$2=Data!$A$2),SUMIFS(Proventos!$H:$H,Proventos!$D:$D,"&gt;="&amp;CONCATENATE($N$6,"/",B36),Proventos!$D:$D,"&lt;"&amp;CONCATENATE($C$6,"/",B37),Proventos!$J:$J,"="&amp;$H$2),
AND($H$2=Data!$A$8,$K$2=Data!$A$2),SUMIFS(Proventos!$H:$H,Proventos!$D:$D,"&gt;="&amp;CONCATENATE($N$6,"/",B36),Proventos!$D:$D,"&lt;"&amp;CONCATENATE($C$6,"/",B37),Proventos!$J:$J,"="&amp;$H$2),
AND($H$2=Data!$A$9,$K$2=Data!$A$2),SUMIFS(Proventos!$H:$H,Proventos!$D:$D,"&gt;="&amp;CONCATENATE($N$6,"/",B36),Proventos!$D:$D,"&lt;"&amp;CONCATENATE($C$6,"/",B37),Proventos!$J:$J,"="&amp;$H$2),
AND($H$2=Data!$A$10,$K$2=Data!$A$2),SUMIFS(Proventos!$H:$H,Proventos!$D:$D,"&gt;="&amp;CONCATENATE($N$6,"/",B36),Proventos!$D:$D,"&lt;"&amp;CONCATENATE($C$6,"/",B37),Proventos!$J:$J,"="&amp;$H$2),
AND($H$2=Data!$A$11,$K$2=Data!$A$2),SUMIFS(Proventos!$H:$H,Proventos!$D:$D,"&gt;="&amp;CONCATENATE($N$6,"/",B36),Proventos!$D:$D,"&lt;"&amp;CONCATENATE($C$6,"/",B37),Proventos!$J:$J,"="&amp;$H$2),
$K$2=Data!$A$2,SUMIFS(Proventos!$H:$H,Proventos!$D:$D,"&gt;="&amp;CONCATENATE($N$6,"/",B36),Proventos!$D:$D,"&lt;"&amp;CONCATENATE($C$6,"/",B37)),
$K$2&lt;&gt;Data!$A$2,SUMIFS(Proventos!$H:$H,Proventos!$D:$D,"&gt;="&amp;CONCATENATE($N$6,"/",B36),Proventos!$D:$D,"&lt;"&amp;CONCATENATE($C$6,"/",B37),Proventos!$A:$A,"="&amp;$K$2))</f>
        <v>0</v>
      </c>
      <c r="O36" s="245"/>
      <c r="P36" s="245">
        <f t="shared" si="1"/>
        <v>0</v>
      </c>
      <c r="Q36" s="245">
        <f t="shared" si="2"/>
        <v>0</v>
      </c>
    </row>
    <row r="37" ht="32.25" customHeight="1">
      <c r="A37" s="230"/>
      <c r="B37" s="244"/>
      <c r="C37" s="245">
        <f>IFS(
AND($H$2=Data!$A$3,$K$2=Data!$A$2),SUMIFS(Proventos!$H:$H,Proventos!$D:$D,"&gt;="&amp;CONCATENATE($C$6,"/",B37),Proventos!$D:$D,"&lt;"&amp;CONCATENATE($D$6,"/",B37),Proventos!$J:$J,"="&amp;$H$2),
AND($H$2=Data!$A$4,$K$2=Data!$A$2),SUMIFS(Proventos!$H:$H,Proventos!$D:$D,"&gt;="&amp;CONCATENATE($C$6,"/",B37),Proventos!$D:$D,"&lt;"&amp;CONCATENATE($D$6,"/",B37),Proventos!$J:$J,"="&amp;$H$2),
AND($H$2=Data!$A$5,$K$2=Data!$A$2),SUMIFS(Proventos!$H:$H,Proventos!$D:$D,"&gt;="&amp;CONCATENATE($C$6,"/",B37),Proventos!$D:$D,"&lt;"&amp;CONCATENATE($D$6,"/",B37),Proventos!$J:$J,"="&amp;$H$2),
AND($H$2=Data!$A$6,$K$2=Data!$A$2),SUMIFS(Proventos!$H:$H,Proventos!$D:$D,"&gt;="&amp;CONCATENATE($C$6,"/",B37),Proventos!$D:$D,"&lt;"&amp;CONCATENATE($D$6,"/",B37),Proventos!$J:$J,"="&amp;$H$2),
AND($H$2=Data!$A$7,$K$2=Data!$A$2),SUMIFS(Proventos!$H:$H,Proventos!$D:$D,"&gt;="&amp;CONCATENATE($C$6,"/",B37),Proventos!$D:$D,"&lt;"&amp;CONCATENATE($D$6,"/",B37),Proventos!$J:$J,"="&amp;$H$2),
AND($H$2=Data!$A$8,$K$2=Data!$A$2),SUMIFS(Proventos!$H:$H,Proventos!$D:$D,"&gt;="&amp;CONCATENATE($C$6,"/",B37),Proventos!$D:$D,"&lt;"&amp;CONCATENATE($D$6,"/",B37),Proventos!$J:$J,"="&amp;$H$2),
AND($H$2=Data!$A$9,$K$2=Data!$A$2),SUMIFS(Proventos!$H:$H,Proventos!$D:$D,"&gt;="&amp;CONCATENATE($C$6,"/",B37),Proventos!$D:$D,"&lt;"&amp;CONCATENATE($D$6,"/",B37),Proventos!$J:$J,"="&amp;$H$2),
AND($H$2=Data!$A$10,$K$2=Data!$A$2),SUMIFS(Proventos!$H:$H,Proventos!$D:$D,"&gt;="&amp;CONCATENATE($C$6,"/",B37),Proventos!$D:$D,"&lt;"&amp;CONCATENATE($D$6,"/",B37),Proventos!$J:$J,"="&amp;$H$2),
AND($H$2=Data!$A$11,$K$2=Data!$A$2),SUMIFS(Proventos!$H:$H,Proventos!$D:$D,"&gt;="&amp;CONCATENATE($C$6,"/",B37),Proventos!$D:$D,"&lt;"&amp;CONCATENATE($D$6,"/",B37),Proventos!$J:$J,"="&amp;$H$2),
$K$2=Data!$A$2,SUMIFS(Proventos!$H:$H,Proventos!$D:$D,"&gt;="&amp;CONCATENATE($C$6,"/",B37),Proventos!$D:$D,"&lt;"&amp;CONCATENATE($D$6,"/",B37)),
$K$2&lt;&gt;Data!$A$2,SUMIFS(Proventos!$H:$H,Proventos!$D:$D,"&gt;="&amp;CONCATENATE($C$6,"/",B37),Proventos!$D:$D,"&lt;"&amp;CONCATENATE($D$6,"/",B37),Proventos!$A:$A,"="&amp;$K$2))</f>
        <v>0</v>
      </c>
      <c r="D37" s="245">
        <f>IFS(
AND($H$2=Data!$A$3,$K$2=Data!$A$2),SUMIFS(Proventos!$H:$H,Proventos!$D:$D,"&gt;="&amp;CONCATENATE($D$6,"/",B37),Proventos!$D:$D,"&lt;"&amp;CONCATENATE($E$6,"/",B37),Proventos!$J:$J,"="&amp;$H$2),
AND($H$2=Data!$A$4,$K$2=Data!$A$2),SUMIFS(Proventos!$H:$H,Proventos!$D:$D,"&gt;="&amp;CONCATENATE($D$6,"/",B37),Proventos!$D:$D,"&lt;"&amp;CONCATENATE($E$6,"/",B37),Proventos!$J:$J,"="&amp;$H$2),
AND($H$2=Data!$A$5,$K$2=Data!$A$2),SUMIFS(Proventos!$H:$H,Proventos!$D:$D,"&gt;="&amp;CONCATENATE($D$6,"/",B37),Proventos!$D:$D,"&lt;"&amp;CONCATENATE($E$6,"/",B37),Proventos!$J:$J,"="&amp;$H$2),
AND($H$2=Data!$A$6,$K$2=Data!$A$2),SUMIFS(Proventos!$H:$H,Proventos!$D:$D,"&gt;="&amp;CONCATENATE($D$6,"/",B37),Proventos!$D:$D,"&lt;"&amp;CONCATENATE($E$6,"/",B37),Proventos!$J:$J,"="&amp;$H$2),
AND($H$2=Data!$A$7,$K$2=Data!$A$2),SUMIFS(Proventos!$H:$H,Proventos!$D:$D,"&gt;="&amp;CONCATENATE($D$6,"/",B37),Proventos!$D:$D,"&lt;"&amp;CONCATENATE($E$6,"/",B37),Proventos!$J:$J,"="&amp;$H$2),
AND($H$2=Data!$A$8,$K$2=Data!$A$2),SUMIFS(Proventos!$H:$H,Proventos!$D:$D,"&gt;="&amp;CONCATENATE($D$6,"/",B37),Proventos!$D:$D,"&lt;"&amp;CONCATENATE($E$6,"/",B37),Proventos!$J:$J,"="&amp;$H$2),
AND($H$2=Data!$A$9,$K$2=Data!$A$2),SUMIFS(Proventos!$H:$H,Proventos!$D:$D,"&gt;="&amp;CONCATENATE($D$6,"/",B37),Proventos!$D:$D,"&lt;"&amp;CONCATENATE($E$6,"/",B37),Proventos!$J:$J,"="&amp;$H$2),
AND($H$2=Data!$A$10,$K$2=Data!$A$2),SUMIFS(Proventos!$H:$H,Proventos!$D:$D,"&gt;="&amp;CONCATENATE($D$6,"/",B37),Proventos!$D:$D,"&lt;"&amp;CONCATENATE($E$6,"/",B37),Proventos!$J:$J,"="&amp;$H$2),
AND($H$2=Data!$A$11,$K$2=Data!$A$2),SUMIFS(Proventos!$H:$H,Proventos!$D:$D,"&gt;="&amp;CONCATENATE($D$6,"/",B37),Proventos!$D:$D,"&lt;"&amp;CONCATENATE($E$6,"/",B37),Proventos!$J:$J,"="&amp;$H$2),
$K$2=Data!$A$2,SUMIFS(Proventos!$H:$H,Proventos!$D:$D,"&gt;="&amp;CONCATENATE($D$6,"/",B37),Proventos!$D:$D,"&lt;"&amp;CONCATENATE($E$6,"/",B37)),
$K$2&lt;&gt;Data!$A$2,SUMIFS(Proventos!$H:$H,Proventos!$D:$D,"&gt;="&amp;CONCATENATE($D$6,"/",B37),Proventos!$D:$D,"&lt;"&amp;CONCATENATE($E$6,"/",B37),Proventos!$A:$A,"="&amp;$K$2))</f>
        <v>0</v>
      </c>
      <c r="E37" s="245">
        <f>IFS(
AND($H$2=Data!$A$3,$K$2=Data!$A$2),SUMIFS(Proventos!$H:$H,Proventos!$D:$D,"&gt;="&amp;CONCATENATE($E$6,"/",B37),Proventos!$D:$D,"&lt;"&amp;CONCATENATE($F$6,"/",B37),Proventos!$J:$J,"="&amp;$H$2),
AND($H$2=Data!$A$4,$K$2=Data!$A$2),SUMIFS(Proventos!$H:$H,Proventos!$D:$D,"&gt;="&amp;CONCATENATE($E$6,"/",B37),Proventos!$D:$D,"&lt;"&amp;CONCATENATE($F$6,"/",B37),Proventos!$J:$J,"="&amp;$H$2),
AND($H$2=Data!$A$5,$K$2=Data!$A$2),SUMIFS(Proventos!$H:$H,Proventos!$D:$D,"&gt;="&amp;CONCATENATE($E$6,"/",B37),Proventos!$D:$D,"&lt;"&amp;CONCATENATE($F$6,"/",B37),Proventos!$J:$J,"="&amp;$H$2),
AND($H$2=Data!$A$6,$K$2=Data!$A$2),SUMIFS(Proventos!$H:$H,Proventos!$D:$D,"&gt;="&amp;CONCATENATE($E$6,"/",B37),Proventos!$D:$D,"&lt;"&amp;CONCATENATE($F$6,"/",B37),Proventos!$J:$J,"="&amp;$H$2),
AND($H$2=Data!$A$7,$K$2=Data!$A$2),SUMIFS(Proventos!$H:$H,Proventos!$D:$D,"&gt;="&amp;CONCATENATE($E$6,"/",B37),Proventos!$D:$D,"&lt;"&amp;CONCATENATE($F$6,"/",B37),Proventos!$J:$J,"="&amp;$H$2),
AND($H$2=Data!$A$8,$K$2=Data!$A$2),SUMIFS(Proventos!$H:$H,Proventos!$D:$D,"&gt;="&amp;CONCATENATE($E$6,"/",B37),Proventos!$D:$D,"&lt;"&amp;CONCATENATE($F$6,"/",B37),Proventos!$J:$J,"="&amp;$H$2),
AND($H$2=Data!$A$9,$K$2=Data!$A$2),SUMIFS(Proventos!$H:$H,Proventos!$D:$D,"&gt;="&amp;CONCATENATE($E$6,"/",B37),Proventos!$D:$D,"&lt;"&amp;CONCATENATE($F$6,"/",B37),Proventos!$J:$J,"="&amp;$H$2),
AND($H$2=Data!$A$10,$K$2=Data!$A$2),SUMIFS(Proventos!$H:$H,Proventos!$D:$D,"&gt;="&amp;CONCATENATE($E$6,"/",B37),Proventos!$D:$D,"&lt;"&amp;CONCATENATE($F$6,"/",B37),Proventos!$J:$J,"="&amp;$H$2),
AND($H$2=Data!$A$11,$K$2=Data!$A$2),SUMIFS(Proventos!$H:$H,Proventos!$D:$D,"&gt;="&amp;CONCATENATE($E$6,"/",B37),Proventos!$D:$D,"&lt;"&amp;CONCATENATE($F$6,"/",B37),Proventos!$J:$J,"="&amp;$H$2),
$K$2=Data!$A$2,SUMIFS(Proventos!$H:$H,Proventos!$D:$D,"&gt;="&amp;CONCATENATE($E$6,"/",B37),Proventos!$D:$D,"&lt;"&amp;CONCATENATE($F$6,"/",B37)),
$K$2&lt;&gt;Data!$A$2,SUMIFS(Proventos!$H:$H,Proventos!$D:$D,"&gt;="&amp;CONCATENATE($E$6,"/",B37),Proventos!$D:$D,"&lt;"&amp;CONCATENATE($F$6,"/",B37),Proventos!$A:$A,"="&amp;$K$2))</f>
        <v>0</v>
      </c>
      <c r="F37" s="245">
        <f>IFS(
AND($H$2=Data!$A$3,$K$2=Data!$A$2),SUMIFS(Proventos!$H:$H,Proventos!$D:$D,"&gt;="&amp;CONCATENATE($F$6,"/",B37),Proventos!$D:$D,"&lt;"&amp;CONCATENATE($G$6,"/",B37),Proventos!$J:$J,"="&amp;$H$2),
AND($H$2=Data!$A$4,$K$2=Data!$A$2),SUMIFS(Proventos!$H:$H,Proventos!$D:$D,"&gt;="&amp;CONCATENATE($F$6,"/",B37),Proventos!$D:$D,"&lt;"&amp;CONCATENATE($G$6,"/",B37),Proventos!$J:$J,"="&amp;$H$2),
AND($H$2=Data!$A$5,$K$2=Data!$A$2),SUMIFS(Proventos!$H:$H,Proventos!$D:$D,"&gt;="&amp;CONCATENATE($F$6,"/",B37),Proventos!$D:$D,"&lt;"&amp;CONCATENATE($G$6,"/",B37),Proventos!$J:$J,"="&amp;$H$2),
AND($H$2=Data!$A$6,$K$2=Data!$A$2),SUMIFS(Proventos!$H:$H,Proventos!$D:$D,"&gt;="&amp;CONCATENATE($F$6,"/",B37),Proventos!$D:$D,"&lt;"&amp;CONCATENATE($G$6,"/",B37),Proventos!$J:$J,"="&amp;$H$2),
AND($H$2=Data!$A$7,$K$2=Data!$A$2),SUMIFS(Proventos!$H:$H,Proventos!$D:$D,"&gt;="&amp;CONCATENATE($F$6,"/",B37),Proventos!$D:$D,"&lt;"&amp;CONCATENATE($G$6,"/",B37),Proventos!$J:$J,"="&amp;$H$2),
AND($H$2=Data!$A$8,$K$2=Data!$A$2),SUMIFS(Proventos!$H:$H,Proventos!$D:$D,"&gt;="&amp;CONCATENATE($F$6,"/",B37),Proventos!$D:$D,"&lt;"&amp;CONCATENATE($G$6,"/",B37),Proventos!$J:$J,"="&amp;$H$2),
AND($H$2=Data!$A$9,$K$2=Data!$A$2),SUMIFS(Proventos!$H:$H,Proventos!$D:$D,"&gt;="&amp;CONCATENATE($F$6,"/",B37),Proventos!$D:$D,"&lt;"&amp;CONCATENATE($G$6,"/",B37),Proventos!$J:$J,"="&amp;$H$2),
AND($H$2=Data!$A$10,$K$2=Data!$A$2),SUMIFS(Proventos!$H:$H,Proventos!$D:$D,"&gt;="&amp;CONCATENATE($F$6,"/",B37),Proventos!$D:$D,"&lt;"&amp;CONCATENATE($G$6,"/",B37),Proventos!$J:$J,"="&amp;$H$2),
AND($H$2=Data!$A$11,$K$2=Data!$A$2),SUMIFS(Proventos!$H:$H,Proventos!$D:$D,"&gt;="&amp;CONCATENATE($F$6,"/",B37),Proventos!$D:$D,"&lt;"&amp;CONCATENATE($G$6,"/",B37),Proventos!$J:$J,"="&amp;$H$2),
$K$2=Data!$A$2,SUMIFS(Proventos!$H:$H,Proventos!$D:$D,"&gt;="&amp;CONCATENATE($F$6,"/",B37),Proventos!$D:$D,"&lt;"&amp;CONCATENATE($G$6,"/",B37)),
$K$2&lt;&gt;Data!$A$2,SUMIFS(Proventos!$H:$H,Proventos!$D:$D,"&gt;="&amp;CONCATENATE($F$6,"/",B37),Proventos!$D:$D,"&lt;"&amp;CONCATENATE($G$6,"/",B37),Proventos!$A:$A,"="&amp;$K$2))</f>
        <v>0</v>
      </c>
      <c r="G37" s="245">
        <f>IFS(
AND($H$2=Data!$A$3,$K$2=Data!$A$2),SUMIFS(Proventos!$H:$H,Proventos!$D:$D,"&gt;="&amp;CONCATENATE($G$6,"/",B37),Proventos!$D:$D,"&lt;"&amp;CONCATENATE($H$6,"/",B37),Proventos!$J:$J,"="&amp;$H$2),
AND($H$2=Data!$A$4,$K$2=Data!$A$2),SUMIFS(Proventos!$H:$H,Proventos!$D:$D,"&gt;="&amp;CONCATENATE($G$6,"/",B37),Proventos!$D:$D,"&lt;"&amp;CONCATENATE($H$6,"/",B37),Proventos!$J:$J,"="&amp;$H$2),
AND($H$2=Data!$A$5,$K$2=Data!$A$2),SUMIFS(Proventos!$H:$H,Proventos!$D:$D,"&gt;="&amp;CONCATENATE($G$6,"/",B37),Proventos!$D:$D,"&lt;"&amp;CONCATENATE($H$6,"/",B37),Proventos!$J:$J,"="&amp;$H$2),
AND($H$2=Data!$A$6,$K$2=Data!$A$2),SUMIFS(Proventos!$H:$H,Proventos!$D:$D,"&gt;="&amp;CONCATENATE($G$6,"/",B37),Proventos!$D:$D,"&lt;"&amp;CONCATENATE($H$6,"/",B37),Proventos!$J:$J,"="&amp;$H$2),
AND($H$2=Data!$A$7,$K$2=Data!$A$2),SUMIFS(Proventos!$H:$H,Proventos!$D:$D,"&gt;="&amp;CONCATENATE($G$6,"/",B37),Proventos!$D:$D,"&lt;"&amp;CONCATENATE($H$6,"/",B37),Proventos!$J:$J,"="&amp;$H$2),
AND($H$2=Data!$A$8,$K$2=Data!$A$2),SUMIFS(Proventos!$H:$H,Proventos!$D:$D,"&gt;="&amp;CONCATENATE($G$6,"/",B37),Proventos!$D:$D,"&lt;"&amp;CONCATENATE($H$6,"/",B37),Proventos!$J:$J,"="&amp;$H$2),
AND($H$2=Data!$A$9,$K$2=Data!$A$2),SUMIFS(Proventos!$H:$H,Proventos!$D:$D,"&gt;="&amp;CONCATENATE($G$6,"/",B37),Proventos!$D:$D,"&lt;"&amp;CONCATENATE($H$6,"/",B37),Proventos!$J:$J,"="&amp;$H$2),
AND($H$2=Data!$A$10,$K$2=Data!$A$2),SUMIFS(Proventos!$H:$H,Proventos!$D:$D,"&gt;="&amp;CONCATENATE($G$6,"/",B37),Proventos!$D:$D,"&lt;"&amp;CONCATENATE($H$6,"/",B37),Proventos!$J:$J,"="&amp;$H$2),
AND($H$2=Data!$A$11,$K$2=Data!$A$2),SUMIFS(Proventos!$H:$H,Proventos!$D:$D,"&gt;="&amp;CONCATENATE($G$6,"/",B37),Proventos!$D:$D,"&lt;"&amp;CONCATENATE($H$6,"/",B37),Proventos!$J:$J,"="&amp;$H$2),
$K$2=Data!$A$2,SUMIFS(Proventos!$H:$H,Proventos!$D:$D,"&gt;="&amp;CONCATENATE($G$6,"/",B37),Proventos!$D:$D,"&lt;"&amp;CONCATENATE($H$6,"/",B37)),
$K$2&lt;&gt;Data!$A$2,SUMIFS(Proventos!$H:$H,Proventos!$D:$D,"&gt;="&amp;CONCATENATE($G$6,"/",B37),Proventos!$D:$D,"&lt;"&amp;CONCATENATE($H$6,"/",B37),Proventos!$A:$A,"="&amp;$K$2))</f>
        <v>0</v>
      </c>
      <c r="H37" s="245">
        <f>IFS(
AND($H$2=Data!$A$3,$K$2=Data!$A$2),SUMIFS(Proventos!$H:$H,Proventos!$D:$D,"&gt;="&amp;CONCATENATE($H$6,"/",B37),Proventos!$D:$D,"&lt;"&amp;CONCATENATE($I$6,"/",B37),Proventos!$J:$J,"="&amp;$H$2),
AND($H$2=Data!$A$4,$K$2=Data!$A$2),SUMIFS(Proventos!$H:$H,Proventos!$D:$D,"&gt;="&amp;CONCATENATE($H$6,"/",B37),Proventos!$D:$D,"&lt;"&amp;CONCATENATE($I$6,"/",B37),Proventos!$J:$J,"="&amp;$H$2),
AND($H$2=Data!$A$5,$K$2=Data!$A$2),SUMIFS(Proventos!$H:$H,Proventos!$D:$D,"&gt;="&amp;CONCATENATE($H$6,"/",B37),Proventos!$D:$D,"&lt;"&amp;CONCATENATE($I$6,"/",B37),Proventos!$J:$J,"="&amp;$H$2),
AND($H$2=Data!$A$6,$K$2=Data!$A$2),SUMIFS(Proventos!$H:$H,Proventos!$D:$D,"&gt;="&amp;CONCATENATE($H$6,"/",B37),Proventos!$D:$D,"&lt;"&amp;CONCATENATE($I$6,"/",B37),Proventos!$J:$J,"="&amp;$H$2),
AND($H$2=Data!$A$7,$K$2=Data!$A$2),SUMIFS(Proventos!$H:$H,Proventos!$D:$D,"&gt;="&amp;CONCATENATE($H$6,"/",B37),Proventos!$D:$D,"&lt;"&amp;CONCATENATE($I$6,"/",B37),Proventos!$J:$J,"="&amp;$H$2),
AND($H$2=Data!$A$8,$K$2=Data!$A$2),SUMIFS(Proventos!$H:$H,Proventos!$D:$D,"&gt;="&amp;CONCATENATE($H$6,"/",B37),Proventos!$D:$D,"&lt;"&amp;CONCATENATE($I$6,"/",B37),Proventos!$J:$J,"="&amp;$H$2),
AND($H$2=Data!$A$9,$K$2=Data!$A$2),SUMIFS(Proventos!$H:$H,Proventos!$D:$D,"&gt;="&amp;CONCATENATE($H$6,"/",B37),Proventos!$D:$D,"&lt;"&amp;CONCATENATE($I$6,"/",B37),Proventos!$J:$J,"="&amp;$H$2),
AND($H$2=Data!$A$10,$K$2=Data!$A$2),SUMIFS(Proventos!$H:$H,Proventos!$D:$D,"&gt;="&amp;CONCATENATE($H$6,"/",B37),Proventos!$D:$D,"&lt;"&amp;CONCATENATE($I$6,"/",B37),Proventos!$J:$J,"="&amp;$H$2),
AND($H$2=Data!$A$11,$K$2=Data!$A$2),SUMIFS(Proventos!$H:$H,Proventos!$D:$D,"&gt;="&amp;CONCATENATE($H$6,"/",B37),Proventos!$D:$D,"&lt;"&amp;CONCATENATE($I$6,"/",B37),Proventos!$J:$J,"="&amp;$H$2),
$K$2=Data!$A$2,SUMIFS(Proventos!$H:$H,Proventos!$D:$D,"&gt;="&amp;CONCATENATE($H$6,"/",B37),Proventos!$D:$D,"&lt;"&amp;CONCATENATE($I$6,"/",B37)),
$K$2&lt;&gt;Data!$A$2,SUMIFS(Proventos!$H:$H,Proventos!$D:$D,"&gt;="&amp;CONCATENATE($H$6,"/",B37),Proventos!$D:$D,"&lt;"&amp;CONCATENATE($I$6,"/",B37),Proventos!$A:$A,"="&amp;$K$2))</f>
        <v>0</v>
      </c>
      <c r="I37" s="245">
        <f>IFS(
AND($H$2=Data!$A$3,$K$2=Data!$A$2),SUMIFS(Proventos!$H:$H,Proventos!$D:$D,"&gt;="&amp;CONCATENATE($I$6,"/",B37),Proventos!$D:$D,"&lt;"&amp;CONCATENATE($J$6,"/",B37),Proventos!$J:$J,"="&amp;$H$2),
AND($H$2=Data!$A$4,$K$2=Data!$A$2),SUMIFS(Proventos!$H:$H,Proventos!$D:$D,"&gt;="&amp;CONCATENATE($I$6,"/",B37),Proventos!$D:$D,"&lt;"&amp;CONCATENATE($J$6,"/",B37),Proventos!$J:$J,"="&amp;$H$2),
AND($H$2=Data!$A$5,$K$2=Data!$A$2),SUMIFS(Proventos!$H:$H,Proventos!$D:$D,"&gt;="&amp;CONCATENATE($I$6,"/",B37),Proventos!$D:$D,"&lt;"&amp;CONCATENATE($J$6,"/",B37),Proventos!$J:$J,"="&amp;$H$2),
AND($H$2=Data!$A$6,$K$2=Data!$A$2),SUMIFS(Proventos!$H:$H,Proventos!$D:$D,"&gt;="&amp;CONCATENATE($I$6,"/",B37),Proventos!$D:$D,"&lt;"&amp;CONCATENATE($J$6,"/",B37),Proventos!$J:$J,"="&amp;$H$2),
AND($H$2=Data!$A$7,$K$2=Data!$A$2),SUMIFS(Proventos!$H:$H,Proventos!$D:$D,"&gt;="&amp;CONCATENATE($I$6,"/",B37),Proventos!$D:$D,"&lt;"&amp;CONCATENATE($J$6,"/",B37),Proventos!$J:$J,"="&amp;$H$2),
AND($H$2=Data!$A$8,$K$2=Data!$A$2),SUMIFS(Proventos!$H:$H,Proventos!$D:$D,"&gt;="&amp;CONCATENATE($I$6,"/",B37),Proventos!$D:$D,"&lt;"&amp;CONCATENATE($J$6,"/",B37),Proventos!$J:$J,"="&amp;$H$2),
AND($H$2=Data!$A$9,$K$2=Data!$A$2),SUMIFS(Proventos!$H:$H,Proventos!$D:$D,"&gt;="&amp;CONCATENATE($I$6,"/",B37),Proventos!$D:$D,"&lt;"&amp;CONCATENATE($J$6,"/",B37),Proventos!$J:$J,"="&amp;$H$2),
AND($H$2=Data!$A$10,$K$2=Data!$A$2),SUMIFS(Proventos!$H:$H,Proventos!$D:$D,"&gt;="&amp;CONCATENATE($I$6,"/",B37),Proventos!$D:$D,"&lt;"&amp;CONCATENATE($J$6,"/",B37),Proventos!$J:$J,"="&amp;$H$2),
AND($H$2=Data!$A$11,$K$2=Data!$A$2),SUMIFS(Proventos!$H:$H,Proventos!$D:$D,"&gt;="&amp;CONCATENATE($I$6,"/",B37),Proventos!$D:$D,"&lt;"&amp;CONCATENATE($J$6,"/",B37),Proventos!$J:$J,"="&amp;$H$2),
$K$2=Data!$A$2,SUMIFS(Proventos!$H:$H,Proventos!$D:$D,"&gt;="&amp;CONCATENATE($I$6,"/",B37),Proventos!$D:$D,"&lt;"&amp;CONCATENATE($J$6,"/",B37)),
$K$2&lt;&gt;Data!$A$2,SUMIFS(Proventos!$H:$H,Proventos!$D:$D,"&gt;="&amp;CONCATENATE($I$6,"/",B37),Proventos!$D:$D,"&lt;"&amp;CONCATENATE($J$6,"/",B37),Proventos!$A:$A,"="&amp;$K$2))</f>
        <v>0</v>
      </c>
      <c r="J37" s="245">
        <f>IFS(
AND($H$2=Data!$A$3,$K$2=Data!$A$2),SUMIFS(Proventos!$H:$H,Proventos!$D:$D,"&gt;="&amp;CONCATENATE($J$6,"/",B37),Proventos!$D:$D,"&lt;"&amp;CONCATENATE($K$6,"/",B37),Proventos!$J:$J,"="&amp;$H$2),
AND($H$2=Data!$A$4,$K$2=Data!$A$2),SUMIFS(Proventos!$H:$H,Proventos!$D:$D,"&gt;="&amp;CONCATENATE($J$6,"/",B37),Proventos!$D:$D,"&lt;"&amp;CONCATENATE($K$6,"/",B37),Proventos!$J:$J,"="&amp;$H$2),
AND($H$2=Data!$A$5,$K$2=Data!$A$2),SUMIFS(Proventos!$H:$H,Proventos!$D:$D,"&gt;="&amp;CONCATENATE($J$6,"/",B37),Proventos!$D:$D,"&lt;"&amp;CONCATENATE($K$6,"/",B37),Proventos!$J:$J,"="&amp;$H$2),
AND($H$2=Data!$A$6,$K$2=Data!$A$2),SUMIFS(Proventos!$H:$H,Proventos!$D:$D,"&gt;="&amp;CONCATENATE($J$6,"/",B37),Proventos!$D:$D,"&lt;"&amp;CONCATENATE($K$6,"/",B37),Proventos!$J:$J,"="&amp;$H$2),
AND($H$2=Data!$A$7,$K$2=Data!$A$2),SUMIFS(Proventos!$H:$H,Proventos!$D:$D,"&gt;="&amp;CONCATENATE($J$6,"/",B37),Proventos!$D:$D,"&lt;"&amp;CONCATENATE($K$6,"/",B37),Proventos!$J:$J,"="&amp;$H$2),
AND($H$2=Data!$A$8,$K$2=Data!$A$2),SUMIFS(Proventos!$H:$H,Proventos!$D:$D,"&gt;="&amp;CONCATENATE($J$6,"/",B37),Proventos!$D:$D,"&lt;"&amp;CONCATENATE($K$6,"/",B37),Proventos!$J:$J,"="&amp;$H$2),
AND($H$2=Data!$A$9,$K$2=Data!$A$2),SUMIFS(Proventos!$H:$H,Proventos!$D:$D,"&gt;="&amp;CONCATENATE($J$6,"/",B37),Proventos!$D:$D,"&lt;"&amp;CONCATENATE($K$6,"/",B37),Proventos!$J:$J,"="&amp;$H$2),
AND($H$2=Data!$A$10,$K$2=Data!$A$2),SUMIFS(Proventos!$H:$H,Proventos!$D:$D,"&gt;="&amp;CONCATENATE($J$6,"/",B37),Proventos!$D:$D,"&lt;"&amp;CONCATENATE($K$6,"/",B37),Proventos!$J:$J,"="&amp;$H$2),
AND($H$2=Data!$A$11,$K$2=Data!$A$2),SUMIFS(Proventos!$H:$H,Proventos!$D:$D,"&gt;="&amp;CONCATENATE($J$6,"/",B37),Proventos!$D:$D,"&lt;"&amp;CONCATENATE($K$6,"/",B37),Proventos!$J:$J,"="&amp;$H$2),
$K$2=Data!$A$2,SUMIFS(Proventos!$H:$H,Proventos!$D:$D,"&gt;="&amp;CONCATENATE($J$6,"/",B37),Proventos!$D:$D,"&lt;"&amp;CONCATENATE($K$6,"/",B37)),
$K$2&lt;&gt;Data!$A$2,SUMIFS(Proventos!$H:$H,Proventos!$D:$D,"&gt;="&amp;CONCATENATE($J$6,"/",B37),Proventos!$D:$D,"&lt;"&amp;CONCATENATE($K$6,"/",B37),Proventos!$A:$A,"="&amp;$K$2))</f>
        <v>0</v>
      </c>
      <c r="K37" s="245">
        <f>IFS(
AND($H$2=Data!$A$3,$K$2=Data!$A$2),SUMIFS(Proventos!$H:$H,Proventos!$D:$D,"&gt;="&amp;CONCATENATE($K$6,"/",B37),Proventos!$D:$D,"&lt;"&amp;CONCATENATE($L$6,"/",B37),Proventos!$J:$J,"="&amp;$H$2),
AND($H$2=Data!$A$4,$K$2=Data!$A$2),SUMIFS(Proventos!$H:$H,Proventos!$D:$D,"&gt;="&amp;CONCATENATE($K$6,"/",B37),Proventos!$D:$D,"&lt;"&amp;CONCATENATE($L$6,"/",B37),Proventos!$J:$J,"="&amp;$H$2),
AND($H$2=Data!$A$5,$K$2=Data!$A$2),SUMIFS(Proventos!$H:$H,Proventos!$D:$D,"&gt;="&amp;CONCATENATE($K$6,"/",B37),Proventos!$D:$D,"&lt;"&amp;CONCATENATE($L$6,"/",B37),Proventos!$J:$J,"="&amp;$H$2),
AND($H$2=Data!$A$6,$K$2=Data!$A$2),SUMIFS(Proventos!$H:$H,Proventos!$D:$D,"&gt;="&amp;CONCATENATE($K$6,"/",B37),Proventos!$D:$D,"&lt;"&amp;CONCATENATE($L$6,"/",B37),Proventos!$J:$J,"="&amp;$H$2),
AND($H$2=Data!$A$7,$K$2=Data!$A$2),SUMIFS(Proventos!$H:$H,Proventos!$D:$D,"&gt;="&amp;CONCATENATE($K$6,"/",B37),Proventos!$D:$D,"&lt;"&amp;CONCATENATE($L$6,"/",B37),Proventos!$J:$J,"="&amp;$H$2),
AND($H$2=Data!$A$8,$K$2=Data!$A$2),SUMIFS(Proventos!$H:$H,Proventos!$D:$D,"&gt;="&amp;CONCATENATE($K$6,"/",B37),Proventos!$D:$D,"&lt;"&amp;CONCATENATE($L$6,"/",B37),Proventos!$J:$J,"="&amp;$H$2),
AND($H$2=Data!$A$9,$K$2=Data!$A$2),SUMIFS(Proventos!$H:$H,Proventos!$D:$D,"&gt;="&amp;CONCATENATE($K$6,"/",B37),Proventos!$D:$D,"&lt;"&amp;CONCATENATE($L$6,"/",B37),Proventos!$J:$J,"="&amp;$H$2),
AND($H$2=Data!$A$10,$K$2=Data!$A$2),SUMIFS(Proventos!$H:$H,Proventos!$D:$D,"&gt;="&amp;CONCATENATE($K$6,"/",B37),Proventos!$D:$D,"&lt;"&amp;CONCATENATE($L$6,"/",B37),Proventos!$J:$J,"="&amp;$H$2),
AND($H$2=Data!$A$11,$K$2=Data!$A$2),SUMIFS(Proventos!$H:$H,Proventos!$D:$D,"&gt;="&amp;CONCATENATE($K$6,"/",B37),Proventos!$D:$D,"&lt;"&amp;CONCATENATE($L$6,"/",B37),Proventos!$J:$J,"="&amp;$H$2),
$K$2=Data!$A$2,SUMIFS(Proventos!$H:$H,Proventos!$D:$D,"&gt;="&amp;CONCATENATE($K$6,"/",B37),Proventos!$D:$D,"&lt;"&amp;CONCATENATE($L$6,"/",B37)),
$K$2&lt;&gt;Data!$A$2,SUMIFS(Proventos!$H:$H,Proventos!$D:$D,"&gt;="&amp;CONCATENATE($K$6,"/",B37),Proventos!$D:$D,"&lt;"&amp;CONCATENATE($L$6,"/",B37),Proventos!$A:$A,"="&amp;$K$2))</f>
        <v>0</v>
      </c>
      <c r="L37" s="245">
        <f>IFS(
AND($H$2=Data!$A$3,$K$2=Data!$A$2),SUMIFS(Proventos!$H:$H,Proventos!$D:$D,"&gt;="&amp;CONCATENATE($L$6,"/",B37),Proventos!$D:$D,"&lt;"&amp;CONCATENATE($M$6,"/",B37),Proventos!$J:$J,"="&amp;$H$2),
AND($H$2=Data!$A$4,$K$2=Data!$A$2),SUMIFS(Proventos!$H:$H,Proventos!$D:$D,"&gt;="&amp;CONCATENATE($L$6,"/",B37),Proventos!$D:$D,"&lt;"&amp;CONCATENATE($M$6,"/",B37),Proventos!$J:$J,"="&amp;$H$2),
AND($H$2=Data!$A$5,$K$2=Data!$A$2),SUMIFS(Proventos!$H:$H,Proventos!$D:$D,"&gt;="&amp;CONCATENATE($L$6,"/",B37),Proventos!$D:$D,"&lt;"&amp;CONCATENATE($M$6,"/",B37),Proventos!$J:$J,"="&amp;$H$2),
AND($H$2=Data!$A$6,$K$2=Data!$A$2),SUMIFS(Proventos!$H:$H,Proventos!$D:$D,"&gt;="&amp;CONCATENATE($L$6,"/",B37),Proventos!$D:$D,"&lt;"&amp;CONCATENATE($M$6,"/",B37),Proventos!$J:$J,"="&amp;$H$2),
AND($H$2=Data!$A$7,$K$2=Data!$A$2),SUMIFS(Proventos!$H:$H,Proventos!$D:$D,"&gt;="&amp;CONCATENATE($L$6,"/",B37),Proventos!$D:$D,"&lt;"&amp;CONCATENATE($M$6,"/",B37),Proventos!$J:$J,"="&amp;$H$2),
AND($H$2=Data!$A$8,$K$2=Data!$A$2),SUMIFS(Proventos!$H:$H,Proventos!$D:$D,"&gt;="&amp;CONCATENATE($L$6,"/",B37),Proventos!$D:$D,"&lt;"&amp;CONCATENATE($M$6,"/",B37),Proventos!$J:$J,"="&amp;$H$2),
AND($H$2=Data!$A$9,$K$2=Data!$A$2),SUMIFS(Proventos!$H:$H,Proventos!$D:$D,"&gt;="&amp;CONCATENATE($L$6,"/",B37),Proventos!$D:$D,"&lt;"&amp;CONCATENATE($M$6,"/",B37),Proventos!$J:$J,"="&amp;$H$2),
AND($H$2=Data!$A$10,$K$2=Data!$A$2),SUMIFS(Proventos!$H:$H,Proventos!$D:$D,"&gt;="&amp;CONCATENATE($L$6,"/",B37),Proventos!$D:$D,"&lt;"&amp;CONCATENATE($M$6,"/",B37),Proventos!$J:$J,"="&amp;$H$2),
AND($H$2=Data!$A$11,$K$2=Data!$A$2),SUMIFS(Proventos!$H:$H,Proventos!$D:$D,"&gt;="&amp;CONCATENATE($L$6,"/",B37),Proventos!$D:$D,"&lt;"&amp;CONCATENATE($M$6,"/",B37),Proventos!$J:$J,"="&amp;$H$2),
$K$2=Data!$A$2,SUMIFS(Proventos!$H:$H,Proventos!$D:$D,"&gt;="&amp;CONCATENATE($L$6,"/",B37),Proventos!$D:$D,"&lt;"&amp;CONCATENATE($M$6,"/",B37)),
$K$2&lt;&gt;Data!$A$2,SUMIFS(Proventos!$H:$H,Proventos!$D:$D,"&gt;="&amp;CONCATENATE($L$6,"/",B37),Proventos!$D:$D,"&lt;"&amp;CONCATENATE($M$6,"/",B37),Proventos!$A:$A,"="&amp;$K$2))</f>
        <v>0</v>
      </c>
      <c r="M37" s="245">
        <f>IFS(
AND($H$2=Data!$A$3,$K$2=Data!$A$2),SUMIFS(Proventos!$H:$H,Proventos!$D:$D,"&gt;="&amp;CONCATENATE($M$6,"/",B37),Proventos!$D:$D,"&lt;"&amp;CONCATENATE($N$6,"/",B37),Proventos!$J:$J,"="&amp;$H$2),
AND($H$2=Data!$A$4,$K$2=Data!$A$2),SUMIFS(Proventos!$H:$H,Proventos!$D:$D,"&gt;="&amp;CONCATENATE($M$6,"/",B37),Proventos!$D:$D,"&lt;"&amp;CONCATENATE($N$6,"/",B37),Proventos!$J:$J,"="&amp;$H$2),
AND($H$2=Data!$A$5,$K$2=Data!$A$2),SUMIFS(Proventos!$H:$H,Proventos!$D:$D,"&gt;="&amp;CONCATENATE($M$6,"/",B37),Proventos!$D:$D,"&lt;"&amp;CONCATENATE($N$6,"/",B37),Proventos!$J:$J,"="&amp;$H$2),
AND($H$2=Data!$A$6,$K$2=Data!$A$2),SUMIFS(Proventos!$H:$H,Proventos!$D:$D,"&gt;="&amp;CONCATENATE($M$6,"/",B37),Proventos!$D:$D,"&lt;"&amp;CONCATENATE($N$6,"/",B37),Proventos!$J:$J,"="&amp;$H$2),
AND($H$2=Data!$A$7,$K$2=Data!$A$2),SUMIFS(Proventos!$H:$H,Proventos!$D:$D,"&gt;="&amp;CONCATENATE($M$6,"/",B37),Proventos!$D:$D,"&lt;"&amp;CONCATENATE($N$6,"/",B37),Proventos!$J:$J,"="&amp;$H$2),
AND($H$2=Data!$A$8,$K$2=Data!$A$2),SUMIFS(Proventos!$H:$H,Proventos!$D:$D,"&gt;="&amp;CONCATENATE($M$6,"/",B37),Proventos!$D:$D,"&lt;"&amp;CONCATENATE($N$6,"/",B37),Proventos!$J:$J,"="&amp;$H$2),
AND($H$2=Data!$A$9,$K$2=Data!$A$2),SUMIFS(Proventos!$H:$H,Proventos!$D:$D,"&gt;="&amp;CONCATENATE($M$6,"/",B37),Proventos!$D:$D,"&lt;"&amp;CONCATENATE($N$6,"/",B37),Proventos!$J:$J,"="&amp;$H$2),
AND($H$2=Data!$A$10,$K$2=Data!$A$2),SUMIFS(Proventos!$H:$H,Proventos!$D:$D,"&gt;="&amp;CONCATENATE($M$6,"/",B37),Proventos!$D:$D,"&lt;"&amp;CONCATENATE($N$6,"/",B37),Proventos!$J:$J,"="&amp;$H$2),
AND($H$2=Data!$A$11,$K$2=Data!$A$2),SUMIFS(Proventos!$H:$H,Proventos!$D:$D,"&gt;="&amp;CONCATENATE($M$6,"/",B37),Proventos!$D:$D,"&lt;"&amp;CONCATENATE($N$6,"/",B37),Proventos!$J:$J,"="&amp;$H$2),
$K$2=Data!$A$2,SUMIFS(Proventos!$H:$H,Proventos!$D:$D,"&gt;="&amp;CONCATENATE($M$6,"/",B37),Proventos!$D:$D,"&lt;"&amp;CONCATENATE($N$6,"/",B37)),
$K$2&lt;&gt;Data!$A$2,SUMIFS(Proventos!$H:$H,Proventos!$D:$D,"&gt;="&amp;CONCATENATE($M$6,"/",B37),Proventos!$D:$D,"&lt;"&amp;CONCATENATE($N$6,"/",B37),Proventos!$A:$A,"="&amp;$K$2))</f>
        <v>0</v>
      </c>
      <c r="N37" s="245">
        <f>IFS(
AND($H$2=Data!$A$3,$K$2=Data!$A$2),SUMIFS(Proventos!$H:$H,Proventos!$D:$D,"&gt;="&amp;CONCATENATE($N$6,"/",B37),Proventos!$D:$D,"&lt;"&amp;CONCATENATE($C$6,"/",B38),Proventos!$J:$J,"="&amp;$H$2),
AND($H$2=Data!$A$4,$K$2=Data!$A$2),SUMIFS(Proventos!$H:$H,Proventos!$D:$D,"&gt;="&amp;CONCATENATE($N$6,"/",B37),Proventos!$D:$D,"&lt;"&amp;CONCATENATE($C$6,"/",B38),Proventos!$J:$J,"="&amp;$H$2),
AND($H$2=Data!$A$5,$K$2=Data!$A$2),SUMIFS(Proventos!$H:$H,Proventos!$D:$D,"&gt;="&amp;CONCATENATE($N$6,"/",B37),Proventos!$D:$D,"&lt;"&amp;CONCATENATE($C$6,"/",B38),Proventos!$J:$J,"="&amp;$H$2),
AND($H$2=Data!$A$6,$K$2=Data!$A$2),SUMIFS(Proventos!$H:$H,Proventos!$D:$D,"&gt;="&amp;CONCATENATE($N$6,"/",B37),Proventos!$D:$D,"&lt;"&amp;CONCATENATE($C$6,"/",B38),Proventos!$J:$J,"="&amp;$H$2),
AND($H$2=Data!$A$7,$K$2=Data!$A$2),SUMIFS(Proventos!$H:$H,Proventos!$D:$D,"&gt;="&amp;CONCATENATE($N$6,"/",B37),Proventos!$D:$D,"&lt;"&amp;CONCATENATE($C$6,"/",B38),Proventos!$J:$J,"="&amp;$H$2),
AND($H$2=Data!$A$8,$K$2=Data!$A$2),SUMIFS(Proventos!$H:$H,Proventos!$D:$D,"&gt;="&amp;CONCATENATE($N$6,"/",B37),Proventos!$D:$D,"&lt;"&amp;CONCATENATE($C$6,"/",B38),Proventos!$J:$J,"="&amp;$H$2),
AND($H$2=Data!$A$9,$K$2=Data!$A$2),SUMIFS(Proventos!$H:$H,Proventos!$D:$D,"&gt;="&amp;CONCATENATE($N$6,"/",B37),Proventos!$D:$D,"&lt;"&amp;CONCATENATE($C$6,"/",B38),Proventos!$J:$J,"="&amp;$H$2),
AND($H$2=Data!$A$10,$K$2=Data!$A$2),SUMIFS(Proventos!$H:$H,Proventos!$D:$D,"&gt;="&amp;CONCATENATE($N$6,"/",B37),Proventos!$D:$D,"&lt;"&amp;CONCATENATE($C$6,"/",B38),Proventos!$J:$J,"="&amp;$H$2),
AND($H$2=Data!$A$11,$K$2=Data!$A$2),SUMIFS(Proventos!$H:$H,Proventos!$D:$D,"&gt;="&amp;CONCATENATE($N$6,"/",B37),Proventos!$D:$D,"&lt;"&amp;CONCATENATE($C$6,"/",B38),Proventos!$J:$J,"="&amp;$H$2),
$K$2=Data!$A$2,SUMIFS(Proventos!$H:$H,Proventos!$D:$D,"&gt;="&amp;CONCATENATE($N$6,"/",B37),Proventos!$D:$D,"&lt;"&amp;CONCATENATE($C$6,"/",B38)),
$K$2&lt;&gt;Data!$A$2,SUMIFS(Proventos!$H:$H,Proventos!$D:$D,"&gt;="&amp;CONCATENATE($N$6,"/",B37),Proventos!$D:$D,"&lt;"&amp;CONCATENATE($C$6,"/",B38),Proventos!$A:$A,"="&amp;$K$2))</f>
        <v>0</v>
      </c>
      <c r="O37" s="245"/>
      <c r="P37" s="245">
        <f t="shared" si="1"/>
        <v>0</v>
      </c>
      <c r="Q37" s="245">
        <f t="shared" si="2"/>
        <v>0</v>
      </c>
    </row>
    <row r="38" ht="32.25" customHeight="1">
      <c r="A38" s="230"/>
      <c r="B38" s="244"/>
      <c r="C38" s="245">
        <f>IFS(
AND($H$2=Data!$A$3,$K$2=Data!$A$2),SUMIFS(Proventos!$H:$H,Proventos!$D:$D,"&gt;="&amp;CONCATENATE($C$6,"/",B38),Proventos!$D:$D,"&lt;"&amp;CONCATENATE($D$6,"/",B38),Proventos!$J:$J,"="&amp;$H$2),
AND($H$2=Data!$A$4,$K$2=Data!$A$2),SUMIFS(Proventos!$H:$H,Proventos!$D:$D,"&gt;="&amp;CONCATENATE($C$6,"/",B38),Proventos!$D:$D,"&lt;"&amp;CONCATENATE($D$6,"/",B38),Proventos!$J:$J,"="&amp;$H$2),
AND($H$2=Data!$A$5,$K$2=Data!$A$2),SUMIFS(Proventos!$H:$H,Proventos!$D:$D,"&gt;="&amp;CONCATENATE($C$6,"/",B38),Proventos!$D:$D,"&lt;"&amp;CONCATENATE($D$6,"/",B38),Proventos!$J:$J,"="&amp;$H$2),
AND($H$2=Data!$A$6,$K$2=Data!$A$2),SUMIFS(Proventos!$H:$H,Proventos!$D:$D,"&gt;="&amp;CONCATENATE($C$6,"/",B38),Proventos!$D:$D,"&lt;"&amp;CONCATENATE($D$6,"/",B38),Proventos!$J:$J,"="&amp;$H$2),
AND($H$2=Data!$A$7,$K$2=Data!$A$2),SUMIFS(Proventos!$H:$H,Proventos!$D:$D,"&gt;="&amp;CONCATENATE($C$6,"/",B38),Proventos!$D:$D,"&lt;"&amp;CONCATENATE($D$6,"/",B38),Proventos!$J:$J,"="&amp;$H$2),
AND($H$2=Data!$A$8,$K$2=Data!$A$2),SUMIFS(Proventos!$H:$H,Proventos!$D:$D,"&gt;="&amp;CONCATENATE($C$6,"/",B38),Proventos!$D:$D,"&lt;"&amp;CONCATENATE($D$6,"/",B38),Proventos!$J:$J,"="&amp;$H$2),
AND($H$2=Data!$A$9,$K$2=Data!$A$2),SUMIFS(Proventos!$H:$H,Proventos!$D:$D,"&gt;="&amp;CONCATENATE($C$6,"/",B38),Proventos!$D:$D,"&lt;"&amp;CONCATENATE($D$6,"/",B38),Proventos!$J:$J,"="&amp;$H$2),
AND($H$2=Data!$A$10,$K$2=Data!$A$2),SUMIFS(Proventos!$H:$H,Proventos!$D:$D,"&gt;="&amp;CONCATENATE($C$6,"/",B38),Proventos!$D:$D,"&lt;"&amp;CONCATENATE($D$6,"/",B38),Proventos!$J:$J,"="&amp;$H$2),
AND($H$2=Data!$A$11,$K$2=Data!$A$2),SUMIFS(Proventos!$H:$H,Proventos!$D:$D,"&gt;="&amp;CONCATENATE($C$6,"/",B38),Proventos!$D:$D,"&lt;"&amp;CONCATENATE($D$6,"/",B38),Proventos!$J:$J,"="&amp;$H$2),
$K$2=Data!$A$2,SUMIFS(Proventos!$H:$H,Proventos!$D:$D,"&gt;="&amp;CONCATENATE($C$6,"/",B38),Proventos!$D:$D,"&lt;"&amp;CONCATENATE($D$6,"/",B38)),
$K$2&lt;&gt;Data!$A$2,SUMIFS(Proventos!$H:$H,Proventos!$D:$D,"&gt;="&amp;CONCATENATE($C$6,"/",B38),Proventos!$D:$D,"&lt;"&amp;CONCATENATE($D$6,"/",B38),Proventos!$A:$A,"="&amp;$K$2))</f>
        <v>0</v>
      </c>
      <c r="D38" s="245">
        <f>IFS(
AND($H$2=Data!$A$3,$K$2=Data!$A$2),SUMIFS(Proventos!$H:$H,Proventos!$D:$D,"&gt;="&amp;CONCATENATE($D$6,"/",B38),Proventos!$D:$D,"&lt;"&amp;CONCATENATE($E$6,"/",B38),Proventos!$J:$J,"="&amp;$H$2),
AND($H$2=Data!$A$4,$K$2=Data!$A$2),SUMIFS(Proventos!$H:$H,Proventos!$D:$D,"&gt;="&amp;CONCATENATE($D$6,"/",B38),Proventos!$D:$D,"&lt;"&amp;CONCATENATE($E$6,"/",B38),Proventos!$J:$J,"="&amp;$H$2),
AND($H$2=Data!$A$5,$K$2=Data!$A$2),SUMIFS(Proventos!$H:$H,Proventos!$D:$D,"&gt;="&amp;CONCATENATE($D$6,"/",B38),Proventos!$D:$D,"&lt;"&amp;CONCATENATE($E$6,"/",B38),Proventos!$J:$J,"="&amp;$H$2),
AND($H$2=Data!$A$6,$K$2=Data!$A$2),SUMIFS(Proventos!$H:$H,Proventos!$D:$D,"&gt;="&amp;CONCATENATE($D$6,"/",B38),Proventos!$D:$D,"&lt;"&amp;CONCATENATE($E$6,"/",B38),Proventos!$J:$J,"="&amp;$H$2),
AND($H$2=Data!$A$7,$K$2=Data!$A$2),SUMIFS(Proventos!$H:$H,Proventos!$D:$D,"&gt;="&amp;CONCATENATE($D$6,"/",B38),Proventos!$D:$D,"&lt;"&amp;CONCATENATE($E$6,"/",B38),Proventos!$J:$J,"="&amp;$H$2),
AND($H$2=Data!$A$8,$K$2=Data!$A$2),SUMIFS(Proventos!$H:$H,Proventos!$D:$D,"&gt;="&amp;CONCATENATE($D$6,"/",B38),Proventos!$D:$D,"&lt;"&amp;CONCATENATE($E$6,"/",B38),Proventos!$J:$J,"="&amp;$H$2),
AND($H$2=Data!$A$9,$K$2=Data!$A$2),SUMIFS(Proventos!$H:$H,Proventos!$D:$D,"&gt;="&amp;CONCATENATE($D$6,"/",B38),Proventos!$D:$D,"&lt;"&amp;CONCATENATE($E$6,"/",B38),Proventos!$J:$J,"="&amp;$H$2),
AND($H$2=Data!$A$10,$K$2=Data!$A$2),SUMIFS(Proventos!$H:$H,Proventos!$D:$D,"&gt;="&amp;CONCATENATE($D$6,"/",B38),Proventos!$D:$D,"&lt;"&amp;CONCATENATE($E$6,"/",B38),Proventos!$J:$J,"="&amp;$H$2),
AND($H$2=Data!$A$11,$K$2=Data!$A$2),SUMIFS(Proventos!$H:$H,Proventos!$D:$D,"&gt;="&amp;CONCATENATE($D$6,"/",B38),Proventos!$D:$D,"&lt;"&amp;CONCATENATE($E$6,"/",B38),Proventos!$J:$J,"="&amp;$H$2),
$K$2=Data!$A$2,SUMIFS(Proventos!$H:$H,Proventos!$D:$D,"&gt;="&amp;CONCATENATE($D$6,"/",B38),Proventos!$D:$D,"&lt;"&amp;CONCATENATE($E$6,"/",B38)),
$K$2&lt;&gt;Data!$A$2,SUMIFS(Proventos!$H:$H,Proventos!$D:$D,"&gt;="&amp;CONCATENATE($D$6,"/",B38),Proventos!$D:$D,"&lt;"&amp;CONCATENATE($E$6,"/",B38),Proventos!$A:$A,"="&amp;$K$2))</f>
        <v>0</v>
      </c>
      <c r="E38" s="245">
        <f>IFS(
AND($H$2=Data!$A$3,$K$2=Data!$A$2),SUMIFS(Proventos!$H:$H,Proventos!$D:$D,"&gt;="&amp;CONCATENATE($E$6,"/",B38),Proventos!$D:$D,"&lt;"&amp;CONCATENATE($F$6,"/",B38),Proventos!$J:$J,"="&amp;$H$2),
AND($H$2=Data!$A$4,$K$2=Data!$A$2),SUMIFS(Proventos!$H:$H,Proventos!$D:$D,"&gt;="&amp;CONCATENATE($E$6,"/",B38),Proventos!$D:$D,"&lt;"&amp;CONCATENATE($F$6,"/",B38),Proventos!$J:$J,"="&amp;$H$2),
AND($H$2=Data!$A$5,$K$2=Data!$A$2),SUMIFS(Proventos!$H:$H,Proventos!$D:$D,"&gt;="&amp;CONCATENATE($E$6,"/",B38),Proventos!$D:$D,"&lt;"&amp;CONCATENATE($F$6,"/",B38),Proventos!$J:$J,"="&amp;$H$2),
AND($H$2=Data!$A$6,$K$2=Data!$A$2),SUMIFS(Proventos!$H:$H,Proventos!$D:$D,"&gt;="&amp;CONCATENATE($E$6,"/",B38),Proventos!$D:$D,"&lt;"&amp;CONCATENATE($F$6,"/",B38),Proventos!$J:$J,"="&amp;$H$2),
AND($H$2=Data!$A$7,$K$2=Data!$A$2),SUMIFS(Proventos!$H:$H,Proventos!$D:$D,"&gt;="&amp;CONCATENATE($E$6,"/",B38),Proventos!$D:$D,"&lt;"&amp;CONCATENATE($F$6,"/",B38),Proventos!$J:$J,"="&amp;$H$2),
AND($H$2=Data!$A$8,$K$2=Data!$A$2),SUMIFS(Proventos!$H:$H,Proventos!$D:$D,"&gt;="&amp;CONCATENATE($E$6,"/",B38),Proventos!$D:$D,"&lt;"&amp;CONCATENATE($F$6,"/",B38),Proventos!$J:$J,"="&amp;$H$2),
AND($H$2=Data!$A$9,$K$2=Data!$A$2),SUMIFS(Proventos!$H:$H,Proventos!$D:$D,"&gt;="&amp;CONCATENATE($E$6,"/",B38),Proventos!$D:$D,"&lt;"&amp;CONCATENATE($F$6,"/",B38),Proventos!$J:$J,"="&amp;$H$2),
AND($H$2=Data!$A$10,$K$2=Data!$A$2),SUMIFS(Proventos!$H:$H,Proventos!$D:$D,"&gt;="&amp;CONCATENATE($E$6,"/",B38),Proventos!$D:$D,"&lt;"&amp;CONCATENATE($F$6,"/",B38),Proventos!$J:$J,"="&amp;$H$2),
AND($H$2=Data!$A$11,$K$2=Data!$A$2),SUMIFS(Proventos!$H:$H,Proventos!$D:$D,"&gt;="&amp;CONCATENATE($E$6,"/",B38),Proventos!$D:$D,"&lt;"&amp;CONCATENATE($F$6,"/",B38),Proventos!$J:$J,"="&amp;$H$2),
$K$2=Data!$A$2,SUMIFS(Proventos!$H:$H,Proventos!$D:$D,"&gt;="&amp;CONCATENATE($E$6,"/",B38),Proventos!$D:$D,"&lt;"&amp;CONCATENATE($F$6,"/",B38)),
$K$2&lt;&gt;Data!$A$2,SUMIFS(Proventos!$H:$H,Proventos!$D:$D,"&gt;="&amp;CONCATENATE($E$6,"/",B38),Proventos!$D:$D,"&lt;"&amp;CONCATENATE($F$6,"/",B38),Proventos!$A:$A,"="&amp;$K$2))</f>
        <v>0</v>
      </c>
      <c r="F38" s="245">
        <f>IFS(
AND($H$2=Data!$A$3,$K$2=Data!$A$2),SUMIFS(Proventos!$H:$H,Proventos!$D:$D,"&gt;="&amp;CONCATENATE($F$6,"/",B38),Proventos!$D:$D,"&lt;"&amp;CONCATENATE($G$6,"/",B38),Proventos!$J:$J,"="&amp;$H$2),
AND($H$2=Data!$A$4,$K$2=Data!$A$2),SUMIFS(Proventos!$H:$H,Proventos!$D:$D,"&gt;="&amp;CONCATENATE($F$6,"/",B38),Proventos!$D:$D,"&lt;"&amp;CONCATENATE($G$6,"/",B38),Proventos!$J:$J,"="&amp;$H$2),
AND($H$2=Data!$A$5,$K$2=Data!$A$2),SUMIFS(Proventos!$H:$H,Proventos!$D:$D,"&gt;="&amp;CONCATENATE($F$6,"/",B38),Proventos!$D:$D,"&lt;"&amp;CONCATENATE($G$6,"/",B38),Proventos!$J:$J,"="&amp;$H$2),
AND($H$2=Data!$A$6,$K$2=Data!$A$2),SUMIFS(Proventos!$H:$H,Proventos!$D:$D,"&gt;="&amp;CONCATENATE($F$6,"/",B38),Proventos!$D:$D,"&lt;"&amp;CONCATENATE($G$6,"/",B38),Proventos!$J:$J,"="&amp;$H$2),
AND($H$2=Data!$A$7,$K$2=Data!$A$2),SUMIFS(Proventos!$H:$H,Proventos!$D:$D,"&gt;="&amp;CONCATENATE($F$6,"/",B38),Proventos!$D:$D,"&lt;"&amp;CONCATENATE($G$6,"/",B38),Proventos!$J:$J,"="&amp;$H$2),
AND($H$2=Data!$A$8,$K$2=Data!$A$2),SUMIFS(Proventos!$H:$H,Proventos!$D:$D,"&gt;="&amp;CONCATENATE($F$6,"/",B38),Proventos!$D:$D,"&lt;"&amp;CONCATENATE($G$6,"/",B38),Proventos!$J:$J,"="&amp;$H$2),
AND($H$2=Data!$A$9,$K$2=Data!$A$2),SUMIFS(Proventos!$H:$H,Proventos!$D:$D,"&gt;="&amp;CONCATENATE($F$6,"/",B38),Proventos!$D:$D,"&lt;"&amp;CONCATENATE($G$6,"/",B38),Proventos!$J:$J,"="&amp;$H$2),
AND($H$2=Data!$A$10,$K$2=Data!$A$2),SUMIFS(Proventos!$H:$H,Proventos!$D:$D,"&gt;="&amp;CONCATENATE($F$6,"/",B38),Proventos!$D:$D,"&lt;"&amp;CONCATENATE($G$6,"/",B38),Proventos!$J:$J,"="&amp;$H$2),
AND($H$2=Data!$A$11,$K$2=Data!$A$2),SUMIFS(Proventos!$H:$H,Proventos!$D:$D,"&gt;="&amp;CONCATENATE($F$6,"/",B38),Proventos!$D:$D,"&lt;"&amp;CONCATENATE($G$6,"/",B38),Proventos!$J:$J,"="&amp;$H$2),
$K$2=Data!$A$2,SUMIFS(Proventos!$H:$H,Proventos!$D:$D,"&gt;="&amp;CONCATENATE($F$6,"/",B38),Proventos!$D:$D,"&lt;"&amp;CONCATENATE($G$6,"/",B38)),
$K$2&lt;&gt;Data!$A$2,SUMIFS(Proventos!$H:$H,Proventos!$D:$D,"&gt;="&amp;CONCATENATE($F$6,"/",B38),Proventos!$D:$D,"&lt;"&amp;CONCATENATE($G$6,"/",B38),Proventos!$A:$A,"="&amp;$K$2))</f>
        <v>0</v>
      </c>
      <c r="G38" s="245">
        <f>IFS(
AND($H$2=Data!$A$3,$K$2=Data!$A$2),SUMIFS(Proventos!$H:$H,Proventos!$D:$D,"&gt;="&amp;CONCATENATE($G$6,"/",B38),Proventos!$D:$D,"&lt;"&amp;CONCATENATE($H$6,"/",B38),Proventos!$J:$J,"="&amp;$H$2),
AND($H$2=Data!$A$4,$K$2=Data!$A$2),SUMIFS(Proventos!$H:$H,Proventos!$D:$D,"&gt;="&amp;CONCATENATE($G$6,"/",B38),Proventos!$D:$D,"&lt;"&amp;CONCATENATE($H$6,"/",B38),Proventos!$J:$J,"="&amp;$H$2),
AND($H$2=Data!$A$5,$K$2=Data!$A$2),SUMIFS(Proventos!$H:$H,Proventos!$D:$D,"&gt;="&amp;CONCATENATE($G$6,"/",B38),Proventos!$D:$D,"&lt;"&amp;CONCATENATE($H$6,"/",B38),Proventos!$J:$J,"="&amp;$H$2),
AND($H$2=Data!$A$6,$K$2=Data!$A$2),SUMIFS(Proventos!$H:$H,Proventos!$D:$D,"&gt;="&amp;CONCATENATE($G$6,"/",B38),Proventos!$D:$D,"&lt;"&amp;CONCATENATE($H$6,"/",B38),Proventos!$J:$J,"="&amp;$H$2),
AND($H$2=Data!$A$7,$K$2=Data!$A$2),SUMIFS(Proventos!$H:$H,Proventos!$D:$D,"&gt;="&amp;CONCATENATE($G$6,"/",B38),Proventos!$D:$D,"&lt;"&amp;CONCATENATE($H$6,"/",B38),Proventos!$J:$J,"="&amp;$H$2),
AND($H$2=Data!$A$8,$K$2=Data!$A$2),SUMIFS(Proventos!$H:$H,Proventos!$D:$D,"&gt;="&amp;CONCATENATE($G$6,"/",B38),Proventos!$D:$D,"&lt;"&amp;CONCATENATE($H$6,"/",B38),Proventos!$J:$J,"="&amp;$H$2),
AND($H$2=Data!$A$9,$K$2=Data!$A$2),SUMIFS(Proventos!$H:$H,Proventos!$D:$D,"&gt;="&amp;CONCATENATE($G$6,"/",B38),Proventos!$D:$D,"&lt;"&amp;CONCATENATE($H$6,"/",B38),Proventos!$J:$J,"="&amp;$H$2),
AND($H$2=Data!$A$10,$K$2=Data!$A$2),SUMIFS(Proventos!$H:$H,Proventos!$D:$D,"&gt;="&amp;CONCATENATE($G$6,"/",B38),Proventos!$D:$D,"&lt;"&amp;CONCATENATE($H$6,"/",B38),Proventos!$J:$J,"="&amp;$H$2),
AND($H$2=Data!$A$11,$K$2=Data!$A$2),SUMIFS(Proventos!$H:$H,Proventos!$D:$D,"&gt;="&amp;CONCATENATE($G$6,"/",B38),Proventos!$D:$D,"&lt;"&amp;CONCATENATE($H$6,"/",B38),Proventos!$J:$J,"="&amp;$H$2),
$K$2=Data!$A$2,SUMIFS(Proventos!$H:$H,Proventos!$D:$D,"&gt;="&amp;CONCATENATE($G$6,"/",B38),Proventos!$D:$D,"&lt;"&amp;CONCATENATE($H$6,"/",B38)),
$K$2&lt;&gt;Data!$A$2,SUMIFS(Proventos!$H:$H,Proventos!$D:$D,"&gt;="&amp;CONCATENATE($G$6,"/",B38),Proventos!$D:$D,"&lt;"&amp;CONCATENATE($H$6,"/",B38),Proventos!$A:$A,"="&amp;$K$2))</f>
        <v>0</v>
      </c>
      <c r="H38" s="245">
        <f>IFS(
AND($H$2=Data!$A$3,$K$2=Data!$A$2),SUMIFS(Proventos!$H:$H,Proventos!$D:$D,"&gt;="&amp;CONCATENATE($H$6,"/",B38),Proventos!$D:$D,"&lt;"&amp;CONCATENATE($I$6,"/",B38),Proventos!$J:$J,"="&amp;$H$2),
AND($H$2=Data!$A$4,$K$2=Data!$A$2),SUMIFS(Proventos!$H:$H,Proventos!$D:$D,"&gt;="&amp;CONCATENATE($H$6,"/",B38),Proventos!$D:$D,"&lt;"&amp;CONCATENATE($I$6,"/",B38),Proventos!$J:$J,"="&amp;$H$2),
AND($H$2=Data!$A$5,$K$2=Data!$A$2),SUMIFS(Proventos!$H:$H,Proventos!$D:$D,"&gt;="&amp;CONCATENATE($H$6,"/",B38),Proventos!$D:$D,"&lt;"&amp;CONCATENATE($I$6,"/",B38),Proventos!$J:$J,"="&amp;$H$2),
AND($H$2=Data!$A$6,$K$2=Data!$A$2),SUMIFS(Proventos!$H:$H,Proventos!$D:$D,"&gt;="&amp;CONCATENATE($H$6,"/",B38),Proventos!$D:$D,"&lt;"&amp;CONCATENATE($I$6,"/",B38),Proventos!$J:$J,"="&amp;$H$2),
AND($H$2=Data!$A$7,$K$2=Data!$A$2),SUMIFS(Proventos!$H:$H,Proventos!$D:$D,"&gt;="&amp;CONCATENATE($H$6,"/",B38),Proventos!$D:$D,"&lt;"&amp;CONCATENATE($I$6,"/",B38),Proventos!$J:$J,"="&amp;$H$2),
AND($H$2=Data!$A$8,$K$2=Data!$A$2),SUMIFS(Proventos!$H:$H,Proventos!$D:$D,"&gt;="&amp;CONCATENATE($H$6,"/",B38),Proventos!$D:$D,"&lt;"&amp;CONCATENATE($I$6,"/",B38),Proventos!$J:$J,"="&amp;$H$2),
AND($H$2=Data!$A$9,$K$2=Data!$A$2),SUMIFS(Proventos!$H:$H,Proventos!$D:$D,"&gt;="&amp;CONCATENATE($H$6,"/",B38),Proventos!$D:$D,"&lt;"&amp;CONCATENATE($I$6,"/",B38),Proventos!$J:$J,"="&amp;$H$2),
AND($H$2=Data!$A$10,$K$2=Data!$A$2),SUMIFS(Proventos!$H:$H,Proventos!$D:$D,"&gt;="&amp;CONCATENATE($H$6,"/",B38),Proventos!$D:$D,"&lt;"&amp;CONCATENATE($I$6,"/",B38),Proventos!$J:$J,"="&amp;$H$2),
AND($H$2=Data!$A$11,$K$2=Data!$A$2),SUMIFS(Proventos!$H:$H,Proventos!$D:$D,"&gt;="&amp;CONCATENATE($H$6,"/",B38),Proventos!$D:$D,"&lt;"&amp;CONCATENATE($I$6,"/",B38),Proventos!$J:$J,"="&amp;$H$2),
$K$2=Data!$A$2,SUMIFS(Proventos!$H:$H,Proventos!$D:$D,"&gt;="&amp;CONCATENATE($H$6,"/",B38),Proventos!$D:$D,"&lt;"&amp;CONCATENATE($I$6,"/",B38)),
$K$2&lt;&gt;Data!$A$2,SUMIFS(Proventos!$H:$H,Proventos!$D:$D,"&gt;="&amp;CONCATENATE($H$6,"/",B38),Proventos!$D:$D,"&lt;"&amp;CONCATENATE($I$6,"/",B38),Proventos!$A:$A,"="&amp;$K$2))</f>
        <v>0</v>
      </c>
      <c r="I38" s="245">
        <f>IFS(
AND($H$2=Data!$A$3,$K$2=Data!$A$2),SUMIFS(Proventos!$H:$H,Proventos!$D:$D,"&gt;="&amp;CONCATENATE($I$6,"/",B38),Proventos!$D:$D,"&lt;"&amp;CONCATENATE($J$6,"/",B38),Proventos!$J:$J,"="&amp;$H$2),
AND($H$2=Data!$A$4,$K$2=Data!$A$2),SUMIFS(Proventos!$H:$H,Proventos!$D:$D,"&gt;="&amp;CONCATENATE($I$6,"/",B38),Proventos!$D:$D,"&lt;"&amp;CONCATENATE($J$6,"/",B38),Proventos!$J:$J,"="&amp;$H$2),
AND($H$2=Data!$A$5,$K$2=Data!$A$2),SUMIFS(Proventos!$H:$H,Proventos!$D:$D,"&gt;="&amp;CONCATENATE($I$6,"/",B38),Proventos!$D:$D,"&lt;"&amp;CONCATENATE($J$6,"/",B38),Proventos!$J:$J,"="&amp;$H$2),
AND($H$2=Data!$A$6,$K$2=Data!$A$2),SUMIFS(Proventos!$H:$H,Proventos!$D:$D,"&gt;="&amp;CONCATENATE($I$6,"/",B38),Proventos!$D:$D,"&lt;"&amp;CONCATENATE($J$6,"/",B38),Proventos!$J:$J,"="&amp;$H$2),
AND($H$2=Data!$A$7,$K$2=Data!$A$2),SUMIFS(Proventos!$H:$H,Proventos!$D:$D,"&gt;="&amp;CONCATENATE($I$6,"/",B38),Proventos!$D:$D,"&lt;"&amp;CONCATENATE($J$6,"/",B38),Proventos!$J:$J,"="&amp;$H$2),
AND($H$2=Data!$A$8,$K$2=Data!$A$2),SUMIFS(Proventos!$H:$H,Proventos!$D:$D,"&gt;="&amp;CONCATENATE($I$6,"/",B38),Proventos!$D:$D,"&lt;"&amp;CONCATENATE($J$6,"/",B38),Proventos!$J:$J,"="&amp;$H$2),
AND($H$2=Data!$A$9,$K$2=Data!$A$2),SUMIFS(Proventos!$H:$H,Proventos!$D:$D,"&gt;="&amp;CONCATENATE($I$6,"/",B38),Proventos!$D:$D,"&lt;"&amp;CONCATENATE($J$6,"/",B38),Proventos!$J:$J,"="&amp;$H$2),
AND($H$2=Data!$A$10,$K$2=Data!$A$2),SUMIFS(Proventos!$H:$H,Proventos!$D:$D,"&gt;="&amp;CONCATENATE($I$6,"/",B38),Proventos!$D:$D,"&lt;"&amp;CONCATENATE($J$6,"/",B38),Proventos!$J:$J,"="&amp;$H$2),
AND($H$2=Data!$A$11,$K$2=Data!$A$2),SUMIFS(Proventos!$H:$H,Proventos!$D:$D,"&gt;="&amp;CONCATENATE($I$6,"/",B38),Proventos!$D:$D,"&lt;"&amp;CONCATENATE($J$6,"/",B38),Proventos!$J:$J,"="&amp;$H$2),
$K$2=Data!$A$2,SUMIFS(Proventos!$H:$H,Proventos!$D:$D,"&gt;="&amp;CONCATENATE($I$6,"/",B38),Proventos!$D:$D,"&lt;"&amp;CONCATENATE($J$6,"/",B38)),
$K$2&lt;&gt;Data!$A$2,SUMIFS(Proventos!$H:$H,Proventos!$D:$D,"&gt;="&amp;CONCATENATE($I$6,"/",B38),Proventos!$D:$D,"&lt;"&amp;CONCATENATE($J$6,"/",B38),Proventos!$A:$A,"="&amp;$K$2))</f>
        <v>0</v>
      </c>
      <c r="J38" s="245">
        <f>IFS(
AND($H$2=Data!$A$3,$K$2=Data!$A$2),SUMIFS(Proventos!$H:$H,Proventos!$D:$D,"&gt;="&amp;CONCATENATE($J$6,"/",B38),Proventos!$D:$D,"&lt;"&amp;CONCATENATE($K$6,"/",B38),Proventos!$J:$J,"="&amp;$H$2),
AND($H$2=Data!$A$4,$K$2=Data!$A$2),SUMIFS(Proventos!$H:$H,Proventos!$D:$D,"&gt;="&amp;CONCATENATE($J$6,"/",B38),Proventos!$D:$D,"&lt;"&amp;CONCATENATE($K$6,"/",B38),Proventos!$J:$J,"="&amp;$H$2),
AND($H$2=Data!$A$5,$K$2=Data!$A$2),SUMIFS(Proventos!$H:$H,Proventos!$D:$D,"&gt;="&amp;CONCATENATE($J$6,"/",B38),Proventos!$D:$D,"&lt;"&amp;CONCATENATE($K$6,"/",B38),Proventos!$J:$J,"="&amp;$H$2),
AND($H$2=Data!$A$6,$K$2=Data!$A$2),SUMIFS(Proventos!$H:$H,Proventos!$D:$D,"&gt;="&amp;CONCATENATE($J$6,"/",B38),Proventos!$D:$D,"&lt;"&amp;CONCATENATE($K$6,"/",B38),Proventos!$J:$J,"="&amp;$H$2),
AND($H$2=Data!$A$7,$K$2=Data!$A$2),SUMIFS(Proventos!$H:$H,Proventos!$D:$D,"&gt;="&amp;CONCATENATE($J$6,"/",B38),Proventos!$D:$D,"&lt;"&amp;CONCATENATE($K$6,"/",B38),Proventos!$J:$J,"="&amp;$H$2),
AND($H$2=Data!$A$8,$K$2=Data!$A$2),SUMIFS(Proventos!$H:$H,Proventos!$D:$D,"&gt;="&amp;CONCATENATE($J$6,"/",B38),Proventos!$D:$D,"&lt;"&amp;CONCATENATE($K$6,"/",B38),Proventos!$J:$J,"="&amp;$H$2),
AND($H$2=Data!$A$9,$K$2=Data!$A$2),SUMIFS(Proventos!$H:$H,Proventos!$D:$D,"&gt;="&amp;CONCATENATE($J$6,"/",B38),Proventos!$D:$D,"&lt;"&amp;CONCATENATE($K$6,"/",B38),Proventos!$J:$J,"="&amp;$H$2),
AND($H$2=Data!$A$10,$K$2=Data!$A$2),SUMIFS(Proventos!$H:$H,Proventos!$D:$D,"&gt;="&amp;CONCATENATE($J$6,"/",B38),Proventos!$D:$D,"&lt;"&amp;CONCATENATE($K$6,"/",B38),Proventos!$J:$J,"="&amp;$H$2),
AND($H$2=Data!$A$11,$K$2=Data!$A$2),SUMIFS(Proventos!$H:$H,Proventos!$D:$D,"&gt;="&amp;CONCATENATE($J$6,"/",B38),Proventos!$D:$D,"&lt;"&amp;CONCATENATE($K$6,"/",B38),Proventos!$J:$J,"="&amp;$H$2),
$K$2=Data!$A$2,SUMIFS(Proventos!$H:$H,Proventos!$D:$D,"&gt;="&amp;CONCATENATE($J$6,"/",B38),Proventos!$D:$D,"&lt;"&amp;CONCATENATE($K$6,"/",B38)),
$K$2&lt;&gt;Data!$A$2,SUMIFS(Proventos!$H:$H,Proventos!$D:$D,"&gt;="&amp;CONCATENATE($J$6,"/",B38),Proventos!$D:$D,"&lt;"&amp;CONCATENATE($K$6,"/",B38),Proventos!$A:$A,"="&amp;$K$2))</f>
        <v>0</v>
      </c>
      <c r="K38" s="245">
        <f>IFS(
AND($H$2=Data!$A$3,$K$2=Data!$A$2),SUMIFS(Proventos!$H:$H,Proventos!$D:$D,"&gt;="&amp;CONCATENATE($K$6,"/",B38),Proventos!$D:$D,"&lt;"&amp;CONCATENATE($L$6,"/",B38),Proventos!$J:$J,"="&amp;$H$2),
AND($H$2=Data!$A$4,$K$2=Data!$A$2),SUMIFS(Proventos!$H:$H,Proventos!$D:$D,"&gt;="&amp;CONCATENATE($K$6,"/",B38),Proventos!$D:$D,"&lt;"&amp;CONCATENATE($L$6,"/",B38),Proventos!$J:$J,"="&amp;$H$2),
AND($H$2=Data!$A$5,$K$2=Data!$A$2),SUMIFS(Proventos!$H:$H,Proventos!$D:$D,"&gt;="&amp;CONCATENATE($K$6,"/",B38),Proventos!$D:$D,"&lt;"&amp;CONCATENATE($L$6,"/",B38),Proventos!$J:$J,"="&amp;$H$2),
AND($H$2=Data!$A$6,$K$2=Data!$A$2),SUMIFS(Proventos!$H:$H,Proventos!$D:$D,"&gt;="&amp;CONCATENATE($K$6,"/",B38),Proventos!$D:$D,"&lt;"&amp;CONCATENATE($L$6,"/",B38),Proventos!$J:$J,"="&amp;$H$2),
AND($H$2=Data!$A$7,$K$2=Data!$A$2),SUMIFS(Proventos!$H:$H,Proventos!$D:$D,"&gt;="&amp;CONCATENATE($K$6,"/",B38),Proventos!$D:$D,"&lt;"&amp;CONCATENATE($L$6,"/",B38),Proventos!$J:$J,"="&amp;$H$2),
AND($H$2=Data!$A$8,$K$2=Data!$A$2),SUMIFS(Proventos!$H:$H,Proventos!$D:$D,"&gt;="&amp;CONCATENATE($K$6,"/",B38),Proventos!$D:$D,"&lt;"&amp;CONCATENATE($L$6,"/",B38),Proventos!$J:$J,"="&amp;$H$2),
AND($H$2=Data!$A$9,$K$2=Data!$A$2),SUMIFS(Proventos!$H:$H,Proventos!$D:$D,"&gt;="&amp;CONCATENATE($K$6,"/",B38),Proventos!$D:$D,"&lt;"&amp;CONCATENATE($L$6,"/",B38),Proventos!$J:$J,"="&amp;$H$2),
AND($H$2=Data!$A$10,$K$2=Data!$A$2),SUMIFS(Proventos!$H:$H,Proventos!$D:$D,"&gt;="&amp;CONCATENATE($K$6,"/",B38),Proventos!$D:$D,"&lt;"&amp;CONCATENATE($L$6,"/",B38),Proventos!$J:$J,"="&amp;$H$2),
AND($H$2=Data!$A$11,$K$2=Data!$A$2),SUMIFS(Proventos!$H:$H,Proventos!$D:$D,"&gt;="&amp;CONCATENATE($K$6,"/",B38),Proventos!$D:$D,"&lt;"&amp;CONCATENATE($L$6,"/",B38),Proventos!$J:$J,"="&amp;$H$2),
$K$2=Data!$A$2,SUMIFS(Proventos!$H:$H,Proventos!$D:$D,"&gt;="&amp;CONCATENATE($K$6,"/",B38),Proventos!$D:$D,"&lt;"&amp;CONCATENATE($L$6,"/",B38)),
$K$2&lt;&gt;Data!$A$2,SUMIFS(Proventos!$H:$H,Proventos!$D:$D,"&gt;="&amp;CONCATENATE($K$6,"/",B38),Proventos!$D:$D,"&lt;"&amp;CONCATENATE($L$6,"/",B38),Proventos!$A:$A,"="&amp;$K$2))</f>
        <v>0</v>
      </c>
      <c r="L38" s="245">
        <f>IFS(
AND($H$2=Data!$A$3,$K$2=Data!$A$2),SUMIFS(Proventos!$H:$H,Proventos!$D:$D,"&gt;="&amp;CONCATENATE($L$6,"/",B38),Proventos!$D:$D,"&lt;"&amp;CONCATENATE($M$6,"/",B38),Proventos!$J:$J,"="&amp;$H$2),
AND($H$2=Data!$A$4,$K$2=Data!$A$2),SUMIFS(Proventos!$H:$H,Proventos!$D:$D,"&gt;="&amp;CONCATENATE($L$6,"/",B38),Proventos!$D:$D,"&lt;"&amp;CONCATENATE($M$6,"/",B38),Proventos!$J:$J,"="&amp;$H$2),
AND($H$2=Data!$A$5,$K$2=Data!$A$2),SUMIFS(Proventos!$H:$H,Proventos!$D:$D,"&gt;="&amp;CONCATENATE($L$6,"/",B38),Proventos!$D:$D,"&lt;"&amp;CONCATENATE($M$6,"/",B38),Proventos!$J:$J,"="&amp;$H$2),
AND($H$2=Data!$A$6,$K$2=Data!$A$2),SUMIFS(Proventos!$H:$H,Proventos!$D:$D,"&gt;="&amp;CONCATENATE($L$6,"/",B38),Proventos!$D:$D,"&lt;"&amp;CONCATENATE($M$6,"/",B38),Proventos!$J:$J,"="&amp;$H$2),
AND($H$2=Data!$A$7,$K$2=Data!$A$2),SUMIFS(Proventos!$H:$H,Proventos!$D:$D,"&gt;="&amp;CONCATENATE($L$6,"/",B38),Proventos!$D:$D,"&lt;"&amp;CONCATENATE($M$6,"/",B38),Proventos!$J:$J,"="&amp;$H$2),
AND($H$2=Data!$A$8,$K$2=Data!$A$2),SUMIFS(Proventos!$H:$H,Proventos!$D:$D,"&gt;="&amp;CONCATENATE($L$6,"/",B38),Proventos!$D:$D,"&lt;"&amp;CONCATENATE($M$6,"/",B38),Proventos!$J:$J,"="&amp;$H$2),
AND($H$2=Data!$A$9,$K$2=Data!$A$2),SUMIFS(Proventos!$H:$H,Proventos!$D:$D,"&gt;="&amp;CONCATENATE($L$6,"/",B38),Proventos!$D:$D,"&lt;"&amp;CONCATENATE($M$6,"/",B38),Proventos!$J:$J,"="&amp;$H$2),
AND($H$2=Data!$A$10,$K$2=Data!$A$2),SUMIFS(Proventos!$H:$H,Proventos!$D:$D,"&gt;="&amp;CONCATENATE($L$6,"/",B38),Proventos!$D:$D,"&lt;"&amp;CONCATENATE($M$6,"/",B38),Proventos!$J:$J,"="&amp;$H$2),
AND($H$2=Data!$A$11,$K$2=Data!$A$2),SUMIFS(Proventos!$H:$H,Proventos!$D:$D,"&gt;="&amp;CONCATENATE($L$6,"/",B38),Proventos!$D:$D,"&lt;"&amp;CONCATENATE($M$6,"/",B38),Proventos!$J:$J,"="&amp;$H$2),
$K$2=Data!$A$2,SUMIFS(Proventos!$H:$H,Proventos!$D:$D,"&gt;="&amp;CONCATENATE($L$6,"/",B38),Proventos!$D:$D,"&lt;"&amp;CONCATENATE($M$6,"/",B38)),
$K$2&lt;&gt;Data!$A$2,SUMIFS(Proventos!$H:$H,Proventos!$D:$D,"&gt;="&amp;CONCATENATE($L$6,"/",B38),Proventos!$D:$D,"&lt;"&amp;CONCATENATE($M$6,"/",B38),Proventos!$A:$A,"="&amp;$K$2))</f>
        <v>0</v>
      </c>
      <c r="M38" s="245">
        <f>IFS(
AND($H$2=Data!$A$3,$K$2=Data!$A$2),SUMIFS(Proventos!$H:$H,Proventos!$D:$D,"&gt;="&amp;CONCATENATE($M$6,"/",B38),Proventos!$D:$D,"&lt;"&amp;CONCATENATE($N$6,"/",B38),Proventos!$J:$J,"="&amp;$H$2),
AND($H$2=Data!$A$4,$K$2=Data!$A$2),SUMIFS(Proventos!$H:$H,Proventos!$D:$D,"&gt;="&amp;CONCATENATE($M$6,"/",B38),Proventos!$D:$D,"&lt;"&amp;CONCATENATE($N$6,"/",B38),Proventos!$J:$J,"="&amp;$H$2),
AND($H$2=Data!$A$5,$K$2=Data!$A$2),SUMIFS(Proventos!$H:$H,Proventos!$D:$D,"&gt;="&amp;CONCATENATE($M$6,"/",B38),Proventos!$D:$D,"&lt;"&amp;CONCATENATE($N$6,"/",B38),Proventos!$J:$J,"="&amp;$H$2),
AND($H$2=Data!$A$6,$K$2=Data!$A$2),SUMIFS(Proventos!$H:$H,Proventos!$D:$D,"&gt;="&amp;CONCATENATE($M$6,"/",B38),Proventos!$D:$D,"&lt;"&amp;CONCATENATE($N$6,"/",B38),Proventos!$J:$J,"="&amp;$H$2),
AND($H$2=Data!$A$7,$K$2=Data!$A$2),SUMIFS(Proventos!$H:$H,Proventos!$D:$D,"&gt;="&amp;CONCATENATE($M$6,"/",B38),Proventos!$D:$D,"&lt;"&amp;CONCATENATE($N$6,"/",B38),Proventos!$J:$J,"="&amp;$H$2),
AND($H$2=Data!$A$8,$K$2=Data!$A$2),SUMIFS(Proventos!$H:$H,Proventos!$D:$D,"&gt;="&amp;CONCATENATE($M$6,"/",B38),Proventos!$D:$D,"&lt;"&amp;CONCATENATE($N$6,"/",B38),Proventos!$J:$J,"="&amp;$H$2),
AND($H$2=Data!$A$9,$K$2=Data!$A$2),SUMIFS(Proventos!$H:$H,Proventos!$D:$D,"&gt;="&amp;CONCATENATE($M$6,"/",B38),Proventos!$D:$D,"&lt;"&amp;CONCATENATE($N$6,"/",B38),Proventos!$J:$J,"="&amp;$H$2),
AND($H$2=Data!$A$10,$K$2=Data!$A$2),SUMIFS(Proventos!$H:$H,Proventos!$D:$D,"&gt;="&amp;CONCATENATE($M$6,"/",B38),Proventos!$D:$D,"&lt;"&amp;CONCATENATE($N$6,"/",B38),Proventos!$J:$J,"="&amp;$H$2),
AND($H$2=Data!$A$11,$K$2=Data!$A$2),SUMIFS(Proventos!$H:$H,Proventos!$D:$D,"&gt;="&amp;CONCATENATE($M$6,"/",B38),Proventos!$D:$D,"&lt;"&amp;CONCATENATE($N$6,"/",B38),Proventos!$J:$J,"="&amp;$H$2),
$K$2=Data!$A$2,SUMIFS(Proventos!$H:$H,Proventos!$D:$D,"&gt;="&amp;CONCATENATE($M$6,"/",B38),Proventos!$D:$D,"&lt;"&amp;CONCATENATE($N$6,"/",B38)),
$K$2&lt;&gt;Data!$A$2,SUMIFS(Proventos!$H:$H,Proventos!$D:$D,"&gt;="&amp;CONCATENATE($M$6,"/",B38),Proventos!$D:$D,"&lt;"&amp;CONCATENATE($N$6,"/",B38),Proventos!$A:$A,"="&amp;$K$2))</f>
        <v>0</v>
      </c>
      <c r="N38" s="245">
        <f>IFS(
AND($H$2=Data!$A$3,$K$2=Data!$A$2),SUMIFS(Proventos!$H:$H,Proventos!$D:$D,"&gt;="&amp;CONCATENATE($N$6,"/",B38),Proventos!$D:$D,"&lt;"&amp;CONCATENATE($C$6,"/",B39),Proventos!$J:$J,"="&amp;$H$2),
AND($H$2=Data!$A$4,$K$2=Data!$A$2),SUMIFS(Proventos!$H:$H,Proventos!$D:$D,"&gt;="&amp;CONCATENATE($N$6,"/",B38),Proventos!$D:$D,"&lt;"&amp;CONCATENATE($C$6,"/",B39),Proventos!$J:$J,"="&amp;$H$2),
AND($H$2=Data!$A$5,$K$2=Data!$A$2),SUMIFS(Proventos!$H:$H,Proventos!$D:$D,"&gt;="&amp;CONCATENATE($N$6,"/",B38),Proventos!$D:$D,"&lt;"&amp;CONCATENATE($C$6,"/",B39),Proventos!$J:$J,"="&amp;$H$2),
AND($H$2=Data!$A$6,$K$2=Data!$A$2),SUMIFS(Proventos!$H:$H,Proventos!$D:$D,"&gt;="&amp;CONCATENATE($N$6,"/",B38),Proventos!$D:$D,"&lt;"&amp;CONCATENATE($C$6,"/",B39),Proventos!$J:$J,"="&amp;$H$2),
AND($H$2=Data!$A$7,$K$2=Data!$A$2),SUMIFS(Proventos!$H:$H,Proventos!$D:$D,"&gt;="&amp;CONCATENATE($N$6,"/",B38),Proventos!$D:$D,"&lt;"&amp;CONCATENATE($C$6,"/",B39),Proventos!$J:$J,"="&amp;$H$2),
AND($H$2=Data!$A$8,$K$2=Data!$A$2),SUMIFS(Proventos!$H:$H,Proventos!$D:$D,"&gt;="&amp;CONCATENATE($N$6,"/",B38),Proventos!$D:$D,"&lt;"&amp;CONCATENATE($C$6,"/",B39),Proventos!$J:$J,"="&amp;$H$2),
AND($H$2=Data!$A$9,$K$2=Data!$A$2),SUMIFS(Proventos!$H:$H,Proventos!$D:$D,"&gt;="&amp;CONCATENATE($N$6,"/",B38),Proventos!$D:$D,"&lt;"&amp;CONCATENATE($C$6,"/",B39),Proventos!$J:$J,"="&amp;$H$2),
AND($H$2=Data!$A$10,$K$2=Data!$A$2),SUMIFS(Proventos!$H:$H,Proventos!$D:$D,"&gt;="&amp;CONCATENATE($N$6,"/",B38),Proventos!$D:$D,"&lt;"&amp;CONCATENATE($C$6,"/",B39),Proventos!$J:$J,"="&amp;$H$2),
AND($H$2=Data!$A$11,$K$2=Data!$A$2),SUMIFS(Proventos!$H:$H,Proventos!$D:$D,"&gt;="&amp;CONCATENATE($N$6,"/",B38),Proventos!$D:$D,"&lt;"&amp;CONCATENATE($C$6,"/",B39),Proventos!$J:$J,"="&amp;$H$2),
$K$2=Data!$A$2,SUMIFS(Proventos!$H:$H,Proventos!$D:$D,"&gt;="&amp;CONCATENATE($N$6,"/",B38),Proventos!$D:$D,"&lt;"&amp;CONCATENATE($C$6,"/",B39)),
$K$2&lt;&gt;Data!$A$2,SUMIFS(Proventos!$H:$H,Proventos!$D:$D,"&gt;="&amp;CONCATENATE($N$6,"/",B38),Proventos!$D:$D,"&lt;"&amp;CONCATENATE($C$6,"/",B39),Proventos!$A:$A,"="&amp;$K$2))</f>
        <v>0</v>
      </c>
      <c r="O38" s="245"/>
      <c r="P38" s="245">
        <f t="shared" si="1"/>
        <v>0</v>
      </c>
      <c r="Q38" s="245">
        <f t="shared" si="2"/>
        <v>0</v>
      </c>
    </row>
    <row r="39" ht="32.25" customHeight="1">
      <c r="A39" s="230"/>
      <c r="B39" s="244"/>
      <c r="C39" s="245">
        <f>IFS(
AND($H$2=Data!$A$3,$K$2=Data!$A$2),SUMIFS(Proventos!$H:$H,Proventos!$D:$D,"&gt;="&amp;CONCATENATE($C$6,"/",B39),Proventos!$D:$D,"&lt;"&amp;CONCATENATE($D$6,"/",B39),Proventos!$J:$J,"="&amp;$H$2),
AND($H$2=Data!$A$4,$K$2=Data!$A$2),SUMIFS(Proventos!$H:$H,Proventos!$D:$D,"&gt;="&amp;CONCATENATE($C$6,"/",B39),Proventos!$D:$D,"&lt;"&amp;CONCATENATE($D$6,"/",B39),Proventos!$J:$J,"="&amp;$H$2),
AND($H$2=Data!$A$5,$K$2=Data!$A$2),SUMIFS(Proventos!$H:$H,Proventos!$D:$D,"&gt;="&amp;CONCATENATE($C$6,"/",B39),Proventos!$D:$D,"&lt;"&amp;CONCATENATE($D$6,"/",B39),Proventos!$J:$J,"="&amp;$H$2),
AND($H$2=Data!$A$6,$K$2=Data!$A$2),SUMIFS(Proventos!$H:$H,Proventos!$D:$D,"&gt;="&amp;CONCATENATE($C$6,"/",B39),Proventos!$D:$D,"&lt;"&amp;CONCATENATE($D$6,"/",B39),Proventos!$J:$J,"="&amp;$H$2),
AND($H$2=Data!$A$7,$K$2=Data!$A$2),SUMIFS(Proventos!$H:$H,Proventos!$D:$D,"&gt;="&amp;CONCATENATE($C$6,"/",B39),Proventos!$D:$D,"&lt;"&amp;CONCATENATE($D$6,"/",B39),Proventos!$J:$J,"="&amp;$H$2),
AND($H$2=Data!$A$8,$K$2=Data!$A$2),SUMIFS(Proventos!$H:$H,Proventos!$D:$D,"&gt;="&amp;CONCATENATE($C$6,"/",B39),Proventos!$D:$D,"&lt;"&amp;CONCATENATE($D$6,"/",B39),Proventos!$J:$J,"="&amp;$H$2),
AND($H$2=Data!$A$9,$K$2=Data!$A$2),SUMIFS(Proventos!$H:$H,Proventos!$D:$D,"&gt;="&amp;CONCATENATE($C$6,"/",B39),Proventos!$D:$D,"&lt;"&amp;CONCATENATE($D$6,"/",B39),Proventos!$J:$J,"="&amp;$H$2),
AND($H$2=Data!$A$10,$K$2=Data!$A$2),SUMIFS(Proventos!$H:$H,Proventos!$D:$D,"&gt;="&amp;CONCATENATE($C$6,"/",B39),Proventos!$D:$D,"&lt;"&amp;CONCATENATE($D$6,"/",B39),Proventos!$J:$J,"="&amp;$H$2),
AND($H$2=Data!$A$11,$K$2=Data!$A$2),SUMIFS(Proventos!$H:$H,Proventos!$D:$D,"&gt;="&amp;CONCATENATE($C$6,"/",B39),Proventos!$D:$D,"&lt;"&amp;CONCATENATE($D$6,"/",B39),Proventos!$J:$J,"="&amp;$H$2),
$K$2=Data!$A$2,SUMIFS(Proventos!$H:$H,Proventos!$D:$D,"&gt;="&amp;CONCATENATE($C$6,"/",B39),Proventos!$D:$D,"&lt;"&amp;CONCATENATE($D$6,"/",B39)),
$K$2&lt;&gt;Data!$A$2,SUMIFS(Proventos!$H:$H,Proventos!$D:$D,"&gt;="&amp;CONCATENATE($C$6,"/",B39),Proventos!$D:$D,"&lt;"&amp;CONCATENATE($D$6,"/",B39),Proventos!$A:$A,"="&amp;$K$2))</f>
        <v>0</v>
      </c>
      <c r="D39" s="245">
        <f>IFS(
AND($H$2=Data!$A$3,$K$2=Data!$A$2),SUMIFS(Proventos!$H:$H,Proventos!$D:$D,"&gt;="&amp;CONCATENATE($D$6,"/",B39),Proventos!$D:$D,"&lt;"&amp;CONCATENATE($E$6,"/",B39),Proventos!$J:$J,"="&amp;$H$2),
AND($H$2=Data!$A$4,$K$2=Data!$A$2),SUMIFS(Proventos!$H:$H,Proventos!$D:$D,"&gt;="&amp;CONCATENATE($D$6,"/",B39),Proventos!$D:$D,"&lt;"&amp;CONCATENATE($E$6,"/",B39),Proventos!$J:$J,"="&amp;$H$2),
AND($H$2=Data!$A$5,$K$2=Data!$A$2),SUMIFS(Proventos!$H:$H,Proventos!$D:$D,"&gt;="&amp;CONCATENATE($D$6,"/",B39),Proventos!$D:$D,"&lt;"&amp;CONCATENATE($E$6,"/",B39),Proventos!$J:$J,"="&amp;$H$2),
AND($H$2=Data!$A$6,$K$2=Data!$A$2),SUMIFS(Proventos!$H:$H,Proventos!$D:$D,"&gt;="&amp;CONCATENATE($D$6,"/",B39),Proventos!$D:$D,"&lt;"&amp;CONCATENATE($E$6,"/",B39),Proventos!$J:$J,"="&amp;$H$2),
AND($H$2=Data!$A$7,$K$2=Data!$A$2),SUMIFS(Proventos!$H:$H,Proventos!$D:$D,"&gt;="&amp;CONCATENATE($D$6,"/",B39),Proventos!$D:$D,"&lt;"&amp;CONCATENATE($E$6,"/",B39),Proventos!$J:$J,"="&amp;$H$2),
AND($H$2=Data!$A$8,$K$2=Data!$A$2),SUMIFS(Proventos!$H:$H,Proventos!$D:$D,"&gt;="&amp;CONCATENATE($D$6,"/",B39),Proventos!$D:$D,"&lt;"&amp;CONCATENATE($E$6,"/",B39),Proventos!$J:$J,"="&amp;$H$2),
AND($H$2=Data!$A$9,$K$2=Data!$A$2),SUMIFS(Proventos!$H:$H,Proventos!$D:$D,"&gt;="&amp;CONCATENATE($D$6,"/",B39),Proventos!$D:$D,"&lt;"&amp;CONCATENATE($E$6,"/",B39),Proventos!$J:$J,"="&amp;$H$2),
AND($H$2=Data!$A$10,$K$2=Data!$A$2),SUMIFS(Proventos!$H:$H,Proventos!$D:$D,"&gt;="&amp;CONCATENATE($D$6,"/",B39),Proventos!$D:$D,"&lt;"&amp;CONCATENATE($E$6,"/",B39),Proventos!$J:$J,"="&amp;$H$2),
AND($H$2=Data!$A$11,$K$2=Data!$A$2),SUMIFS(Proventos!$H:$H,Proventos!$D:$D,"&gt;="&amp;CONCATENATE($D$6,"/",B39),Proventos!$D:$D,"&lt;"&amp;CONCATENATE($E$6,"/",B39),Proventos!$J:$J,"="&amp;$H$2),
$K$2=Data!$A$2,SUMIFS(Proventos!$H:$H,Proventos!$D:$D,"&gt;="&amp;CONCATENATE($D$6,"/",B39),Proventos!$D:$D,"&lt;"&amp;CONCATENATE($E$6,"/",B39)),
$K$2&lt;&gt;Data!$A$2,SUMIFS(Proventos!$H:$H,Proventos!$D:$D,"&gt;="&amp;CONCATENATE($D$6,"/",B39),Proventos!$D:$D,"&lt;"&amp;CONCATENATE($E$6,"/",B39),Proventos!$A:$A,"="&amp;$K$2))</f>
        <v>0</v>
      </c>
      <c r="E39" s="245">
        <f>IFS(
AND($H$2=Data!$A$3,$K$2=Data!$A$2),SUMIFS(Proventos!$H:$H,Proventos!$D:$D,"&gt;="&amp;CONCATENATE($E$6,"/",B39),Proventos!$D:$D,"&lt;"&amp;CONCATENATE($F$6,"/",B39),Proventos!$J:$J,"="&amp;$H$2),
AND($H$2=Data!$A$4,$K$2=Data!$A$2),SUMIFS(Proventos!$H:$H,Proventos!$D:$D,"&gt;="&amp;CONCATENATE($E$6,"/",B39),Proventos!$D:$D,"&lt;"&amp;CONCATENATE($F$6,"/",B39),Proventos!$J:$J,"="&amp;$H$2),
AND($H$2=Data!$A$5,$K$2=Data!$A$2),SUMIFS(Proventos!$H:$H,Proventos!$D:$D,"&gt;="&amp;CONCATENATE($E$6,"/",B39),Proventos!$D:$D,"&lt;"&amp;CONCATENATE($F$6,"/",B39),Proventos!$J:$J,"="&amp;$H$2),
AND($H$2=Data!$A$6,$K$2=Data!$A$2),SUMIFS(Proventos!$H:$H,Proventos!$D:$D,"&gt;="&amp;CONCATENATE($E$6,"/",B39),Proventos!$D:$D,"&lt;"&amp;CONCATENATE($F$6,"/",B39),Proventos!$J:$J,"="&amp;$H$2),
AND($H$2=Data!$A$7,$K$2=Data!$A$2),SUMIFS(Proventos!$H:$H,Proventos!$D:$D,"&gt;="&amp;CONCATENATE($E$6,"/",B39),Proventos!$D:$D,"&lt;"&amp;CONCATENATE($F$6,"/",B39),Proventos!$J:$J,"="&amp;$H$2),
AND($H$2=Data!$A$8,$K$2=Data!$A$2),SUMIFS(Proventos!$H:$H,Proventos!$D:$D,"&gt;="&amp;CONCATENATE($E$6,"/",B39),Proventos!$D:$D,"&lt;"&amp;CONCATENATE($F$6,"/",B39),Proventos!$J:$J,"="&amp;$H$2),
AND($H$2=Data!$A$9,$K$2=Data!$A$2),SUMIFS(Proventos!$H:$H,Proventos!$D:$D,"&gt;="&amp;CONCATENATE($E$6,"/",B39),Proventos!$D:$D,"&lt;"&amp;CONCATENATE($F$6,"/",B39),Proventos!$J:$J,"="&amp;$H$2),
AND($H$2=Data!$A$10,$K$2=Data!$A$2),SUMIFS(Proventos!$H:$H,Proventos!$D:$D,"&gt;="&amp;CONCATENATE($E$6,"/",B39),Proventos!$D:$D,"&lt;"&amp;CONCATENATE($F$6,"/",B39),Proventos!$J:$J,"="&amp;$H$2),
AND($H$2=Data!$A$11,$K$2=Data!$A$2),SUMIFS(Proventos!$H:$H,Proventos!$D:$D,"&gt;="&amp;CONCATENATE($E$6,"/",B39),Proventos!$D:$D,"&lt;"&amp;CONCATENATE($F$6,"/",B39),Proventos!$J:$J,"="&amp;$H$2),
$K$2=Data!$A$2,SUMIFS(Proventos!$H:$H,Proventos!$D:$D,"&gt;="&amp;CONCATENATE($E$6,"/",B39),Proventos!$D:$D,"&lt;"&amp;CONCATENATE($F$6,"/",B39)),
$K$2&lt;&gt;Data!$A$2,SUMIFS(Proventos!$H:$H,Proventos!$D:$D,"&gt;="&amp;CONCATENATE($E$6,"/",B39),Proventos!$D:$D,"&lt;"&amp;CONCATENATE($F$6,"/",B39),Proventos!$A:$A,"="&amp;$K$2))</f>
        <v>0</v>
      </c>
      <c r="F39" s="245">
        <f>IFS(
AND($H$2=Data!$A$3,$K$2=Data!$A$2),SUMIFS(Proventos!$H:$H,Proventos!$D:$D,"&gt;="&amp;CONCATENATE($F$6,"/",B39),Proventos!$D:$D,"&lt;"&amp;CONCATENATE($G$6,"/",B39),Proventos!$J:$J,"="&amp;$H$2),
AND($H$2=Data!$A$4,$K$2=Data!$A$2),SUMIFS(Proventos!$H:$H,Proventos!$D:$D,"&gt;="&amp;CONCATENATE($F$6,"/",B39),Proventos!$D:$D,"&lt;"&amp;CONCATENATE($G$6,"/",B39),Proventos!$J:$J,"="&amp;$H$2),
AND($H$2=Data!$A$5,$K$2=Data!$A$2),SUMIFS(Proventos!$H:$H,Proventos!$D:$D,"&gt;="&amp;CONCATENATE($F$6,"/",B39),Proventos!$D:$D,"&lt;"&amp;CONCATENATE($G$6,"/",B39),Proventos!$J:$J,"="&amp;$H$2),
AND($H$2=Data!$A$6,$K$2=Data!$A$2),SUMIFS(Proventos!$H:$H,Proventos!$D:$D,"&gt;="&amp;CONCATENATE($F$6,"/",B39),Proventos!$D:$D,"&lt;"&amp;CONCATENATE($G$6,"/",B39),Proventos!$J:$J,"="&amp;$H$2),
AND($H$2=Data!$A$7,$K$2=Data!$A$2),SUMIFS(Proventos!$H:$H,Proventos!$D:$D,"&gt;="&amp;CONCATENATE($F$6,"/",B39),Proventos!$D:$D,"&lt;"&amp;CONCATENATE($G$6,"/",B39),Proventos!$J:$J,"="&amp;$H$2),
AND($H$2=Data!$A$8,$K$2=Data!$A$2),SUMIFS(Proventos!$H:$H,Proventos!$D:$D,"&gt;="&amp;CONCATENATE($F$6,"/",B39),Proventos!$D:$D,"&lt;"&amp;CONCATENATE($G$6,"/",B39),Proventos!$J:$J,"="&amp;$H$2),
AND($H$2=Data!$A$9,$K$2=Data!$A$2),SUMIFS(Proventos!$H:$H,Proventos!$D:$D,"&gt;="&amp;CONCATENATE($F$6,"/",B39),Proventos!$D:$D,"&lt;"&amp;CONCATENATE($G$6,"/",B39),Proventos!$J:$J,"="&amp;$H$2),
AND($H$2=Data!$A$10,$K$2=Data!$A$2),SUMIFS(Proventos!$H:$H,Proventos!$D:$D,"&gt;="&amp;CONCATENATE($F$6,"/",B39),Proventos!$D:$D,"&lt;"&amp;CONCATENATE($G$6,"/",B39),Proventos!$J:$J,"="&amp;$H$2),
AND($H$2=Data!$A$11,$K$2=Data!$A$2),SUMIFS(Proventos!$H:$H,Proventos!$D:$D,"&gt;="&amp;CONCATENATE($F$6,"/",B39),Proventos!$D:$D,"&lt;"&amp;CONCATENATE($G$6,"/",B39),Proventos!$J:$J,"="&amp;$H$2),
$K$2=Data!$A$2,SUMIFS(Proventos!$H:$H,Proventos!$D:$D,"&gt;="&amp;CONCATENATE($F$6,"/",B39),Proventos!$D:$D,"&lt;"&amp;CONCATENATE($G$6,"/",B39)),
$K$2&lt;&gt;Data!$A$2,SUMIFS(Proventos!$H:$H,Proventos!$D:$D,"&gt;="&amp;CONCATENATE($F$6,"/",B39),Proventos!$D:$D,"&lt;"&amp;CONCATENATE($G$6,"/",B39),Proventos!$A:$A,"="&amp;$K$2))</f>
        <v>0</v>
      </c>
      <c r="G39" s="245">
        <f>IFS(
AND($H$2=Data!$A$3,$K$2=Data!$A$2),SUMIFS(Proventos!$H:$H,Proventos!$D:$D,"&gt;="&amp;CONCATENATE($G$6,"/",B39),Proventos!$D:$D,"&lt;"&amp;CONCATENATE($H$6,"/",B39),Proventos!$J:$J,"="&amp;$H$2),
AND($H$2=Data!$A$4,$K$2=Data!$A$2),SUMIFS(Proventos!$H:$H,Proventos!$D:$D,"&gt;="&amp;CONCATENATE($G$6,"/",B39),Proventos!$D:$D,"&lt;"&amp;CONCATENATE($H$6,"/",B39),Proventos!$J:$J,"="&amp;$H$2),
AND($H$2=Data!$A$5,$K$2=Data!$A$2),SUMIFS(Proventos!$H:$H,Proventos!$D:$D,"&gt;="&amp;CONCATENATE($G$6,"/",B39),Proventos!$D:$D,"&lt;"&amp;CONCATENATE($H$6,"/",B39),Proventos!$J:$J,"="&amp;$H$2),
AND($H$2=Data!$A$6,$K$2=Data!$A$2),SUMIFS(Proventos!$H:$H,Proventos!$D:$D,"&gt;="&amp;CONCATENATE($G$6,"/",B39),Proventos!$D:$D,"&lt;"&amp;CONCATENATE($H$6,"/",B39),Proventos!$J:$J,"="&amp;$H$2),
AND($H$2=Data!$A$7,$K$2=Data!$A$2),SUMIFS(Proventos!$H:$H,Proventos!$D:$D,"&gt;="&amp;CONCATENATE($G$6,"/",B39),Proventos!$D:$D,"&lt;"&amp;CONCATENATE($H$6,"/",B39),Proventos!$J:$J,"="&amp;$H$2),
AND($H$2=Data!$A$8,$K$2=Data!$A$2),SUMIFS(Proventos!$H:$H,Proventos!$D:$D,"&gt;="&amp;CONCATENATE($G$6,"/",B39),Proventos!$D:$D,"&lt;"&amp;CONCATENATE($H$6,"/",B39),Proventos!$J:$J,"="&amp;$H$2),
AND($H$2=Data!$A$9,$K$2=Data!$A$2),SUMIFS(Proventos!$H:$H,Proventos!$D:$D,"&gt;="&amp;CONCATENATE($G$6,"/",B39),Proventos!$D:$D,"&lt;"&amp;CONCATENATE($H$6,"/",B39),Proventos!$J:$J,"="&amp;$H$2),
AND($H$2=Data!$A$10,$K$2=Data!$A$2),SUMIFS(Proventos!$H:$H,Proventos!$D:$D,"&gt;="&amp;CONCATENATE($G$6,"/",B39),Proventos!$D:$D,"&lt;"&amp;CONCATENATE($H$6,"/",B39),Proventos!$J:$J,"="&amp;$H$2),
AND($H$2=Data!$A$11,$K$2=Data!$A$2),SUMIFS(Proventos!$H:$H,Proventos!$D:$D,"&gt;="&amp;CONCATENATE($G$6,"/",B39),Proventos!$D:$D,"&lt;"&amp;CONCATENATE($H$6,"/",B39),Proventos!$J:$J,"="&amp;$H$2),
$K$2=Data!$A$2,SUMIFS(Proventos!$H:$H,Proventos!$D:$D,"&gt;="&amp;CONCATENATE($G$6,"/",B39),Proventos!$D:$D,"&lt;"&amp;CONCATENATE($H$6,"/",B39)),
$K$2&lt;&gt;Data!$A$2,SUMIFS(Proventos!$H:$H,Proventos!$D:$D,"&gt;="&amp;CONCATENATE($G$6,"/",B39),Proventos!$D:$D,"&lt;"&amp;CONCATENATE($H$6,"/",B39),Proventos!$A:$A,"="&amp;$K$2))</f>
        <v>0</v>
      </c>
      <c r="H39" s="245">
        <f>IFS(
AND($H$2=Data!$A$3,$K$2=Data!$A$2),SUMIFS(Proventos!$H:$H,Proventos!$D:$D,"&gt;="&amp;CONCATENATE($H$6,"/",B39),Proventos!$D:$D,"&lt;"&amp;CONCATENATE($I$6,"/",B39),Proventos!$J:$J,"="&amp;$H$2),
AND($H$2=Data!$A$4,$K$2=Data!$A$2),SUMIFS(Proventos!$H:$H,Proventos!$D:$D,"&gt;="&amp;CONCATENATE($H$6,"/",B39),Proventos!$D:$D,"&lt;"&amp;CONCATENATE($I$6,"/",B39),Proventos!$J:$J,"="&amp;$H$2),
AND($H$2=Data!$A$5,$K$2=Data!$A$2),SUMIFS(Proventos!$H:$H,Proventos!$D:$D,"&gt;="&amp;CONCATENATE($H$6,"/",B39),Proventos!$D:$D,"&lt;"&amp;CONCATENATE($I$6,"/",B39),Proventos!$J:$J,"="&amp;$H$2),
AND($H$2=Data!$A$6,$K$2=Data!$A$2),SUMIFS(Proventos!$H:$H,Proventos!$D:$D,"&gt;="&amp;CONCATENATE($H$6,"/",B39),Proventos!$D:$D,"&lt;"&amp;CONCATENATE($I$6,"/",B39),Proventos!$J:$J,"="&amp;$H$2),
AND($H$2=Data!$A$7,$K$2=Data!$A$2),SUMIFS(Proventos!$H:$H,Proventos!$D:$D,"&gt;="&amp;CONCATENATE($H$6,"/",B39),Proventos!$D:$D,"&lt;"&amp;CONCATENATE($I$6,"/",B39),Proventos!$J:$J,"="&amp;$H$2),
AND($H$2=Data!$A$8,$K$2=Data!$A$2),SUMIFS(Proventos!$H:$H,Proventos!$D:$D,"&gt;="&amp;CONCATENATE($H$6,"/",B39),Proventos!$D:$D,"&lt;"&amp;CONCATENATE($I$6,"/",B39),Proventos!$J:$J,"="&amp;$H$2),
AND($H$2=Data!$A$9,$K$2=Data!$A$2),SUMIFS(Proventos!$H:$H,Proventos!$D:$D,"&gt;="&amp;CONCATENATE($H$6,"/",B39),Proventos!$D:$D,"&lt;"&amp;CONCATENATE($I$6,"/",B39),Proventos!$J:$J,"="&amp;$H$2),
AND($H$2=Data!$A$10,$K$2=Data!$A$2),SUMIFS(Proventos!$H:$H,Proventos!$D:$D,"&gt;="&amp;CONCATENATE($H$6,"/",B39),Proventos!$D:$D,"&lt;"&amp;CONCATENATE($I$6,"/",B39),Proventos!$J:$J,"="&amp;$H$2),
AND($H$2=Data!$A$11,$K$2=Data!$A$2),SUMIFS(Proventos!$H:$H,Proventos!$D:$D,"&gt;="&amp;CONCATENATE($H$6,"/",B39),Proventos!$D:$D,"&lt;"&amp;CONCATENATE($I$6,"/",B39),Proventos!$J:$J,"="&amp;$H$2),
$K$2=Data!$A$2,SUMIFS(Proventos!$H:$H,Proventos!$D:$D,"&gt;="&amp;CONCATENATE($H$6,"/",B39),Proventos!$D:$D,"&lt;"&amp;CONCATENATE($I$6,"/",B39)),
$K$2&lt;&gt;Data!$A$2,SUMIFS(Proventos!$H:$H,Proventos!$D:$D,"&gt;="&amp;CONCATENATE($H$6,"/",B39),Proventos!$D:$D,"&lt;"&amp;CONCATENATE($I$6,"/",B39),Proventos!$A:$A,"="&amp;$K$2))</f>
        <v>0</v>
      </c>
      <c r="I39" s="245">
        <f>IFS(
AND($H$2=Data!$A$3,$K$2=Data!$A$2),SUMIFS(Proventos!$H:$H,Proventos!$D:$D,"&gt;="&amp;CONCATENATE($I$6,"/",B39),Proventos!$D:$D,"&lt;"&amp;CONCATENATE($J$6,"/",B39),Proventos!$J:$J,"="&amp;$H$2),
AND($H$2=Data!$A$4,$K$2=Data!$A$2),SUMIFS(Proventos!$H:$H,Proventos!$D:$D,"&gt;="&amp;CONCATENATE($I$6,"/",B39),Proventos!$D:$D,"&lt;"&amp;CONCATENATE($J$6,"/",B39),Proventos!$J:$J,"="&amp;$H$2),
AND($H$2=Data!$A$5,$K$2=Data!$A$2),SUMIFS(Proventos!$H:$H,Proventos!$D:$D,"&gt;="&amp;CONCATENATE($I$6,"/",B39),Proventos!$D:$D,"&lt;"&amp;CONCATENATE($J$6,"/",B39),Proventos!$J:$J,"="&amp;$H$2),
AND($H$2=Data!$A$6,$K$2=Data!$A$2),SUMIFS(Proventos!$H:$H,Proventos!$D:$D,"&gt;="&amp;CONCATENATE($I$6,"/",B39),Proventos!$D:$D,"&lt;"&amp;CONCATENATE($J$6,"/",B39),Proventos!$J:$J,"="&amp;$H$2),
AND($H$2=Data!$A$7,$K$2=Data!$A$2),SUMIFS(Proventos!$H:$H,Proventos!$D:$D,"&gt;="&amp;CONCATENATE($I$6,"/",B39),Proventos!$D:$D,"&lt;"&amp;CONCATENATE($J$6,"/",B39),Proventos!$J:$J,"="&amp;$H$2),
AND($H$2=Data!$A$8,$K$2=Data!$A$2),SUMIFS(Proventos!$H:$H,Proventos!$D:$D,"&gt;="&amp;CONCATENATE($I$6,"/",B39),Proventos!$D:$D,"&lt;"&amp;CONCATENATE($J$6,"/",B39),Proventos!$J:$J,"="&amp;$H$2),
AND($H$2=Data!$A$9,$K$2=Data!$A$2),SUMIFS(Proventos!$H:$H,Proventos!$D:$D,"&gt;="&amp;CONCATENATE($I$6,"/",B39),Proventos!$D:$D,"&lt;"&amp;CONCATENATE($J$6,"/",B39),Proventos!$J:$J,"="&amp;$H$2),
AND($H$2=Data!$A$10,$K$2=Data!$A$2),SUMIFS(Proventos!$H:$H,Proventos!$D:$D,"&gt;="&amp;CONCATENATE($I$6,"/",B39),Proventos!$D:$D,"&lt;"&amp;CONCATENATE($J$6,"/",B39),Proventos!$J:$J,"="&amp;$H$2),
AND($H$2=Data!$A$11,$K$2=Data!$A$2),SUMIFS(Proventos!$H:$H,Proventos!$D:$D,"&gt;="&amp;CONCATENATE($I$6,"/",B39),Proventos!$D:$D,"&lt;"&amp;CONCATENATE($J$6,"/",B39),Proventos!$J:$J,"="&amp;$H$2),
$K$2=Data!$A$2,SUMIFS(Proventos!$H:$H,Proventos!$D:$D,"&gt;="&amp;CONCATENATE($I$6,"/",B39),Proventos!$D:$D,"&lt;"&amp;CONCATENATE($J$6,"/",B39)),
$K$2&lt;&gt;Data!$A$2,SUMIFS(Proventos!$H:$H,Proventos!$D:$D,"&gt;="&amp;CONCATENATE($I$6,"/",B39),Proventos!$D:$D,"&lt;"&amp;CONCATENATE($J$6,"/",B39),Proventos!$A:$A,"="&amp;$K$2))</f>
        <v>0</v>
      </c>
      <c r="J39" s="245">
        <f>IFS(
AND($H$2=Data!$A$3,$K$2=Data!$A$2),SUMIFS(Proventos!$H:$H,Proventos!$D:$D,"&gt;="&amp;CONCATENATE($J$6,"/",B39),Proventos!$D:$D,"&lt;"&amp;CONCATENATE($K$6,"/",B39),Proventos!$J:$J,"="&amp;$H$2),
AND($H$2=Data!$A$4,$K$2=Data!$A$2),SUMIFS(Proventos!$H:$H,Proventos!$D:$D,"&gt;="&amp;CONCATENATE($J$6,"/",B39),Proventos!$D:$D,"&lt;"&amp;CONCATENATE($K$6,"/",B39),Proventos!$J:$J,"="&amp;$H$2),
AND($H$2=Data!$A$5,$K$2=Data!$A$2),SUMIFS(Proventos!$H:$H,Proventos!$D:$D,"&gt;="&amp;CONCATENATE($J$6,"/",B39),Proventos!$D:$D,"&lt;"&amp;CONCATENATE($K$6,"/",B39),Proventos!$J:$J,"="&amp;$H$2),
AND($H$2=Data!$A$6,$K$2=Data!$A$2),SUMIFS(Proventos!$H:$H,Proventos!$D:$D,"&gt;="&amp;CONCATENATE($J$6,"/",B39),Proventos!$D:$D,"&lt;"&amp;CONCATENATE($K$6,"/",B39),Proventos!$J:$J,"="&amp;$H$2),
AND($H$2=Data!$A$7,$K$2=Data!$A$2),SUMIFS(Proventos!$H:$H,Proventos!$D:$D,"&gt;="&amp;CONCATENATE($J$6,"/",B39),Proventos!$D:$D,"&lt;"&amp;CONCATENATE($K$6,"/",B39),Proventos!$J:$J,"="&amp;$H$2),
AND($H$2=Data!$A$8,$K$2=Data!$A$2),SUMIFS(Proventos!$H:$H,Proventos!$D:$D,"&gt;="&amp;CONCATENATE($J$6,"/",B39),Proventos!$D:$D,"&lt;"&amp;CONCATENATE($K$6,"/",B39),Proventos!$J:$J,"="&amp;$H$2),
AND($H$2=Data!$A$9,$K$2=Data!$A$2),SUMIFS(Proventos!$H:$H,Proventos!$D:$D,"&gt;="&amp;CONCATENATE($J$6,"/",B39),Proventos!$D:$D,"&lt;"&amp;CONCATENATE($K$6,"/",B39),Proventos!$J:$J,"="&amp;$H$2),
AND($H$2=Data!$A$10,$K$2=Data!$A$2),SUMIFS(Proventos!$H:$H,Proventos!$D:$D,"&gt;="&amp;CONCATENATE($J$6,"/",B39),Proventos!$D:$D,"&lt;"&amp;CONCATENATE($K$6,"/",B39),Proventos!$J:$J,"="&amp;$H$2),
AND($H$2=Data!$A$11,$K$2=Data!$A$2),SUMIFS(Proventos!$H:$H,Proventos!$D:$D,"&gt;="&amp;CONCATENATE($J$6,"/",B39),Proventos!$D:$D,"&lt;"&amp;CONCATENATE($K$6,"/",B39),Proventos!$J:$J,"="&amp;$H$2),
$K$2=Data!$A$2,SUMIFS(Proventos!$H:$H,Proventos!$D:$D,"&gt;="&amp;CONCATENATE($J$6,"/",B39),Proventos!$D:$D,"&lt;"&amp;CONCATENATE($K$6,"/",B39)),
$K$2&lt;&gt;Data!$A$2,SUMIFS(Proventos!$H:$H,Proventos!$D:$D,"&gt;="&amp;CONCATENATE($J$6,"/",B39),Proventos!$D:$D,"&lt;"&amp;CONCATENATE($K$6,"/",B39),Proventos!$A:$A,"="&amp;$K$2))</f>
        <v>0</v>
      </c>
      <c r="K39" s="245">
        <f>IFS(
AND($H$2=Data!$A$3,$K$2=Data!$A$2),SUMIFS(Proventos!$H:$H,Proventos!$D:$D,"&gt;="&amp;CONCATENATE($K$6,"/",B39),Proventos!$D:$D,"&lt;"&amp;CONCATENATE($L$6,"/",B39),Proventos!$J:$J,"="&amp;$H$2),
AND($H$2=Data!$A$4,$K$2=Data!$A$2),SUMIFS(Proventos!$H:$H,Proventos!$D:$D,"&gt;="&amp;CONCATENATE($K$6,"/",B39),Proventos!$D:$D,"&lt;"&amp;CONCATENATE($L$6,"/",B39),Proventos!$J:$J,"="&amp;$H$2),
AND($H$2=Data!$A$5,$K$2=Data!$A$2),SUMIFS(Proventos!$H:$H,Proventos!$D:$D,"&gt;="&amp;CONCATENATE($K$6,"/",B39),Proventos!$D:$D,"&lt;"&amp;CONCATENATE($L$6,"/",B39),Proventos!$J:$J,"="&amp;$H$2),
AND($H$2=Data!$A$6,$K$2=Data!$A$2),SUMIFS(Proventos!$H:$H,Proventos!$D:$D,"&gt;="&amp;CONCATENATE($K$6,"/",B39),Proventos!$D:$D,"&lt;"&amp;CONCATENATE($L$6,"/",B39),Proventos!$J:$J,"="&amp;$H$2),
AND($H$2=Data!$A$7,$K$2=Data!$A$2),SUMIFS(Proventos!$H:$H,Proventos!$D:$D,"&gt;="&amp;CONCATENATE($K$6,"/",B39),Proventos!$D:$D,"&lt;"&amp;CONCATENATE($L$6,"/",B39),Proventos!$J:$J,"="&amp;$H$2),
AND($H$2=Data!$A$8,$K$2=Data!$A$2),SUMIFS(Proventos!$H:$H,Proventos!$D:$D,"&gt;="&amp;CONCATENATE($K$6,"/",B39),Proventos!$D:$D,"&lt;"&amp;CONCATENATE($L$6,"/",B39),Proventos!$J:$J,"="&amp;$H$2),
AND($H$2=Data!$A$9,$K$2=Data!$A$2),SUMIFS(Proventos!$H:$H,Proventos!$D:$D,"&gt;="&amp;CONCATENATE($K$6,"/",B39),Proventos!$D:$D,"&lt;"&amp;CONCATENATE($L$6,"/",B39),Proventos!$J:$J,"="&amp;$H$2),
AND($H$2=Data!$A$10,$K$2=Data!$A$2),SUMIFS(Proventos!$H:$H,Proventos!$D:$D,"&gt;="&amp;CONCATENATE($K$6,"/",B39),Proventos!$D:$D,"&lt;"&amp;CONCATENATE($L$6,"/",B39),Proventos!$J:$J,"="&amp;$H$2),
AND($H$2=Data!$A$11,$K$2=Data!$A$2),SUMIFS(Proventos!$H:$H,Proventos!$D:$D,"&gt;="&amp;CONCATENATE($K$6,"/",B39),Proventos!$D:$D,"&lt;"&amp;CONCATENATE($L$6,"/",B39),Proventos!$J:$J,"="&amp;$H$2),
$K$2=Data!$A$2,SUMIFS(Proventos!$H:$H,Proventos!$D:$D,"&gt;="&amp;CONCATENATE($K$6,"/",B39),Proventos!$D:$D,"&lt;"&amp;CONCATENATE($L$6,"/",B39)),
$K$2&lt;&gt;Data!$A$2,SUMIFS(Proventos!$H:$H,Proventos!$D:$D,"&gt;="&amp;CONCATENATE($K$6,"/",B39),Proventos!$D:$D,"&lt;"&amp;CONCATENATE($L$6,"/",B39),Proventos!$A:$A,"="&amp;$K$2))</f>
        <v>0</v>
      </c>
      <c r="L39" s="245">
        <f>IFS(
AND($H$2=Data!$A$3,$K$2=Data!$A$2),SUMIFS(Proventos!$H:$H,Proventos!$D:$D,"&gt;="&amp;CONCATENATE($L$6,"/",B39),Proventos!$D:$D,"&lt;"&amp;CONCATENATE($M$6,"/",B39),Proventos!$J:$J,"="&amp;$H$2),
AND($H$2=Data!$A$4,$K$2=Data!$A$2),SUMIFS(Proventos!$H:$H,Proventos!$D:$D,"&gt;="&amp;CONCATENATE($L$6,"/",B39),Proventos!$D:$D,"&lt;"&amp;CONCATENATE($M$6,"/",B39),Proventos!$J:$J,"="&amp;$H$2),
AND($H$2=Data!$A$5,$K$2=Data!$A$2),SUMIFS(Proventos!$H:$H,Proventos!$D:$D,"&gt;="&amp;CONCATENATE($L$6,"/",B39),Proventos!$D:$D,"&lt;"&amp;CONCATENATE($M$6,"/",B39),Proventos!$J:$J,"="&amp;$H$2),
AND($H$2=Data!$A$6,$K$2=Data!$A$2),SUMIFS(Proventos!$H:$H,Proventos!$D:$D,"&gt;="&amp;CONCATENATE($L$6,"/",B39),Proventos!$D:$D,"&lt;"&amp;CONCATENATE($M$6,"/",B39),Proventos!$J:$J,"="&amp;$H$2),
AND($H$2=Data!$A$7,$K$2=Data!$A$2),SUMIFS(Proventos!$H:$H,Proventos!$D:$D,"&gt;="&amp;CONCATENATE($L$6,"/",B39),Proventos!$D:$D,"&lt;"&amp;CONCATENATE($M$6,"/",B39),Proventos!$J:$J,"="&amp;$H$2),
AND($H$2=Data!$A$8,$K$2=Data!$A$2),SUMIFS(Proventos!$H:$H,Proventos!$D:$D,"&gt;="&amp;CONCATENATE($L$6,"/",B39),Proventos!$D:$D,"&lt;"&amp;CONCATENATE($M$6,"/",B39),Proventos!$J:$J,"="&amp;$H$2),
AND($H$2=Data!$A$9,$K$2=Data!$A$2),SUMIFS(Proventos!$H:$H,Proventos!$D:$D,"&gt;="&amp;CONCATENATE($L$6,"/",B39),Proventos!$D:$D,"&lt;"&amp;CONCATENATE($M$6,"/",B39),Proventos!$J:$J,"="&amp;$H$2),
AND($H$2=Data!$A$10,$K$2=Data!$A$2),SUMIFS(Proventos!$H:$H,Proventos!$D:$D,"&gt;="&amp;CONCATENATE($L$6,"/",B39),Proventos!$D:$D,"&lt;"&amp;CONCATENATE($M$6,"/",B39),Proventos!$J:$J,"="&amp;$H$2),
AND($H$2=Data!$A$11,$K$2=Data!$A$2),SUMIFS(Proventos!$H:$H,Proventos!$D:$D,"&gt;="&amp;CONCATENATE($L$6,"/",B39),Proventos!$D:$D,"&lt;"&amp;CONCATENATE($M$6,"/",B39),Proventos!$J:$J,"="&amp;$H$2),
$K$2=Data!$A$2,SUMIFS(Proventos!$H:$H,Proventos!$D:$D,"&gt;="&amp;CONCATENATE($L$6,"/",B39),Proventos!$D:$D,"&lt;"&amp;CONCATENATE($M$6,"/",B39)),
$K$2&lt;&gt;Data!$A$2,SUMIFS(Proventos!$H:$H,Proventos!$D:$D,"&gt;="&amp;CONCATENATE($L$6,"/",B39),Proventos!$D:$D,"&lt;"&amp;CONCATENATE($M$6,"/",B39),Proventos!$A:$A,"="&amp;$K$2))</f>
        <v>0</v>
      </c>
      <c r="M39" s="245">
        <f>IFS(
AND($H$2=Data!$A$3,$K$2=Data!$A$2),SUMIFS(Proventos!$H:$H,Proventos!$D:$D,"&gt;="&amp;CONCATENATE($M$6,"/",B39),Proventos!$D:$D,"&lt;"&amp;CONCATENATE($N$6,"/",B39),Proventos!$J:$J,"="&amp;$H$2),
AND($H$2=Data!$A$4,$K$2=Data!$A$2),SUMIFS(Proventos!$H:$H,Proventos!$D:$D,"&gt;="&amp;CONCATENATE($M$6,"/",B39),Proventos!$D:$D,"&lt;"&amp;CONCATENATE($N$6,"/",B39),Proventos!$J:$J,"="&amp;$H$2),
AND($H$2=Data!$A$5,$K$2=Data!$A$2),SUMIFS(Proventos!$H:$H,Proventos!$D:$D,"&gt;="&amp;CONCATENATE($M$6,"/",B39),Proventos!$D:$D,"&lt;"&amp;CONCATENATE($N$6,"/",B39),Proventos!$J:$J,"="&amp;$H$2),
AND($H$2=Data!$A$6,$K$2=Data!$A$2),SUMIFS(Proventos!$H:$H,Proventos!$D:$D,"&gt;="&amp;CONCATENATE($M$6,"/",B39),Proventos!$D:$D,"&lt;"&amp;CONCATENATE($N$6,"/",B39),Proventos!$J:$J,"="&amp;$H$2),
AND($H$2=Data!$A$7,$K$2=Data!$A$2),SUMIFS(Proventos!$H:$H,Proventos!$D:$D,"&gt;="&amp;CONCATENATE($M$6,"/",B39),Proventos!$D:$D,"&lt;"&amp;CONCATENATE($N$6,"/",B39),Proventos!$J:$J,"="&amp;$H$2),
AND($H$2=Data!$A$8,$K$2=Data!$A$2),SUMIFS(Proventos!$H:$H,Proventos!$D:$D,"&gt;="&amp;CONCATENATE($M$6,"/",B39),Proventos!$D:$D,"&lt;"&amp;CONCATENATE($N$6,"/",B39),Proventos!$J:$J,"="&amp;$H$2),
AND($H$2=Data!$A$9,$K$2=Data!$A$2),SUMIFS(Proventos!$H:$H,Proventos!$D:$D,"&gt;="&amp;CONCATENATE($M$6,"/",B39),Proventos!$D:$D,"&lt;"&amp;CONCATENATE($N$6,"/",B39),Proventos!$J:$J,"="&amp;$H$2),
AND($H$2=Data!$A$10,$K$2=Data!$A$2),SUMIFS(Proventos!$H:$H,Proventos!$D:$D,"&gt;="&amp;CONCATENATE($M$6,"/",B39),Proventos!$D:$D,"&lt;"&amp;CONCATENATE($N$6,"/",B39),Proventos!$J:$J,"="&amp;$H$2),
AND($H$2=Data!$A$11,$K$2=Data!$A$2),SUMIFS(Proventos!$H:$H,Proventos!$D:$D,"&gt;="&amp;CONCATENATE($M$6,"/",B39),Proventos!$D:$D,"&lt;"&amp;CONCATENATE($N$6,"/",B39),Proventos!$J:$J,"="&amp;$H$2),
$K$2=Data!$A$2,SUMIFS(Proventos!$H:$H,Proventos!$D:$D,"&gt;="&amp;CONCATENATE($M$6,"/",B39),Proventos!$D:$D,"&lt;"&amp;CONCATENATE($N$6,"/",B39)),
$K$2&lt;&gt;Data!$A$2,SUMIFS(Proventos!$H:$H,Proventos!$D:$D,"&gt;="&amp;CONCATENATE($M$6,"/",B39),Proventos!$D:$D,"&lt;"&amp;CONCATENATE($N$6,"/",B39),Proventos!$A:$A,"="&amp;$K$2))</f>
        <v>0</v>
      </c>
      <c r="N39" s="245">
        <f>IFS(
AND($H$2=Data!$A$3,$K$2=Data!$A$2),SUMIFS(Proventos!$H:$H,Proventos!$D:$D,"&gt;="&amp;CONCATENATE($N$6,"/",B39),Proventos!$D:$D,"&lt;"&amp;CONCATENATE($C$6,"/",B40),Proventos!$J:$J,"="&amp;$H$2),
AND($H$2=Data!$A$4,$K$2=Data!$A$2),SUMIFS(Proventos!$H:$H,Proventos!$D:$D,"&gt;="&amp;CONCATENATE($N$6,"/",B39),Proventos!$D:$D,"&lt;"&amp;CONCATENATE($C$6,"/",B40),Proventos!$J:$J,"="&amp;$H$2),
AND($H$2=Data!$A$5,$K$2=Data!$A$2),SUMIFS(Proventos!$H:$H,Proventos!$D:$D,"&gt;="&amp;CONCATENATE($N$6,"/",B39),Proventos!$D:$D,"&lt;"&amp;CONCATENATE($C$6,"/",B40),Proventos!$J:$J,"="&amp;$H$2),
AND($H$2=Data!$A$6,$K$2=Data!$A$2),SUMIFS(Proventos!$H:$H,Proventos!$D:$D,"&gt;="&amp;CONCATENATE($N$6,"/",B39),Proventos!$D:$D,"&lt;"&amp;CONCATENATE($C$6,"/",B40),Proventos!$J:$J,"="&amp;$H$2),
AND($H$2=Data!$A$7,$K$2=Data!$A$2),SUMIFS(Proventos!$H:$H,Proventos!$D:$D,"&gt;="&amp;CONCATENATE($N$6,"/",B39),Proventos!$D:$D,"&lt;"&amp;CONCATENATE($C$6,"/",B40),Proventos!$J:$J,"="&amp;$H$2),
AND($H$2=Data!$A$8,$K$2=Data!$A$2),SUMIFS(Proventos!$H:$H,Proventos!$D:$D,"&gt;="&amp;CONCATENATE($N$6,"/",B39),Proventos!$D:$D,"&lt;"&amp;CONCATENATE($C$6,"/",B40),Proventos!$J:$J,"="&amp;$H$2),
AND($H$2=Data!$A$9,$K$2=Data!$A$2),SUMIFS(Proventos!$H:$H,Proventos!$D:$D,"&gt;="&amp;CONCATENATE($N$6,"/",B39),Proventos!$D:$D,"&lt;"&amp;CONCATENATE($C$6,"/",B40),Proventos!$J:$J,"="&amp;$H$2),
AND($H$2=Data!$A$10,$K$2=Data!$A$2),SUMIFS(Proventos!$H:$H,Proventos!$D:$D,"&gt;="&amp;CONCATENATE($N$6,"/",B39),Proventos!$D:$D,"&lt;"&amp;CONCATENATE($C$6,"/",B40),Proventos!$J:$J,"="&amp;$H$2),
AND($H$2=Data!$A$11,$K$2=Data!$A$2),SUMIFS(Proventos!$H:$H,Proventos!$D:$D,"&gt;="&amp;CONCATENATE($N$6,"/",B39),Proventos!$D:$D,"&lt;"&amp;CONCATENATE($C$6,"/",B40),Proventos!$J:$J,"="&amp;$H$2),
$K$2=Data!$A$2,SUMIFS(Proventos!$H:$H,Proventos!$D:$D,"&gt;="&amp;CONCATENATE($N$6,"/",B39),Proventos!$D:$D,"&lt;"&amp;CONCATENATE($C$6,"/",B40)),
$K$2&lt;&gt;Data!$A$2,SUMIFS(Proventos!$H:$H,Proventos!$D:$D,"&gt;="&amp;CONCATENATE($N$6,"/",B39),Proventos!$D:$D,"&lt;"&amp;CONCATENATE($C$6,"/",B40),Proventos!$A:$A,"="&amp;$K$2))</f>
        <v>0</v>
      </c>
      <c r="O39" s="245"/>
      <c r="P39" s="245">
        <f t="shared" si="1"/>
        <v>0</v>
      </c>
      <c r="Q39" s="245">
        <f t="shared" si="2"/>
        <v>0</v>
      </c>
    </row>
    <row r="40" ht="32.25" customHeight="1">
      <c r="A40" s="230"/>
      <c r="B40" s="244"/>
      <c r="C40" s="245">
        <f>IFS(
AND($H$2=Data!$A$3,$K$2=Data!$A$2),SUMIFS(Proventos!$H:$H,Proventos!$D:$D,"&gt;="&amp;CONCATENATE($C$6,"/",B40),Proventos!$D:$D,"&lt;"&amp;CONCATENATE($D$6,"/",B40),Proventos!$J:$J,"="&amp;$H$2),
AND($H$2=Data!$A$4,$K$2=Data!$A$2),SUMIFS(Proventos!$H:$H,Proventos!$D:$D,"&gt;="&amp;CONCATENATE($C$6,"/",B40),Proventos!$D:$D,"&lt;"&amp;CONCATENATE($D$6,"/",B40),Proventos!$J:$J,"="&amp;$H$2),
AND($H$2=Data!$A$5,$K$2=Data!$A$2),SUMIFS(Proventos!$H:$H,Proventos!$D:$D,"&gt;="&amp;CONCATENATE($C$6,"/",B40),Proventos!$D:$D,"&lt;"&amp;CONCATENATE($D$6,"/",B40),Proventos!$J:$J,"="&amp;$H$2),
AND($H$2=Data!$A$6,$K$2=Data!$A$2),SUMIFS(Proventos!$H:$H,Proventos!$D:$D,"&gt;="&amp;CONCATENATE($C$6,"/",B40),Proventos!$D:$D,"&lt;"&amp;CONCATENATE($D$6,"/",B40),Proventos!$J:$J,"="&amp;$H$2),
AND($H$2=Data!$A$7,$K$2=Data!$A$2),SUMIFS(Proventos!$H:$H,Proventos!$D:$D,"&gt;="&amp;CONCATENATE($C$6,"/",B40),Proventos!$D:$D,"&lt;"&amp;CONCATENATE($D$6,"/",B40),Proventos!$J:$J,"="&amp;$H$2),
AND($H$2=Data!$A$8,$K$2=Data!$A$2),SUMIFS(Proventos!$H:$H,Proventos!$D:$D,"&gt;="&amp;CONCATENATE($C$6,"/",B40),Proventos!$D:$D,"&lt;"&amp;CONCATENATE($D$6,"/",B40),Proventos!$J:$J,"="&amp;$H$2),
AND($H$2=Data!$A$9,$K$2=Data!$A$2),SUMIFS(Proventos!$H:$H,Proventos!$D:$D,"&gt;="&amp;CONCATENATE($C$6,"/",B40),Proventos!$D:$D,"&lt;"&amp;CONCATENATE($D$6,"/",B40),Proventos!$J:$J,"="&amp;$H$2),
AND($H$2=Data!$A$10,$K$2=Data!$A$2),SUMIFS(Proventos!$H:$H,Proventos!$D:$D,"&gt;="&amp;CONCATENATE($C$6,"/",B40),Proventos!$D:$D,"&lt;"&amp;CONCATENATE($D$6,"/",B40),Proventos!$J:$J,"="&amp;$H$2),
AND($H$2=Data!$A$11,$K$2=Data!$A$2),SUMIFS(Proventos!$H:$H,Proventos!$D:$D,"&gt;="&amp;CONCATENATE($C$6,"/",B40),Proventos!$D:$D,"&lt;"&amp;CONCATENATE($D$6,"/",B40),Proventos!$J:$J,"="&amp;$H$2),
$K$2=Data!$A$2,SUMIFS(Proventos!$H:$H,Proventos!$D:$D,"&gt;="&amp;CONCATENATE($C$6,"/",B40),Proventos!$D:$D,"&lt;"&amp;CONCATENATE($D$6,"/",B40)),
$K$2&lt;&gt;Data!$A$2,SUMIFS(Proventos!$H:$H,Proventos!$D:$D,"&gt;="&amp;CONCATENATE($C$6,"/",B40),Proventos!$D:$D,"&lt;"&amp;CONCATENATE($D$6,"/",B40),Proventos!$A:$A,"="&amp;$K$2))</f>
        <v>0</v>
      </c>
      <c r="D40" s="245">
        <f>IFS(
AND($H$2=Data!$A$3,$K$2=Data!$A$2),SUMIFS(Proventos!$H:$H,Proventos!$D:$D,"&gt;="&amp;CONCATENATE($D$6,"/",B40),Proventos!$D:$D,"&lt;"&amp;CONCATENATE($E$6,"/",B40),Proventos!$J:$J,"="&amp;$H$2),
AND($H$2=Data!$A$4,$K$2=Data!$A$2),SUMIFS(Proventos!$H:$H,Proventos!$D:$D,"&gt;="&amp;CONCATENATE($D$6,"/",B40),Proventos!$D:$D,"&lt;"&amp;CONCATENATE($E$6,"/",B40),Proventos!$J:$J,"="&amp;$H$2),
AND($H$2=Data!$A$5,$K$2=Data!$A$2),SUMIFS(Proventos!$H:$H,Proventos!$D:$D,"&gt;="&amp;CONCATENATE($D$6,"/",B40),Proventos!$D:$D,"&lt;"&amp;CONCATENATE($E$6,"/",B40),Proventos!$J:$J,"="&amp;$H$2),
AND($H$2=Data!$A$6,$K$2=Data!$A$2),SUMIFS(Proventos!$H:$H,Proventos!$D:$D,"&gt;="&amp;CONCATENATE($D$6,"/",B40),Proventos!$D:$D,"&lt;"&amp;CONCATENATE($E$6,"/",B40),Proventos!$J:$J,"="&amp;$H$2),
AND($H$2=Data!$A$7,$K$2=Data!$A$2),SUMIFS(Proventos!$H:$H,Proventos!$D:$D,"&gt;="&amp;CONCATENATE($D$6,"/",B40),Proventos!$D:$D,"&lt;"&amp;CONCATENATE($E$6,"/",B40),Proventos!$J:$J,"="&amp;$H$2),
AND($H$2=Data!$A$8,$K$2=Data!$A$2),SUMIFS(Proventos!$H:$H,Proventos!$D:$D,"&gt;="&amp;CONCATENATE($D$6,"/",B40),Proventos!$D:$D,"&lt;"&amp;CONCATENATE($E$6,"/",B40),Proventos!$J:$J,"="&amp;$H$2),
AND($H$2=Data!$A$9,$K$2=Data!$A$2),SUMIFS(Proventos!$H:$H,Proventos!$D:$D,"&gt;="&amp;CONCATENATE($D$6,"/",B40),Proventos!$D:$D,"&lt;"&amp;CONCATENATE($E$6,"/",B40),Proventos!$J:$J,"="&amp;$H$2),
AND($H$2=Data!$A$10,$K$2=Data!$A$2),SUMIFS(Proventos!$H:$H,Proventos!$D:$D,"&gt;="&amp;CONCATENATE($D$6,"/",B40),Proventos!$D:$D,"&lt;"&amp;CONCATENATE($E$6,"/",B40),Proventos!$J:$J,"="&amp;$H$2),
AND($H$2=Data!$A$11,$K$2=Data!$A$2),SUMIFS(Proventos!$H:$H,Proventos!$D:$D,"&gt;="&amp;CONCATENATE($D$6,"/",B40),Proventos!$D:$D,"&lt;"&amp;CONCATENATE($E$6,"/",B40),Proventos!$J:$J,"="&amp;$H$2),
$K$2=Data!$A$2,SUMIFS(Proventos!$H:$H,Proventos!$D:$D,"&gt;="&amp;CONCATENATE($D$6,"/",B40),Proventos!$D:$D,"&lt;"&amp;CONCATENATE($E$6,"/",B40)),
$K$2&lt;&gt;Data!$A$2,SUMIFS(Proventos!$H:$H,Proventos!$D:$D,"&gt;="&amp;CONCATENATE($D$6,"/",B40),Proventos!$D:$D,"&lt;"&amp;CONCATENATE($E$6,"/",B40),Proventos!$A:$A,"="&amp;$K$2))</f>
        <v>0</v>
      </c>
      <c r="E40" s="245">
        <f>IFS(
AND($H$2=Data!$A$3,$K$2=Data!$A$2),SUMIFS(Proventos!$H:$H,Proventos!$D:$D,"&gt;="&amp;CONCATENATE($E$6,"/",B40),Proventos!$D:$D,"&lt;"&amp;CONCATENATE($F$6,"/",B40),Proventos!$J:$J,"="&amp;$H$2),
AND($H$2=Data!$A$4,$K$2=Data!$A$2),SUMIFS(Proventos!$H:$H,Proventos!$D:$D,"&gt;="&amp;CONCATENATE($E$6,"/",B40),Proventos!$D:$D,"&lt;"&amp;CONCATENATE($F$6,"/",B40),Proventos!$J:$J,"="&amp;$H$2),
AND($H$2=Data!$A$5,$K$2=Data!$A$2),SUMIFS(Proventos!$H:$H,Proventos!$D:$D,"&gt;="&amp;CONCATENATE($E$6,"/",B40),Proventos!$D:$D,"&lt;"&amp;CONCATENATE($F$6,"/",B40),Proventos!$J:$J,"="&amp;$H$2),
AND($H$2=Data!$A$6,$K$2=Data!$A$2),SUMIFS(Proventos!$H:$H,Proventos!$D:$D,"&gt;="&amp;CONCATENATE($E$6,"/",B40),Proventos!$D:$D,"&lt;"&amp;CONCATENATE($F$6,"/",B40),Proventos!$J:$J,"="&amp;$H$2),
AND($H$2=Data!$A$7,$K$2=Data!$A$2),SUMIFS(Proventos!$H:$H,Proventos!$D:$D,"&gt;="&amp;CONCATENATE($E$6,"/",B40),Proventos!$D:$D,"&lt;"&amp;CONCATENATE($F$6,"/",B40),Proventos!$J:$J,"="&amp;$H$2),
AND($H$2=Data!$A$8,$K$2=Data!$A$2),SUMIFS(Proventos!$H:$H,Proventos!$D:$D,"&gt;="&amp;CONCATENATE($E$6,"/",B40),Proventos!$D:$D,"&lt;"&amp;CONCATENATE($F$6,"/",B40),Proventos!$J:$J,"="&amp;$H$2),
AND($H$2=Data!$A$9,$K$2=Data!$A$2),SUMIFS(Proventos!$H:$H,Proventos!$D:$D,"&gt;="&amp;CONCATENATE($E$6,"/",B40),Proventos!$D:$D,"&lt;"&amp;CONCATENATE($F$6,"/",B40),Proventos!$J:$J,"="&amp;$H$2),
AND($H$2=Data!$A$10,$K$2=Data!$A$2),SUMIFS(Proventos!$H:$H,Proventos!$D:$D,"&gt;="&amp;CONCATENATE($E$6,"/",B40),Proventos!$D:$D,"&lt;"&amp;CONCATENATE($F$6,"/",B40),Proventos!$J:$J,"="&amp;$H$2),
AND($H$2=Data!$A$11,$K$2=Data!$A$2),SUMIFS(Proventos!$H:$H,Proventos!$D:$D,"&gt;="&amp;CONCATENATE($E$6,"/",B40),Proventos!$D:$D,"&lt;"&amp;CONCATENATE($F$6,"/",B40),Proventos!$J:$J,"="&amp;$H$2),
$K$2=Data!$A$2,SUMIFS(Proventos!$H:$H,Proventos!$D:$D,"&gt;="&amp;CONCATENATE($E$6,"/",B40),Proventos!$D:$D,"&lt;"&amp;CONCATENATE($F$6,"/",B40)),
$K$2&lt;&gt;Data!$A$2,SUMIFS(Proventos!$H:$H,Proventos!$D:$D,"&gt;="&amp;CONCATENATE($E$6,"/",B40),Proventos!$D:$D,"&lt;"&amp;CONCATENATE($F$6,"/",B40),Proventos!$A:$A,"="&amp;$K$2))</f>
        <v>0</v>
      </c>
      <c r="F40" s="245">
        <f>IFS(
AND($H$2=Data!$A$3,$K$2=Data!$A$2),SUMIFS(Proventos!$H:$H,Proventos!$D:$D,"&gt;="&amp;CONCATENATE($F$6,"/",B40),Proventos!$D:$D,"&lt;"&amp;CONCATENATE($G$6,"/",B40),Proventos!$J:$J,"="&amp;$H$2),
AND($H$2=Data!$A$4,$K$2=Data!$A$2),SUMIFS(Proventos!$H:$H,Proventos!$D:$D,"&gt;="&amp;CONCATENATE($F$6,"/",B40),Proventos!$D:$D,"&lt;"&amp;CONCATENATE($G$6,"/",B40),Proventos!$J:$J,"="&amp;$H$2),
AND($H$2=Data!$A$5,$K$2=Data!$A$2),SUMIFS(Proventos!$H:$H,Proventos!$D:$D,"&gt;="&amp;CONCATENATE($F$6,"/",B40),Proventos!$D:$D,"&lt;"&amp;CONCATENATE($G$6,"/",B40),Proventos!$J:$J,"="&amp;$H$2),
AND($H$2=Data!$A$6,$K$2=Data!$A$2),SUMIFS(Proventos!$H:$H,Proventos!$D:$D,"&gt;="&amp;CONCATENATE($F$6,"/",B40),Proventos!$D:$D,"&lt;"&amp;CONCATENATE($G$6,"/",B40),Proventos!$J:$J,"="&amp;$H$2),
AND($H$2=Data!$A$7,$K$2=Data!$A$2),SUMIFS(Proventos!$H:$H,Proventos!$D:$D,"&gt;="&amp;CONCATENATE($F$6,"/",B40),Proventos!$D:$D,"&lt;"&amp;CONCATENATE($G$6,"/",B40),Proventos!$J:$J,"="&amp;$H$2),
AND($H$2=Data!$A$8,$K$2=Data!$A$2),SUMIFS(Proventos!$H:$H,Proventos!$D:$D,"&gt;="&amp;CONCATENATE($F$6,"/",B40),Proventos!$D:$D,"&lt;"&amp;CONCATENATE($G$6,"/",B40),Proventos!$J:$J,"="&amp;$H$2),
AND($H$2=Data!$A$9,$K$2=Data!$A$2),SUMIFS(Proventos!$H:$H,Proventos!$D:$D,"&gt;="&amp;CONCATENATE($F$6,"/",B40),Proventos!$D:$D,"&lt;"&amp;CONCATENATE($G$6,"/",B40),Proventos!$J:$J,"="&amp;$H$2),
AND($H$2=Data!$A$10,$K$2=Data!$A$2),SUMIFS(Proventos!$H:$H,Proventos!$D:$D,"&gt;="&amp;CONCATENATE($F$6,"/",B40),Proventos!$D:$D,"&lt;"&amp;CONCATENATE($G$6,"/",B40),Proventos!$J:$J,"="&amp;$H$2),
AND($H$2=Data!$A$11,$K$2=Data!$A$2),SUMIFS(Proventos!$H:$H,Proventos!$D:$D,"&gt;="&amp;CONCATENATE($F$6,"/",B40),Proventos!$D:$D,"&lt;"&amp;CONCATENATE($G$6,"/",B40),Proventos!$J:$J,"="&amp;$H$2),
$K$2=Data!$A$2,SUMIFS(Proventos!$H:$H,Proventos!$D:$D,"&gt;="&amp;CONCATENATE($F$6,"/",B40),Proventos!$D:$D,"&lt;"&amp;CONCATENATE($G$6,"/",B40)),
$K$2&lt;&gt;Data!$A$2,SUMIFS(Proventos!$H:$H,Proventos!$D:$D,"&gt;="&amp;CONCATENATE($F$6,"/",B40),Proventos!$D:$D,"&lt;"&amp;CONCATENATE($G$6,"/",B40),Proventos!$A:$A,"="&amp;$K$2))</f>
        <v>0</v>
      </c>
      <c r="G40" s="245">
        <f>IFS(
AND($H$2=Data!$A$3,$K$2=Data!$A$2),SUMIFS(Proventos!$H:$H,Proventos!$D:$D,"&gt;="&amp;CONCATENATE($G$6,"/",B40),Proventos!$D:$D,"&lt;"&amp;CONCATENATE($H$6,"/",B40),Proventos!$J:$J,"="&amp;$H$2),
AND($H$2=Data!$A$4,$K$2=Data!$A$2),SUMIFS(Proventos!$H:$H,Proventos!$D:$D,"&gt;="&amp;CONCATENATE($G$6,"/",B40),Proventos!$D:$D,"&lt;"&amp;CONCATENATE($H$6,"/",B40),Proventos!$J:$J,"="&amp;$H$2),
AND($H$2=Data!$A$5,$K$2=Data!$A$2),SUMIFS(Proventos!$H:$H,Proventos!$D:$D,"&gt;="&amp;CONCATENATE($G$6,"/",B40),Proventos!$D:$D,"&lt;"&amp;CONCATENATE($H$6,"/",B40),Proventos!$J:$J,"="&amp;$H$2),
AND($H$2=Data!$A$6,$K$2=Data!$A$2),SUMIFS(Proventos!$H:$H,Proventos!$D:$D,"&gt;="&amp;CONCATENATE($G$6,"/",B40),Proventos!$D:$D,"&lt;"&amp;CONCATENATE($H$6,"/",B40),Proventos!$J:$J,"="&amp;$H$2),
AND($H$2=Data!$A$7,$K$2=Data!$A$2),SUMIFS(Proventos!$H:$H,Proventos!$D:$D,"&gt;="&amp;CONCATENATE($G$6,"/",B40),Proventos!$D:$D,"&lt;"&amp;CONCATENATE($H$6,"/",B40),Proventos!$J:$J,"="&amp;$H$2),
AND($H$2=Data!$A$8,$K$2=Data!$A$2),SUMIFS(Proventos!$H:$H,Proventos!$D:$D,"&gt;="&amp;CONCATENATE($G$6,"/",B40),Proventos!$D:$D,"&lt;"&amp;CONCATENATE($H$6,"/",B40),Proventos!$J:$J,"="&amp;$H$2),
AND($H$2=Data!$A$9,$K$2=Data!$A$2),SUMIFS(Proventos!$H:$H,Proventos!$D:$D,"&gt;="&amp;CONCATENATE($G$6,"/",B40),Proventos!$D:$D,"&lt;"&amp;CONCATENATE($H$6,"/",B40),Proventos!$J:$J,"="&amp;$H$2),
AND($H$2=Data!$A$10,$K$2=Data!$A$2),SUMIFS(Proventos!$H:$H,Proventos!$D:$D,"&gt;="&amp;CONCATENATE($G$6,"/",B40),Proventos!$D:$D,"&lt;"&amp;CONCATENATE($H$6,"/",B40),Proventos!$J:$J,"="&amp;$H$2),
AND($H$2=Data!$A$11,$K$2=Data!$A$2),SUMIFS(Proventos!$H:$H,Proventos!$D:$D,"&gt;="&amp;CONCATENATE($G$6,"/",B40),Proventos!$D:$D,"&lt;"&amp;CONCATENATE($H$6,"/",B40),Proventos!$J:$J,"="&amp;$H$2),
$K$2=Data!$A$2,SUMIFS(Proventos!$H:$H,Proventos!$D:$D,"&gt;="&amp;CONCATENATE($G$6,"/",B40),Proventos!$D:$D,"&lt;"&amp;CONCATENATE($H$6,"/",B40)),
$K$2&lt;&gt;Data!$A$2,SUMIFS(Proventos!$H:$H,Proventos!$D:$D,"&gt;="&amp;CONCATENATE($G$6,"/",B40),Proventos!$D:$D,"&lt;"&amp;CONCATENATE($H$6,"/",B40),Proventos!$A:$A,"="&amp;$K$2))</f>
        <v>0</v>
      </c>
      <c r="H40" s="245">
        <f>IFS(
AND($H$2=Data!$A$3,$K$2=Data!$A$2),SUMIFS(Proventos!$H:$H,Proventos!$D:$D,"&gt;="&amp;CONCATENATE($H$6,"/",B40),Proventos!$D:$D,"&lt;"&amp;CONCATENATE($I$6,"/",B40),Proventos!$J:$J,"="&amp;$H$2),
AND($H$2=Data!$A$4,$K$2=Data!$A$2),SUMIFS(Proventos!$H:$H,Proventos!$D:$D,"&gt;="&amp;CONCATENATE($H$6,"/",B40),Proventos!$D:$D,"&lt;"&amp;CONCATENATE($I$6,"/",B40),Proventos!$J:$J,"="&amp;$H$2),
AND($H$2=Data!$A$5,$K$2=Data!$A$2),SUMIFS(Proventos!$H:$H,Proventos!$D:$D,"&gt;="&amp;CONCATENATE($H$6,"/",B40),Proventos!$D:$D,"&lt;"&amp;CONCATENATE($I$6,"/",B40),Proventos!$J:$J,"="&amp;$H$2),
AND($H$2=Data!$A$6,$K$2=Data!$A$2),SUMIFS(Proventos!$H:$H,Proventos!$D:$D,"&gt;="&amp;CONCATENATE($H$6,"/",B40),Proventos!$D:$D,"&lt;"&amp;CONCATENATE($I$6,"/",B40),Proventos!$J:$J,"="&amp;$H$2),
AND($H$2=Data!$A$7,$K$2=Data!$A$2),SUMIFS(Proventos!$H:$H,Proventos!$D:$D,"&gt;="&amp;CONCATENATE($H$6,"/",B40),Proventos!$D:$D,"&lt;"&amp;CONCATENATE($I$6,"/",B40),Proventos!$J:$J,"="&amp;$H$2),
AND($H$2=Data!$A$8,$K$2=Data!$A$2),SUMIFS(Proventos!$H:$H,Proventos!$D:$D,"&gt;="&amp;CONCATENATE($H$6,"/",B40),Proventos!$D:$D,"&lt;"&amp;CONCATENATE($I$6,"/",B40),Proventos!$J:$J,"="&amp;$H$2),
AND($H$2=Data!$A$9,$K$2=Data!$A$2),SUMIFS(Proventos!$H:$H,Proventos!$D:$D,"&gt;="&amp;CONCATENATE($H$6,"/",B40),Proventos!$D:$D,"&lt;"&amp;CONCATENATE($I$6,"/",B40),Proventos!$J:$J,"="&amp;$H$2),
AND($H$2=Data!$A$10,$K$2=Data!$A$2),SUMIFS(Proventos!$H:$H,Proventos!$D:$D,"&gt;="&amp;CONCATENATE($H$6,"/",B40),Proventos!$D:$D,"&lt;"&amp;CONCATENATE($I$6,"/",B40),Proventos!$J:$J,"="&amp;$H$2),
AND($H$2=Data!$A$11,$K$2=Data!$A$2),SUMIFS(Proventos!$H:$H,Proventos!$D:$D,"&gt;="&amp;CONCATENATE($H$6,"/",B40),Proventos!$D:$D,"&lt;"&amp;CONCATENATE($I$6,"/",B40),Proventos!$J:$J,"="&amp;$H$2),
$K$2=Data!$A$2,SUMIFS(Proventos!$H:$H,Proventos!$D:$D,"&gt;="&amp;CONCATENATE($H$6,"/",B40),Proventos!$D:$D,"&lt;"&amp;CONCATENATE($I$6,"/",B40)),
$K$2&lt;&gt;Data!$A$2,SUMIFS(Proventos!$H:$H,Proventos!$D:$D,"&gt;="&amp;CONCATENATE($H$6,"/",B40),Proventos!$D:$D,"&lt;"&amp;CONCATENATE($I$6,"/",B40),Proventos!$A:$A,"="&amp;$K$2))</f>
        <v>0</v>
      </c>
      <c r="I40" s="245">
        <f>IFS(
AND($H$2=Data!$A$3,$K$2=Data!$A$2),SUMIFS(Proventos!$H:$H,Proventos!$D:$D,"&gt;="&amp;CONCATENATE($I$6,"/",B40),Proventos!$D:$D,"&lt;"&amp;CONCATENATE($J$6,"/",B40),Proventos!$J:$J,"="&amp;$H$2),
AND($H$2=Data!$A$4,$K$2=Data!$A$2),SUMIFS(Proventos!$H:$H,Proventos!$D:$D,"&gt;="&amp;CONCATENATE($I$6,"/",B40),Proventos!$D:$D,"&lt;"&amp;CONCATENATE($J$6,"/",B40),Proventos!$J:$J,"="&amp;$H$2),
AND($H$2=Data!$A$5,$K$2=Data!$A$2),SUMIFS(Proventos!$H:$H,Proventos!$D:$D,"&gt;="&amp;CONCATENATE($I$6,"/",B40),Proventos!$D:$D,"&lt;"&amp;CONCATENATE($J$6,"/",B40),Proventos!$J:$J,"="&amp;$H$2),
AND($H$2=Data!$A$6,$K$2=Data!$A$2),SUMIFS(Proventos!$H:$H,Proventos!$D:$D,"&gt;="&amp;CONCATENATE($I$6,"/",B40),Proventos!$D:$D,"&lt;"&amp;CONCATENATE($J$6,"/",B40),Proventos!$J:$J,"="&amp;$H$2),
AND($H$2=Data!$A$7,$K$2=Data!$A$2),SUMIFS(Proventos!$H:$H,Proventos!$D:$D,"&gt;="&amp;CONCATENATE($I$6,"/",B40),Proventos!$D:$D,"&lt;"&amp;CONCATENATE($J$6,"/",B40),Proventos!$J:$J,"="&amp;$H$2),
AND($H$2=Data!$A$8,$K$2=Data!$A$2),SUMIFS(Proventos!$H:$H,Proventos!$D:$D,"&gt;="&amp;CONCATENATE($I$6,"/",B40),Proventos!$D:$D,"&lt;"&amp;CONCATENATE($J$6,"/",B40),Proventos!$J:$J,"="&amp;$H$2),
AND($H$2=Data!$A$9,$K$2=Data!$A$2),SUMIFS(Proventos!$H:$H,Proventos!$D:$D,"&gt;="&amp;CONCATENATE($I$6,"/",B40),Proventos!$D:$D,"&lt;"&amp;CONCATENATE($J$6,"/",B40),Proventos!$J:$J,"="&amp;$H$2),
AND($H$2=Data!$A$10,$K$2=Data!$A$2),SUMIFS(Proventos!$H:$H,Proventos!$D:$D,"&gt;="&amp;CONCATENATE($I$6,"/",B40),Proventos!$D:$D,"&lt;"&amp;CONCATENATE($J$6,"/",B40),Proventos!$J:$J,"="&amp;$H$2),
AND($H$2=Data!$A$11,$K$2=Data!$A$2),SUMIFS(Proventos!$H:$H,Proventos!$D:$D,"&gt;="&amp;CONCATENATE($I$6,"/",B40),Proventos!$D:$D,"&lt;"&amp;CONCATENATE($J$6,"/",B40),Proventos!$J:$J,"="&amp;$H$2),
$K$2=Data!$A$2,SUMIFS(Proventos!$H:$H,Proventos!$D:$D,"&gt;="&amp;CONCATENATE($I$6,"/",B40),Proventos!$D:$D,"&lt;"&amp;CONCATENATE($J$6,"/",B40)),
$K$2&lt;&gt;Data!$A$2,SUMIFS(Proventos!$H:$H,Proventos!$D:$D,"&gt;="&amp;CONCATENATE($I$6,"/",B40),Proventos!$D:$D,"&lt;"&amp;CONCATENATE($J$6,"/",B40),Proventos!$A:$A,"="&amp;$K$2))</f>
        <v>0</v>
      </c>
      <c r="J40" s="245">
        <f>IFS(
AND($H$2=Data!$A$3,$K$2=Data!$A$2),SUMIFS(Proventos!$H:$H,Proventos!$D:$D,"&gt;="&amp;CONCATENATE($J$6,"/",B40),Proventos!$D:$D,"&lt;"&amp;CONCATENATE($K$6,"/",B40),Proventos!$J:$J,"="&amp;$H$2),
AND($H$2=Data!$A$4,$K$2=Data!$A$2),SUMIFS(Proventos!$H:$H,Proventos!$D:$D,"&gt;="&amp;CONCATENATE($J$6,"/",B40),Proventos!$D:$D,"&lt;"&amp;CONCATENATE($K$6,"/",B40),Proventos!$J:$J,"="&amp;$H$2),
AND($H$2=Data!$A$5,$K$2=Data!$A$2),SUMIFS(Proventos!$H:$H,Proventos!$D:$D,"&gt;="&amp;CONCATENATE($J$6,"/",B40),Proventos!$D:$D,"&lt;"&amp;CONCATENATE($K$6,"/",B40),Proventos!$J:$J,"="&amp;$H$2),
AND($H$2=Data!$A$6,$K$2=Data!$A$2),SUMIFS(Proventos!$H:$H,Proventos!$D:$D,"&gt;="&amp;CONCATENATE($J$6,"/",B40),Proventos!$D:$D,"&lt;"&amp;CONCATENATE($K$6,"/",B40),Proventos!$J:$J,"="&amp;$H$2),
AND($H$2=Data!$A$7,$K$2=Data!$A$2),SUMIFS(Proventos!$H:$H,Proventos!$D:$D,"&gt;="&amp;CONCATENATE($J$6,"/",B40),Proventos!$D:$D,"&lt;"&amp;CONCATENATE($K$6,"/",B40),Proventos!$J:$J,"="&amp;$H$2),
AND($H$2=Data!$A$8,$K$2=Data!$A$2),SUMIFS(Proventos!$H:$H,Proventos!$D:$D,"&gt;="&amp;CONCATENATE($J$6,"/",B40),Proventos!$D:$D,"&lt;"&amp;CONCATENATE($K$6,"/",B40),Proventos!$J:$J,"="&amp;$H$2),
AND($H$2=Data!$A$9,$K$2=Data!$A$2),SUMIFS(Proventos!$H:$H,Proventos!$D:$D,"&gt;="&amp;CONCATENATE($J$6,"/",B40),Proventos!$D:$D,"&lt;"&amp;CONCATENATE($K$6,"/",B40),Proventos!$J:$J,"="&amp;$H$2),
AND($H$2=Data!$A$10,$K$2=Data!$A$2),SUMIFS(Proventos!$H:$H,Proventos!$D:$D,"&gt;="&amp;CONCATENATE($J$6,"/",B40),Proventos!$D:$D,"&lt;"&amp;CONCATENATE($K$6,"/",B40),Proventos!$J:$J,"="&amp;$H$2),
AND($H$2=Data!$A$11,$K$2=Data!$A$2),SUMIFS(Proventos!$H:$H,Proventos!$D:$D,"&gt;="&amp;CONCATENATE($J$6,"/",B40),Proventos!$D:$D,"&lt;"&amp;CONCATENATE($K$6,"/",B40),Proventos!$J:$J,"="&amp;$H$2),
$K$2=Data!$A$2,SUMIFS(Proventos!$H:$H,Proventos!$D:$D,"&gt;="&amp;CONCATENATE($J$6,"/",B40),Proventos!$D:$D,"&lt;"&amp;CONCATENATE($K$6,"/",B40)),
$K$2&lt;&gt;Data!$A$2,SUMIFS(Proventos!$H:$H,Proventos!$D:$D,"&gt;="&amp;CONCATENATE($J$6,"/",B40),Proventos!$D:$D,"&lt;"&amp;CONCATENATE($K$6,"/",B40),Proventos!$A:$A,"="&amp;$K$2))</f>
        <v>0</v>
      </c>
      <c r="K40" s="245">
        <f>IFS(
AND($H$2=Data!$A$3,$K$2=Data!$A$2),SUMIFS(Proventos!$H:$H,Proventos!$D:$D,"&gt;="&amp;CONCATENATE($K$6,"/",B40),Proventos!$D:$D,"&lt;"&amp;CONCATENATE($L$6,"/",B40),Proventos!$J:$J,"="&amp;$H$2),
AND($H$2=Data!$A$4,$K$2=Data!$A$2),SUMIFS(Proventos!$H:$H,Proventos!$D:$D,"&gt;="&amp;CONCATENATE($K$6,"/",B40),Proventos!$D:$D,"&lt;"&amp;CONCATENATE($L$6,"/",B40),Proventos!$J:$J,"="&amp;$H$2),
AND($H$2=Data!$A$5,$K$2=Data!$A$2),SUMIFS(Proventos!$H:$H,Proventos!$D:$D,"&gt;="&amp;CONCATENATE($K$6,"/",B40),Proventos!$D:$D,"&lt;"&amp;CONCATENATE($L$6,"/",B40),Proventos!$J:$J,"="&amp;$H$2),
AND($H$2=Data!$A$6,$K$2=Data!$A$2),SUMIFS(Proventos!$H:$H,Proventos!$D:$D,"&gt;="&amp;CONCATENATE($K$6,"/",B40),Proventos!$D:$D,"&lt;"&amp;CONCATENATE($L$6,"/",B40),Proventos!$J:$J,"="&amp;$H$2),
AND($H$2=Data!$A$7,$K$2=Data!$A$2),SUMIFS(Proventos!$H:$H,Proventos!$D:$D,"&gt;="&amp;CONCATENATE($K$6,"/",B40),Proventos!$D:$D,"&lt;"&amp;CONCATENATE($L$6,"/",B40),Proventos!$J:$J,"="&amp;$H$2),
AND($H$2=Data!$A$8,$K$2=Data!$A$2),SUMIFS(Proventos!$H:$H,Proventos!$D:$D,"&gt;="&amp;CONCATENATE($K$6,"/",B40),Proventos!$D:$D,"&lt;"&amp;CONCATENATE($L$6,"/",B40),Proventos!$J:$J,"="&amp;$H$2),
AND($H$2=Data!$A$9,$K$2=Data!$A$2),SUMIFS(Proventos!$H:$H,Proventos!$D:$D,"&gt;="&amp;CONCATENATE($K$6,"/",B40),Proventos!$D:$D,"&lt;"&amp;CONCATENATE($L$6,"/",B40),Proventos!$J:$J,"="&amp;$H$2),
AND($H$2=Data!$A$10,$K$2=Data!$A$2),SUMIFS(Proventos!$H:$H,Proventos!$D:$D,"&gt;="&amp;CONCATENATE($K$6,"/",B40),Proventos!$D:$D,"&lt;"&amp;CONCATENATE($L$6,"/",B40),Proventos!$J:$J,"="&amp;$H$2),
AND($H$2=Data!$A$11,$K$2=Data!$A$2),SUMIFS(Proventos!$H:$H,Proventos!$D:$D,"&gt;="&amp;CONCATENATE($K$6,"/",B40),Proventos!$D:$D,"&lt;"&amp;CONCATENATE($L$6,"/",B40),Proventos!$J:$J,"="&amp;$H$2),
$K$2=Data!$A$2,SUMIFS(Proventos!$H:$H,Proventos!$D:$D,"&gt;="&amp;CONCATENATE($K$6,"/",B40),Proventos!$D:$D,"&lt;"&amp;CONCATENATE($L$6,"/",B40)),
$K$2&lt;&gt;Data!$A$2,SUMIFS(Proventos!$H:$H,Proventos!$D:$D,"&gt;="&amp;CONCATENATE($K$6,"/",B40),Proventos!$D:$D,"&lt;"&amp;CONCATENATE($L$6,"/",B40),Proventos!$A:$A,"="&amp;$K$2))</f>
        <v>0</v>
      </c>
      <c r="L40" s="245">
        <f>IFS(
AND($H$2=Data!$A$3,$K$2=Data!$A$2),SUMIFS(Proventos!$H:$H,Proventos!$D:$D,"&gt;="&amp;CONCATENATE($L$6,"/",B40),Proventos!$D:$D,"&lt;"&amp;CONCATENATE($M$6,"/",B40),Proventos!$J:$J,"="&amp;$H$2),
AND($H$2=Data!$A$4,$K$2=Data!$A$2),SUMIFS(Proventos!$H:$H,Proventos!$D:$D,"&gt;="&amp;CONCATENATE($L$6,"/",B40),Proventos!$D:$D,"&lt;"&amp;CONCATENATE($M$6,"/",B40),Proventos!$J:$J,"="&amp;$H$2),
AND($H$2=Data!$A$5,$K$2=Data!$A$2),SUMIFS(Proventos!$H:$H,Proventos!$D:$D,"&gt;="&amp;CONCATENATE($L$6,"/",B40),Proventos!$D:$D,"&lt;"&amp;CONCATENATE($M$6,"/",B40),Proventos!$J:$J,"="&amp;$H$2),
AND($H$2=Data!$A$6,$K$2=Data!$A$2),SUMIFS(Proventos!$H:$H,Proventos!$D:$D,"&gt;="&amp;CONCATENATE($L$6,"/",B40),Proventos!$D:$D,"&lt;"&amp;CONCATENATE($M$6,"/",B40),Proventos!$J:$J,"="&amp;$H$2),
AND($H$2=Data!$A$7,$K$2=Data!$A$2),SUMIFS(Proventos!$H:$H,Proventos!$D:$D,"&gt;="&amp;CONCATENATE($L$6,"/",B40),Proventos!$D:$D,"&lt;"&amp;CONCATENATE($M$6,"/",B40),Proventos!$J:$J,"="&amp;$H$2),
AND($H$2=Data!$A$8,$K$2=Data!$A$2),SUMIFS(Proventos!$H:$H,Proventos!$D:$D,"&gt;="&amp;CONCATENATE($L$6,"/",B40),Proventos!$D:$D,"&lt;"&amp;CONCATENATE($M$6,"/",B40),Proventos!$J:$J,"="&amp;$H$2),
AND($H$2=Data!$A$9,$K$2=Data!$A$2),SUMIFS(Proventos!$H:$H,Proventos!$D:$D,"&gt;="&amp;CONCATENATE($L$6,"/",B40),Proventos!$D:$D,"&lt;"&amp;CONCATENATE($M$6,"/",B40),Proventos!$J:$J,"="&amp;$H$2),
AND($H$2=Data!$A$10,$K$2=Data!$A$2),SUMIFS(Proventos!$H:$H,Proventos!$D:$D,"&gt;="&amp;CONCATENATE($L$6,"/",B40),Proventos!$D:$D,"&lt;"&amp;CONCATENATE($M$6,"/",B40),Proventos!$J:$J,"="&amp;$H$2),
AND($H$2=Data!$A$11,$K$2=Data!$A$2),SUMIFS(Proventos!$H:$H,Proventos!$D:$D,"&gt;="&amp;CONCATENATE($L$6,"/",B40),Proventos!$D:$D,"&lt;"&amp;CONCATENATE($M$6,"/",B40),Proventos!$J:$J,"="&amp;$H$2),
$K$2=Data!$A$2,SUMIFS(Proventos!$H:$H,Proventos!$D:$D,"&gt;="&amp;CONCATENATE($L$6,"/",B40),Proventos!$D:$D,"&lt;"&amp;CONCATENATE($M$6,"/",B40)),
$K$2&lt;&gt;Data!$A$2,SUMIFS(Proventos!$H:$H,Proventos!$D:$D,"&gt;="&amp;CONCATENATE($L$6,"/",B40),Proventos!$D:$D,"&lt;"&amp;CONCATENATE($M$6,"/",B40),Proventos!$A:$A,"="&amp;$K$2))</f>
        <v>0</v>
      </c>
      <c r="M40" s="245">
        <f>IFS(
AND($H$2=Data!$A$3,$K$2=Data!$A$2),SUMIFS(Proventos!$H:$H,Proventos!$D:$D,"&gt;="&amp;CONCATENATE($M$6,"/",B40),Proventos!$D:$D,"&lt;"&amp;CONCATENATE($N$6,"/",B40),Proventos!$J:$J,"="&amp;$H$2),
AND($H$2=Data!$A$4,$K$2=Data!$A$2),SUMIFS(Proventos!$H:$H,Proventos!$D:$D,"&gt;="&amp;CONCATENATE($M$6,"/",B40),Proventos!$D:$D,"&lt;"&amp;CONCATENATE($N$6,"/",B40),Proventos!$J:$J,"="&amp;$H$2),
AND($H$2=Data!$A$5,$K$2=Data!$A$2),SUMIFS(Proventos!$H:$H,Proventos!$D:$D,"&gt;="&amp;CONCATENATE($M$6,"/",B40),Proventos!$D:$D,"&lt;"&amp;CONCATENATE($N$6,"/",B40),Proventos!$J:$J,"="&amp;$H$2),
AND($H$2=Data!$A$6,$K$2=Data!$A$2),SUMIFS(Proventos!$H:$H,Proventos!$D:$D,"&gt;="&amp;CONCATENATE($M$6,"/",B40),Proventos!$D:$D,"&lt;"&amp;CONCATENATE($N$6,"/",B40),Proventos!$J:$J,"="&amp;$H$2),
AND($H$2=Data!$A$7,$K$2=Data!$A$2),SUMIFS(Proventos!$H:$H,Proventos!$D:$D,"&gt;="&amp;CONCATENATE($M$6,"/",B40),Proventos!$D:$D,"&lt;"&amp;CONCATENATE($N$6,"/",B40),Proventos!$J:$J,"="&amp;$H$2),
AND($H$2=Data!$A$8,$K$2=Data!$A$2),SUMIFS(Proventos!$H:$H,Proventos!$D:$D,"&gt;="&amp;CONCATENATE($M$6,"/",B40),Proventos!$D:$D,"&lt;"&amp;CONCATENATE($N$6,"/",B40),Proventos!$J:$J,"="&amp;$H$2),
AND($H$2=Data!$A$9,$K$2=Data!$A$2),SUMIFS(Proventos!$H:$H,Proventos!$D:$D,"&gt;="&amp;CONCATENATE($M$6,"/",B40),Proventos!$D:$D,"&lt;"&amp;CONCATENATE($N$6,"/",B40),Proventos!$J:$J,"="&amp;$H$2),
AND($H$2=Data!$A$10,$K$2=Data!$A$2),SUMIFS(Proventos!$H:$H,Proventos!$D:$D,"&gt;="&amp;CONCATENATE($M$6,"/",B40),Proventos!$D:$D,"&lt;"&amp;CONCATENATE($N$6,"/",B40),Proventos!$J:$J,"="&amp;$H$2),
AND($H$2=Data!$A$11,$K$2=Data!$A$2),SUMIFS(Proventos!$H:$H,Proventos!$D:$D,"&gt;="&amp;CONCATENATE($M$6,"/",B40),Proventos!$D:$D,"&lt;"&amp;CONCATENATE($N$6,"/",B40),Proventos!$J:$J,"="&amp;$H$2),
$K$2=Data!$A$2,SUMIFS(Proventos!$H:$H,Proventos!$D:$D,"&gt;="&amp;CONCATENATE($M$6,"/",B40),Proventos!$D:$D,"&lt;"&amp;CONCATENATE($N$6,"/",B40)),
$K$2&lt;&gt;Data!$A$2,SUMIFS(Proventos!$H:$H,Proventos!$D:$D,"&gt;="&amp;CONCATENATE($M$6,"/",B40),Proventos!$D:$D,"&lt;"&amp;CONCATENATE($N$6,"/",B40),Proventos!$A:$A,"="&amp;$K$2))</f>
        <v>0</v>
      </c>
      <c r="N40" s="245">
        <f>IFS(
AND($H$2=Data!$A$3,$K$2=Data!$A$2),SUMIFS(Proventos!$H:$H,Proventos!$D:$D,"&gt;="&amp;CONCATENATE($N$6,"/",B40),Proventos!$D:$D,"&lt;"&amp;CONCATENATE($C$6,"/",B41),Proventos!$J:$J,"="&amp;$H$2),
AND($H$2=Data!$A$4,$K$2=Data!$A$2),SUMIFS(Proventos!$H:$H,Proventos!$D:$D,"&gt;="&amp;CONCATENATE($N$6,"/",B40),Proventos!$D:$D,"&lt;"&amp;CONCATENATE($C$6,"/",B41),Proventos!$J:$J,"="&amp;$H$2),
AND($H$2=Data!$A$5,$K$2=Data!$A$2),SUMIFS(Proventos!$H:$H,Proventos!$D:$D,"&gt;="&amp;CONCATENATE($N$6,"/",B40),Proventos!$D:$D,"&lt;"&amp;CONCATENATE($C$6,"/",B41),Proventos!$J:$J,"="&amp;$H$2),
AND($H$2=Data!$A$6,$K$2=Data!$A$2),SUMIFS(Proventos!$H:$H,Proventos!$D:$D,"&gt;="&amp;CONCATENATE($N$6,"/",B40),Proventos!$D:$D,"&lt;"&amp;CONCATENATE($C$6,"/",B41),Proventos!$J:$J,"="&amp;$H$2),
AND($H$2=Data!$A$7,$K$2=Data!$A$2),SUMIFS(Proventos!$H:$H,Proventos!$D:$D,"&gt;="&amp;CONCATENATE($N$6,"/",B40),Proventos!$D:$D,"&lt;"&amp;CONCATENATE($C$6,"/",B41),Proventos!$J:$J,"="&amp;$H$2),
AND($H$2=Data!$A$8,$K$2=Data!$A$2),SUMIFS(Proventos!$H:$H,Proventos!$D:$D,"&gt;="&amp;CONCATENATE($N$6,"/",B40),Proventos!$D:$D,"&lt;"&amp;CONCATENATE($C$6,"/",B41),Proventos!$J:$J,"="&amp;$H$2),
AND($H$2=Data!$A$9,$K$2=Data!$A$2),SUMIFS(Proventos!$H:$H,Proventos!$D:$D,"&gt;="&amp;CONCATENATE($N$6,"/",B40),Proventos!$D:$D,"&lt;"&amp;CONCATENATE($C$6,"/",B41),Proventos!$J:$J,"="&amp;$H$2),
AND($H$2=Data!$A$10,$K$2=Data!$A$2),SUMIFS(Proventos!$H:$H,Proventos!$D:$D,"&gt;="&amp;CONCATENATE($N$6,"/",B40),Proventos!$D:$D,"&lt;"&amp;CONCATENATE($C$6,"/",B41),Proventos!$J:$J,"="&amp;$H$2),
AND($H$2=Data!$A$11,$K$2=Data!$A$2),SUMIFS(Proventos!$H:$H,Proventos!$D:$D,"&gt;="&amp;CONCATENATE($N$6,"/",B40),Proventos!$D:$D,"&lt;"&amp;CONCATENATE($C$6,"/",B41),Proventos!$J:$J,"="&amp;$H$2),
$K$2=Data!$A$2,SUMIFS(Proventos!$H:$H,Proventos!$D:$D,"&gt;="&amp;CONCATENATE($N$6,"/",B40),Proventos!$D:$D,"&lt;"&amp;CONCATENATE($C$6,"/",B41)),
$K$2&lt;&gt;Data!$A$2,SUMIFS(Proventos!$H:$H,Proventos!$D:$D,"&gt;="&amp;CONCATENATE($N$6,"/",B40),Proventos!$D:$D,"&lt;"&amp;CONCATENATE($C$6,"/",B41),Proventos!$A:$A,"="&amp;$K$2))</f>
        <v>0</v>
      </c>
      <c r="O40" s="245"/>
      <c r="P40" s="245">
        <f t="shared" si="1"/>
        <v>0</v>
      </c>
      <c r="Q40" s="245">
        <f t="shared" si="2"/>
        <v>0</v>
      </c>
    </row>
    <row r="41" ht="32.25" customHeight="1">
      <c r="A41" s="230"/>
      <c r="B41" s="244"/>
      <c r="C41" s="245">
        <f>IFS(
AND($H$2=Data!$A$3,$K$2=Data!$A$2),SUMIFS(Proventos!$H:$H,Proventos!$D:$D,"&gt;="&amp;CONCATENATE($C$6,"/",B41),Proventos!$D:$D,"&lt;"&amp;CONCATENATE($D$6,"/",B41),Proventos!$J:$J,"="&amp;$H$2),
AND($H$2=Data!$A$4,$K$2=Data!$A$2),SUMIFS(Proventos!$H:$H,Proventos!$D:$D,"&gt;="&amp;CONCATENATE($C$6,"/",B41),Proventos!$D:$D,"&lt;"&amp;CONCATENATE($D$6,"/",B41),Proventos!$J:$J,"="&amp;$H$2),
AND($H$2=Data!$A$5,$K$2=Data!$A$2),SUMIFS(Proventos!$H:$H,Proventos!$D:$D,"&gt;="&amp;CONCATENATE($C$6,"/",B41),Proventos!$D:$D,"&lt;"&amp;CONCATENATE($D$6,"/",B41),Proventos!$J:$J,"="&amp;$H$2),
AND($H$2=Data!$A$6,$K$2=Data!$A$2),SUMIFS(Proventos!$H:$H,Proventos!$D:$D,"&gt;="&amp;CONCATENATE($C$6,"/",B41),Proventos!$D:$D,"&lt;"&amp;CONCATENATE($D$6,"/",B41),Proventos!$J:$J,"="&amp;$H$2),
AND($H$2=Data!$A$7,$K$2=Data!$A$2),SUMIFS(Proventos!$H:$H,Proventos!$D:$D,"&gt;="&amp;CONCATENATE($C$6,"/",B41),Proventos!$D:$D,"&lt;"&amp;CONCATENATE($D$6,"/",B41),Proventos!$J:$J,"="&amp;$H$2),
AND($H$2=Data!$A$8,$K$2=Data!$A$2),SUMIFS(Proventos!$H:$H,Proventos!$D:$D,"&gt;="&amp;CONCATENATE($C$6,"/",B41),Proventos!$D:$D,"&lt;"&amp;CONCATENATE($D$6,"/",B41),Proventos!$J:$J,"="&amp;$H$2),
AND($H$2=Data!$A$9,$K$2=Data!$A$2),SUMIFS(Proventos!$H:$H,Proventos!$D:$D,"&gt;="&amp;CONCATENATE($C$6,"/",B41),Proventos!$D:$D,"&lt;"&amp;CONCATENATE($D$6,"/",B41),Proventos!$J:$J,"="&amp;$H$2),
AND($H$2=Data!$A$10,$K$2=Data!$A$2),SUMIFS(Proventos!$H:$H,Proventos!$D:$D,"&gt;="&amp;CONCATENATE($C$6,"/",B41),Proventos!$D:$D,"&lt;"&amp;CONCATENATE($D$6,"/",B41),Proventos!$J:$J,"="&amp;$H$2),
AND($H$2=Data!$A$11,$K$2=Data!$A$2),SUMIFS(Proventos!$H:$H,Proventos!$D:$D,"&gt;="&amp;CONCATENATE($C$6,"/",B41),Proventos!$D:$D,"&lt;"&amp;CONCATENATE($D$6,"/",B41),Proventos!$J:$J,"="&amp;$H$2),
$K$2=Data!$A$2,SUMIFS(Proventos!$H:$H,Proventos!$D:$D,"&gt;="&amp;CONCATENATE($C$6,"/",B41),Proventos!$D:$D,"&lt;"&amp;CONCATENATE($D$6,"/",B41)),
$K$2&lt;&gt;Data!$A$2,SUMIFS(Proventos!$H:$H,Proventos!$D:$D,"&gt;="&amp;CONCATENATE($C$6,"/",B41),Proventos!$D:$D,"&lt;"&amp;CONCATENATE($D$6,"/",B41),Proventos!$A:$A,"="&amp;$K$2))</f>
        <v>0</v>
      </c>
      <c r="D41" s="245">
        <f>IFS(
AND($H$2=Data!$A$3,$K$2=Data!$A$2),SUMIFS(Proventos!$H:$H,Proventos!$D:$D,"&gt;="&amp;CONCATENATE($D$6,"/",B41),Proventos!$D:$D,"&lt;"&amp;CONCATENATE($E$6,"/",B41),Proventos!$J:$J,"="&amp;$H$2),
AND($H$2=Data!$A$4,$K$2=Data!$A$2),SUMIFS(Proventos!$H:$H,Proventos!$D:$D,"&gt;="&amp;CONCATENATE($D$6,"/",B41),Proventos!$D:$D,"&lt;"&amp;CONCATENATE($E$6,"/",B41),Proventos!$J:$J,"="&amp;$H$2),
AND($H$2=Data!$A$5,$K$2=Data!$A$2),SUMIFS(Proventos!$H:$H,Proventos!$D:$D,"&gt;="&amp;CONCATENATE($D$6,"/",B41),Proventos!$D:$D,"&lt;"&amp;CONCATENATE($E$6,"/",B41),Proventos!$J:$J,"="&amp;$H$2),
AND($H$2=Data!$A$6,$K$2=Data!$A$2),SUMIFS(Proventos!$H:$H,Proventos!$D:$D,"&gt;="&amp;CONCATENATE($D$6,"/",B41),Proventos!$D:$D,"&lt;"&amp;CONCATENATE($E$6,"/",B41),Proventos!$J:$J,"="&amp;$H$2),
AND($H$2=Data!$A$7,$K$2=Data!$A$2),SUMIFS(Proventos!$H:$H,Proventos!$D:$D,"&gt;="&amp;CONCATENATE($D$6,"/",B41),Proventos!$D:$D,"&lt;"&amp;CONCATENATE($E$6,"/",B41),Proventos!$J:$J,"="&amp;$H$2),
AND($H$2=Data!$A$8,$K$2=Data!$A$2),SUMIFS(Proventos!$H:$H,Proventos!$D:$D,"&gt;="&amp;CONCATENATE($D$6,"/",B41),Proventos!$D:$D,"&lt;"&amp;CONCATENATE($E$6,"/",B41),Proventos!$J:$J,"="&amp;$H$2),
AND($H$2=Data!$A$9,$K$2=Data!$A$2),SUMIFS(Proventos!$H:$H,Proventos!$D:$D,"&gt;="&amp;CONCATENATE($D$6,"/",B41),Proventos!$D:$D,"&lt;"&amp;CONCATENATE($E$6,"/",B41),Proventos!$J:$J,"="&amp;$H$2),
AND($H$2=Data!$A$10,$K$2=Data!$A$2),SUMIFS(Proventos!$H:$H,Proventos!$D:$D,"&gt;="&amp;CONCATENATE($D$6,"/",B41),Proventos!$D:$D,"&lt;"&amp;CONCATENATE($E$6,"/",B41),Proventos!$J:$J,"="&amp;$H$2),
AND($H$2=Data!$A$11,$K$2=Data!$A$2),SUMIFS(Proventos!$H:$H,Proventos!$D:$D,"&gt;="&amp;CONCATENATE($D$6,"/",B41),Proventos!$D:$D,"&lt;"&amp;CONCATENATE($E$6,"/",B41),Proventos!$J:$J,"="&amp;$H$2),
$K$2=Data!$A$2,SUMIFS(Proventos!$H:$H,Proventos!$D:$D,"&gt;="&amp;CONCATENATE($D$6,"/",B41),Proventos!$D:$D,"&lt;"&amp;CONCATENATE($E$6,"/",B41)),
$K$2&lt;&gt;Data!$A$2,SUMIFS(Proventos!$H:$H,Proventos!$D:$D,"&gt;="&amp;CONCATENATE($D$6,"/",B41),Proventos!$D:$D,"&lt;"&amp;CONCATENATE($E$6,"/",B41),Proventos!$A:$A,"="&amp;$K$2))</f>
        <v>0</v>
      </c>
      <c r="E41" s="245">
        <f>IFS(
AND($H$2=Data!$A$3,$K$2=Data!$A$2),SUMIFS(Proventos!$H:$H,Proventos!$D:$D,"&gt;="&amp;CONCATENATE($E$6,"/",B41),Proventos!$D:$D,"&lt;"&amp;CONCATENATE($F$6,"/",B41),Proventos!$J:$J,"="&amp;$H$2),
AND($H$2=Data!$A$4,$K$2=Data!$A$2),SUMIFS(Proventos!$H:$H,Proventos!$D:$D,"&gt;="&amp;CONCATENATE($E$6,"/",B41),Proventos!$D:$D,"&lt;"&amp;CONCATENATE($F$6,"/",B41),Proventos!$J:$J,"="&amp;$H$2),
AND($H$2=Data!$A$5,$K$2=Data!$A$2),SUMIFS(Proventos!$H:$H,Proventos!$D:$D,"&gt;="&amp;CONCATENATE($E$6,"/",B41),Proventos!$D:$D,"&lt;"&amp;CONCATENATE($F$6,"/",B41),Proventos!$J:$J,"="&amp;$H$2),
AND($H$2=Data!$A$6,$K$2=Data!$A$2),SUMIFS(Proventos!$H:$H,Proventos!$D:$D,"&gt;="&amp;CONCATENATE($E$6,"/",B41),Proventos!$D:$D,"&lt;"&amp;CONCATENATE($F$6,"/",B41),Proventos!$J:$J,"="&amp;$H$2),
AND($H$2=Data!$A$7,$K$2=Data!$A$2),SUMIFS(Proventos!$H:$H,Proventos!$D:$D,"&gt;="&amp;CONCATENATE($E$6,"/",B41),Proventos!$D:$D,"&lt;"&amp;CONCATENATE($F$6,"/",B41),Proventos!$J:$J,"="&amp;$H$2),
AND($H$2=Data!$A$8,$K$2=Data!$A$2),SUMIFS(Proventos!$H:$H,Proventos!$D:$D,"&gt;="&amp;CONCATENATE($E$6,"/",B41),Proventos!$D:$D,"&lt;"&amp;CONCATENATE($F$6,"/",B41),Proventos!$J:$J,"="&amp;$H$2),
AND($H$2=Data!$A$9,$K$2=Data!$A$2),SUMIFS(Proventos!$H:$H,Proventos!$D:$D,"&gt;="&amp;CONCATENATE($E$6,"/",B41),Proventos!$D:$D,"&lt;"&amp;CONCATENATE($F$6,"/",B41),Proventos!$J:$J,"="&amp;$H$2),
AND($H$2=Data!$A$10,$K$2=Data!$A$2),SUMIFS(Proventos!$H:$H,Proventos!$D:$D,"&gt;="&amp;CONCATENATE($E$6,"/",B41),Proventos!$D:$D,"&lt;"&amp;CONCATENATE($F$6,"/",B41),Proventos!$J:$J,"="&amp;$H$2),
AND($H$2=Data!$A$11,$K$2=Data!$A$2),SUMIFS(Proventos!$H:$H,Proventos!$D:$D,"&gt;="&amp;CONCATENATE($E$6,"/",B41),Proventos!$D:$D,"&lt;"&amp;CONCATENATE($F$6,"/",B41),Proventos!$J:$J,"="&amp;$H$2),
$K$2=Data!$A$2,SUMIFS(Proventos!$H:$H,Proventos!$D:$D,"&gt;="&amp;CONCATENATE($E$6,"/",B41),Proventos!$D:$D,"&lt;"&amp;CONCATENATE($F$6,"/",B41)),
$K$2&lt;&gt;Data!$A$2,SUMIFS(Proventos!$H:$H,Proventos!$D:$D,"&gt;="&amp;CONCATENATE($E$6,"/",B41),Proventos!$D:$D,"&lt;"&amp;CONCATENATE($F$6,"/",B41),Proventos!$A:$A,"="&amp;$K$2))</f>
        <v>0</v>
      </c>
      <c r="F41" s="245">
        <f>IFS(
AND($H$2=Data!$A$3,$K$2=Data!$A$2),SUMIFS(Proventos!$H:$H,Proventos!$D:$D,"&gt;="&amp;CONCATENATE($F$6,"/",B41),Proventos!$D:$D,"&lt;"&amp;CONCATENATE($G$6,"/",B41),Proventos!$J:$J,"="&amp;$H$2),
AND($H$2=Data!$A$4,$K$2=Data!$A$2),SUMIFS(Proventos!$H:$H,Proventos!$D:$D,"&gt;="&amp;CONCATENATE($F$6,"/",B41),Proventos!$D:$D,"&lt;"&amp;CONCATENATE($G$6,"/",B41),Proventos!$J:$J,"="&amp;$H$2),
AND($H$2=Data!$A$5,$K$2=Data!$A$2),SUMIFS(Proventos!$H:$H,Proventos!$D:$D,"&gt;="&amp;CONCATENATE($F$6,"/",B41),Proventos!$D:$D,"&lt;"&amp;CONCATENATE($G$6,"/",B41),Proventos!$J:$J,"="&amp;$H$2),
AND($H$2=Data!$A$6,$K$2=Data!$A$2),SUMIFS(Proventos!$H:$H,Proventos!$D:$D,"&gt;="&amp;CONCATENATE($F$6,"/",B41),Proventos!$D:$D,"&lt;"&amp;CONCATENATE($G$6,"/",B41),Proventos!$J:$J,"="&amp;$H$2),
AND($H$2=Data!$A$7,$K$2=Data!$A$2),SUMIFS(Proventos!$H:$H,Proventos!$D:$D,"&gt;="&amp;CONCATENATE($F$6,"/",B41),Proventos!$D:$D,"&lt;"&amp;CONCATENATE($G$6,"/",B41),Proventos!$J:$J,"="&amp;$H$2),
AND($H$2=Data!$A$8,$K$2=Data!$A$2),SUMIFS(Proventos!$H:$H,Proventos!$D:$D,"&gt;="&amp;CONCATENATE($F$6,"/",B41),Proventos!$D:$D,"&lt;"&amp;CONCATENATE($G$6,"/",B41),Proventos!$J:$J,"="&amp;$H$2),
AND($H$2=Data!$A$9,$K$2=Data!$A$2),SUMIFS(Proventos!$H:$H,Proventos!$D:$D,"&gt;="&amp;CONCATENATE($F$6,"/",B41),Proventos!$D:$D,"&lt;"&amp;CONCATENATE($G$6,"/",B41),Proventos!$J:$J,"="&amp;$H$2),
AND($H$2=Data!$A$10,$K$2=Data!$A$2),SUMIFS(Proventos!$H:$H,Proventos!$D:$D,"&gt;="&amp;CONCATENATE($F$6,"/",B41),Proventos!$D:$D,"&lt;"&amp;CONCATENATE($G$6,"/",B41),Proventos!$J:$J,"="&amp;$H$2),
AND($H$2=Data!$A$11,$K$2=Data!$A$2),SUMIFS(Proventos!$H:$H,Proventos!$D:$D,"&gt;="&amp;CONCATENATE($F$6,"/",B41),Proventos!$D:$D,"&lt;"&amp;CONCATENATE($G$6,"/",B41),Proventos!$J:$J,"="&amp;$H$2),
$K$2=Data!$A$2,SUMIFS(Proventos!$H:$H,Proventos!$D:$D,"&gt;="&amp;CONCATENATE($F$6,"/",B41),Proventos!$D:$D,"&lt;"&amp;CONCATENATE($G$6,"/",B41)),
$K$2&lt;&gt;Data!$A$2,SUMIFS(Proventos!$H:$H,Proventos!$D:$D,"&gt;="&amp;CONCATENATE($F$6,"/",B41),Proventos!$D:$D,"&lt;"&amp;CONCATENATE($G$6,"/",B41),Proventos!$A:$A,"="&amp;$K$2))</f>
        <v>0</v>
      </c>
      <c r="G41" s="245">
        <f>IFS(
AND($H$2=Data!$A$3,$K$2=Data!$A$2),SUMIFS(Proventos!$H:$H,Proventos!$D:$D,"&gt;="&amp;CONCATENATE($G$6,"/",B41),Proventos!$D:$D,"&lt;"&amp;CONCATENATE($H$6,"/",B41),Proventos!$J:$J,"="&amp;$H$2),
AND($H$2=Data!$A$4,$K$2=Data!$A$2),SUMIFS(Proventos!$H:$H,Proventos!$D:$D,"&gt;="&amp;CONCATENATE($G$6,"/",B41),Proventos!$D:$D,"&lt;"&amp;CONCATENATE($H$6,"/",B41),Proventos!$J:$J,"="&amp;$H$2),
AND($H$2=Data!$A$5,$K$2=Data!$A$2),SUMIFS(Proventos!$H:$H,Proventos!$D:$D,"&gt;="&amp;CONCATENATE($G$6,"/",B41),Proventos!$D:$D,"&lt;"&amp;CONCATENATE($H$6,"/",B41),Proventos!$J:$J,"="&amp;$H$2),
AND($H$2=Data!$A$6,$K$2=Data!$A$2),SUMIFS(Proventos!$H:$H,Proventos!$D:$D,"&gt;="&amp;CONCATENATE($G$6,"/",B41),Proventos!$D:$D,"&lt;"&amp;CONCATENATE($H$6,"/",B41),Proventos!$J:$J,"="&amp;$H$2),
AND($H$2=Data!$A$7,$K$2=Data!$A$2),SUMIFS(Proventos!$H:$H,Proventos!$D:$D,"&gt;="&amp;CONCATENATE($G$6,"/",B41),Proventos!$D:$D,"&lt;"&amp;CONCATENATE($H$6,"/",B41),Proventos!$J:$J,"="&amp;$H$2),
AND($H$2=Data!$A$8,$K$2=Data!$A$2),SUMIFS(Proventos!$H:$H,Proventos!$D:$D,"&gt;="&amp;CONCATENATE($G$6,"/",B41),Proventos!$D:$D,"&lt;"&amp;CONCATENATE($H$6,"/",B41),Proventos!$J:$J,"="&amp;$H$2),
AND($H$2=Data!$A$9,$K$2=Data!$A$2),SUMIFS(Proventos!$H:$H,Proventos!$D:$D,"&gt;="&amp;CONCATENATE($G$6,"/",B41),Proventos!$D:$D,"&lt;"&amp;CONCATENATE($H$6,"/",B41),Proventos!$J:$J,"="&amp;$H$2),
AND($H$2=Data!$A$10,$K$2=Data!$A$2),SUMIFS(Proventos!$H:$H,Proventos!$D:$D,"&gt;="&amp;CONCATENATE($G$6,"/",B41),Proventos!$D:$D,"&lt;"&amp;CONCATENATE($H$6,"/",B41),Proventos!$J:$J,"="&amp;$H$2),
AND($H$2=Data!$A$11,$K$2=Data!$A$2),SUMIFS(Proventos!$H:$H,Proventos!$D:$D,"&gt;="&amp;CONCATENATE($G$6,"/",B41),Proventos!$D:$D,"&lt;"&amp;CONCATENATE($H$6,"/",B41),Proventos!$J:$J,"="&amp;$H$2),
$K$2=Data!$A$2,SUMIFS(Proventos!$H:$H,Proventos!$D:$D,"&gt;="&amp;CONCATENATE($G$6,"/",B41),Proventos!$D:$D,"&lt;"&amp;CONCATENATE($H$6,"/",B41)),
$K$2&lt;&gt;Data!$A$2,SUMIFS(Proventos!$H:$H,Proventos!$D:$D,"&gt;="&amp;CONCATENATE($G$6,"/",B41),Proventos!$D:$D,"&lt;"&amp;CONCATENATE($H$6,"/",B41),Proventos!$A:$A,"="&amp;$K$2))</f>
        <v>0</v>
      </c>
      <c r="H41" s="245">
        <f>IFS(
AND($H$2=Data!$A$3,$K$2=Data!$A$2),SUMIFS(Proventos!$H:$H,Proventos!$D:$D,"&gt;="&amp;CONCATENATE($H$6,"/",B41),Proventos!$D:$D,"&lt;"&amp;CONCATENATE($I$6,"/",B41),Proventos!$J:$J,"="&amp;$H$2),
AND($H$2=Data!$A$4,$K$2=Data!$A$2),SUMIFS(Proventos!$H:$H,Proventos!$D:$D,"&gt;="&amp;CONCATENATE($H$6,"/",B41),Proventos!$D:$D,"&lt;"&amp;CONCATENATE($I$6,"/",B41),Proventos!$J:$J,"="&amp;$H$2),
AND($H$2=Data!$A$5,$K$2=Data!$A$2),SUMIFS(Proventos!$H:$H,Proventos!$D:$D,"&gt;="&amp;CONCATENATE($H$6,"/",B41),Proventos!$D:$D,"&lt;"&amp;CONCATENATE($I$6,"/",B41),Proventos!$J:$J,"="&amp;$H$2),
AND($H$2=Data!$A$6,$K$2=Data!$A$2),SUMIFS(Proventos!$H:$H,Proventos!$D:$D,"&gt;="&amp;CONCATENATE($H$6,"/",B41),Proventos!$D:$D,"&lt;"&amp;CONCATENATE($I$6,"/",B41),Proventos!$J:$J,"="&amp;$H$2),
AND($H$2=Data!$A$7,$K$2=Data!$A$2),SUMIFS(Proventos!$H:$H,Proventos!$D:$D,"&gt;="&amp;CONCATENATE($H$6,"/",B41),Proventos!$D:$D,"&lt;"&amp;CONCATENATE($I$6,"/",B41),Proventos!$J:$J,"="&amp;$H$2),
AND($H$2=Data!$A$8,$K$2=Data!$A$2),SUMIFS(Proventos!$H:$H,Proventos!$D:$D,"&gt;="&amp;CONCATENATE($H$6,"/",B41),Proventos!$D:$D,"&lt;"&amp;CONCATENATE($I$6,"/",B41),Proventos!$J:$J,"="&amp;$H$2),
AND($H$2=Data!$A$9,$K$2=Data!$A$2),SUMIFS(Proventos!$H:$H,Proventos!$D:$D,"&gt;="&amp;CONCATENATE($H$6,"/",B41),Proventos!$D:$D,"&lt;"&amp;CONCATENATE($I$6,"/",B41),Proventos!$J:$J,"="&amp;$H$2),
AND($H$2=Data!$A$10,$K$2=Data!$A$2),SUMIFS(Proventos!$H:$H,Proventos!$D:$D,"&gt;="&amp;CONCATENATE($H$6,"/",B41),Proventos!$D:$D,"&lt;"&amp;CONCATENATE($I$6,"/",B41),Proventos!$J:$J,"="&amp;$H$2),
AND($H$2=Data!$A$11,$K$2=Data!$A$2),SUMIFS(Proventos!$H:$H,Proventos!$D:$D,"&gt;="&amp;CONCATENATE($H$6,"/",B41),Proventos!$D:$D,"&lt;"&amp;CONCATENATE($I$6,"/",B41),Proventos!$J:$J,"="&amp;$H$2),
$K$2=Data!$A$2,SUMIFS(Proventos!$H:$H,Proventos!$D:$D,"&gt;="&amp;CONCATENATE($H$6,"/",B41),Proventos!$D:$D,"&lt;"&amp;CONCATENATE($I$6,"/",B41)),
$K$2&lt;&gt;Data!$A$2,SUMIFS(Proventos!$H:$H,Proventos!$D:$D,"&gt;="&amp;CONCATENATE($H$6,"/",B41),Proventos!$D:$D,"&lt;"&amp;CONCATENATE($I$6,"/",B41),Proventos!$A:$A,"="&amp;$K$2))</f>
        <v>0</v>
      </c>
      <c r="I41" s="245">
        <f>IFS(
AND($H$2=Data!$A$3,$K$2=Data!$A$2),SUMIFS(Proventos!$H:$H,Proventos!$D:$D,"&gt;="&amp;CONCATENATE($I$6,"/",B41),Proventos!$D:$D,"&lt;"&amp;CONCATENATE($J$6,"/",B41),Proventos!$J:$J,"="&amp;$H$2),
AND($H$2=Data!$A$4,$K$2=Data!$A$2),SUMIFS(Proventos!$H:$H,Proventos!$D:$D,"&gt;="&amp;CONCATENATE($I$6,"/",B41),Proventos!$D:$D,"&lt;"&amp;CONCATENATE($J$6,"/",B41),Proventos!$J:$J,"="&amp;$H$2),
AND($H$2=Data!$A$5,$K$2=Data!$A$2),SUMIFS(Proventos!$H:$H,Proventos!$D:$D,"&gt;="&amp;CONCATENATE($I$6,"/",B41),Proventos!$D:$D,"&lt;"&amp;CONCATENATE($J$6,"/",B41),Proventos!$J:$J,"="&amp;$H$2),
AND($H$2=Data!$A$6,$K$2=Data!$A$2),SUMIFS(Proventos!$H:$H,Proventos!$D:$D,"&gt;="&amp;CONCATENATE($I$6,"/",B41),Proventos!$D:$D,"&lt;"&amp;CONCATENATE($J$6,"/",B41),Proventos!$J:$J,"="&amp;$H$2),
AND($H$2=Data!$A$7,$K$2=Data!$A$2),SUMIFS(Proventos!$H:$H,Proventos!$D:$D,"&gt;="&amp;CONCATENATE($I$6,"/",B41),Proventos!$D:$D,"&lt;"&amp;CONCATENATE($J$6,"/",B41),Proventos!$J:$J,"="&amp;$H$2),
AND($H$2=Data!$A$8,$K$2=Data!$A$2),SUMIFS(Proventos!$H:$H,Proventos!$D:$D,"&gt;="&amp;CONCATENATE($I$6,"/",B41),Proventos!$D:$D,"&lt;"&amp;CONCATENATE($J$6,"/",B41),Proventos!$J:$J,"="&amp;$H$2),
AND($H$2=Data!$A$9,$K$2=Data!$A$2),SUMIFS(Proventos!$H:$H,Proventos!$D:$D,"&gt;="&amp;CONCATENATE($I$6,"/",B41),Proventos!$D:$D,"&lt;"&amp;CONCATENATE($J$6,"/",B41),Proventos!$J:$J,"="&amp;$H$2),
AND($H$2=Data!$A$10,$K$2=Data!$A$2),SUMIFS(Proventos!$H:$H,Proventos!$D:$D,"&gt;="&amp;CONCATENATE($I$6,"/",B41),Proventos!$D:$D,"&lt;"&amp;CONCATENATE($J$6,"/",B41),Proventos!$J:$J,"="&amp;$H$2),
AND($H$2=Data!$A$11,$K$2=Data!$A$2),SUMIFS(Proventos!$H:$H,Proventos!$D:$D,"&gt;="&amp;CONCATENATE($I$6,"/",B41),Proventos!$D:$D,"&lt;"&amp;CONCATENATE($J$6,"/",B41),Proventos!$J:$J,"="&amp;$H$2),
$K$2=Data!$A$2,SUMIFS(Proventos!$H:$H,Proventos!$D:$D,"&gt;="&amp;CONCATENATE($I$6,"/",B41),Proventos!$D:$D,"&lt;"&amp;CONCATENATE($J$6,"/",B41)),
$K$2&lt;&gt;Data!$A$2,SUMIFS(Proventos!$H:$H,Proventos!$D:$D,"&gt;="&amp;CONCATENATE($I$6,"/",B41),Proventos!$D:$D,"&lt;"&amp;CONCATENATE($J$6,"/",B41),Proventos!$A:$A,"="&amp;$K$2))</f>
        <v>0</v>
      </c>
      <c r="J41" s="245">
        <f>IFS(
AND($H$2=Data!$A$3,$K$2=Data!$A$2),SUMIFS(Proventos!$H:$H,Proventos!$D:$D,"&gt;="&amp;CONCATENATE($J$6,"/",B41),Proventos!$D:$D,"&lt;"&amp;CONCATENATE($K$6,"/",B41),Proventos!$J:$J,"="&amp;$H$2),
AND($H$2=Data!$A$4,$K$2=Data!$A$2),SUMIFS(Proventos!$H:$H,Proventos!$D:$D,"&gt;="&amp;CONCATENATE($J$6,"/",B41),Proventos!$D:$D,"&lt;"&amp;CONCATENATE($K$6,"/",B41),Proventos!$J:$J,"="&amp;$H$2),
AND($H$2=Data!$A$5,$K$2=Data!$A$2),SUMIFS(Proventos!$H:$H,Proventos!$D:$D,"&gt;="&amp;CONCATENATE($J$6,"/",B41),Proventos!$D:$D,"&lt;"&amp;CONCATENATE($K$6,"/",B41),Proventos!$J:$J,"="&amp;$H$2),
AND($H$2=Data!$A$6,$K$2=Data!$A$2),SUMIFS(Proventos!$H:$H,Proventos!$D:$D,"&gt;="&amp;CONCATENATE($J$6,"/",B41),Proventos!$D:$D,"&lt;"&amp;CONCATENATE($K$6,"/",B41),Proventos!$J:$J,"="&amp;$H$2),
AND($H$2=Data!$A$7,$K$2=Data!$A$2),SUMIFS(Proventos!$H:$H,Proventos!$D:$D,"&gt;="&amp;CONCATENATE($J$6,"/",B41),Proventos!$D:$D,"&lt;"&amp;CONCATENATE($K$6,"/",B41),Proventos!$J:$J,"="&amp;$H$2),
AND($H$2=Data!$A$8,$K$2=Data!$A$2),SUMIFS(Proventos!$H:$H,Proventos!$D:$D,"&gt;="&amp;CONCATENATE($J$6,"/",B41),Proventos!$D:$D,"&lt;"&amp;CONCATENATE($K$6,"/",B41),Proventos!$J:$J,"="&amp;$H$2),
AND($H$2=Data!$A$9,$K$2=Data!$A$2),SUMIFS(Proventos!$H:$H,Proventos!$D:$D,"&gt;="&amp;CONCATENATE($J$6,"/",B41),Proventos!$D:$D,"&lt;"&amp;CONCATENATE($K$6,"/",B41),Proventos!$J:$J,"="&amp;$H$2),
AND($H$2=Data!$A$10,$K$2=Data!$A$2),SUMIFS(Proventos!$H:$H,Proventos!$D:$D,"&gt;="&amp;CONCATENATE($J$6,"/",B41),Proventos!$D:$D,"&lt;"&amp;CONCATENATE($K$6,"/",B41),Proventos!$J:$J,"="&amp;$H$2),
AND($H$2=Data!$A$11,$K$2=Data!$A$2),SUMIFS(Proventos!$H:$H,Proventos!$D:$D,"&gt;="&amp;CONCATENATE($J$6,"/",B41),Proventos!$D:$D,"&lt;"&amp;CONCATENATE($K$6,"/",B41),Proventos!$J:$J,"="&amp;$H$2),
$K$2=Data!$A$2,SUMIFS(Proventos!$H:$H,Proventos!$D:$D,"&gt;="&amp;CONCATENATE($J$6,"/",B41),Proventos!$D:$D,"&lt;"&amp;CONCATENATE($K$6,"/",B41)),
$K$2&lt;&gt;Data!$A$2,SUMIFS(Proventos!$H:$H,Proventos!$D:$D,"&gt;="&amp;CONCATENATE($J$6,"/",B41),Proventos!$D:$D,"&lt;"&amp;CONCATENATE($K$6,"/",B41),Proventos!$A:$A,"="&amp;$K$2))</f>
        <v>0</v>
      </c>
      <c r="K41" s="245">
        <f>IFS(
AND($H$2=Data!$A$3,$K$2=Data!$A$2),SUMIFS(Proventos!$H:$H,Proventos!$D:$D,"&gt;="&amp;CONCATENATE($K$6,"/",B41),Proventos!$D:$D,"&lt;"&amp;CONCATENATE($L$6,"/",B41),Proventos!$J:$J,"="&amp;$H$2),
AND($H$2=Data!$A$4,$K$2=Data!$A$2),SUMIFS(Proventos!$H:$H,Proventos!$D:$D,"&gt;="&amp;CONCATENATE($K$6,"/",B41),Proventos!$D:$D,"&lt;"&amp;CONCATENATE($L$6,"/",B41),Proventos!$J:$J,"="&amp;$H$2),
AND($H$2=Data!$A$5,$K$2=Data!$A$2),SUMIFS(Proventos!$H:$H,Proventos!$D:$D,"&gt;="&amp;CONCATENATE($K$6,"/",B41),Proventos!$D:$D,"&lt;"&amp;CONCATENATE($L$6,"/",B41),Proventos!$J:$J,"="&amp;$H$2),
AND($H$2=Data!$A$6,$K$2=Data!$A$2),SUMIFS(Proventos!$H:$H,Proventos!$D:$D,"&gt;="&amp;CONCATENATE($K$6,"/",B41),Proventos!$D:$D,"&lt;"&amp;CONCATENATE($L$6,"/",B41),Proventos!$J:$J,"="&amp;$H$2),
AND($H$2=Data!$A$7,$K$2=Data!$A$2),SUMIFS(Proventos!$H:$H,Proventos!$D:$D,"&gt;="&amp;CONCATENATE($K$6,"/",B41),Proventos!$D:$D,"&lt;"&amp;CONCATENATE($L$6,"/",B41),Proventos!$J:$J,"="&amp;$H$2),
AND($H$2=Data!$A$8,$K$2=Data!$A$2),SUMIFS(Proventos!$H:$H,Proventos!$D:$D,"&gt;="&amp;CONCATENATE($K$6,"/",B41),Proventos!$D:$D,"&lt;"&amp;CONCATENATE($L$6,"/",B41),Proventos!$J:$J,"="&amp;$H$2),
AND($H$2=Data!$A$9,$K$2=Data!$A$2),SUMIFS(Proventos!$H:$H,Proventos!$D:$D,"&gt;="&amp;CONCATENATE($K$6,"/",B41),Proventos!$D:$D,"&lt;"&amp;CONCATENATE($L$6,"/",B41),Proventos!$J:$J,"="&amp;$H$2),
AND($H$2=Data!$A$10,$K$2=Data!$A$2),SUMIFS(Proventos!$H:$H,Proventos!$D:$D,"&gt;="&amp;CONCATENATE($K$6,"/",B41),Proventos!$D:$D,"&lt;"&amp;CONCATENATE($L$6,"/",B41),Proventos!$J:$J,"="&amp;$H$2),
AND($H$2=Data!$A$11,$K$2=Data!$A$2),SUMIFS(Proventos!$H:$H,Proventos!$D:$D,"&gt;="&amp;CONCATENATE($K$6,"/",B41),Proventos!$D:$D,"&lt;"&amp;CONCATENATE($L$6,"/",B41),Proventos!$J:$J,"="&amp;$H$2),
$K$2=Data!$A$2,SUMIFS(Proventos!$H:$H,Proventos!$D:$D,"&gt;="&amp;CONCATENATE($K$6,"/",B41),Proventos!$D:$D,"&lt;"&amp;CONCATENATE($L$6,"/",B41)),
$K$2&lt;&gt;Data!$A$2,SUMIFS(Proventos!$H:$H,Proventos!$D:$D,"&gt;="&amp;CONCATENATE($K$6,"/",B41),Proventos!$D:$D,"&lt;"&amp;CONCATENATE($L$6,"/",B41),Proventos!$A:$A,"="&amp;$K$2))</f>
        <v>0</v>
      </c>
      <c r="L41" s="245">
        <f>IFS(
AND($H$2=Data!$A$3,$K$2=Data!$A$2),SUMIFS(Proventos!$H:$H,Proventos!$D:$D,"&gt;="&amp;CONCATENATE($L$6,"/",B41),Proventos!$D:$D,"&lt;"&amp;CONCATENATE($M$6,"/",B41),Proventos!$J:$J,"="&amp;$H$2),
AND($H$2=Data!$A$4,$K$2=Data!$A$2),SUMIFS(Proventos!$H:$H,Proventos!$D:$D,"&gt;="&amp;CONCATENATE($L$6,"/",B41),Proventos!$D:$D,"&lt;"&amp;CONCATENATE($M$6,"/",B41),Proventos!$J:$J,"="&amp;$H$2),
AND($H$2=Data!$A$5,$K$2=Data!$A$2),SUMIFS(Proventos!$H:$H,Proventos!$D:$D,"&gt;="&amp;CONCATENATE($L$6,"/",B41),Proventos!$D:$D,"&lt;"&amp;CONCATENATE($M$6,"/",B41),Proventos!$J:$J,"="&amp;$H$2),
AND($H$2=Data!$A$6,$K$2=Data!$A$2),SUMIFS(Proventos!$H:$H,Proventos!$D:$D,"&gt;="&amp;CONCATENATE($L$6,"/",B41),Proventos!$D:$D,"&lt;"&amp;CONCATENATE($M$6,"/",B41),Proventos!$J:$J,"="&amp;$H$2),
AND($H$2=Data!$A$7,$K$2=Data!$A$2),SUMIFS(Proventos!$H:$H,Proventos!$D:$D,"&gt;="&amp;CONCATENATE($L$6,"/",B41),Proventos!$D:$D,"&lt;"&amp;CONCATENATE($M$6,"/",B41),Proventos!$J:$J,"="&amp;$H$2),
AND($H$2=Data!$A$8,$K$2=Data!$A$2),SUMIFS(Proventos!$H:$H,Proventos!$D:$D,"&gt;="&amp;CONCATENATE($L$6,"/",B41),Proventos!$D:$D,"&lt;"&amp;CONCATENATE($M$6,"/",B41),Proventos!$J:$J,"="&amp;$H$2),
AND($H$2=Data!$A$9,$K$2=Data!$A$2),SUMIFS(Proventos!$H:$H,Proventos!$D:$D,"&gt;="&amp;CONCATENATE($L$6,"/",B41),Proventos!$D:$D,"&lt;"&amp;CONCATENATE($M$6,"/",B41),Proventos!$J:$J,"="&amp;$H$2),
AND($H$2=Data!$A$10,$K$2=Data!$A$2),SUMIFS(Proventos!$H:$H,Proventos!$D:$D,"&gt;="&amp;CONCATENATE($L$6,"/",B41),Proventos!$D:$D,"&lt;"&amp;CONCATENATE($M$6,"/",B41),Proventos!$J:$J,"="&amp;$H$2),
AND($H$2=Data!$A$11,$K$2=Data!$A$2),SUMIFS(Proventos!$H:$H,Proventos!$D:$D,"&gt;="&amp;CONCATENATE($L$6,"/",B41),Proventos!$D:$D,"&lt;"&amp;CONCATENATE($M$6,"/",B41),Proventos!$J:$J,"="&amp;$H$2),
$K$2=Data!$A$2,SUMIFS(Proventos!$H:$H,Proventos!$D:$D,"&gt;="&amp;CONCATENATE($L$6,"/",B41),Proventos!$D:$D,"&lt;"&amp;CONCATENATE($M$6,"/",B41)),
$K$2&lt;&gt;Data!$A$2,SUMIFS(Proventos!$H:$H,Proventos!$D:$D,"&gt;="&amp;CONCATENATE($L$6,"/",B41),Proventos!$D:$D,"&lt;"&amp;CONCATENATE($M$6,"/",B41),Proventos!$A:$A,"="&amp;$K$2))</f>
        <v>0</v>
      </c>
      <c r="M41" s="245">
        <f>IFS(
AND($H$2=Data!$A$3,$K$2=Data!$A$2),SUMIFS(Proventos!$H:$H,Proventos!$D:$D,"&gt;="&amp;CONCATENATE($M$6,"/",B41),Proventos!$D:$D,"&lt;"&amp;CONCATENATE($N$6,"/",B41),Proventos!$J:$J,"="&amp;$H$2),
AND($H$2=Data!$A$4,$K$2=Data!$A$2),SUMIFS(Proventos!$H:$H,Proventos!$D:$D,"&gt;="&amp;CONCATENATE($M$6,"/",B41),Proventos!$D:$D,"&lt;"&amp;CONCATENATE($N$6,"/",B41),Proventos!$J:$J,"="&amp;$H$2),
AND($H$2=Data!$A$5,$K$2=Data!$A$2),SUMIFS(Proventos!$H:$H,Proventos!$D:$D,"&gt;="&amp;CONCATENATE($M$6,"/",B41),Proventos!$D:$D,"&lt;"&amp;CONCATENATE($N$6,"/",B41),Proventos!$J:$J,"="&amp;$H$2),
AND($H$2=Data!$A$6,$K$2=Data!$A$2),SUMIFS(Proventos!$H:$H,Proventos!$D:$D,"&gt;="&amp;CONCATENATE($M$6,"/",B41),Proventos!$D:$D,"&lt;"&amp;CONCATENATE($N$6,"/",B41),Proventos!$J:$J,"="&amp;$H$2),
AND($H$2=Data!$A$7,$K$2=Data!$A$2),SUMIFS(Proventos!$H:$H,Proventos!$D:$D,"&gt;="&amp;CONCATENATE($M$6,"/",B41),Proventos!$D:$D,"&lt;"&amp;CONCATENATE($N$6,"/",B41),Proventos!$J:$J,"="&amp;$H$2),
AND($H$2=Data!$A$8,$K$2=Data!$A$2),SUMIFS(Proventos!$H:$H,Proventos!$D:$D,"&gt;="&amp;CONCATENATE($M$6,"/",B41),Proventos!$D:$D,"&lt;"&amp;CONCATENATE($N$6,"/",B41),Proventos!$J:$J,"="&amp;$H$2),
AND($H$2=Data!$A$9,$K$2=Data!$A$2),SUMIFS(Proventos!$H:$H,Proventos!$D:$D,"&gt;="&amp;CONCATENATE($M$6,"/",B41),Proventos!$D:$D,"&lt;"&amp;CONCATENATE($N$6,"/",B41),Proventos!$J:$J,"="&amp;$H$2),
AND($H$2=Data!$A$10,$K$2=Data!$A$2),SUMIFS(Proventos!$H:$H,Proventos!$D:$D,"&gt;="&amp;CONCATENATE($M$6,"/",B41),Proventos!$D:$D,"&lt;"&amp;CONCATENATE($N$6,"/",B41),Proventos!$J:$J,"="&amp;$H$2),
AND($H$2=Data!$A$11,$K$2=Data!$A$2),SUMIFS(Proventos!$H:$H,Proventos!$D:$D,"&gt;="&amp;CONCATENATE($M$6,"/",B41),Proventos!$D:$D,"&lt;"&amp;CONCATENATE($N$6,"/",B41),Proventos!$J:$J,"="&amp;$H$2),
$K$2=Data!$A$2,SUMIFS(Proventos!$H:$H,Proventos!$D:$D,"&gt;="&amp;CONCATENATE($M$6,"/",B41),Proventos!$D:$D,"&lt;"&amp;CONCATENATE($N$6,"/",B41)),
$K$2&lt;&gt;Data!$A$2,SUMIFS(Proventos!$H:$H,Proventos!$D:$D,"&gt;="&amp;CONCATENATE($M$6,"/",B41),Proventos!$D:$D,"&lt;"&amp;CONCATENATE($N$6,"/",B41),Proventos!$A:$A,"="&amp;$K$2))</f>
        <v>0</v>
      </c>
      <c r="N41" s="245">
        <f>IFS(
AND($H$2=Data!$A$3,$K$2=Data!$A$2),SUMIFS(Proventos!$H:$H,Proventos!$D:$D,"&gt;="&amp;CONCATENATE($N$6,"/",B41),Proventos!$D:$D,"&lt;"&amp;CONCATENATE($C$6,"/",B42),Proventos!$J:$J,"="&amp;$H$2),
AND($H$2=Data!$A$4,$K$2=Data!$A$2),SUMIFS(Proventos!$H:$H,Proventos!$D:$D,"&gt;="&amp;CONCATENATE($N$6,"/",B41),Proventos!$D:$D,"&lt;"&amp;CONCATENATE($C$6,"/",B42),Proventos!$J:$J,"="&amp;$H$2),
AND($H$2=Data!$A$5,$K$2=Data!$A$2),SUMIFS(Proventos!$H:$H,Proventos!$D:$D,"&gt;="&amp;CONCATENATE($N$6,"/",B41),Proventos!$D:$D,"&lt;"&amp;CONCATENATE($C$6,"/",B42),Proventos!$J:$J,"="&amp;$H$2),
AND($H$2=Data!$A$6,$K$2=Data!$A$2),SUMIFS(Proventos!$H:$H,Proventos!$D:$D,"&gt;="&amp;CONCATENATE($N$6,"/",B41),Proventos!$D:$D,"&lt;"&amp;CONCATENATE($C$6,"/",B42),Proventos!$J:$J,"="&amp;$H$2),
AND($H$2=Data!$A$7,$K$2=Data!$A$2),SUMIFS(Proventos!$H:$H,Proventos!$D:$D,"&gt;="&amp;CONCATENATE($N$6,"/",B41),Proventos!$D:$D,"&lt;"&amp;CONCATENATE($C$6,"/",B42),Proventos!$J:$J,"="&amp;$H$2),
AND($H$2=Data!$A$8,$K$2=Data!$A$2),SUMIFS(Proventos!$H:$H,Proventos!$D:$D,"&gt;="&amp;CONCATENATE($N$6,"/",B41),Proventos!$D:$D,"&lt;"&amp;CONCATENATE($C$6,"/",B42),Proventos!$J:$J,"="&amp;$H$2),
AND($H$2=Data!$A$9,$K$2=Data!$A$2),SUMIFS(Proventos!$H:$H,Proventos!$D:$D,"&gt;="&amp;CONCATENATE($N$6,"/",B41),Proventos!$D:$D,"&lt;"&amp;CONCATENATE($C$6,"/",B42),Proventos!$J:$J,"="&amp;$H$2),
AND($H$2=Data!$A$10,$K$2=Data!$A$2),SUMIFS(Proventos!$H:$H,Proventos!$D:$D,"&gt;="&amp;CONCATENATE($N$6,"/",B41),Proventos!$D:$D,"&lt;"&amp;CONCATENATE($C$6,"/",B42),Proventos!$J:$J,"="&amp;$H$2),
AND($H$2=Data!$A$11,$K$2=Data!$A$2),SUMIFS(Proventos!$H:$H,Proventos!$D:$D,"&gt;="&amp;CONCATENATE($N$6,"/",B41),Proventos!$D:$D,"&lt;"&amp;CONCATENATE($C$6,"/",B42),Proventos!$J:$J,"="&amp;$H$2),
$K$2=Data!$A$2,SUMIFS(Proventos!$H:$H,Proventos!$D:$D,"&gt;="&amp;CONCATENATE($N$6,"/",B41),Proventos!$D:$D,"&lt;"&amp;CONCATENATE($C$6,"/",B42)),
$K$2&lt;&gt;Data!$A$2,SUMIFS(Proventos!$H:$H,Proventos!$D:$D,"&gt;="&amp;CONCATENATE($N$6,"/",B41),Proventos!$D:$D,"&lt;"&amp;CONCATENATE($C$6,"/",B42),Proventos!$A:$A,"="&amp;$K$2))</f>
        <v>0</v>
      </c>
      <c r="O41" s="245"/>
      <c r="P41" s="245">
        <f t="shared" si="1"/>
        <v>0</v>
      </c>
      <c r="Q41" s="245">
        <f t="shared" si="2"/>
        <v>0</v>
      </c>
    </row>
    <row r="42" ht="32.25" customHeight="1">
      <c r="A42" s="230"/>
      <c r="B42" s="244"/>
      <c r="C42" s="245">
        <f>IFS(
AND($H$2=Data!$A$3,$K$2=Data!$A$2),SUMIFS(Proventos!$H:$H,Proventos!$D:$D,"&gt;="&amp;CONCATENATE($C$6,"/",B42),Proventos!$D:$D,"&lt;"&amp;CONCATENATE($D$6,"/",B42),Proventos!$J:$J,"="&amp;$H$2),
AND($H$2=Data!$A$4,$K$2=Data!$A$2),SUMIFS(Proventos!$H:$H,Proventos!$D:$D,"&gt;="&amp;CONCATENATE($C$6,"/",B42),Proventos!$D:$D,"&lt;"&amp;CONCATENATE($D$6,"/",B42),Proventos!$J:$J,"="&amp;$H$2),
AND($H$2=Data!$A$5,$K$2=Data!$A$2),SUMIFS(Proventos!$H:$H,Proventos!$D:$D,"&gt;="&amp;CONCATENATE($C$6,"/",B42),Proventos!$D:$D,"&lt;"&amp;CONCATENATE($D$6,"/",B42),Proventos!$J:$J,"="&amp;$H$2),
AND($H$2=Data!$A$6,$K$2=Data!$A$2),SUMIFS(Proventos!$H:$H,Proventos!$D:$D,"&gt;="&amp;CONCATENATE($C$6,"/",B42),Proventos!$D:$D,"&lt;"&amp;CONCATENATE($D$6,"/",B42),Proventos!$J:$J,"="&amp;$H$2),
AND($H$2=Data!$A$7,$K$2=Data!$A$2),SUMIFS(Proventos!$H:$H,Proventos!$D:$D,"&gt;="&amp;CONCATENATE($C$6,"/",B42),Proventos!$D:$D,"&lt;"&amp;CONCATENATE($D$6,"/",B42),Proventos!$J:$J,"="&amp;$H$2),
AND($H$2=Data!$A$8,$K$2=Data!$A$2),SUMIFS(Proventos!$H:$H,Proventos!$D:$D,"&gt;="&amp;CONCATENATE($C$6,"/",B42),Proventos!$D:$D,"&lt;"&amp;CONCATENATE($D$6,"/",B42),Proventos!$J:$J,"="&amp;$H$2),
AND($H$2=Data!$A$9,$K$2=Data!$A$2),SUMIFS(Proventos!$H:$H,Proventos!$D:$D,"&gt;="&amp;CONCATENATE($C$6,"/",B42),Proventos!$D:$D,"&lt;"&amp;CONCATENATE($D$6,"/",B42),Proventos!$J:$J,"="&amp;$H$2),
AND($H$2=Data!$A$10,$K$2=Data!$A$2),SUMIFS(Proventos!$H:$H,Proventos!$D:$D,"&gt;="&amp;CONCATENATE($C$6,"/",B42),Proventos!$D:$D,"&lt;"&amp;CONCATENATE($D$6,"/",B42),Proventos!$J:$J,"="&amp;$H$2),
AND($H$2=Data!$A$11,$K$2=Data!$A$2),SUMIFS(Proventos!$H:$H,Proventos!$D:$D,"&gt;="&amp;CONCATENATE($C$6,"/",B42),Proventos!$D:$D,"&lt;"&amp;CONCATENATE($D$6,"/",B42),Proventos!$J:$J,"="&amp;$H$2),
$K$2=Data!$A$2,SUMIFS(Proventos!$H:$H,Proventos!$D:$D,"&gt;="&amp;CONCATENATE($C$6,"/",B42),Proventos!$D:$D,"&lt;"&amp;CONCATENATE($D$6,"/",B42)),
$K$2&lt;&gt;Data!$A$2,SUMIFS(Proventos!$H:$H,Proventos!$D:$D,"&gt;="&amp;CONCATENATE($C$6,"/",B42),Proventos!$D:$D,"&lt;"&amp;CONCATENATE($D$6,"/",B42),Proventos!$A:$A,"="&amp;$K$2))</f>
        <v>0</v>
      </c>
      <c r="D42" s="245">
        <f>IFS(
AND($H$2=Data!$A$3,$K$2=Data!$A$2),SUMIFS(Proventos!$H:$H,Proventos!$D:$D,"&gt;="&amp;CONCATENATE($D$6,"/",B42),Proventos!$D:$D,"&lt;"&amp;CONCATENATE($E$6,"/",B42),Proventos!$J:$J,"="&amp;$H$2),
AND($H$2=Data!$A$4,$K$2=Data!$A$2),SUMIFS(Proventos!$H:$H,Proventos!$D:$D,"&gt;="&amp;CONCATENATE($D$6,"/",B42),Proventos!$D:$D,"&lt;"&amp;CONCATENATE($E$6,"/",B42),Proventos!$J:$J,"="&amp;$H$2),
AND($H$2=Data!$A$5,$K$2=Data!$A$2),SUMIFS(Proventos!$H:$H,Proventos!$D:$D,"&gt;="&amp;CONCATENATE($D$6,"/",B42),Proventos!$D:$D,"&lt;"&amp;CONCATENATE($E$6,"/",B42),Proventos!$J:$J,"="&amp;$H$2),
AND($H$2=Data!$A$6,$K$2=Data!$A$2),SUMIFS(Proventos!$H:$H,Proventos!$D:$D,"&gt;="&amp;CONCATENATE($D$6,"/",B42),Proventos!$D:$D,"&lt;"&amp;CONCATENATE($E$6,"/",B42),Proventos!$J:$J,"="&amp;$H$2),
AND($H$2=Data!$A$7,$K$2=Data!$A$2),SUMIFS(Proventos!$H:$H,Proventos!$D:$D,"&gt;="&amp;CONCATENATE($D$6,"/",B42),Proventos!$D:$D,"&lt;"&amp;CONCATENATE($E$6,"/",B42),Proventos!$J:$J,"="&amp;$H$2),
AND($H$2=Data!$A$8,$K$2=Data!$A$2),SUMIFS(Proventos!$H:$H,Proventos!$D:$D,"&gt;="&amp;CONCATENATE($D$6,"/",B42),Proventos!$D:$D,"&lt;"&amp;CONCATENATE($E$6,"/",B42),Proventos!$J:$J,"="&amp;$H$2),
AND($H$2=Data!$A$9,$K$2=Data!$A$2),SUMIFS(Proventos!$H:$H,Proventos!$D:$D,"&gt;="&amp;CONCATENATE($D$6,"/",B42),Proventos!$D:$D,"&lt;"&amp;CONCATENATE($E$6,"/",B42),Proventos!$J:$J,"="&amp;$H$2),
AND($H$2=Data!$A$10,$K$2=Data!$A$2),SUMIFS(Proventos!$H:$H,Proventos!$D:$D,"&gt;="&amp;CONCATENATE($D$6,"/",B42),Proventos!$D:$D,"&lt;"&amp;CONCATENATE($E$6,"/",B42),Proventos!$J:$J,"="&amp;$H$2),
AND($H$2=Data!$A$11,$K$2=Data!$A$2),SUMIFS(Proventos!$H:$H,Proventos!$D:$D,"&gt;="&amp;CONCATENATE($D$6,"/",B42),Proventos!$D:$D,"&lt;"&amp;CONCATENATE($E$6,"/",B42),Proventos!$J:$J,"="&amp;$H$2),
$K$2=Data!$A$2,SUMIFS(Proventos!$H:$H,Proventos!$D:$D,"&gt;="&amp;CONCATENATE($D$6,"/",B42),Proventos!$D:$D,"&lt;"&amp;CONCATENATE($E$6,"/",B42)),
$K$2&lt;&gt;Data!$A$2,SUMIFS(Proventos!$H:$H,Proventos!$D:$D,"&gt;="&amp;CONCATENATE($D$6,"/",B42),Proventos!$D:$D,"&lt;"&amp;CONCATENATE($E$6,"/",B42),Proventos!$A:$A,"="&amp;$K$2))</f>
        <v>0</v>
      </c>
      <c r="E42" s="245">
        <f>IFS(
AND($H$2=Data!$A$3,$K$2=Data!$A$2),SUMIFS(Proventos!$H:$H,Proventos!$D:$D,"&gt;="&amp;CONCATENATE($E$6,"/",B42),Proventos!$D:$D,"&lt;"&amp;CONCATENATE($F$6,"/",B42),Proventos!$J:$J,"="&amp;$H$2),
AND($H$2=Data!$A$4,$K$2=Data!$A$2),SUMIFS(Proventos!$H:$H,Proventos!$D:$D,"&gt;="&amp;CONCATENATE($E$6,"/",B42),Proventos!$D:$D,"&lt;"&amp;CONCATENATE($F$6,"/",B42),Proventos!$J:$J,"="&amp;$H$2),
AND($H$2=Data!$A$5,$K$2=Data!$A$2),SUMIFS(Proventos!$H:$H,Proventos!$D:$D,"&gt;="&amp;CONCATENATE($E$6,"/",B42),Proventos!$D:$D,"&lt;"&amp;CONCATENATE($F$6,"/",B42),Proventos!$J:$J,"="&amp;$H$2),
AND($H$2=Data!$A$6,$K$2=Data!$A$2),SUMIFS(Proventos!$H:$H,Proventos!$D:$D,"&gt;="&amp;CONCATENATE($E$6,"/",B42),Proventos!$D:$D,"&lt;"&amp;CONCATENATE($F$6,"/",B42),Proventos!$J:$J,"="&amp;$H$2),
AND($H$2=Data!$A$7,$K$2=Data!$A$2),SUMIFS(Proventos!$H:$H,Proventos!$D:$D,"&gt;="&amp;CONCATENATE($E$6,"/",B42),Proventos!$D:$D,"&lt;"&amp;CONCATENATE($F$6,"/",B42),Proventos!$J:$J,"="&amp;$H$2),
AND($H$2=Data!$A$8,$K$2=Data!$A$2),SUMIFS(Proventos!$H:$H,Proventos!$D:$D,"&gt;="&amp;CONCATENATE($E$6,"/",B42),Proventos!$D:$D,"&lt;"&amp;CONCATENATE($F$6,"/",B42),Proventos!$J:$J,"="&amp;$H$2),
AND($H$2=Data!$A$9,$K$2=Data!$A$2),SUMIFS(Proventos!$H:$H,Proventos!$D:$D,"&gt;="&amp;CONCATENATE($E$6,"/",B42),Proventos!$D:$D,"&lt;"&amp;CONCATENATE($F$6,"/",B42),Proventos!$J:$J,"="&amp;$H$2),
AND($H$2=Data!$A$10,$K$2=Data!$A$2),SUMIFS(Proventos!$H:$H,Proventos!$D:$D,"&gt;="&amp;CONCATENATE($E$6,"/",B42),Proventos!$D:$D,"&lt;"&amp;CONCATENATE($F$6,"/",B42),Proventos!$J:$J,"="&amp;$H$2),
AND($H$2=Data!$A$11,$K$2=Data!$A$2),SUMIFS(Proventos!$H:$H,Proventos!$D:$D,"&gt;="&amp;CONCATENATE($E$6,"/",B42),Proventos!$D:$D,"&lt;"&amp;CONCATENATE($F$6,"/",B42),Proventos!$J:$J,"="&amp;$H$2),
$K$2=Data!$A$2,SUMIFS(Proventos!$H:$H,Proventos!$D:$D,"&gt;="&amp;CONCATENATE($E$6,"/",B42),Proventos!$D:$D,"&lt;"&amp;CONCATENATE($F$6,"/",B42)),
$K$2&lt;&gt;Data!$A$2,SUMIFS(Proventos!$H:$H,Proventos!$D:$D,"&gt;="&amp;CONCATENATE($E$6,"/",B42),Proventos!$D:$D,"&lt;"&amp;CONCATENATE($F$6,"/",B42),Proventos!$A:$A,"="&amp;$K$2))</f>
        <v>0</v>
      </c>
      <c r="F42" s="245">
        <f>IFS(
AND($H$2=Data!$A$3,$K$2=Data!$A$2),SUMIFS(Proventos!$H:$H,Proventos!$D:$D,"&gt;="&amp;CONCATENATE($F$6,"/",B42),Proventos!$D:$D,"&lt;"&amp;CONCATENATE($G$6,"/",B42),Proventos!$J:$J,"="&amp;$H$2),
AND($H$2=Data!$A$4,$K$2=Data!$A$2),SUMIFS(Proventos!$H:$H,Proventos!$D:$D,"&gt;="&amp;CONCATENATE($F$6,"/",B42),Proventos!$D:$D,"&lt;"&amp;CONCATENATE($G$6,"/",B42),Proventos!$J:$J,"="&amp;$H$2),
AND($H$2=Data!$A$5,$K$2=Data!$A$2),SUMIFS(Proventos!$H:$H,Proventos!$D:$D,"&gt;="&amp;CONCATENATE($F$6,"/",B42),Proventos!$D:$D,"&lt;"&amp;CONCATENATE($G$6,"/",B42),Proventos!$J:$J,"="&amp;$H$2),
AND($H$2=Data!$A$6,$K$2=Data!$A$2),SUMIFS(Proventos!$H:$H,Proventos!$D:$D,"&gt;="&amp;CONCATENATE($F$6,"/",B42),Proventos!$D:$D,"&lt;"&amp;CONCATENATE($G$6,"/",B42),Proventos!$J:$J,"="&amp;$H$2),
AND($H$2=Data!$A$7,$K$2=Data!$A$2),SUMIFS(Proventos!$H:$H,Proventos!$D:$D,"&gt;="&amp;CONCATENATE($F$6,"/",B42),Proventos!$D:$D,"&lt;"&amp;CONCATENATE($G$6,"/",B42),Proventos!$J:$J,"="&amp;$H$2),
AND($H$2=Data!$A$8,$K$2=Data!$A$2),SUMIFS(Proventos!$H:$H,Proventos!$D:$D,"&gt;="&amp;CONCATENATE($F$6,"/",B42),Proventos!$D:$D,"&lt;"&amp;CONCATENATE($G$6,"/",B42),Proventos!$J:$J,"="&amp;$H$2),
AND($H$2=Data!$A$9,$K$2=Data!$A$2),SUMIFS(Proventos!$H:$H,Proventos!$D:$D,"&gt;="&amp;CONCATENATE($F$6,"/",B42),Proventos!$D:$D,"&lt;"&amp;CONCATENATE($G$6,"/",B42),Proventos!$J:$J,"="&amp;$H$2),
AND($H$2=Data!$A$10,$K$2=Data!$A$2),SUMIFS(Proventos!$H:$H,Proventos!$D:$D,"&gt;="&amp;CONCATENATE($F$6,"/",B42),Proventos!$D:$D,"&lt;"&amp;CONCATENATE($G$6,"/",B42),Proventos!$J:$J,"="&amp;$H$2),
AND($H$2=Data!$A$11,$K$2=Data!$A$2),SUMIFS(Proventos!$H:$H,Proventos!$D:$D,"&gt;="&amp;CONCATENATE($F$6,"/",B42),Proventos!$D:$D,"&lt;"&amp;CONCATENATE($G$6,"/",B42),Proventos!$J:$J,"="&amp;$H$2),
$K$2=Data!$A$2,SUMIFS(Proventos!$H:$H,Proventos!$D:$D,"&gt;="&amp;CONCATENATE($F$6,"/",B42),Proventos!$D:$D,"&lt;"&amp;CONCATENATE($G$6,"/",B42)),
$K$2&lt;&gt;Data!$A$2,SUMIFS(Proventos!$H:$H,Proventos!$D:$D,"&gt;="&amp;CONCATENATE($F$6,"/",B42),Proventos!$D:$D,"&lt;"&amp;CONCATENATE($G$6,"/",B42),Proventos!$A:$A,"="&amp;$K$2))</f>
        <v>0</v>
      </c>
      <c r="G42" s="245">
        <f>IFS(
AND($H$2=Data!$A$3,$K$2=Data!$A$2),SUMIFS(Proventos!$H:$H,Proventos!$D:$D,"&gt;="&amp;CONCATENATE($G$6,"/",B42),Proventos!$D:$D,"&lt;"&amp;CONCATENATE($H$6,"/",B42),Proventos!$J:$J,"="&amp;$H$2),
AND($H$2=Data!$A$4,$K$2=Data!$A$2),SUMIFS(Proventos!$H:$H,Proventos!$D:$D,"&gt;="&amp;CONCATENATE($G$6,"/",B42),Proventos!$D:$D,"&lt;"&amp;CONCATENATE($H$6,"/",B42),Proventos!$J:$J,"="&amp;$H$2),
AND($H$2=Data!$A$5,$K$2=Data!$A$2),SUMIFS(Proventos!$H:$H,Proventos!$D:$D,"&gt;="&amp;CONCATENATE($G$6,"/",B42),Proventos!$D:$D,"&lt;"&amp;CONCATENATE($H$6,"/",B42),Proventos!$J:$J,"="&amp;$H$2),
AND($H$2=Data!$A$6,$K$2=Data!$A$2),SUMIFS(Proventos!$H:$H,Proventos!$D:$D,"&gt;="&amp;CONCATENATE($G$6,"/",B42),Proventos!$D:$D,"&lt;"&amp;CONCATENATE($H$6,"/",B42),Proventos!$J:$J,"="&amp;$H$2),
AND($H$2=Data!$A$7,$K$2=Data!$A$2),SUMIFS(Proventos!$H:$H,Proventos!$D:$D,"&gt;="&amp;CONCATENATE($G$6,"/",B42),Proventos!$D:$D,"&lt;"&amp;CONCATENATE($H$6,"/",B42),Proventos!$J:$J,"="&amp;$H$2),
AND($H$2=Data!$A$8,$K$2=Data!$A$2),SUMIFS(Proventos!$H:$H,Proventos!$D:$D,"&gt;="&amp;CONCATENATE($G$6,"/",B42),Proventos!$D:$D,"&lt;"&amp;CONCATENATE($H$6,"/",B42),Proventos!$J:$J,"="&amp;$H$2),
AND($H$2=Data!$A$9,$K$2=Data!$A$2),SUMIFS(Proventos!$H:$H,Proventos!$D:$D,"&gt;="&amp;CONCATENATE($G$6,"/",B42),Proventos!$D:$D,"&lt;"&amp;CONCATENATE($H$6,"/",B42),Proventos!$J:$J,"="&amp;$H$2),
AND($H$2=Data!$A$10,$K$2=Data!$A$2),SUMIFS(Proventos!$H:$H,Proventos!$D:$D,"&gt;="&amp;CONCATENATE($G$6,"/",B42),Proventos!$D:$D,"&lt;"&amp;CONCATENATE($H$6,"/",B42),Proventos!$J:$J,"="&amp;$H$2),
AND($H$2=Data!$A$11,$K$2=Data!$A$2),SUMIFS(Proventos!$H:$H,Proventos!$D:$D,"&gt;="&amp;CONCATENATE($G$6,"/",B42),Proventos!$D:$D,"&lt;"&amp;CONCATENATE($H$6,"/",B42),Proventos!$J:$J,"="&amp;$H$2),
$K$2=Data!$A$2,SUMIFS(Proventos!$H:$H,Proventos!$D:$D,"&gt;="&amp;CONCATENATE($G$6,"/",B42),Proventos!$D:$D,"&lt;"&amp;CONCATENATE($H$6,"/",B42)),
$K$2&lt;&gt;Data!$A$2,SUMIFS(Proventos!$H:$H,Proventos!$D:$D,"&gt;="&amp;CONCATENATE($G$6,"/",B42),Proventos!$D:$D,"&lt;"&amp;CONCATENATE($H$6,"/",B42),Proventos!$A:$A,"="&amp;$K$2))</f>
        <v>0</v>
      </c>
      <c r="H42" s="245">
        <f>IFS(
AND($H$2=Data!$A$3,$K$2=Data!$A$2),SUMIFS(Proventos!$H:$H,Proventos!$D:$D,"&gt;="&amp;CONCATENATE($H$6,"/",B42),Proventos!$D:$D,"&lt;"&amp;CONCATENATE($I$6,"/",B42),Proventos!$J:$J,"="&amp;$H$2),
AND($H$2=Data!$A$4,$K$2=Data!$A$2),SUMIFS(Proventos!$H:$H,Proventos!$D:$D,"&gt;="&amp;CONCATENATE($H$6,"/",B42),Proventos!$D:$D,"&lt;"&amp;CONCATENATE($I$6,"/",B42),Proventos!$J:$J,"="&amp;$H$2),
AND($H$2=Data!$A$5,$K$2=Data!$A$2),SUMIFS(Proventos!$H:$H,Proventos!$D:$D,"&gt;="&amp;CONCATENATE($H$6,"/",B42),Proventos!$D:$D,"&lt;"&amp;CONCATENATE($I$6,"/",B42),Proventos!$J:$J,"="&amp;$H$2),
AND($H$2=Data!$A$6,$K$2=Data!$A$2),SUMIFS(Proventos!$H:$H,Proventos!$D:$D,"&gt;="&amp;CONCATENATE($H$6,"/",B42),Proventos!$D:$D,"&lt;"&amp;CONCATENATE($I$6,"/",B42),Proventos!$J:$J,"="&amp;$H$2),
AND($H$2=Data!$A$7,$K$2=Data!$A$2),SUMIFS(Proventos!$H:$H,Proventos!$D:$D,"&gt;="&amp;CONCATENATE($H$6,"/",B42),Proventos!$D:$D,"&lt;"&amp;CONCATENATE($I$6,"/",B42),Proventos!$J:$J,"="&amp;$H$2),
AND($H$2=Data!$A$8,$K$2=Data!$A$2),SUMIFS(Proventos!$H:$H,Proventos!$D:$D,"&gt;="&amp;CONCATENATE($H$6,"/",B42),Proventos!$D:$D,"&lt;"&amp;CONCATENATE($I$6,"/",B42),Proventos!$J:$J,"="&amp;$H$2),
AND($H$2=Data!$A$9,$K$2=Data!$A$2),SUMIFS(Proventos!$H:$H,Proventos!$D:$D,"&gt;="&amp;CONCATENATE($H$6,"/",B42),Proventos!$D:$D,"&lt;"&amp;CONCATENATE($I$6,"/",B42),Proventos!$J:$J,"="&amp;$H$2),
AND($H$2=Data!$A$10,$K$2=Data!$A$2),SUMIFS(Proventos!$H:$H,Proventos!$D:$D,"&gt;="&amp;CONCATENATE($H$6,"/",B42),Proventos!$D:$D,"&lt;"&amp;CONCATENATE($I$6,"/",B42),Proventos!$J:$J,"="&amp;$H$2),
AND($H$2=Data!$A$11,$K$2=Data!$A$2),SUMIFS(Proventos!$H:$H,Proventos!$D:$D,"&gt;="&amp;CONCATENATE($H$6,"/",B42),Proventos!$D:$D,"&lt;"&amp;CONCATENATE($I$6,"/",B42),Proventos!$J:$J,"="&amp;$H$2),
$K$2=Data!$A$2,SUMIFS(Proventos!$H:$H,Proventos!$D:$D,"&gt;="&amp;CONCATENATE($H$6,"/",B42),Proventos!$D:$D,"&lt;"&amp;CONCATENATE($I$6,"/",B42)),
$K$2&lt;&gt;Data!$A$2,SUMIFS(Proventos!$H:$H,Proventos!$D:$D,"&gt;="&amp;CONCATENATE($H$6,"/",B42),Proventos!$D:$D,"&lt;"&amp;CONCATENATE($I$6,"/",B42),Proventos!$A:$A,"="&amp;$K$2))</f>
        <v>0</v>
      </c>
      <c r="I42" s="245">
        <f>IFS(
AND($H$2=Data!$A$3,$K$2=Data!$A$2),SUMIFS(Proventos!$H:$H,Proventos!$D:$D,"&gt;="&amp;CONCATENATE($I$6,"/",B42),Proventos!$D:$D,"&lt;"&amp;CONCATENATE($J$6,"/",B42),Proventos!$J:$J,"="&amp;$H$2),
AND($H$2=Data!$A$4,$K$2=Data!$A$2),SUMIFS(Proventos!$H:$H,Proventos!$D:$D,"&gt;="&amp;CONCATENATE($I$6,"/",B42),Proventos!$D:$D,"&lt;"&amp;CONCATENATE($J$6,"/",B42),Proventos!$J:$J,"="&amp;$H$2),
AND($H$2=Data!$A$5,$K$2=Data!$A$2),SUMIFS(Proventos!$H:$H,Proventos!$D:$D,"&gt;="&amp;CONCATENATE($I$6,"/",B42),Proventos!$D:$D,"&lt;"&amp;CONCATENATE($J$6,"/",B42),Proventos!$J:$J,"="&amp;$H$2),
AND($H$2=Data!$A$6,$K$2=Data!$A$2),SUMIFS(Proventos!$H:$H,Proventos!$D:$D,"&gt;="&amp;CONCATENATE($I$6,"/",B42),Proventos!$D:$D,"&lt;"&amp;CONCATENATE($J$6,"/",B42),Proventos!$J:$J,"="&amp;$H$2),
AND($H$2=Data!$A$7,$K$2=Data!$A$2),SUMIFS(Proventos!$H:$H,Proventos!$D:$D,"&gt;="&amp;CONCATENATE($I$6,"/",B42),Proventos!$D:$D,"&lt;"&amp;CONCATENATE($J$6,"/",B42),Proventos!$J:$J,"="&amp;$H$2),
AND($H$2=Data!$A$8,$K$2=Data!$A$2),SUMIFS(Proventos!$H:$H,Proventos!$D:$D,"&gt;="&amp;CONCATENATE($I$6,"/",B42),Proventos!$D:$D,"&lt;"&amp;CONCATENATE($J$6,"/",B42),Proventos!$J:$J,"="&amp;$H$2),
AND($H$2=Data!$A$9,$K$2=Data!$A$2),SUMIFS(Proventos!$H:$H,Proventos!$D:$D,"&gt;="&amp;CONCATENATE($I$6,"/",B42),Proventos!$D:$D,"&lt;"&amp;CONCATENATE($J$6,"/",B42),Proventos!$J:$J,"="&amp;$H$2),
AND($H$2=Data!$A$10,$K$2=Data!$A$2),SUMIFS(Proventos!$H:$H,Proventos!$D:$D,"&gt;="&amp;CONCATENATE($I$6,"/",B42),Proventos!$D:$D,"&lt;"&amp;CONCATENATE($J$6,"/",B42),Proventos!$J:$J,"="&amp;$H$2),
AND($H$2=Data!$A$11,$K$2=Data!$A$2),SUMIFS(Proventos!$H:$H,Proventos!$D:$D,"&gt;="&amp;CONCATENATE($I$6,"/",B42),Proventos!$D:$D,"&lt;"&amp;CONCATENATE($J$6,"/",B42),Proventos!$J:$J,"="&amp;$H$2),
$K$2=Data!$A$2,SUMIFS(Proventos!$H:$H,Proventos!$D:$D,"&gt;="&amp;CONCATENATE($I$6,"/",B42),Proventos!$D:$D,"&lt;"&amp;CONCATENATE($J$6,"/",B42)),
$K$2&lt;&gt;Data!$A$2,SUMIFS(Proventos!$H:$H,Proventos!$D:$D,"&gt;="&amp;CONCATENATE($I$6,"/",B42),Proventos!$D:$D,"&lt;"&amp;CONCATENATE($J$6,"/",B42),Proventos!$A:$A,"="&amp;$K$2))</f>
        <v>0</v>
      </c>
      <c r="J42" s="245">
        <f>IFS(
AND($H$2=Data!$A$3,$K$2=Data!$A$2),SUMIFS(Proventos!$H:$H,Proventos!$D:$D,"&gt;="&amp;CONCATENATE($J$6,"/",B42),Proventos!$D:$D,"&lt;"&amp;CONCATENATE($K$6,"/",B42),Proventos!$J:$J,"="&amp;$H$2),
AND($H$2=Data!$A$4,$K$2=Data!$A$2),SUMIFS(Proventos!$H:$H,Proventos!$D:$D,"&gt;="&amp;CONCATENATE($J$6,"/",B42),Proventos!$D:$D,"&lt;"&amp;CONCATENATE($K$6,"/",B42),Proventos!$J:$J,"="&amp;$H$2),
AND($H$2=Data!$A$5,$K$2=Data!$A$2),SUMIFS(Proventos!$H:$H,Proventos!$D:$D,"&gt;="&amp;CONCATENATE($J$6,"/",B42),Proventos!$D:$D,"&lt;"&amp;CONCATENATE($K$6,"/",B42),Proventos!$J:$J,"="&amp;$H$2),
AND($H$2=Data!$A$6,$K$2=Data!$A$2),SUMIFS(Proventos!$H:$H,Proventos!$D:$D,"&gt;="&amp;CONCATENATE($J$6,"/",B42),Proventos!$D:$D,"&lt;"&amp;CONCATENATE($K$6,"/",B42),Proventos!$J:$J,"="&amp;$H$2),
AND($H$2=Data!$A$7,$K$2=Data!$A$2),SUMIFS(Proventos!$H:$H,Proventos!$D:$D,"&gt;="&amp;CONCATENATE($J$6,"/",B42),Proventos!$D:$D,"&lt;"&amp;CONCATENATE($K$6,"/",B42),Proventos!$J:$J,"="&amp;$H$2),
AND($H$2=Data!$A$8,$K$2=Data!$A$2),SUMIFS(Proventos!$H:$H,Proventos!$D:$D,"&gt;="&amp;CONCATENATE($J$6,"/",B42),Proventos!$D:$D,"&lt;"&amp;CONCATENATE($K$6,"/",B42),Proventos!$J:$J,"="&amp;$H$2),
AND($H$2=Data!$A$9,$K$2=Data!$A$2),SUMIFS(Proventos!$H:$H,Proventos!$D:$D,"&gt;="&amp;CONCATENATE($J$6,"/",B42),Proventos!$D:$D,"&lt;"&amp;CONCATENATE($K$6,"/",B42),Proventos!$J:$J,"="&amp;$H$2),
AND($H$2=Data!$A$10,$K$2=Data!$A$2),SUMIFS(Proventos!$H:$H,Proventos!$D:$D,"&gt;="&amp;CONCATENATE($J$6,"/",B42),Proventos!$D:$D,"&lt;"&amp;CONCATENATE($K$6,"/",B42),Proventos!$J:$J,"="&amp;$H$2),
AND($H$2=Data!$A$11,$K$2=Data!$A$2),SUMIFS(Proventos!$H:$H,Proventos!$D:$D,"&gt;="&amp;CONCATENATE($J$6,"/",B42),Proventos!$D:$D,"&lt;"&amp;CONCATENATE($K$6,"/",B42),Proventos!$J:$J,"="&amp;$H$2),
$K$2=Data!$A$2,SUMIFS(Proventos!$H:$H,Proventos!$D:$D,"&gt;="&amp;CONCATENATE($J$6,"/",B42),Proventos!$D:$D,"&lt;"&amp;CONCATENATE($K$6,"/",B42)),
$K$2&lt;&gt;Data!$A$2,SUMIFS(Proventos!$H:$H,Proventos!$D:$D,"&gt;="&amp;CONCATENATE($J$6,"/",B42),Proventos!$D:$D,"&lt;"&amp;CONCATENATE($K$6,"/",B42),Proventos!$A:$A,"="&amp;$K$2))</f>
        <v>0</v>
      </c>
      <c r="K42" s="245">
        <f>IFS(
AND($H$2=Data!$A$3,$K$2=Data!$A$2),SUMIFS(Proventos!$H:$H,Proventos!$D:$D,"&gt;="&amp;CONCATENATE($K$6,"/",B42),Proventos!$D:$D,"&lt;"&amp;CONCATENATE($L$6,"/",B42),Proventos!$J:$J,"="&amp;$H$2),
AND($H$2=Data!$A$4,$K$2=Data!$A$2),SUMIFS(Proventos!$H:$H,Proventos!$D:$D,"&gt;="&amp;CONCATENATE($K$6,"/",B42),Proventos!$D:$D,"&lt;"&amp;CONCATENATE($L$6,"/",B42),Proventos!$J:$J,"="&amp;$H$2),
AND($H$2=Data!$A$5,$K$2=Data!$A$2),SUMIFS(Proventos!$H:$H,Proventos!$D:$D,"&gt;="&amp;CONCATENATE($K$6,"/",B42),Proventos!$D:$D,"&lt;"&amp;CONCATENATE($L$6,"/",B42),Proventos!$J:$J,"="&amp;$H$2),
AND($H$2=Data!$A$6,$K$2=Data!$A$2),SUMIFS(Proventos!$H:$H,Proventos!$D:$D,"&gt;="&amp;CONCATENATE($K$6,"/",B42),Proventos!$D:$D,"&lt;"&amp;CONCATENATE($L$6,"/",B42),Proventos!$J:$J,"="&amp;$H$2),
AND($H$2=Data!$A$7,$K$2=Data!$A$2),SUMIFS(Proventos!$H:$H,Proventos!$D:$D,"&gt;="&amp;CONCATENATE($K$6,"/",B42),Proventos!$D:$D,"&lt;"&amp;CONCATENATE($L$6,"/",B42),Proventos!$J:$J,"="&amp;$H$2),
AND($H$2=Data!$A$8,$K$2=Data!$A$2),SUMIFS(Proventos!$H:$H,Proventos!$D:$D,"&gt;="&amp;CONCATENATE($K$6,"/",B42),Proventos!$D:$D,"&lt;"&amp;CONCATENATE($L$6,"/",B42),Proventos!$J:$J,"="&amp;$H$2),
AND($H$2=Data!$A$9,$K$2=Data!$A$2),SUMIFS(Proventos!$H:$H,Proventos!$D:$D,"&gt;="&amp;CONCATENATE($K$6,"/",B42),Proventos!$D:$D,"&lt;"&amp;CONCATENATE($L$6,"/",B42),Proventos!$J:$J,"="&amp;$H$2),
AND($H$2=Data!$A$10,$K$2=Data!$A$2),SUMIFS(Proventos!$H:$H,Proventos!$D:$D,"&gt;="&amp;CONCATENATE($K$6,"/",B42),Proventos!$D:$D,"&lt;"&amp;CONCATENATE($L$6,"/",B42),Proventos!$J:$J,"="&amp;$H$2),
AND($H$2=Data!$A$11,$K$2=Data!$A$2),SUMIFS(Proventos!$H:$H,Proventos!$D:$D,"&gt;="&amp;CONCATENATE($K$6,"/",B42),Proventos!$D:$D,"&lt;"&amp;CONCATENATE($L$6,"/",B42),Proventos!$J:$J,"="&amp;$H$2),
$K$2=Data!$A$2,SUMIFS(Proventos!$H:$H,Proventos!$D:$D,"&gt;="&amp;CONCATENATE($K$6,"/",B42),Proventos!$D:$D,"&lt;"&amp;CONCATENATE($L$6,"/",B42)),
$K$2&lt;&gt;Data!$A$2,SUMIFS(Proventos!$H:$H,Proventos!$D:$D,"&gt;="&amp;CONCATENATE($K$6,"/",B42),Proventos!$D:$D,"&lt;"&amp;CONCATENATE($L$6,"/",B42),Proventos!$A:$A,"="&amp;$K$2))</f>
        <v>0</v>
      </c>
      <c r="L42" s="245">
        <f>IFS(
AND($H$2=Data!$A$3,$K$2=Data!$A$2),SUMIFS(Proventos!$H:$H,Proventos!$D:$D,"&gt;="&amp;CONCATENATE($L$6,"/",B42),Proventos!$D:$D,"&lt;"&amp;CONCATENATE($M$6,"/",B42),Proventos!$J:$J,"="&amp;$H$2),
AND($H$2=Data!$A$4,$K$2=Data!$A$2),SUMIFS(Proventos!$H:$H,Proventos!$D:$D,"&gt;="&amp;CONCATENATE($L$6,"/",B42),Proventos!$D:$D,"&lt;"&amp;CONCATENATE($M$6,"/",B42),Proventos!$J:$J,"="&amp;$H$2),
AND($H$2=Data!$A$5,$K$2=Data!$A$2),SUMIFS(Proventos!$H:$H,Proventos!$D:$D,"&gt;="&amp;CONCATENATE($L$6,"/",B42),Proventos!$D:$D,"&lt;"&amp;CONCATENATE($M$6,"/",B42),Proventos!$J:$J,"="&amp;$H$2),
AND($H$2=Data!$A$6,$K$2=Data!$A$2),SUMIFS(Proventos!$H:$H,Proventos!$D:$D,"&gt;="&amp;CONCATENATE($L$6,"/",B42),Proventos!$D:$D,"&lt;"&amp;CONCATENATE($M$6,"/",B42),Proventos!$J:$J,"="&amp;$H$2),
AND($H$2=Data!$A$7,$K$2=Data!$A$2),SUMIFS(Proventos!$H:$H,Proventos!$D:$D,"&gt;="&amp;CONCATENATE($L$6,"/",B42),Proventos!$D:$D,"&lt;"&amp;CONCATENATE($M$6,"/",B42),Proventos!$J:$J,"="&amp;$H$2),
AND($H$2=Data!$A$8,$K$2=Data!$A$2),SUMIFS(Proventos!$H:$H,Proventos!$D:$D,"&gt;="&amp;CONCATENATE($L$6,"/",B42),Proventos!$D:$D,"&lt;"&amp;CONCATENATE($M$6,"/",B42),Proventos!$J:$J,"="&amp;$H$2),
AND($H$2=Data!$A$9,$K$2=Data!$A$2),SUMIFS(Proventos!$H:$H,Proventos!$D:$D,"&gt;="&amp;CONCATENATE($L$6,"/",B42),Proventos!$D:$D,"&lt;"&amp;CONCATENATE($M$6,"/",B42),Proventos!$J:$J,"="&amp;$H$2),
AND($H$2=Data!$A$10,$K$2=Data!$A$2),SUMIFS(Proventos!$H:$H,Proventos!$D:$D,"&gt;="&amp;CONCATENATE($L$6,"/",B42),Proventos!$D:$D,"&lt;"&amp;CONCATENATE($M$6,"/",B42),Proventos!$J:$J,"="&amp;$H$2),
AND($H$2=Data!$A$11,$K$2=Data!$A$2),SUMIFS(Proventos!$H:$H,Proventos!$D:$D,"&gt;="&amp;CONCATENATE($L$6,"/",B42),Proventos!$D:$D,"&lt;"&amp;CONCATENATE($M$6,"/",B42),Proventos!$J:$J,"="&amp;$H$2),
$K$2=Data!$A$2,SUMIFS(Proventos!$H:$H,Proventos!$D:$D,"&gt;="&amp;CONCATENATE($L$6,"/",B42),Proventos!$D:$D,"&lt;"&amp;CONCATENATE($M$6,"/",B42)),
$K$2&lt;&gt;Data!$A$2,SUMIFS(Proventos!$H:$H,Proventos!$D:$D,"&gt;="&amp;CONCATENATE($L$6,"/",B42),Proventos!$D:$D,"&lt;"&amp;CONCATENATE($M$6,"/",B42),Proventos!$A:$A,"="&amp;$K$2))</f>
        <v>0</v>
      </c>
      <c r="M42" s="245">
        <f>IFS(
AND($H$2=Data!$A$3,$K$2=Data!$A$2),SUMIFS(Proventos!$H:$H,Proventos!$D:$D,"&gt;="&amp;CONCATENATE($M$6,"/",B42),Proventos!$D:$D,"&lt;"&amp;CONCATENATE($N$6,"/",B42),Proventos!$J:$J,"="&amp;$H$2),
AND($H$2=Data!$A$4,$K$2=Data!$A$2),SUMIFS(Proventos!$H:$H,Proventos!$D:$D,"&gt;="&amp;CONCATENATE($M$6,"/",B42),Proventos!$D:$D,"&lt;"&amp;CONCATENATE($N$6,"/",B42),Proventos!$J:$J,"="&amp;$H$2),
AND($H$2=Data!$A$5,$K$2=Data!$A$2),SUMIFS(Proventos!$H:$H,Proventos!$D:$D,"&gt;="&amp;CONCATENATE($M$6,"/",B42),Proventos!$D:$D,"&lt;"&amp;CONCATENATE($N$6,"/",B42),Proventos!$J:$J,"="&amp;$H$2),
AND($H$2=Data!$A$6,$K$2=Data!$A$2),SUMIFS(Proventos!$H:$H,Proventos!$D:$D,"&gt;="&amp;CONCATENATE($M$6,"/",B42),Proventos!$D:$D,"&lt;"&amp;CONCATENATE($N$6,"/",B42),Proventos!$J:$J,"="&amp;$H$2),
AND($H$2=Data!$A$7,$K$2=Data!$A$2),SUMIFS(Proventos!$H:$H,Proventos!$D:$D,"&gt;="&amp;CONCATENATE($M$6,"/",B42),Proventos!$D:$D,"&lt;"&amp;CONCATENATE($N$6,"/",B42),Proventos!$J:$J,"="&amp;$H$2),
AND($H$2=Data!$A$8,$K$2=Data!$A$2),SUMIFS(Proventos!$H:$H,Proventos!$D:$D,"&gt;="&amp;CONCATENATE($M$6,"/",B42),Proventos!$D:$D,"&lt;"&amp;CONCATENATE($N$6,"/",B42),Proventos!$J:$J,"="&amp;$H$2),
AND($H$2=Data!$A$9,$K$2=Data!$A$2),SUMIFS(Proventos!$H:$H,Proventos!$D:$D,"&gt;="&amp;CONCATENATE($M$6,"/",B42),Proventos!$D:$D,"&lt;"&amp;CONCATENATE($N$6,"/",B42),Proventos!$J:$J,"="&amp;$H$2),
AND($H$2=Data!$A$10,$K$2=Data!$A$2),SUMIFS(Proventos!$H:$H,Proventos!$D:$D,"&gt;="&amp;CONCATENATE($M$6,"/",B42),Proventos!$D:$D,"&lt;"&amp;CONCATENATE($N$6,"/",B42),Proventos!$J:$J,"="&amp;$H$2),
AND($H$2=Data!$A$11,$K$2=Data!$A$2),SUMIFS(Proventos!$H:$H,Proventos!$D:$D,"&gt;="&amp;CONCATENATE($M$6,"/",B42),Proventos!$D:$D,"&lt;"&amp;CONCATENATE($N$6,"/",B42),Proventos!$J:$J,"="&amp;$H$2),
$K$2=Data!$A$2,SUMIFS(Proventos!$H:$H,Proventos!$D:$D,"&gt;="&amp;CONCATENATE($M$6,"/",B42),Proventos!$D:$D,"&lt;"&amp;CONCATENATE($N$6,"/",B42)),
$K$2&lt;&gt;Data!$A$2,SUMIFS(Proventos!$H:$H,Proventos!$D:$D,"&gt;="&amp;CONCATENATE($M$6,"/",B42),Proventos!$D:$D,"&lt;"&amp;CONCATENATE($N$6,"/",B42),Proventos!$A:$A,"="&amp;$K$2))</f>
        <v>0</v>
      </c>
      <c r="N42" s="245">
        <f>IFS(
AND($H$2=Data!$A$3,$K$2=Data!$A$2),SUMIFS(Proventos!$H:$H,Proventos!$D:$D,"&gt;="&amp;CONCATENATE($N$6,"/",B42),Proventos!$D:$D,"&lt;"&amp;CONCATENATE($C$6,"/",B43),Proventos!$J:$J,"="&amp;$H$2),
AND($H$2=Data!$A$4,$K$2=Data!$A$2),SUMIFS(Proventos!$H:$H,Proventos!$D:$D,"&gt;="&amp;CONCATENATE($N$6,"/",B42),Proventos!$D:$D,"&lt;"&amp;CONCATENATE($C$6,"/",B43),Proventos!$J:$J,"="&amp;$H$2),
AND($H$2=Data!$A$5,$K$2=Data!$A$2),SUMIFS(Proventos!$H:$H,Proventos!$D:$D,"&gt;="&amp;CONCATENATE($N$6,"/",B42),Proventos!$D:$D,"&lt;"&amp;CONCATENATE($C$6,"/",B43),Proventos!$J:$J,"="&amp;$H$2),
AND($H$2=Data!$A$6,$K$2=Data!$A$2),SUMIFS(Proventos!$H:$H,Proventos!$D:$D,"&gt;="&amp;CONCATENATE($N$6,"/",B42),Proventos!$D:$D,"&lt;"&amp;CONCATENATE($C$6,"/",B43),Proventos!$J:$J,"="&amp;$H$2),
AND($H$2=Data!$A$7,$K$2=Data!$A$2),SUMIFS(Proventos!$H:$H,Proventos!$D:$D,"&gt;="&amp;CONCATENATE($N$6,"/",B42),Proventos!$D:$D,"&lt;"&amp;CONCATENATE($C$6,"/",B43),Proventos!$J:$J,"="&amp;$H$2),
AND($H$2=Data!$A$8,$K$2=Data!$A$2),SUMIFS(Proventos!$H:$H,Proventos!$D:$D,"&gt;="&amp;CONCATENATE($N$6,"/",B42),Proventos!$D:$D,"&lt;"&amp;CONCATENATE($C$6,"/",B43),Proventos!$J:$J,"="&amp;$H$2),
AND($H$2=Data!$A$9,$K$2=Data!$A$2),SUMIFS(Proventos!$H:$H,Proventos!$D:$D,"&gt;="&amp;CONCATENATE($N$6,"/",B42),Proventos!$D:$D,"&lt;"&amp;CONCATENATE($C$6,"/",B43),Proventos!$J:$J,"="&amp;$H$2),
AND($H$2=Data!$A$10,$K$2=Data!$A$2),SUMIFS(Proventos!$H:$H,Proventos!$D:$D,"&gt;="&amp;CONCATENATE($N$6,"/",B42),Proventos!$D:$D,"&lt;"&amp;CONCATENATE($C$6,"/",B43),Proventos!$J:$J,"="&amp;$H$2),
AND($H$2=Data!$A$11,$K$2=Data!$A$2),SUMIFS(Proventos!$H:$H,Proventos!$D:$D,"&gt;="&amp;CONCATENATE($N$6,"/",B42),Proventos!$D:$D,"&lt;"&amp;CONCATENATE($C$6,"/",B43),Proventos!$J:$J,"="&amp;$H$2),
$K$2=Data!$A$2,SUMIFS(Proventos!$H:$H,Proventos!$D:$D,"&gt;="&amp;CONCATENATE($N$6,"/",B42),Proventos!$D:$D,"&lt;"&amp;CONCATENATE($C$6,"/",B43)),
$K$2&lt;&gt;Data!$A$2,SUMIFS(Proventos!$H:$H,Proventos!$D:$D,"&gt;="&amp;CONCATENATE($N$6,"/",B42),Proventos!$D:$D,"&lt;"&amp;CONCATENATE($C$6,"/",B43),Proventos!$A:$A,"="&amp;$K$2))</f>
        <v>0</v>
      </c>
      <c r="O42" s="245"/>
      <c r="P42" s="245">
        <f t="shared" si="1"/>
        <v>0</v>
      </c>
      <c r="Q42" s="245">
        <f t="shared" si="2"/>
        <v>0</v>
      </c>
    </row>
    <row r="43" ht="32.25" customHeight="1">
      <c r="A43" s="230"/>
      <c r="B43" s="244"/>
      <c r="C43" s="245">
        <f>IFS(
AND($H$2=Data!$A$3,$K$2=Data!$A$2),SUMIFS(Proventos!$H:$H,Proventos!$D:$D,"&gt;="&amp;CONCATENATE($C$6,"/",B43),Proventos!$D:$D,"&lt;"&amp;CONCATENATE($D$6,"/",B43),Proventos!$J:$J,"="&amp;$H$2),
AND($H$2=Data!$A$4,$K$2=Data!$A$2),SUMIFS(Proventos!$H:$H,Proventos!$D:$D,"&gt;="&amp;CONCATENATE($C$6,"/",B43),Proventos!$D:$D,"&lt;"&amp;CONCATENATE($D$6,"/",B43),Proventos!$J:$J,"="&amp;$H$2),
AND($H$2=Data!$A$5,$K$2=Data!$A$2),SUMIFS(Proventos!$H:$H,Proventos!$D:$D,"&gt;="&amp;CONCATENATE($C$6,"/",B43),Proventos!$D:$D,"&lt;"&amp;CONCATENATE($D$6,"/",B43),Proventos!$J:$J,"="&amp;$H$2),
AND($H$2=Data!$A$6,$K$2=Data!$A$2),SUMIFS(Proventos!$H:$H,Proventos!$D:$D,"&gt;="&amp;CONCATENATE($C$6,"/",B43),Proventos!$D:$D,"&lt;"&amp;CONCATENATE($D$6,"/",B43),Proventos!$J:$J,"="&amp;$H$2),
AND($H$2=Data!$A$7,$K$2=Data!$A$2),SUMIFS(Proventos!$H:$H,Proventos!$D:$D,"&gt;="&amp;CONCATENATE($C$6,"/",B43),Proventos!$D:$D,"&lt;"&amp;CONCATENATE($D$6,"/",B43),Proventos!$J:$J,"="&amp;$H$2),
AND($H$2=Data!$A$8,$K$2=Data!$A$2),SUMIFS(Proventos!$H:$H,Proventos!$D:$D,"&gt;="&amp;CONCATENATE($C$6,"/",B43),Proventos!$D:$D,"&lt;"&amp;CONCATENATE($D$6,"/",B43),Proventos!$J:$J,"="&amp;$H$2),
AND($H$2=Data!$A$9,$K$2=Data!$A$2),SUMIFS(Proventos!$H:$H,Proventos!$D:$D,"&gt;="&amp;CONCATENATE($C$6,"/",B43),Proventos!$D:$D,"&lt;"&amp;CONCATENATE($D$6,"/",B43),Proventos!$J:$J,"="&amp;$H$2),
AND($H$2=Data!$A$10,$K$2=Data!$A$2),SUMIFS(Proventos!$H:$H,Proventos!$D:$D,"&gt;="&amp;CONCATENATE($C$6,"/",B43),Proventos!$D:$D,"&lt;"&amp;CONCATENATE($D$6,"/",B43),Proventos!$J:$J,"="&amp;$H$2),
AND($H$2=Data!$A$11,$K$2=Data!$A$2),SUMIFS(Proventos!$H:$H,Proventos!$D:$D,"&gt;="&amp;CONCATENATE($C$6,"/",B43),Proventos!$D:$D,"&lt;"&amp;CONCATENATE($D$6,"/",B43),Proventos!$J:$J,"="&amp;$H$2),
$K$2=Data!$A$2,SUMIFS(Proventos!$H:$H,Proventos!$D:$D,"&gt;="&amp;CONCATENATE($C$6,"/",B43),Proventos!$D:$D,"&lt;"&amp;CONCATENATE($D$6,"/",B43)),
$K$2&lt;&gt;Data!$A$2,SUMIFS(Proventos!$H:$H,Proventos!$D:$D,"&gt;="&amp;CONCATENATE($C$6,"/",B43),Proventos!$D:$D,"&lt;"&amp;CONCATENATE($D$6,"/",B43),Proventos!$A:$A,"="&amp;$K$2))</f>
        <v>0</v>
      </c>
      <c r="D43" s="245">
        <f>IFS(
AND($H$2=Data!$A$3,$K$2=Data!$A$2),SUMIFS(Proventos!$H:$H,Proventos!$D:$D,"&gt;="&amp;CONCATENATE($D$6,"/",B43),Proventos!$D:$D,"&lt;"&amp;CONCATENATE($E$6,"/",B43),Proventos!$J:$J,"="&amp;$H$2),
AND($H$2=Data!$A$4,$K$2=Data!$A$2),SUMIFS(Proventos!$H:$H,Proventos!$D:$D,"&gt;="&amp;CONCATENATE($D$6,"/",B43),Proventos!$D:$D,"&lt;"&amp;CONCATENATE($E$6,"/",B43),Proventos!$J:$J,"="&amp;$H$2),
AND($H$2=Data!$A$5,$K$2=Data!$A$2),SUMIFS(Proventos!$H:$H,Proventos!$D:$D,"&gt;="&amp;CONCATENATE($D$6,"/",B43),Proventos!$D:$D,"&lt;"&amp;CONCATENATE($E$6,"/",B43),Proventos!$J:$J,"="&amp;$H$2),
AND($H$2=Data!$A$6,$K$2=Data!$A$2),SUMIFS(Proventos!$H:$H,Proventos!$D:$D,"&gt;="&amp;CONCATENATE($D$6,"/",B43),Proventos!$D:$D,"&lt;"&amp;CONCATENATE($E$6,"/",B43),Proventos!$J:$J,"="&amp;$H$2),
AND($H$2=Data!$A$7,$K$2=Data!$A$2),SUMIFS(Proventos!$H:$H,Proventos!$D:$D,"&gt;="&amp;CONCATENATE($D$6,"/",B43),Proventos!$D:$D,"&lt;"&amp;CONCATENATE($E$6,"/",B43),Proventos!$J:$J,"="&amp;$H$2),
AND($H$2=Data!$A$8,$K$2=Data!$A$2),SUMIFS(Proventos!$H:$H,Proventos!$D:$D,"&gt;="&amp;CONCATENATE($D$6,"/",B43),Proventos!$D:$D,"&lt;"&amp;CONCATENATE($E$6,"/",B43),Proventos!$J:$J,"="&amp;$H$2),
AND($H$2=Data!$A$9,$K$2=Data!$A$2),SUMIFS(Proventos!$H:$H,Proventos!$D:$D,"&gt;="&amp;CONCATENATE($D$6,"/",B43),Proventos!$D:$D,"&lt;"&amp;CONCATENATE($E$6,"/",B43),Proventos!$J:$J,"="&amp;$H$2),
AND($H$2=Data!$A$10,$K$2=Data!$A$2),SUMIFS(Proventos!$H:$H,Proventos!$D:$D,"&gt;="&amp;CONCATENATE($D$6,"/",B43),Proventos!$D:$D,"&lt;"&amp;CONCATENATE($E$6,"/",B43),Proventos!$J:$J,"="&amp;$H$2),
AND($H$2=Data!$A$11,$K$2=Data!$A$2),SUMIFS(Proventos!$H:$H,Proventos!$D:$D,"&gt;="&amp;CONCATENATE($D$6,"/",B43),Proventos!$D:$D,"&lt;"&amp;CONCATENATE($E$6,"/",B43),Proventos!$J:$J,"="&amp;$H$2),
$K$2=Data!$A$2,SUMIFS(Proventos!$H:$H,Proventos!$D:$D,"&gt;="&amp;CONCATENATE($D$6,"/",B43),Proventos!$D:$D,"&lt;"&amp;CONCATENATE($E$6,"/",B43)),
$K$2&lt;&gt;Data!$A$2,SUMIFS(Proventos!$H:$H,Proventos!$D:$D,"&gt;="&amp;CONCATENATE($D$6,"/",B43),Proventos!$D:$D,"&lt;"&amp;CONCATENATE($E$6,"/",B43),Proventos!$A:$A,"="&amp;$K$2))</f>
        <v>0</v>
      </c>
      <c r="E43" s="245">
        <f>IFS(
AND($H$2=Data!$A$3,$K$2=Data!$A$2),SUMIFS(Proventos!$H:$H,Proventos!$D:$D,"&gt;="&amp;CONCATENATE($E$6,"/",B43),Proventos!$D:$D,"&lt;"&amp;CONCATENATE($F$6,"/",B43),Proventos!$J:$J,"="&amp;$H$2),
AND($H$2=Data!$A$4,$K$2=Data!$A$2),SUMIFS(Proventos!$H:$H,Proventos!$D:$D,"&gt;="&amp;CONCATENATE($E$6,"/",B43),Proventos!$D:$D,"&lt;"&amp;CONCATENATE($F$6,"/",B43),Proventos!$J:$J,"="&amp;$H$2),
AND($H$2=Data!$A$5,$K$2=Data!$A$2),SUMIFS(Proventos!$H:$H,Proventos!$D:$D,"&gt;="&amp;CONCATENATE($E$6,"/",B43),Proventos!$D:$D,"&lt;"&amp;CONCATENATE($F$6,"/",B43),Proventos!$J:$J,"="&amp;$H$2),
AND($H$2=Data!$A$6,$K$2=Data!$A$2),SUMIFS(Proventos!$H:$H,Proventos!$D:$D,"&gt;="&amp;CONCATENATE($E$6,"/",B43),Proventos!$D:$D,"&lt;"&amp;CONCATENATE($F$6,"/",B43),Proventos!$J:$J,"="&amp;$H$2),
AND($H$2=Data!$A$7,$K$2=Data!$A$2),SUMIFS(Proventos!$H:$H,Proventos!$D:$D,"&gt;="&amp;CONCATENATE($E$6,"/",B43),Proventos!$D:$D,"&lt;"&amp;CONCATENATE($F$6,"/",B43),Proventos!$J:$J,"="&amp;$H$2),
AND($H$2=Data!$A$8,$K$2=Data!$A$2),SUMIFS(Proventos!$H:$H,Proventos!$D:$D,"&gt;="&amp;CONCATENATE($E$6,"/",B43),Proventos!$D:$D,"&lt;"&amp;CONCATENATE($F$6,"/",B43),Proventos!$J:$J,"="&amp;$H$2),
AND($H$2=Data!$A$9,$K$2=Data!$A$2),SUMIFS(Proventos!$H:$H,Proventos!$D:$D,"&gt;="&amp;CONCATENATE($E$6,"/",B43),Proventos!$D:$D,"&lt;"&amp;CONCATENATE($F$6,"/",B43),Proventos!$J:$J,"="&amp;$H$2),
AND($H$2=Data!$A$10,$K$2=Data!$A$2),SUMIFS(Proventos!$H:$H,Proventos!$D:$D,"&gt;="&amp;CONCATENATE($E$6,"/",B43),Proventos!$D:$D,"&lt;"&amp;CONCATENATE($F$6,"/",B43),Proventos!$J:$J,"="&amp;$H$2),
AND($H$2=Data!$A$11,$K$2=Data!$A$2),SUMIFS(Proventos!$H:$H,Proventos!$D:$D,"&gt;="&amp;CONCATENATE($E$6,"/",B43),Proventos!$D:$D,"&lt;"&amp;CONCATENATE($F$6,"/",B43),Proventos!$J:$J,"="&amp;$H$2),
$K$2=Data!$A$2,SUMIFS(Proventos!$H:$H,Proventos!$D:$D,"&gt;="&amp;CONCATENATE($E$6,"/",B43),Proventos!$D:$D,"&lt;"&amp;CONCATENATE($F$6,"/",B43)),
$K$2&lt;&gt;Data!$A$2,SUMIFS(Proventos!$H:$H,Proventos!$D:$D,"&gt;="&amp;CONCATENATE($E$6,"/",B43),Proventos!$D:$D,"&lt;"&amp;CONCATENATE($F$6,"/",B43),Proventos!$A:$A,"="&amp;$K$2))</f>
        <v>0</v>
      </c>
      <c r="F43" s="245">
        <f>IFS(
AND($H$2=Data!$A$3,$K$2=Data!$A$2),SUMIFS(Proventos!$H:$H,Proventos!$D:$D,"&gt;="&amp;CONCATENATE($F$6,"/",B43),Proventos!$D:$D,"&lt;"&amp;CONCATENATE($G$6,"/",B43),Proventos!$J:$J,"="&amp;$H$2),
AND($H$2=Data!$A$4,$K$2=Data!$A$2),SUMIFS(Proventos!$H:$H,Proventos!$D:$D,"&gt;="&amp;CONCATENATE($F$6,"/",B43),Proventos!$D:$D,"&lt;"&amp;CONCATENATE($G$6,"/",B43),Proventos!$J:$J,"="&amp;$H$2),
AND($H$2=Data!$A$5,$K$2=Data!$A$2),SUMIFS(Proventos!$H:$H,Proventos!$D:$D,"&gt;="&amp;CONCATENATE($F$6,"/",B43),Proventos!$D:$D,"&lt;"&amp;CONCATENATE($G$6,"/",B43),Proventos!$J:$J,"="&amp;$H$2),
AND($H$2=Data!$A$6,$K$2=Data!$A$2),SUMIFS(Proventos!$H:$H,Proventos!$D:$D,"&gt;="&amp;CONCATENATE($F$6,"/",B43),Proventos!$D:$D,"&lt;"&amp;CONCATENATE($G$6,"/",B43),Proventos!$J:$J,"="&amp;$H$2),
AND($H$2=Data!$A$7,$K$2=Data!$A$2),SUMIFS(Proventos!$H:$H,Proventos!$D:$D,"&gt;="&amp;CONCATENATE($F$6,"/",B43),Proventos!$D:$D,"&lt;"&amp;CONCATENATE($G$6,"/",B43),Proventos!$J:$J,"="&amp;$H$2),
AND($H$2=Data!$A$8,$K$2=Data!$A$2),SUMIFS(Proventos!$H:$H,Proventos!$D:$D,"&gt;="&amp;CONCATENATE($F$6,"/",B43),Proventos!$D:$D,"&lt;"&amp;CONCATENATE($G$6,"/",B43),Proventos!$J:$J,"="&amp;$H$2),
AND($H$2=Data!$A$9,$K$2=Data!$A$2),SUMIFS(Proventos!$H:$H,Proventos!$D:$D,"&gt;="&amp;CONCATENATE($F$6,"/",B43),Proventos!$D:$D,"&lt;"&amp;CONCATENATE($G$6,"/",B43),Proventos!$J:$J,"="&amp;$H$2),
AND($H$2=Data!$A$10,$K$2=Data!$A$2),SUMIFS(Proventos!$H:$H,Proventos!$D:$D,"&gt;="&amp;CONCATENATE($F$6,"/",B43),Proventos!$D:$D,"&lt;"&amp;CONCATENATE($G$6,"/",B43),Proventos!$J:$J,"="&amp;$H$2),
AND($H$2=Data!$A$11,$K$2=Data!$A$2),SUMIFS(Proventos!$H:$H,Proventos!$D:$D,"&gt;="&amp;CONCATENATE($F$6,"/",B43),Proventos!$D:$D,"&lt;"&amp;CONCATENATE($G$6,"/",B43),Proventos!$J:$J,"="&amp;$H$2),
$K$2=Data!$A$2,SUMIFS(Proventos!$H:$H,Proventos!$D:$D,"&gt;="&amp;CONCATENATE($F$6,"/",B43),Proventos!$D:$D,"&lt;"&amp;CONCATENATE($G$6,"/",B43)),
$K$2&lt;&gt;Data!$A$2,SUMIFS(Proventos!$H:$H,Proventos!$D:$D,"&gt;="&amp;CONCATENATE($F$6,"/",B43),Proventos!$D:$D,"&lt;"&amp;CONCATENATE($G$6,"/",B43),Proventos!$A:$A,"="&amp;$K$2))</f>
        <v>0</v>
      </c>
      <c r="G43" s="245">
        <f>IFS(
AND($H$2=Data!$A$3,$K$2=Data!$A$2),SUMIFS(Proventos!$H:$H,Proventos!$D:$D,"&gt;="&amp;CONCATENATE($G$6,"/",B43),Proventos!$D:$D,"&lt;"&amp;CONCATENATE($H$6,"/",B43),Proventos!$J:$J,"="&amp;$H$2),
AND($H$2=Data!$A$4,$K$2=Data!$A$2),SUMIFS(Proventos!$H:$H,Proventos!$D:$D,"&gt;="&amp;CONCATENATE($G$6,"/",B43),Proventos!$D:$D,"&lt;"&amp;CONCATENATE($H$6,"/",B43),Proventos!$J:$J,"="&amp;$H$2),
AND($H$2=Data!$A$5,$K$2=Data!$A$2),SUMIFS(Proventos!$H:$H,Proventos!$D:$D,"&gt;="&amp;CONCATENATE($G$6,"/",B43),Proventos!$D:$D,"&lt;"&amp;CONCATENATE($H$6,"/",B43),Proventos!$J:$J,"="&amp;$H$2),
AND($H$2=Data!$A$6,$K$2=Data!$A$2),SUMIFS(Proventos!$H:$H,Proventos!$D:$D,"&gt;="&amp;CONCATENATE($G$6,"/",B43),Proventos!$D:$D,"&lt;"&amp;CONCATENATE($H$6,"/",B43),Proventos!$J:$J,"="&amp;$H$2),
AND($H$2=Data!$A$7,$K$2=Data!$A$2),SUMIFS(Proventos!$H:$H,Proventos!$D:$D,"&gt;="&amp;CONCATENATE($G$6,"/",B43),Proventos!$D:$D,"&lt;"&amp;CONCATENATE($H$6,"/",B43),Proventos!$J:$J,"="&amp;$H$2),
AND($H$2=Data!$A$8,$K$2=Data!$A$2),SUMIFS(Proventos!$H:$H,Proventos!$D:$D,"&gt;="&amp;CONCATENATE($G$6,"/",B43),Proventos!$D:$D,"&lt;"&amp;CONCATENATE($H$6,"/",B43),Proventos!$J:$J,"="&amp;$H$2),
AND($H$2=Data!$A$9,$K$2=Data!$A$2),SUMIFS(Proventos!$H:$H,Proventos!$D:$D,"&gt;="&amp;CONCATENATE($G$6,"/",B43),Proventos!$D:$D,"&lt;"&amp;CONCATENATE($H$6,"/",B43),Proventos!$J:$J,"="&amp;$H$2),
AND($H$2=Data!$A$10,$K$2=Data!$A$2),SUMIFS(Proventos!$H:$H,Proventos!$D:$D,"&gt;="&amp;CONCATENATE($G$6,"/",B43),Proventos!$D:$D,"&lt;"&amp;CONCATENATE($H$6,"/",B43),Proventos!$J:$J,"="&amp;$H$2),
AND($H$2=Data!$A$11,$K$2=Data!$A$2),SUMIFS(Proventos!$H:$H,Proventos!$D:$D,"&gt;="&amp;CONCATENATE($G$6,"/",B43),Proventos!$D:$D,"&lt;"&amp;CONCATENATE($H$6,"/",B43),Proventos!$J:$J,"="&amp;$H$2),
$K$2=Data!$A$2,SUMIFS(Proventos!$H:$H,Proventos!$D:$D,"&gt;="&amp;CONCATENATE($G$6,"/",B43),Proventos!$D:$D,"&lt;"&amp;CONCATENATE($H$6,"/",B43)),
$K$2&lt;&gt;Data!$A$2,SUMIFS(Proventos!$H:$H,Proventos!$D:$D,"&gt;="&amp;CONCATENATE($G$6,"/",B43),Proventos!$D:$D,"&lt;"&amp;CONCATENATE($H$6,"/",B43),Proventos!$A:$A,"="&amp;$K$2))</f>
        <v>0</v>
      </c>
      <c r="H43" s="245">
        <f>IFS(
AND($H$2=Data!$A$3,$K$2=Data!$A$2),SUMIFS(Proventos!$H:$H,Proventos!$D:$D,"&gt;="&amp;CONCATENATE($H$6,"/",B43),Proventos!$D:$D,"&lt;"&amp;CONCATENATE($I$6,"/",B43),Proventos!$J:$J,"="&amp;$H$2),
AND($H$2=Data!$A$4,$K$2=Data!$A$2),SUMIFS(Proventos!$H:$H,Proventos!$D:$D,"&gt;="&amp;CONCATENATE($H$6,"/",B43),Proventos!$D:$D,"&lt;"&amp;CONCATENATE($I$6,"/",B43),Proventos!$J:$J,"="&amp;$H$2),
AND($H$2=Data!$A$5,$K$2=Data!$A$2),SUMIFS(Proventos!$H:$H,Proventos!$D:$D,"&gt;="&amp;CONCATENATE($H$6,"/",B43),Proventos!$D:$D,"&lt;"&amp;CONCATENATE($I$6,"/",B43),Proventos!$J:$J,"="&amp;$H$2),
AND($H$2=Data!$A$6,$K$2=Data!$A$2),SUMIFS(Proventos!$H:$H,Proventos!$D:$D,"&gt;="&amp;CONCATENATE($H$6,"/",B43),Proventos!$D:$D,"&lt;"&amp;CONCATENATE($I$6,"/",B43),Proventos!$J:$J,"="&amp;$H$2),
AND($H$2=Data!$A$7,$K$2=Data!$A$2),SUMIFS(Proventos!$H:$H,Proventos!$D:$D,"&gt;="&amp;CONCATENATE($H$6,"/",B43),Proventos!$D:$D,"&lt;"&amp;CONCATENATE($I$6,"/",B43),Proventos!$J:$J,"="&amp;$H$2),
AND($H$2=Data!$A$8,$K$2=Data!$A$2),SUMIFS(Proventos!$H:$H,Proventos!$D:$D,"&gt;="&amp;CONCATENATE($H$6,"/",B43),Proventos!$D:$D,"&lt;"&amp;CONCATENATE($I$6,"/",B43),Proventos!$J:$J,"="&amp;$H$2),
AND($H$2=Data!$A$9,$K$2=Data!$A$2),SUMIFS(Proventos!$H:$H,Proventos!$D:$D,"&gt;="&amp;CONCATENATE($H$6,"/",B43),Proventos!$D:$D,"&lt;"&amp;CONCATENATE($I$6,"/",B43),Proventos!$J:$J,"="&amp;$H$2),
AND($H$2=Data!$A$10,$K$2=Data!$A$2),SUMIFS(Proventos!$H:$H,Proventos!$D:$D,"&gt;="&amp;CONCATENATE($H$6,"/",B43),Proventos!$D:$D,"&lt;"&amp;CONCATENATE($I$6,"/",B43),Proventos!$J:$J,"="&amp;$H$2),
AND($H$2=Data!$A$11,$K$2=Data!$A$2),SUMIFS(Proventos!$H:$H,Proventos!$D:$D,"&gt;="&amp;CONCATENATE($H$6,"/",B43),Proventos!$D:$D,"&lt;"&amp;CONCATENATE($I$6,"/",B43),Proventos!$J:$J,"="&amp;$H$2),
$K$2=Data!$A$2,SUMIFS(Proventos!$H:$H,Proventos!$D:$D,"&gt;="&amp;CONCATENATE($H$6,"/",B43),Proventos!$D:$D,"&lt;"&amp;CONCATENATE($I$6,"/",B43)),
$K$2&lt;&gt;Data!$A$2,SUMIFS(Proventos!$H:$H,Proventos!$D:$D,"&gt;="&amp;CONCATENATE($H$6,"/",B43),Proventos!$D:$D,"&lt;"&amp;CONCATENATE($I$6,"/",B43),Proventos!$A:$A,"="&amp;$K$2))</f>
        <v>0</v>
      </c>
      <c r="I43" s="245">
        <f>IFS(
AND($H$2=Data!$A$3,$K$2=Data!$A$2),SUMIFS(Proventos!$H:$H,Proventos!$D:$D,"&gt;="&amp;CONCATENATE($I$6,"/",B43),Proventos!$D:$D,"&lt;"&amp;CONCATENATE($J$6,"/",B43),Proventos!$J:$J,"="&amp;$H$2),
AND($H$2=Data!$A$4,$K$2=Data!$A$2),SUMIFS(Proventos!$H:$H,Proventos!$D:$D,"&gt;="&amp;CONCATENATE($I$6,"/",B43),Proventos!$D:$D,"&lt;"&amp;CONCATENATE($J$6,"/",B43),Proventos!$J:$J,"="&amp;$H$2),
AND($H$2=Data!$A$5,$K$2=Data!$A$2),SUMIFS(Proventos!$H:$H,Proventos!$D:$D,"&gt;="&amp;CONCATENATE($I$6,"/",B43),Proventos!$D:$D,"&lt;"&amp;CONCATENATE($J$6,"/",B43),Proventos!$J:$J,"="&amp;$H$2),
AND($H$2=Data!$A$6,$K$2=Data!$A$2),SUMIFS(Proventos!$H:$H,Proventos!$D:$D,"&gt;="&amp;CONCATENATE($I$6,"/",B43),Proventos!$D:$D,"&lt;"&amp;CONCATENATE($J$6,"/",B43),Proventos!$J:$J,"="&amp;$H$2),
AND($H$2=Data!$A$7,$K$2=Data!$A$2),SUMIFS(Proventos!$H:$H,Proventos!$D:$D,"&gt;="&amp;CONCATENATE($I$6,"/",B43),Proventos!$D:$D,"&lt;"&amp;CONCATENATE($J$6,"/",B43),Proventos!$J:$J,"="&amp;$H$2),
AND($H$2=Data!$A$8,$K$2=Data!$A$2),SUMIFS(Proventos!$H:$H,Proventos!$D:$D,"&gt;="&amp;CONCATENATE($I$6,"/",B43),Proventos!$D:$D,"&lt;"&amp;CONCATENATE($J$6,"/",B43),Proventos!$J:$J,"="&amp;$H$2),
AND($H$2=Data!$A$9,$K$2=Data!$A$2),SUMIFS(Proventos!$H:$H,Proventos!$D:$D,"&gt;="&amp;CONCATENATE($I$6,"/",B43),Proventos!$D:$D,"&lt;"&amp;CONCATENATE($J$6,"/",B43),Proventos!$J:$J,"="&amp;$H$2),
AND($H$2=Data!$A$10,$K$2=Data!$A$2),SUMIFS(Proventos!$H:$H,Proventos!$D:$D,"&gt;="&amp;CONCATENATE($I$6,"/",B43),Proventos!$D:$D,"&lt;"&amp;CONCATENATE($J$6,"/",B43),Proventos!$J:$J,"="&amp;$H$2),
AND($H$2=Data!$A$11,$K$2=Data!$A$2),SUMIFS(Proventos!$H:$H,Proventos!$D:$D,"&gt;="&amp;CONCATENATE($I$6,"/",B43),Proventos!$D:$D,"&lt;"&amp;CONCATENATE($J$6,"/",B43),Proventos!$J:$J,"="&amp;$H$2),
$K$2=Data!$A$2,SUMIFS(Proventos!$H:$H,Proventos!$D:$D,"&gt;="&amp;CONCATENATE($I$6,"/",B43),Proventos!$D:$D,"&lt;"&amp;CONCATENATE($J$6,"/",B43)),
$K$2&lt;&gt;Data!$A$2,SUMIFS(Proventos!$H:$H,Proventos!$D:$D,"&gt;="&amp;CONCATENATE($I$6,"/",B43),Proventos!$D:$D,"&lt;"&amp;CONCATENATE($J$6,"/",B43),Proventos!$A:$A,"="&amp;$K$2))</f>
        <v>0</v>
      </c>
      <c r="J43" s="245">
        <f>IFS(
AND($H$2=Data!$A$3,$K$2=Data!$A$2),SUMIFS(Proventos!$H:$H,Proventos!$D:$D,"&gt;="&amp;CONCATENATE($J$6,"/",B43),Proventos!$D:$D,"&lt;"&amp;CONCATENATE($K$6,"/",B43),Proventos!$J:$J,"="&amp;$H$2),
AND($H$2=Data!$A$4,$K$2=Data!$A$2),SUMIFS(Proventos!$H:$H,Proventos!$D:$D,"&gt;="&amp;CONCATENATE($J$6,"/",B43),Proventos!$D:$D,"&lt;"&amp;CONCATENATE($K$6,"/",B43),Proventos!$J:$J,"="&amp;$H$2),
AND($H$2=Data!$A$5,$K$2=Data!$A$2),SUMIFS(Proventos!$H:$H,Proventos!$D:$D,"&gt;="&amp;CONCATENATE($J$6,"/",B43),Proventos!$D:$D,"&lt;"&amp;CONCATENATE($K$6,"/",B43),Proventos!$J:$J,"="&amp;$H$2),
AND($H$2=Data!$A$6,$K$2=Data!$A$2),SUMIFS(Proventos!$H:$H,Proventos!$D:$D,"&gt;="&amp;CONCATENATE($J$6,"/",B43),Proventos!$D:$D,"&lt;"&amp;CONCATENATE($K$6,"/",B43),Proventos!$J:$J,"="&amp;$H$2),
AND($H$2=Data!$A$7,$K$2=Data!$A$2),SUMIFS(Proventos!$H:$H,Proventos!$D:$D,"&gt;="&amp;CONCATENATE($J$6,"/",B43),Proventos!$D:$D,"&lt;"&amp;CONCATENATE($K$6,"/",B43),Proventos!$J:$J,"="&amp;$H$2),
AND($H$2=Data!$A$8,$K$2=Data!$A$2),SUMIFS(Proventos!$H:$H,Proventos!$D:$D,"&gt;="&amp;CONCATENATE($J$6,"/",B43),Proventos!$D:$D,"&lt;"&amp;CONCATENATE($K$6,"/",B43),Proventos!$J:$J,"="&amp;$H$2),
AND($H$2=Data!$A$9,$K$2=Data!$A$2),SUMIFS(Proventos!$H:$H,Proventos!$D:$D,"&gt;="&amp;CONCATENATE($J$6,"/",B43),Proventos!$D:$D,"&lt;"&amp;CONCATENATE($K$6,"/",B43),Proventos!$J:$J,"="&amp;$H$2),
AND($H$2=Data!$A$10,$K$2=Data!$A$2),SUMIFS(Proventos!$H:$H,Proventos!$D:$D,"&gt;="&amp;CONCATENATE($J$6,"/",B43),Proventos!$D:$D,"&lt;"&amp;CONCATENATE($K$6,"/",B43),Proventos!$J:$J,"="&amp;$H$2),
AND($H$2=Data!$A$11,$K$2=Data!$A$2),SUMIFS(Proventos!$H:$H,Proventos!$D:$D,"&gt;="&amp;CONCATENATE($J$6,"/",B43),Proventos!$D:$D,"&lt;"&amp;CONCATENATE($K$6,"/",B43),Proventos!$J:$J,"="&amp;$H$2),
$K$2=Data!$A$2,SUMIFS(Proventos!$H:$H,Proventos!$D:$D,"&gt;="&amp;CONCATENATE($J$6,"/",B43),Proventos!$D:$D,"&lt;"&amp;CONCATENATE($K$6,"/",B43)),
$K$2&lt;&gt;Data!$A$2,SUMIFS(Proventos!$H:$H,Proventos!$D:$D,"&gt;="&amp;CONCATENATE($J$6,"/",B43),Proventos!$D:$D,"&lt;"&amp;CONCATENATE($K$6,"/",B43),Proventos!$A:$A,"="&amp;$K$2))</f>
        <v>0</v>
      </c>
      <c r="K43" s="245">
        <f>IFS(
AND($H$2=Data!$A$3,$K$2=Data!$A$2),SUMIFS(Proventos!$H:$H,Proventos!$D:$D,"&gt;="&amp;CONCATENATE($K$6,"/",B43),Proventos!$D:$D,"&lt;"&amp;CONCATENATE($L$6,"/",B43),Proventos!$J:$J,"="&amp;$H$2),
AND($H$2=Data!$A$4,$K$2=Data!$A$2),SUMIFS(Proventos!$H:$H,Proventos!$D:$D,"&gt;="&amp;CONCATENATE($K$6,"/",B43),Proventos!$D:$D,"&lt;"&amp;CONCATENATE($L$6,"/",B43),Proventos!$J:$J,"="&amp;$H$2),
AND($H$2=Data!$A$5,$K$2=Data!$A$2),SUMIFS(Proventos!$H:$H,Proventos!$D:$D,"&gt;="&amp;CONCATENATE($K$6,"/",B43),Proventos!$D:$D,"&lt;"&amp;CONCATENATE($L$6,"/",B43),Proventos!$J:$J,"="&amp;$H$2),
AND($H$2=Data!$A$6,$K$2=Data!$A$2),SUMIFS(Proventos!$H:$H,Proventos!$D:$D,"&gt;="&amp;CONCATENATE($K$6,"/",B43),Proventos!$D:$D,"&lt;"&amp;CONCATENATE($L$6,"/",B43),Proventos!$J:$J,"="&amp;$H$2),
AND($H$2=Data!$A$7,$K$2=Data!$A$2),SUMIFS(Proventos!$H:$H,Proventos!$D:$D,"&gt;="&amp;CONCATENATE($K$6,"/",B43),Proventos!$D:$D,"&lt;"&amp;CONCATENATE($L$6,"/",B43),Proventos!$J:$J,"="&amp;$H$2),
AND($H$2=Data!$A$8,$K$2=Data!$A$2),SUMIFS(Proventos!$H:$H,Proventos!$D:$D,"&gt;="&amp;CONCATENATE($K$6,"/",B43),Proventos!$D:$D,"&lt;"&amp;CONCATENATE($L$6,"/",B43),Proventos!$J:$J,"="&amp;$H$2),
AND($H$2=Data!$A$9,$K$2=Data!$A$2),SUMIFS(Proventos!$H:$H,Proventos!$D:$D,"&gt;="&amp;CONCATENATE($K$6,"/",B43),Proventos!$D:$D,"&lt;"&amp;CONCATENATE($L$6,"/",B43),Proventos!$J:$J,"="&amp;$H$2),
AND($H$2=Data!$A$10,$K$2=Data!$A$2),SUMIFS(Proventos!$H:$H,Proventos!$D:$D,"&gt;="&amp;CONCATENATE($K$6,"/",B43),Proventos!$D:$D,"&lt;"&amp;CONCATENATE($L$6,"/",B43),Proventos!$J:$J,"="&amp;$H$2),
AND($H$2=Data!$A$11,$K$2=Data!$A$2),SUMIFS(Proventos!$H:$H,Proventos!$D:$D,"&gt;="&amp;CONCATENATE($K$6,"/",B43),Proventos!$D:$D,"&lt;"&amp;CONCATENATE($L$6,"/",B43),Proventos!$J:$J,"="&amp;$H$2),
$K$2=Data!$A$2,SUMIFS(Proventos!$H:$H,Proventos!$D:$D,"&gt;="&amp;CONCATENATE($K$6,"/",B43),Proventos!$D:$D,"&lt;"&amp;CONCATENATE($L$6,"/",B43)),
$K$2&lt;&gt;Data!$A$2,SUMIFS(Proventos!$H:$H,Proventos!$D:$D,"&gt;="&amp;CONCATENATE($K$6,"/",B43),Proventos!$D:$D,"&lt;"&amp;CONCATENATE($L$6,"/",B43),Proventos!$A:$A,"="&amp;$K$2))</f>
        <v>0</v>
      </c>
      <c r="L43" s="245">
        <f>IFS(
AND($H$2=Data!$A$3,$K$2=Data!$A$2),SUMIFS(Proventos!$H:$H,Proventos!$D:$D,"&gt;="&amp;CONCATENATE($L$6,"/",B43),Proventos!$D:$D,"&lt;"&amp;CONCATENATE($M$6,"/",B43),Proventos!$J:$J,"="&amp;$H$2),
AND($H$2=Data!$A$4,$K$2=Data!$A$2),SUMIFS(Proventos!$H:$H,Proventos!$D:$D,"&gt;="&amp;CONCATENATE($L$6,"/",B43),Proventos!$D:$D,"&lt;"&amp;CONCATENATE($M$6,"/",B43),Proventos!$J:$J,"="&amp;$H$2),
AND($H$2=Data!$A$5,$K$2=Data!$A$2),SUMIFS(Proventos!$H:$H,Proventos!$D:$D,"&gt;="&amp;CONCATENATE($L$6,"/",B43),Proventos!$D:$D,"&lt;"&amp;CONCATENATE($M$6,"/",B43),Proventos!$J:$J,"="&amp;$H$2),
AND($H$2=Data!$A$6,$K$2=Data!$A$2),SUMIFS(Proventos!$H:$H,Proventos!$D:$D,"&gt;="&amp;CONCATENATE($L$6,"/",B43),Proventos!$D:$D,"&lt;"&amp;CONCATENATE($M$6,"/",B43),Proventos!$J:$J,"="&amp;$H$2),
AND($H$2=Data!$A$7,$K$2=Data!$A$2),SUMIFS(Proventos!$H:$H,Proventos!$D:$D,"&gt;="&amp;CONCATENATE($L$6,"/",B43),Proventos!$D:$D,"&lt;"&amp;CONCATENATE($M$6,"/",B43),Proventos!$J:$J,"="&amp;$H$2),
AND($H$2=Data!$A$8,$K$2=Data!$A$2),SUMIFS(Proventos!$H:$H,Proventos!$D:$D,"&gt;="&amp;CONCATENATE($L$6,"/",B43),Proventos!$D:$D,"&lt;"&amp;CONCATENATE($M$6,"/",B43),Proventos!$J:$J,"="&amp;$H$2),
AND($H$2=Data!$A$9,$K$2=Data!$A$2),SUMIFS(Proventos!$H:$H,Proventos!$D:$D,"&gt;="&amp;CONCATENATE($L$6,"/",B43),Proventos!$D:$D,"&lt;"&amp;CONCATENATE($M$6,"/",B43),Proventos!$J:$J,"="&amp;$H$2),
AND($H$2=Data!$A$10,$K$2=Data!$A$2),SUMIFS(Proventos!$H:$H,Proventos!$D:$D,"&gt;="&amp;CONCATENATE($L$6,"/",B43),Proventos!$D:$D,"&lt;"&amp;CONCATENATE($M$6,"/",B43),Proventos!$J:$J,"="&amp;$H$2),
AND($H$2=Data!$A$11,$K$2=Data!$A$2),SUMIFS(Proventos!$H:$H,Proventos!$D:$D,"&gt;="&amp;CONCATENATE($L$6,"/",B43),Proventos!$D:$D,"&lt;"&amp;CONCATENATE($M$6,"/",B43),Proventos!$J:$J,"="&amp;$H$2),
$K$2=Data!$A$2,SUMIFS(Proventos!$H:$H,Proventos!$D:$D,"&gt;="&amp;CONCATENATE($L$6,"/",B43),Proventos!$D:$D,"&lt;"&amp;CONCATENATE($M$6,"/",B43)),
$K$2&lt;&gt;Data!$A$2,SUMIFS(Proventos!$H:$H,Proventos!$D:$D,"&gt;="&amp;CONCATENATE($L$6,"/",B43),Proventos!$D:$D,"&lt;"&amp;CONCATENATE($M$6,"/",B43),Proventos!$A:$A,"="&amp;$K$2))</f>
        <v>0</v>
      </c>
      <c r="M43" s="245">
        <f>IFS(
AND($H$2=Data!$A$3,$K$2=Data!$A$2),SUMIFS(Proventos!$H:$H,Proventos!$D:$D,"&gt;="&amp;CONCATENATE($M$6,"/",B43),Proventos!$D:$D,"&lt;"&amp;CONCATENATE($N$6,"/",B43),Proventos!$J:$J,"="&amp;$H$2),
AND($H$2=Data!$A$4,$K$2=Data!$A$2),SUMIFS(Proventos!$H:$H,Proventos!$D:$D,"&gt;="&amp;CONCATENATE($M$6,"/",B43),Proventos!$D:$D,"&lt;"&amp;CONCATENATE($N$6,"/",B43),Proventos!$J:$J,"="&amp;$H$2),
AND($H$2=Data!$A$5,$K$2=Data!$A$2),SUMIFS(Proventos!$H:$H,Proventos!$D:$D,"&gt;="&amp;CONCATENATE($M$6,"/",B43),Proventos!$D:$D,"&lt;"&amp;CONCATENATE($N$6,"/",B43),Proventos!$J:$J,"="&amp;$H$2),
AND($H$2=Data!$A$6,$K$2=Data!$A$2),SUMIFS(Proventos!$H:$H,Proventos!$D:$D,"&gt;="&amp;CONCATENATE($M$6,"/",B43),Proventos!$D:$D,"&lt;"&amp;CONCATENATE($N$6,"/",B43),Proventos!$J:$J,"="&amp;$H$2),
AND($H$2=Data!$A$7,$K$2=Data!$A$2),SUMIFS(Proventos!$H:$H,Proventos!$D:$D,"&gt;="&amp;CONCATENATE($M$6,"/",B43),Proventos!$D:$D,"&lt;"&amp;CONCATENATE($N$6,"/",B43),Proventos!$J:$J,"="&amp;$H$2),
AND($H$2=Data!$A$8,$K$2=Data!$A$2),SUMIFS(Proventos!$H:$H,Proventos!$D:$D,"&gt;="&amp;CONCATENATE($M$6,"/",B43),Proventos!$D:$D,"&lt;"&amp;CONCATENATE($N$6,"/",B43),Proventos!$J:$J,"="&amp;$H$2),
AND($H$2=Data!$A$9,$K$2=Data!$A$2),SUMIFS(Proventos!$H:$H,Proventos!$D:$D,"&gt;="&amp;CONCATENATE($M$6,"/",B43),Proventos!$D:$D,"&lt;"&amp;CONCATENATE($N$6,"/",B43),Proventos!$J:$J,"="&amp;$H$2),
AND($H$2=Data!$A$10,$K$2=Data!$A$2),SUMIFS(Proventos!$H:$H,Proventos!$D:$D,"&gt;="&amp;CONCATENATE($M$6,"/",B43),Proventos!$D:$D,"&lt;"&amp;CONCATENATE($N$6,"/",B43),Proventos!$J:$J,"="&amp;$H$2),
AND($H$2=Data!$A$11,$K$2=Data!$A$2),SUMIFS(Proventos!$H:$H,Proventos!$D:$D,"&gt;="&amp;CONCATENATE($M$6,"/",B43),Proventos!$D:$D,"&lt;"&amp;CONCATENATE($N$6,"/",B43),Proventos!$J:$J,"="&amp;$H$2),
$K$2=Data!$A$2,SUMIFS(Proventos!$H:$H,Proventos!$D:$D,"&gt;="&amp;CONCATENATE($M$6,"/",B43),Proventos!$D:$D,"&lt;"&amp;CONCATENATE($N$6,"/",B43)),
$K$2&lt;&gt;Data!$A$2,SUMIFS(Proventos!$H:$H,Proventos!$D:$D,"&gt;="&amp;CONCATENATE($M$6,"/",B43),Proventos!$D:$D,"&lt;"&amp;CONCATENATE($N$6,"/",B43),Proventos!$A:$A,"="&amp;$K$2))</f>
        <v>0</v>
      </c>
      <c r="N43" s="245">
        <f>IFS(
AND($H$2=Data!$A$3,$K$2=Data!$A$2),SUMIFS(Proventos!$H:$H,Proventos!$D:$D,"&gt;="&amp;CONCATENATE($N$6,"/",B43),Proventos!$D:$D,"&lt;"&amp;CONCATENATE($C$6,"/",B44),Proventos!$J:$J,"="&amp;$H$2),
AND($H$2=Data!$A$4,$K$2=Data!$A$2),SUMIFS(Proventos!$H:$H,Proventos!$D:$D,"&gt;="&amp;CONCATENATE($N$6,"/",B43),Proventos!$D:$D,"&lt;"&amp;CONCATENATE($C$6,"/",B44),Proventos!$J:$J,"="&amp;$H$2),
AND($H$2=Data!$A$5,$K$2=Data!$A$2),SUMIFS(Proventos!$H:$H,Proventos!$D:$D,"&gt;="&amp;CONCATENATE($N$6,"/",B43),Proventos!$D:$D,"&lt;"&amp;CONCATENATE($C$6,"/",B44),Proventos!$J:$J,"="&amp;$H$2),
AND($H$2=Data!$A$6,$K$2=Data!$A$2),SUMIFS(Proventos!$H:$H,Proventos!$D:$D,"&gt;="&amp;CONCATENATE($N$6,"/",B43),Proventos!$D:$D,"&lt;"&amp;CONCATENATE($C$6,"/",B44),Proventos!$J:$J,"="&amp;$H$2),
AND($H$2=Data!$A$7,$K$2=Data!$A$2),SUMIFS(Proventos!$H:$H,Proventos!$D:$D,"&gt;="&amp;CONCATENATE($N$6,"/",B43),Proventos!$D:$D,"&lt;"&amp;CONCATENATE($C$6,"/",B44),Proventos!$J:$J,"="&amp;$H$2),
AND($H$2=Data!$A$8,$K$2=Data!$A$2),SUMIFS(Proventos!$H:$H,Proventos!$D:$D,"&gt;="&amp;CONCATENATE($N$6,"/",B43),Proventos!$D:$D,"&lt;"&amp;CONCATENATE($C$6,"/",B44),Proventos!$J:$J,"="&amp;$H$2),
AND($H$2=Data!$A$9,$K$2=Data!$A$2),SUMIFS(Proventos!$H:$H,Proventos!$D:$D,"&gt;="&amp;CONCATENATE($N$6,"/",B43),Proventos!$D:$D,"&lt;"&amp;CONCATENATE($C$6,"/",B44),Proventos!$J:$J,"="&amp;$H$2),
AND($H$2=Data!$A$10,$K$2=Data!$A$2),SUMIFS(Proventos!$H:$H,Proventos!$D:$D,"&gt;="&amp;CONCATENATE($N$6,"/",B43),Proventos!$D:$D,"&lt;"&amp;CONCATENATE($C$6,"/",B44),Proventos!$J:$J,"="&amp;$H$2),
AND($H$2=Data!$A$11,$K$2=Data!$A$2),SUMIFS(Proventos!$H:$H,Proventos!$D:$D,"&gt;="&amp;CONCATENATE($N$6,"/",B43),Proventos!$D:$D,"&lt;"&amp;CONCATENATE($C$6,"/",B44),Proventos!$J:$J,"="&amp;$H$2),
$K$2=Data!$A$2,SUMIFS(Proventos!$H:$H,Proventos!$D:$D,"&gt;="&amp;CONCATENATE($N$6,"/",B43),Proventos!$D:$D,"&lt;"&amp;CONCATENATE($C$6,"/",B44)),
$K$2&lt;&gt;Data!$A$2,SUMIFS(Proventos!$H:$H,Proventos!$D:$D,"&gt;="&amp;CONCATENATE($N$6,"/",B43),Proventos!$D:$D,"&lt;"&amp;CONCATENATE($C$6,"/",B44),Proventos!$A:$A,"="&amp;$K$2))</f>
        <v>0</v>
      </c>
      <c r="O43" s="245"/>
      <c r="P43" s="245">
        <f t="shared" si="1"/>
        <v>0</v>
      </c>
      <c r="Q43" s="245">
        <f t="shared" si="2"/>
        <v>0</v>
      </c>
    </row>
    <row r="44" ht="32.25" customHeight="1">
      <c r="A44" s="230"/>
      <c r="B44" s="244"/>
      <c r="C44" s="245">
        <f>IFS(
AND($H$2=Data!$A$3,$K$2=Data!$A$2),SUMIFS(Proventos!$H:$H,Proventos!$D:$D,"&gt;="&amp;CONCATENATE($C$6,"/",B44),Proventos!$D:$D,"&lt;"&amp;CONCATENATE($D$6,"/",B44),Proventos!$J:$J,"="&amp;$H$2),
AND($H$2=Data!$A$4,$K$2=Data!$A$2),SUMIFS(Proventos!$H:$H,Proventos!$D:$D,"&gt;="&amp;CONCATENATE($C$6,"/",B44),Proventos!$D:$D,"&lt;"&amp;CONCATENATE($D$6,"/",B44),Proventos!$J:$J,"="&amp;$H$2),
AND($H$2=Data!$A$5,$K$2=Data!$A$2),SUMIFS(Proventos!$H:$H,Proventos!$D:$D,"&gt;="&amp;CONCATENATE($C$6,"/",B44),Proventos!$D:$D,"&lt;"&amp;CONCATENATE($D$6,"/",B44),Proventos!$J:$J,"="&amp;$H$2),
AND($H$2=Data!$A$6,$K$2=Data!$A$2),SUMIFS(Proventos!$H:$H,Proventos!$D:$D,"&gt;="&amp;CONCATENATE($C$6,"/",B44),Proventos!$D:$D,"&lt;"&amp;CONCATENATE($D$6,"/",B44),Proventos!$J:$J,"="&amp;$H$2),
AND($H$2=Data!$A$7,$K$2=Data!$A$2),SUMIFS(Proventos!$H:$H,Proventos!$D:$D,"&gt;="&amp;CONCATENATE($C$6,"/",B44),Proventos!$D:$D,"&lt;"&amp;CONCATENATE($D$6,"/",B44),Proventos!$J:$J,"="&amp;$H$2),
AND($H$2=Data!$A$8,$K$2=Data!$A$2),SUMIFS(Proventos!$H:$H,Proventos!$D:$D,"&gt;="&amp;CONCATENATE($C$6,"/",B44),Proventos!$D:$D,"&lt;"&amp;CONCATENATE($D$6,"/",B44),Proventos!$J:$J,"="&amp;$H$2),
AND($H$2=Data!$A$9,$K$2=Data!$A$2),SUMIFS(Proventos!$H:$H,Proventos!$D:$D,"&gt;="&amp;CONCATENATE($C$6,"/",B44),Proventos!$D:$D,"&lt;"&amp;CONCATENATE($D$6,"/",B44),Proventos!$J:$J,"="&amp;$H$2),
AND($H$2=Data!$A$10,$K$2=Data!$A$2),SUMIFS(Proventos!$H:$H,Proventos!$D:$D,"&gt;="&amp;CONCATENATE($C$6,"/",B44),Proventos!$D:$D,"&lt;"&amp;CONCATENATE($D$6,"/",B44),Proventos!$J:$J,"="&amp;$H$2),
AND($H$2=Data!$A$11,$K$2=Data!$A$2),SUMIFS(Proventos!$H:$H,Proventos!$D:$D,"&gt;="&amp;CONCATENATE($C$6,"/",B44),Proventos!$D:$D,"&lt;"&amp;CONCATENATE($D$6,"/",B44),Proventos!$J:$J,"="&amp;$H$2),
$K$2=Data!$A$2,SUMIFS(Proventos!$H:$H,Proventos!$D:$D,"&gt;="&amp;CONCATENATE($C$6,"/",B44),Proventos!$D:$D,"&lt;"&amp;CONCATENATE($D$6,"/",B44)),
$K$2&lt;&gt;Data!$A$2,SUMIFS(Proventos!$H:$H,Proventos!$D:$D,"&gt;="&amp;CONCATENATE($C$6,"/",B44),Proventos!$D:$D,"&lt;"&amp;CONCATENATE($D$6,"/",B44),Proventos!$A:$A,"="&amp;$K$2))</f>
        <v>0</v>
      </c>
      <c r="D44" s="245">
        <f>IFS(
AND($H$2=Data!$A$3,$K$2=Data!$A$2),SUMIFS(Proventos!$H:$H,Proventos!$D:$D,"&gt;="&amp;CONCATENATE($D$6,"/",B44),Proventos!$D:$D,"&lt;"&amp;CONCATENATE($E$6,"/",B44),Proventos!$J:$J,"="&amp;$H$2),
AND($H$2=Data!$A$4,$K$2=Data!$A$2),SUMIFS(Proventos!$H:$H,Proventos!$D:$D,"&gt;="&amp;CONCATENATE($D$6,"/",B44),Proventos!$D:$D,"&lt;"&amp;CONCATENATE($E$6,"/",B44),Proventos!$J:$J,"="&amp;$H$2),
AND($H$2=Data!$A$5,$K$2=Data!$A$2),SUMIFS(Proventos!$H:$H,Proventos!$D:$D,"&gt;="&amp;CONCATENATE($D$6,"/",B44),Proventos!$D:$D,"&lt;"&amp;CONCATENATE($E$6,"/",B44),Proventos!$J:$J,"="&amp;$H$2),
AND($H$2=Data!$A$6,$K$2=Data!$A$2),SUMIFS(Proventos!$H:$H,Proventos!$D:$D,"&gt;="&amp;CONCATENATE($D$6,"/",B44),Proventos!$D:$D,"&lt;"&amp;CONCATENATE($E$6,"/",B44),Proventos!$J:$J,"="&amp;$H$2),
AND($H$2=Data!$A$7,$K$2=Data!$A$2),SUMIFS(Proventos!$H:$H,Proventos!$D:$D,"&gt;="&amp;CONCATENATE($D$6,"/",B44),Proventos!$D:$D,"&lt;"&amp;CONCATENATE($E$6,"/",B44),Proventos!$J:$J,"="&amp;$H$2),
AND($H$2=Data!$A$8,$K$2=Data!$A$2),SUMIFS(Proventos!$H:$H,Proventos!$D:$D,"&gt;="&amp;CONCATENATE($D$6,"/",B44),Proventos!$D:$D,"&lt;"&amp;CONCATENATE($E$6,"/",B44),Proventos!$J:$J,"="&amp;$H$2),
AND($H$2=Data!$A$9,$K$2=Data!$A$2),SUMIFS(Proventos!$H:$H,Proventos!$D:$D,"&gt;="&amp;CONCATENATE($D$6,"/",B44),Proventos!$D:$D,"&lt;"&amp;CONCATENATE($E$6,"/",B44),Proventos!$J:$J,"="&amp;$H$2),
AND($H$2=Data!$A$10,$K$2=Data!$A$2),SUMIFS(Proventos!$H:$H,Proventos!$D:$D,"&gt;="&amp;CONCATENATE($D$6,"/",B44),Proventos!$D:$D,"&lt;"&amp;CONCATENATE($E$6,"/",B44),Proventos!$J:$J,"="&amp;$H$2),
AND($H$2=Data!$A$11,$K$2=Data!$A$2),SUMIFS(Proventos!$H:$H,Proventos!$D:$D,"&gt;="&amp;CONCATENATE($D$6,"/",B44),Proventos!$D:$D,"&lt;"&amp;CONCATENATE($E$6,"/",B44),Proventos!$J:$J,"="&amp;$H$2),
$K$2=Data!$A$2,SUMIFS(Proventos!$H:$H,Proventos!$D:$D,"&gt;="&amp;CONCATENATE($D$6,"/",B44),Proventos!$D:$D,"&lt;"&amp;CONCATENATE($E$6,"/",B44)),
$K$2&lt;&gt;Data!$A$2,SUMIFS(Proventos!$H:$H,Proventos!$D:$D,"&gt;="&amp;CONCATENATE($D$6,"/",B44),Proventos!$D:$D,"&lt;"&amp;CONCATENATE($E$6,"/",B44),Proventos!$A:$A,"="&amp;$K$2))</f>
        <v>0</v>
      </c>
      <c r="E44" s="245">
        <f>IFS(
AND($H$2=Data!$A$3,$K$2=Data!$A$2),SUMIFS(Proventos!$H:$H,Proventos!$D:$D,"&gt;="&amp;CONCATENATE($E$6,"/",B44),Proventos!$D:$D,"&lt;"&amp;CONCATENATE($F$6,"/",B44),Proventos!$J:$J,"="&amp;$H$2),
AND($H$2=Data!$A$4,$K$2=Data!$A$2),SUMIFS(Proventos!$H:$H,Proventos!$D:$D,"&gt;="&amp;CONCATENATE($E$6,"/",B44),Proventos!$D:$D,"&lt;"&amp;CONCATENATE($F$6,"/",B44),Proventos!$J:$J,"="&amp;$H$2),
AND($H$2=Data!$A$5,$K$2=Data!$A$2),SUMIFS(Proventos!$H:$H,Proventos!$D:$D,"&gt;="&amp;CONCATENATE($E$6,"/",B44),Proventos!$D:$D,"&lt;"&amp;CONCATENATE($F$6,"/",B44),Proventos!$J:$J,"="&amp;$H$2),
AND($H$2=Data!$A$6,$K$2=Data!$A$2),SUMIFS(Proventos!$H:$H,Proventos!$D:$D,"&gt;="&amp;CONCATENATE($E$6,"/",B44),Proventos!$D:$D,"&lt;"&amp;CONCATENATE($F$6,"/",B44),Proventos!$J:$J,"="&amp;$H$2),
AND($H$2=Data!$A$7,$K$2=Data!$A$2),SUMIFS(Proventos!$H:$H,Proventos!$D:$D,"&gt;="&amp;CONCATENATE($E$6,"/",B44),Proventos!$D:$D,"&lt;"&amp;CONCATENATE($F$6,"/",B44),Proventos!$J:$J,"="&amp;$H$2),
AND($H$2=Data!$A$8,$K$2=Data!$A$2),SUMIFS(Proventos!$H:$H,Proventos!$D:$D,"&gt;="&amp;CONCATENATE($E$6,"/",B44),Proventos!$D:$D,"&lt;"&amp;CONCATENATE($F$6,"/",B44),Proventos!$J:$J,"="&amp;$H$2),
AND($H$2=Data!$A$9,$K$2=Data!$A$2),SUMIFS(Proventos!$H:$H,Proventos!$D:$D,"&gt;="&amp;CONCATENATE($E$6,"/",B44),Proventos!$D:$D,"&lt;"&amp;CONCATENATE($F$6,"/",B44),Proventos!$J:$J,"="&amp;$H$2),
AND($H$2=Data!$A$10,$K$2=Data!$A$2),SUMIFS(Proventos!$H:$H,Proventos!$D:$D,"&gt;="&amp;CONCATENATE($E$6,"/",B44),Proventos!$D:$D,"&lt;"&amp;CONCATENATE($F$6,"/",B44),Proventos!$J:$J,"="&amp;$H$2),
AND($H$2=Data!$A$11,$K$2=Data!$A$2),SUMIFS(Proventos!$H:$H,Proventos!$D:$D,"&gt;="&amp;CONCATENATE($E$6,"/",B44),Proventos!$D:$D,"&lt;"&amp;CONCATENATE($F$6,"/",B44),Proventos!$J:$J,"="&amp;$H$2),
$K$2=Data!$A$2,SUMIFS(Proventos!$H:$H,Proventos!$D:$D,"&gt;="&amp;CONCATENATE($E$6,"/",B44),Proventos!$D:$D,"&lt;"&amp;CONCATENATE($F$6,"/",B44)),
$K$2&lt;&gt;Data!$A$2,SUMIFS(Proventos!$H:$H,Proventos!$D:$D,"&gt;="&amp;CONCATENATE($E$6,"/",B44),Proventos!$D:$D,"&lt;"&amp;CONCATENATE($F$6,"/",B44),Proventos!$A:$A,"="&amp;$K$2))</f>
        <v>0</v>
      </c>
      <c r="F44" s="245">
        <f>IFS(
AND($H$2=Data!$A$3,$K$2=Data!$A$2),SUMIFS(Proventos!$H:$H,Proventos!$D:$D,"&gt;="&amp;CONCATENATE($F$6,"/",B44),Proventos!$D:$D,"&lt;"&amp;CONCATENATE($G$6,"/",B44),Proventos!$J:$J,"="&amp;$H$2),
AND($H$2=Data!$A$4,$K$2=Data!$A$2),SUMIFS(Proventos!$H:$H,Proventos!$D:$D,"&gt;="&amp;CONCATENATE($F$6,"/",B44),Proventos!$D:$D,"&lt;"&amp;CONCATENATE($G$6,"/",B44),Proventos!$J:$J,"="&amp;$H$2),
AND($H$2=Data!$A$5,$K$2=Data!$A$2),SUMIFS(Proventos!$H:$H,Proventos!$D:$D,"&gt;="&amp;CONCATENATE($F$6,"/",B44),Proventos!$D:$D,"&lt;"&amp;CONCATENATE($G$6,"/",B44),Proventos!$J:$J,"="&amp;$H$2),
AND($H$2=Data!$A$6,$K$2=Data!$A$2),SUMIFS(Proventos!$H:$H,Proventos!$D:$D,"&gt;="&amp;CONCATENATE($F$6,"/",B44),Proventos!$D:$D,"&lt;"&amp;CONCATENATE($G$6,"/",B44),Proventos!$J:$J,"="&amp;$H$2),
AND($H$2=Data!$A$7,$K$2=Data!$A$2),SUMIFS(Proventos!$H:$H,Proventos!$D:$D,"&gt;="&amp;CONCATENATE($F$6,"/",B44),Proventos!$D:$D,"&lt;"&amp;CONCATENATE($G$6,"/",B44),Proventos!$J:$J,"="&amp;$H$2),
AND($H$2=Data!$A$8,$K$2=Data!$A$2),SUMIFS(Proventos!$H:$H,Proventos!$D:$D,"&gt;="&amp;CONCATENATE($F$6,"/",B44),Proventos!$D:$D,"&lt;"&amp;CONCATENATE($G$6,"/",B44),Proventos!$J:$J,"="&amp;$H$2),
AND($H$2=Data!$A$9,$K$2=Data!$A$2),SUMIFS(Proventos!$H:$H,Proventos!$D:$D,"&gt;="&amp;CONCATENATE($F$6,"/",B44),Proventos!$D:$D,"&lt;"&amp;CONCATENATE($G$6,"/",B44),Proventos!$J:$J,"="&amp;$H$2),
AND($H$2=Data!$A$10,$K$2=Data!$A$2),SUMIFS(Proventos!$H:$H,Proventos!$D:$D,"&gt;="&amp;CONCATENATE($F$6,"/",B44),Proventos!$D:$D,"&lt;"&amp;CONCATENATE($G$6,"/",B44),Proventos!$J:$J,"="&amp;$H$2),
AND($H$2=Data!$A$11,$K$2=Data!$A$2),SUMIFS(Proventos!$H:$H,Proventos!$D:$D,"&gt;="&amp;CONCATENATE($F$6,"/",B44),Proventos!$D:$D,"&lt;"&amp;CONCATENATE($G$6,"/",B44),Proventos!$J:$J,"="&amp;$H$2),
$K$2=Data!$A$2,SUMIFS(Proventos!$H:$H,Proventos!$D:$D,"&gt;="&amp;CONCATENATE($F$6,"/",B44),Proventos!$D:$D,"&lt;"&amp;CONCATENATE($G$6,"/",B44)),
$K$2&lt;&gt;Data!$A$2,SUMIFS(Proventos!$H:$H,Proventos!$D:$D,"&gt;="&amp;CONCATENATE($F$6,"/",B44),Proventos!$D:$D,"&lt;"&amp;CONCATENATE($G$6,"/",B44),Proventos!$A:$A,"="&amp;$K$2))</f>
        <v>0</v>
      </c>
      <c r="G44" s="245">
        <f>IFS(
AND($H$2=Data!$A$3,$K$2=Data!$A$2),SUMIFS(Proventos!$H:$H,Proventos!$D:$D,"&gt;="&amp;CONCATENATE($G$6,"/",B44),Proventos!$D:$D,"&lt;"&amp;CONCATENATE($H$6,"/",B44),Proventos!$J:$J,"="&amp;$H$2),
AND($H$2=Data!$A$4,$K$2=Data!$A$2),SUMIFS(Proventos!$H:$H,Proventos!$D:$D,"&gt;="&amp;CONCATENATE($G$6,"/",B44),Proventos!$D:$D,"&lt;"&amp;CONCATENATE($H$6,"/",B44),Proventos!$J:$J,"="&amp;$H$2),
AND($H$2=Data!$A$5,$K$2=Data!$A$2),SUMIFS(Proventos!$H:$H,Proventos!$D:$D,"&gt;="&amp;CONCATENATE($G$6,"/",B44),Proventos!$D:$D,"&lt;"&amp;CONCATENATE($H$6,"/",B44),Proventos!$J:$J,"="&amp;$H$2),
AND($H$2=Data!$A$6,$K$2=Data!$A$2),SUMIFS(Proventos!$H:$H,Proventos!$D:$D,"&gt;="&amp;CONCATENATE($G$6,"/",B44),Proventos!$D:$D,"&lt;"&amp;CONCATENATE($H$6,"/",B44),Proventos!$J:$J,"="&amp;$H$2),
AND($H$2=Data!$A$7,$K$2=Data!$A$2),SUMIFS(Proventos!$H:$H,Proventos!$D:$D,"&gt;="&amp;CONCATENATE($G$6,"/",B44),Proventos!$D:$D,"&lt;"&amp;CONCATENATE($H$6,"/",B44),Proventos!$J:$J,"="&amp;$H$2),
AND($H$2=Data!$A$8,$K$2=Data!$A$2),SUMIFS(Proventos!$H:$H,Proventos!$D:$D,"&gt;="&amp;CONCATENATE($G$6,"/",B44),Proventos!$D:$D,"&lt;"&amp;CONCATENATE($H$6,"/",B44),Proventos!$J:$J,"="&amp;$H$2),
AND($H$2=Data!$A$9,$K$2=Data!$A$2),SUMIFS(Proventos!$H:$H,Proventos!$D:$D,"&gt;="&amp;CONCATENATE($G$6,"/",B44),Proventos!$D:$D,"&lt;"&amp;CONCATENATE($H$6,"/",B44),Proventos!$J:$J,"="&amp;$H$2),
AND($H$2=Data!$A$10,$K$2=Data!$A$2),SUMIFS(Proventos!$H:$H,Proventos!$D:$D,"&gt;="&amp;CONCATENATE($G$6,"/",B44),Proventos!$D:$D,"&lt;"&amp;CONCATENATE($H$6,"/",B44),Proventos!$J:$J,"="&amp;$H$2),
AND($H$2=Data!$A$11,$K$2=Data!$A$2),SUMIFS(Proventos!$H:$H,Proventos!$D:$D,"&gt;="&amp;CONCATENATE($G$6,"/",B44),Proventos!$D:$D,"&lt;"&amp;CONCATENATE($H$6,"/",B44),Proventos!$J:$J,"="&amp;$H$2),
$K$2=Data!$A$2,SUMIFS(Proventos!$H:$H,Proventos!$D:$D,"&gt;="&amp;CONCATENATE($G$6,"/",B44),Proventos!$D:$D,"&lt;"&amp;CONCATENATE($H$6,"/",B44)),
$K$2&lt;&gt;Data!$A$2,SUMIFS(Proventos!$H:$H,Proventos!$D:$D,"&gt;="&amp;CONCATENATE($G$6,"/",B44),Proventos!$D:$D,"&lt;"&amp;CONCATENATE($H$6,"/",B44),Proventos!$A:$A,"="&amp;$K$2))</f>
        <v>0</v>
      </c>
      <c r="H44" s="245">
        <f>IFS(
AND($H$2=Data!$A$3,$K$2=Data!$A$2),SUMIFS(Proventos!$H:$H,Proventos!$D:$D,"&gt;="&amp;CONCATENATE($H$6,"/",B44),Proventos!$D:$D,"&lt;"&amp;CONCATENATE($I$6,"/",B44),Proventos!$J:$J,"="&amp;$H$2),
AND($H$2=Data!$A$4,$K$2=Data!$A$2),SUMIFS(Proventos!$H:$H,Proventos!$D:$D,"&gt;="&amp;CONCATENATE($H$6,"/",B44),Proventos!$D:$D,"&lt;"&amp;CONCATENATE($I$6,"/",B44),Proventos!$J:$J,"="&amp;$H$2),
AND($H$2=Data!$A$5,$K$2=Data!$A$2),SUMIFS(Proventos!$H:$H,Proventos!$D:$D,"&gt;="&amp;CONCATENATE($H$6,"/",B44),Proventos!$D:$D,"&lt;"&amp;CONCATENATE($I$6,"/",B44),Proventos!$J:$J,"="&amp;$H$2),
AND($H$2=Data!$A$6,$K$2=Data!$A$2),SUMIFS(Proventos!$H:$H,Proventos!$D:$D,"&gt;="&amp;CONCATENATE($H$6,"/",B44),Proventos!$D:$D,"&lt;"&amp;CONCATENATE($I$6,"/",B44),Proventos!$J:$J,"="&amp;$H$2),
AND($H$2=Data!$A$7,$K$2=Data!$A$2),SUMIFS(Proventos!$H:$H,Proventos!$D:$D,"&gt;="&amp;CONCATENATE($H$6,"/",B44),Proventos!$D:$D,"&lt;"&amp;CONCATENATE($I$6,"/",B44),Proventos!$J:$J,"="&amp;$H$2),
AND($H$2=Data!$A$8,$K$2=Data!$A$2),SUMIFS(Proventos!$H:$H,Proventos!$D:$D,"&gt;="&amp;CONCATENATE($H$6,"/",B44),Proventos!$D:$D,"&lt;"&amp;CONCATENATE($I$6,"/",B44),Proventos!$J:$J,"="&amp;$H$2),
AND($H$2=Data!$A$9,$K$2=Data!$A$2),SUMIFS(Proventos!$H:$H,Proventos!$D:$D,"&gt;="&amp;CONCATENATE($H$6,"/",B44),Proventos!$D:$D,"&lt;"&amp;CONCATENATE($I$6,"/",B44),Proventos!$J:$J,"="&amp;$H$2),
AND($H$2=Data!$A$10,$K$2=Data!$A$2),SUMIFS(Proventos!$H:$H,Proventos!$D:$D,"&gt;="&amp;CONCATENATE($H$6,"/",B44),Proventos!$D:$D,"&lt;"&amp;CONCATENATE($I$6,"/",B44),Proventos!$J:$J,"="&amp;$H$2),
AND($H$2=Data!$A$11,$K$2=Data!$A$2),SUMIFS(Proventos!$H:$H,Proventos!$D:$D,"&gt;="&amp;CONCATENATE($H$6,"/",B44),Proventos!$D:$D,"&lt;"&amp;CONCATENATE($I$6,"/",B44),Proventos!$J:$J,"="&amp;$H$2),
$K$2=Data!$A$2,SUMIFS(Proventos!$H:$H,Proventos!$D:$D,"&gt;="&amp;CONCATENATE($H$6,"/",B44),Proventos!$D:$D,"&lt;"&amp;CONCATENATE($I$6,"/",B44)),
$K$2&lt;&gt;Data!$A$2,SUMIFS(Proventos!$H:$H,Proventos!$D:$D,"&gt;="&amp;CONCATENATE($H$6,"/",B44),Proventos!$D:$D,"&lt;"&amp;CONCATENATE($I$6,"/",B44),Proventos!$A:$A,"="&amp;$K$2))</f>
        <v>0</v>
      </c>
      <c r="I44" s="245">
        <f>IFS(
AND($H$2=Data!$A$3,$K$2=Data!$A$2),SUMIFS(Proventos!$H:$H,Proventos!$D:$D,"&gt;="&amp;CONCATENATE($I$6,"/",B44),Proventos!$D:$D,"&lt;"&amp;CONCATENATE($J$6,"/",B44),Proventos!$J:$J,"="&amp;$H$2),
AND($H$2=Data!$A$4,$K$2=Data!$A$2),SUMIFS(Proventos!$H:$H,Proventos!$D:$D,"&gt;="&amp;CONCATENATE($I$6,"/",B44),Proventos!$D:$D,"&lt;"&amp;CONCATENATE($J$6,"/",B44),Proventos!$J:$J,"="&amp;$H$2),
AND($H$2=Data!$A$5,$K$2=Data!$A$2),SUMIFS(Proventos!$H:$H,Proventos!$D:$D,"&gt;="&amp;CONCATENATE($I$6,"/",B44),Proventos!$D:$D,"&lt;"&amp;CONCATENATE($J$6,"/",B44),Proventos!$J:$J,"="&amp;$H$2),
AND($H$2=Data!$A$6,$K$2=Data!$A$2),SUMIFS(Proventos!$H:$H,Proventos!$D:$D,"&gt;="&amp;CONCATENATE($I$6,"/",B44),Proventos!$D:$D,"&lt;"&amp;CONCATENATE($J$6,"/",B44),Proventos!$J:$J,"="&amp;$H$2),
AND($H$2=Data!$A$7,$K$2=Data!$A$2),SUMIFS(Proventos!$H:$H,Proventos!$D:$D,"&gt;="&amp;CONCATENATE($I$6,"/",B44),Proventos!$D:$D,"&lt;"&amp;CONCATENATE($J$6,"/",B44),Proventos!$J:$J,"="&amp;$H$2),
AND($H$2=Data!$A$8,$K$2=Data!$A$2),SUMIFS(Proventos!$H:$H,Proventos!$D:$D,"&gt;="&amp;CONCATENATE($I$6,"/",B44),Proventos!$D:$D,"&lt;"&amp;CONCATENATE($J$6,"/",B44),Proventos!$J:$J,"="&amp;$H$2),
AND($H$2=Data!$A$9,$K$2=Data!$A$2),SUMIFS(Proventos!$H:$H,Proventos!$D:$D,"&gt;="&amp;CONCATENATE($I$6,"/",B44),Proventos!$D:$D,"&lt;"&amp;CONCATENATE($J$6,"/",B44),Proventos!$J:$J,"="&amp;$H$2),
AND($H$2=Data!$A$10,$K$2=Data!$A$2),SUMIFS(Proventos!$H:$H,Proventos!$D:$D,"&gt;="&amp;CONCATENATE($I$6,"/",B44),Proventos!$D:$D,"&lt;"&amp;CONCATENATE($J$6,"/",B44),Proventos!$J:$J,"="&amp;$H$2),
AND($H$2=Data!$A$11,$K$2=Data!$A$2),SUMIFS(Proventos!$H:$H,Proventos!$D:$D,"&gt;="&amp;CONCATENATE($I$6,"/",B44),Proventos!$D:$D,"&lt;"&amp;CONCATENATE($J$6,"/",B44),Proventos!$J:$J,"="&amp;$H$2),
$K$2=Data!$A$2,SUMIFS(Proventos!$H:$H,Proventos!$D:$D,"&gt;="&amp;CONCATENATE($I$6,"/",B44),Proventos!$D:$D,"&lt;"&amp;CONCATENATE($J$6,"/",B44)),
$K$2&lt;&gt;Data!$A$2,SUMIFS(Proventos!$H:$H,Proventos!$D:$D,"&gt;="&amp;CONCATENATE($I$6,"/",B44),Proventos!$D:$D,"&lt;"&amp;CONCATENATE($J$6,"/",B44),Proventos!$A:$A,"="&amp;$K$2))</f>
        <v>0</v>
      </c>
      <c r="J44" s="245">
        <f>IFS(
AND($H$2=Data!$A$3,$K$2=Data!$A$2),SUMIFS(Proventos!$H:$H,Proventos!$D:$D,"&gt;="&amp;CONCATENATE($J$6,"/",B44),Proventos!$D:$D,"&lt;"&amp;CONCATENATE($K$6,"/",B44),Proventos!$J:$J,"="&amp;$H$2),
AND($H$2=Data!$A$4,$K$2=Data!$A$2),SUMIFS(Proventos!$H:$H,Proventos!$D:$D,"&gt;="&amp;CONCATENATE($J$6,"/",B44),Proventos!$D:$D,"&lt;"&amp;CONCATENATE($K$6,"/",B44),Proventos!$J:$J,"="&amp;$H$2),
AND($H$2=Data!$A$5,$K$2=Data!$A$2),SUMIFS(Proventos!$H:$H,Proventos!$D:$D,"&gt;="&amp;CONCATENATE($J$6,"/",B44),Proventos!$D:$D,"&lt;"&amp;CONCATENATE($K$6,"/",B44),Proventos!$J:$J,"="&amp;$H$2),
AND($H$2=Data!$A$6,$K$2=Data!$A$2),SUMIFS(Proventos!$H:$H,Proventos!$D:$D,"&gt;="&amp;CONCATENATE($J$6,"/",B44),Proventos!$D:$D,"&lt;"&amp;CONCATENATE($K$6,"/",B44),Proventos!$J:$J,"="&amp;$H$2),
AND($H$2=Data!$A$7,$K$2=Data!$A$2),SUMIFS(Proventos!$H:$H,Proventos!$D:$D,"&gt;="&amp;CONCATENATE($J$6,"/",B44),Proventos!$D:$D,"&lt;"&amp;CONCATENATE($K$6,"/",B44),Proventos!$J:$J,"="&amp;$H$2),
AND($H$2=Data!$A$8,$K$2=Data!$A$2),SUMIFS(Proventos!$H:$H,Proventos!$D:$D,"&gt;="&amp;CONCATENATE($J$6,"/",B44),Proventos!$D:$D,"&lt;"&amp;CONCATENATE($K$6,"/",B44),Proventos!$J:$J,"="&amp;$H$2),
AND($H$2=Data!$A$9,$K$2=Data!$A$2),SUMIFS(Proventos!$H:$H,Proventos!$D:$D,"&gt;="&amp;CONCATENATE($J$6,"/",B44),Proventos!$D:$D,"&lt;"&amp;CONCATENATE($K$6,"/",B44),Proventos!$J:$J,"="&amp;$H$2),
AND($H$2=Data!$A$10,$K$2=Data!$A$2),SUMIFS(Proventos!$H:$H,Proventos!$D:$D,"&gt;="&amp;CONCATENATE($J$6,"/",B44),Proventos!$D:$D,"&lt;"&amp;CONCATENATE($K$6,"/",B44),Proventos!$J:$J,"="&amp;$H$2),
AND($H$2=Data!$A$11,$K$2=Data!$A$2),SUMIFS(Proventos!$H:$H,Proventos!$D:$D,"&gt;="&amp;CONCATENATE($J$6,"/",B44),Proventos!$D:$D,"&lt;"&amp;CONCATENATE($K$6,"/",B44),Proventos!$J:$J,"="&amp;$H$2),
$K$2=Data!$A$2,SUMIFS(Proventos!$H:$H,Proventos!$D:$D,"&gt;="&amp;CONCATENATE($J$6,"/",B44),Proventos!$D:$D,"&lt;"&amp;CONCATENATE($K$6,"/",B44)),
$K$2&lt;&gt;Data!$A$2,SUMIFS(Proventos!$H:$H,Proventos!$D:$D,"&gt;="&amp;CONCATENATE($J$6,"/",B44),Proventos!$D:$D,"&lt;"&amp;CONCATENATE($K$6,"/",B44),Proventos!$A:$A,"="&amp;$K$2))</f>
        <v>0</v>
      </c>
      <c r="K44" s="245">
        <f>IFS(
AND($H$2=Data!$A$3,$K$2=Data!$A$2),SUMIFS(Proventos!$H:$H,Proventos!$D:$D,"&gt;="&amp;CONCATENATE($K$6,"/",B44),Proventos!$D:$D,"&lt;"&amp;CONCATENATE($L$6,"/",B44),Proventos!$J:$J,"="&amp;$H$2),
AND($H$2=Data!$A$4,$K$2=Data!$A$2),SUMIFS(Proventos!$H:$H,Proventos!$D:$D,"&gt;="&amp;CONCATENATE($K$6,"/",B44),Proventos!$D:$D,"&lt;"&amp;CONCATENATE($L$6,"/",B44),Proventos!$J:$J,"="&amp;$H$2),
AND($H$2=Data!$A$5,$K$2=Data!$A$2),SUMIFS(Proventos!$H:$H,Proventos!$D:$D,"&gt;="&amp;CONCATENATE($K$6,"/",B44),Proventos!$D:$D,"&lt;"&amp;CONCATENATE($L$6,"/",B44),Proventos!$J:$J,"="&amp;$H$2),
AND($H$2=Data!$A$6,$K$2=Data!$A$2),SUMIFS(Proventos!$H:$H,Proventos!$D:$D,"&gt;="&amp;CONCATENATE($K$6,"/",B44),Proventos!$D:$D,"&lt;"&amp;CONCATENATE($L$6,"/",B44),Proventos!$J:$J,"="&amp;$H$2),
AND($H$2=Data!$A$7,$K$2=Data!$A$2),SUMIFS(Proventos!$H:$H,Proventos!$D:$D,"&gt;="&amp;CONCATENATE($K$6,"/",B44),Proventos!$D:$D,"&lt;"&amp;CONCATENATE($L$6,"/",B44),Proventos!$J:$J,"="&amp;$H$2),
AND($H$2=Data!$A$8,$K$2=Data!$A$2),SUMIFS(Proventos!$H:$H,Proventos!$D:$D,"&gt;="&amp;CONCATENATE($K$6,"/",B44),Proventos!$D:$D,"&lt;"&amp;CONCATENATE($L$6,"/",B44),Proventos!$J:$J,"="&amp;$H$2),
AND($H$2=Data!$A$9,$K$2=Data!$A$2),SUMIFS(Proventos!$H:$H,Proventos!$D:$D,"&gt;="&amp;CONCATENATE($K$6,"/",B44),Proventos!$D:$D,"&lt;"&amp;CONCATENATE($L$6,"/",B44),Proventos!$J:$J,"="&amp;$H$2),
AND($H$2=Data!$A$10,$K$2=Data!$A$2),SUMIFS(Proventos!$H:$H,Proventos!$D:$D,"&gt;="&amp;CONCATENATE($K$6,"/",B44),Proventos!$D:$D,"&lt;"&amp;CONCATENATE($L$6,"/",B44),Proventos!$J:$J,"="&amp;$H$2),
AND($H$2=Data!$A$11,$K$2=Data!$A$2),SUMIFS(Proventos!$H:$H,Proventos!$D:$D,"&gt;="&amp;CONCATENATE($K$6,"/",B44),Proventos!$D:$D,"&lt;"&amp;CONCATENATE($L$6,"/",B44),Proventos!$J:$J,"="&amp;$H$2),
$K$2=Data!$A$2,SUMIFS(Proventos!$H:$H,Proventos!$D:$D,"&gt;="&amp;CONCATENATE($K$6,"/",B44),Proventos!$D:$D,"&lt;"&amp;CONCATENATE($L$6,"/",B44)),
$K$2&lt;&gt;Data!$A$2,SUMIFS(Proventos!$H:$H,Proventos!$D:$D,"&gt;="&amp;CONCATENATE($K$6,"/",B44),Proventos!$D:$D,"&lt;"&amp;CONCATENATE($L$6,"/",B44),Proventos!$A:$A,"="&amp;$K$2))</f>
        <v>0</v>
      </c>
      <c r="L44" s="245">
        <f>IFS(
AND($H$2=Data!$A$3,$K$2=Data!$A$2),SUMIFS(Proventos!$H:$H,Proventos!$D:$D,"&gt;="&amp;CONCATENATE($L$6,"/",B44),Proventos!$D:$D,"&lt;"&amp;CONCATENATE($M$6,"/",B44),Proventos!$J:$J,"="&amp;$H$2),
AND($H$2=Data!$A$4,$K$2=Data!$A$2),SUMIFS(Proventos!$H:$H,Proventos!$D:$D,"&gt;="&amp;CONCATENATE($L$6,"/",B44),Proventos!$D:$D,"&lt;"&amp;CONCATENATE($M$6,"/",B44),Proventos!$J:$J,"="&amp;$H$2),
AND($H$2=Data!$A$5,$K$2=Data!$A$2),SUMIFS(Proventos!$H:$H,Proventos!$D:$D,"&gt;="&amp;CONCATENATE($L$6,"/",B44),Proventos!$D:$D,"&lt;"&amp;CONCATENATE($M$6,"/",B44),Proventos!$J:$J,"="&amp;$H$2),
AND($H$2=Data!$A$6,$K$2=Data!$A$2),SUMIFS(Proventos!$H:$H,Proventos!$D:$D,"&gt;="&amp;CONCATENATE($L$6,"/",B44),Proventos!$D:$D,"&lt;"&amp;CONCATENATE($M$6,"/",B44),Proventos!$J:$J,"="&amp;$H$2),
AND($H$2=Data!$A$7,$K$2=Data!$A$2),SUMIFS(Proventos!$H:$H,Proventos!$D:$D,"&gt;="&amp;CONCATENATE($L$6,"/",B44),Proventos!$D:$D,"&lt;"&amp;CONCATENATE($M$6,"/",B44),Proventos!$J:$J,"="&amp;$H$2),
AND($H$2=Data!$A$8,$K$2=Data!$A$2),SUMIFS(Proventos!$H:$H,Proventos!$D:$D,"&gt;="&amp;CONCATENATE($L$6,"/",B44),Proventos!$D:$D,"&lt;"&amp;CONCATENATE($M$6,"/",B44),Proventos!$J:$J,"="&amp;$H$2),
AND($H$2=Data!$A$9,$K$2=Data!$A$2),SUMIFS(Proventos!$H:$H,Proventos!$D:$D,"&gt;="&amp;CONCATENATE($L$6,"/",B44),Proventos!$D:$D,"&lt;"&amp;CONCATENATE($M$6,"/",B44),Proventos!$J:$J,"="&amp;$H$2),
AND($H$2=Data!$A$10,$K$2=Data!$A$2),SUMIFS(Proventos!$H:$H,Proventos!$D:$D,"&gt;="&amp;CONCATENATE($L$6,"/",B44),Proventos!$D:$D,"&lt;"&amp;CONCATENATE($M$6,"/",B44),Proventos!$J:$J,"="&amp;$H$2),
AND($H$2=Data!$A$11,$K$2=Data!$A$2),SUMIFS(Proventos!$H:$H,Proventos!$D:$D,"&gt;="&amp;CONCATENATE($L$6,"/",B44),Proventos!$D:$D,"&lt;"&amp;CONCATENATE($M$6,"/",B44),Proventos!$J:$J,"="&amp;$H$2),
$K$2=Data!$A$2,SUMIFS(Proventos!$H:$H,Proventos!$D:$D,"&gt;="&amp;CONCATENATE($L$6,"/",B44),Proventos!$D:$D,"&lt;"&amp;CONCATENATE($M$6,"/",B44)),
$K$2&lt;&gt;Data!$A$2,SUMIFS(Proventos!$H:$H,Proventos!$D:$D,"&gt;="&amp;CONCATENATE($L$6,"/",B44),Proventos!$D:$D,"&lt;"&amp;CONCATENATE($M$6,"/",B44),Proventos!$A:$A,"="&amp;$K$2))</f>
        <v>0</v>
      </c>
      <c r="M44" s="245">
        <f>IFS(
AND($H$2=Data!$A$3,$K$2=Data!$A$2),SUMIFS(Proventos!$H:$H,Proventos!$D:$D,"&gt;="&amp;CONCATENATE($M$6,"/",B44),Proventos!$D:$D,"&lt;"&amp;CONCATENATE($N$6,"/",B44),Proventos!$J:$J,"="&amp;$H$2),
AND($H$2=Data!$A$4,$K$2=Data!$A$2),SUMIFS(Proventos!$H:$H,Proventos!$D:$D,"&gt;="&amp;CONCATENATE($M$6,"/",B44),Proventos!$D:$D,"&lt;"&amp;CONCATENATE($N$6,"/",B44),Proventos!$J:$J,"="&amp;$H$2),
AND($H$2=Data!$A$5,$K$2=Data!$A$2),SUMIFS(Proventos!$H:$H,Proventos!$D:$D,"&gt;="&amp;CONCATENATE($M$6,"/",B44),Proventos!$D:$D,"&lt;"&amp;CONCATENATE($N$6,"/",B44),Proventos!$J:$J,"="&amp;$H$2),
AND($H$2=Data!$A$6,$K$2=Data!$A$2),SUMIFS(Proventos!$H:$H,Proventos!$D:$D,"&gt;="&amp;CONCATENATE($M$6,"/",B44),Proventos!$D:$D,"&lt;"&amp;CONCATENATE($N$6,"/",B44),Proventos!$J:$J,"="&amp;$H$2),
AND($H$2=Data!$A$7,$K$2=Data!$A$2),SUMIFS(Proventos!$H:$H,Proventos!$D:$D,"&gt;="&amp;CONCATENATE($M$6,"/",B44),Proventos!$D:$D,"&lt;"&amp;CONCATENATE($N$6,"/",B44),Proventos!$J:$J,"="&amp;$H$2),
AND($H$2=Data!$A$8,$K$2=Data!$A$2),SUMIFS(Proventos!$H:$H,Proventos!$D:$D,"&gt;="&amp;CONCATENATE($M$6,"/",B44),Proventos!$D:$D,"&lt;"&amp;CONCATENATE($N$6,"/",B44),Proventos!$J:$J,"="&amp;$H$2),
AND($H$2=Data!$A$9,$K$2=Data!$A$2),SUMIFS(Proventos!$H:$H,Proventos!$D:$D,"&gt;="&amp;CONCATENATE($M$6,"/",B44),Proventos!$D:$D,"&lt;"&amp;CONCATENATE($N$6,"/",B44),Proventos!$J:$J,"="&amp;$H$2),
AND($H$2=Data!$A$10,$K$2=Data!$A$2),SUMIFS(Proventos!$H:$H,Proventos!$D:$D,"&gt;="&amp;CONCATENATE($M$6,"/",B44),Proventos!$D:$D,"&lt;"&amp;CONCATENATE($N$6,"/",B44),Proventos!$J:$J,"="&amp;$H$2),
AND($H$2=Data!$A$11,$K$2=Data!$A$2),SUMIFS(Proventos!$H:$H,Proventos!$D:$D,"&gt;="&amp;CONCATENATE($M$6,"/",B44),Proventos!$D:$D,"&lt;"&amp;CONCATENATE($N$6,"/",B44),Proventos!$J:$J,"="&amp;$H$2),
$K$2=Data!$A$2,SUMIFS(Proventos!$H:$H,Proventos!$D:$D,"&gt;="&amp;CONCATENATE($M$6,"/",B44),Proventos!$D:$D,"&lt;"&amp;CONCATENATE($N$6,"/",B44)),
$K$2&lt;&gt;Data!$A$2,SUMIFS(Proventos!$H:$H,Proventos!$D:$D,"&gt;="&amp;CONCATENATE($M$6,"/",B44),Proventos!$D:$D,"&lt;"&amp;CONCATENATE($N$6,"/",B44),Proventos!$A:$A,"="&amp;$K$2))</f>
        <v>0</v>
      </c>
      <c r="N44" s="245">
        <f>IFS(
AND($H$2=Data!$A$3,$K$2=Data!$A$2),SUMIFS(Proventos!$H:$H,Proventos!$D:$D,"&gt;="&amp;CONCATENATE($N$6,"/",B44),Proventos!$D:$D,"&lt;"&amp;CONCATENATE($C$6,"/",B45),Proventos!$J:$J,"="&amp;$H$2),
AND($H$2=Data!$A$4,$K$2=Data!$A$2),SUMIFS(Proventos!$H:$H,Proventos!$D:$D,"&gt;="&amp;CONCATENATE($N$6,"/",B44),Proventos!$D:$D,"&lt;"&amp;CONCATENATE($C$6,"/",B45),Proventos!$J:$J,"="&amp;$H$2),
AND($H$2=Data!$A$5,$K$2=Data!$A$2),SUMIFS(Proventos!$H:$H,Proventos!$D:$D,"&gt;="&amp;CONCATENATE($N$6,"/",B44),Proventos!$D:$D,"&lt;"&amp;CONCATENATE($C$6,"/",B45),Proventos!$J:$J,"="&amp;$H$2),
AND($H$2=Data!$A$6,$K$2=Data!$A$2),SUMIFS(Proventos!$H:$H,Proventos!$D:$D,"&gt;="&amp;CONCATENATE($N$6,"/",B44),Proventos!$D:$D,"&lt;"&amp;CONCATENATE($C$6,"/",B45),Proventos!$J:$J,"="&amp;$H$2),
AND($H$2=Data!$A$7,$K$2=Data!$A$2),SUMIFS(Proventos!$H:$H,Proventos!$D:$D,"&gt;="&amp;CONCATENATE($N$6,"/",B44),Proventos!$D:$D,"&lt;"&amp;CONCATENATE($C$6,"/",B45),Proventos!$J:$J,"="&amp;$H$2),
AND($H$2=Data!$A$8,$K$2=Data!$A$2),SUMIFS(Proventos!$H:$H,Proventos!$D:$D,"&gt;="&amp;CONCATENATE($N$6,"/",B44),Proventos!$D:$D,"&lt;"&amp;CONCATENATE($C$6,"/",B45),Proventos!$J:$J,"="&amp;$H$2),
AND($H$2=Data!$A$9,$K$2=Data!$A$2),SUMIFS(Proventos!$H:$H,Proventos!$D:$D,"&gt;="&amp;CONCATENATE($N$6,"/",B44),Proventos!$D:$D,"&lt;"&amp;CONCATENATE($C$6,"/",B45),Proventos!$J:$J,"="&amp;$H$2),
AND($H$2=Data!$A$10,$K$2=Data!$A$2),SUMIFS(Proventos!$H:$H,Proventos!$D:$D,"&gt;="&amp;CONCATENATE($N$6,"/",B44),Proventos!$D:$D,"&lt;"&amp;CONCATENATE($C$6,"/",B45),Proventos!$J:$J,"="&amp;$H$2),
AND($H$2=Data!$A$11,$K$2=Data!$A$2),SUMIFS(Proventos!$H:$H,Proventos!$D:$D,"&gt;="&amp;CONCATENATE($N$6,"/",B44),Proventos!$D:$D,"&lt;"&amp;CONCATENATE($C$6,"/",B45),Proventos!$J:$J,"="&amp;$H$2),
$K$2=Data!$A$2,SUMIFS(Proventos!$H:$H,Proventos!$D:$D,"&gt;="&amp;CONCATENATE($N$6,"/",B44),Proventos!$D:$D,"&lt;"&amp;CONCATENATE($C$6,"/",B45)),
$K$2&lt;&gt;Data!$A$2,SUMIFS(Proventos!$H:$H,Proventos!$D:$D,"&gt;="&amp;CONCATENATE($N$6,"/",B44),Proventos!$D:$D,"&lt;"&amp;CONCATENATE($C$6,"/",B45),Proventos!$A:$A,"="&amp;$K$2))</f>
        <v>0</v>
      </c>
      <c r="O44" s="245"/>
      <c r="P44" s="245">
        <f t="shared" si="1"/>
        <v>0</v>
      </c>
      <c r="Q44" s="245">
        <f t="shared" si="2"/>
        <v>0</v>
      </c>
    </row>
    <row r="45" ht="32.25" customHeight="1">
      <c r="A45" s="230"/>
      <c r="B45" s="244"/>
      <c r="C45" s="245">
        <f>IFS(
AND($H$2=Data!$A$3,$K$2=Data!$A$2),SUMIFS(Proventos!$H:$H,Proventos!$D:$D,"&gt;="&amp;CONCATENATE($C$6,"/",B45),Proventos!$D:$D,"&lt;"&amp;CONCATENATE($D$6,"/",B45),Proventos!$J:$J,"="&amp;$H$2),
AND($H$2=Data!$A$4,$K$2=Data!$A$2),SUMIFS(Proventos!$H:$H,Proventos!$D:$D,"&gt;="&amp;CONCATENATE($C$6,"/",B45),Proventos!$D:$D,"&lt;"&amp;CONCATENATE($D$6,"/",B45),Proventos!$J:$J,"="&amp;$H$2),
AND($H$2=Data!$A$5,$K$2=Data!$A$2),SUMIFS(Proventos!$H:$H,Proventos!$D:$D,"&gt;="&amp;CONCATENATE($C$6,"/",B45),Proventos!$D:$D,"&lt;"&amp;CONCATENATE($D$6,"/",B45),Proventos!$J:$J,"="&amp;$H$2),
AND($H$2=Data!$A$6,$K$2=Data!$A$2),SUMIFS(Proventos!$H:$H,Proventos!$D:$D,"&gt;="&amp;CONCATENATE($C$6,"/",B45),Proventos!$D:$D,"&lt;"&amp;CONCATENATE($D$6,"/",B45),Proventos!$J:$J,"="&amp;$H$2),
AND($H$2=Data!$A$7,$K$2=Data!$A$2),SUMIFS(Proventos!$H:$H,Proventos!$D:$D,"&gt;="&amp;CONCATENATE($C$6,"/",B45),Proventos!$D:$D,"&lt;"&amp;CONCATENATE($D$6,"/",B45),Proventos!$J:$J,"="&amp;$H$2),
AND($H$2=Data!$A$8,$K$2=Data!$A$2),SUMIFS(Proventos!$H:$H,Proventos!$D:$D,"&gt;="&amp;CONCATENATE($C$6,"/",B45),Proventos!$D:$D,"&lt;"&amp;CONCATENATE($D$6,"/",B45),Proventos!$J:$J,"="&amp;$H$2),
AND($H$2=Data!$A$9,$K$2=Data!$A$2),SUMIFS(Proventos!$H:$H,Proventos!$D:$D,"&gt;="&amp;CONCATENATE($C$6,"/",B45),Proventos!$D:$D,"&lt;"&amp;CONCATENATE($D$6,"/",B45),Proventos!$J:$J,"="&amp;$H$2),
AND($H$2=Data!$A$10,$K$2=Data!$A$2),SUMIFS(Proventos!$H:$H,Proventos!$D:$D,"&gt;="&amp;CONCATENATE($C$6,"/",B45),Proventos!$D:$D,"&lt;"&amp;CONCATENATE($D$6,"/",B45),Proventos!$J:$J,"="&amp;$H$2),
AND($H$2=Data!$A$11,$K$2=Data!$A$2),SUMIFS(Proventos!$H:$H,Proventos!$D:$D,"&gt;="&amp;CONCATENATE($C$6,"/",B45),Proventos!$D:$D,"&lt;"&amp;CONCATENATE($D$6,"/",B45),Proventos!$J:$J,"="&amp;$H$2),
$K$2=Data!$A$2,SUMIFS(Proventos!$H:$H,Proventos!$D:$D,"&gt;="&amp;CONCATENATE($C$6,"/",B45),Proventos!$D:$D,"&lt;"&amp;CONCATENATE($D$6,"/",B45)),
$K$2&lt;&gt;Data!$A$2,SUMIFS(Proventos!$H:$H,Proventos!$D:$D,"&gt;="&amp;CONCATENATE($C$6,"/",B45),Proventos!$D:$D,"&lt;"&amp;CONCATENATE($D$6,"/",B45),Proventos!$A:$A,"="&amp;$K$2))</f>
        <v>0</v>
      </c>
      <c r="D45" s="245">
        <f>IFS(
AND($H$2=Data!$A$3,$K$2=Data!$A$2),SUMIFS(Proventos!$H:$H,Proventos!$D:$D,"&gt;="&amp;CONCATENATE($D$6,"/",B45),Proventos!$D:$D,"&lt;"&amp;CONCATENATE($E$6,"/",B45),Proventos!$J:$J,"="&amp;$H$2),
AND($H$2=Data!$A$4,$K$2=Data!$A$2),SUMIFS(Proventos!$H:$H,Proventos!$D:$D,"&gt;="&amp;CONCATENATE($D$6,"/",B45),Proventos!$D:$D,"&lt;"&amp;CONCATENATE($E$6,"/",B45),Proventos!$J:$J,"="&amp;$H$2),
AND($H$2=Data!$A$5,$K$2=Data!$A$2),SUMIFS(Proventos!$H:$H,Proventos!$D:$D,"&gt;="&amp;CONCATENATE($D$6,"/",B45),Proventos!$D:$D,"&lt;"&amp;CONCATENATE($E$6,"/",B45),Proventos!$J:$J,"="&amp;$H$2),
AND($H$2=Data!$A$6,$K$2=Data!$A$2),SUMIFS(Proventos!$H:$H,Proventos!$D:$D,"&gt;="&amp;CONCATENATE($D$6,"/",B45),Proventos!$D:$D,"&lt;"&amp;CONCATENATE($E$6,"/",B45),Proventos!$J:$J,"="&amp;$H$2),
AND($H$2=Data!$A$7,$K$2=Data!$A$2),SUMIFS(Proventos!$H:$H,Proventos!$D:$D,"&gt;="&amp;CONCATENATE($D$6,"/",B45),Proventos!$D:$D,"&lt;"&amp;CONCATENATE($E$6,"/",B45),Proventos!$J:$J,"="&amp;$H$2),
AND($H$2=Data!$A$8,$K$2=Data!$A$2),SUMIFS(Proventos!$H:$H,Proventos!$D:$D,"&gt;="&amp;CONCATENATE($D$6,"/",B45),Proventos!$D:$D,"&lt;"&amp;CONCATENATE($E$6,"/",B45),Proventos!$J:$J,"="&amp;$H$2),
AND($H$2=Data!$A$9,$K$2=Data!$A$2),SUMIFS(Proventos!$H:$H,Proventos!$D:$D,"&gt;="&amp;CONCATENATE($D$6,"/",B45),Proventos!$D:$D,"&lt;"&amp;CONCATENATE($E$6,"/",B45),Proventos!$J:$J,"="&amp;$H$2),
AND($H$2=Data!$A$10,$K$2=Data!$A$2),SUMIFS(Proventos!$H:$H,Proventos!$D:$D,"&gt;="&amp;CONCATENATE($D$6,"/",B45),Proventos!$D:$D,"&lt;"&amp;CONCATENATE($E$6,"/",B45),Proventos!$J:$J,"="&amp;$H$2),
AND($H$2=Data!$A$11,$K$2=Data!$A$2),SUMIFS(Proventos!$H:$H,Proventos!$D:$D,"&gt;="&amp;CONCATENATE($D$6,"/",B45),Proventos!$D:$D,"&lt;"&amp;CONCATENATE($E$6,"/",B45),Proventos!$J:$J,"="&amp;$H$2),
$K$2=Data!$A$2,SUMIFS(Proventos!$H:$H,Proventos!$D:$D,"&gt;="&amp;CONCATENATE($D$6,"/",B45),Proventos!$D:$D,"&lt;"&amp;CONCATENATE($E$6,"/",B45)),
$K$2&lt;&gt;Data!$A$2,SUMIFS(Proventos!$H:$H,Proventos!$D:$D,"&gt;="&amp;CONCATENATE($D$6,"/",B45),Proventos!$D:$D,"&lt;"&amp;CONCATENATE($E$6,"/",B45),Proventos!$A:$A,"="&amp;$K$2))</f>
        <v>0</v>
      </c>
      <c r="E45" s="245">
        <f>IFS(
AND($H$2=Data!$A$3,$K$2=Data!$A$2),SUMIFS(Proventos!$H:$H,Proventos!$D:$D,"&gt;="&amp;CONCATENATE($E$6,"/",B45),Proventos!$D:$D,"&lt;"&amp;CONCATENATE($F$6,"/",B45),Proventos!$J:$J,"="&amp;$H$2),
AND($H$2=Data!$A$4,$K$2=Data!$A$2),SUMIFS(Proventos!$H:$H,Proventos!$D:$D,"&gt;="&amp;CONCATENATE($E$6,"/",B45),Proventos!$D:$D,"&lt;"&amp;CONCATENATE($F$6,"/",B45),Proventos!$J:$J,"="&amp;$H$2),
AND($H$2=Data!$A$5,$K$2=Data!$A$2),SUMIFS(Proventos!$H:$H,Proventos!$D:$D,"&gt;="&amp;CONCATENATE($E$6,"/",B45),Proventos!$D:$D,"&lt;"&amp;CONCATENATE($F$6,"/",B45),Proventos!$J:$J,"="&amp;$H$2),
AND($H$2=Data!$A$6,$K$2=Data!$A$2),SUMIFS(Proventos!$H:$H,Proventos!$D:$D,"&gt;="&amp;CONCATENATE($E$6,"/",B45),Proventos!$D:$D,"&lt;"&amp;CONCATENATE($F$6,"/",B45),Proventos!$J:$J,"="&amp;$H$2),
AND($H$2=Data!$A$7,$K$2=Data!$A$2),SUMIFS(Proventos!$H:$H,Proventos!$D:$D,"&gt;="&amp;CONCATENATE($E$6,"/",B45),Proventos!$D:$D,"&lt;"&amp;CONCATENATE($F$6,"/",B45),Proventos!$J:$J,"="&amp;$H$2),
AND($H$2=Data!$A$8,$K$2=Data!$A$2),SUMIFS(Proventos!$H:$H,Proventos!$D:$D,"&gt;="&amp;CONCATENATE($E$6,"/",B45),Proventos!$D:$D,"&lt;"&amp;CONCATENATE($F$6,"/",B45),Proventos!$J:$J,"="&amp;$H$2),
AND($H$2=Data!$A$9,$K$2=Data!$A$2),SUMIFS(Proventos!$H:$H,Proventos!$D:$D,"&gt;="&amp;CONCATENATE($E$6,"/",B45),Proventos!$D:$D,"&lt;"&amp;CONCATENATE($F$6,"/",B45),Proventos!$J:$J,"="&amp;$H$2),
AND($H$2=Data!$A$10,$K$2=Data!$A$2),SUMIFS(Proventos!$H:$H,Proventos!$D:$D,"&gt;="&amp;CONCATENATE($E$6,"/",B45),Proventos!$D:$D,"&lt;"&amp;CONCATENATE($F$6,"/",B45),Proventos!$J:$J,"="&amp;$H$2),
AND($H$2=Data!$A$11,$K$2=Data!$A$2),SUMIFS(Proventos!$H:$H,Proventos!$D:$D,"&gt;="&amp;CONCATENATE($E$6,"/",B45),Proventos!$D:$D,"&lt;"&amp;CONCATENATE($F$6,"/",B45),Proventos!$J:$J,"="&amp;$H$2),
$K$2=Data!$A$2,SUMIFS(Proventos!$H:$H,Proventos!$D:$D,"&gt;="&amp;CONCATENATE($E$6,"/",B45),Proventos!$D:$D,"&lt;"&amp;CONCATENATE($F$6,"/",B45)),
$K$2&lt;&gt;Data!$A$2,SUMIFS(Proventos!$H:$H,Proventos!$D:$D,"&gt;="&amp;CONCATENATE($E$6,"/",B45),Proventos!$D:$D,"&lt;"&amp;CONCATENATE($F$6,"/",B45),Proventos!$A:$A,"="&amp;$K$2))</f>
        <v>0</v>
      </c>
      <c r="F45" s="245">
        <f>IFS(
AND($H$2=Data!$A$3,$K$2=Data!$A$2),SUMIFS(Proventos!$H:$H,Proventos!$D:$D,"&gt;="&amp;CONCATENATE($F$6,"/",B45),Proventos!$D:$D,"&lt;"&amp;CONCATENATE($G$6,"/",B45),Proventos!$J:$J,"="&amp;$H$2),
AND($H$2=Data!$A$4,$K$2=Data!$A$2),SUMIFS(Proventos!$H:$H,Proventos!$D:$D,"&gt;="&amp;CONCATENATE($F$6,"/",B45),Proventos!$D:$D,"&lt;"&amp;CONCATENATE($G$6,"/",B45),Proventos!$J:$J,"="&amp;$H$2),
AND($H$2=Data!$A$5,$K$2=Data!$A$2),SUMIFS(Proventos!$H:$H,Proventos!$D:$D,"&gt;="&amp;CONCATENATE($F$6,"/",B45),Proventos!$D:$D,"&lt;"&amp;CONCATENATE($G$6,"/",B45),Proventos!$J:$J,"="&amp;$H$2),
AND($H$2=Data!$A$6,$K$2=Data!$A$2),SUMIFS(Proventos!$H:$H,Proventos!$D:$D,"&gt;="&amp;CONCATENATE($F$6,"/",B45),Proventos!$D:$D,"&lt;"&amp;CONCATENATE($G$6,"/",B45),Proventos!$J:$J,"="&amp;$H$2),
AND($H$2=Data!$A$7,$K$2=Data!$A$2),SUMIFS(Proventos!$H:$H,Proventos!$D:$D,"&gt;="&amp;CONCATENATE($F$6,"/",B45),Proventos!$D:$D,"&lt;"&amp;CONCATENATE($G$6,"/",B45),Proventos!$J:$J,"="&amp;$H$2),
AND($H$2=Data!$A$8,$K$2=Data!$A$2),SUMIFS(Proventos!$H:$H,Proventos!$D:$D,"&gt;="&amp;CONCATENATE($F$6,"/",B45),Proventos!$D:$D,"&lt;"&amp;CONCATENATE($G$6,"/",B45),Proventos!$J:$J,"="&amp;$H$2),
AND($H$2=Data!$A$9,$K$2=Data!$A$2),SUMIFS(Proventos!$H:$H,Proventos!$D:$D,"&gt;="&amp;CONCATENATE($F$6,"/",B45),Proventos!$D:$D,"&lt;"&amp;CONCATENATE($G$6,"/",B45),Proventos!$J:$J,"="&amp;$H$2),
AND($H$2=Data!$A$10,$K$2=Data!$A$2),SUMIFS(Proventos!$H:$H,Proventos!$D:$D,"&gt;="&amp;CONCATENATE($F$6,"/",B45),Proventos!$D:$D,"&lt;"&amp;CONCATENATE($G$6,"/",B45),Proventos!$J:$J,"="&amp;$H$2),
AND($H$2=Data!$A$11,$K$2=Data!$A$2),SUMIFS(Proventos!$H:$H,Proventos!$D:$D,"&gt;="&amp;CONCATENATE($F$6,"/",B45),Proventos!$D:$D,"&lt;"&amp;CONCATENATE($G$6,"/",B45),Proventos!$J:$J,"="&amp;$H$2),
$K$2=Data!$A$2,SUMIFS(Proventos!$H:$H,Proventos!$D:$D,"&gt;="&amp;CONCATENATE($F$6,"/",B45),Proventos!$D:$D,"&lt;"&amp;CONCATENATE($G$6,"/",B45)),
$K$2&lt;&gt;Data!$A$2,SUMIFS(Proventos!$H:$H,Proventos!$D:$D,"&gt;="&amp;CONCATENATE($F$6,"/",B45),Proventos!$D:$D,"&lt;"&amp;CONCATENATE($G$6,"/",B45),Proventos!$A:$A,"="&amp;$K$2))</f>
        <v>0</v>
      </c>
      <c r="G45" s="245">
        <f>IFS(
AND($H$2=Data!$A$3,$K$2=Data!$A$2),SUMIFS(Proventos!$H:$H,Proventos!$D:$D,"&gt;="&amp;CONCATENATE($G$6,"/",B45),Proventos!$D:$D,"&lt;"&amp;CONCATENATE($H$6,"/",B45),Proventos!$J:$J,"="&amp;$H$2),
AND($H$2=Data!$A$4,$K$2=Data!$A$2),SUMIFS(Proventos!$H:$H,Proventos!$D:$D,"&gt;="&amp;CONCATENATE($G$6,"/",B45),Proventos!$D:$D,"&lt;"&amp;CONCATENATE($H$6,"/",B45),Proventos!$J:$J,"="&amp;$H$2),
AND($H$2=Data!$A$5,$K$2=Data!$A$2),SUMIFS(Proventos!$H:$H,Proventos!$D:$D,"&gt;="&amp;CONCATENATE($G$6,"/",B45),Proventos!$D:$D,"&lt;"&amp;CONCATENATE($H$6,"/",B45),Proventos!$J:$J,"="&amp;$H$2),
AND($H$2=Data!$A$6,$K$2=Data!$A$2),SUMIFS(Proventos!$H:$H,Proventos!$D:$D,"&gt;="&amp;CONCATENATE($G$6,"/",B45),Proventos!$D:$D,"&lt;"&amp;CONCATENATE($H$6,"/",B45),Proventos!$J:$J,"="&amp;$H$2),
AND($H$2=Data!$A$7,$K$2=Data!$A$2),SUMIFS(Proventos!$H:$H,Proventos!$D:$D,"&gt;="&amp;CONCATENATE($G$6,"/",B45),Proventos!$D:$D,"&lt;"&amp;CONCATENATE($H$6,"/",B45),Proventos!$J:$J,"="&amp;$H$2),
AND($H$2=Data!$A$8,$K$2=Data!$A$2),SUMIFS(Proventos!$H:$H,Proventos!$D:$D,"&gt;="&amp;CONCATENATE($G$6,"/",B45),Proventos!$D:$D,"&lt;"&amp;CONCATENATE($H$6,"/",B45),Proventos!$J:$J,"="&amp;$H$2),
AND($H$2=Data!$A$9,$K$2=Data!$A$2),SUMIFS(Proventos!$H:$H,Proventos!$D:$D,"&gt;="&amp;CONCATENATE($G$6,"/",B45),Proventos!$D:$D,"&lt;"&amp;CONCATENATE($H$6,"/",B45),Proventos!$J:$J,"="&amp;$H$2),
AND($H$2=Data!$A$10,$K$2=Data!$A$2),SUMIFS(Proventos!$H:$H,Proventos!$D:$D,"&gt;="&amp;CONCATENATE($G$6,"/",B45),Proventos!$D:$D,"&lt;"&amp;CONCATENATE($H$6,"/",B45),Proventos!$J:$J,"="&amp;$H$2),
AND($H$2=Data!$A$11,$K$2=Data!$A$2),SUMIFS(Proventos!$H:$H,Proventos!$D:$D,"&gt;="&amp;CONCATENATE($G$6,"/",B45),Proventos!$D:$D,"&lt;"&amp;CONCATENATE($H$6,"/",B45),Proventos!$J:$J,"="&amp;$H$2),
$K$2=Data!$A$2,SUMIFS(Proventos!$H:$H,Proventos!$D:$D,"&gt;="&amp;CONCATENATE($G$6,"/",B45),Proventos!$D:$D,"&lt;"&amp;CONCATENATE($H$6,"/",B45)),
$K$2&lt;&gt;Data!$A$2,SUMIFS(Proventos!$H:$H,Proventos!$D:$D,"&gt;="&amp;CONCATENATE($G$6,"/",B45),Proventos!$D:$D,"&lt;"&amp;CONCATENATE($H$6,"/",B45),Proventos!$A:$A,"="&amp;$K$2))</f>
        <v>0</v>
      </c>
      <c r="H45" s="245">
        <f>IFS(
AND($H$2=Data!$A$3,$K$2=Data!$A$2),SUMIFS(Proventos!$H:$H,Proventos!$D:$D,"&gt;="&amp;CONCATENATE($H$6,"/",B45),Proventos!$D:$D,"&lt;"&amp;CONCATENATE($I$6,"/",B45),Proventos!$J:$J,"="&amp;$H$2),
AND($H$2=Data!$A$4,$K$2=Data!$A$2),SUMIFS(Proventos!$H:$H,Proventos!$D:$D,"&gt;="&amp;CONCATENATE($H$6,"/",B45),Proventos!$D:$D,"&lt;"&amp;CONCATENATE($I$6,"/",B45),Proventos!$J:$J,"="&amp;$H$2),
AND($H$2=Data!$A$5,$K$2=Data!$A$2),SUMIFS(Proventos!$H:$H,Proventos!$D:$D,"&gt;="&amp;CONCATENATE($H$6,"/",B45),Proventos!$D:$D,"&lt;"&amp;CONCATENATE($I$6,"/",B45),Proventos!$J:$J,"="&amp;$H$2),
AND($H$2=Data!$A$6,$K$2=Data!$A$2),SUMIFS(Proventos!$H:$H,Proventos!$D:$D,"&gt;="&amp;CONCATENATE($H$6,"/",B45),Proventos!$D:$D,"&lt;"&amp;CONCATENATE($I$6,"/",B45),Proventos!$J:$J,"="&amp;$H$2),
AND($H$2=Data!$A$7,$K$2=Data!$A$2),SUMIFS(Proventos!$H:$H,Proventos!$D:$D,"&gt;="&amp;CONCATENATE($H$6,"/",B45),Proventos!$D:$D,"&lt;"&amp;CONCATENATE($I$6,"/",B45),Proventos!$J:$J,"="&amp;$H$2),
AND($H$2=Data!$A$8,$K$2=Data!$A$2),SUMIFS(Proventos!$H:$H,Proventos!$D:$D,"&gt;="&amp;CONCATENATE($H$6,"/",B45),Proventos!$D:$D,"&lt;"&amp;CONCATENATE($I$6,"/",B45),Proventos!$J:$J,"="&amp;$H$2),
AND($H$2=Data!$A$9,$K$2=Data!$A$2),SUMIFS(Proventos!$H:$H,Proventos!$D:$D,"&gt;="&amp;CONCATENATE($H$6,"/",B45),Proventos!$D:$D,"&lt;"&amp;CONCATENATE($I$6,"/",B45),Proventos!$J:$J,"="&amp;$H$2),
AND($H$2=Data!$A$10,$K$2=Data!$A$2),SUMIFS(Proventos!$H:$H,Proventos!$D:$D,"&gt;="&amp;CONCATENATE($H$6,"/",B45),Proventos!$D:$D,"&lt;"&amp;CONCATENATE($I$6,"/",B45),Proventos!$J:$J,"="&amp;$H$2),
AND($H$2=Data!$A$11,$K$2=Data!$A$2),SUMIFS(Proventos!$H:$H,Proventos!$D:$D,"&gt;="&amp;CONCATENATE($H$6,"/",B45),Proventos!$D:$D,"&lt;"&amp;CONCATENATE($I$6,"/",B45),Proventos!$J:$J,"="&amp;$H$2),
$K$2=Data!$A$2,SUMIFS(Proventos!$H:$H,Proventos!$D:$D,"&gt;="&amp;CONCATENATE($H$6,"/",B45),Proventos!$D:$D,"&lt;"&amp;CONCATENATE($I$6,"/",B45)),
$K$2&lt;&gt;Data!$A$2,SUMIFS(Proventos!$H:$H,Proventos!$D:$D,"&gt;="&amp;CONCATENATE($H$6,"/",B45),Proventos!$D:$D,"&lt;"&amp;CONCATENATE($I$6,"/",B45),Proventos!$A:$A,"="&amp;$K$2))</f>
        <v>0</v>
      </c>
      <c r="I45" s="245">
        <f>IFS(
AND($H$2=Data!$A$3,$K$2=Data!$A$2),SUMIFS(Proventos!$H:$H,Proventos!$D:$D,"&gt;="&amp;CONCATENATE($I$6,"/",B45),Proventos!$D:$D,"&lt;"&amp;CONCATENATE($J$6,"/",B45),Proventos!$J:$J,"="&amp;$H$2),
AND($H$2=Data!$A$4,$K$2=Data!$A$2),SUMIFS(Proventos!$H:$H,Proventos!$D:$D,"&gt;="&amp;CONCATENATE($I$6,"/",B45),Proventos!$D:$D,"&lt;"&amp;CONCATENATE($J$6,"/",B45),Proventos!$J:$J,"="&amp;$H$2),
AND($H$2=Data!$A$5,$K$2=Data!$A$2),SUMIFS(Proventos!$H:$H,Proventos!$D:$D,"&gt;="&amp;CONCATENATE($I$6,"/",B45),Proventos!$D:$D,"&lt;"&amp;CONCATENATE($J$6,"/",B45),Proventos!$J:$J,"="&amp;$H$2),
AND($H$2=Data!$A$6,$K$2=Data!$A$2),SUMIFS(Proventos!$H:$H,Proventos!$D:$D,"&gt;="&amp;CONCATENATE($I$6,"/",B45),Proventos!$D:$D,"&lt;"&amp;CONCATENATE($J$6,"/",B45),Proventos!$J:$J,"="&amp;$H$2),
AND($H$2=Data!$A$7,$K$2=Data!$A$2),SUMIFS(Proventos!$H:$H,Proventos!$D:$D,"&gt;="&amp;CONCATENATE($I$6,"/",B45),Proventos!$D:$D,"&lt;"&amp;CONCATENATE($J$6,"/",B45),Proventos!$J:$J,"="&amp;$H$2),
AND($H$2=Data!$A$8,$K$2=Data!$A$2),SUMIFS(Proventos!$H:$H,Proventos!$D:$D,"&gt;="&amp;CONCATENATE($I$6,"/",B45),Proventos!$D:$D,"&lt;"&amp;CONCATENATE($J$6,"/",B45),Proventos!$J:$J,"="&amp;$H$2),
AND($H$2=Data!$A$9,$K$2=Data!$A$2),SUMIFS(Proventos!$H:$H,Proventos!$D:$D,"&gt;="&amp;CONCATENATE($I$6,"/",B45),Proventos!$D:$D,"&lt;"&amp;CONCATENATE($J$6,"/",B45),Proventos!$J:$J,"="&amp;$H$2),
AND($H$2=Data!$A$10,$K$2=Data!$A$2),SUMIFS(Proventos!$H:$H,Proventos!$D:$D,"&gt;="&amp;CONCATENATE($I$6,"/",B45),Proventos!$D:$D,"&lt;"&amp;CONCATENATE($J$6,"/",B45),Proventos!$J:$J,"="&amp;$H$2),
AND($H$2=Data!$A$11,$K$2=Data!$A$2),SUMIFS(Proventos!$H:$H,Proventos!$D:$D,"&gt;="&amp;CONCATENATE($I$6,"/",B45),Proventos!$D:$D,"&lt;"&amp;CONCATENATE($J$6,"/",B45),Proventos!$J:$J,"="&amp;$H$2),
$K$2=Data!$A$2,SUMIFS(Proventos!$H:$H,Proventos!$D:$D,"&gt;="&amp;CONCATENATE($I$6,"/",B45),Proventos!$D:$D,"&lt;"&amp;CONCATENATE($J$6,"/",B45)),
$K$2&lt;&gt;Data!$A$2,SUMIFS(Proventos!$H:$H,Proventos!$D:$D,"&gt;="&amp;CONCATENATE($I$6,"/",B45),Proventos!$D:$D,"&lt;"&amp;CONCATENATE($J$6,"/",B45),Proventos!$A:$A,"="&amp;$K$2))</f>
        <v>0</v>
      </c>
      <c r="J45" s="245">
        <f>IFS(
AND($H$2=Data!$A$3,$K$2=Data!$A$2),SUMIFS(Proventos!$H:$H,Proventos!$D:$D,"&gt;="&amp;CONCATENATE($J$6,"/",B45),Proventos!$D:$D,"&lt;"&amp;CONCATENATE($K$6,"/",B45),Proventos!$J:$J,"="&amp;$H$2),
AND($H$2=Data!$A$4,$K$2=Data!$A$2),SUMIFS(Proventos!$H:$H,Proventos!$D:$D,"&gt;="&amp;CONCATENATE($J$6,"/",B45),Proventos!$D:$D,"&lt;"&amp;CONCATENATE($K$6,"/",B45),Proventos!$J:$J,"="&amp;$H$2),
AND($H$2=Data!$A$5,$K$2=Data!$A$2),SUMIFS(Proventos!$H:$H,Proventos!$D:$D,"&gt;="&amp;CONCATENATE($J$6,"/",B45),Proventos!$D:$D,"&lt;"&amp;CONCATENATE($K$6,"/",B45),Proventos!$J:$J,"="&amp;$H$2),
AND($H$2=Data!$A$6,$K$2=Data!$A$2),SUMIFS(Proventos!$H:$H,Proventos!$D:$D,"&gt;="&amp;CONCATENATE($J$6,"/",B45),Proventos!$D:$D,"&lt;"&amp;CONCATENATE($K$6,"/",B45),Proventos!$J:$J,"="&amp;$H$2),
AND($H$2=Data!$A$7,$K$2=Data!$A$2),SUMIFS(Proventos!$H:$H,Proventos!$D:$D,"&gt;="&amp;CONCATENATE($J$6,"/",B45),Proventos!$D:$D,"&lt;"&amp;CONCATENATE($K$6,"/",B45),Proventos!$J:$J,"="&amp;$H$2),
AND($H$2=Data!$A$8,$K$2=Data!$A$2),SUMIFS(Proventos!$H:$H,Proventos!$D:$D,"&gt;="&amp;CONCATENATE($J$6,"/",B45),Proventos!$D:$D,"&lt;"&amp;CONCATENATE($K$6,"/",B45),Proventos!$J:$J,"="&amp;$H$2),
AND($H$2=Data!$A$9,$K$2=Data!$A$2),SUMIFS(Proventos!$H:$H,Proventos!$D:$D,"&gt;="&amp;CONCATENATE($J$6,"/",B45),Proventos!$D:$D,"&lt;"&amp;CONCATENATE($K$6,"/",B45),Proventos!$J:$J,"="&amp;$H$2),
AND($H$2=Data!$A$10,$K$2=Data!$A$2),SUMIFS(Proventos!$H:$H,Proventos!$D:$D,"&gt;="&amp;CONCATENATE($J$6,"/",B45),Proventos!$D:$D,"&lt;"&amp;CONCATENATE($K$6,"/",B45),Proventos!$J:$J,"="&amp;$H$2),
AND($H$2=Data!$A$11,$K$2=Data!$A$2),SUMIFS(Proventos!$H:$H,Proventos!$D:$D,"&gt;="&amp;CONCATENATE($J$6,"/",B45),Proventos!$D:$D,"&lt;"&amp;CONCATENATE($K$6,"/",B45),Proventos!$J:$J,"="&amp;$H$2),
$K$2=Data!$A$2,SUMIFS(Proventos!$H:$H,Proventos!$D:$D,"&gt;="&amp;CONCATENATE($J$6,"/",B45),Proventos!$D:$D,"&lt;"&amp;CONCATENATE($K$6,"/",B45)),
$K$2&lt;&gt;Data!$A$2,SUMIFS(Proventos!$H:$H,Proventos!$D:$D,"&gt;="&amp;CONCATENATE($J$6,"/",B45),Proventos!$D:$D,"&lt;"&amp;CONCATENATE($K$6,"/",B45),Proventos!$A:$A,"="&amp;$K$2))</f>
        <v>0</v>
      </c>
      <c r="K45" s="245">
        <f>IFS(
AND($H$2=Data!$A$3,$K$2=Data!$A$2),SUMIFS(Proventos!$H:$H,Proventos!$D:$D,"&gt;="&amp;CONCATENATE($K$6,"/",B45),Proventos!$D:$D,"&lt;"&amp;CONCATENATE($L$6,"/",B45),Proventos!$J:$J,"="&amp;$H$2),
AND($H$2=Data!$A$4,$K$2=Data!$A$2),SUMIFS(Proventos!$H:$H,Proventos!$D:$D,"&gt;="&amp;CONCATENATE($K$6,"/",B45),Proventos!$D:$D,"&lt;"&amp;CONCATENATE($L$6,"/",B45),Proventos!$J:$J,"="&amp;$H$2),
AND($H$2=Data!$A$5,$K$2=Data!$A$2),SUMIFS(Proventos!$H:$H,Proventos!$D:$D,"&gt;="&amp;CONCATENATE($K$6,"/",B45),Proventos!$D:$D,"&lt;"&amp;CONCATENATE($L$6,"/",B45),Proventos!$J:$J,"="&amp;$H$2),
AND($H$2=Data!$A$6,$K$2=Data!$A$2),SUMIFS(Proventos!$H:$H,Proventos!$D:$D,"&gt;="&amp;CONCATENATE($K$6,"/",B45),Proventos!$D:$D,"&lt;"&amp;CONCATENATE($L$6,"/",B45),Proventos!$J:$J,"="&amp;$H$2),
AND($H$2=Data!$A$7,$K$2=Data!$A$2),SUMIFS(Proventos!$H:$H,Proventos!$D:$D,"&gt;="&amp;CONCATENATE($K$6,"/",B45),Proventos!$D:$D,"&lt;"&amp;CONCATENATE($L$6,"/",B45),Proventos!$J:$J,"="&amp;$H$2),
AND($H$2=Data!$A$8,$K$2=Data!$A$2),SUMIFS(Proventos!$H:$H,Proventos!$D:$D,"&gt;="&amp;CONCATENATE($K$6,"/",B45),Proventos!$D:$D,"&lt;"&amp;CONCATENATE($L$6,"/",B45),Proventos!$J:$J,"="&amp;$H$2),
AND($H$2=Data!$A$9,$K$2=Data!$A$2),SUMIFS(Proventos!$H:$H,Proventos!$D:$D,"&gt;="&amp;CONCATENATE($K$6,"/",B45),Proventos!$D:$D,"&lt;"&amp;CONCATENATE($L$6,"/",B45),Proventos!$J:$J,"="&amp;$H$2),
AND($H$2=Data!$A$10,$K$2=Data!$A$2),SUMIFS(Proventos!$H:$H,Proventos!$D:$D,"&gt;="&amp;CONCATENATE($K$6,"/",B45),Proventos!$D:$D,"&lt;"&amp;CONCATENATE($L$6,"/",B45),Proventos!$J:$J,"="&amp;$H$2),
AND($H$2=Data!$A$11,$K$2=Data!$A$2),SUMIFS(Proventos!$H:$H,Proventos!$D:$D,"&gt;="&amp;CONCATENATE($K$6,"/",B45),Proventos!$D:$D,"&lt;"&amp;CONCATENATE($L$6,"/",B45),Proventos!$J:$J,"="&amp;$H$2),
$K$2=Data!$A$2,SUMIFS(Proventos!$H:$H,Proventos!$D:$D,"&gt;="&amp;CONCATENATE($K$6,"/",B45),Proventos!$D:$D,"&lt;"&amp;CONCATENATE($L$6,"/",B45)),
$K$2&lt;&gt;Data!$A$2,SUMIFS(Proventos!$H:$H,Proventos!$D:$D,"&gt;="&amp;CONCATENATE($K$6,"/",B45),Proventos!$D:$D,"&lt;"&amp;CONCATENATE($L$6,"/",B45),Proventos!$A:$A,"="&amp;$K$2))</f>
        <v>0</v>
      </c>
      <c r="L45" s="245">
        <f>IFS(
AND($H$2=Data!$A$3,$K$2=Data!$A$2),SUMIFS(Proventos!$H:$H,Proventos!$D:$D,"&gt;="&amp;CONCATENATE($L$6,"/",B45),Proventos!$D:$D,"&lt;"&amp;CONCATENATE($M$6,"/",B45),Proventos!$J:$J,"="&amp;$H$2),
AND($H$2=Data!$A$4,$K$2=Data!$A$2),SUMIFS(Proventos!$H:$H,Proventos!$D:$D,"&gt;="&amp;CONCATENATE($L$6,"/",B45),Proventos!$D:$D,"&lt;"&amp;CONCATENATE($M$6,"/",B45),Proventos!$J:$J,"="&amp;$H$2),
AND($H$2=Data!$A$5,$K$2=Data!$A$2),SUMIFS(Proventos!$H:$H,Proventos!$D:$D,"&gt;="&amp;CONCATENATE($L$6,"/",B45),Proventos!$D:$D,"&lt;"&amp;CONCATENATE($M$6,"/",B45),Proventos!$J:$J,"="&amp;$H$2),
AND($H$2=Data!$A$6,$K$2=Data!$A$2),SUMIFS(Proventos!$H:$H,Proventos!$D:$D,"&gt;="&amp;CONCATENATE($L$6,"/",B45),Proventos!$D:$D,"&lt;"&amp;CONCATENATE($M$6,"/",B45),Proventos!$J:$J,"="&amp;$H$2),
AND($H$2=Data!$A$7,$K$2=Data!$A$2),SUMIFS(Proventos!$H:$H,Proventos!$D:$D,"&gt;="&amp;CONCATENATE($L$6,"/",B45),Proventos!$D:$D,"&lt;"&amp;CONCATENATE($M$6,"/",B45),Proventos!$J:$J,"="&amp;$H$2),
AND($H$2=Data!$A$8,$K$2=Data!$A$2),SUMIFS(Proventos!$H:$H,Proventos!$D:$D,"&gt;="&amp;CONCATENATE($L$6,"/",B45),Proventos!$D:$D,"&lt;"&amp;CONCATENATE($M$6,"/",B45),Proventos!$J:$J,"="&amp;$H$2),
AND($H$2=Data!$A$9,$K$2=Data!$A$2),SUMIFS(Proventos!$H:$H,Proventos!$D:$D,"&gt;="&amp;CONCATENATE($L$6,"/",B45),Proventos!$D:$D,"&lt;"&amp;CONCATENATE($M$6,"/",B45),Proventos!$J:$J,"="&amp;$H$2),
AND($H$2=Data!$A$10,$K$2=Data!$A$2),SUMIFS(Proventos!$H:$H,Proventos!$D:$D,"&gt;="&amp;CONCATENATE($L$6,"/",B45),Proventos!$D:$D,"&lt;"&amp;CONCATENATE($M$6,"/",B45),Proventos!$J:$J,"="&amp;$H$2),
AND($H$2=Data!$A$11,$K$2=Data!$A$2),SUMIFS(Proventos!$H:$H,Proventos!$D:$D,"&gt;="&amp;CONCATENATE($L$6,"/",B45),Proventos!$D:$D,"&lt;"&amp;CONCATENATE($M$6,"/",B45),Proventos!$J:$J,"="&amp;$H$2),
$K$2=Data!$A$2,SUMIFS(Proventos!$H:$H,Proventos!$D:$D,"&gt;="&amp;CONCATENATE($L$6,"/",B45),Proventos!$D:$D,"&lt;"&amp;CONCATENATE($M$6,"/",B45)),
$K$2&lt;&gt;Data!$A$2,SUMIFS(Proventos!$H:$H,Proventos!$D:$D,"&gt;="&amp;CONCATENATE($L$6,"/",B45),Proventos!$D:$D,"&lt;"&amp;CONCATENATE($M$6,"/",B45),Proventos!$A:$A,"="&amp;$K$2))</f>
        <v>0</v>
      </c>
      <c r="M45" s="245">
        <f>IFS(
AND($H$2=Data!$A$3,$K$2=Data!$A$2),SUMIFS(Proventos!$H:$H,Proventos!$D:$D,"&gt;="&amp;CONCATENATE($M$6,"/",B45),Proventos!$D:$D,"&lt;"&amp;CONCATENATE($N$6,"/",B45),Proventos!$J:$J,"="&amp;$H$2),
AND($H$2=Data!$A$4,$K$2=Data!$A$2),SUMIFS(Proventos!$H:$H,Proventos!$D:$D,"&gt;="&amp;CONCATENATE($M$6,"/",B45),Proventos!$D:$D,"&lt;"&amp;CONCATENATE($N$6,"/",B45),Proventos!$J:$J,"="&amp;$H$2),
AND($H$2=Data!$A$5,$K$2=Data!$A$2),SUMIFS(Proventos!$H:$H,Proventos!$D:$D,"&gt;="&amp;CONCATENATE($M$6,"/",B45),Proventos!$D:$D,"&lt;"&amp;CONCATENATE($N$6,"/",B45),Proventos!$J:$J,"="&amp;$H$2),
AND($H$2=Data!$A$6,$K$2=Data!$A$2),SUMIFS(Proventos!$H:$H,Proventos!$D:$D,"&gt;="&amp;CONCATENATE($M$6,"/",B45),Proventos!$D:$D,"&lt;"&amp;CONCATENATE($N$6,"/",B45),Proventos!$J:$J,"="&amp;$H$2),
AND($H$2=Data!$A$7,$K$2=Data!$A$2),SUMIFS(Proventos!$H:$H,Proventos!$D:$D,"&gt;="&amp;CONCATENATE($M$6,"/",B45),Proventos!$D:$D,"&lt;"&amp;CONCATENATE($N$6,"/",B45),Proventos!$J:$J,"="&amp;$H$2),
AND($H$2=Data!$A$8,$K$2=Data!$A$2),SUMIFS(Proventos!$H:$H,Proventos!$D:$D,"&gt;="&amp;CONCATENATE($M$6,"/",B45),Proventos!$D:$D,"&lt;"&amp;CONCATENATE($N$6,"/",B45),Proventos!$J:$J,"="&amp;$H$2),
AND($H$2=Data!$A$9,$K$2=Data!$A$2),SUMIFS(Proventos!$H:$H,Proventos!$D:$D,"&gt;="&amp;CONCATENATE($M$6,"/",B45),Proventos!$D:$D,"&lt;"&amp;CONCATENATE($N$6,"/",B45),Proventos!$J:$J,"="&amp;$H$2),
AND($H$2=Data!$A$10,$K$2=Data!$A$2),SUMIFS(Proventos!$H:$H,Proventos!$D:$D,"&gt;="&amp;CONCATENATE($M$6,"/",B45),Proventos!$D:$D,"&lt;"&amp;CONCATENATE($N$6,"/",B45),Proventos!$J:$J,"="&amp;$H$2),
AND($H$2=Data!$A$11,$K$2=Data!$A$2),SUMIFS(Proventos!$H:$H,Proventos!$D:$D,"&gt;="&amp;CONCATENATE($M$6,"/",B45),Proventos!$D:$D,"&lt;"&amp;CONCATENATE($N$6,"/",B45),Proventos!$J:$J,"="&amp;$H$2),
$K$2=Data!$A$2,SUMIFS(Proventos!$H:$H,Proventos!$D:$D,"&gt;="&amp;CONCATENATE($M$6,"/",B45),Proventos!$D:$D,"&lt;"&amp;CONCATENATE($N$6,"/",B45)),
$K$2&lt;&gt;Data!$A$2,SUMIFS(Proventos!$H:$H,Proventos!$D:$D,"&gt;="&amp;CONCATENATE($M$6,"/",B45),Proventos!$D:$D,"&lt;"&amp;CONCATENATE($N$6,"/",B45),Proventos!$A:$A,"="&amp;$K$2))</f>
        <v>0</v>
      </c>
      <c r="N45" s="245">
        <f>IFS(
AND($H$2=Data!$A$3,$K$2=Data!$A$2),SUMIFS(Proventos!$H:$H,Proventos!$D:$D,"&gt;="&amp;CONCATENATE($N$6,"/",B45),Proventos!$D:$D,"&lt;"&amp;CONCATENATE($C$6,"/",B46),Proventos!$J:$J,"="&amp;$H$2),
AND($H$2=Data!$A$4,$K$2=Data!$A$2),SUMIFS(Proventos!$H:$H,Proventos!$D:$D,"&gt;="&amp;CONCATENATE($N$6,"/",B45),Proventos!$D:$D,"&lt;"&amp;CONCATENATE($C$6,"/",B46),Proventos!$J:$J,"="&amp;$H$2),
AND($H$2=Data!$A$5,$K$2=Data!$A$2),SUMIFS(Proventos!$H:$H,Proventos!$D:$D,"&gt;="&amp;CONCATENATE($N$6,"/",B45),Proventos!$D:$D,"&lt;"&amp;CONCATENATE($C$6,"/",B46),Proventos!$J:$J,"="&amp;$H$2),
AND($H$2=Data!$A$6,$K$2=Data!$A$2),SUMIFS(Proventos!$H:$H,Proventos!$D:$D,"&gt;="&amp;CONCATENATE($N$6,"/",B45),Proventos!$D:$D,"&lt;"&amp;CONCATENATE($C$6,"/",B46),Proventos!$J:$J,"="&amp;$H$2),
AND($H$2=Data!$A$7,$K$2=Data!$A$2),SUMIFS(Proventos!$H:$H,Proventos!$D:$D,"&gt;="&amp;CONCATENATE($N$6,"/",B45),Proventos!$D:$D,"&lt;"&amp;CONCATENATE($C$6,"/",B46),Proventos!$J:$J,"="&amp;$H$2),
AND($H$2=Data!$A$8,$K$2=Data!$A$2),SUMIFS(Proventos!$H:$H,Proventos!$D:$D,"&gt;="&amp;CONCATENATE($N$6,"/",B45),Proventos!$D:$D,"&lt;"&amp;CONCATENATE($C$6,"/",B46),Proventos!$J:$J,"="&amp;$H$2),
AND($H$2=Data!$A$9,$K$2=Data!$A$2),SUMIFS(Proventos!$H:$H,Proventos!$D:$D,"&gt;="&amp;CONCATENATE($N$6,"/",B45),Proventos!$D:$D,"&lt;"&amp;CONCATENATE($C$6,"/",B46),Proventos!$J:$J,"="&amp;$H$2),
AND($H$2=Data!$A$10,$K$2=Data!$A$2),SUMIFS(Proventos!$H:$H,Proventos!$D:$D,"&gt;="&amp;CONCATENATE($N$6,"/",B45),Proventos!$D:$D,"&lt;"&amp;CONCATENATE($C$6,"/",B46),Proventos!$J:$J,"="&amp;$H$2),
AND($H$2=Data!$A$11,$K$2=Data!$A$2),SUMIFS(Proventos!$H:$H,Proventos!$D:$D,"&gt;="&amp;CONCATENATE($N$6,"/",B45),Proventos!$D:$D,"&lt;"&amp;CONCATENATE($C$6,"/",B46),Proventos!$J:$J,"="&amp;$H$2),
$K$2=Data!$A$2,SUMIFS(Proventos!$H:$H,Proventos!$D:$D,"&gt;="&amp;CONCATENATE($N$6,"/",B45),Proventos!$D:$D,"&lt;"&amp;CONCATENATE($C$6,"/",B46)),
$K$2&lt;&gt;Data!$A$2,SUMIFS(Proventos!$H:$H,Proventos!$D:$D,"&gt;="&amp;CONCATENATE($N$6,"/",B45),Proventos!$D:$D,"&lt;"&amp;CONCATENATE($C$6,"/",B46),Proventos!$A:$A,"="&amp;$K$2))</f>
        <v>0</v>
      </c>
      <c r="O45" s="245"/>
      <c r="P45" s="245">
        <f t="shared" si="1"/>
        <v>0</v>
      </c>
      <c r="Q45" s="245">
        <f t="shared" si="2"/>
        <v>0</v>
      </c>
    </row>
    <row r="46" ht="32.25" customHeight="1">
      <c r="A46" s="230"/>
      <c r="B46" s="244"/>
      <c r="C46" s="245">
        <f>IFS(
AND($H$2=Data!$A$3,$K$2=Data!$A$2),SUMIFS(Proventos!$H:$H,Proventos!$D:$D,"&gt;="&amp;CONCATENATE($C$6,"/",B46),Proventos!$D:$D,"&lt;"&amp;CONCATENATE($D$6,"/",B46),Proventos!$J:$J,"="&amp;$H$2),
AND($H$2=Data!$A$4,$K$2=Data!$A$2),SUMIFS(Proventos!$H:$H,Proventos!$D:$D,"&gt;="&amp;CONCATENATE($C$6,"/",B46),Proventos!$D:$D,"&lt;"&amp;CONCATENATE($D$6,"/",B46),Proventos!$J:$J,"="&amp;$H$2),
AND($H$2=Data!$A$5,$K$2=Data!$A$2),SUMIFS(Proventos!$H:$H,Proventos!$D:$D,"&gt;="&amp;CONCATENATE($C$6,"/",B46),Proventos!$D:$D,"&lt;"&amp;CONCATENATE($D$6,"/",B46),Proventos!$J:$J,"="&amp;$H$2),
AND($H$2=Data!$A$6,$K$2=Data!$A$2),SUMIFS(Proventos!$H:$H,Proventos!$D:$D,"&gt;="&amp;CONCATENATE($C$6,"/",B46),Proventos!$D:$D,"&lt;"&amp;CONCATENATE($D$6,"/",B46),Proventos!$J:$J,"="&amp;$H$2),
AND($H$2=Data!$A$7,$K$2=Data!$A$2),SUMIFS(Proventos!$H:$H,Proventos!$D:$D,"&gt;="&amp;CONCATENATE($C$6,"/",B46),Proventos!$D:$D,"&lt;"&amp;CONCATENATE($D$6,"/",B46),Proventos!$J:$J,"="&amp;$H$2),
AND($H$2=Data!$A$8,$K$2=Data!$A$2),SUMIFS(Proventos!$H:$H,Proventos!$D:$D,"&gt;="&amp;CONCATENATE($C$6,"/",B46),Proventos!$D:$D,"&lt;"&amp;CONCATENATE($D$6,"/",B46),Proventos!$J:$J,"="&amp;$H$2),
AND($H$2=Data!$A$9,$K$2=Data!$A$2),SUMIFS(Proventos!$H:$H,Proventos!$D:$D,"&gt;="&amp;CONCATENATE($C$6,"/",B46),Proventos!$D:$D,"&lt;"&amp;CONCATENATE($D$6,"/",B46),Proventos!$J:$J,"="&amp;$H$2),
AND($H$2=Data!$A$10,$K$2=Data!$A$2),SUMIFS(Proventos!$H:$H,Proventos!$D:$D,"&gt;="&amp;CONCATENATE($C$6,"/",B46),Proventos!$D:$D,"&lt;"&amp;CONCATENATE($D$6,"/",B46),Proventos!$J:$J,"="&amp;$H$2),
AND($H$2=Data!$A$11,$K$2=Data!$A$2),SUMIFS(Proventos!$H:$H,Proventos!$D:$D,"&gt;="&amp;CONCATENATE($C$6,"/",B46),Proventos!$D:$D,"&lt;"&amp;CONCATENATE($D$6,"/",B46),Proventos!$J:$J,"="&amp;$H$2),
$K$2=Data!$A$2,SUMIFS(Proventos!$H:$H,Proventos!$D:$D,"&gt;="&amp;CONCATENATE($C$6,"/",B46),Proventos!$D:$D,"&lt;"&amp;CONCATENATE($D$6,"/",B46)),
$K$2&lt;&gt;Data!$A$2,SUMIFS(Proventos!$H:$H,Proventos!$D:$D,"&gt;="&amp;CONCATENATE($C$6,"/",B46),Proventos!$D:$D,"&lt;"&amp;CONCATENATE($D$6,"/",B46),Proventos!$A:$A,"="&amp;$K$2))</f>
        <v>0</v>
      </c>
      <c r="D46" s="245">
        <f>IFS(
AND($H$2=Data!$A$3,$K$2=Data!$A$2),SUMIFS(Proventos!$H:$H,Proventos!$D:$D,"&gt;="&amp;CONCATENATE($D$6,"/",B46),Proventos!$D:$D,"&lt;"&amp;CONCATENATE($E$6,"/",B46),Proventos!$J:$J,"="&amp;$H$2),
AND($H$2=Data!$A$4,$K$2=Data!$A$2),SUMIFS(Proventos!$H:$H,Proventos!$D:$D,"&gt;="&amp;CONCATENATE($D$6,"/",B46),Proventos!$D:$D,"&lt;"&amp;CONCATENATE($E$6,"/",B46),Proventos!$J:$J,"="&amp;$H$2),
AND($H$2=Data!$A$5,$K$2=Data!$A$2),SUMIFS(Proventos!$H:$H,Proventos!$D:$D,"&gt;="&amp;CONCATENATE($D$6,"/",B46),Proventos!$D:$D,"&lt;"&amp;CONCATENATE($E$6,"/",B46),Proventos!$J:$J,"="&amp;$H$2),
AND($H$2=Data!$A$6,$K$2=Data!$A$2),SUMIFS(Proventos!$H:$H,Proventos!$D:$D,"&gt;="&amp;CONCATENATE($D$6,"/",B46),Proventos!$D:$D,"&lt;"&amp;CONCATENATE($E$6,"/",B46),Proventos!$J:$J,"="&amp;$H$2),
AND($H$2=Data!$A$7,$K$2=Data!$A$2),SUMIFS(Proventos!$H:$H,Proventos!$D:$D,"&gt;="&amp;CONCATENATE($D$6,"/",B46),Proventos!$D:$D,"&lt;"&amp;CONCATENATE($E$6,"/",B46),Proventos!$J:$J,"="&amp;$H$2),
AND($H$2=Data!$A$8,$K$2=Data!$A$2),SUMIFS(Proventos!$H:$H,Proventos!$D:$D,"&gt;="&amp;CONCATENATE($D$6,"/",B46),Proventos!$D:$D,"&lt;"&amp;CONCATENATE($E$6,"/",B46),Proventos!$J:$J,"="&amp;$H$2),
AND($H$2=Data!$A$9,$K$2=Data!$A$2),SUMIFS(Proventos!$H:$H,Proventos!$D:$D,"&gt;="&amp;CONCATENATE($D$6,"/",B46),Proventos!$D:$D,"&lt;"&amp;CONCATENATE($E$6,"/",B46),Proventos!$J:$J,"="&amp;$H$2),
AND($H$2=Data!$A$10,$K$2=Data!$A$2),SUMIFS(Proventos!$H:$H,Proventos!$D:$D,"&gt;="&amp;CONCATENATE($D$6,"/",B46),Proventos!$D:$D,"&lt;"&amp;CONCATENATE($E$6,"/",B46),Proventos!$J:$J,"="&amp;$H$2),
AND($H$2=Data!$A$11,$K$2=Data!$A$2),SUMIFS(Proventos!$H:$H,Proventos!$D:$D,"&gt;="&amp;CONCATENATE($D$6,"/",B46),Proventos!$D:$D,"&lt;"&amp;CONCATENATE($E$6,"/",B46),Proventos!$J:$J,"="&amp;$H$2),
$K$2=Data!$A$2,SUMIFS(Proventos!$H:$H,Proventos!$D:$D,"&gt;="&amp;CONCATENATE($D$6,"/",B46),Proventos!$D:$D,"&lt;"&amp;CONCATENATE($E$6,"/",B46)),
$K$2&lt;&gt;Data!$A$2,SUMIFS(Proventos!$H:$H,Proventos!$D:$D,"&gt;="&amp;CONCATENATE($D$6,"/",B46),Proventos!$D:$D,"&lt;"&amp;CONCATENATE($E$6,"/",B46),Proventos!$A:$A,"="&amp;$K$2))</f>
        <v>0</v>
      </c>
      <c r="E46" s="245">
        <f>IFS(
AND($H$2=Data!$A$3,$K$2=Data!$A$2),SUMIFS(Proventos!$H:$H,Proventos!$D:$D,"&gt;="&amp;CONCATENATE($E$6,"/",B46),Proventos!$D:$D,"&lt;"&amp;CONCATENATE($F$6,"/",B46),Proventos!$J:$J,"="&amp;$H$2),
AND($H$2=Data!$A$4,$K$2=Data!$A$2),SUMIFS(Proventos!$H:$H,Proventos!$D:$D,"&gt;="&amp;CONCATENATE($E$6,"/",B46),Proventos!$D:$D,"&lt;"&amp;CONCATENATE($F$6,"/",B46),Proventos!$J:$J,"="&amp;$H$2),
AND($H$2=Data!$A$5,$K$2=Data!$A$2),SUMIFS(Proventos!$H:$H,Proventos!$D:$D,"&gt;="&amp;CONCATENATE($E$6,"/",B46),Proventos!$D:$D,"&lt;"&amp;CONCATENATE($F$6,"/",B46),Proventos!$J:$J,"="&amp;$H$2),
AND($H$2=Data!$A$6,$K$2=Data!$A$2),SUMIFS(Proventos!$H:$H,Proventos!$D:$D,"&gt;="&amp;CONCATENATE($E$6,"/",B46),Proventos!$D:$D,"&lt;"&amp;CONCATENATE($F$6,"/",B46),Proventos!$J:$J,"="&amp;$H$2),
AND($H$2=Data!$A$7,$K$2=Data!$A$2),SUMIFS(Proventos!$H:$H,Proventos!$D:$D,"&gt;="&amp;CONCATENATE($E$6,"/",B46),Proventos!$D:$D,"&lt;"&amp;CONCATENATE($F$6,"/",B46),Proventos!$J:$J,"="&amp;$H$2),
AND($H$2=Data!$A$8,$K$2=Data!$A$2),SUMIFS(Proventos!$H:$H,Proventos!$D:$D,"&gt;="&amp;CONCATENATE($E$6,"/",B46),Proventos!$D:$D,"&lt;"&amp;CONCATENATE($F$6,"/",B46),Proventos!$J:$J,"="&amp;$H$2),
AND($H$2=Data!$A$9,$K$2=Data!$A$2),SUMIFS(Proventos!$H:$H,Proventos!$D:$D,"&gt;="&amp;CONCATENATE($E$6,"/",B46),Proventos!$D:$D,"&lt;"&amp;CONCATENATE($F$6,"/",B46),Proventos!$J:$J,"="&amp;$H$2),
AND($H$2=Data!$A$10,$K$2=Data!$A$2),SUMIFS(Proventos!$H:$H,Proventos!$D:$D,"&gt;="&amp;CONCATENATE($E$6,"/",B46),Proventos!$D:$D,"&lt;"&amp;CONCATENATE($F$6,"/",B46),Proventos!$J:$J,"="&amp;$H$2),
AND($H$2=Data!$A$11,$K$2=Data!$A$2),SUMIFS(Proventos!$H:$H,Proventos!$D:$D,"&gt;="&amp;CONCATENATE($E$6,"/",B46),Proventos!$D:$D,"&lt;"&amp;CONCATENATE($F$6,"/",B46),Proventos!$J:$J,"="&amp;$H$2),
$K$2=Data!$A$2,SUMIFS(Proventos!$H:$H,Proventos!$D:$D,"&gt;="&amp;CONCATENATE($E$6,"/",B46),Proventos!$D:$D,"&lt;"&amp;CONCATENATE($F$6,"/",B46)),
$K$2&lt;&gt;Data!$A$2,SUMIFS(Proventos!$H:$H,Proventos!$D:$D,"&gt;="&amp;CONCATENATE($E$6,"/",B46),Proventos!$D:$D,"&lt;"&amp;CONCATENATE($F$6,"/",B46),Proventos!$A:$A,"="&amp;$K$2))</f>
        <v>0</v>
      </c>
      <c r="F46" s="245">
        <f>IFS(
AND($H$2=Data!$A$3,$K$2=Data!$A$2),SUMIFS(Proventos!$H:$H,Proventos!$D:$D,"&gt;="&amp;CONCATENATE($F$6,"/",B46),Proventos!$D:$D,"&lt;"&amp;CONCATENATE($G$6,"/",B46),Proventos!$J:$J,"="&amp;$H$2),
AND($H$2=Data!$A$4,$K$2=Data!$A$2),SUMIFS(Proventos!$H:$H,Proventos!$D:$D,"&gt;="&amp;CONCATENATE($F$6,"/",B46),Proventos!$D:$D,"&lt;"&amp;CONCATENATE($G$6,"/",B46),Proventos!$J:$J,"="&amp;$H$2),
AND($H$2=Data!$A$5,$K$2=Data!$A$2),SUMIFS(Proventos!$H:$H,Proventos!$D:$D,"&gt;="&amp;CONCATENATE($F$6,"/",B46),Proventos!$D:$D,"&lt;"&amp;CONCATENATE($G$6,"/",B46),Proventos!$J:$J,"="&amp;$H$2),
AND($H$2=Data!$A$6,$K$2=Data!$A$2),SUMIFS(Proventos!$H:$H,Proventos!$D:$D,"&gt;="&amp;CONCATENATE($F$6,"/",B46),Proventos!$D:$D,"&lt;"&amp;CONCATENATE($G$6,"/",B46),Proventos!$J:$J,"="&amp;$H$2),
AND($H$2=Data!$A$7,$K$2=Data!$A$2),SUMIFS(Proventos!$H:$H,Proventos!$D:$D,"&gt;="&amp;CONCATENATE($F$6,"/",B46),Proventos!$D:$D,"&lt;"&amp;CONCATENATE($G$6,"/",B46),Proventos!$J:$J,"="&amp;$H$2),
AND($H$2=Data!$A$8,$K$2=Data!$A$2),SUMIFS(Proventos!$H:$H,Proventos!$D:$D,"&gt;="&amp;CONCATENATE($F$6,"/",B46),Proventos!$D:$D,"&lt;"&amp;CONCATENATE($G$6,"/",B46),Proventos!$J:$J,"="&amp;$H$2),
AND($H$2=Data!$A$9,$K$2=Data!$A$2),SUMIFS(Proventos!$H:$H,Proventos!$D:$D,"&gt;="&amp;CONCATENATE($F$6,"/",B46),Proventos!$D:$D,"&lt;"&amp;CONCATENATE($G$6,"/",B46),Proventos!$J:$J,"="&amp;$H$2),
AND($H$2=Data!$A$10,$K$2=Data!$A$2),SUMIFS(Proventos!$H:$H,Proventos!$D:$D,"&gt;="&amp;CONCATENATE($F$6,"/",B46),Proventos!$D:$D,"&lt;"&amp;CONCATENATE($G$6,"/",B46),Proventos!$J:$J,"="&amp;$H$2),
AND($H$2=Data!$A$11,$K$2=Data!$A$2),SUMIFS(Proventos!$H:$H,Proventos!$D:$D,"&gt;="&amp;CONCATENATE($F$6,"/",B46),Proventos!$D:$D,"&lt;"&amp;CONCATENATE($G$6,"/",B46),Proventos!$J:$J,"="&amp;$H$2),
$K$2=Data!$A$2,SUMIFS(Proventos!$H:$H,Proventos!$D:$D,"&gt;="&amp;CONCATENATE($F$6,"/",B46),Proventos!$D:$D,"&lt;"&amp;CONCATENATE($G$6,"/",B46)),
$K$2&lt;&gt;Data!$A$2,SUMIFS(Proventos!$H:$H,Proventos!$D:$D,"&gt;="&amp;CONCATENATE($F$6,"/",B46),Proventos!$D:$D,"&lt;"&amp;CONCATENATE($G$6,"/",B46),Proventos!$A:$A,"="&amp;$K$2))</f>
        <v>0</v>
      </c>
      <c r="G46" s="245">
        <f>IFS(
AND($H$2=Data!$A$3,$K$2=Data!$A$2),SUMIFS(Proventos!$H:$H,Proventos!$D:$D,"&gt;="&amp;CONCATENATE($G$6,"/",B46),Proventos!$D:$D,"&lt;"&amp;CONCATENATE($H$6,"/",B46),Proventos!$J:$J,"="&amp;$H$2),
AND($H$2=Data!$A$4,$K$2=Data!$A$2),SUMIFS(Proventos!$H:$H,Proventos!$D:$D,"&gt;="&amp;CONCATENATE($G$6,"/",B46),Proventos!$D:$D,"&lt;"&amp;CONCATENATE($H$6,"/",B46),Proventos!$J:$J,"="&amp;$H$2),
AND($H$2=Data!$A$5,$K$2=Data!$A$2),SUMIFS(Proventos!$H:$H,Proventos!$D:$D,"&gt;="&amp;CONCATENATE($G$6,"/",B46),Proventos!$D:$D,"&lt;"&amp;CONCATENATE($H$6,"/",B46),Proventos!$J:$J,"="&amp;$H$2),
AND($H$2=Data!$A$6,$K$2=Data!$A$2),SUMIFS(Proventos!$H:$H,Proventos!$D:$D,"&gt;="&amp;CONCATENATE($G$6,"/",B46),Proventos!$D:$D,"&lt;"&amp;CONCATENATE($H$6,"/",B46),Proventos!$J:$J,"="&amp;$H$2),
AND($H$2=Data!$A$7,$K$2=Data!$A$2),SUMIFS(Proventos!$H:$H,Proventos!$D:$D,"&gt;="&amp;CONCATENATE($G$6,"/",B46),Proventos!$D:$D,"&lt;"&amp;CONCATENATE($H$6,"/",B46),Proventos!$J:$J,"="&amp;$H$2),
AND($H$2=Data!$A$8,$K$2=Data!$A$2),SUMIFS(Proventos!$H:$H,Proventos!$D:$D,"&gt;="&amp;CONCATENATE($G$6,"/",B46),Proventos!$D:$D,"&lt;"&amp;CONCATENATE($H$6,"/",B46),Proventos!$J:$J,"="&amp;$H$2),
AND($H$2=Data!$A$9,$K$2=Data!$A$2),SUMIFS(Proventos!$H:$H,Proventos!$D:$D,"&gt;="&amp;CONCATENATE($G$6,"/",B46),Proventos!$D:$D,"&lt;"&amp;CONCATENATE($H$6,"/",B46),Proventos!$J:$J,"="&amp;$H$2),
AND($H$2=Data!$A$10,$K$2=Data!$A$2),SUMIFS(Proventos!$H:$H,Proventos!$D:$D,"&gt;="&amp;CONCATENATE($G$6,"/",B46),Proventos!$D:$D,"&lt;"&amp;CONCATENATE($H$6,"/",B46),Proventos!$J:$J,"="&amp;$H$2),
AND($H$2=Data!$A$11,$K$2=Data!$A$2),SUMIFS(Proventos!$H:$H,Proventos!$D:$D,"&gt;="&amp;CONCATENATE($G$6,"/",B46),Proventos!$D:$D,"&lt;"&amp;CONCATENATE($H$6,"/",B46),Proventos!$J:$J,"="&amp;$H$2),
$K$2=Data!$A$2,SUMIFS(Proventos!$H:$H,Proventos!$D:$D,"&gt;="&amp;CONCATENATE($G$6,"/",B46),Proventos!$D:$D,"&lt;"&amp;CONCATENATE($H$6,"/",B46)),
$K$2&lt;&gt;Data!$A$2,SUMIFS(Proventos!$H:$H,Proventos!$D:$D,"&gt;="&amp;CONCATENATE($G$6,"/",B46),Proventos!$D:$D,"&lt;"&amp;CONCATENATE($H$6,"/",B46),Proventos!$A:$A,"="&amp;$K$2))</f>
        <v>0</v>
      </c>
      <c r="H46" s="245">
        <f>IFS(
AND($H$2=Data!$A$3,$K$2=Data!$A$2),SUMIFS(Proventos!$H:$H,Proventos!$D:$D,"&gt;="&amp;CONCATENATE($H$6,"/",B46),Proventos!$D:$D,"&lt;"&amp;CONCATENATE($I$6,"/",B46),Proventos!$J:$J,"="&amp;$H$2),
AND($H$2=Data!$A$4,$K$2=Data!$A$2),SUMIFS(Proventos!$H:$H,Proventos!$D:$D,"&gt;="&amp;CONCATENATE($H$6,"/",B46),Proventos!$D:$D,"&lt;"&amp;CONCATENATE($I$6,"/",B46),Proventos!$J:$J,"="&amp;$H$2),
AND($H$2=Data!$A$5,$K$2=Data!$A$2),SUMIFS(Proventos!$H:$H,Proventos!$D:$D,"&gt;="&amp;CONCATENATE($H$6,"/",B46),Proventos!$D:$D,"&lt;"&amp;CONCATENATE($I$6,"/",B46),Proventos!$J:$J,"="&amp;$H$2),
AND($H$2=Data!$A$6,$K$2=Data!$A$2),SUMIFS(Proventos!$H:$H,Proventos!$D:$D,"&gt;="&amp;CONCATENATE($H$6,"/",B46),Proventos!$D:$D,"&lt;"&amp;CONCATENATE($I$6,"/",B46),Proventos!$J:$J,"="&amp;$H$2),
AND($H$2=Data!$A$7,$K$2=Data!$A$2),SUMIFS(Proventos!$H:$H,Proventos!$D:$D,"&gt;="&amp;CONCATENATE($H$6,"/",B46),Proventos!$D:$D,"&lt;"&amp;CONCATENATE($I$6,"/",B46),Proventos!$J:$J,"="&amp;$H$2),
AND($H$2=Data!$A$8,$K$2=Data!$A$2),SUMIFS(Proventos!$H:$H,Proventos!$D:$D,"&gt;="&amp;CONCATENATE($H$6,"/",B46),Proventos!$D:$D,"&lt;"&amp;CONCATENATE($I$6,"/",B46),Proventos!$J:$J,"="&amp;$H$2),
AND($H$2=Data!$A$9,$K$2=Data!$A$2),SUMIFS(Proventos!$H:$H,Proventos!$D:$D,"&gt;="&amp;CONCATENATE($H$6,"/",B46),Proventos!$D:$D,"&lt;"&amp;CONCATENATE($I$6,"/",B46),Proventos!$J:$J,"="&amp;$H$2),
AND($H$2=Data!$A$10,$K$2=Data!$A$2),SUMIFS(Proventos!$H:$H,Proventos!$D:$D,"&gt;="&amp;CONCATENATE($H$6,"/",B46),Proventos!$D:$D,"&lt;"&amp;CONCATENATE($I$6,"/",B46),Proventos!$J:$J,"="&amp;$H$2),
AND($H$2=Data!$A$11,$K$2=Data!$A$2),SUMIFS(Proventos!$H:$H,Proventos!$D:$D,"&gt;="&amp;CONCATENATE($H$6,"/",B46),Proventos!$D:$D,"&lt;"&amp;CONCATENATE($I$6,"/",B46),Proventos!$J:$J,"="&amp;$H$2),
$K$2=Data!$A$2,SUMIFS(Proventos!$H:$H,Proventos!$D:$D,"&gt;="&amp;CONCATENATE($H$6,"/",B46),Proventos!$D:$D,"&lt;"&amp;CONCATENATE($I$6,"/",B46)),
$K$2&lt;&gt;Data!$A$2,SUMIFS(Proventos!$H:$H,Proventos!$D:$D,"&gt;="&amp;CONCATENATE($H$6,"/",B46),Proventos!$D:$D,"&lt;"&amp;CONCATENATE($I$6,"/",B46),Proventos!$A:$A,"="&amp;$K$2))</f>
        <v>0</v>
      </c>
      <c r="I46" s="245">
        <f>IFS(
AND($H$2=Data!$A$3,$K$2=Data!$A$2),SUMIFS(Proventos!$H:$H,Proventos!$D:$D,"&gt;="&amp;CONCATENATE($I$6,"/",B46),Proventos!$D:$D,"&lt;"&amp;CONCATENATE($J$6,"/",B46),Proventos!$J:$J,"="&amp;$H$2),
AND($H$2=Data!$A$4,$K$2=Data!$A$2),SUMIFS(Proventos!$H:$H,Proventos!$D:$D,"&gt;="&amp;CONCATENATE($I$6,"/",B46),Proventos!$D:$D,"&lt;"&amp;CONCATENATE($J$6,"/",B46),Proventos!$J:$J,"="&amp;$H$2),
AND($H$2=Data!$A$5,$K$2=Data!$A$2),SUMIFS(Proventos!$H:$H,Proventos!$D:$D,"&gt;="&amp;CONCATENATE($I$6,"/",B46),Proventos!$D:$D,"&lt;"&amp;CONCATENATE($J$6,"/",B46),Proventos!$J:$J,"="&amp;$H$2),
AND($H$2=Data!$A$6,$K$2=Data!$A$2),SUMIFS(Proventos!$H:$H,Proventos!$D:$D,"&gt;="&amp;CONCATENATE($I$6,"/",B46),Proventos!$D:$D,"&lt;"&amp;CONCATENATE($J$6,"/",B46),Proventos!$J:$J,"="&amp;$H$2),
AND($H$2=Data!$A$7,$K$2=Data!$A$2),SUMIFS(Proventos!$H:$H,Proventos!$D:$D,"&gt;="&amp;CONCATENATE($I$6,"/",B46),Proventos!$D:$D,"&lt;"&amp;CONCATENATE($J$6,"/",B46),Proventos!$J:$J,"="&amp;$H$2),
AND($H$2=Data!$A$8,$K$2=Data!$A$2),SUMIFS(Proventos!$H:$H,Proventos!$D:$D,"&gt;="&amp;CONCATENATE($I$6,"/",B46),Proventos!$D:$D,"&lt;"&amp;CONCATENATE($J$6,"/",B46),Proventos!$J:$J,"="&amp;$H$2),
AND($H$2=Data!$A$9,$K$2=Data!$A$2),SUMIFS(Proventos!$H:$H,Proventos!$D:$D,"&gt;="&amp;CONCATENATE($I$6,"/",B46),Proventos!$D:$D,"&lt;"&amp;CONCATENATE($J$6,"/",B46),Proventos!$J:$J,"="&amp;$H$2),
AND($H$2=Data!$A$10,$K$2=Data!$A$2),SUMIFS(Proventos!$H:$H,Proventos!$D:$D,"&gt;="&amp;CONCATENATE($I$6,"/",B46),Proventos!$D:$D,"&lt;"&amp;CONCATENATE($J$6,"/",B46),Proventos!$J:$J,"="&amp;$H$2),
AND($H$2=Data!$A$11,$K$2=Data!$A$2),SUMIFS(Proventos!$H:$H,Proventos!$D:$D,"&gt;="&amp;CONCATENATE($I$6,"/",B46),Proventos!$D:$D,"&lt;"&amp;CONCATENATE($J$6,"/",B46),Proventos!$J:$J,"="&amp;$H$2),
$K$2=Data!$A$2,SUMIFS(Proventos!$H:$H,Proventos!$D:$D,"&gt;="&amp;CONCATENATE($I$6,"/",B46),Proventos!$D:$D,"&lt;"&amp;CONCATENATE($J$6,"/",B46)),
$K$2&lt;&gt;Data!$A$2,SUMIFS(Proventos!$H:$H,Proventos!$D:$D,"&gt;="&amp;CONCATENATE($I$6,"/",B46),Proventos!$D:$D,"&lt;"&amp;CONCATENATE($J$6,"/",B46),Proventos!$A:$A,"="&amp;$K$2))</f>
        <v>0</v>
      </c>
      <c r="J46" s="245">
        <f>IFS(
AND($H$2=Data!$A$3,$K$2=Data!$A$2),SUMIFS(Proventos!$H:$H,Proventos!$D:$D,"&gt;="&amp;CONCATENATE($J$6,"/",B46),Proventos!$D:$D,"&lt;"&amp;CONCATENATE($K$6,"/",B46),Proventos!$J:$J,"="&amp;$H$2),
AND($H$2=Data!$A$4,$K$2=Data!$A$2),SUMIFS(Proventos!$H:$H,Proventos!$D:$D,"&gt;="&amp;CONCATENATE($J$6,"/",B46),Proventos!$D:$D,"&lt;"&amp;CONCATENATE($K$6,"/",B46),Proventos!$J:$J,"="&amp;$H$2),
AND($H$2=Data!$A$5,$K$2=Data!$A$2),SUMIFS(Proventos!$H:$H,Proventos!$D:$D,"&gt;="&amp;CONCATENATE($J$6,"/",B46),Proventos!$D:$D,"&lt;"&amp;CONCATENATE($K$6,"/",B46),Proventos!$J:$J,"="&amp;$H$2),
AND($H$2=Data!$A$6,$K$2=Data!$A$2),SUMIFS(Proventos!$H:$H,Proventos!$D:$D,"&gt;="&amp;CONCATENATE($J$6,"/",B46),Proventos!$D:$D,"&lt;"&amp;CONCATENATE($K$6,"/",B46),Proventos!$J:$J,"="&amp;$H$2),
AND($H$2=Data!$A$7,$K$2=Data!$A$2),SUMIFS(Proventos!$H:$H,Proventos!$D:$D,"&gt;="&amp;CONCATENATE($J$6,"/",B46),Proventos!$D:$D,"&lt;"&amp;CONCATENATE($K$6,"/",B46),Proventos!$J:$J,"="&amp;$H$2),
AND($H$2=Data!$A$8,$K$2=Data!$A$2),SUMIFS(Proventos!$H:$H,Proventos!$D:$D,"&gt;="&amp;CONCATENATE($J$6,"/",B46),Proventos!$D:$D,"&lt;"&amp;CONCATENATE($K$6,"/",B46),Proventos!$J:$J,"="&amp;$H$2),
AND($H$2=Data!$A$9,$K$2=Data!$A$2),SUMIFS(Proventos!$H:$H,Proventos!$D:$D,"&gt;="&amp;CONCATENATE($J$6,"/",B46),Proventos!$D:$D,"&lt;"&amp;CONCATENATE($K$6,"/",B46),Proventos!$J:$J,"="&amp;$H$2),
AND($H$2=Data!$A$10,$K$2=Data!$A$2),SUMIFS(Proventos!$H:$H,Proventos!$D:$D,"&gt;="&amp;CONCATENATE($J$6,"/",B46),Proventos!$D:$D,"&lt;"&amp;CONCATENATE($K$6,"/",B46),Proventos!$J:$J,"="&amp;$H$2),
AND($H$2=Data!$A$11,$K$2=Data!$A$2),SUMIFS(Proventos!$H:$H,Proventos!$D:$D,"&gt;="&amp;CONCATENATE($J$6,"/",B46),Proventos!$D:$D,"&lt;"&amp;CONCATENATE($K$6,"/",B46),Proventos!$J:$J,"="&amp;$H$2),
$K$2=Data!$A$2,SUMIFS(Proventos!$H:$H,Proventos!$D:$D,"&gt;="&amp;CONCATENATE($J$6,"/",B46),Proventos!$D:$D,"&lt;"&amp;CONCATENATE($K$6,"/",B46)),
$K$2&lt;&gt;Data!$A$2,SUMIFS(Proventos!$H:$H,Proventos!$D:$D,"&gt;="&amp;CONCATENATE($J$6,"/",B46),Proventos!$D:$D,"&lt;"&amp;CONCATENATE($K$6,"/",B46),Proventos!$A:$A,"="&amp;$K$2))</f>
        <v>0</v>
      </c>
      <c r="K46" s="245">
        <f>IFS(
AND($H$2=Data!$A$3,$K$2=Data!$A$2),SUMIFS(Proventos!$H:$H,Proventos!$D:$D,"&gt;="&amp;CONCATENATE($K$6,"/",B46),Proventos!$D:$D,"&lt;"&amp;CONCATENATE($L$6,"/",B46),Proventos!$J:$J,"="&amp;$H$2),
AND($H$2=Data!$A$4,$K$2=Data!$A$2),SUMIFS(Proventos!$H:$H,Proventos!$D:$D,"&gt;="&amp;CONCATENATE($K$6,"/",B46),Proventos!$D:$D,"&lt;"&amp;CONCATENATE($L$6,"/",B46),Proventos!$J:$J,"="&amp;$H$2),
AND($H$2=Data!$A$5,$K$2=Data!$A$2),SUMIFS(Proventos!$H:$H,Proventos!$D:$D,"&gt;="&amp;CONCATENATE($K$6,"/",B46),Proventos!$D:$D,"&lt;"&amp;CONCATENATE($L$6,"/",B46),Proventos!$J:$J,"="&amp;$H$2),
AND($H$2=Data!$A$6,$K$2=Data!$A$2),SUMIFS(Proventos!$H:$H,Proventos!$D:$D,"&gt;="&amp;CONCATENATE($K$6,"/",B46),Proventos!$D:$D,"&lt;"&amp;CONCATENATE($L$6,"/",B46),Proventos!$J:$J,"="&amp;$H$2),
AND($H$2=Data!$A$7,$K$2=Data!$A$2),SUMIFS(Proventos!$H:$H,Proventos!$D:$D,"&gt;="&amp;CONCATENATE($K$6,"/",B46),Proventos!$D:$D,"&lt;"&amp;CONCATENATE($L$6,"/",B46),Proventos!$J:$J,"="&amp;$H$2),
AND($H$2=Data!$A$8,$K$2=Data!$A$2),SUMIFS(Proventos!$H:$H,Proventos!$D:$D,"&gt;="&amp;CONCATENATE($K$6,"/",B46),Proventos!$D:$D,"&lt;"&amp;CONCATENATE($L$6,"/",B46),Proventos!$J:$J,"="&amp;$H$2),
AND($H$2=Data!$A$9,$K$2=Data!$A$2),SUMIFS(Proventos!$H:$H,Proventos!$D:$D,"&gt;="&amp;CONCATENATE($K$6,"/",B46),Proventos!$D:$D,"&lt;"&amp;CONCATENATE($L$6,"/",B46),Proventos!$J:$J,"="&amp;$H$2),
AND($H$2=Data!$A$10,$K$2=Data!$A$2),SUMIFS(Proventos!$H:$H,Proventos!$D:$D,"&gt;="&amp;CONCATENATE($K$6,"/",B46),Proventos!$D:$D,"&lt;"&amp;CONCATENATE($L$6,"/",B46),Proventos!$J:$J,"="&amp;$H$2),
AND($H$2=Data!$A$11,$K$2=Data!$A$2),SUMIFS(Proventos!$H:$H,Proventos!$D:$D,"&gt;="&amp;CONCATENATE($K$6,"/",B46),Proventos!$D:$D,"&lt;"&amp;CONCATENATE($L$6,"/",B46),Proventos!$J:$J,"="&amp;$H$2),
$K$2=Data!$A$2,SUMIFS(Proventos!$H:$H,Proventos!$D:$D,"&gt;="&amp;CONCATENATE($K$6,"/",B46),Proventos!$D:$D,"&lt;"&amp;CONCATENATE($L$6,"/",B46)),
$K$2&lt;&gt;Data!$A$2,SUMIFS(Proventos!$H:$H,Proventos!$D:$D,"&gt;="&amp;CONCATENATE($K$6,"/",B46),Proventos!$D:$D,"&lt;"&amp;CONCATENATE($L$6,"/",B46),Proventos!$A:$A,"="&amp;$K$2))</f>
        <v>0</v>
      </c>
      <c r="L46" s="245">
        <f>IFS(
AND($H$2=Data!$A$3,$K$2=Data!$A$2),SUMIFS(Proventos!$H:$H,Proventos!$D:$D,"&gt;="&amp;CONCATENATE($L$6,"/",B46),Proventos!$D:$D,"&lt;"&amp;CONCATENATE($M$6,"/",B46),Proventos!$J:$J,"="&amp;$H$2),
AND($H$2=Data!$A$4,$K$2=Data!$A$2),SUMIFS(Proventos!$H:$H,Proventos!$D:$D,"&gt;="&amp;CONCATENATE($L$6,"/",B46),Proventos!$D:$D,"&lt;"&amp;CONCATENATE($M$6,"/",B46),Proventos!$J:$J,"="&amp;$H$2),
AND($H$2=Data!$A$5,$K$2=Data!$A$2),SUMIFS(Proventos!$H:$H,Proventos!$D:$D,"&gt;="&amp;CONCATENATE($L$6,"/",B46),Proventos!$D:$D,"&lt;"&amp;CONCATENATE($M$6,"/",B46),Proventos!$J:$J,"="&amp;$H$2),
AND($H$2=Data!$A$6,$K$2=Data!$A$2),SUMIFS(Proventos!$H:$H,Proventos!$D:$D,"&gt;="&amp;CONCATENATE($L$6,"/",B46),Proventos!$D:$D,"&lt;"&amp;CONCATENATE($M$6,"/",B46),Proventos!$J:$J,"="&amp;$H$2),
AND($H$2=Data!$A$7,$K$2=Data!$A$2),SUMIFS(Proventos!$H:$H,Proventos!$D:$D,"&gt;="&amp;CONCATENATE($L$6,"/",B46),Proventos!$D:$D,"&lt;"&amp;CONCATENATE($M$6,"/",B46),Proventos!$J:$J,"="&amp;$H$2),
AND($H$2=Data!$A$8,$K$2=Data!$A$2),SUMIFS(Proventos!$H:$H,Proventos!$D:$D,"&gt;="&amp;CONCATENATE($L$6,"/",B46),Proventos!$D:$D,"&lt;"&amp;CONCATENATE($M$6,"/",B46),Proventos!$J:$J,"="&amp;$H$2),
AND($H$2=Data!$A$9,$K$2=Data!$A$2),SUMIFS(Proventos!$H:$H,Proventos!$D:$D,"&gt;="&amp;CONCATENATE($L$6,"/",B46),Proventos!$D:$D,"&lt;"&amp;CONCATENATE($M$6,"/",B46),Proventos!$J:$J,"="&amp;$H$2),
AND($H$2=Data!$A$10,$K$2=Data!$A$2),SUMIFS(Proventos!$H:$H,Proventos!$D:$D,"&gt;="&amp;CONCATENATE($L$6,"/",B46),Proventos!$D:$D,"&lt;"&amp;CONCATENATE($M$6,"/",B46),Proventos!$J:$J,"="&amp;$H$2),
AND($H$2=Data!$A$11,$K$2=Data!$A$2),SUMIFS(Proventos!$H:$H,Proventos!$D:$D,"&gt;="&amp;CONCATENATE($L$6,"/",B46),Proventos!$D:$D,"&lt;"&amp;CONCATENATE($M$6,"/",B46),Proventos!$J:$J,"="&amp;$H$2),
$K$2=Data!$A$2,SUMIFS(Proventos!$H:$H,Proventos!$D:$D,"&gt;="&amp;CONCATENATE($L$6,"/",B46),Proventos!$D:$D,"&lt;"&amp;CONCATENATE($M$6,"/",B46)),
$K$2&lt;&gt;Data!$A$2,SUMIFS(Proventos!$H:$H,Proventos!$D:$D,"&gt;="&amp;CONCATENATE($L$6,"/",B46),Proventos!$D:$D,"&lt;"&amp;CONCATENATE($M$6,"/",B46),Proventos!$A:$A,"="&amp;$K$2))</f>
        <v>0</v>
      </c>
      <c r="M46" s="245">
        <f>IFS(
AND($H$2=Data!$A$3,$K$2=Data!$A$2),SUMIFS(Proventos!$H:$H,Proventos!$D:$D,"&gt;="&amp;CONCATENATE($M$6,"/",B46),Proventos!$D:$D,"&lt;"&amp;CONCATENATE($N$6,"/",B46),Proventos!$J:$J,"="&amp;$H$2),
AND($H$2=Data!$A$4,$K$2=Data!$A$2),SUMIFS(Proventos!$H:$H,Proventos!$D:$D,"&gt;="&amp;CONCATENATE($M$6,"/",B46),Proventos!$D:$D,"&lt;"&amp;CONCATENATE($N$6,"/",B46),Proventos!$J:$J,"="&amp;$H$2),
AND($H$2=Data!$A$5,$K$2=Data!$A$2),SUMIFS(Proventos!$H:$H,Proventos!$D:$D,"&gt;="&amp;CONCATENATE($M$6,"/",B46),Proventos!$D:$D,"&lt;"&amp;CONCATENATE($N$6,"/",B46),Proventos!$J:$J,"="&amp;$H$2),
AND($H$2=Data!$A$6,$K$2=Data!$A$2),SUMIFS(Proventos!$H:$H,Proventos!$D:$D,"&gt;="&amp;CONCATENATE($M$6,"/",B46),Proventos!$D:$D,"&lt;"&amp;CONCATENATE($N$6,"/",B46),Proventos!$J:$J,"="&amp;$H$2),
AND($H$2=Data!$A$7,$K$2=Data!$A$2),SUMIFS(Proventos!$H:$H,Proventos!$D:$D,"&gt;="&amp;CONCATENATE($M$6,"/",B46),Proventos!$D:$D,"&lt;"&amp;CONCATENATE($N$6,"/",B46),Proventos!$J:$J,"="&amp;$H$2),
AND($H$2=Data!$A$8,$K$2=Data!$A$2),SUMIFS(Proventos!$H:$H,Proventos!$D:$D,"&gt;="&amp;CONCATENATE($M$6,"/",B46),Proventos!$D:$D,"&lt;"&amp;CONCATENATE($N$6,"/",B46),Proventos!$J:$J,"="&amp;$H$2),
AND($H$2=Data!$A$9,$K$2=Data!$A$2),SUMIFS(Proventos!$H:$H,Proventos!$D:$D,"&gt;="&amp;CONCATENATE($M$6,"/",B46),Proventos!$D:$D,"&lt;"&amp;CONCATENATE($N$6,"/",B46),Proventos!$J:$J,"="&amp;$H$2),
AND($H$2=Data!$A$10,$K$2=Data!$A$2),SUMIFS(Proventos!$H:$H,Proventos!$D:$D,"&gt;="&amp;CONCATENATE($M$6,"/",B46),Proventos!$D:$D,"&lt;"&amp;CONCATENATE($N$6,"/",B46),Proventos!$J:$J,"="&amp;$H$2),
AND($H$2=Data!$A$11,$K$2=Data!$A$2),SUMIFS(Proventos!$H:$H,Proventos!$D:$D,"&gt;="&amp;CONCATENATE($M$6,"/",B46),Proventos!$D:$D,"&lt;"&amp;CONCATENATE($N$6,"/",B46),Proventos!$J:$J,"="&amp;$H$2),
$K$2=Data!$A$2,SUMIFS(Proventos!$H:$H,Proventos!$D:$D,"&gt;="&amp;CONCATENATE($M$6,"/",B46),Proventos!$D:$D,"&lt;"&amp;CONCATENATE($N$6,"/",B46)),
$K$2&lt;&gt;Data!$A$2,SUMIFS(Proventos!$H:$H,Proventos!$D:$D,"&gt;="&amp;CONCATENATE($M$6,"/",B46),Proventos!$D:$D,"&lt;"&amp;CONCATENATE($N$6,"/",B46),Proventos!$A:$A,"="&amp;$K$2))</f>
        <v>0</v>
      </c>
      <c r="N46" s="245">
        <f>IFS(
AND($H$2=Data!$A$3,$K$2=Data!$A$2),SUMIFS(Proventos!$H:$H,Proventos!$D:$D,"&gt;="&amp;CONCATENATE($N$6,"/",B46),Proventos!$D:$D,"&lt;"&amp;CONCATENATE($C$6,"/",B47),Proventos!$J:$J,"="&amp;$H$2),
AND($H$2=Data!$A$4,$K$2=Data!$A$2),SUMIFS(Proventos!$H:$H,Proventos!$D:$D,"&gt;="&amp;CONCATENATE($N$6,"/",B46),Proventos!$D:$D,"&lt;"&amp;CONCATENATE($C$6,"/",B47),Proventos!$J:$J,"="&amp;$H$2),
AND($H$2=Data!$A$5,$K$2=Data!$A$2),SUMIFS(Proventos!$H:$H,Proventos!$D:$D,"&gt;="&amp;CONCATENATE($N$6,"/",B46),Proventos!$D:$D,"&lt;"&amp;CONCATENATE($C$6,"/",B47),Proventos!$J:$J,"="&amp;$H$2),
AND($H$2=Data!$A$6,$K$2=Data!$A$2),SUMIFS(Proventos!$H:$H,Proventos!$D:$D,"&gt;="&amp;CONCATENATE($N$6,"/",B46),Proventos!$D:$D,"&lt;"&amp;CONCATENATE($C$6,"/",B47),Proventos!$J:$J,"="&amp;$H$2),
AND($H$2=Data!$A$7,$K$2=Data!$A$2),SUMIFS(Proventos!$H:$H,Proventos!$D:$D,"&gt;="&amp;CONCATENATE($N$6,"/",B46),Proventos!$D:$D,"&lt;"&amp;CONCATENATE($C$6,"/",B47),Proventos!$J:$J,"="&amp;$H$2),
AND($H$2=Data!$A$8,$K$2=Data!$A$2),SUMIFS(Proventos!$H:$H,Proventos!$D:$D,"&gt;="&amp;CONCATENATE($N$6,"/",B46),Proventos!$D:$D,"&lt;"&amp;CONCATENATE($C$6,"/",B47),Proventos!$J:$J,"="&amp;$H$2),
AND($H$2=Data!$A$9,$K$2=Data!$A$2),SUMIFS(Proventos!$H:$H,Proventos!$D:$D,"&gt;="&amp;CONCATENATE($N$6,"/",B46),Proventos!$D:$D,"&lt;"&amp;CONCATENATE($C$6,"/",B47),Proventos!$J:$J,"="&amp;$H$2),
AND($H$2=Data!$A$10,$K$2=Data!$A$2),SUMIFS(Proventos!$H:$H,Proventos!$D:$D,"&gt;="&amp;CONCATENATE($N$6,"/",B46),Proventos!$D:$D,"&lt;"&amp;CONCATENATE($C$6,"/",B47),Proventos!$J:$J,"="&amp;$H$2),
AND($H$2=Data!$A$11,$K$2=Data!$A$2),SUMIFS(Proventos!$H:$H,Proventos!$D:$D,"&gt;="&amp;CONCATENATE($N$6,"/",B46),Proventos!$D:$D,"&lt;"&amp;CONCATENATE($C$6,"/",B47),Proventos!$J:$J,"="&amp;$H$2),
$K$2=Data!$A$2,SUMIFS(Proventos!$H:$H,Proventos!$D:$D,"&gt;="&amp;CONCATENATE($N$6,"/",B46),Proventos!$D:$D,"&lt;"&amp;CONCATENATE($C$6,"/",B47)),
$K$2&lt;&gt;Data!$A$2,SUMIFS(Proventos!$H:$H,Proventos!$D:$D,"&gt;="&amp;CONCATENATE($N$6,"/",B46),Proventos!$D:$D,"&lt;"&amp;CONCATENATE($C$6,"/",B47),Proventos!$A:$A,"="&amp;$K$2))</f>
        <v>0</v>
      </c>
      <c r="O46" s="245"/>
      <c r="P46" s="245">
        <f t="shared" si="1"/>
        <v>0</v>
      </c>
      <c r="Q46" s="245">
        <f t="shared" si="2"/>
        <v>0</v>
      </c>
    </row>
    <row r="47" ht="32.25" customHeight="1">
      <c r="A47" s="230"/>
      <c r="B47" s="244"/>
      <c r="C47" s="245">
        <f>IFS(
AND($H$2=Data!$A$3,$K$2=Data!$A$2),SUMIFS(Proventos!$H:$H,Proventos!$D:$D,"&gt;="&amp;CONCATENATE($C$6,"/",B47),Proventos!$D:$D,"&lt;"&amp;CONCATENATE($D$6,"/",B47),Proventos!$J:$J,"="&amp;$H$2),
AND($H$2=Data!$A$4,$K$2=Data!$A$2),SUMIFS(Proventos!$H:$H,Proventos!$D:$D,"&gt;="&amp;CONCATENATE($C$6,"/",B47),Proventos!$D:$D,"&lt;"&amp;CONCATENATE($D$6,"/",B47),Proventos!$J:$J,"="&amp;$H$2),
AND($H$2=Data!$A$5,$K$2=Data!$A$2),SUMIFS(Proventos!$H:$H,Proventos!$D:$D,"&gt;="&amp;CONCATENATE($C$6,"/",B47),Proventos!$D:$D,"&lt;"&amp;CONCATENATE($D$6,"/",B47),Proventos!$J:$J,"="&amp;$H$2),
AND($H$2=Data!$A$6,$K$2=Data!$A$2),SUMIFS(Proventos!$H:$H,Proventos!$D:$D,"&gt;="&amp;CONCATENATE($C$6,"/",B47),Proventos!$D:$D,"&lt;"&amp;CONCATENATE($D$6,"/",B47),Proventos!$J:$J,"="&amp;$H$2),
AND($H$2=Data!$A$7,$K$2=Data!$A$2),SUMIFS(Proventos!$H:$H,Proventos!$D:$D,"&gt;="&amp;CONCATENATE($C$6,"/",B47),Proventos!$D:$D,"&lt;"&amp;CONCATENATE($D$6,"/",B47),Proventos!$J:$J,"="&amp;$H$2),
AND($H$2=Data!$A$8,$K$2=Data!$A$2),SUMIFS(Proventos!$H:$H,Proventos!$D:$D,"&gt;="&amp;CONCATENATE($C$6,"/",B47),Proventos!$D:$D,"&lt;"&amp;CONCATENATE($D$6,"/",B47),Proventos!$J:$J,"="&amp;$H$2),
AND($H$2=Data!$A$9,$K$2=Data!$A$2),SUMIFS(Proventos!$H:$H,Proventos!$D:$D,"&gt;="&amp;CONCATENATE($C$6,"/",B47),Proventos!$D:$D,"&lt;"&amp;CONCATENATE($D$6,"/",B47),Proventos!$J:$J,"="&amp;$H$2),
AND($H$2=Data!$A$10,$K$2=Data!$A$2),SUMIFS(Proventos!$H:$H,Proventos!$D:$D,"&gt;="&amp;CONCATENATE($C$6,"/",B47),Proventos!$D:$D,"&lt;"&amp;CONCATENATE($D$6,"/",B47),Proventos!$J:$J,"="&amp;$H$2),
AND($H$2=Data!$A$11,$K$2=Data!$A$2),SUMIFS(Proventos!$H:$H,Proventos!$D:$D,"&gt;="&amp;CONCATENATE($C$6,"/",B47),Proventos!$D:$D,"&lt;"&amp;CONCATENATE($D$6,"/",B47),Proventos!$J:$J,"="&amp;$H$2),
$K$2=Data!$A$2,SUMIFS(Proventos!$H:$H,Proventos!$D:$D,"&gt;="&amp;CONCATENATE($C$6,"/",B47),Proventos!$D:$D,"&lt;"&amp;CONCATENATE($D$6,"/",B47)),
$K$2&lt;&gt;Data!$A$2,SUMIFS(Proventos!$H:$H,Proventos!$D:$D,"&gt;="&amp;CONCATENATE($C$6,"/",B47),Proventos!$D:$D,"&lt;"&amp;CONCATENATE($D$6,"/",B47),Proventos!$A:$A,"="&amp;$K$2))</f>
        <v>0</v>
      </c>
      <c r="D47" s="245">
        <f>IFS(
AND($H$2=Data!$A$3,$K$2=Data!$A$2),SUMIFS(Proventos!$H:$H,Proventos!$D:$D,"&gt;="&amp;CONCATENATE($D$6,"/",B47),Proventos!$D:$D,"&lt;"&amp;CONCATENATE($E$6,"/",B47),Proventos!$J:$J,"="&amp;$H$2),
AND($H$2=Data!$A$4,$K$2=Data!$A$2),SUMIFS(Proventos!$H:$H,Proventos!$D:$D,"&gt;="&amp;CONCATENATE($D$6,"/",B47),Proventos!$D:$D,"&lt;"&amp;CONCATENATE($E$6,"/",B47),Proventos!$J:$J,"="&amp;$H$2),
AND($H$2=Data!$A$5,$K$2=Data!$A$2),SUMIFS(Proventos!$H:$H,Proventos!$D:$D,"&gt;="&amp;CONCATENATE($D$6,"/",B47),Proventos!$D:$D,"&lt;"&amp;CONCATENATE($E$6,"/",B47),Proventos!$J:$J,"="&amp;$H$2),
AND($H$2=Data!$A$6,$K$2=Data!$A$2),SUMIFS(Proventos!$H:$H,Proventos!$D:$D,"&gt;="&amp;CONCATENATE($D$6,"/",B47),Proventos!$D:$D,"&lt;"&amp;CONCATENATE($E$6,"/",B47),Proventos!$J:$J,"="&amp;$H$2),
AND($H$2=Data!$A$7,$K$2=Data!$A$2),SUMIFS(Proventos!$H:$H,Proventos!$D:$D,"&gt;="&amp;CONCATENATE($D$6,"/",B47),Proventos!$D:$D,"&lt;"&amp;CONCATENATE($E$6,"/",B47),Proventos!$J:$J,"="&amp;$H$2),
AND($H$2=Data!$A$8,$K$2=Data!$A$2),SUMIFS(Proventos!$H:$H,Proventos!$D:$D,"&gt;="&amp;CONCATENATE($D$6,"/",B47),Proventos!$D:$D,"&lt;"&amp;CONCATENATE($E$6,"/",B47),Proventos!$J:$J,"="&amp;$H$2),
AND($H$2=Data!$A$9,$K$2=Data!$A$2),SUMIFS(Proventos!$H:$H,Proventos!$D:$D,"&gt;="&amp;CONCATENATE($D$6,"/",B47),Proventos!$D:$D,"&lt;"&amp;CONCATENATE($E$6,"/",B47),Proventos!$J:$J,"="&amp;$H$2),
AND($H$2=Data!$A$10,$K$2=Data!$A$2),SUMIFS(Proventos!$H:$H,Proventos!$D:$D,"&gt;="&amp;CONCATENATE($D$6,"/",B47),Proventos!$D:$D,"&lt;"&amp;CONCATENATE($E$6,"/",B47),Proventos!$J:$J,"="&amp;$H$2),
AND($H$2=Data!$A$11,$K$2=Data!$A$2),SUMIFS(Proventos!$H:$H,Proventos!$D:$D,"&gt;="&amp;CONCATENATE($D$6,"/",B47),Proventos!$D:$D,"&lt;"&amp;CONCATENATE($E$6,"/",B47),Proventos!$J:$J,"="&amp;$H$2),
$K$2=Data!$A$2,SUMIFS(Proventos!$H:$H,Proventos!$D:$D,"&gt;="&amp;CONCATENATE($D$6,"/",B47),Proventos!$D:$D,"&lt;"&amp;CONCATENATE($E$6,"/",B47)),
$K$2&lt;&gt;Data!$A$2,SUMIFS(Proventos!$H:$H,Proventos!$D:$D,"&gt;="&amp;CONCATENATE($D$6,"/",B47),Proventos!$D:$D,"&lt;"&amp;CONCATENATE($E$6,"/",B47),Proventos!$A:$A,"="&amp;$K$2))</f>
        <v>0</v>
      </c>
      <c r="E47" s="245">
        <f>IFS(
AND($H$2=Data!$A$3,$K$2=Data!$A$2),SUMIFS(Proventos!$H:$H,Proventos!$D:$D,"&gt;="&amp;CONCATENATE($E$6,"/",B47),Proventos!$D:$D,"&lt;"&amp;CONCATENATE($F$6,"/",B47),Proventos!$J:$J,"="&amp;$H$2),
AND($H$2=Data!$A$4,$K$2=Data!$A$2),SUMIFS(Proventos!$H:$H,Proventos!$D:$D,"&gt;="&amp;CONCATENATE($E$6,"/",B47),Proventos!$D:$D,"&lt;"&amp;CONCATENATE($F$6,"/",B47),Proventos!$J:$J,"="&amp;$H$2),
AND($H$2=Data!$A$5,$K$2=Data!$A$2),SUMIFS(Proventos!$H:$H,Proventos!$D:$D,"&gt;="&amp;CONCATENATE($E$6,"/",B47),Proventos!$D:$D,"&lt;"&amp;CONCATENATE($F$6,"/",B47),Proventos!$J:$J,"="&amp;$H$2),
AND($H$2=Data!$A$6,$K$2=Data!$A$2),SUMIFS(Proventos!$H:$H,Proventos!$D:$D,"&gt;="&amp;CONCATENATE($E$6,"/",B47),Proventos!$D:$D,"&lt;"&amp;CONCATENATE($F$6,"/",B47),Proventos!$J:$J,"="&amp;$H$2),
AND($H$2=Data!$A$7,$K$2=Data!$A$2),SUMIFS(Proventos!$H:$H,Proventos!$D:$D,"&gt;="&amp;CONCATENATE($E$6,"/",B47),Proventos!$D:$D,"&lt;"&amp;CONCATENATE($F$6,"/",B47),Proventos!$J:$J,"="&amp;$H$2),
AND($H$2=Data!$A$8,$K$2=Data!$A$2),SUMIFS(Proventos!$H:$H,Proventos!$D:$D,"&gt;="&amp;CONCATENATE($E$6,"/",B47),Proventos!$D:$D,"&lt;"&amp;CONCATENATE($F$6,"/",B47),Proventos!$J:$J,"="&amp;$H$2),
AND($H$2=Data!$A$9,$K$2=Data!$A$2),SUMIFS(Proventos!$H:$H,Proventos!$D:$D,"&gt;="&amp;CONCATENATE($E$6,"/",B47),Proventos!$D:$D,"&lt;"&amp;CONCATENATE($F$6,"/",B47),Proventos!$J:$J,"="&amp;$H$2),
AND($H$2=Data!$A$10,$K$2=Data!$A$2),SUMIFS(Proventos!$H:$H,Proventos!$D:$D,"&gt;="&amp;CONCATENATE($E$6,"/",B47),Proventos!$D:$D,"&lt;"&amp;CONCATENATE($F$6,"/",B47),Proventos!$J:$J,"="&amp;$H$2),
AND($H$2=Data!$A$11,$K$2=Data!$A$2),SUMIFS(Proventos!$H:$H,Proventos!$D:$D,"&gt;="&amp;CONCATENATE($E$6,"/",B47),Proventos!$D:$D,"&lt;"&amp;CONCATENATE($F$6,"/",B47),Proventos!$J:$J,"="&amp;$H$2),
$K$2=Data!$A$2,SUMIFS(Proventos!$H:$H,Proventos!$D:$D,"&gt;="&amp;CONCATENATE($E$6,"/",B47),Proventos!$D:$D,"&lt;"&amp;CONCATENATE($F$6,"/",B47)),
$K$2&lt;&gt;Data!$A$2,SUMIFS(Proventos!$H:$H,Proventos!$D:$D,"&gt;="&amp;CONCATENATE($E$6,"/",B47),Proventos!$D:$D,"&lt;"&amp;CONCATENATE($F$6,"/",B47),Proventos!$A:$A,"="&amp;$K$2))</f>
        <v>0</v>
      </c>
      <c r="F47" s="245">
        <f>IFS(
AND($H$2=Data!$A$3,$K$2=Data!$A$2),SUMIFS(Proventos!$H:$H,Proventos!$D:$D,"&gt;="&amp;CONCATENATE($F$6,"/",B47),Proventos!$D:$D,"&lt;"&amp;CONCATENATE($G$6,"/",B47),Proventos!$J:$J,"="&amp;$H$2),
AND($H$2=Data!$A$4,$K$2=Data!$A$2),SUMIFS(Proventos!$H:$H,Proventos!$D:$D,"&gt;="&amp;CONCATENATE($F$6,"/",B47),Proventos!$D:$D,"&lt;"&amp;CONCATENATE($G$6,"/",B47),Proventos!$J:$J,"="&amp;$H$2),
AND($H$2=Data!$A$5,$K$2=Data!$A$2),SUMIFS(Proventos!$H:$H,Proventos!$D:$D,"&gt;="&amp;CONCATENATE($F$6,"/",B47),Proventos!$D:$D,"&lt;"&amp;CONCATENATE($G$6,"/",B47),Proventos!$J:$J,"="&amp;$H$2),
AND($H$2=Data!$A$6,$K$2=Data!$A$2),SUMIFS(Proventos!$H:$H,Proventos!$D:$D,"&gt;="&amp;CONCATENATE($F$6,"/",B47),Proventos!$D:$D,"&lt;"&amp;CONCATENATE($G$6,"/",B47),Proventos!$J:$J,"="&amp;$H$2),
AND($H$2=Data!$A$7,$K$2=Data!$A$2),SUMIFS(Proventos!$H:$H,Proventos!$D:$D,"&gt;="&amp;CONCATENATE($F$6,"/",B47),Proventos!$D:$D,"&lt;"&amp;CONCATENATE($G$6,"/",B47),Proventos!$J:$J,"="&amp;$H$2),
AND($H$2=Data!$A$8,$K$2=Data!$A$2),SUMIFS(Proventos!$H:$H,Proventos!$D:$D,"&gt;="&amp;CONCATENATE($F$6,"/",B47),Proventos!$D:$D,"&lt;"&amp;CONCATENATE($G$6,"/",B47),Proventos!$J:$J,"="&amp;$H$2),
AND($H$2=Data!$A$9,$K$2=Data!$A$2),SUMIFS(Proventos!$H:$H,Proventos!$D:$D,"&gt;="&amp;CONCATENATE($F$6,"/",B47),Proventos!$D:$D,"&lt;"&amp;CONCATENATE($G$6,"/",B47),Proventos!$J:$J,"="&amp;$H$2),
AND($H$2=Data!$A$10,$K$2=Data!$A$2),SUMIFS(Proventos!$H:$H,Proventos!$D:$D,"&gt;="&amp;CONCATENATE($F$6,"/",B47),Proventos!$D:$D,"&lt;"&amp;CONCATENATE($G$6,"/",B47),Proventos!$J:$J,"="&amp;$H$2),
AND($H$2=Data!$A$11,$K$2=Data!$A$2),SUMIFS(Proventos!$H:$H,Proventos!$D:$D,"&gt;="&amp;CONCATENATE($F$6,"/",B47),Proventos!$D:$D,"&lt;"&amp;CONCATENATE($G$6,"/",B47),Proventos!$J:$J,"="&amp;$H$2),
$K$2=Data!$A$2,SUMIFS(Proventos!$H:$H,Proventos!$D:$D,"&gt;="&amp;CONCATENATE($F$6,"/",B47),Proventos!$D:$D,"&lt;"&amp;CONCATENATE($G$6,"/",B47)),
$K$2&lt;&gt;Data!$A$2,SUMIFS(Proventos!$H:$H,Proventos!$D:$D,"&gt;="&amp;CONCATENATE($F$6,"/",B47),Proventos!$D:$D,"&lt;"&amp;CONCATENATE($G$6,"/",B47),Proventos!$A:$A,"="&amp;$K$2))</f>
        <v>0</v>
      </c>
      <c r="G47" s="245">
        <f>IFS(
AND($H$2=Data!$A$3,$K$2=Data!$A$2),SUMIFS(Proventos!$H:$H,Proventos!$D:$D,"&gt;="&amp;CONCATENATE($G$6,"/",B47),Proventos!$D:$D,"&lt;"&amp;CONCATENATE($H$6,"/",B47),Proventos!$J:$J,"="&amp;$H$2),
AND($H$2=Data!$A$4,$K$2=Data!$A$2),SUMIFS(Proventos!$H:$H,Proventos!$D:$D,"&gt;="&amp;CONCATENATE($G$6,"/",B47),Proventos!$D:$D,"&lt;"&amp;CONCATENATE($H$6,"/",B47),Proventos!$J:$J,"="&amp;$H$2),
AND($H$2=Data!$A$5,$K$2=Data!$A$2),SUMIFS(Proventos!$H:$H,Proventos!$D:$D,"&gt;="&amp;CONCATENATE($G$6,"/",B47),Proventos!$D:$D,"&lt;"&amp;CONCATENATE($H$6,"/",B47),Proventos!$J:$J,"="&amp;$H$2),
AND($H$2=Data!$A$6,$K$2=Data!$A$2),SUMIFS(Proventos!$H:$H,Proventos!$D:$D,"&gt;="&amp;CONCATENATE($G$6,"/",B47),Proventos!$D:$D,"&lt;"&amp;CONCATENATE($H$6,"/",B47),Proventos!$J:$J,"="&amp;$H$2),
AND($H$2=Data!$A$7,$K$2=Data!$A$2),SUMIFS(Proventos!$H:$H,Proventos!$D:$D,"&gt;="&amp;CONCATENATE($G$6,"/",B47),Proventos!$D:$D,"&lt;"&amp;CONCATENATE($H$6,"/",B47),Proventos!$J:$J,"="&amp;$H$2),
AND($H$2=Data!$A$8,$K$2=Data!$A$2),SUMIFS(Proventos!$H:$H,Proventos!$D:$D,"&gt;="&amp;CONCATENATE($G$6,"/",B47),Proventos!$D:$D,"&lt;"&amp;CONCATENATE($H$6,"/",B47),Proventos!$J:$J,"="&amp;$H$2),
AND($H$2=Data!$A$9,$K$2=Data!$A$2),SUMIFS(Proventos!$H:$H,Proventos!$D:$D,"&gt;="&amp;CONCATENATE($G$6,"/",B47),Proventos!$D:$D,"&lt;"&amp;CONCATENATE($H$6,"/",B47),Proventos!$J:$J,"="&amp;$H$2),
AND($H$2=Data!$A$10,$K$2=Data!$A$2),SUMIFS(Proventos!$H:$H,Proventos!$D:$D,"&gt;="&amp;CONCATENATE($G$6,"/",B47),Proventos!$D:$D,"&lt;"&amp;CONCATENATE($H$6,"/",B47),Proventos!$J:$J,"="&amp;$H$2),
AND($H$2=Data!$A$11,$K$2=Data!$A$2),SUMIFS(Proventos!$H:$H,Proventos!$D:$D,"&gt;="&amp;CONCATENATE($G$6,"/",B47),Proventos!$D:$D,"&lt;"&amp;CONCATENATE($H$6,"/",B47),Proventos!$J:$J,"="&amp;$H$2),
$K$2=Data!$A$2,SUMIFS(Proventos!$H:$H,Proventos!$D:$D,"&gt;="&amp;CONCATENATE($G$6,"/",B47),Proventos!$D:$D,"&lt;"&amp;CONCATENATE($H$6,"/",B47)),
$K$2&lt;&gt;Data!$A$2,SUMIFS(Proventos!$H:$H,Proventos!$D:$D,"&gt;="&amp;CONCATENATE($G$6,"/",B47),Proventos!$D:$D,"&lt;"&amp;CONCATENATE($H$6,"/",B47),Proventos!$A:$A,"="&amp;$K$2))</f>
        <v>0</v>
      </c>
      <c r="H47" s="245">
        <f>IFS(
AND($H$2=Data!$A$3,$K$2=Data!$A$2),SUMIFS(Proventos!$H:$H,Proventos!$D:$D,"&gt;="&amp;CONCATENATE($H$6,"/",B47),Proventos!$D:$D,"&lt;"&amp;CONCATENATE($I$6,"/",B47),Proventos!$J:$J,"="&amp;$H$2),
AND($H$2=Data!$A$4,$K$2=Data!$A$2),SUMIFS(Proventos!$H:$H,Proventos!$D:$D,"&gt;="&amp;CONCATENATE($H$6,"/",B47),Proventos!$D:$D,"&lt;"&amp;CONCATENATE($I$6,"/",B47),Proventos!$J:$J,"="&amp;$H$2),
AND($H$2=Data!$A$5,$K$2=Data!$A$2),SUMIFS(Proventos!$H:$H,Proventos!$D:$D,"&gt;="&amp;CONCATENATE($H$6,"/",B47),Proventos!$D:$D,"&lt;"&amp;CONCATENATE($I$6,"/",B47),Proventos!$J:$J,"="&amp;$H$2),
AND($H$2=Data!$A$6,$K$2=Data!$A$2),SUMIFS(Proventos!$H:$H,Proventos!$D:$D,"&gt;="&amp;CONCATENATE($H$6,"/",B47),Proventos!$D:$D,"&lt;"&amp;CONCATENATE($I$6,"/",B47),Proventos!$J:$J,"="&amp;$H$2),
AND($H$2=Data!$A$7,$K$2=Data!$A$2),SUMIFS(Proventos!$H:$H,Proventos!$D:$D,"&gt;="&amp;CONCATENATE($H$6,"/",B47),Proventos!$D:$D,"&lt;"&amp;CONCATENATE($I$6,"/",B47),Proventos!$J:$J,"="&amp;$H$2),
AND($H$2=Data!$A$8,$K$2=Data!$A$2),SUMIFS(Proventos!$H:$H,Proventos!$D:$D,"&gt;="&amp;CONCATENATE($H$6,"/",B47),Proventos!$D:$D,"&lt;"&amp;CONCATENATE($I$6,"/",B47),Proventos!$J:$J,"="&amp;$H$2),
AND($H$2=Data!$A$9,$K$2=Data!$A$2),SUMIFS(Proventos!$H:$H,Proventos!$D:$D,"&gt;="&amp;CONCATENATE($H$6,"/",B47),Proventos!$D:$D,"&lt;"&amp;CONCATENATE($I$6,"/",B47),Proventos!$J:$J,"="&amp;$H$2),
AND($H$2=Data!$A$10,$K$2=Data!$A$2),SUMIFS(Proventos!$H:$H,Proventos!$D:$D,"&gt;="&amp;CONCATENATE($H$6,"/",B47),Proventos!$D:$D,"&lt;"&amp;CONCATENATE($I$6,"/",B47),Proventos!$J:$J,"="&amp;$H$2),
AND($H$2=Data!$A$11,$K$2=Data!$A$2),SUMIFS(Proventos!$H:$H,Proventos!$D:$D,"&gt;="&amp;CONCATENATE($H$6,"/",B47),Proventos!$D:$D,"&lt;"&amp;CONCATENATE($I$6,"/",B47),Proventos!$J:$J,"="&amp;$H$2),
$K$2=Data!$A$2,SUMIFS(Proventos!$H:$H,Proventos!$D:$D,"&gt;="&amp;CONCATENATE($H$6,"/",B47),Proventos!$D:$D,"&lt;"&amp;CONCATENATE($I$6,"/",B47)),
$K$2&lt;&gt;Data!$A$2,SUMIFS(Proventos!$H:$H,Proventos!$D:$D,"&gt;="&amp;CONCATENATE($H$6,"/",B47),Proventos!$D:$D,"&lt;"&amp;CONCATENATE($I$6,"/",B47),Proventos!$A:$A,"="&amp;$K$2))</f>
        <v>0</v>
      </c>
      <c r="I47" s="245">
        <f>IFS(
AND($H$2=Data!$A$3,$K$2=Data!$A$2),SUMIFS(Proventos!$H:$H,Proventos!$D:$D,"&gt;="&amp;CONCATENATE($I$6,"/",B47),Proventos!$D:$D,"&lt;"&amp;CONCATENATE($J$6,"/",B47),Proventos!$J:$J,"="&amp;$H$2),
AND($H$2=Data!$A$4,$K$2=Data!$A$2),SUMIFS(Proventos!$H:$H,Proventos!$D:$D,"&gt;="&amp;CONCATENATE($I$6,"/",B47),Proventos!$D:$D,"&lt;"&amp;CONCATENATE($J$6,"/",B47),Proventos!$J:$J,"="&amp;$H$2),
AND($H$2=Data!$A$5,$K$2=Data!$A$2),SUMIFS(Proventos!$H:$H,Proventos!$D:$D,"&gt;="&amp;CONCATENATE($I$6,"/",B47),Proventos!$D:$D,"&lt;"&amp;CONCATENATE($J$6,"/",B47),Proventos!$J:$J,"="&amp;$H$2),
AND($H$2=Data!$A$6,$K$2=Data!$A$2),SUMIFS(Proventos!$H:$H,Proventos!$D:$D,"&gt;="&amp;CONCATENATE($I$6,"/",B47),Proventos!$D:$D,"&lt;"&amp;CONCATENATE($J$6,"/",B47),Proventos!$J:$J,"="&amp;$H$2),
AND($H$2=Data!$A$7,$K$2=Data!$A$2),SUMIFS(Proventos!$H:$H,Proventos!$D:$D,"&gt;="&amp;CONCATENATE($I$6,"/",B47),Proventos!$D:$D,"&lt;"&amp;CONCATENATE($J$6,"/",B47),Proventos!$J:$J,"="&amp;$H$2),
AND($H$2=Data!$A$8,$K$2=Data!$A$2),SUMIFS(Proventos!$H:$H,Proventos!$D:$D,"&gt;="&amp;CONCATENATE($I$6,"/",B47),Proventos!$D:$D,"&lt;"&amp;CONCATENATE($J$6,"/",B47),Proventos!$J:$J,"="&amp;$H$2),
AND($H$2=Data!$A$9,$K$2=Data!$A$2),SUMIFS(Proventos!$H:$H,Proventos!$D:$D,"&gt;="&amp;CONCATENATE($I$6,"/",B47),Proventos!$D:$D,"&lt;"&amp;CONCATENATE($J$6,"/",B47),Proventos!$J:$J,"="&amp;$H$2),
AND($H$2=Data!$A$10,$K$2=Data!$A$2),SUMIFS(Proventos!$H:$H,Proventos!$D:$D,"&gt;="&amp;CONCATENATE($I$6,"/",B47),Proventos!$D:$D,"&lt;"&amp;CONCATENATE($J$6,"/",B47),Proventos!$J:$J,"="&amp;$H$2),
AND($H$2=Data!$A$11,$K$2=Data!$A$2),SUMIFS(Proventos!$H:$H,Proventos!$D:$D,"&gt;="&amp;CONCATENATE($I$6,"/",B47),Proventos!$D:$D,"&lt;"&amp;CONCATENATE($J$6,"/",B47),Proventos!$J:$J,"="&amp;$H$2),
$K$2=Data!$A$2,SUMIFS(Proventos!$H:$H,Proventos!$D:$D,"&gt;="&amp;CONCATENATE($I$6,"/",B47),Proventos!$D:$D,"&lt;"&amp;CONCATENATE($J$6,"/",B47)),
$K$2&lt;&gt;Data!$A$2,SUMIFS(Proventos!$H:$H,Proventos!$D:$D,"&gt;="&amp;CONCATENATE($I$6,"/",B47),Proventos!$D:$D,"&lt;"&amp;CONCATENATE($J$6,"/",B47),Proventos!$A:$A,"="&amp;$K$2))</f>
        <v>0</v>
      </c>
      <c r="J47" s="245">
        <f>IFS(
AND($H$2=Data!$A$3,$K$2=Data!$A$2),SUMIFS(Proventos!$H:$H,Proventos!$D:$D,"&gt;="&amp;CONCATENATE($J$6,"/",B47),Proventos!$D:$D,"&lt;"&amp;CONCATENATE($K$6,"/",B47),Proventos!$J:$J,"="&amp;$H$2),
AND($H$2=Data!$A$4,$K$2=Data!$A$2),SUMIFS(Proventos!$H:$H,Proventos!$D:$D,"&gt;="&amp;CONCATENATE($J$6,"/",B47),Proventos!$D:$D,"&lt;"&amp;CONCATENATE($K$6,"/",B47),Proventos!$J:$J,"="&amp;$H$2),
AND($H$2=Data!$A$5,$K$2=Data!$A$2),SUMIFS(Proventos!$H:$H,Proventos!$D:$D,"&gt;="&amp;CONCATENATE($J$6,"/",B47),Proventos!$D:$D,"&lt;"&amp;CONCATENATE($K$6,"/",B47),Proventos!$J:$J,"="&amp;$H$2),
AND($H$2=Data!$A$6,$K$2=Data!$A$2),SUMIFS(Proventos!$H:$H,Proventos!$D:$D,"&gt;="&amp;CONCATENATE($J$6,"/",B47),Proventos!$D:$D,"&lt;"&amp;CONCATENATE($K$6,"/",B47),Proventos!$J:$J,"="&amp;$H$2),
AND($H$2=Data!$A$7,$K$2=Data!$A$2),SUMIFS(Proventos!$H:$H,Proventos!$D:$D,"&gt;="&amp;CONCATENATE($J$6,"/",B47),Proventos!$D:$D,"&lt;"&amp;CONCATENATE($K$6,"/",B47),Proventos!$J:$J,"="&amp;$H$2),
AND($H$2=Data!$A$8,$K$2=Data!$A$2),SUMIFS(Proventos!$H:$H,Proventos!$D:$D,"&gt;="&amp;CONCATENATE($J$6,"/",B47),Proventos!$D:$D,"&lt;"&amp;CONCATENATE($K$6,"/",B47),Proventos!$J:$J,"="&amp;$H$2),
AND($H$2=Data!$A$9,$K$2=Data!$A$2),SUMIFS(Proventos!$H:$H,Proventos!$D:$D,"&gt;="&amp;CONCATENATE($J$6,"/",B47),Proventos!$D:$D,"&lt;"&amp;CONCATENATE($K$6,"/",B47),Proventos!$J:$J,"="&amp;$H$2),
AND($H$2=Data!$A$10,$K$2=Data!$A$2),SUMIFS(Proventos!$H:$H,Proventos!$D:$D,"&gt;="&amp;CONCATENATE($J$6,"/",B47),Proventos!$D:$D,"&lt;"&amp;CONCATENATE($K$6,"/",B47),Proventos!$J:$J,"="&amp;$H$2),
AND($H$2=Data!$A$11,$K$2=Data!$A$2),SUMIFS(Proventos!$H:$H,Proventos!$D:$D,"&gt;="&amp;CONCATENATE($J$6,"/",B47),Proventos!$D:$D,"&lt;"&amp;CONCATENATE($K$6,"/",B47),Proventos!$J:$J,"="&amp;$H$2),
$K$2=Data!$A$2,SUMIFS(Proventos!$H:$H,Proventos!$D:$D,"&gt;="&amp;CONCATENATE($J$6,"/",B47),Proventos!$D:$D,"&lt;"&amp;CONCATENATE($K$6,"/",B47)),
$K$2&lt;&gt;Data!$A$2,SUMIFS(Proventos!$H:$H,Proventos!$D:$D,"&gt;="&amp;CONCATENATE($J$6,"/",B47),Proventos!$D:$D,"&lt;"&amp;CONCATENATE($K$6,"/",B47),Proventos!$A:$A,"="&amp;$K$2))</f>
        <v>0</v>
      </c>
      <c r="K47" s="245">
        <f>IFS(
AND($H$2=Data!$A$3,$K$2=Data!$A$2),SUMIFS(Proventos!$H:$H,Proventos!$D:$D,"&gt;="&amp;CONCATENATE($K$6,"/",B47),Proventos!$D:$D,"&lt;"&amp;CONCATENATE($L$6,"/",B47),Proventos!$J:$J,"="&amp;$H$2),
AND($H$2=Data!$A$4,$K$2=Data!$A$2),SUMIFS(Proventos!$H:$H,Proventos!$D:$D,"&gt;="&amp;CONCATENATE($K$6,"/",B47),Proventos!$D:$D,"&lt;"&amp;CONCATENATE($L$6,"/",B47),Proventos!$J:$J,"="&amp;$H$2),
AND($H$2=Data!$A$5,$K$2=Data!$A$2),SUMIFS(Proventos!$H:$H,Proventos!$D:$D,"&gt;="&amp;CONCATENATE($K$6,"/",B47),Proventos!$D:$D,"&lt;"&amp;CONCATENATE($L$6,"/",B47),Proventos!$J:$J,"="&amp;$H$2),
AND($H$2=Data!$A$6,$K$2=Data!$A$2),SUMIFS(Proventos!$H:$H,Proventos!$D:$D,"&gt;="&amp;CONCATENATE($K$6,"/",B47),Proventos!$D:$D,"&lt;"&amp;CONCATENATE($L$6,"/",B47),Proventos!$J:$J,"="&amp;$H$2),
AND($H$2=Data!$A$7,$K$2=Data!$A$2),SUMIFS(Proventos!$H:$H,Proventos!$D:$D,"&gt;="&amp;CONCATENATE($K$6,"/",B47),Proventos!$D:$D,"&lt;"&amp;CONCATENATE($L$6,"/",B47),Proventos!$J:$J,"="&amp;$H$2),
AND($H$2=Data!$A$8,$K$2=Data!$A$2),SUMIFS(Proventos!$H:$H,Proventos!$D:$D,"&gt;="&amp;CONCATENATE($K$6,"/",B47),Proventos!$D:$D,"&lt;"&amp;CONCATENATE($L$6,"/",B47),Proventos!$J:$J,"="&amp;$H$2),
AND($H$2=Data!$A$9,$K$2=Data!$A$2),SUMIFS(Proventos!$H:$H,Proventos!$D:$D,"&gt;="&amp;CONCATENATE($K$6,"/",B47),Proventos!$D:$D,"&lt;"&amp;CONCATENATE($L$6,"/",B47),Proventos!$J:$J,"="&amp;$H$2),
AND($H$2=Data!$A$10,$K$2=Data!$A$2),SUMIFS(Proventos!$H:$H,Proventos!$D:$D,"&gt;="&amp;CONCATENATE($K$6,"/",B47),Proventos!$D:$D,"&lt;"&amp;CONCATENATE($L$6,"/",B47),Proventos!$J:$J,"="&amp;$H$2),
AND($H$2=Data!$A$11,$K$2=Data!$A$2),SUMIFS(Proventos!$H:$H,Proventos!$D:$D,"&gt;="&amp;CONCATENATE($K$6,"/",B47),Proventos!$D:$D,"&lt;"&amp;CONCATENATE($L$6,"/",B47),Proventos!$J:$J,"="&amp;$H$2),
$K$2=Data!$A$2,SUMIFS(Proventos!$H:$H,Proventos!$D:$D,"&gt;="&amp;CONCATENATE($K$6,"/",B47),Proventos!$D:$D,"&lt;"&amp;CONCATENATE($L$6,"/",B47)),
$K$2&lt;&gt;Data!$A$2,SUMIFS(Proventos!$H:$H,Proventos!$D:$D,"&gt;="&amp;CONCATENATE($K$6,"/",B47),Proventos!$D:$D,"&lt;"&amp;CONCATENATE($L$6,"/",B47),Proventos!$A:$A,"="&amp;$K$2))</f>
        <v>0</v>
      </c>
      <c r="L47" s="245">
        <f>IFS(
AND($H$2=Data!$A$3,$K$2=Data!$A$2),SUMIFS(Proventos!$H:$H,Proventos!$D:$D,"&gt;="&amp;CONCATENATE($L$6,"/",B47),Proventos!$D:$D,"&lt;"&amp;CONCATENATE($M$6,"/",B47),Proventos!$J:$J,"="&amp;$H$2),
AND($H$2=Data!$A$4,$K$2=Data!$A$2),SUMIFS(Proventos!$H:$H,Proventos!$D:$D,"&gt;="&amp;CONCATENATE($L$6,"/",B47),Proventos!$D:$D,"&lt;"&amp;CONCATENATE($M$6,"/",B47),Proventos!$J:$J,"="&amp;$H$2),
AND($H$2=Data!$A$5,$K$2=Data!$A$2),SUMIFS(Proventos!$H:$H,Proventos!$D:$D,"&gt;="&amp;CONCATENATE($L$6,"/",B47),Proventos!$D:$D,"&lt;"&amp;CONCATENATE($M$6,"/",B47),Proventos!$J:$J,"="&amp;$H$2),
AND($H$2=Data!$A$6,$K$2=Data!$A$2),SUMIFS(Proventos!$H:$H,Proventos!$D:$D,"&gt;="&amp;CONCATENATE($L$6,"/",B47),Proventos!$D:$D,"&lt;"&amp;CONCATENATE($M$6,"/",B47),Proventos!$J:$J,"="&amp;$H$2),
AND($H$2=Data!$A$7,$K$2=Data!$A$2),SUMIFS(Proventos!$H:$H,Proventos!$D:$D,"&gt;="&amp;CONCATENATE($L$6,"/",B47),Proventos!$D:$D,"&lt;"&amp;CONCATENATE($M$6,"/",B47),Proventos!$J:$J,"="&amp;$H$2),
AND($H$2=Data!$A$8,$K$2=Data!$A$2),SUMIFS(Proventos!$H:$H,Proventos!$D:$D,"&gt;="&amp;CONCATENATE($L$6,"/",B47),Proventos!$D:$D,"&lt;"&amp;CONCATENATE($M$6,"/",B47),Proventos!$J:$J,"="&amp;$H$2),
AND($H$2=Data!$A$9,$K$2=Data!$A$2),SUMIFS(Proventos!$H:$H,Proventos!$D:$D,"&gt;="&amp;CONCATENATE($L$6,"/",B47),Proventos!$D:$D,"&lt;"&amp;CONCATENATE($M$6,"/",B47),Proventos!$J:$J,"="&amp;$H$2),
AND($H$2=Data!$A$10,$K$2=Data!$A$2),SUMIFS(Proventos!$H:$H,Proventos!$D:$D,"&gt;="&amp;CONCATENATE($L$6,"/",B47),Proventos!$D:$D,"&lt;"&amp;CONCATENATE($M$6,"/",B47),Proventos!$J:$J,"="&amp;$H$2),
AND($H$2=Data!$A$11,$K$2=Data!$A$2),SUMIFS(Proventos!$H:$H,Proventos!$D:$D,"&gt;="&amp;CONCATENATE($L$6,"/",B47),Proventos!$D:$D,"&lt;"&amp;CONCATENATE($M$6,"/",B47),Proventos!$J:$J,"="&amp;$H$2),
$K$2=Data!$A$2,SUMIFS(Proventos!$H:$H,Proventos!$D:$D,"&gt;="&amp;CONCATENATE($L$6,"/",B47),Proventos!$D:$D,"&lt;"&amp;CONCATENATE($M$6,"/",B47)),
$K$2&lt;&gt;Data!$A$2,SUMIFS(Proventos!$H:$H,Proventos!$D:$D,"&gt;="&amp;CONCATENATE($L$6,"/",B47),Proventos!$D:$D,"&lt;"&amp;CONCATENATE($M$6,"/",B47),Proventos!$A:$A,"="&amp;$K$2))</f>
        <v>0</v>
      </c>
      <c r="M47" s="245">
        <f>IFS(
AND($H$2=Data!$A$3,$K$2=Data!$A$2),SUMIFS(Proventos!$H:$H,Proventos!$D:$D,"&gt;="&amp;CONCATENATE($M$6,"/",B47),Proventos!$D:$D,"&lt;"&amp;CONCATENATE($N$6,"/",B47),Proventos!$J:$J,"="&amp;$H$2),
AND($H$2=Data!$A$4,$K$2=Data!$A$2),SUMIFS(Proventos!$H:$H,Proventos!$D:$D,"&gt;="&amp;CONCATENATE($M$6,"/",B47),Proventos!$D:$D,"&lt;"&amp;CONCATENATE($N$6,"/",B47),Proventos!$J:$J,"="&amp;$H$2),
AND($H$2=Data!$A$5,$K$2=Data!$A$2),SUMIFS(Proventos!$H:$H,Proventos!$D:$D,"&gt;="&amp;CONCATENATE($M$6,"/",B47),Proventos!$D:$D,"&lt;"&amp;CONCATENATE($N$6,"/",B47),Proventos!$J:$J,"="&amp;$H$2),
AND($H$2=Data!$A$6,$K$2=Data!$A$2),SUMIFS(Proventos!$H:$H,Proventos!$D:$D,"&gt;="&amp;CONCATENATE($M$6,"/",B47),Proventos!$D:$D,"&lt;"&amp;CONCATENATE($N$6,"/",B47),Proventos!$J:$J,"="&amp;$H$2),
AND($H$2=Data!$A$7,$K$2=Data!$A$2),SUMIFS(Proventos!$H:$H,Proventos!$D:$D,"&gt;="&amp;CONCATENATE($M$6,"/",B47),Proventos!$D:$D,"&lt;"&amp;CONCATENATE($N$6,"/",B47),Proventos!$J:$J,"="&amp;$H$2),
AND($H$2=Data!$A$8,$K$2=Data!$A$2),SUMIFS(Proventos!$H:$H,Proventos!$D:$D,"&gt;="&amp;CONCATENATE($M$6,"/",B47),Proventos!$D:$D,"&lt;"&amp;CONCATENATE($N$6,"/",B47),Proventos!$J:$J,"="&amp;$H$2),
AND($H$2=Data!$A$9,$K$2=Data!$A$2),SUMIFS(Proventos!$H:$H,Proventos!$D:$D,"&gt;="&amp;CONCATENATE($M$6,"/",B47),Proventos!$D:$D,"&lt;"&amp;CONCATENATE($N$6,"/",B47),Proventos!$J:$J,"="&amp;$H$2),
AND($H$2=Data!$A$10,$K$2=Data!$A$2),SUMIFS(Proventos!$H:$H,Proventos!$D:$D,"&gt;="&amp;CONCATENATE($M$6,"/",B47),Proventos!$D:$D,"&lt;"&amp;CONCATENATE($N$6,"/",B47),Proventos!$J:$J,"="&amp;$H$2),
AND($H$2=Data!$A$11,$K$2=Data!$A$2),SUMIFS(Proventos!$H:$H,Proventos!$D:$D,"&gt;="&amp;CONCATENATE($M$6,"/",B47),Proventos!$D:$D,"&lt;"&amp;CONCATENATE($N$6,"/",B47),Proventos!$J:$J,"="&amp;$H$2),
$K$2=Data!$A$2,SUMIFS(Proventos!$H:$H,Proventos!$D:$D,"&gt;="&amp;CONCATENATE($M$6,"/",B47),Proventos!$D:$D,"&lt;"&amp;CONCATENATE($N$6,"/",B47)),
$K$2&lt;&gt;Data!$A$2,SUMIFS(Proventos!$H:$H,Proventos!$D:$D,"&gt;="&amp;CONCATENATE($M$6,"/",B47),Proventos!$D:$D,"&lt;"&amp;CONCATENATE($N$6,"/",B47),Proventos!$A:$A,"="&amp;$K$2))</f>
        <v>0</v>
      </c>
      <c r="N47" s="245">
        <f>IFS(
AND($H$2=Data!$A$3,$K$2=Data!$A$2),SUMIFS(Proventos!$H:$H,Proventos!$D:$D,"&gt;="&amp;CONCATENATE($N$6,"/",B47),Proventos!$D:$D,"&lt;"&amp;CONCATENATE($C$6,"/",B48),Proventos!$J:$J,"="&amp;$H$2),
AND($H$2=Data!$A$4,$K$2=Data!$A$2),SUMIFS(Proventos!$H:$H,Proventos!$D:$D,"&gt;="&amp;CONCATENATE($N$6,"/",B47),Proventos!$D:$D,"&lt;"&amp;CONCATENATE($C$6,"/",B48),Proventos!$J:$J,"="&amp;$H$2),
AND($H$2=Data!$A$5,$K$2=Data!$A$2),SUMIFS(Proventos!$H:$H,Proventos!$D:$D,"&gt;="&amp;CONCATENATE($N$6,"/",B47),Proventos!$D:$D,"&lt;"&amp;CONCATENATE($C$6,"/",B48),Proventos!$J:$J,"="&amp;$H$2),
AND($H$2=Data!$A$6,$K$2=Data!$A$2),SUMIFS(Proventos!$H:$H,Proventos!$D:$D,"&gt;="&amp;CONCATENATE($N$6,"/",B47),Proventos!$D:$D,"&lt;"&amp;CONCATENATE($C$6,"/",B48),Proventos!$J:$J,"="&amp;$H$2),
AND($H$2=Data!$A$7,$K$2=Data!$A$2),SUMIFS(Proventos!$H:$H,Proventos!$D:$D,"&gt;="&amp;CONCATENATE($N$6,"/",B47),Proventos!$D:$D,"&lt;"&amp;CONCATENATE($C$6,"/",B48),Proventos!$J:$J,"="&amp;$H$2),
AND($H$2=Data!$A$8,$K$2=Data!$A$2),SUMIFS(Proventos!$H:$H,Proventos!$D:$D,"&gt;="&amp;CONCATENATE($N$6,"/",B47),Proventos!$D:$D,"&lt;"&amp;CONCATENATE($C$6,"/",B48),Proventos!$J:$J,"="&amp;$H$2),
AND($H$2=Data!$A$9,$K$2=Data!$A$2),SUMIFS(Proventos!$H:$H,Proventos!$D:$D,"&gt;="&amp;CONCATENATE($N$6,"/",B47),Proventos!$D:$D,"&lt;"&amp;CONCATENATE($C$6,"/",B48),Proventos!$J:$J,"="&amp;$H$2),
AND($H$2=Data!$A$10,$K$2=Data!$A$2),SUMIFS(Proventos!$H:$H,Proventos!$D:$D,"&gt;="&amp;CONCATENATE($N$6,"/",B47),Proventos!$D:$D,"&lt;"&amp;CONCATENATE($C$6,"/",B48),Proventos!$J:$J,"="&amp;$H$2),
AND($H$2=Data!$A$11,$K$2=Data!$A$2),SUMIFS(Proventos!$H:$H,Proventos!$D:$D,"&gt;="&amp;CONCATENATE($N$6,"/",B47),Proventos!$D:$D,"&lt;"&amp;CONCATENATE($C$6,"/",B48),Proventos!$J:$J,"="&amp;$H$2),
$K$2=Data!$A$2,SUMIFS(Proventos!$H:$H,Proventos!$D:$D,"&gt;="&amp;CONCATENATE($N$6,"/",B47),Proventos!$D:$D,"&lt;"&amp;CONCATENATE($C$6,"/",B48)),
$K$2&lt;&gt;Data!$A$2,SUMIFS(Proventos!$H:$H,Proventos!$D:$D,"&gt;="&amp;CONCATENATE($N$6,"/",B47),Proventos!$D:$D,"&lt;"&amp;CONCATENATE($C$6,"/",B48),Proventos!$A:$A,"="&amp;$K$2))</f>
        <v>0</v>
      </c>
      <c r="O47" s="245"/>
      <c r="P47" s="245">
        <f t="shared" si="1"/>
        <v>0</v>
      </c>
      <c r="Q47" s="245">
        <f t="shared" si="2"/>
        <v>0</v>
      </c>
    </row>
    <row r="48" ht="32.25" customHeight="1">
      <c r="A48" s="230"/>
      <c r="B48" s="244"/>
      <c r="C48" s="245">
        <f>IFS(
AND($H$2=Data!$A$3,$K$2=Data!$A$2),SUMIFS(Proventos!$H:$H,Proventos!$D:$D,"&gt;="&amp;CONCATENATE($C$6,"/",B48),Proventos!$D:$D,"&lt;"&amp;CONCATENATE($D$6,"/",B48),Proventos!$J:$J,"="&amp;$H$2),
AND($H$2=Data!$A$4,$K$2=Data!$A$2),SUMIFS(Proventos!$H:$H,Proventos!$D:$D,"&gt;="&amp;CONCATENATE($C$6,"/",B48),Proventos!$D:$D,"&lt;"&amp;CONCATENATE($D$6,"/",B48),Proventos!$J:$J,"="&amp;$H$2),
AND($H$2=Data!$A$5,$K$2=Data!$A$2),SUMIFS(Proventos!$H:$H,Proventos!$D:$D,"&gt;="&amp;CONCATENATE($C$6,"/",B48),Proventos!$D:$D,"&lt;"&amp;CONCATENATE($D$6,"/",B48),Proventos!$J:$J,"="&amp;$H$2),
AND($H$2=Data!$A$6,$K$2=Data!$A$2),SUMIFS(Proventos!$H:$H,Proventos!$D:$D,"&gt;="&amp;CONCATENATE($C$6,"/",B48),Proventos!$D:$D,"&lt;"&amp;CONCATENATE($D$6,"/",B48),Proventos!$J:$J,"="&amp;$H$2),
AND($H$2=Data!$A$7,$K$2=Data!$A$2),SUMIFS(Proventos!$H:$H,Proventos!$D:$D,"&gt;="&amp;CONCATENATE($C$6,"/",B48),Proventos!$D:$D,"&lt;"&amp;CONCATENATE($D$6,"/",B48),Proventos!$J:$J,"="&amp;$H$2),
AND($H$2=Data!$A$8,$K$2=Data!$A$2),SUMIFS(Proventos!$H:$H,Proventos!$D:$D,"&gt;="&amp;CONCATENATE($C$6,"/",B48),Proventos!$D:$D,"&lt;"&amp;CONCATENATE($D$6,"/",B48),Proventos!$J:$J,"="&amp;$H$2),
AND($H$2=Data!$A$9,$K$2=Data!$A$2),SUMIFS(Proventos!$H:$H,Proventos!$D:$D,"&gt;="&amp;CONCATENATE($C$6,"/",B48),Proventos!$D:$D,"&lt;"&amp;CONCATENATE($D$6,"/",B48),Proventos!$J:$J,"="&amp;$H$2),
AND($H$2=Data!$A$10,$K$2=Data!$A$2),SUMIFS(Proventos!$H:$H,Proventos!$D:$D,"&gt;="&amp;CONCATENATE($C$6,"/",B48),Proventos!$D:$D,"&lt;"&amp;CONCATENATE($D$6,"/",B48),Proventos!$J:$J,"="&amp;$H$2),
AND($H$2=Data!$A$11,$K$2=Data!$A$2),SUMIFS(Proventos!$H:$H,Proventos!$D:$D,"&gt;="&amp;CONCATENATE($C$6,"/",B48),Proventos!$D:$D,"&lt;"&amp;CONCATENATE($D$6,"/",B48),Proventos!$J:$J,"="&amp;$H$2),
$K$2=Data!$A$2,SUMIFS(Proventos!$H:$H,Proventos!$D:$D,"&gt;="&amp;CONCATENATE($C$6,"/",B48),Proventos!$D:$D,"&lt;"&amp;CONCATENATE($D$6,"/",B48)),
$K$2&lt;&gt;Data!$A$2,SUMIFS(Proventos!$H:$H,Proventos!$D:$D,"&gt;="&amp;CONCATENATE($C$6,"/",B48),Proventos!$D:$D,"&lt;"&amp;CONCATENATE($D$6,"/",B48),Proventos!$A:$A,"="&amp;$K$2))</f>
        <v>0</v>
      </c>
      <c r="D48" s="245">
        <f>IFS(
AND($H$2=Data!$A$3,$K$2=Data!$A$2),SUMIFS(Proventos!$H:$H,Proventos!$D:$D,"&gt;="&amp;CONCATENATE($D$6,"/",B48),Proventos!$D:$D,"&lt;"&amp;CONCATENATE($E$6,"/",B48),Proventos!$J:$J,"="&amp;$H$2),
AND($H$2=Data!$A$4,$K$2=Data!$A$2),SUMIFS(Proventos!$H:$H,Proventos!$D:$D,"&gt;="&amp;CONCATENATE($D$6,"/",B48),Proventos!$D:$D,"&lt;"&amp;CONCATENATE($E$6,"/",B48),Proventos!$J:$J,"="&amp;$H$2),
AND($H$2=Data!$A$5,$K$2=Data!$A$2),SUMIFS(Proventos!$H:$H,Proventos!$D:$D,"&gt;="&amp;CONCATENATE($D$6,"/",B48),Proventos!$D:$D,"&lt;"&amp;CONCATENATE($E$6,"/",B48),Proventos!$J:$J,"="&amp;$H$2),
AND($H$2=Data!$A$6,$K$2=Data!$A$2),SUMIFS(Proventos!$H:$H,Proventos!$D:$D,"&gt;="&amp;CONCATENATE($D$6,"/",B48),Proventos!$D:$D,"&lt;"&amp;CONCATENATE($E$6,"/",B48),Proventos!$J:$J,"="&amp;$H$2),
AND($H$2=Data!$A$7,$K$2=Data!$A$2),SUMIFS(Proventos!$H:$H,Proventos!$D:$D,"&gt;="&amp;CONCATENATE($D$6,"/",B48),Proventos!$D:$D,"&lt;"&amp;CONCATENATE($E$6,"/",B48),Proventos!$J:$J,"="&amp;$H$2),
AND($H$2=Data!$A$8,$K$2=Data!$A$2),SUMIFS(Proventos!$H:$H,Proventos!$D:$D,"&gt;="&amp;CONCATENATE($D$6,"/",B48),Proventos!$D:$D,"&lt;"&amp;CONCATENATE($E$6,"/",B48),Proventos!$J:$J,"="&amp;$H$2),
AND($H$2=Data!$A$9,$K$2=Data!$A$2),SUMIFS(Proventos!$H:$H,Proventos!$D:$D,"&gt;="&amp;CONCATENATE($D$6,"/",B48),Proventos!$D:$D,"&lt;"&amp;CONCATENATE($E$6,"/",B48),Proventos!$J:$J,"="&amp;$H$2),
AND($H$2=Data!$A$10,$K$2=Data!$A$2),SUMIFS(Proventos!$H:$H,Proventos!$D:$D,"&gt;="&amp;CONCATENATE($D$6,"/",B48),Proventos!$D:$D,"&lt;"&amp;CONCATENATE($E$6,"/",B48),Proventos!$J:$J,"="&amp;$H$2),
AND($H$2=Data!$A$11,$K$2=Data!$A$2),SUMIFS(Proventos!$H:$H,Proventos!$D:$D,"&gt;="&amp;CONCATENATE($D$6,"/",B48),Proventos!$D:$D,"&lt;"&amp;CONCATENATE($E$6,"/",B48),Proventos!$J:$J,"="&amp;$H$2),
$K$2=Data!$A$2,SUMIFS(Proventos!$H:$H,Proventos!$D:$D,"&gt;="&amp;CONCATENATE($D$6,"/",B48),Proventos!$D:$D,"&lt;"&amp;CONCATENATE($E$6,"/",B48)),
$K$2&lt;&gt;Data!$A$2,SUMIFS(Proventos!$H:$H,Proventos!$D:$D,"&gt;="&amp;CONCATENATE($D$6,"/",B48),Proventos!$D:$D,"&lt;"&amp;CONCATENATE($E$6,"/",B48),Proventos!$A:$A,"="&amp;$K$2))</f>
        <v>0</v>
      </c>
      <c r="E48" s="245">
        <f>IFS(
AND($H$2=Data!$A$3,$K$2=Data!$A$2),SUMIFS(Proventos!$H:$H,Proventos!$D:$D,"&gt;="&amp;CONCATENATE($E$6,"/",B48),Proventos!$D:$D,"&lt;"&amp;CONCATENATE($F$6,"/",B48),Proventos!$J:$J,"="&amp;$H$2),
AND($H$2=Data!$A$4,$K$2=Data!$A$2),SUMIFS(Proventos!$H:$H,Proventos!$D:$D,"&gt;="&amp;CONCATENATE($E$6,"/",B48),Proventos!$D:$D,"&lt;"&amp;CONCATENATE($F$6,"/",B48),Proventos!$J:$J,"="&amp;$H$2),
AND($H$2=Data!$A$5,$K$2=Data!$A$2),SUMIFS(Proventos!$H:$H,Proventos!$D:$D,"&gt;="&amp;CONCATENATE($E$6,"/",B48),Proventos!$D:$D,"&lt;"&amp;CONCATENATE($F$6,"/",B48),Proventos!$J:$J,"="&amp;$H$2),
AND($H$2=Data!$A$6,$K$2=Data!$A$2),SUMIFS(Proventos!$H:$H,Proventos!$D:$D,"&gt;="&amp;CONCATENATE($E$6,"/",B48),Proventos!$D:$D,"&lt;"&amp;CONCATENATE($F$6,"/",B48),Proventos!$J:$J,"="&amp;$H$2),
AND($H$2=Data!$A$7,$K$2=Data!$A$2),SUMIFS(Proventos!$H:$H,Proventos!$D:$D,"&gt;="&amp;CONCATENATE($E$6,"/",B48),Proventos!$D:$D,"&lt;"&amp;CONCATENATE($F$6,"/",B48),Proventos!$J:$J,"="&amp;$H$2),
AND($H$2=Data!$A$8,$K$2=Data!$A$2),SUMIFS(Proventos!$H:$H,Proventos!$D:$D,"&gt;="&amp;CONCATENATE($E$6,"/",B48),Proventos!$D:$D,"&lt;"&amp;CONCATENATE($F$6,"/",B48),Proventos!$J:$J,"="&amp;$H$2),
AND($H$2=Data!$A$9,$K$2=Data!$A$2),SUMIFS(Proventos!$H:$H,Proventos!$D:$D,"&gt;="&amp;CONCATENATE($E$6,"/",B48),Proventos!$D:$D,"&lt;"&amp;CONCATENATE($F$6,"/",B48),Proventos!$J:$J,"="&amp;$H$2),
AND($H$2=Data!$A$10,$K$2=Data!$A$2),SUMIFS(Proventos!$H:$H,Proventos!$D:$D,"&gt;="&amp;CONCATENATE($E$6,"/",B48),Proventos!$D:$D,"&lt;"&amp;CONCATENATE($F$6,"/",B48),Proventos!$J:$J,"="&amp;$H$2),
AND($H$2=Data!$A$11,$K$2=Data!$A$2),SUMIFS(Proventos!$H:$H,Proventos!$D:$D,"&gt;="&amp;CONCATENATE($E$6,"/",B48),Proventos!$D:$D,"&lt;"&amp;CONCATENATE($F$6,"/",B48),Proventos!$J:$J,"="&amp;$H$2),
$K$2=Data!$A$2,SUMIFS(Proventos!$H:$H,Proventos!$D:$D,"&gt;="&amp;CONCATENATE($E$6,"/",B48),Proventos!$D:$D,"&lt;"&amp;CONCATENATE($F$6,"/",B48)),
$K$2&lt;&gt;Data!$A$2,SUMIFS(Proventos!$H:$H,Proventos!$D:$D,"&gt;="&amp;CONCATENATE($E$6,"/",B48),Proventos!$D:$D,"&lt;"&amp;CONCATENATE($F$6,"/",B48),Proventos!$A:$A,"="&amp;$K$2))</f>
        <v>0</v>
      </c>
      <c r="F48" s="245">
        <f>IFS(
AND($H$2=Data!$A$3,$K$2=Data!$A$2),SUMIFS(Proventos!$H:$H,Proventos!$D:$D,"&gt;="&amp;CONCATENATE($F$6,"/",B48),Proventos!$D:$D,"&lt;"&amp;CONCATENATE($G$6,"/",B48),Proventos!$J:$J,"="&amp;$H$2),
AND($H$2=Data!$A$4,$K$2=Data!$A$2),SUMIFS(Proventos!$H:$H,Proventos!$D:$D,"&gt;="&amp;CONCATENATE($F$6,"/",B48),Proventos!$D:$D,"&lt;"&amp;CONCATENATE($G$6,"/",B48),Proventos!$J:$J,"="&amp;$H$2),
AND($H$2=Data!$A$5,$K$2=Data!$A$2),SUMIFS(Proventos!$H:$H,Proventos!$D:$D,"&gt;="&amp;CONCATENATE($F$6,"/",B48),Proventos!$D:$D,"&lt;"&amp;CONCATENATE($G$6,"/",B48),Proventos!$J:$J,"="&amp;$H$2),
AND($H$2=Data!$A$6,$K$2=Data!$A$2),SUMIFS(Proventos!$H:$H,Proventos!$D:$D,"&gt;="&amp;CONCATENATE($F$6,"/",B48),Proventos!$D:$D,"&lt;"&amp;CONCATENATE($G$6,"/",B48),Proventos!$J:$J,"="&amp;$H$2),
AND($H$2=Data!$A$7,$K$2=Data!$A$2),SUMIFS(Proventos!$H:$H,Proventos!$D:$D,"&gt;="&amp;CONCATENATE($F$6,"/",B48),Proventos!$D:$D,"&lt;"&amp;CONCATENATE($G$6,"/",B48),Proventos!$J:$J,"="&amp;$H$2),
AND($H$2=Data!$A$8,$K$2=Data!$A$2),SUMIFS(Proventos!$H:$H,Proventos!$D:$D,"&gt;="&amp;CONCATENATE($F$6,"/",B48),Proventos!$D:$D,"&lt;"&amp;CONCATENATE($G$6,"/",B48),Proventos!$J:$J,"="&amp;$H$2),
AND($H$2=Data!$A$9,$K$2=Data!$A$2),SUMIFS(Proventos!$H:$H,Proventos!$D:$D,"&gt;="&amp;CONCATENATE($F$6,"/",B48),Proventos!$D:$D,"&lt;"&amp;CONCATENATE($G$6,"/",B48),Proventos!$J:$J,"="&amp;$H$2),
AND($H$2=Data!$A$10,$K$2=Data!$A$2),SUMIFS(Proventos!$H:$H,Proventos!$D:$D,"&gt;="&amp;CONCATENATE($F$6,"/",B48),Proventos!$D:$D,"&lt;"&amp;CONCATENATE($G$6,"/",B48),Proventos!$J:$J,"="&amp;$H$2),
AND($H$2=Data!$A$11,$K$2=Data!$A$2),SUMIFS(Proventos!$H:$H,Proventos!$D:$D,"&gt;="&amp;CONCATENATE($F$6,"/",B48),Proventos!$D:$D,"&lt;"&amp;CONCATENATE($G$6,"/",B48),Proventos!$J:$J,"="&amp;$H$2),
$K$2=Data!$A$2,SUMIFS(Proventos!$H:$H,Proventos!$D:$D,"&gt;="&amp;CONCATENATE($F$6,"/",B48),Proventos!$D:$D,"&lt;"&amp;CONCATENATE($G$6,"/",B48)),
$K$2&lt;&gt;Data!$A$2,SUMIFS(Proventos!$H:$H,Proventos!$D:$D,"&gt;="&amp;CONCATENATE($F$6,"/",B48),Proventos!$D:$D,"&lt;"&amp;CONCATENATE($G$6,"/",B48),Proventos!$A:$A,"="&amp;$K$2))</f>
        <v>0</v>
      </c>
      <c r="G48" s="245">
        <f>IFS(
AND($H$2=Data!$A$3,$K$2=Data!$A$2),SUMIFS(Proventos!$H:$H,Proventos!$D:$D,"&gt;="&amp;CONCATENATE($G$6,"/",B48),Proventos!$D:$D,"&lt;"&amp;CONCATENATE($H$6,"/",B48),Proventos!$J:$J,"="&amp;$H$2),
AND($H$2=Data!$A$4,$K$2=Data!$A$2),SUMIFS(Proventos!$H:$H,Proventos!$D:$D,"&gt;="&amp;CONCATENATE($G$6,"/",B48),Proventos!$D:$D,"&lt;"&amp;CONCATENATE($H$6,"/",B48),Proventos!$J:$J,"="&amp;$H$2),
AND($H$2=Data!$A$5,$K$2=Data!$A$2),SUMIFS(Proventos!$H:$H,Proventos!$D:$D,"&gt;="&amp;CONCATENATE($G$6,"/",B48),Proventos!$D:$D,"&lt;"&amp;CONCATENATE($H$6,"/",B48),Proventos!$J:$J,"="&amp;$H$2),
AND($H$2=Data!$A$6,$K$2=Data!$A$2),SUMIFS(Proventos!$H:$H,Proventos!$D:$D,"&gt;="&amp;CONCATENATE($G$6,"/",B48),Proventos!$D:$D,"&lt;"&amp;CONCATENATE($H$6,"/",B48),Proventos!$J:$J,"="&amp;$H$2),
AND($H$2=Data!$A$7,$K$2=Data!$A$2),SUMIFS(Proventos!$H:$H,Proventos!$D:$D,"&gt;="&amp;CONCATENATE($G$6,"/",B48),Proventos!$D:$D,"&lt;"&amp;CONCATENATE($H$6,"/",B48),Proventos!$J:$J,"="&amp;$H$2),
AND($H$2=Data!$A$8,$K$2=Data!$A$2),SUMIFS(Proventos!$H:$H,Proventos!$D:$D,"&gt;="&amp;CONCATENATE($G$6,"/",B48),Proventos!$D:$D,"&lt;"&amp;CONCATENATE($H$6,"/",B48),Proventos!$J:$J,"="&amp;$H$2),
AND($H$2=Data!$A$9,$K$2=Data!$A$2),SUMIFS(Proventos!$H:$H,Proventos!$D:$D,"&gt;="&amp;CONCATENATE($G$6,"/",B48),Proventos!$D:$D,"&lt;"&amp;CONCATENATE($H$6,"/",B48),Proventos!$J:$J,"="&amp;$H$2),
AND($H$2=Data!$A$10,$K$2=Data!$A$2),SUMIFS(Proventos!$H:$H,Proventos!$D:$D,"&gt;="&amp;CONCATENATE($G$6,"/",B48),Proventos!$D:$D,"&lt;"&amp;CONCATENATE($H$6,"/",B48),Proventos!$J:$J,"="&amp;$H$2),
AND($H$2=Data!$A$11,$K$2=Data!$A$2),SUMIFS(Proventos!$H:$H,Proventos!$D:$D,"&gt;="&amp;CONCATENATE($G$6,"/",B48),Proventos!$D:$D,"&lt;"&amp;CONCATENATE($H$6,"/",B48),Proventos!$J:$J,"="&amp;$H$2),
$K$2=Data!$A$2,SUMIFS(Proventos!$H:$H,Proventos!$D:$D,"&gt;="&amp;CONCATENATE($G$6,"/",B48),Proventos!$D:$D,"&lt;"&amp;CONCATENATE($H$6,"/",B48)),
$K$2&lt;&gt;Data!$A$2,SUMIFS(Proventos!$H:$H,Proventos!$D:$D,"&gt;="&amp;CONCATENATE($G$6,"/",B48),Proventos!$D:$D,"&lt;"&amp;CONCATENATE($H$6,"/",B48),Proventos!$A:$A,"="&amp;$K$2))</f>
        <v>0</v>
      </c>
      <c r="H48" s="245">
        <f>IFS(
AND($H$2=Data!$A$3,$K$2=Data!$A$2),SUMIFS(Proventos!$H:$H,Proventos!$D:$D,"&gt;="&amp;CONCATENATE($H$6,"/",B48),Proventos!$D:$D,"&lt;"&amp;CONCATENATE($I$6,"/",B48),Proventos!$J:$J,"="&amp;$H$2),
AND($H$2=Data!$A$4,$K$2=Data!$A$2),SUMIFS(Proventos!$H:$H,Proventos!$D:$D,"&gt;="&amp;CONCATENATE($H$6,"/",B48),Proventos!$D:$D,"&lt;"&amp;CONCATENATE($I$6,"/",B48),Proventos!$J:$J,"="&amp;$H$2),
AND($H$2=Data!$A$5,$K$2=Data!$A$2),SUMIFS(Proventos!$H:$H,Proventos!$D:$D,"&gt;="&amp;CONCATENATE($H$6,"/",B48),Proventos!$D:$D,"&lt;"&amp;CONCATENATE($I$6,"/",B48),Proventos!$J:$J,"="&amp;$H$2),
AND($H$2=Data!$A$6,$K$2=Data!$A$2),SUMIFS(Proventos!$H:$H,Proventos!$D:$D,"&gt;="&amp;CONCATENATE($H$6,"/",B48),Proventos!$D:$D,"&lt;"&amp;CONCATENATE($I$6,"/",B48),Proventos!$J:$J,"="&amp;$H$2),
AND($H$2=Data!$A$7,$K$2=Data!$A$2),SUMIFS(Proventos!$H:$H,Proventos!$D:$D,"&gt;="&amp;CONCATENATE($H$6,"/",B48),Proventos!$D:$D,"&lt;"&amp;CONCATENATE($I$6,"/",B48),Proventos!$J:$J,"="&amp;$H$2),
AND($H$2=Data!$A$8,$K$2=Data!$A$2),SUMIFS(Proventos!$H:$H,Proventos!$D:$D,"&gt;="&amp;CONCATENATE($H$6,"/",B48),Proventos!$D:$D,"&lt;"&amp;CONCATENATE($I$6,"/",B48),Proventos!$J:$J,"="&amp;$H$2),
AND($H$2=Data!$A$9,$K$2=Data!$A$2),SUMIFS(Proventos!$H:$H,Proventos!$D:$D,"&gt;="&amp;CONCATENATE($H$6,"/",B48),Proventos!$D:$D,"&lt;"&amp;CONCATENATE($I$6,"/",B48),Proventos!$J:$J,"="&amp;$H$2),
AND($H$2=Data!$A$10,$K$2=Data!$A$2),SUMIFS(Proventos!$H:$H,Proventos!$D:$D,"&gt;="&amp;CONCATENATE($H$6,"/",B48),Proventos!$D:$D,"&lt;"&amp;CONCATENATE($I$6,"/",B48),Proventos!$J:$J,"="&amp;$H$2),
AND($H$2=Data!$A$11,$K$2=Data!$A$2),SUMIFS(Proventos!$H:$H,Proventos!$D:$D,"&gt;="&amp;CONCATENATE($H$6,"/",B48),Proventos!$D:$D,"&lt;"&amp;CONCATENATE($I$6,"/",B48),Proventos!$J:$J,"="&amp;$H$2),
$K$2=Data!$A$2,SUMIFS(Proventos!$H:$H,Proventos!$D:$D,"&gt;="&amp;CONCATENATE($H$6,"/",B48),Proventos!$D:$D,"&lt;"&amp;CONCATENATE($I$6,"/",B48)),
$K$2&lt;&gt;Data!$A$2,SUMIFS(Proventos!$H:$H,Proventos!$D:$D,"&gt;="&amp;CONCATENATE($H$6,"/",B48),Proventos!$D:$D,"&lt;"&amp;CONCATENATE($I$6,"/",B48),Proventos!$A:$A,"="&amp;$K$2))</f>
        <v>0</v>
      </c>
      <c r="I48" s="245">
        <f>IFS(
AND($H$2=Data!$A$3,$K$2=Data!$A$2),SUMIFS(Proventos!$H:$H,Proventos!$D:$D,"&gt;="&amp;CONCATENATE($I$6,"/",B48),Proventos!$D:$D,"&lt;"&amp;CONCATENATE($J$6,"/",B48),Proventos!$J:$J,"="&amp;$H$2),
AND($H$2=Data!$A$4,$K$2=Data!$A$2),SUMIFS(Proventos!$H:$H,Proventos!$D:$D,"&gt;="&amp;CONCATENATE($I$6,"/",B48),Proventos!$D:$D,"&lt;"&amp;CONCATENATE($J$6,"/",B48),Proventos!$J:$J,"="&amp;$H$2),
AND($H$2=Data!$A$5,$K$2=Data!$A$2),SUMIFS(Proventos!$H:$H,Proventos!$D:$D,"&gt;="&amp;CONCATENATE($I$6,"/",B48),Proventos!$D:$D,"&lt;"&amp;CONCATENATE($J$6,"/",B48),Proventos!$J:$J,"="&amp;$H$2),
AND($H$2=Data!$A$6,$K$2=Data!$A$2),SUMIFS(Proventos!$H:$H,Proventos!$D:$D,"&gt;="&amp;CONCATENATE($I$6,"/",B48),Proventos!$D:$D,"&lt;"&amp;CONCATENATE($J$6,"/",B48),Proventos!$J:$J,"="&amp;$H$2),
AND($H$2=Data!$A$7,$K$2=Data!$A$2),SUMIFS(Proventos!$H:$H,Proventos!$D:$D,"&gt;="&amp;CONCATENATE($I$6,"/",B48),Proventos!$D:$D,"&lt;"&amp;CONCATENATE($J$6,"/",B48),Proventos!$J:$J,"="&amp;$H$2),
AND($H$2=Data!$A$8,$K$2=Data!$A$2),SUMIFS(Proventos!$H:$H,Proventos!$D:$D,"&gt;="&amp;CONCATENATE($I$6,"/",B48),Proventos!$D:$D,"&lt;"&amp;CONCATENATE($J$6,"/",B48),Proventos!$J:$J,"="&amp;$H$2),
AND($H$2=Data!$A$9,$K$2=Data!$A$2),SUMIFS(Proventos!$H:$H,Proventos!$D:$D,"&gt;="&amp;CONCATENATE($I$6,"/",B48),Proventos!$D:$D,"&lt;"&amp;CONCATENATE($J$6,"/",B48),Proventos!$J:$J,"="&amp;$H$2),
AND($H$2=Data!$A$10,$K$2=Data!$A$2),SUMIFS(Proventos!$H:$H,Proventos!$D:$D,"&gt;="&amp;CONCATENATE($I$6,"/",B48),Proventos!$D:$D,"&lt;"&amp;CONCATENATE($J$6,"/",B48),Proventos!$J:$J,"="&amp;$H$2),
AND($H$2=Data!$A$11,$K$2=Data!$A$2),SUMIFS(Proventos!$H:$H,Proventos!$D:$D,"&gt;="&amp;CONCATENATE($I$6,"/",B48),Proventos!$D:$D,"&lt;"&amp;CONCATENATE($J$6,"/",B48),Proventos!$J:$J,"="&amp;$H$2),
$K$2=Data!$A$2,SUMIFS(Proventos!$H:$H,Proventos!$D:$D,"&gt;="&amp;CONCATENATE($I$6,"/",B48),Proventos!$D:$D,"&lt;"&amp;CONCATENATE($J$6,"/",B48)),
$K$2&lt;&gt;Data!$A$2,SUMIFS(Proventos!$H:$H,Proventos!$D:$D,"&gt;="&amp;CONCATENATE($I$6,"/",B48),Proventos!$D:$D,"&lt;"&amp;CONCATENATE($J$6,"/",B48),Proventos!$A:$A,"="&amp;$K$2))</f>
        <v>0</v>
      </c>
      <c r="J48" s="245">
        <f>IFS(
AND($H$2=Data!$A$3,$K$2=Data!$A$2),SUMIFS(Proventos!$H:$H,Proventos!$D:$D,"&gt;="&amp;CONCATENATE($J$6,"/",B48),Proventos!$D:$D,"&lt;"&amp;CONCATENATE($K$6,"/",B48),Proventos!$J:$J,"="&amp;$H$2),
AND($H$2=Data!$A$4,$K$2=Data!$A$2),SUMIFS(Proventos!$H:$H,Proventos!$D:$D,"&gt;="&amp;CONCATENATE($J$6,"/",B48),Proventos!$D:$D,"&lt;"&amp;CONCATENATE($K$6,"/",B48),Proventos!$J:$J,"="&amp;$H$2),
AND($H$2=Data!$A$5,$K$2=Data!$A$2),SUMIFS(Proventos!$H:$H,Proventos!$D:$D,"&gt;="&amp;CONCATENATE($J$6,"/",B48),Proventos!$D:$D,"&lt;"&amp;CONCATENATE($K$6,"/",B48),Proventos!$J:$J,"="&amp;$H$2),
AND($H$2=Data!$A$6,$K$2=Data!$A$2),SUMIFS(Proventos!$H:$H,Proventos!$D:$D,"&gt;="&amp;CONCATENATE($J$6,"/",B48),Proventos!$D:$D,"&lt;"&amp;CONCATENATE($K$6,"/",B48),Proventos!$J:$J,"="&amp;$H$2),
AND($H$2=Data!$A$7,$K$2=Data!$A$2),SUMIFS(Proventos!$H:$H,Proventos!$D:$D,"&gt;="&amp;CONCATENATE($J$6,"/",B48),Proventos!$D:$D,"&lt;"&amp;CONCATENATE($K$6,"/",B48),Proventos!$J:$J,"="&amp;$H$2),
AND($H$2=Data!$A$8,$K$2=Data!$A$2),SUMIFS(Proventos!$H:$H,Proventos!$D:$D,"&gt;="&amp;CONCATENATE($J$6,"/",B48),Proventos!$D:$D,"&lt;"&amp;CONCATENATE($K$6,"/",B48),Proventos!$J:$J,"="&amp;$H$2),
AND($H$2=Data!$A$9,$K$2=Data!$A$2),SUMIFS(Proventos!$H:$H,Proventos!$D:$D,"&gt;="&amp;CONCATENATE($J$6,"/",B48),Proventos!$D:$D,"&lt;"&amp;CONCATENATE($K$6,"/",B48),Proventos!$J:$J,"="&amp;$H$2),
AND($H$2=Data!$A$10,$K$2=Data!$A$2),SUMIFS(Proventos!$H:$H,Proventos!$D:$D,"&gt;="&amp;CONCATENATE($J$6,"/",B48),Proventos!$D:$D,"&lt;"&amp;CONCATENATE($K$6,"/",B48),Proventos!$J:$J,"="&amp;$H$2),
AND($H$2=Data!$A$11,$K$2=Data!$A$2),SUMIFS(Proventos!$H:$H,Proventos!$D:$D,"&gt;="&amp;CONCATENATE($J$6,"/",B48),Proventos!$D:$D,"&lt;"&amp;CONCATENATE($K$6,"/",B48),Proventos!$J:$J,"="&amp;$H$2),
$K$2=Data!$A$2,SUMIFS(Proventos!$H:$H,Proventos!$D:$D,"&gt;="&amp;CONCATENATE($J$6,"/",B48),Proventos!$D:$D,"&lt;"&amp;CONCATENATE($K$6,"/",B48)),
$K$2&lt;&gt;Data!$A$2,SUMIFS(Proventos!$H:$H,Proventos!$D:$D,"&gt;="&amp;CONCATENATE($J$6,"/",B48),Proventos!$D:$D,"&lt;"&amp;CONCATENATE($K$6,"/",B48),Proventos!$A:$A,"="&amp;$K$2))</f>
        <v>0</v>
      </c>
      <c r="K48" s="245">
        <f>IFS(
AND($H$2=Data!$A$3,$K$2=Data!$A$2),SUMIFS(Proventos!$H:$H,Proventos!$D:$D,"&gt;="&amp;CONCATENATE($K$6,"/",B48),Proventos!$D:$D,"&lt;"&amp;CONCATENATE($L$6,"/",B48),Proventos!$J:$J,"="&amp;$H$2),
AND($H$2=Data!$A$4,$K$2=Data!$A$2),SUMIFS(Proventos!$H:$H,Proventos!$D:$D,"&gt;="&amp;CONCATENATE($K$6,"/",B48),Proventos!$D:$D,"&lt;"&amp;CONCATENATE($L$6,"/",B48),Proventos!$J:$J,"="&amp;$H$2),
AND($H$2=Data!$A$5,$K$2=Data!$A$2),SUMIFS(Proventos!$H:$H,Proventos!$D:$D,"&gt;="&amp;CONCATENATE($K$6,"/",B48),Proventos!$D:$D,"&lt;"&amp;CONCATENATE($L$6,"/",B48),Proventos!$J:$J,"="&amp;$H$2),
AND($H$2=Data!$A$6,$K$2=Data!$A$2),SUMIFS(Proventos!$H:$H,Proventos!$D:$D,"&gt;="&amp;CONCATENATE($K$6,"/",B48),Proventos!$D:$D,"&lt;"&amp;CONCATENATE($L$6,"/",B48),Proventos!$J:$J,"="&amp;$H$2),
AND($H$2=Data!$A$7,$K$2=Data!$A$2),SUMIFS(Proventos!$H:$H,Proventos!$D:$D,"&gt;="&amp;CONCATENATE($K$6,"/",B48),Proventos!$D:$D,"&lt;"&amp;CONCATENATE($L$6,"/",B48),Proventos!$J:$J,"="&amp;$H$2),
AND($H$2=Data!$A$8,$K$2=Data!$A$2),SUMIFS(Proventos!$H:$H,Proventos!$D:$D,"&gt;="&amp;CONCATENATE($K$6,"/",B48),Proventos!$D:$D,"&lt;"&amp;CONCATENATE($L$6,"/",B48),Proventos!$J:$J,"="&amp;$H$2),
AND($H$2=Data!$A$9,$K$2=Data!$A$2),SUMIFS(Proventos!$H:$H,Proventos!$D:$D,"&gt;="&amp;CONCATENATE($K$6,"/",B48),Proventos!$D:$D,"&lt;"&amp;CONCATENATE($L$6,"/",B48),Proventos!$J:$J,"="&amp;$H$2),
AND($H$2=Data!$A$10,$K$2=Data!$A$2),SUMIFS(Proventos!$H:$H,Proventos!$D:$D,"&gt;="&amp;CONCATENATE($K$6,"/",B48),Proventos!$D:$D,"&lt;"&amp;CONCATENATE($L$6,"/",B48),Proventos!$J:$J,"="&amp;$H$2),
AND($H$2=Data!$A$11,$K$2=Data!$A$2),SUMIFS(Proventos!$H:$H,Proventos!$D:$D,"&gt;="&amp;CONCATENATE($K$6,"/",B48),Proventos!$D:$D,"&lt;"&amp;CONCATENATE($L$6,"/",B48),Proventos!$J:$J,"="&amp;$H$2),
$K$2=Data!$A$2,SUMIFS(Proventos!$H:$H,Proventos!$D:$D,"&gt;="&amp;CONCATENATE($K$6,"/",B48),Proventos!$D:$D,"&lt;"&amp;CONCATENATE($L$6,"/",B48)),
$K$2&lt;&gt;Data!$A$2,SUMIFS(Proventos!$H:$H,Proventos!$D:$D,"&gt;="&amp;CONCATENATE($K$6,"/",B48),Proventos!$D:$D,"&lt;"&amp;CONCATENATE($L$6,"/",B48),Proventos!$A:$A,"="&amp;$K$2))</f>
        <v>0</v>
      </c>
      <c r="L48" s="245">
        <f>IFS(
AND($H$2=Data!$A$3,$K$2=Data!$A$2),SUMIFS(Proventos!$H:$H,Proventos!$D:$D,"&gt;="&amp;CONCATENATE($L$6,"/",B48),Proventos!$D:$D,"&lt;"&amp;CONCATENATE($M$6,"/",B48),Proventos!$J:$J,"="&amp;$H$2),
AND($H$2=Data!$A$4,$K$2=Data!$A$2),SUMIFS(Proventos!$H:$H,Proventos!$D:$D,"&gt;="&amp;CONCATENATE($L$6,"/",B48),Proventos!$D:$D,"&lt;"&amp;CONCATENATE($M$6,"/",B48),Proventos!$J:$J,"="&amp;$H$2),
AND($H$2=Data!$A$5,$K$2=Data!$A$2),SUMIFS(Proventos!$H:$H,Proventos!$D:$D,"&gt;="&amp;CONCATENATE($L$6,"/",B48),Proventos!$D:$D,"&lt;"&amp;CONCATENATE($M$6,"/",B48),Proventos!$J:$J,"="&amp;$H$2),
AND($H$2=Data!$A$6,$K$2=Data!$A$2),SUMIFS(Proventos!$H:$H,Proventos!$D:$D,"&gt;="&amp;CONCATENATE($L$6,"/",B48),Proventos!$D:$D,"&lt;"&amp;CONCATENATE($M$6,"/",B48),Proventos!$J:$J,"="&amp;$H$2),
AND($H$2=Data!$A$7,$K$2=Data!$A$2),SUMIFS(Proventos!$H:$H,Proventos!$D:$D,"&gt;="&amp;CONCATENATE($L$6,"/",B48),Proventos!$D:$D,"&lt;"&amp;CONCATENATE($M$6,"/",B48),Proventos!$J:$J,"="&amp;$H$2),
AND($H$2=Data!$A$8,$K$2=Data!$A$2),SUMIFS(Proventos!$H:$H,Proventos!$D:$D,"&gt;="&amp;CONCATENATE($L$6,"/",B48),Proventos!$D:$D,"&lt;"&amp;CONCATENATE($M$6,"/",B48),Proventos!$J:$J,"="&amp;$H$2),
AND($H$2=Data!$A$9,$K$2=Data!$A$2),SUMIFS(Proventos!$H:$H,Proventos!$D:$D,"&gt;="&amp;CONCATENATE($L$6,"/",B48),Proventos!$D:$D,"&lt;"&amp;CONCATENATE($M$6,"/",B48),Proventos!$J:$J,"="&amp;$H$2),
AND($H$2=Data!$A$10,$K$2=Data!$A$2),SUMIFS(Proventos!$H:$H,Proventos!$D:$D,"&gt;="&amp;CONCATENATE($L$6,"/",B48),Proventos!$D:$D,"&lt;"&amp;CONCATENATE($M$6,"/",B48),Proventos!$J:$J,"="&amp;$H$2),
AND($H$2=Data!$A$11,$K$2=Data!$A$2),SUMIFS(Proventos!$H:$H,Proventos!$D:$D,"&gt;="&amp;CONCATENATE($L$6,"/",B48),Proventos!$D:$D,"&lt;"&amp;CONCATENATE($M$6,"/",B48),Proventos!$J:$J,"="&amp;$H$2),
$K$2=Data!$A$2,SUMIFS(Proventos!$H:$H,Proventos!$D:$D,"&gt;="&amp;CONCATENATE($L$6,"/",B48),Proventos!$D:$D,"&lt;"&amp;CONCATENATE($M$6,"/",B48)),
$K$2&lt;&gt;Data!$A$2,SUMIFS(Proventos!$H:$H,Proventos!$D:$D,"&gt;="&amp;CONCATENATE($L$6,"/",B48),Proventos!$D:$D,"&lt;"&amp;CONCATENATE($M$6,"/",B48),Proventos!$A:$A,"="&amp;$K$2))</f>
        <v>0</v>
      </c>
      <c r="M48" s="245">
        <f>IFS(
AND($H$2=Data!$A$3,$K$2=Data!$A$2),SUMIFS(Proventos!$H:$H,Proventos!$D:$D,"&gt;="&amp;CONCATENATE($M$6,"/",B48),Proventos!$D:$D,"&lt;"&amp;CONCATENATE($N$6,"/",B48),Proventos!$J:$J,"="&amp;$H$2),
AND($H$2=Data!$A$4,$K$2=Data!$A$2),SUMIFS(Proventos!$H:$H,Proventos!$D:$D,"&gt;="&amp;CONCATENATE($M$6,"/",B48),Proventos!$D:$D,"&lt;"&amp;CONCATENATE($N$6,"/",B48),Proventos!$J:$J,"="&amp;$H$2),
AND($H$2=Data!$A$5,$K$2=Data!$A$2),SUMIFS(Proventos!$H:$H,Proventos!$D:$D,"&gt;="&amp;CONCATENATE($M$6,"/",B48),Proventos!$D:$D,"&lt;"&amp;CONCATENATE($N$6,"/",B48),Proventos!$J:$J,"="&amp;$H$2),
AND($H$2=Data!$A$6,$K$2=Data!$A$2),SUMIFS(Proventos!$H:$H,Proventos!$D:$D,"&gt;="&amp;CONCATENATE($M$6,"/",B48),Proventos!$D:$D,"&lt;"&amp;CONCATENATE($N$6,"/",B48),Proventos!$J:$J,"="&amp;$H$2),
AND($H$2=Data!$A$7,$K$2=Data!$A$2),SUMIFS(Proventos!$H:$H,Proventos!$D:$D,"&gt;="&amp;CONCATENATE($M$6,"/",B48),Proventos!$D:$D,"&lt;"&amp;CONCATENATE($N$6,"/",B48),Proventos!$J:$J,"="&amp;$H$2),
AND($H$2=Data!$A$8,$K$2=Data!$A$2),SUMIFS(Proventos!$H:$H,Proventos!$D:$D,"&gt;="&amp;CONCATENATE($M$6,"/",B48),Proventos!$D:$D,"&lt;"&amp;CONCATENATE($N$6,"/",B48),Proventos!$J:$J,"="&amp;$H$2),
AND($H$2=Data!$A$9,$K$2=Data!$A$2),SUMIFS(Proventos!$H:$H,Proventos!$D:$D,"&gt;="&amp;CONCATENATE($M$6,"/",B48),Proventos!$D:$D,"&lt;"&amp;CONCATENATE($N$6,"/",B48),Proventos!$J:$J,"="&amp;$H$2),
AND($H$2=Data!$A$10,$K$2=Data!$A$2),SUMIFS(Proventos!$H:$H,Proventos!$D:$D,"&gt;="&amp;CONCATENATE($M$6,"/",B48),Proventos!$D:$D,"&lt;"&amp;CONCATENATE($N$6,"/",B48),Proventos!$J:$J,"="&amp;$H$2),
AND($H$2=Data!$A$11,$K$2=Data!$A$2),SUMIFS(Proventos!$H:$H,Proventos!$D:$D,"&gt;="&amp;CONCATENATE($M$6,"/",B48),Proventos!$D:$D,"&lt;"&amp;CONCATENATE($N$6,"/",B48),Proventos!$J:$J,"="&amp;$H$2),
$K$2=Data!$A$2,SUMIFS(Proventos!$H:$H,Proventos!$D:$D,"&gt;="&amp;CONCATENATE($M$6,"/",B48),Proventos!$D:$D,"&lt;"&amp;CONCATENATE($N$6,"/",B48)),
$K$2&lt;&gt;Data!$A$2,SUMIFS(Proventos!$H:$H,Proventos!$D:$D,"&gt;="&amp;CONCATENATE($M$6,"/",B48),Proventos!$D:$D,"&lt;"&amp;CONCATENATE($N$6,"/",B48),Proventos!$A:$A,"="&amp;$K$2))</f>
        <v>0</v>
      </c>
      <c r="N48" s="245">
        <f>IFS(
AND($H$2=Data!$A$3,$K$2=Data!$A$2),SUMIFS(Proventos!$H:$H,Proventos!$D:$D,"&gt;="&amp;CONCATENATE($N$6,"/",B48),Proventos!$D:$D,"&lt;"&amp;CONCATENATE($C$6,"/",B49),Proventos!$J:$J,"="&amp;$H$2),
AND($H$2=Data!$A$4,$K$2=Data!$A$2),SUMIFS(Proventos!$H:$H,Proventos!$D:$D,"&gt;="&amp;CONCATENATE($N$6,"/",B48),Proventos!$D:$D,"&lt;"&amp;CONCATENATE($C$6,"/",B49),Proventos!$J:$J,"="&amp;$H$2),
AND($H$2=Data!$A$5,$K$2=Data!$A$2),SUMIFS(Proventos!$H:$H,Proventos!$D:$D,"&gt;="&amp;CONCATENATE($N$6,"/",B48),Proventos!$D:$D,"&lt;"&amp;CONCATENATE($C$6,"/",B49),Proventos!$J:$J,"="&amp;$H$2),
AND($H$2=Data!$A$6,$K$2=Data!$A$2),SUMIFS(Proventos!$H:$H,Proventos!$D:$D,"&gt;="&amp;CONCATENATE($N$6,"/",B48),Proventos!$D:$D,"&lt;"&amp;CONCATENATE($C$6,"/",B49),Proventos!$J:$J,"="&amp;$H$2),
AND($H$2=Data!$A$7,$K$2=Data!$A$2),SUMIFS(Proventos!$H:$H,Proventos!$D:$D,"&gt;="&amp;CONCATENATE($N$6,"/",B48),Proventos!$D:$D,"&lt;"&amp;CONCATENATE($C$6,"/",B49),Proventos!$J:$J,"="&amp;$H$2),
AND($H$2=Data!$A$8,$K$2=Data!$A$2),SUMIFS(Proventos!$H:$H,Proventos!$D:$D,"&gt;="&amp;CONCATENATE($N$6,"/",B48),Proventos!$D:$D,"&lt;"&amp;CONCATENATE($C$6,"/",B49),Proventos!$J:$J,"="&amp;$H$2),
AND($H$2=Data!$A$9,$K$2=Data!$A$2),SUMIFS(Proventos!$H:$H,Proventos!$D:$D,"&gt;="&amp;CONCATENATE($N$6,"/",B48),Proventos!$D:$D,"&lt;"&amp;CONCATENATE($C$6,"/",B49),Proventos!$J:$J,"="&amp;$H$2),
AND($H$2=Data!$A$10,$K$2=Data!$A$2),SUMIFS(Proventos!$H:$H,Proventos!$D:$D,"&gt;="&amp;CONCATENATE($N$6,"/",B48),Proventos!$D:$D,"&lt;"&amp;CONCATENATE($C$6,"/",B49),Proventos!$J:$J,"="&amp;$H$2),
AND($H$2=Data!$A$11,$K$2=Data!$A$2),SUMIFS(Proventos!$H:$H,Proventos!$D:$D,"&gt;="&amp;CONCATENATE($N$6,"/",B48),Proventos!$D:$D,"&lt;"&amp;CONCATENATE($C$6,"/",B49),Proventos!$J:$J,"="&amp;$H$2),
$K$2=Data!$A$2,SUMIFS(Proventos!$H:$H,Proventos!$D:$D,"&gt;="&amp;CONCATENATE($N$6,"/",B48),Proventos!$D:$D,"&lt;"&amp;CONCATENATE($C$6,"/",B49)),
$K$2&lt;&gt;Data!$A$2,SUMIFS(Proventos!$H:$H,Proventos!$D:$D,"&gt;="&amp;CONCATENATE($N$6,"/",B48),Proventos!$D:$D,"&lt;"&amp;CONCATENATE($C$6,"/",B49),Proventos!$A:$A,"="&amp;$K$2))</f>
        <v>0</v>
      </c>
      <c r="O48" s="245"/>
      <c r="P48" s="245">
        <f t="shared" si="1"/>
        <v>0</v>
      </c>
      <c r="Q48" s="245">
        <f t="shared" si="2"/>
        <v>0</v>
      </c>
    </row>
    <row r="49" ht="32.25" customHeight="1">
      <c r="A49" s="230"/>
      <c r="B49" s="244"/>
      <c r="C49" s="245">
        <f>IFS(
AND($H$2=Data!$A$3,$K$2=Data!$A$2),SUMIFS(Proventos!$H:$H,Proventos!$D:$D,"&gt;="&amp;CONCATENATE($C$6,"/",B49),Proventos!$D:$D,"&lt;"&amp;CONCATENATE($D$6,"/",B49),Proventos!$J:$J,"="&amp;$H$2),
AND($H$2=Data!$A$4,$K$2=Data!$A$2),SUMIFS(Proventos!$H:$H,Proventos!$D:$D,"&gt;="&amp;CONCATENATE($C$6,"/",B49),Proventos!$D:$D,"&lt;"&amp;CONCATENATE($D$6,"/",B49),Proventos!$J:$J,"="&amp;$H$2),
AND($H$2=Data!$A$5,$K$2=Data!$A$2),SUMIFS(Proventos!$H:$H,Proventos!$D:$D,"&gt;="&amp;CONCATENATE($C$6,"/",B49),Proventos!$D:$D,"&lt;"&amp;CONCATENATE($D$6,"/",B49),Proventos!$J:$J,"="&amp;$H$2),
AND($H$2=Data!$A$6,$K$2=Data!$A$2),SUMIFS(Proventos!$H:$H,Proventos!$D:$D,"&gt;="&amp;CONCATENATE($C$6,"/",B49),Proventos!$D:$D,"&lt;"&amp;CONCATENATE($D$6,"/",B49),Proventos!$J:$J,"="&amp;$H$2),
AND($H$2=Data!$A$7,$K$2=Data!$A$2),SUMIFS(Proventos!$H:$H,Proventos!$D:$D,"&gt;="&amp;CONCATENATE($C$6,"/",B49),Proventos!$D:$D,"&lt;"&amp;CONCATENATE($D$6,"/",B49),Proventos!$J:$J,"="&amp;$H$2),
AND($H$2=Data!$A$8,$K$2=Data!$A$2),SUMIFS(Proventos!$H:$H,Proventos!$D:$D,"&gt;="&amp;CONCATENATE($C$6,"/",B49),Proventos!$D:$D,"&lt;"&amp;CONCATENATE($D$6,"/",B49),Proventos!$J:$J,"="&amp;$H$2),
AND($H$2=Data!$A$9,$K$2=Data!$A$2),SUMIFS(Proventos!$H:$H,Proventos!$D:$D,"&gt;="&amp;CONCATENATE($C$6,"/",B49),Proventos!$D:$D,"&lt;"&amp;CONCATENATE($D$6,"/",B49),Proventos!$J:$J,"="&amp;$H$2),
AND($H$2=Data!$A$10,$K$2=Data!$A$2),SUMIFS(Proventos!$H:$H,Proventos!$D:$D,"&gt;="&amp;CONCATENATE($C$6,"/",B49),Proventos!$D:$D,"&lt;"&amp;CONCATENATE($D$6,"/",B49),Proventos!$J:$J,"="&amp;$H$2),
AND($H$2=Data!$A$11,$K$2=Data!$A$2),SUMIFS(Proventos!$H:$H,Proventos!$D:$D,"&gt;="&amp;CONCATENATE($C$6,"/",B49),Proventos!$D:$D,"&lt;"&amp;CONCATENATE($D$6,"/",B49),Proventos!$J:$J,"="&amp;$H$2),
$K$2=Data!$A$2,SUMIFS(Proventos!$H:$H,Proventos!$D:$D,"&gt;="&amp;CONCATENATE($C$6,"/",B49),Proventos!$D:$D,"&lt;"&amp;CONCATENATE($D$6,"/",B49)),
$K$2&lt;&gt;Data!$A$2,SUMIFS(Proventos!$H:$H,Proventos!$D:$D,"&gt;="&amp;CONCATENATE($C$6,"/",B49),Proventos!$D:$D,"&lt;"&amp;CONCATENATE($D$6,"/",B49),Proventos!$A:$A,"="&amp;$K$2))</f>
        <v>0</v>
      </c>
      <c r="D49" s="245">
        <f>IFS(
AND($H$2=Data!$A$3,$K$2=Data!$A$2),SUMIFS(Proventos!$H:$H,Proventos!$D:$D,"&gt;="&amp;CONCATENATE($D$6,"/",B49),Proventos!$D:$D,"&lt;"&amp;CONCATENATE($E$6,"/",B49),Proventos!$J:$J,"="&amp;$H$2),
AND($H$2=Data!$A$4,$K$2=Data!$A$2),SUMIFS(Proventos!$H:$H,Proventos!$D:$D,"&gt;="&amp;CONCATENATE($D$6,"/",B49),Proventos!$D:$D,"&lt;"&amp;CONCATENATE($E$6,"/",B49),Proventos!$J:$J,"="&amp;$H$2),
AND($H$2=Data!$A$5,$K$2=Data!$A$2),SUMIFS(Proventos!$H:$H,Proventos!$D:$D,"&gt;="&amp;CONCATENATE($D$6,"/",B49),Proventos!$D:$D,"&lt;"&amp;CONCATENATE($E$6,"/",B49),Proventos!$J:$J,"="&amp;$H$2),
AND($H$2=Data!$A$6,$K$2=Data!$A$2),SUMIFS(Proventos!$H:$H,Proventos!$D:$D,"&gt;="&amp;CONCATENATE($D$6,"/",B49),Proventos!$D:$D,"&lt;"&amp;CONCATENATE($E$6,"/",B49),Proventos!$J:$J,"="&amp;$H$2),
AND($H$2=Data!$A$7,$K$2=Data!$A$2),SUMIFS(Proventos!$H:$H,Proventos!$D:$D,"&gt;="&amp;CONCATENATE($D$6,"/",B49),Proventos!$D:$D,"&lt;"&amp;CONCATENATE($E$6,"/",B49),Proventos!$J:$J,"="&amp;$H$2),
AND($H$2=Data!$A$8,$K$2=Data!$A$2),SUMIFS(Proventos!$H:$H,Proventos!$D:$D,"&gt;="&amp;CONCATENATE($D$6,"/",B49),Proventos!$D:$D,"&lt;"&amp;CONCATENATE($E$6,"/",B49),Proventos!$J:$J,"="&amp;$H$2),
AND($H$2=Data!$A$9,$K$2=Data!$A$2),SUMIFS(Proventos!$H:$H,Proventos!$D:$D,"&gt;="&amp;CONCATENATE($D$6,"/",B49),Proventos!$D:$D,"&lt;"&amp;CONCATENATE($E$6,"/",B49),Proventos!$J:$J,"="&amp;$H$2),
AND($H$2=Data!$A$10,$K$2=Data!$A$2),SUMIFS(Proventos!$H:$H,Proventos!$D:$D,"&gt;="&amp;CONCATENATE($D$6,"/",B49),Proventos!$D:$D,"&lt;"&amp;CONCATENATE($E$6,"/",B49),Proventos!$J:$J,"="&amp;$H$2),
AND($H$2=Data!$A$11,$K$2=Data!$A$2),SUMIFS(Proventos!$H:$H,Proventos!$D:$D,"&gt;="&amp;CONCATENATE($D$6,"/",B49),Proventos!$D:$D,"&lt;"&amp;CONCATENATE($E$6,"/",B49),Proventos!$J:$J,"="&amp;$H$2),
$K$2=Data!$A$2,SUMIFS(Proventos!$H:$H,Proventos!$D:$D,"&gt;="&amp;CONCATENATE($D$6,"/",B49),Proventos!$D:$D,"&lt;"&amp;CONCATENATE($E$6,"/",B49)),
$K$2&lt;&gt;Data!$A$2,SUMIFS(Proventos!$H:$H,Proventos!$D:$D,"&gt;="&amp;CONCATENATE($D$6,"/",B49),Proventos!$D:$D,"&lt;"&amp;CONCATENATE($E$6,"/",B49),Proventos!$A:$A,"="&amp;$K$2))</f>
        <v>0</v>
      </c>
      <c r="E49" s="245">
        <f>IFS(
AND($H$2=Data!$A$3,$K$2=Data!$A$2),SUMIFS(Proventos!$H:$H,Proventos!$D:$D,"&gt;="&amp;CONCATENATE($E$6,"/",B49),Proventos!$D:$D,"&lt;"&amp;CONCATENATE($F$6,"/",B49),Proventos!$J:$J,"="&amp;$H$2),
AND($H$2=Data!$A$4,$K$2=Data!$A$2),SUMIFS(Proventos!$H:$H,Proventos!$D:$D,"&gt;="&amp;CONCATENATE($E$6,"/",B49),Proventos!$D:$D,"&lt;"&amp;CONCATENATE($F$6,"/",B49),Proventos!$J:$J,"="&amp;$H$2),
AND($H$2=Data!$A$5,$K$2=Data!$A$2),SUMIFS(Proventos!$H:$H,Proventos!$D:$D,"&gt;="&amp;CONCATENATE($E$6,"/",B49),Proventos!$D:$D,"&lt;"&amp;CONCATENATE($F$6,"/",B49),Proventos!$J:$J,"="&amp;$H$2),
AND($H$2=Data!$A$6,$K$2=Data!$A$2),SUMIFS(Proventos!$H:$H,Proventos!$D:$D,"&gt;="&amp;CONCATENATE($E$6,"/",B49),Proventos!$D:$D,"&lt;"&amp;CONCATENATE($F$6,"/",B49),Proventos!$J:$J,"="&amp;$H$2),
AND($H$2=Data!$A$7,$K$2=Data!$A$2),SUMIFS(Proventos!$H:$H,Proventos!$D:$D,"&gt;="&amp;CONCATENATE($E$6,"/",B49),Proventos!$D:$D,"&lt;"&amp;CONCATENATE($F$6,"/",B49),Proventos!$J:$J,"="&amp;$H$2),
AND($H$2=Data!$A$8,$K$2=Data!$A$2),SUMIFS(Proventos!$H:$H,Proventos!$D:$D,"&gt;="&amp;CONCATENATE($E$6,"/",B49),Proventos!$D:$D,"&lt;"&amp;CONCATENATE($F$6,"/",B49),Proventos!$J:$J,"="&amp;$H$2),
AND($H$2=Data!$A$9,$K$2=Data!$A$2),SUMIFS(Proventos!$H:$H,Proventos!$D:$D,"&gt;="&amp;CONCATENATE($E$6,"/",B49),Proventos!$D:$D,"&lt;"&amp;CONCATENATE($F$6,"/",B49),Proventos!$J:$J,"="&amp;$H$2),
AND($H$2=Data!$A$10,$K$2=Data!$A$2),SUMIFS(Proventos!$H:$H,Proventos!$D:$D,"&gt;="&amp;CONCATENATE($E$6,"/",B49),Proventos!$D:$D,"&lt;"&amp;CONCATENATE($F$6,"/",B49),Proventos!$J:$J,"="&amp;$H$2),
AND($H$2=Data!$A$11,$K$2=Data!$A$2),SUMIFS(Proventos!$H:$H,Proventos!$D:$D,"&gt;="&amp;CONCATENATE($E$6,"/",B49),Proventos!$D:$D,"&lt;"&amp;CONCATENATE($F$6,"/",B49),Proventos!$J:$J,"="&amp;$H$2),
$K$2=Data!$A$2,SUMIFS(Proventos!$H:$H,Proventos!$D:$D,"&gt;="&amp;CONCATENATE($E$6,"/",B49),Proventos!$D:$D,"&lt;"&amp;CONCATENATE($F$6,"/",B49)),
$K$2&lt;&gt;Data!$A$2,SUMIFS(Proventos!$H:$H,Proventos!$D:$D,"&gt;="&amp;CONCATENATE($E$6,"/",B49),Proventos!$D:$D,"&lt;"&amp;CONCATENATE($F$6,"/",B49),Proventos!$A:$A,"="&amp;$K$2))</f>
        <v>0</v>
      </c>
      <c r="F49" s="245">
        <f>IFS(
AND($H$2=Data!$A$3,$K$2=Data!$A$2),SUMIFS(Proventos!$H:$H,Proventos!$D:$D,"&gt;="&amp;CONCATENATE($F$6,"/",B49),Proventos!$D:$D,"&lt;"&amp;CONCATENATE($G$6,"/",B49),Proventos!$J:$J,"="&amp;$H$2),
AND($H$2=Data!$A$4,$K$2=Data!$A$2),SUMIFS(Proventos!$H:$H,Proventos!$D:$D,"&gt;="&amp;CONCATENATE($F$6,"/",B49),Proventos!$D:$D,"&lt;"&amp;CONCATENATE($G$6,"/",B49),Proventos!$J:$J,"="&amp;$H$2),
AND($H$2=Data!$A$5,$K$2=Data!$A$2),SUMIFS(Proventos!$H:$H,Proventos!$D:$D,"&gt;="&amp;CONCATENATE($F$6,"/",B49),Proventos!$D:$D,"&lt;"&amp;CONCATENATE($G$6,"/",B49),Proventos!$J:$J,"="&amp;$H$2),
AND($H$2=Data!$A$6,$K$2=Data!$A$2),SUMIFS(Proventos!$H:$H,Proventos!$D:$D,"&gt;="&amp;CONCATENATE($F$6,"/",B49),Proventos!$D:$D,"&lt;"&amp;CONCATENATE($G$6,"/",B49),Proventos!$J:$J,"="&amp;$H$2),
AND($H$2=Data!$A$7,$K$2=Data!$A$2),SUMIFS(Proventos!$H:$H,Proventos!$D:$D,"&gt;="&amp;CONCATENATE($F$6,"/",B49),Proventos!$D:$D,"&lt;"&amp;CONCATENATE($G$6,"/",B49),Proventos!$J:$J,"="&amp;$H$2),
AND($H$2=Data!$A$8,$K$2=Data!$A$2),SUMIFS(Proventos!$H:$H,Proventos!$D:$D,"&gt;="&amp;CONCATENATE($F$6,"/",B49),Proventos!$D:$D,"&lt;"&amp;CONCATENATE($G$6,"/",B49),Proventos!$J:$J,"="&amp;$H$2),
AND($H$2=Data!$A$9,$K$2=Data!$A$2),SUMIFS(Proventos!$H:$H,Proventos!$D:$D,"&gt;="&amp;CONCATENATE($F$6,"/",B49),Proventos!$D:$D,"&lt;"&amp;CONCATENATE($G$6,"/",B49),Proventos!$J:$J,"="&amp;$H$2),
AND($H$2=Data!$A$10,$K$2=Data!$A$2),SUMIFS(Proventos!$H:$H,Proventos!$D:$D,"&gt;="&amp;CONCATENATE($F$6,"/",B49),Proventos!$D:$D,"&lt;"&amp;CONCATENATE($G$6,"/",B49),Proventos!$J:$J,"="&amp;$H$2),
AND($H$2=Data!$A$11,$K$2=Data!$A$2),SUMIFS(Proventos!$H:$H,Proventos!$D:$D,"&gt;="&amp;CONCATENATE($F$6,"/",B49),Proventos!$D:$D,"&lt;"&amp;CONCATENATE($G$6,"/",B49),Proventos!$J:$J,"="&amp;$H$2),
$K$2=Data!$A$2,SUMIFS(Proventos!$H:$H,Proventos!$D:$D,"&gt;="&amp;CONCATENATE($F$6,"/",B49),Proventos!$D:$D,"&lt;"&amp;CONCATENATE($G$6,"/",B49)),
$K$2&lt;&gt;Data!$A$2,SUMIFS(Proventos!$H:$H,Proventos!$D:$D,"&gt;="&amp;CONCATENATE($F$6,"/",B49),Proventos!$D:$D,"&lt;"&amp;CONCATENATE($G$6,"/",B49),Proventos!$A:$A,"="&amp;$K$2))</f>
        <v>0</v>
      </c>
      <c r="G49" s="245">
        <f>IFS(
AND($H$2=Data!$A$3,$K$2=Data!$A$2),SUMIFS(Proventos!$H:$H,Proventos!$D:$D,"&gt;="&amp;CONCATENATE($G$6,"/",B49),Proventos!$D:$D,"&lt;"&amp;CONCATENATE($H$6,"/",B49),Proventos!$J:$J,"="&amp;$H$2),
AND($H$2=Data!$A$4,$K$2=Data!$A$2),SUMIFS(Proventos!$H:$H,Proventos!$D:$D,"&gt;="&amp;CONCATENATE($G$6,"/",B49),Proventos!$D:$D,"&lt;"&amp;CONCATENATE($H$6,"/",B49),Proventos!$J:$J,"="&amp;$H$2),
AND($H$2=Data!$A$5,$K$2=Data!$A$2),SUMIFS(Proventos!$H:$H,Proventos!$D:$D,"&gt;="&amp;CONCATENATE($G$6,"/",B49),Proventos!$D:$D,"&lt;"&amp;CONCATENATE($H$6,"/",B49),Proventos!$J:$J,"="&amp;$H$2),
AND($H$2=Data!$A$6,$K$2=Data!$A$2),SUMIFS(Proventos!$H:$H,Proventos!$D:$D,"&gt;="&amp;CONCATENATE($G$6,"/",B49),Proventos!$D:$D,"&lt;"&amp;CONCATENATE($H$6,"/",B49),Proventos!$J:$J,"="&amp;$H$2),
AND($H$2=Data!$A$7,$K$2=Data!$A$2),SUMIFS(Proventos!$H:$H,Proventos!$D:$D,"&gt;="&amp;CONCATENATE($G$6,"/",B49),Proventos!$D:$D,"&lt;"&amp;CONCATENATE($H$6,"/",B49),Proventos!$J:$J,"="&amp;$H$2),
AND($H$2=Data!$A$8,$K$2=Data!$A$2),SUMIFS(Proventos!$H:$H,Proventos!$D:$D,"&gt;="&amp;CONCATENATE($G$6,"/",B49),Proventos!$D:$D,"&lt;"&amp;CONCATENATE($H$6,"/",B49),Proventos!$J:$J,"="&amp;$H$2),
AND($H$2=Data!$A$9,$K$2=Data!$A$2),SUMIFS(Proventos!$H:$H,Proventos!$D:$D,"&gt;="&amp;CONCATENATE($G$6,"/",B49),Proventos!$D:$D,"&lt;"&amp;CONCATENATE($H$6,"/",B49),Proventos!$J:$J,"="&amp;$H$2),
AND($H$2=Data!$A$10,$K$2=Data!$A$2),SUMIFS(Proventos!$H:$H,Proventos!$D:$D,"&gt;="&amp;CONCATENATE($G$6,"/",B49),Proventos!$D:$D,"&lt;"&amp;CONCATENATE($H$6,"/",B49),Proventos!$J:$J,"="&amp;$H$2),
AND($H$2=Data!$A$11,$K$2=Data!$A$2),SUMIFS(Proventos!$H:$H,Proventos!$D:$D,"&gt;="&amp;CONCATENATE($G$6,"/",B49),Proventos!$D:$D,"&lt;"&amp;CONCATENATE($H$6,"/",B49),Proventos!$J:$J,"="&amp;$H$2),
$K$2=Data!$A$2,SUMIFS(Proventos!$H:$H,Proventos!$D:$D,"&gt;="&amp;CONCATENATE($G$6,"/",B49),Proventos!$D:$D,"&lt;"&amp;CONCATENATE($H$6,"/",B49)),
$K$2&lt;&gt;Data!$A$2,SUMIFS(Proventos!$H:$H,Proventos!$D:$D,"&gt;="&amp;CONCATENATE($G$6,"/",B49),Proventos!$D:$D,"&lt;"&amp;CONCATENATE($H$6,"/",B49),Proventos!$A:$A,"="&amp;$K$2))</f>
        <v>0</v>
      </c>
      <c r="H49" s="245">
        <f>IFS(
AND($H$2=Data!$A$3,$K$2=Data!$A$2),SUMIFS(Proventos!$H:$H,Proventos!$D:$D,"&gt;="&amp;CONCATENATE($H$6,"/",B49),Proventos!$D:$D,"&lt;"&amp;CONCATENATE($I$6,"/",B49),Proventos!$J:$J,"="&amp;$H$2),
AND($H$2=Data!$A$4,$K$2=Data!$A$2),SUMIFS(Proventos!$H:$H,Proventos!$D:$D,"&gt;="&amp;CONCATENATE($H$6,"/",B49),Proventos!$D:$D,"&lt;"&amp;CONCATENATE($I$6,"/",B49),Proventos!$J:$J,"="&amp;$H$2),
AND($H$2=Data!$A$5,$K$2=Data!$A$2),SUMIFS(Proventos!$H:$H,Proventos!$D:$D,"&gt;="&amp;CONCATENATE($H$6,"/",B49),Proventos!$D:$D,"&lt;"&amp;CONCATENATE($I$6,"/",B49),Proventos!$J:$J,"="&amp;$H$2),
AND($H$2=Data!$A$6,$K$2=Data!$A$2),SUMIFS(Proventos!$H:$H,Proventos!$D:$D,"&gt;="&amp;CONCATENATE($H$6,"/",B49),Proventos!$D:$D,"&lt;"&amp;CONCATENATE($I$6,"/",B49),Proventos!$J:$J,"="&amp;$H$2),
AND($H$2=Data!$A$7,$K$2=Data!$A$2),SUMIFS(Proventos!$H:$H,Proventos!$D:$D,"&gt;="&amp;CONCATENATE($H$6,"/",B49),Proventos!$D:$D,"&lt;"&amp;CONCATENATE($I$6,"/",B49),Proventos!$J:$J,"="&amp;$H$2),
AND($H$2=Data!$A$8,$K$2=Data!$A$2),SUMIFS(Proventos!$H:$H,Proventos!$D:$D,"&gt;="&amp;CONCATENATE($H$6,"/",B49),Proventos!$D:$D,"&lt;"&amp;CONCATENATE($I$6,"/",B49),Proventos!$J:$J,"="&amp;$H$2),
AND($H$2=Data!$A$9,$K$2=Data!$A$2),SUMIFS(Proventos!$H:$H,Proventos!$D:$D,"&gt;="&amp;CONCATENATE($H$6,"/",B49),Proventos!$D:$D,"&lt;"&amp;CONCATENATE($I$6,"/",B49),Proventos!$J:$J,"="&amp;$H$2),
AND($H$2=Data!$A$10,$K$2=Data!$A$2),SUMIFS(Proventos!$H:$H,Proventos!$D:$D,"&gt;="&amp;CONCATENATE($H$6,"/",B49),Proventos!$D:$D,"&lt;"&amp;CONCATENATE($I$6,"/",B49),Proventos!$J:$J,"="&amp;$H$2),
AND($H$2=Data!$A$11,$K$2=Data!$A$2),SUMIFS(Proventos!$H:$H,Proventos!$D:$D,"&gt;="&amp;CONCATENATE($H$6,"/",B49),Proventos!$D:$D,"&lt;"&amp;CONCATENATE($I$6,"/",B49),Proventos!$J:$J,"="&amp;$H$2),
$K$2=Data!$A$2,SUMIFS(Proventos!$H:$H,Proventos!$D:$D,"&gt;="&amp;CONCATENATE($H$6,"/",B49),Proventos!$D:$D,"&lt;"&amp;CONCATENATE($I$6,"/",B49)),
$K$2&lt;&gt;Data!$A$2,SUMIFS(Proventos!$H:$H,Proventos!$D:$D,"&gt;="&amp;CONCATENATE($H$6,"/",B49),Proventos!$D:$D,"&lt;"&amp;CONCATENATE($I$6,"/",B49),Proventos!$A:$A,"="&amp;$K$2))</f>
        <v>0</v>
      </c>
      <c r="I49" s="245">
        <f>IFS(
AND($H$2=Data!$A$3,$K$2=Data!$A$2),SUMIFS(Proventos!$H:$H,Proventos!$D:$D,"&gt;="&amp;CONCATENATE($I$6,"/",B49),Proventos!$D:$D,"&lt;"&amp;CONCATENATE($J$6,"/",B49),Proventos!$J:$J,"="&amp;$H$2),
AND($H$2=Data!$A$4,$K$2=Data!$A$2),SUMIFS(Proventos!$H:$H,Proventos!$D:$D,"&gt;="&amp;CONCATENATE($I$6,"/",B49),Proventos!$D:$D,"&lt;"&amp;CONCATENATE($J$6,"/",B49),Proventos!$J:$J,"="&amp;$H$2),
AND($H$2=Data!$A$5,$K$2=Data!$A$2),SUMIFS(Proventos!$H:$H,Proventos!$D:$D,"&gt;="&amp;CONCATENATE($I$6,"/",B49),Proventos!$D:$D,"&lt;"&amp;CONCATENATE($J$6,"/",B49),Proventos!$J:$J,"="&amp;$H$2),
AND($H$2=Data!$A$6,$K$2=Data!$A$2),SUMIFS(Proventos!$H:$H,Proventos!$D:$D,"&gt;="&amp;CONCATENATE($I$6,"/",B49),Proventos!$D:$D,"&lt;"&amp;CONCATENATE($J$6,"/",B49),Proventos!$J:$J,"="&amp;$H$2),
AND($H$2=Data!$A$7,$K$2=Data!$A$2),SUMIFS(Proventos!$H:$H,Proventos!$D:$D,"&gt;="&amp;CONCATENATE($I$6,"/",B49),Proventos!$D:$D,"&lt;"&amp;CONCATENATE($J$6,"/",B49),Proventos!$J:$J,"="&amp;$H$2),
AND($H$2=Data!$A$8,$K$2=Data!$A$2),SUMIFS(Proventos!$H:$H,Proventos!$D:$D,"&gt;="&amp;CONCATENATE($I$6,"/",B49),Proventos!$D:$D,"&lt;"&amp;CONCATENATE($J$6,"/",B49),Proventos!$J:$J,"="&amp;$H$2),
AND($H$2=Data!$A$9,$K$2=Data!$A$2),SUMIFS(Proventos!$H:$H,Proventos!$D:$D,"&gt;="&amp;CONCATENATE($I$6,"/",B49),Proventos!$D:$D,"&lt;"&amp;CONCATENATE($J$6,"/",B49),Proventos!$J:$J,"="&amp;$H$2),
AND($H$2=Data!$A$10,$K$2=Data!$A$2),SUMIFS(Proventos!$H:$H,Proventos!$D:$D,"&gt;="&amp;CONCATENATE($I$6,"/",B49),Proventos!$D:$D,"&lt;"&amp;CONCATENATE($J$6,"/",B49),Proventos!$J:$J,"="&amp;$H$2),
AND($H$2=Data!$A$11,$K$2=Data!$A$2),SUMIFS(Proventos!$H:$H,Proventos!$D:$D,"&gt;="&amp;CONCATENATE($I$6,"/",B49),Proventos!$D:$D,"&lt;"&amp;CONCATENATE($J$6,"/",B49),Proventos!$J:$J,"="&amp;$H$2),
$K$2=Data!$A$2,SUMIFS(Proventos!$H:$H,Proventos!$D:$D,"&gt;="&amp;CONCATENATE($I$6,"/",B49),Proventos!$D:$D,"&lt;"&amp;CONCATENATE($J$6,"/",B49)),
$K$2&lt;&gt;Data!$A$2,SUMIFS(Proventos!$H:$H,Proventos!$D:$D,"&gt;="&amp;CONCATENATE($I$6,"/",B49),Proventos!$D:$D,"&lt;"&amp;CONCATENATE($J$6,"/",B49),Proventos!$A:$A,"="&amp;$K$2))</f>
        <v>0</v>
      </c>
      <c r="J49" s="245">
        <f>IFS(
AND($H$2=Data!$A$3,$K$2=Data!$A$2),SUMIFS(Proventos!$H:$H,Proventos!$D:$D,"&gt;="&amp;CONCATENATE($J$6,"/",B49),Proventos!$D:$D,"&lt;"&amp;CONCATENATE($K$6,"/",B49),Proventos!$J:$J,"="&amp;$H$2),
AND($H$2=Data!$A$4,$K$2=Data!$A$2),SUMIFS(Proventos!$H:$H,Proventos!$D:$D,"&gt;="&amp;CONCATENATE($J$6,"/",B49),Proventos!$D:$D,"&lt;"&amp;CONCATENATE($K$6,"/",B49),Proventos!$J:$J,"="&amp;$H$2),
AND($H$2=Data!$A$5,$K$2=Data!$A$2),SUMIFS(Proventos!$H:$H,Proventos!$D:$D,"&gt;="&amp;CONCATENATE($J$6,"/",B49),Proventos!$D:$D,"&lt;"&amp;CONCATENATE($K$6,"/",B49),Proventos!$J:$J,"="&amp;$H$2),
AND($H$2=Data!$A$6,$K$2=Data!$A$2),SUMIFS(Proventos!$H:$H,Proventos!$D:$D,"&gt;="&amp;CONCATENATE($J$6,"/",B49),Proventos!$D:$D,"&lt;"&amp;CONCATENATE($K$6,"/",B49),Proventos!$J:$J,"="&amp;$H$2),
AND($H$2=Data!$A$7,$K$2=Data!$A$2),SUMIFS(Proventos!$H:$H,Proventos!$D:$D,"&gt;="&amp;CONCATENATE($J$6,"/",B49),Proventos!$D:$D,"&lt;"&amp;CONCATENATE($K$6,"/",B49),Proventos!$J:$J,"="&amp;$H$2),
AND($H$2=Data!$A$8,$K$2=Data!$A$2),SUMIFS(Proventos!$H:$H,Proventos!$D:$D,"&gt;="&amp;CONCATENATE($J$6,"/",B49),Proventos!$D:$D,"&lt;"&amp;CONCATENATE($K$6,"/",B49),Proventos!$J:$J,"="&amp;$H$2),
AND($H$2=Data!$A$9,$K$2=Data!$A$2),SUMIFS(Proventos!$H:$H,Proventos!$D:$D,"&gt;="&amp;CONCATENATE($J$6,"/",B49),Proventos!$D:$D,"&lt;"&amp;CONCATENATE($K$6,"/",B49),Proventos!$J:$J,"="&amp;$H$2),
AND($H$2=Data!$A$10,$K$2=Data!$A$2),SUMIFS(Proventos!$H:$H,Proventos!$D:$D,"&gt;="&amp;CONCATENATE($J$6,"/",B49),Proventos!$D:$D,"&lt;"&amp;CONCATENATE($K$6,"/",B49),Proventos!$J:$J,"="&amp;$H$2),
AND($H$2=Data!$A$11,$K$2=Data!$A$2),SUMIFS(Proventos!$H:$H,Proventos!$D:$D,"&gt;="&amp;CONCATENATE($J$6,"/",B49),Proventos!$D:$D,"&lt;"&amp;CONCATENATE($K$6,"/",B49),Proventos!$J:$J,"="&amp;$H$2),
$K$2=Data!$A$2,SUMIFS(Proventos!$H:$H,Proventos!$D:$D,"&gt;="&amp;CONCATENATE($J$6,"/",B49),Proventos!$D:$D,"&lt;"&amp;CONCATENATE($K$6,"/",B49)),
$K$2&lt;&gt;Data!$A$2,SUMIFS(Proventos!$H:$H,Proventos!$D:$D,"&gt;="&amp;CONCATENATE($J$6,"/",B49),Proventos!$D:$D,"&lt;"&amp;CONCATENATE($K$6,"/",B49),Proventos!$A:$A,"="&amp;$K$2))</f>
        <v>0</v>
      </c>
      <c r="K49" s="245">
        <f>IFS(
AND($H$2=Data!$A$3,$K$2=Data!$A$2),SUMIFS(Proventos!$H:$H,Proventos!$D:$D,"&gt;="&amp;CONCATENATE($K$6,"/",B49),Proventos!$D:$D,"&lt;"&amp;CONCATENATE($L$6,"/",B49),Proventos!$J:$J,"="&amp;$H$2),
AND($H$2=Data!$A$4,$K$2=Data!$A$2),SUMIFS(Proventos!$H:$H,Proventos!$D:$D,"&gt;="&amp;CONCATENATE($K$6,"/",B49),Proventos!$D:$D,"&lt;"&amp;CONCATENATE($L$6,"/",B49),Proventos!$J:$J,"="&amp;$H$2),
AND($H$2=Data!$A$5,$K$2=Data!$A$2),SUMIFS(Proventos!$H:$H,Proventos!$D:$D,"&gt;="&amp;CONCATENATE($K$6,"/",B49),Proventos!$D:$D,"&lt;"&amp;CONCATENATE($L$6,"/",B49),Proventos!$J:$J,"="&amp;$H$2),
AND($H$2=Data!$A$6,$K$2=Data!$A$2),SUMIFS(Proventos!$H:$H,Proventos!$D:$D,"&gt;="&amp;CONCATENATE($K$6,"/",B49),Proventos!$D:$D,"&lt;"&amp;CONCATENATE($L$6,"/",B49),Proventos!$J:$J,"="&amp;$H$2),
AND($H$2=Data!$A$7,$K$2=Data!$A$2),SUMIFS(Proventos!$H:$H,Proventos!$D:$D,"&gt;="&amp;CONCATENATE($K$6,"/",B49),Proventos!$D:$D,"&lt;"&amp;CONCATENATE($L$6,"/",B49),Proventos!$J:$J,"="&amp;$H$2),
AND($H$2=Data!$A$8,$K$2=Data!$A$2),SUMIFS(Proventos!$H:$H,Proventos!$D:$D,"&gt;="&amp;CONCATENATE($K$6,"/",B49),Proventos!$D:$D,"&lt;"&amp;CONCATENATE($L$6,"/",B49),Proventos!$J:$J,"="&amp;$H$2),
AND($H$2=Data!$A$9,$K$2=Data!$A$2),SUMIFS(Proventos!$H:$H,Proventos!$D:$D,"&gt;="&amp;CONCATENATE($K$6,"/",B49),Proventos!$D:$D,"&lt;"&amp;CONCATENATE($L$6,"/",B49),Proventos!$J:$J,"="&amp;$H$2),
AND($H$2=Data!$A$10,$K$2=Data!$A$2),SUMIFS(Proventos!$H:$H,Proventos!$D:$D,"&gt;="&amp;CONCATENATE($K$6,"/",B49),Proventos!$D:$D,"&lt;"&amp;CONCATENATE($L$6,"/",B49),Proventos!$J:$J,"="&amp;$H$2),
AND($H$2=Data!$A$11,$K$2=Data!$A$2),SUMIFS(Proventos!$H:$H,Proventos!$D:$D,"&gt;="&amp;CONCATENATE($K$6,"/",B49),Proventos!$D:$D,"&lt;"&amp;CONCATENATE($L$6,"/",B49),Proventos!$J:$J,"="&amp;$H$2),
$K$2=Data!$A$2,SUMIFS(Proventos!$H:$H,Proventos!$D:$D,"&gt;="&amp;CONCATENATE($K$6,"/",B49),Proventos!$D:$D,"&lt;"&amp;CONCATENATE($L$6,"/",B49)),
$K$2&lt;&gt;Data!$A$2,SUMIFS(Proventos!$H:$H,Proventos!$D:$D,"&gt;="&amp;CONCATENATE($K$6,"/",B49),Proventos!$D:$D,"&lt;"&amp;CONCATENATE($L$6,"/",B49),Proventos!$A:$A,"="&amp;$K$2))</f>
        <v>0</v>
      </c>
      <c r="L49" s="245">
        <f>IFS(
AND($H$2=Data!$A$3,$K$2=Data!$A$2),SUMIFS(Proventos!$H:$H,Proventos!$D:$D,"&gt;="&amp;CONCATENATE($L$6,"/",B49),Proventos!$D:$D,"&lt;"&amp;CONCATENATE($M$6,"/",B49),Proventos!$J:$J,"="&amp;$H$2),
AND($H$2=Data!$A$4,$K$2=Data!$A$2),SUMIFS(Proventos!$H:$H,Proventos!$D:$D,"&gt;="&amp;CONCATENATE($L$6,"/",B49),Proventos!$D:$D,"&lt;"&amp;CONCATENATE($M$6,"/",B49),Proventos!$J:$J,"="&amp;$H$2),
AND($H$2=Data!$A$5,$K$2=Data!$A$2),SUMIFS(Proventos!$H:$H,Proventos!$D:$D,"&gt;="&amp;CONCATENATE($L$6,"/",B49),Proventos!$D:$D,"&lt;"&amp;CONCATENATE($M$6,"/",B49),Proventos!$J:$J,"="&amp;$H$2),
AND($H$2=Data!$A$6,$K$2=Data!$A$2),SUMIFS(Proventos!$H:$H,Proventos!$D:$D,"&gt;="&amp;CONCATENATE($L$6,"/",B49),Proventos!$D:$D,"&lt;"&amp;CONCATENATE($M$6,"/",B49),Proventos!$J:$J,"="&amp;$H$2),
AND($H$2=Data!$A$7,$K$2=Data!$A$2),SUMIFS(Proventos!$H:$H,Proventos!$D:$D,"&gt;="&amp;CONCATENATE($L$6,"/",B49),Proventos!$D:$D,"&lt;"&amp;CONCATENATE($M$6,"/",B49),Proventos!$J:$J,"="&amp;$H$2),
AND($H$2=Data!$A$8,$K$2=Data!$A$2),SUMIFS(Proventos!$H:$H,Proventos!$D:$D,"&gt;="&amp;CONCATENATE($L$6,"/",B49),Proventos!$D:$D,"&lt;"&amp;CONCATENATE($M$6,"/",B49),Proventos!$J:$J,"="&amp;$H$2),
AND($H$2=Data!$A$9,$K$2=Data!$A$2),SUMIFS(Proventos!$H:$H,Proventos!$D:$D,"&gt;="&amp;CONCATENATE($L$6,"/",B49),Proventos!$D:$D,"&lt;"&amp;CONCATENATE($M$6,"/",B49),Proventos!$J:$J,"="&amp;$H$2),
AND($H$2=Data!$A$10,$K$2=Data!$A$2),SUMIFS(Proventos!$H:$H,Proventos!$D:$D,"&gt;="&amp;CONCATENATE($L$6,"/",B49),Proventos!$D:$D,"&lt;"&amp;CONCATENATE($M$6,"/",B49),Proventos!$J:$J,"="&amp;$H$2),
AND($H$2=Data!$A$11,$K$2=Data!$A$2),SUMIFS(Proventos!$H:$H,Proventos!$D:$D,"&gt;="&amp;CONCATENATE($L$6,"/",B49),Proventos!$D:$D,"&lt;"&amp;CONCATENATE($M$6,"/",B49),Proventos!$J:$J,"="&amp;$H$2),
$K$2=Data!$A$2,SUMIFS(Proventos!$H:$H,Proventos!$D:$D,"&gt;="&amp;CONCATENATE($L$6,"/",B49),Proventos!$D:$D,"&lt;"&amp;CONCATENATE($M$6,"/",B49)),
$K$2&lt;&gt;Data!$A$2,SUMIFS(Proventos!$H:$H,Proventos!$D:$D,"&gt;="&amp;CONCATENATE($L$6,"/",B49),Proventos!$D:$D,"&lt;"&amp;CONCATENATE($M$6,"/",B49),Proventos!$A:$A,"="&amp;$K$2))</f>
        <v>0</v>
      </c>
      <c r="M49" s="245">
        <f>IFS(
AND($H$2=Data!$A$3,$K$2=Data!$A$2),SUMIFS(Proventos!$H:$H,Proventos!$D:$D,"&gt;="&amp;CONCATENATE($M$6,"/",B49),Proventos!$D:$D,"&lt;"&amp;CONCATENATE($N$6,"/",B49),Proventos!$J:$J,"="&amp;$H$2),
AND($H$2=Data!$A$4,$K$2=Data!$A$2),SUMIFS(Proventos!$H:$H,Proventos!$D:$D,"&gt;="&amp;CONCATENATE($M$6,"/",B49),Proventos!$D:$D,"&lt;"&amp;CONCATENATE($N$6,"/",B49),Proventos!$J:$J,"="&amp;$H$2),
AND($H$2=Data!$A$5,$K$2=Data!$A$2),SUMIFS(Proventos!$H:$H,Proventos!$D:$D,"&gt;="&amp;CONCATENATE($M$6,"/",B49),Proventos!$D:$D,"&lt;"&amp;CONCATENATE($N$6,"/",B49),Proventos!$J:$J,"="&amp;$H$2),
AND($H$2=Data!$A$6,$K$2=Data!$A$2),SUMIFS(Proventos!$H:$H,Proventos!$D:$D,"&gt;="&amp;CONCATENATE($M$6,"/",B49),Proventos!$D:$D,"&lt;"&amp;CONCATENATE($N$6,"/",B49),Proventos!$J:$J,"="&amp;$H$2),
AND($H$2=Data!$A$7,$K$2=Data!$A$2),SUMIFS(Proventos!$H:$H,Proventos!$D:$D,"&gt;="&amp;CONCATENATE($M$6,"/",B49),Proventos!$D:$D,"&lt;"&amp;CONCATENATE($N$6,"/",B49),Proventos!$J:$J,"="&amp;$H$2),
AND($H$2=Data!$A$8,$K$2=Data!$A$2),SUMIFS(Proventos!$H:$H,Proventos!$D:$D,"&gt;="&amp;CONCATENATE($M$6,"/",B49),Proventos!$D:$D,"&lt;"&amp;CONCATENATE($N$6,"/",B49),Proventos!$J:$J,"="&amp;$H$2),
AND($H$2=Data!$A$9,$K$2=Data!$A$2),SUMIFS(Proventos!$H:$H,Proventos!$D:$D,"&gt;="&amp;CONCATENATE($M$6,"/",B49),Proventos!$D:$D,"&lt;"&amp;CONCATENATE($N$6,"/",B49),Proventos!$J:$J,"="&amp;$H$2),
AND($H$2=Data!$A$10,$K$2=Data!$A$2),SUMIFS(Proventos!$H:$H,Proventos!$D:$D,"&gt;="&amp;CONCATENATE($M$6,"/",B49),Proventos!$D:$D,"&lt;"&amp;CONCATENATE($N$6,"/",B49),Proventos!$J:$J,"="&amp;$H$2),
AND($H$2=Data!$A$11,$K$2=Data!$A$2),SUMIFS(Proventos!$H:$H,Proventos!$D:$D,"&gt;="&amp;CONCATENATE($M$6,"/",B49),Proventos!$D:$D,"&lt;"&amp;CONCATENATE($N$6,"/",B49),Proventos!$J:$J,"="&amp;$H$2),
$K$2=Data!$A$2,SUMIFS(Proventos!$H:$H,Proventos!$D:$D,"&gt;="&amp;CONCATENATE($M$6,"/",B49),Proventos!$D:$D,"&lt;"&amp;CONCATENATE($N$6,"/",B49)),
$K$2&lt;&gt;Data!$A$2,SUMIFS(Proventos!$H:$H,Proventos!$D:$D,"&gt;="&amp;CONCATENATE($M$6,"/",B49),Proventos!$D:$D,"&lt;"&amp;CONCATENATE($N$6,"/",B49),Proventos!$A:$A,"="&amp;$K$2))</f>
        <v>0</v>
      </c>
      <c r="N49" s="245">
        <f>IFS(
AND($H$2=Data!$A$3,$K$2=Data!$A$2),SUMIFS(Proventos!$H:$H,Proventos!$D:$D,"&gt;="&amp;CONCATENATE($N$6,"/",B49),Proventos!$D:$D,"&lt;"&amp;CONCATENATE($C$6,"/",B50),Proventos!$J:$J,"="&amp;$H$2),
AND($H$2=Data!$A$4,$K$2=Data!$A$2),SUMIFS(Proventos!$H:$H,Proventos!$D:$D,"&gt;="&amp;CONCATENATE($N$6,"/",B49),Proventos!$D:$D,"&lt;"&amp;CONCATENATE($C$6,"/",B50),Proventos!$J:$J,"="&amp;$H$2),
AND($H$2=Data!$A$5,$K$2=Data!$A$2),SUMIFS(Proventos!$H:$H,Proventos!$D:$D,"&gt;="&amp;CONCATENATE($N$6,"/",B49),Proventos!$D:$D,"&lt;"&amp;CONCATENATE($C$6,"/",B50),Proventos!$J:$J,"="&amp;$H$2),
AND($H$2=Data!$A$6,$K$2=Data!$A$2),SUMIFS(Proventos!$H:$H,Proventos!$D:$D,"&gt;="&amp;CONCATENATE($N$6,"/",B49),Proventos!$D:$D,"&lt;"&amp;CONCATENATE($C$6,"/",B50),Proventos!$J:$J,"="&amp;$H$2),
AND($H$2=Data!$A$7,$K$2=Data!$A$2),SUMIFS(Proventos!$H:$H,Proventos!$D:$D,"&gt;="&amp;CONCATENATE($N$6,"/",B49),Proventos!$D:$D,"&lt;"&amp;CONCATENATE($C$6,"/",B50),Proventos!$J:$J,"="&amp;$H$2),
AND($H$2=Data!$A$8,$K$2=Data!$A$2),SUMIFS(Proventos!$H:$H,Proventos!$D:$D,"&gt;="&amp;CONCATENATE($N$6,"/",B49),Proventos!$D:$D,"&lt;"&amp;CONCATENATE($C$6,"/",B50),Proventos!$J:$J,"="&amp;$H$2),
AND($H$2=Data!$A$9,$K$2=Data!$A$2),SUMIFS(Proventos!$H:$H,Proventos!$D:$D,"&gt;="&amp;CONCATENATE($N$6,"/",B49),Proventos!$D:$D,"&lt;"&amp;CONCATENATE($C$6,"/",B50),Proventos!$J:$J,"="&amp;$H$2),
AND($H$2=Data!$A$10,$K$2=Data!$A$2),SUMIFS(Proventos!$H:$H,Proventos!$D:$D,"&gt;="&amp;CONCATENATE($N$6,"/",B49),Proventos!$D:$D,"&lt;"&amp;CONCATENATE($C$6,"/",B50),Proventos!$J:$J,"="&amp;$H$2),
AND($H$2=Data!$A$11,$K$2=Data!$A$2),SUMIFS(Proventos!$H:$H,Proventos!$D:$D,"&gt;="&amp;CONCATENATE($N$6,"/",B49),Proventos!$D:$D,"&lt;"&amp;CONCATENATE($C$6,"/",B50),Proventos!$J:$J,"="&amp;$H$2),
$K$2=Data!$A$2,SUMIFS(Proventos!$H:$H,Proventos!$D:$D,"&gt;="&amp;CONCATENATE($N$6,"/",B49),Proventos!$D:$D,"&lt;"&amp;CONCATENATE($C$6,"/",B50)),
$K$2&lt;&gt;Data!$A$2,SUMIFS(Proventos!$H:$H,Proventos!$D:$D,"&gt;="&amp;CONCATENATE($N$6,"/",B49),Proventos!$D:$D,"&lt;"&amp;CONCATENATE($C$6,"/",B50),Proventos!$A:$A,"="&amp;$K$2))</f>
        <v>0</v>
      </c>
      <c r="O49" s="245"/>
      <c r="P49" s="245">
        <f t="shared" si="1"/>
        <v>0</v>
      </c>
      <c r="Q49" s="245">
        <f t="shared" si="2"/>
        <v>0</v>
      </c>
    </row>
    <row r="50" ht="32.25" customHeight="1">
      <c r="A50" s="230"/>
      <c r="B50" s="244"/>
      <c r="C50" s="245">
        <f>IFS(
AND($H$2=Data!$A$3,$K$2=Data!$A$2),SUMIFS(Proventos!$H:$H,Proventos!$D:$D,"&gt;="&amp;CONCATENATE($C$6,"/",B50),Proventos!$D:$D,"&lt;"&amp;CONCATENATE($D$6,"/",B50),Proventos!$J:$J,"="&amp;$H$2),
AND($H$2=Data!$A$4,$K$2=Data!$A$2),SUMIFS(Proventos!$H:$H,Proventos!$D:$D,"&gt;="&amp;CONCATENATE($C$6,"/",B50),Proventos!$D:$D,"&lt;"&amp;CONCATENATE($D$6,"/",B50),Proventos!$J:$J,"="&amp;$H$2),
AND($H$2=Data!$A$5,$K$2=Data!$A$2),SUMIFS(Proventos!$H:$H,Proventos!$D:$D,"&gt;="&amp;CONCATENATE($C$6,"/",B50),Proventos!$D:$D,"&lt;"&amp;CONCATENATE($D$6,"/",B50),Proventos!$J:$J,"="&amp;$H$2),
AND($H$2=Data!$A$6,$K$2=Data!$A$2),SUMIFS(Proventos!$H:$H,Proventos!$D:$D,"&gt;="&amp;CONCATENATE($C$6,"/",B50),Proventos!$D:$D,"&lt;"&amp;CONCATENATE($D$6,"/",B50),Proventos!$J:$J,"="&amp;$H$2),
AND($H$2=Data!$A$7,$K$2=Data!$A$2),SUMIFS(Proventos!$H:$H,Proventos!$D:$D,"&gt;="&amp;CONCATENATE($C$6,"/",B50),Proventos!$D:$D,"&lt;"&amp;CONCATENATE($D$6,"/",B50),Proventos!$J:$J,"="&amp;$H$2),
AND($H$2=Data!$A$8,$K$2=Data!$A$2),SUMIFS(Proventos!$H:$H,Proventos!$D:$D,"&gt;="&amp;CONCATENATE($C$6,"/",B50),Proventos!$D:$D,"&lt;"&amp;CONCATENATE($D$6,"/",B50),Proventos!$J:$J,"="&amp;$H$2),
AND($H$2=Data!$A$9,$K$2=Data!$A$2),SUMIFS(Proventos!$H:$H,Proventos!$D:$D,"&gt;="&amp;CONCATENATE($C$6,"/",B50),Proventos!$D:$D,"&lt;"&amp;CONCATENATE($D$6,"/",B50),Proventos!$J:$J,"="&amp;$H$2),
AND($H$2=Data!$A$10,$K$2=Data!$A$2),SUMIFS(Proventos!$H:$H,Proventos!$D:$D,"&gt;="&amp;CONCATENATE($C$6,"/",B50),Proventos!$D:$D,"&lt;"&amp;CONCATENATE($D$6,"/",B50),Proventos!$J:$J,"="&amp;$H$2),
AND($H$2=Data!$A$11,$K$2=Data!$A$2),SUMIFS(Proventos!$H:$H,Proventos!$D:$D,"&gt;="&amp;CONCATENATE($C$6,"/",B50),Proventos!$D:$D,"&lt;"&amp;CONCATENATE($D$6,"/",B50),Proventos!$J:$J,"="&amp;$H$2),
$K$2=Data!$A$2,SUMIFS(Proventos!$H:$H,Proventos!$D:$D,"&gt;="&amp;CONCATENATE($C$6,"/",B50),Proventos!$D:$D,"&lt;"&amp;CONCATENATE($D$6,"/",B50)),
$K$2&lt;&gt;Data!$A$2,SUMIFS(Proventos!$H:$H,Proventos!$D:$D,"&gt;="&amp;CONCATENATE($C$6,"/",B50),Proventos!$D:$D,"&lt;"&amp;CONCATENATE($D$6,"/",B50),Proventos!$A:$A,"="&amp;$K$2))</f>
        <v>0</v>
      </c>
      <c r="D50" s="245">
        <f>IFS(
AND($H$2=Data!$A$3,$K$2=Data!$A$2),SUMIFS(Proventos!$H:$H,Proventos!$D:$D,"&gt;="&amp;CONCATENATE($D$6,"/",B50),Proventos!$D:$D,"&lt;"&amp;CONCATENATE($E$6,"/",B50),Proventos!$J:$J,"="&amp;$H$2),
AND($H$2=Data!$A$4,$K$2=Data!$A$2),SUMIFS(Proventos!$H:$H,Proventos!$D:$D,"&gt;="&amp;CONCATENATE($D$6,"/",B50),Proventos!$D:$D,"&lt;"&amp;CONCATENATE($E$6,"/",B50),Proventos!$J:$J,"="&amp;$H$2),
AND($H$2=Data!$A$5,$K$2=Data!$A$2),SUMIFS(Proventos!$H:$H,Proventos!$D:$D,"&gt;="&amp;CONCATENATE($D$6,"/",B50),Proventos!$D:$D,"&lt;"&amp;CONCATENATE($E$6,"/",B50),Proventos!$J:$J,"="&amp;$H$2),
AND($H$2=Data!$A$6,$K$2=Data!$A$2),SUMIFS(Proventos!$H:$H,Proventos!$D:$D,"&gt;="&amp;CONCATENATE($D$6,"/",B50),Proventos!$D:$D,"&lt;"&amp;CONCATENATE($E$6,"/",B50),Proventos!$J:$J,"="&amp;$H$2),
AND($H$2=Data!$A$7,$K$2=Data!$A$2),SUMIFS(Proventos!$H:$H,Proventos!$D:$D,"&gt;="&amp;CONCATENATE($D$6,"/",B50),Proventos!$D:$D,"&lt;"&amp;CONCATENATE($E$6,"/",B50),Proventos!$J:$J,"="&amp;$H$2),
AND($H$2=Data!$A$8,$K$2=Data!$A$2),SUMIFS(Proventos!$H:$H,Proventos!$D:$D,"&gt;="&amp;CONCATENATE($D$6,"/",B50),Proventos!$D:$D,"&lt;"&amp;CONCATENATE($E$6,"/",B50),Proventos!$J:$J,"="&amp;$H$2),
AND($H$2=Data!$A$9,$K$2=Data!$A$2),SUMIFS(Proventos!$H:$H,Proventos!$D:$D,"&gt;="&amp;CONCATENATE($D$6,"/",B50),Proventos!$D:$D,"&lt;"&amp;CONCATENATE($E$6,"/",B50),Proventos!$J:$J,"="&amp;$H$2),
AND($H$2=Data!$A$10,$K$2=Data!$A$2),SUMIFS(Proventos!$H:$H,Proventos!$D:$D,"&gt;="&amp;CONCATENATE($D$6,"/",B50),Proventos!$D:$D,"&lt;"&amp;CONCATENATE($E$6,"/",B50),Proventos!$J:$J,"="&amp;$H$2),
AND($H$2=Data!$A$11,$K$2=Data!$A$2),SUMIFS(Proventos!$H:$H,Proventos!$D:$D,"&gt;="&amp;CONCATENATE($D$6,"/",B50),Proventos!$D:$D,"&lt;"&amp;CONCATENATE($E$6,"/",B50),Proventos!$J:$J,"="&amp;$H$2),
$K$2=Data!$A$2,SUMIFS(Proventos!$H:$H,Proventos!$D:$D,"&gt;="&amp;CONCATENATE($D$6,"/",B50),Proventos!$D:$D,"&lt;"&amp;CONCATENATE($E$6,"/",B50)),
$K$2&lt;&gt;Data!$A$2,SUMIFS(Proventos!$H:$H,Proventos!$D:$D,"&gt;="&amp;CONCATENATE($D$6,"/",B50),Proventos!$D:$D,"&lt;"&amp;CONCATENATE($E$6,"/",B50),Proventos!$A:$A,"="&amp;$K$2))</f>
        <v>0</v>
      </c>
      <c r="E50" s="245">
        <f>IFS(
AND($H$2=Data!$A$3,$K$2=Data!$A$2),SUMIFS(Proventos!$H:$H,Proventos!$D:$D,"&gt;="&amp;CONCATENATE($E$6,"/",B50),Proventos!$D:$D,"&lt;"&amp;CONCATENATE($F$6,"/",B50),Proventos!$J:$J,"="&amp;$H$2),
AND($H$2=Data!$A$4,$K$2=Data!$A$2),SUMIFS(Proventos!$H:$H,Proventos!$D:$D,"&gt;="&amp;CONCATENATE($E$6,"/",B50),Proventos!$D:$D,"&lt;"&amp;CONCATENATE($F$6,"/",B50),Proventos!$J:$J,"="&amp;$H$2),
AND($H$2=Data!$A$5,$K$2=Data!$A$2),SUMIFS(Proventos!$H:$H,Proventos!$D:$D,"&gt;="&amp;CONCATENATE($E$6,"/",B50),Proventos!$D:$D,"&lt;"&amp;CONCATENATE($F$6,"/",B50),Proventos!$J:$J,"="&amp;$H$2),
AND($H$2=Data!$A$6,$K$2=Data!$A$2),SUMIFS(Proventos!$H:$H,Proventos!$D:$D,"&gt;="&amp;CONCATENATE($E$6,"/",B50),Proventos!$D:$D,"&lt;"&amp;CONCATENATE($F$6,"/",B50),Proventos!$J:$J,"="&amp;$H$2),
AND($H$2=Data!$A$7,$K$2=Data!$A$2),SUMIFS(Proventos!$H:$H,Proventos!$D:$D,"&gt;="&amp;CONCATENATE($E$6,"/",B50),Proventos!$D:$D,"&lt;"&amp;CONCATENATE($F$6,"/",B50),Proventos!$J:$J,"="&amp;$H$2),
AND($H$2=Data!$A$8,$K$2=Data!$A$2),SUMIFS(Proventos!$H:$H,Proventos!$D:$D,"&gt;="&amp;CONCATENATE($E$6,"/",B50),Proventos!$D:$D,"&lt;"&amp;CONCATENATE($F$6,"/",B50),Proventos!$J:$J,"="&amp;$H$2),
AND($H$2=Data!$A$9,$K$2=Data!$A$2),SUMIFS(Proventos!$H:$H,Proventos!$D:$D,"&gt;="&amp;CONCATENATE($E$6,"/",B50),Proventos!$D:$D,"&lt;"&amp;CONCATENATE($F$6,"/",B50),Proventos!$J:$J,"="&amp;$H$2),
AND($H$2=Data!$A$10,$K$2=Data!$A$2),SUMIFS(Proventos!$H:$H,Proventos!$D:$D,"&gt;="&amp;CONCATENATE($E$6,"/",B50),Proventos!$D:$D,"&lt;"&amp;CONCATENATE($F$6,"/",B50),Proventos!$J:$J,"="&amp;$H$2),
AND($H$2=Data!$A$11,$K$2=Data!$A$2),SUMIFS(Proventos!$H:$H,Proventos!$D:$D,"&gt;="&amp;CONCATENATE($E$6,"/",B50),Proventos!$D:$D,"&lt;"&amp;CONCATENATE($F$6,"/",B50),Proventos!$J:$J,"="&amp;$H$2),
$K$2=Data!$A$2,SUMIFS(Proventos!$H:$H,Proventos!$D:$D,"&gt;="&amp;CONCATENATE($E$6,"/",B50),Proventos!$D:$D,"&lt;"&amp;CONCATENATE($F$6,"/",B50)),
$K$2&lt;&gt;Data!$A$2,SUMIFS(Proventos!$H:$H,Proventos!$D:$D,"&gt;="&amp;CONCATENATE($E$6,"/",B50),Proventos!$D:$D,"&lt;"&amp;CONCATENATE($F$6,"/",B50),Proventos!$A:$A,"="&amp;$K$2))</f>
        <v>0</v>
      </c>
      <c r="F50" s="245">
        <f>IFS(
AND($H$2=Data!$A$3,$K$2=Data!$A$2),SUMIFS(Proventos!$H:$H,Proventos!$D:$D,"&gt;="&amp;CONCATENATE($F$6,"/",B50),Proventos!$D:$D,"&lt;"&amp;CONCATENATE($G$6,"/",B50),Proventos!$J:$J,"="&amp;$H$2),
AND($H$2=Data!$A$4,$K$2=Data!$A$2),SUMIFS(Proventos!$H:$H,Proventos!$D:$D,"&gt;="&amp;CONCATENATE($F$6,"/",B50),Proventos!$D:$D,"&lt;"&amp;CONCATENATE($G$6,"/",B50),Proventos!$J:$J,"="&amp;$H$2),
AND($H$2=Data!$A$5,$K$2=Data!$A$2),SUMIFS(Proventos!$H:$H,Proventos!$D:$D,"&gt;="&amp;CONCATENATE($F$6,"/",B50),Proventos!$D:$D,"&lt;"&amp;CONCATENATE($G$6,"/",B50),Proventos!$J:$J,"="&amp;$H$2),
AND($H$2=Data!$A$6,$K$2=Data!$A$2),SUMIFS(Proventos!$H:$H,Proventos!$D:$D,"&gt;="&amp;CONCATENATE($F$6,"/",B50),Proventos!$D:$D,"&lt;"&amp;CONCATENATE($G$6,"/",B50),Proventos!$J:$J,"="&amp;$H$2),
AND($H$2=Data!$A$7,$K$2=Data!$A$2),SUMIFS(Proventos!$H:$H,Proventos!$D:$D,"&gt;="&amp;CONCATENATE($F$6,"/",B50),Proventos!$D:$D,"&lt;"&amp;CONCATENATE($G$6,"/",B50),Proventos!$J:$J,"="&amp;$H$2),
AND($H$2=Data!$A$8,$K$2=Data!$A$2),SUMIFS(Proventos!$H:$H,Proventos!$D:$D,"&gt;="&amp;CONCATENATE($F$6,"/",B50),Proventos!$D:$D,"&lt;"&amp;CONCATENATE($G$6,"/",B50),Proventos!$J:$J,"="&amp;$H$2),
AND($H$2=Data!$A$9,$K$2=Data!$A$2),SUMIFS(Proventos!$H:$H,Proventos!$D:$D,"&gt;="&amp;CONCATENATE($F$6,"/",B50),Proventos!$D:$D,"&lt;"&amp;CONCATENATE($G$6,"/",B50),Proventos!$J:$J,"="&amp;$H$2),
AND($H$2=Data!$A$10,$K$2=Data!$A$2),SUMIFS(Proventos!$H:$H,Proventos!$D:$D,"&gt;="&amp;CONCATENATE($F$6,"/",B50),Proventos!$D:$D,"&lt;"&amp;CONCATENATE($G$6,"/",B50),Proventos!$J:$J,"="&amp;$H$2),
AND($H$2=Data!$A$11,$K$2=Data!$A$2),SUMIFS(Proventos!$H:$H,Proventos!$D:$D,"&gt;="&amp;CONCATENATE($F$6,"/",B50),Proventos!$D:$D,"&lt;"&amp;CONCATENATE($G$6,"/",B50),Proventos!$J:$J,"="&amp;$H$2),
$K$2=Data!$A$2,SUMIFS(Proventos!$H:$H,Proventos!$D:$D,"&gt;="&amp;CONCATENATE($F$6,"/",B50),Proventos!$D:$D,"&lt;"&amp;CONCATENATE($G$6,"/",B50)),
$K$2&lt;&gt;Data!$A$2,SUMIFS(Proventos!$H:$H,Proventos!$D:$D,"&gt;="&amp;CONCATENATE($F$6,"/",B50),Proventos!$D:$D,"&lt;"&amp;CONCATENATE($G$6,"/",B50),Proventos!$A:$A,"="&amp;$K$2))</f>
        <v>0</v>
      </c>
      <c r="G50" s="245">
        <f>IFS(
AND($H$2=Data!$A$3,$K$2=Data!$A$2),SUMIFS(Proventos!$H:$H,Proventos!$D:$D,"&gt;="&amp;CONCATENATE($G$6,"/",B50),Proventos!$D:$D,"&lt;"&amp;CONCATENATE($H$6,"/",B50),Proventos!$J:$J,"="&amp;$H$2),
AND($H$2=Data!$A$4,$K$2=Data!$A$2),SUMIFS(Proventos!$H:$H,Proventos!$D:$D,"&gt;="&amp;CONCATENATE($G$6,"/",B50),Proventos!$D:$D,"&lt;"&amp;CONCATENATE($H$6,"/",B50),Proventos!$J:$J,"="&amp;$H$2),
AND($H$2=Data!$A$5,$K$2=Data!$A$2),SUMIFS(Proventos!$H:$H,Proventos!$D:$D,"&gt;="&amp;CONCATENATE($G$6,"/",B50),Proventos!$D:$D,"&lt;"&amp;CONCATENATE($H$6,"/",B50),Proventos!$J:$J,"="&amp;$H$2),
AND($H$2=Data!$A$6,$K$2=Data!$A$2),SUMIFS(Proventos!$H:$H,Proventos!$D:$D,"&gt;="&amp;CONCATENATE($G$6,"/",B50),Proventos!$D:$D,"&lt;"&amp;CONCATENATE($H$6,"/",B50),Proventos!$J:$J,"="&amp;$H$2),
AND($H$2=Data!$A$7,$K$2=Data!$A$2),SUMIFS(Proventos!$H:$H,Proventos!$D:$D,"&gt;="&amp;CONCATENATE($G$6,"/",B50),Proventos!$D:$D,"&lt;"&amp;CONCATENATE($H$6,"/",B50),Proventos!$J:$J,"="&amp;$H$2),
AND($H$2=Data!$A$8,$K$2=Data!$A$2),SUMIFS(Proventos!$H:$H,Proventos!$D:$D,"&gt;="&amp;CONCATENATE($G$6,"/",B50),Proventos!$D:$D,"&lt;"&amp;CONCATENATE($H$6,"/",B50),Proventos!$J:$J,"="&amp;$H$2),
AND($H$2=Data!$A$9,$K$2=Data!$A$2),SUMIFS(Proventos!$H:$H,Proventos!$D:$D,"&gt;="&amp;CONCATENATE($G$6,"/",B50),Proventos!$D:$D,"&lt;"&amp;CONCATENATE($H$6,"/",B50),Proventos!$J:$J,"="&amp;$H$2),
AND($H$2=Data!$A$10,$K$2=Data!$A$2),SUMIFS(Proventos!$H:$H,Proventos!$D:$D,"&gt;="&amp;CONCATENATE($G$6,"/",B50),Proventos!$D:$D,"&lt;"&amp;CONCATENATE($H$6,"/",B50),Proventos!$J:$J,"="&amp;$H$2),
AND($H$2=Data!$A$11,$K$2=Data!$A$2),SUMIFS(Proventos!$H:$H,Proventos!$D:$D,"&gt;="&amp;CONCATENATE($G$6,"/",B50),Proventos!$D:$D,"&lt;"&amp;CONCATENATE($H$6,"/",B50),Proventos!$J:$J,"="&amp;$H$2),
$K$2=Data!$A$2,SUMIFS(Proventos!$H:$H,Proventos!$D:$D,"&gt;="&amp;CONCATENATE($G$6,"/",B50),Proventos!$D:$D,"&lt;"&amp;CONCATENATE($H$6,"/",B50)),
$K$2&lt;&gt;Data!$A$2,SUMIFS(Proventos!$H:$H,Proventos!$D:$D,"&gt;="&amp;CONCATENATE($G$6,"/",B50),Proventos!$D:$D,"&lt;"&amp;CONCATENATE($H$6,"/",B50),Proventos!$A:$A,"="&amp;$K$2))</f>
        <v>0</v>
      </c>
      <c r="H50" s="245">
        <f>IFS(
AND($H$2=Data!$A$3,$K$2=Data!$A$2),SUMIFS(Proventos!$H:$H,Proventos!$D:$D,"&gt;="&amp;CONCATENATE($H$6,"/",B50),Proventos!$D:$D,"&lt;"&amp;CONCATENATE($I$6,"/",B50),Proventos!$J:$J,"="&amp;$H$2),
AND($H$2=Data!$A$4,$K$2=Data!$A$2),SUMIFS(Proventos!$H:$H,Proventos!$D:$D,"&gt;="&amp;CONCATENATE($H$6,"/",B50),Proventos!$D:$D,"&lt;"&amp;CONCATENATE($I$6,"/",B50),Proventos!$J:$J,"="&amp;$H$2),
AND($H$2=Data!$A$5,$K$2=Data!$A$2),SUMIFS(Proventos!$H:$H,Proventos!$D:$D,"&gt;="&amp;CONCATENATE($H$6,"/",B50),Proventos!$D:$D,"&lt;"&amp;CONCATENATE($I$6,"/",B50),Proventos!$J:$J,"="&amp;$H$2),
AND($H$2=Data!$A$6,$K$2=Data!$A$2),SUMIFS(Proventos!$H:$H,Proventos!$D:$D,"&gt;="&amp;CONCATENATE($H$6,"/",B50),Proventos!$D:$D,"&lt;"&amp;CONCATENATE($I$6,"/",B50),Proventos!$J:$J,"="&amp;$H$2),
AND($H$2=Data!$A$7,$K$2=Data!$A$2),SUMIFS(Proventos!$H:$H,Proventos!$D:$D,"&gt;="&amp;CONCATENATE($H$6,"/",B50),Proventos!$D:$D,"&lt;"&amp;CONCATENATE($I$6,"/",B50),Proventos!$J:$J,"="&amp;$H$2),
AND($H$2=Data!$A$8,$K$2=Data!$A$2),SUMIFS(Proventos!$H:$H,Proventos!$D:$D,"&gt;="&amp;CONCATENATE($H$6,"/",B50),Proventos!$D:$D,"&lt;"&amp;CONCATENATE($I$6,"/",B50),Proventos!$J:$J,"="&amp;$H$2),
AND($H$2=Data!$A$9,$K$2=Data!$A$2),SUMIFS(Proventos!$H:$H,Proventos!$D:$D,"&gt;="&amp;CONCATENATE($H$6,"/",B50),Proventos!$D:$D,"&lt;"&amp;CONCATENATE($I$6,"/",B50),Proventos!$J:$J,"="&amp;$H$2),
AND($H$2=Data!$A$10,$K$2=Data!$A$2),SUMIFS(Proventos!$H:$H,Proventos!$D:$D,"&gt;="&amp;CONCATENATE($H$6,"/",B50),Proventos!$D:$D,"&lt;"&amp;CONCATENATE($I$6,"/",B50),Proventos!$J:$J,"="&amp;$H$2),
AND($H$2=Data!$A$11,$K$2=Data!$A$2),SUMIFS(Proventos!$H:$H,Proventos!$D:$D,"&gt;="&amp;CONCATENATE($H$6,"/",B50),Proventos!$D:$D,"&lt;"&amp;CONCATENATE($I$6,"/",B50),Proventos!$J:$J,"="&amp;$H$2),
$K$2=Data!$A$2,SUMIFS(Proventos!$H:$H,Proventos!$D:$D,"&gt;="&amp;CONCATENATE($H$6,"/",B50),Proventos!$D:$D,"&lt;"&amp;CONCATENATE($I$6,"/",B50)),
$K$2&lt;&gt;Data!$A$2,SUMIFS(Proventos!$H:$H,Proventos!$D:$D,"&gt;="&amp;CONCATENATE($H$6,"/",B50),Proventos!$D:$D,"&lt;"&amp;CONCATENATE($I$6,"/",B50),Proventos!$A:$A,"="&amp;$K$2))</f>
        <v>0</v>
      </c>
      <c r="I50" s="245">
        <f>IFS(
AND($H$2=Data!$A$3,$K$2=Data!$A$2),SUMIFS(Proventos!$H:$H,Proventos!$D:$D,"&gt;="&amp;CONCATENATE($I$6,"/",B50),Proventos!$D:$D,"&lt;"&amp;CONCATENATE($J$6,"/",B50),Proventos!$J:$J,"="&amp;$H$2),
AND($H$2=Data!$A$4,$K$2=Data!$A$2),SUMIFS(Proventos!$H:$H,Proventos!$D:$D,"&gt;="&amp;CONCATENATE($I$6,"/",B50),Proventos!$D:$D,"&lt;"&amp;CONCATENATE($J$6,"/",B50),Proventos!$J:$J,"="&amp;$H$2),
AND($H$2=Data!$A$5,$K$2=Data!$A$2),SUMIFS(Proventos!$H:$H,Proventos!$D:$D,"&gt;="&amp;CONCATENATE($I$6,"/",B50),Proventos!$D:$D,"&lt;"&amp;CONCATENATE($J$6,"/",B50),Proventos!$J:$J,"="&amp;$H$2),
AND($H$2=Data!$A$6,$K$2=Data!$A$2),SUMIFS(Proventos!$H:$H,Proventos!$D:$D,"&gt;="&amp;CONCATENATE($I$6,"/",B50),Proventos!$D:$D,"&lt;"&amp;CONCATENATE($J$6,"/",B50),Proventos!$J:$J,"="&amp;$H$2),
AND($H$2=Data!$A$7,$K$2=Data!$A$2),SUMIFS(Proventos!$H:$H,Proventos!$D:$D,"&gt;="&amp;CONCATENATE($I$6,"/",B50),Proventos!$D:$D,"&lt;"&amp;CONCATENATE($J$6,"/",B50),Proventos!$J:$J,"="&amp;$H$2),
AND($H$2=Data!$A$8,$K$2=Data!$A$2),SUMIFS(Proventos!$H:$H,Proventos!$D:$D,"&gt;="&amp;CONCATENATE($I$6,"/",B50),Proventos!$D:$D,"&lt;"&amp;CONCATENATE($J$6,"/",B50),Proventos!$J:$J,"="&amp;$H$2),
AND($H$2=Data!$A$9,$K$2=Data!$A$2),SUMIFS(Proventos!$H:$H,Proventos!$D:$D,"&gt;="&amp;CONCATENATE($I$6,"/",B50),Proventos!$D:$D,"&lt;"&amp;CONCATENATE($J$6,"/",B50),Proventos!$J:$J,"="&amp;$H$2),
AND($H$2=Data!$A$10,$K$2=Data!$A$2),SUMIFS(Proventos!$H:$H,Proventos!$D:$D,"&gt;="&amp;CONCATENATE($I$6,"/",B50),Proventos!$D:$D,"&lt;"&amp;CONCATENATE($J$6,"/",B50),Proventos!$J:$J,"="&amp;$H$2),
AND($H$2=Data!$A$11,$K$2=Data!$A$2),SUMIFS(Proventos!$H:$H,Proventos!$D:$D,"&gt;="&amp;CONCATENATE($I$6,"/",B50),Proventos!$D:$D,"&lt;"&amp;CONCATENATE($J$6,"/",B50),Proventos!$J:$J,"="&amp;$H$2),
$K$2=Data!$A$2,SUMIFS(Proventos!$H:$H,Proventos!$D:$D,"&gt;="&amp;CONCATENATE($I$6,"/",B50),Proventos!$D:$D,"&lt;"&amp;CONCATENATE($J$6,"/",B50)),
$K$2&lt;&gt;Data!$A$2,SUMIFS(Proventos!$H:$H,Proventos!$D:$D,"&gt;="&amp;CONCATENATE($I$6,"/",B50),Proventos!$D:$D,"&lt;"&amp;CONCATENATE($J$6,"/",B50),Proventos!$A:$A,"="&amp;$K$2))</f>
        <v>0</v>
      </c>
      <c r="J50" s="245">
        <f>IFS(
AND($H$2=Data!$A$3,$K$2=Data!$A$2),SUMIFS(Proventos!$H:$H,Proventos!$D:$D,"&gt;="&amp;CONCATENATE($J$6,"/",B50),Proventos!$D:$D,"&lt;"&amp;CONCATENATE($K$6,"/",B50),Proventos!$J:$J,"="&amp;$H$2),
AND($H$2=Data!$A$4,$K$2=Data!$A$2),SUMIFS(Proventos!$H:$H,Proventos!$D:$D,"&gt;="&amp;CONCATENATE($J$6,"/",B50),Proventos!$D:$D,"&lt;"&amp;CONCATENATE($K$6,"/",B50),Proventos!$J:$J,"="&amp;$H$2),
AND($H$2=Data!$A$5,$K$2=Data!$A$2),SUMIFS(Proventos!$H:$H,Proventos!$D:$D,"&gt;="&amp;CONCATENATE($J$6,"/",B50),Proventos!$D:$D,"&lt;"&amp;CONCATENATE($K$6,"/",B50),Proventos!$J:$J,"="&amp;$H$2),
AND($H$2=Data!$A$6,$K$2=Data!$A$2),SUMIFS(Proventos!$H:$H,Proventos!$D:$D,"&gt;="&amp;CONCATENATE($J$6,"/",B50),Proventos!$D:$D,"&lt;"&amp;CONCATENATE($K$6,"/",B50),Proventos!$J:$J,"="&amp;$H$2),
AND($H$2=Data!$A$7,$K$2=Data!$A$2),SUMIFS(Proventos!$H:$H,Proventos!$D:$D,"&gt;="&amp;CONCATENATE($J$6,"/",B50),Proventos!$D:$D,"&lt;"&amp;CONCATENATE($K$6,"/",B50),Proventos!$J:$J,"="&amp;$H$2),
AND($H$2=Data!$A$8,$K$2=Data!$A$2),SUMIFS(Proventos!$H:$H,Proventos!$D:$D,"&gt;="&amp;CONCATENATE($J$6,"/",B50),Proventos!$D:$D,"&lt;"&amp;CONCATENATE($K$6,"/",B50),Proventos!$J:$J,"="&amp;$H$2),
AND($H$2=Data!$A$9,$K$2=Data!$A$2),SUMIFS(Proventos!$H:$H,Proventos!$D:$D,"&gt;="&amp;CONCATENATE($J$6,"/",B50),Proventos!$D:$D,"&lt;"&amp;CONCATENATE($K$6,"/",B50),Proventos!$J:$J,"="&amp;$H$2),
AND($H$2=Data!$A$10,$K$2=Data!$A$2),SUMIFS(Proventos!$H:$H,Proventos!$D:$D,"&gt;="&amp;CONCATENATE($J$6,"/",B50),Proventos!$D:$D,"&lt;"&amp;CONCATENATE($K$6,"/",B50),Proventos!$J:$J,"="&amp;$H$2),
AND($H$2=Data!$A$11,$K$2=Data!$A$2),SUMIFS(Proventos!$H:$H,Proventos!$D:$D,"&gt;="&amp;CONCATENATE($J$6,"/",B50),Proventos!$D:$D,"&lt;"&amp;CONCATENATE($K$6,"/",B50),Proventos!$J:$J,"="&amp;$H$2),
$K$2=Data!$A$2,SUMIFS(Proventos!$H:$H,Proventos!$D:$D,"&gt;="&amp;CONCATENATE($J$6,"/",B50),Proventos!$D:$D,"&lt;"&amp;CONCATENATE($K$6,"/",B50)),
$K$2&lt;&gt;Data!$A$2,SUMIFS(Proventos!$H:$H,Proventos!$D:$D,"&gt;="&amp;CONCATENATE($J$6,"/",B50),Proventos!$D:$D,"&lt;"&amp;CONCATENATE($K$6,"/",B50),Proventos!$A:$A,"="&amp;$K$2))</f>
        <v>0</v>
      </c>
      <c r="K50" s="245">
        <f>IFS(
AND($H$2=Data!$A$3,$K$2=Data!$A$2),SUMIFS(Proventos!$H:$H,Proventos!$D:$D,"&gt;="&amp;CONCATENATE($K$6,"/",B50),Proventos!$D:$D,"&lt;"&amp;CONCATENATE($L$6,"/",B50),Proventos!$J:$J,"="&amp;$H$2),
AND($H$2=Data!$A$4,$K$2=Data!$A$2),SUMIFS(Proventos!$H:$H,Proventos!$D:$D,"&gt;="&amp;CONCATENATE($K$6,"/",B50),Proventos!$D:$D,"&lt;"&amp;CONCATENATE($L$6,"/",B50),Proventos!$J:$J,"="&amp;$H$2),
AND($H$2=Data!$A$5,$K$2=Data!$A$2),SUMIFS(Proventos!$H:$H,Proventos!$D:$D,"&gt;="&amp;CONCATENATE($K$6,"/",B50),Proventos!$D:$D,"&lt;"&amp;CONCATENATE($L$6,"/",B50),Proventos!$J:$J,"="&amp;$H$2),
AND($H$2=Data!$A$6,$K$2=Data!$A$2),SUMIFS(Proventos!$H:$H,Proventos!$D:$D,"&gt;="&amp;CONCATENATE($K$6,"/",B50),Proventos!$D:$D,"&lt;"&amp;CONCATENATE($L$6,"/",B50),Proventos!$J:$J,"="&amp;$H$2),
AND($H$2=Data!$A$7,$K$2=Data!$A$2),SUMIFS(Proventos!$H:$H,Proventos!$D:$D,"&gt;="&amp;CONCATENATE($K$6,"/",B50),Proventos!$D:$D,"&lt;"&amp;CONCATENATE($L$6,"/",B50),Proventos!$J:$J,"="&amp;$H$2),
AND($H$2=Data!$A$8,$K$2=Data!$A$2),SUMIFS(Proventos!$H:$H,Proventos!$D:$D,"&gt;="&amp;CONCATENATE($K$6,"/",B50),Proventos!$D:$D,"&lt;"&amp;CONCATENATE($L$6,"/",B50),Proventos!$J:$J,"="&amp;$H$2),
AND($H$2=Data!$A$9,$K$2=Data!$A$2),SUMIFS(Proventos!$H:$H,Proventos!$D:$D,"&gt;="&amp;CONCATENATE($K$6,"/",B50),Proventos!$D:$D,"&lt;"&amp;CONCATENATE($L$6,"/",B50),Proventos!$J:$J,"="&amp;$H$2),
AND($H$2=Data!$A$10,$K$2=Data!$A$2),SUMIFS(Proventos!$H:$H,Proventos!$D:$D,"&gt;="&amp;CONCATENATE($K$6,"/",B50),Proventos!$D:$D,"&lt;"&amp;CONCATENATE($L$6,"/",B50),Proventos!$J:$J,"="&amp;$H$2),
AND($H$2=Data!$A$11,$K$2=Data!$A$2),SUMIFS(Proventos!$H:$H,Proventos!$D:$D,"&gt;="&amp;CONCATENATE($K$6,"/",B50),Proventos!$D:$D,"&lt;"&amp;CONCATENATE($L$6,"/",B50),Proventos!$J:$J,"="&amp;$H$2),
$K$2=Data!$A$2,SUMIFS(Proventos!$H:$H,Proventos!$D:$D,"&gt;="&amp;CONCATENATE($K$6,"/",B50),Proventos!$D:$D,"&lt;"&amp;CONCATENATE($L$6,"/",B50)),
$K$2&lt;&gt;Data!$A$2,SUMIFS(Proventos!$H:$H,Proventos!$D:$D,"&gt;="&amp;CONCATENATE($K$6,"/",B50),Proventos!$D:$D,"&lt;"&amp;CONCATENATE($L$6,"/",B50),Proventos!$A:$A,"="&amp;$K$2))</f>
        <v>0</v>
      </c>
      <c r="L50" s="245">
        <f>IFS(
AND($H$2=Data!$A$3,$K$2=Data!$A$2),SUMIFS(Proventos!$H:$H,Proventos!$D:$D,"&gt;="&amp;CONCATENATE($L$6,"/",B50),Proventos!$D:$D,"&lt;"&amp;CONCATENATE($M$6,"/",B50),Proventos!$J:$J,"="&amp;$H$2),
AND($H$2=Data!$A$4,$K$2=Data!$A$2),SUMIFS(Proventos!$H:$H,Proventos!$D:$D,"&gt;="&amp;CONCATENATE($L$6,"/",B50),Proventos!$D:$D,"&lt;"&amp;CONCATENATE($M$6,"/",B50),Proventos!$J:$J,"="&amp;$H$2),
AND($H$2=Data!$A$5,$K$2=Data!$A$2),SUMIFS(Proventos!$H:$H,Proventos!$D:$D,"&gt;="&amp;CONCATENATE($L$6,"/",B50),Proventos!$D:$D,"&lt;"&amp;CONCATENATE($M$6,"/",B50),Proventos!$J:$J,"="&amp;$H$2),
AND($H$2=Data!$A$6,$K$2=Data!$A$2),SUMIFS(Proventos!$H:$H,Proventos!$D:$D,"&gt;="&amp;CONCATENATE($L$6,"/",B50),Proventos!$D:$D,"&lt;"&amp;CONCATENATE($M$6,"/",B50),Proventos!$J:$J,"="&amp;$H$2),
AND($H$2=Data!$A$7,$K$2=Data!$A$2),SUMIFS(Proventos!$H:$H,Proventos!$D:$D,"&gt;="&amp;CONCATENATE($L$6,"/",B50),Proventos!$D:$D,"&lt;"&amp;CONCATENATE($M$6,"/",B50),Proventos!$J:$J,"="&amp;$H$2),
AND($H$2=Data!$A$8,$K$2=Data!$A$2),SUMIFS(Proventos!$H:$H,Proventos!$D:$D,"&gt;="&amp;CONCATENATE($L$6,"/",B50),Proventos!$D:$D,"&lt;"&amp;CONCATENATE($M$6,"/",B50),Proventos!$J:$J,"="&amp;$H$2),
AND($H$2=Data!$A$9,$K$2=Data!$A$2),SUMIFS(Proventos!$H:$H,Proventos!$D:$D,"&gt;="&amp;CONCATENATE($L$6,"/",B50),Proventos!$D:$D,"&lt;"&amp;CONCATENATE($M$6,"/",B50),Proventos!$J:$J,"="&amp;$H$2),
AND($H$2=Data!$A$10,$K$2=Data!$A$2),SUMIFS(Proventos!$H:$H,Proventos!$D:$D,"&gt;="&amp;CONCATENATE($L$6,"/",B50),Proventos!$D:$D,"&lt;"&amp;CONCATENATE($M$6,"/",B50),Proventos!$J:$J,"="&amp;$H$2),
AND($H$2=Data!$A$11,$K$2=Data!$A$2),SUMIFS(Proventos!$H:$H,Proventos!$D:$D,"&gt;="&amp;CONCATENATE($L$6,"/",B50),Proventos!$D:$D,"&lt;"&amp;CONCATENATE($M$6,"/",B50),Proventos!$J:$J,"="&amp;$H$2),
$K$2=Data!$A$2,SUMIFS(Proventos!$H:$H,Proventos!$D:$D,"&gt;="&amp;CONCATENATE($L$6,"/",B50),Proventos!$D:$D,"&lt;"&amp;CONCATENATE($M$6,"/",B50)),
$K$2&lt;&gt;Data!$A$2,SUMIFS(Proventos!$H:$H,Proventos!$D:$D,"&gt;="&amp;CONCATENATE($L$6,"/",B50),Proventos!$D:$D,"&lt;"&amp;CONCATENATE($M$6,"/",B50),Proventos!$A:$A,"="&amp;$K$2))</f>
        <v>0</v>
      </c>
      <c r="M50" s="245">
        <f>IFS(
AND($H$2=Data!$A$3,$K$2=Data!$A$2),SUMIFS(Proventos!$H:$H,Proventos!$D:$D,"&gt;="&amp;CONCATENATE($M$6,"/",B50),Proventos!$D:$D,"&lt;"&amp;CONCATENATE($N$6,"/",B50),Proventos!$J:$J,"="&amp;$H$2),
AND($H$2=Data!$A$4,$K$2=Data!$A$2),SUMIFS(Proventos!$H:$H,Proventos!$D:$D,"&gt;="&amp;CONCATENATE($M$6,"/",B50),Proventos!$D:$D,"&lt;"&amp;CONCATENATE($N$6,"/",B50),Proventos!$J:$J,"="&amp;$H$2),
AND($H$2=Data!$A$5,$K$2=Data!$A$2),SUMIFS(Proventos!$H:$H,Proventos!$D:$D,"&gt;="&amp;CONCATENATE($M$6,"/",B50),Proventos!$D:$D,"&lt;"&amp;CONCATENATE($N$6,"/",B50),Proventos!$J:$J,"="&amp;$H$2),
AND($H$2=Data!$A$6,$K$2=Data!$A$2),SUMIFS(Proventos!$H:$H,Proventos!$D:$D,"&gt;="&amp;CONCATENATE($M$6,"/",B50),Proventos!$D:$D,"&lt;"&amp;CONCATENATE($N$6,"/",B50),Proventos!$J:$J,"="&amp;$H$2),
AND($H$2=Data!$A$7,$K$2=Data!$A$2),SUMIFS(Proventos!$H:$H,Proventos!$D:$D,"&gt;="&amp;CONCATENATE($M$6,"/",B50),Proventos!$D:$D,"&lt;"&amp;CONCATENATE($N$6,"/",B50),Proventos!$J:$J,"="&amp;$H$2),
AND($H$2=Data!$A$8,$K$2=Data!$A$2),SUMIFS(Proventos!$H:$H,Proventos!$D:$D,"&gt;="&amp;CONCATENATE($M$6,"/",B50),Proventos!$D:$D,"&lt;"&amp;CONCATENATE($N$6,"/",B50),Proventos!$J:$J,"="&amp;$H$2),
AND($H$2=Data!$A$9,$K$2=Data!$A$2),SUMIFS(Proventos!$H:$H,Proventos!$D:$D,"&gt;="&amp;CONCATENATE($M$6,"/",B50),Proventos!$D:$D,"&lt;"&amp;CONCATENATE($N$6,"/",B50),Proventos!$J:$J,"="&amp;$H$2),
AND($H$2=Data!$A$10,$K$2=Data!$A$2),SUMIFS(Proventos!$H:$H,Proventos!$D:$D,"&gt;="&amp;CONCATENATE($M$6,"/",B50),Proventos!$D:$D,"&lt;"&amp;CONCATENATE($N$6,"/",B50),Proventos!$J:$J,"="&amp;$H$2),
AND($H$2=Data!$A$11,$K$2=Data!$A$2),SUMIFS(Proventos!$H:$H,Proventos!$D:$D,"&gt;="&amp;CONCATENATE($M$6,"/",B50),Proventos!$D:$D,"&lt;"&amp;CONCATENATE($N$6,"/",B50),Proventos!$J:$J,"="&amp;$H$2),
$K$2=Data!$A$2,SUMIFS(Proventos!$H:$H,Proventos!$D:$D,"&gt;="&amp;CONCATENATE($M$6,"/",B50),Proventos!$D:$D,"&lt;"&amp;CONCATENATE($N$6,"/",B50)),
$K$2&lt;&gt;Data!$A$2,SUMIFS(Proventos!$H:$H,Proventos!$D:$D,"&gt;="&amp;CONCATENATE($M$6,"/",B50),Proventos!$D:$D,"&lt;"&amp;CONCATENATE($N$6,"/",B50),Proventos!$A:$A,"="&amp;$K$2))</f>
        <v>0</v>
      </c>
      <c r="N50" s="245">
        <f>IFS(
AND($H$2=Data!$A$3,$K$2=Data!$A$2),SUMIFS(Proventos!$H:$H,Proventos!$D:$D,"&gt;="&amp;CONCATENATE($N$6,"/",B50),Proventos!$D:$D,"&lt;"&amp;CONCATENATE($C$6,"/",B51),Proventos!$J:$J,"="&amp;$H$2),
AND($H$2=Data!$A$4,$K$2=Data!$A$2),SUMIFS(Proventos!$H:$H,Proventos!$D:$D,"&gt;="&amp;CONCATENATE($N$6,"/",B50),Proventos!$D:$D,"&lt;"&amp;CONCATENATE($C$6,"/",B51),Proventos!$J:$J,"="&amp;$H$2),
AND($H$2=Data!$A$5,$K$2=Data!$A$2),SUMIFS(Proventos!$H:$H,Proventos!$D:$D,"&gt;="&amp;CONCATENATE($N$6,"/",B50),Proventos!$D:$D,"&lt;"&amp;CONCATENATE($C$6,"/",B51),Proventos!$J:$J,"="&amp;$H$2),
AND($H$2=Data!$A$6,$K$2=Data!$A$2),SUMIFS(Proventos!$H:$H,Proventos!$D:$D,"&gt;="&amp;CONCATENATE($N$6,"/",B50),Proventos!$D:$D,"&lt;"&amp;CONCATENATE($C$6,"/",B51),Proventos!$J:$J,"="&amp;$H$2),
AND($H$2=Data!$A$7,$K$2=Data!$A$2),SUMIFS(Proventos!$H:$H,Proventos!$D:$D,"&gt;="&amp;CONCATENATE($N$6,"/",B50),Proventos!$D:$D,"&lt;"&amp;CONCATENATE($C$6,"/",B51),Proventos!$J:$J,"="&amp;$H$2),
AND($H$2=Data!$A$8,$K$2=Data!$A$2),SUMIFS(Proventos!$H:$H,Proventos!$D:$D,"&gt;="&amp;CONCATENATE($N$6,"/",B50),Proventos!$D:$D,"&lt;"&amp;CONCATENATE($C$6,"/",B51),Proventos!$J:$J,"="&amp;$H$2),
AND($H$2=Data!$A$9,$K$2=Data!$A$2),SUMIFS(Proventos!$H:$H,Proventos!$D:$D,"&gt;="&amp;CONCATENATE($N$6,"/",B50),Proventos!$D:$D,"&lt;"&amp;CONCATENATE($C$6,"/",B51),Proventos!$J:$J,"="&amp;$H$2),
AND($H$2=Data!$A$10,$K$2=Data!$A$2),SUMIFS(Proventos!$H:$H,Proventos!$D:$D,"&gt;="&amp;CONCATENATE($N$6,"/",B50),Proventos!$D:$D,"&lt;"&amp;CONCATENATE($C$6,"/",B51),Proventos!$J:$J,"="&amp;$H$2),
AND($H$2=Data!$A$11,$K$2=Data!$A$2),SUMIFS(Proventos!$H:$H,Proventos!$D:$D,"&gt;="&amp;CONCATENATE($N$6,"/",B50),Proventos!$D:$D,"&lt;"&amp;CONCATENATE($C$6,"/",B51),Proventos!$J:$J,"="&amp;$H$2),
$K$2=Data!$A$2,SUMIFS(Proventos!$H:$H,Proventos!$D:$D,"&gt;="&amp;CONCATENATE($N$6,"/",B50),Proventos!$D:$D,"&lt;"&amp;CONCATENATE($C$6,"/",B51)),
$K$2&lt;&gt;Data!$A$2,SUMIFS(Proventos!$H:$H,Proventos!$D:$D,"&gt;="&amp;CONCATENATE($N$6,"/",B50),Proventos!$D:$D,"&lt;"&amp;CONCATENATE($C$6,"/",B51),Proventos!$A:$A,"="&amp;$K$2))</f>
        <v>0</v>
      </c>
      <c r="O50" s="245"/>
      <c r="P50" s="245">
        <f t="shared" si="1"/>
        <v>0</v>
      </c>
      <c r="Q50" s="245">
        <f t="shared" si="2"/>
        <v>0</v>
      </c>
    </row>
    <row r="51" ht="32.25" customHeight="1">
      <c r="A51" s="230"/>
      <c r="B51" s="244"/>
      <c r="C51" s="245">
        <f>IFS(
AND($H$2=Data!$A$3,$K$2=Data!$A$2),SUMIFS(Proventos!$H:$H,Proventos!$D:$D,"&gt;="&amp;CONCATENATE($C$6,"/",B51),Proventos!$D:$D,"&lt;"&amp;CONCATENATE($D$6,"/",B51),Proventos!$J:$J,"="&amp;$H$2),
AND($H$2=Data!$A$4,$K$2=Data!$A$2),SUMIFS(Proventos!$H:$H,Proventos!$D:$D,"&gt;="&amp;CONCATENATE($C$6,"/",B51),Proventos!$D:$D,"&lt;"&amp;CONCATENATE($D$6,"/",B51),Proventos!$J:$J,"="&amp;$H$2),
AND($H$2=Data!$A$5,$K$2=Data!$A$2),SUMIFS(Proventos!$H:$H,Proventos!$D:$D,"&gt;="&amp;CONCATENATE($C$6,"/",B51),Proventos!$D:$D,"&lt;"&amp;CONCATENATE($D$6,"/",B51),Proventos!$J:$J,"="&amp;$H$2),
AND($H$2=Data!$A$6,$K$2=Data!$A$2),SUMIFS(Proventos!$H:$H,Proventos!$D:$D,"&gt;="&amp;CONCATENATE($C$6,"/",B51),Proventos!$D:$D,"&lt;"&amp;CONCATENATE($D$6,"/",B51),Proventos!$J:$J,"="&amp;$H$2),
AND($H$2=Data!$A$7,$K$2=Data!$A$2),SUMIFS(Proventos!$H:$H,Proventos!$D:$D,"&gt;="&amp;CONCATENATE($C$6,"/",B51),Proventos!$D:$D,"&lt;"&amp;CONCATENATE($D$6,"/",B51),Proventos!$J:$J,"="&amp;$H$2),
AND($H$2=Data!$A$8,$K$2=Data!$A$2),SUMIFS(Proventos!$H:$H,Proventos!$D:$D,"&gt;="&amp;CONCATENATE($C$6,"/",B51),Proventos!$D:$D,"&lt;"&amp;CONCATENATE($D$6,"/",B51),Proventos!$J:$J,"="&amp;$H$2),
AND($H$2=Data!$A$9,$K$2=Data!$A$2),SUMIFS(Proventos!$H:$H,Proventos!$D:$D,"&gt;="&amp;CONCATENATE($C$6,"/",B51),Proventos!$D:$D,"&lt;"&amp;CONCATENATE($D$6,"/",B51),Proventos!$J:$J,"="&amp;$H$2),
AND($H$2=Data!$A$10,$K$2=Data!$A$2),SUMIFS(Proventos!$H:$H,Proventos!$D:$D,"&gt;="&amp;CONCATENATE($C$6,"/",B51),Proventos!$D:$D,"&lt;"&amp;CONCATENATE($D$6,"/",B51),Proventos!$J:$J,"="&amp;$H$2),
AND($H$2=Data!$A$11,$K$2=Data!$A$2),SUMIFS(Proventos!$H:$H,Proventos!$D:$D,"&gt;="&amp;CONCATENATE($C$6,"/",B51),Proventos!$D:$D,"&lt;"&amp;CONCATENATE($D$6,"/",B51),Proventos!$J:$J,"="&amp;$H$2),
$K$2=Data!$A$2,SUMIFS(Proventos!$H:$H,Proventos!$D:$D,"&gt;="&amp;CONCATENATE($C$6,"/",B51),Proventos!$D:$D,"&lt;"&amp;CONCATENATE($D$6,"/",B51)),
$K$2&lt;&gt;Data!$A$2,SUMIFS(Proventos!$H:$H,Proventos!$D:$D,"&gt;="&amp;CONCATENATE($C$6,"/",B51),Proventos!$D:$D,"&lt;"&amp;CONCATENATE($D$6,"/",B51),Proventos!$A:$A,"="&amp;$K$2))</f>
        <v>0</v>
      </c>
      <c r="D51" s="245">
        <f>IFS(
AND($H$2=Data!$A$3,$K$2=Data!$A$2),SUMIFS(Proventos!$H:$H,Proventos!$D:$D,"&gt;="&amp;CONCATENATE($D$6,"/",B51),Proventos!$D:$D,"&lt;"&amp;CONCATENATE($E$6,"/",B51),Proventos!$J:$J,"="&amp;$H$2),
AND($H$2=Data!$A$4,$K$2=Data!$A$2),SUMIFS(Proventos!$H:$H,Proventos!$D:$D,"&gt;="&amp;CONCATENATE($D$6,"/",B51),Proventos!$D:$D,"&lt;"&amp;CONCATENATE($E$6,"/",B51),Proventos!$J:$J,"="&amp;$H$2),
AND($H$2=Data!$A$5,$K$2=Data!$A$2),SUMIFS(Proventos!$H:$H,Proventos!$D:$D,"&gt;="&amp;CONCATENATE($D$6,"/",B51),Proventos!$D:$D,"&lt;"&amp;CONCATENATE($E$6,"/",B51),Proventos!$J:$J,"="&amp;$H$2),
AND($H$2=Data!$A$6,$K$2=Data!$A$2),SUMIFS(Proventos!$H:$H,Proventos!$D:$D,"&gt;="&amp;CONCATENATE($D$6,"/",B51),Proventos!$D:$D,"&lt;"&amp;CONCATENATE($E$6,"/",B51),Proventos!$J:$J,"="&amp;$H$2),
AND($H$2=Data!$A$7,$K$2=Data!$A$2),SUMIFS(Proventos!$H:$H,Proventos!$D:$D,"&gt;="&amp;CONCATENATE($D$6,"/",B51),Proventos!$D:$D,"&lt;"&amp;CONCATENATE($E$6,"/",B51),Proventos!$J:$J,"="&amp;$H$2),
AND($H$2=Data!$A$8,$K$2=Data!$A$2),SUMIFS(Proventos!$H:$H,Proventos!$D:$D,"&gt;="&amp;CONCATENATE($D$6,"/",B51),Proventos!$D:$D,"&lt;"&amp;CONCATENATE($E$6,"/",B51),Proventos!$J:$J,"="&amp;$H$2),
AND($H$2=Data!$A$9,$K$2=Data!$A$2),SUMIFS(Proventos!$H:$H,Proventos!$D:$D,"&gt;="&amp;CONCATENATE($D$6,"/",B51),Proventos!$D:$D,"&lt;"&amp;CONCATENATE($E$6,"/",B51),Proventos!$J:$J,"="&amp;$H$2),
AND($H$2=Data!$A$10,$K$2=Data!$A$2),SUMIFS(Proventos!$H:$H,Proventos!$D:$D,"&gt;="&amp;CONCATENATE($D$6,"/",B51),Proventos!$D:$D,"&lt;"&amp;CONCATENATE($E$6,"/",B51),Proventos!$J:$J,"="&amp;$H$2),
AND($H$2=Data!$A$11,$K$2=Data!$A$2),SUMIFS(Proventos!$H:$H,Proventos!$D:$D,"&gt;="&amp;CONCATENATE($D$6,"/",B51),Proventos!$D:$D,"&lt;"&amp;CONCATENATE($E$6,"/",B51),Proventos!$J:$J,"="&amp;$H$2),
$K$2=Data!$A$2,SUMIFS(Proventos!$H:$H,Proventos!$D:$D,"&gt;="&amp;CONCATENATE($D$6,"/",B51),Proventos!$D:$D,"&lt;"&amp;CONCATENATE($E$6,"/",B51)),
$K$2&lt;&gt;Data!$A$2,SUMIFS(Proventos!$H:$H,Proventos!$D:$D,"&gt;="&amp;CONCATENATE($D$6,"/",B51),Proventos!$D:$D,"&lt;"&amp;CONCATENATE($E$6,"/",B51),Proventos!$A:$A,"="&amp;$K$2))</f>
        <v>0</v>
      </c>
      <c r="E51" s="245">
        <f>IFS(
AND($H$2=Data!$A$3,$K$2=Data!$A$2),SUMIFS(Proventos!$H:$H,Proventos!$D:$D,"&gt;="&amp;CONCATENATE($E$6,"/",B51),Proventos!$D:$D,"&lt;"&amp;CONCATENATE($F$6,"/",B51),Proventos!$J:$J,"="&amp;$H$2),
AND($H$2=Data!$A$4,$K$2=Data!$A$2),SUMIFS(Proventos!$H:$H,Proventos!$D:$D,"&gt;="&amp;CONCATENATE($E$6,"/",B51),Proventos!$D:$D,"&lt;"&amp;CONCATENATE($F$6,"/",B51),Proventos!$J:$J,"="&amp;$H$2),
AND($H$2=Data!$A$5,$K$2=Data!$A$2),SUMIFS(Proventos!$H:$H,Proventos!$D:$D,"&gt;="&amp;CONCATENATE($E$6,"/",B51),Proventos!$D:$D,"&lt;"&amp;CONCATENATE($F$6,"/",B51),Proventos!$J:$J,"="&amp;$H$2),
AND($H$2=Data!$A$6,$K$2=Data!$A$2),SUMIFS(Proventos!$H:$H,Proventos!$D:$D,"&gt;="&amp;CONCATENATE($E$6,"/",B51),Proventos!$D:$D,"&lt;"&amp;CONCATENATE($F$6,"/",B51),Proventos!$J:$J,"="&amp;$H$2),
AND($H$2=Data!$A$7,$K$2=Data!$A$2),SUMIFS(Proventos!$H:$H,Proventos!$D:$D,"&gt;="&amp;CONCATENATE($E$6,"/",B51),Proventos!$D:$D,"&lt;"&amp;CONCATENATE($F$6,"/",B51),Proventos!$J:$J,"="&amp;$H$2),
AND($H$2=Data!$A$8,$K$2=Data!$A$2),SUMIFS(Proventos!$H:$H,Proventos!$D:$D,"&gt;="&amp;CONCATENATE($E$6,"/",B51),Proventos!$D:$D,"&lt;"&amp;CONCATENATE($F$6,"/",B51),Proventos!$J:$J,"="&amp;$H$2),
AND($H$2=Data!$A$9,$K$2=Data!$A$2),SUMIFS(Proventos!$H:$H,Proventos!$D:$D,"&gt;="&amp;CONCATENATE($E$6,"/",B51),Proventos!$D:$D,"&lt;"&amp;CONCATENATE($F$6,"/",B51),Proventos!$J:$J,"="&amp;$H$2),
AND($H$2=Data!$A$10,$K$2=Data!$A$2),SUMIFS(Proventos!$H:$H,Proventos!$D:$D,"&gt;="&amp;CONCATENATE($E$6,"/",B51),Proventos!$D:$D,"&lt;"&amp;CONCATENATE($F$6,"/",B51),Proventos!$J:$J,"="&amp;$H$2),
AND($H$2=Data!$A$11,$K$2=Data!$A$2),SUMIFS(Proventos!$H:$H,Proventos!$D:$D,"&gt;="&amp;CONCATENATE($E$6,"/",B51),Proventos!$D:$D,"&lt;"&amp;CONCATENATE($F$6,"/",B51),Proventos!$J:$J,"="&amp;$H$2),
$K$2=Data!$A$2,SUMIFS(Proventos!$H:$H,Proventos!$D:$D,"&gt;="&amp;CONCATENATE($E$6,"/",B51),Proventos!$D:$D,"&lt;"&amp;CONCATENATE($F$6,"/",B51)),
$K$2&lt;&gt;Data!$A$2,SUMIFS(Proventos!$H:$H,Proventos!$D:$D,"&gt;="&amp;CONCATENATE($E$6,"/",B51),Proventos!$D:$D,"&lt;"&amp;CONCATENATE($F$6,"/",B51),Proventos!$A:$A,"="&amp;$K$2))</f>
        <v>0</v>
      </c>
      <c r="F51" s="245">
        <f>IFS(
AND($H$2=Data!$A$3,$K$2=Data!$A$2),SUMIFS(Proventos!$H:$H,Proventos!$D:$D,"&gt;="&amp;CONCATENATE($F$6,"/",B51),Proventos!$D:$D,"&lt;"&amp;CONCATENATE($G$6,"/",B51),Proventos!$J:$J,"="&amp;$H$2),
AND($H$2=Data!$A$4,$K$2=Data!$A$2),SUMIFS(Proventos!$H:$H,Proventos!$D:$D,"&gt;="&amp;CONCATENATE($F$6,"/",B51),Proventos!$D:$D,"&lt;"&amp;CONCATENATE($G$6,"/",B51),Proventos!$J:$J,"="&amp;$H$2),
AND($H$2=Data!$A$5,$K$2=Data!$A$2),SUMIFS(Proventos!$H:$H,Proventos!$D:$D,"&gt;="&amp;CONCATENATE($F$6,"/",B51),Proventos!$D:$D,"&lt;"&amp;CONCATENATE($G$6,"/",B51),Proventos!$J:$J,"="&amp;$H$2),
AND($H$2=Data!$A$6,$K$2=Data!$A$2),SUMIFS(Proventos!$H:$H,Proventos!$D:$D,"&gt;="&amp;CONCATENATE($F$6,"/",B51),Proventos!$D:$D,"&lt;"&amp;CONCATENATE($G$6,"/",B51),Proventos!$J:$J,"="&amp;$H$2),
AND($H$2=Data!$A$7,$K$2=Data!$A$2),SUMIFS(Proventos!$H:$H,Proventos!$D:$D,"&gt;="&amp;CONCATENATE($F$6,"/",B51),Proventos!$D:$D,"&lt;"&amp;CONCATENATE($G$6,"/",B51),Proventos!$J:$J,"="&amp;$H$2),
AND($H$2=Data!$A$8,$K$2=Data!$A$2),SUMIFS(Proventos!$H:$H,Proventos!$D:$D,"&gt;="&amp;CONCATENATE($F$6,"/",B51),Proventos!$D:$D,"&lt;"&amp;CONCATENATE($G$6,"/",B51),Proventos!$J:$J,"="&amp;$H$2),
AND($H$2=Data!$A$9,$K$2=Data!$A$2),SUMIFS(Proventos!$H:$H,Proventos!$D:$D,"&gt;="&amp;CONCATENATE($F$6,"/",B51),Proventos!$D:$D,"&lt;"&amp;CONCATENATE($G$6,"/",B51),Proventos!$J:$J,"="&amp;$H$2),
AND($H$2=Data!$A$10,$K$2=Data!$A$2),SUMIFS(Proventos!$H:$H,Proventos!$D:$D,"&gt;="&amp;CONCATENATE($F$6,"/",B51),Proventos!$D:$D,"&lt;"&amp;CONCATENATE($G$6,"/",B51),Proventos!$J:$J,"="&amp;$H$2),
AND($H$2=Data!$A$11,$K$2=Data!$A$2),SUMIFS(Proventos!$H:$H,Proventos!$D:$D,"&gt;="&amp;CONCATENATE($F$6,"/",B51),Proventos!$D:$D,"&lt;"&amp;CONCATENATE($G$6,"/",B51),Proventos!$J:$J,"="&amp;$H$2),
$K$2=Data!$A$2,SUMIFS(Proventos!$H:$H,Proventos!$D:$D,"&gt;="&amp;CONCATENATE($F$6,"/",B51),Proventos!$D:$D,"&lt;"&amp;CONCATENATE($G$6,"/",B51)),
$K$2&lt;&gt;Data!$A$2,SUMIFS(Proventos!$H:$H,Proventos!$D:$D,"&gt;="&amp;CONCATENATE($F$6,"/",B51),Proventos!$D:$D,"&lt;"&amp;CONCATENATE($G$6,"/",B51),Proventos!$A:$A,"="&amp;$K$2))</f>
        <v>0</v>
      </c>
      <c r="G51" s="245">
        <f>IFS(
AND($H$2=Data!$A$3,$K$2=Data!$A$2),SUMIFS(Proventos!$H:$H,Proventos!$D:$D,"&gt;="&amp;CONCATENATE($G$6,"/",B51),Proventos!$D:$D,"&lt;"&amp;CONCATENATE($H$6,"/",B51),Proventos!$J:$J,"="&amp;$H$2),
AND($H$2=Data!$A$4,$K$2=Data!$A$2),SUMIFS(Proventos!$H:$H,Proventos!$D:$D,"&gt;="&amp;CONCATENATE($G$6,"/",B51),Proventos!$D:$D,"&lt;"&amp;CONCATENATE($H$6,"/",B51),Proventos!$J:$J,"="&amp;$H$2),
AND($H$2=Data!$A$5,$K$2=Data!$A$2),SUMIFS(Proventos!$H:$H,Proventos!$D:$D,"&gt;="&amp;CONCATENATE($G$6,"/",B51),Proventos!$D:$D,"&lt;"&amp;CONCATENATE($H$6,"/",B51),Proventos!$J:$J,"="&amp;$H$2),
AND($H$2=Data!$A$6,$K$2=Data!$A$2),SUMIFS(Proventos!$H:$H,Proventos!$D:$D,"&gt;="&amp;CONCATENATE($G$6,"/",B51),Proventos!$D:$D,"&lt;"&amp;CONCATENATE($H$6,"/",B51),Proventos!$J:$J,"="&amp;$H$2),
AND($H$2=Data!$A$7,$K$2=Data!$A$2),SUMIFS(Proventos!$H:$H,Proventos!$D:$D,"&gt;="&amp;CONCATENATE($G$6,"/",B51),Proventos!$D:$D,"&lt;"&amp;CONCATENATE($H$6,"/",B51),Proventos!$J:$J,"="&amp;$H$2),
AND($H$2=Data!$A$8,$K$2=Data!$A$2),SUMIFS(Proventos!$H:$H,Proventos!$D:$D,"&gt;="&amp;CONCATENATE($G$6,"/",B51),Proventos!$D:$D,"&lt;"&amp;CONCATENATE($H$6,"/",B51),Proventos!$J:$J,"="&amp;$H$2),
AND($H$2=Data!$A$9,$K$2=Data!$A$2),SUMIFS(Proventos!$H:$H,Proventos!$D:$D,"&gt;="&amp;CONCATENATE($G$6,"/",B51),Proventos!$D:$D,"&lt;"&amp;CONCATENATE($H$6,"/",B51),Proventos!$J:$J,"="&amp;$H$2),
AND($H$2=Data!$A$10,$K$2=Data!$A$2),SUMIFS(Proventos!$H:$H,Proventos!$D:$D,"&gt;="&amp;CONCATENATE($G$6,"/",B51),Proventos!$D:$D,"&lt;"&amp;CONCATENATE($H$6,"/",B51),Proventos!$J:$J,"="&amp;$H$2),
AND($H$2=Data!$A$11,$K$2=Data!$A$2),SUMIFS(Proventos!$H:$H,Proventos!$D:$D,"&gt;="&amp;CONCATENATE($G$6,"/",B51),Proventos!$D:$D,"&lt;"&amp;CONCATENATE($H$6,"/",B51),Proventos!$J:$J,"="&amp;$H$2),
$K$2=Data!$A$2,SUMIFS(Proventos!$H:$H,Proventos!$D:$D,"&gt;="&amp;CONCATENATE($G$6,"/",B51),Proventos!$D:$D,"&lt;"&amp;CONCATENATE($H$6,"/",B51)),
$K$2&lt;&gt;Data!$A$2,SUMIFS(Proventos!$H:$H,Proventos!$D:$D,"&gt;="&amp;CONCATENATE($G$6,"/",B51),Proventos!$D:$D,"&lt;"&amp;CONCATENATE($H$6,"/",B51),Proventos!$A:$A,"="&amp;$K$2))</f>
        <v>0</v>
      </c>
      <c r="H51" s="245">
        <f>IFS(
AND($H$2=Data!$A$3,$K$2=Data!$A$2),SUMIFS(Proventos!$H:$H,Proventos!$D:$D,"&gt;="&amp;CONCATENATE($H$6,"/",B51),Proventos!$D:$D,"&lt;"&amp;CONCATENATE($I$6,"/",B51),Proventos!$J:$J,"="&amp;$H$2),
AND($H$2=Data!$A$4,$K$2=Data!$A$2),SUMIFS(Proventos!$H:$H,Proventos!$D:$D,"&gt;="&amp;CONCATENATE($H$6,"/",B51),Proventos!$D:$D,"&lt;"&amp;CONCATENATE($I$6,"/",B51),Proventos!$J:$J,"="&amp;$H$2),
AND($H$2=Data!$A$5,$K$2=Data!$A$2),SUMIFS(Proventos!$H:$H,Proventos!$D:$D,"&gt;="&amp;CONCATENATE($H$6,"/",B51),Proventos!$D:$D,"&lt;"&amp;CONCATENATE($I$6,"/",B51),Proventos!$J:$J,"="&amp;$H$2),
AND($H$2=Data!$A$6,$K$2=Data!$A$2),SUMIFS(Proventos!$H:$H,Proventos!$D:$D,"&gt;="&amp;CONCATENATE($H$6,"/",B51),Proventos!$D:$D,"&lt;"&amp;CONCATENATE($I$6,"/",B51),Proventos!$J:$J,"="&amp;$H$2),
AND($H$2=Data!$A$7,$K$2=Data!$A$2),SUMIFS(Proventos!$H:$H,Proventos!$D:$D,"&gt;="&amp;CONCATENATE($H$6,"/",B51),Proventos!$D:$D,"&lt;"&amp;CONCATENATE($I$6,"/",B51),Proventos!$J:$J,"="&amp;$H$2),
AND($H$2=Data!$A$8,$K$2=Data!$A$2),SUMIFS(Proventos!$H:$H,Proventos!$D:$D,"&gt;="&amp;CONCATENATE($H$6,"/",B51),Proventos!$D:$D,"&lt;"&amp;CONCATENATE($I$6,"/",B51),Proventos!$J:$J,"="&amp;$H$2),
AND($H$2=Data!$A$9,$K$2=Data!$A$2),SUMIFS(Proventos!$H:$H,Proventos!$D:$D,"&gt;="&amp;CONCATENATE($H$6,"/",B51),Proventos!$D:$D,"&lt;"&amp;CONCATENATE($I$6,"/",B51),Proventos!$J:$J,"="&amp;$H$2),
AND($H$2=Data!$A$10,$K$2=Data!$A$2),SUMIFS(Proventos!$H:$H,Proventos!$D:$D,"&gt;="&amp;CONCATENATE($H$6,"/",B51),Proventos!$D:$D,"&lt;"&amp;CONCATENATE($I$6,"/",B51),Proventos!$J:$J,"="&amp;$H$2),
AND($H$2=Data!$A$11,$K$2=Data!$A$2),SUMIFS(Proventos!$H:$H,Proventos!$D:$D,"&gt;="&amp;CONCATENATE($H$6,"/",B51),Proventos!$D:$D,"&lt;"&amp;CONCATENATE($I$6,"/",B51),Proventos!$J:$J,"="&amp;$H$2),
$K$2=Data!$A$2,SUMIFS(Proventos!$H:$H,Proventos!$D:$D,"&gt;="&amp;CONCATENATE($H$6,"/",B51),Proventos!$D:$D,"&lt;"&amp;CONCATENATE($I$6,"/",B51)),
$K$2&lt;&gt;Data!$A$2,SUMIFS(Proventos!$H:$H,Proventos!$D:$D,"&gt;="&amp;CONCATENATE($H$6,"/",B51),Proventos!$D:$D,"&lt;"&amp;CONCATENATE($I$6,"/",B51),Proventos!$A:$A,"="&amp;$K$2))</f>
        <v>0</v>
      </c>
      <c r="I51" s="245">
        <f>IFS(
AND($H$2=Data!$A$3,$K$2=Data!$A$2),SUMIFS(Proventos!$H:$H,Proventos!$D:$D,"&gt;="&amp;CONCATENATE($I$6,"/",B51),Proventos!$D:$D,"&lt;"&amp;CONCATENATE($J$6,"/",B51),Proventos!$J:$J,"="&amp;$H$2),
AND($H$2=Data!$A$4,$K$2=Data!$A$2),SUMIFS(Proventos!$H:$H,Proventos!$D:$D,"&gt;="&amp;CONCATENATE($I$6,"/",B51),Proventos!$D:$D,"&lt;"&amp;CONCATENATE($J$6,"/",B51),Proventos!$J:$J,"="&amp;$H$2),
AND($H$2=Data!$A$5,$K$2=Data!$A$2),SUMIFS(Proventos!$H:$H,Proventos!$D:$D,"&gt;="&amp;CONCATENATE($I$6,"/",B51),Proventos!$D:$D,"&lt;"&amp;CONCATENATE($J$6,"/",B51),Proventos!$J:$J,"="&amp;$H$2),
AND($H$2=Data!$A$6,$K$2=Data!$A$2),SUMIFS(Proventos!$H:$H,Proventos!$D:$D,"&gt;="&amp;CONCATENATE($I$6,"/",B51),Proventos!$D:$D,"&lt;"&amp;CONCATENATE($J$6,"/",B51),Proventos!$J:$J,"="&amp;$H$2),
AND($H$2=Data!$A$7,$K$2=Data!$A$2),SUMIFS(Proventos!$H:$H,Proventos!$D:$D,"&gt;="&amp;CONCATENATE($I$6,"/",B51),Proventos!$D:$D,"&lt;"&amp;CONCATENATE($J$6,"/",B51),Proventos!$J:$J,"="&amp;$H$2),
AND($H$2=Data!$A$8,$K$2=Data!$A$2),SUMIFS(Proventos!$H:$H,Proventos!$D:$D,"&gt;="&amp;CONCATENATE($I$6,"/",B51),Proventos!$D:$D,"&lt;"&amp;CONCATENATE($J$6,"/",B51),Proventos!$J:$J,"="&amp;$H$2),
AND($H$2=Data!$A$9,$K$2=Data!$A$2),SUMIFS(Proventos!$H:$H,Proventos!$D:$D,"&gt;="&amp;CONCATENATE($I$6,"/",B51),Proventos!$D:$D,"&lt;"&amp;CONCATENATE($J$6,"/",B51),Proventos!$J:$J,"="&amp;$H$2),
AND($H$2=Data!$A$10,$K$2=Data!$A$2),SUMIFS(Proventos!$H:$H,Proventos!$D:$D,"&gt;="&amp;CONCATENATE($I$6,"/",B51),Proventos!$D:$D,"&lt;"&amp;CONCATENATE($J$6,"/",B51),Proventos!$J:$J,"="&amp;$H$2),
AND($H$2=Data!$A$11,$K$2=Data!$A$2),SUMIFS(Proventos!$H:$H,Proventos!$D:$D,"&gt;="&amp;CONCATENATE($I$6,"/",B51),Proventos!$D:$D,"&lt;"&amp;CONCATENATE($J$6,"/",B51),Proventos!$J:$J,"="&amp;$H$2),
$K$2=Data!$A$2,SUMIFS(Proventos!$H:$H,Proventos!$D:$D,"&gt;="&amp;CONCATENATE($I$6,"/",B51),Proventos!$D:$D,"&lt;"&amp;CONCATENATE($J$6,"/",B51)),
$K$2&lt;&gt;Data!$A$2,SUMIFS(Proventos!$H:$H,Proventos!$D:$D,"&gt;="&amp;CONCATENATE($I$6,"/",B51),Proventos!$D:$D,"&lt;"&amp;CONCATENATE($J$6,"/",B51),Proventos!$A:$A,"="&amp;$K$2))</f>
        <v>0</v>
      </c>
      <c r="J51" s="245">
        <f>IFS(
AND($H$2=Data!$A$3,$K$2=Data!$A$2),SUMIFS(Proventos!$H:$H,Proventos!$D:$D,"&gt;="&amp;CONCATENATE($J$6,"/",B51),Proventos!$D:$D,"&lt;"&amp;CONCATENATE($K$6,"/",B51),Proventos!$J:$J,"="&amp;$H$2),
AND($H$2=Data!$A$4,$K$2=Data!$A$2),SUMIFS(Proventos!$H:$H,Proventos!$D:$D,"&gt;="&amp;CONCATENATE($J$6,"/",B51),Proventos!$D:$D,"&lt;"&amp;CONCATENATE($K$6,"/",B51),Proventos!$J:$J,"="&amp;$H$2),
AND($H$2=Data!$A$5,$K$2=Data!$A$2),SUMIFS(Proventos!$H:$H,Proventos!$D:$D,"&gt;="&amp;CONCATENATE($J$6,"/",B51),Proventos!$D:$D,"&lt;"&amp;CONCATENATE($K$6,"/",B51),Proventos!$J:$J,"="&amp;$H$2),
AND($H$2=Data!$A$6,$K$2=Data!$A$2),SUMIFS(Proventos!$H:$H,Proventos!$D:$D,"&gt;="&amp;CONCATENATE($J$6,"/",B51),Proventos!$D:$D,"&lt;"&amp;CONCATENATE($K$6,"/",B51),Proventos!$J:$J,"="&amp;$H$2),
AND($H$2=Data!$A$7,$K$2=Data!$A$2),SUMIFS(Proventos!$H:$H,Proventos!$D:$D,"&gt;="&amp;CONCATENATE($J$6,"/",B51),Proventos!$D:$D,"&lt;"&amp;CONCATENATE($K$6,"/",B51),Proventos!$J:$J,"="&amp;$H$2),
AND($H$2=Data!$A$8,$K$2=Data!$A$2),SUMIFS(Proventos!$H:$H,Proventos!$D:$D,"&gt;="&amp;CONCATENATE($J$6,"/",B51),Proventos!$D:$D,"&lt;"&amp;CONCATENATE($K$6,"/",B51),Proventos!$J:$J,"="&amp;$H$2),
AND($H$2=Data!$A$9,$K$2=Data!$A$2),SUMIFS(Proventos!$H:$H,Proventos!$D:$D,"&gt;="&amp;CONCATENATE($J$6,"/",B51),Proventos!$D:$D,"&lt;"&amp;CONCATENATE($K$6,"/",B51),Proventos!$J:$J,"="&amp;$H$2),
AND($H$2=Data!$A$10,$K$2=Data!$A$2),SUMIFS(Proventos!$H:$H,Proventos!$D:$D,"&gt;="&amp;CONCATENATE($J$6,"/",B51),Proventos!$D:$D,"&lt;"&amp;CONCATENATE($K$6,"/",B51),Proventos!$J:$J,"="&amp;$H$2),
AND($H$2=Data!$A$11,$K$2=Data!$A$2),SUMIFS(Proventos!$H:$H,Proventos!$D:$D,"&gt;="&amp;CONCATENATE($J$6,"/",B51),Proventos!$D:$D,"&lt;"&amp;CONCATENATE($K$6,"/",B51),Proventos!$J:$J,"="&amp;$H$2),
$K$2=Data!$A$2,SUMIFS(Proventos!$H:$H,Proventos!$D:$D,"&gt;="&amp;CONCATENATE($J$6,"/",B51),Proventos!$D:$D,"&lt;"&amp;CONCATENATE($K$6,"/",B51)),
$K$2&lt;&gt;Data!$A$2,SUMIFS(Proventos!$H:$H,Proventos!$D:$D,"&gt;="&amp;CONCATENATE($J$6,"/",B51),Proventos!$D:$D,"&lt;"&amp;CONCATENATE($K$6,"/",B51),Proventos!$A:$A,"="&amp;$K$2))</f>
        <v>0</v>
      </c>
      <c r="K51" s="245">
        <f>IFS(
AND($H$2=Data!$A$3,$K$2=Data!$A$2),SUMIFS(Proventos!$H:$H,Proventos!$D:$D,"&gt;="&amp;CONCATENATE($K$6,"/",B51),Proventos!$D:$D,"&lt;"&amp;CONCATENATE($L$6,"/",B51),Proventos!$J:$J,"="&amp;$H$2),
AND($H$2=Data!$A$4,$K$2=Data!$A$2),SUMIFS(Proventos!$H:$H,Proventos!$D:$D,"&gt;="&amp;CONCATENATE($K$6,"/",B51),Proventos!$D:$D,"&lt;"&amp;CONCATENATE($L$6,"/",B51),Proventos!$J:$J,"="&amp;$H$2),
AND($H$2=Data!$A$5,$K$2=Data!$A$2),SUMIFS(Proventos!$H:$H,Proventos!$D:$D,"&gt;="&amp;CONCATENATE($K$6,"/",B51),Proventos!$D:$D,"&lt;"&amp;CONCATENATE($L$6,"/",B51),Proventos!$J:$J,"="&amp;$H$2),
AND($H$2=Data!$A$6,$K$2=Data!$A$2),SUMIFS(Proventos!$H:$H,Proventos!$D:$D,"&gt;="&amp;CONCATENATE($K$6,"/",B51),Proventos!$D:$D,"&lt;"&amp;CONCATENATE($L$6,"/",B51),Proventos!$J:$J,"="&amp;$H$2),
AND($H$2=Data!$A$7,$K$2=Data!$A$2),SUMIFS(Proventos!$H:$H,Proventos!$D:$D,"&gt;="&amp;CONCATENATE($K$6,"/",B51),Proventos!$D:$D,"&lt;"&amp;CONCATENATE($L$6,"/",B51),Proventos!$J:$J,"="&amp;$H$2),
AND($H$2=Data!$A$8,$K$2=Data!$A$2),SUMIFS(Proventos!$H:$H,Proventos!$D:$D,"&gt;="&amp;CONCATENATE($K$6,"/",B51),Proventos!$D:$D,"&lt;"&amp;CONCATENATE($L$6,"/",B51),Proventos!$J:$J,"="&amp;$H$2),
AND($H$2=Data!$A$9,$K$2=Data!$A$2),SUMIFS(Proventos!$H:$H,Proventos!$D:$D,"&gt;="&amp;CONCATENATE($K$6,"/",B51),Proventos!$D:$D,"&lt;"&amp;CONCATENATE($L$6,"/",B51),Proventos!$J:$J,"="&amp;$H$2),
AND($H$2=Data!$A$10,$K$2=Data!$A$2),SUMIFS(Proventos!$H:$H,Proventos!$D:$D,"&gt;="&amp;CONCATENATE($K$6,"/",B51),Proventos!$D:$D,"&lt;"&amp;CONCATENATE($L$6,"/",B51),Proventos!$J:$J,"="&amp;$H$2),
AND($H$2=Data!$A$11,$K$2=Data!$A$2),SUMIFS(Proventos!$H:$H,Proventos!$D:$D,"&gt;="&amp;CONCATENATE($K$6,"/",B51),Proventos!$D:$D,"&lt;"&amp;CONCATENATE($L$6,"/",B51),Proventos!$J:$J,"="&amp;$H$2),
$K$2=Data!$A$2,SUMIFS(Proventos!$H:$H,Proventos!$D:$D,"&gt;="&amp;CONCATENATE($K$6,"/",B51),Proventos!$D:$D,"&lt;"&amp;CONCATENATE($L$6,"/",B51)),
$K$2&lt;&gt;Data!$A$2,SUMIFS(Proventos!$H:$H,Proventos!$D:$D,"&gt;="&amp;CONCATENATE($K$6,"/",B51),Proventos!$D:$D,"&lt;"&amp;CONCATENATE($L$6,"/",B51),Proventos!$A:$A,"="&amp;$K$2))</f>
        <v>0</v>
      </c>
      <c r="L51" s="245">
        <f>IFS(
AND($H$2=Data!$A$3,$K$2=Data!$A$2),SUMIFS(Proventos!$H:$H,Proventos!$D:$D,"&gt;="&amp;CONCATENATE($L$6,"/",B51),Proventos!$D:$D,"&lt;"&amp;CONCATENATE($M$6,"/",B51),Proventos!$J:$J,"="&amp;$H$2),
AND($H$2=Data!$A$4,$K$2=Data!$A$2),SUMIFS(Proventos!$H:$H,Proventos!$D:$D,"&gt;="&amp;CONCATENATE($L$6,"/",B51),Proventos!$D:$D,"&lt;"&amp;CONCATENATE($M$6,"/",B51),Proventos!$J:$J,"="&amp;$H$2),
AND($H$2=Data!$A$5,$K$2=Data!$A$2),SUMIFS(Proventos!$H:$H,Proventos!$D:$D,"&gt;="&amp;CONCATENATE($L$6,"/",B51),Proventos!$D:$D,"&lt;"&amp;CONCATENATE($M$6,"/",B51),Proventos!$J:$J,"="&amp;$H$2),
AND($H$2=Data!$A$6,$K$2=Data!$A$2),SUMIFS(Proventos!$H:$H,Proventos!$D:$D,"&gt;="&amp;CONCATENATE($L$6,"/",B51),Proventos!$D:$D,"&lt;"&amp;CONCATENATE($M$6,"/",B51),Proventos!$J:$J,"="&amp;$H$2),
AND($H$2=Data!$A$7,$K$2=Data!$A$2),SUMIFS(Proventos!$H:$H,Proventos!$D:$D,"&gt;="&amp;CONCATENATE($L$6,"/",B51),Proventos!$D:$D,"&lt;"&amp;CONCATENATE($M$6,"/",B51),Proventos!$J:$J,"="&amp;$H$2),
AND($H$2=Data!$A$8,$K$2=Data!$A$2),SUMIFS(Proventos!$H:$H,Proventos!$D:$D,"&gt;="&amp;CONCATENATE($L$6,"/",B51),Proventos!$D:$D,"&lt;"&amp;CONCATENATE($M$6,"/",B51),Proventos!$J:$J,"="&amp;$H$2),
AND($H$2=Data!$A$9,$K$2=Data!$A$2),SUMIFS(Proventos!$H:$H,Proventos!$D:$D,"&gt;="&amp;CONCATENATE($L$6,"/",B51),Proventos!$D:$D,"&lt;"&amp;CONCATENATE($M$6,"/",B51),Proventos!$J:$J,"="&amp;$H$2),
AND($H$2=Data!$A$10,$K$2=Data!$A$2),SUMIFS(Proventos!$H:$H,Proventos!$D:$D,"&gt;="&amp;CONCATENATE($L$6,"/",B51),Proventos!$D:$D,"&lt;"&amp;CONCATENATE($M$6,"/",B51),Proventos!$J:$J,"="&amp;$H$2),
AND($H$2=Data!$A$11,$K$2=Data!$A$2),SUMIFS(Proventos!$H:$H,Proventos!$D:$D,"&gt;="&amp;CONCATENATE($L$6,"/",B51),Proventos!$D:$D,"&lt;"&amp;CONCATENATE($M$6,"/",B51),Proventos!$J:$J,"="&amp;$H$2),
$K$2=Data!$A$2,SUMIFS(Proventos!$H:$H,Proventos!$D:$D,"&gt;="&amp;CONCATENATE($L$6,"/",B51),Proventos!$D:$D,"&lt;"&amp;CONCATENATE($M$6,"/",B51)),
$K$2&lt;&gt;Data!$A$2,SUMIFS(Proventos!$H:$H,Proventos!$D:$D,"&gt;="&amp;CONCATENATE($L$6,"/",B51),Proventos!$D:$D,"&lt;"&amp;CONCATENATE($M$6,"/",B51),Proventos!$A:$A,"="&amp;$K$2))</f>
        <v>0</v>
      </c>
      <c r="M51" s="245">
        <f>IFS(
AND($H$2=Data!$A$3,$K$2=Data!$A$2),SUMIFS(Proventos!$H:$H,Proventos!$D:$D,"&gt;="&amp;CONCATENATE($M$6,"/",B51),Proventos!$D:$D,"&lt;"&amp;CONCATENATE($N$6,"/",B51),Proventos!$J:$J,"="&amp;$H$2),
AND($H$2=Data!$A$4,$K$2=Data!$A$2),SUMIFS(Proventos!$H:$H,Proventos!$D:$D,"&gt;="&amp;CONCATENATE($M$6,"/",B51),Proventos!$D:$D,"&lt;"&amp;CONCATENATE($N$6,"/",B51),Proventos!$J:$J,"="&amp;$H$2),
AND($H$2=Data!$A$5,$K$2=Data!$A$2),SUMIFS(Proventos!$H:$H,Proventos!$D:$D,"&gt;="&amp;CONCATENATE($M$6,"/",B51),Proventos!$D:$D,"&lt;"&amp;CONCATENATE($N$6,"/",B51),Proventos!$J:$J,"="&amp;$H$2),
AND($H$2=Data!$A$6,$K$2=Data!$A$2),SUMIFS(Proventos!$H:$H,Proventos!$D:$D,"&gt;="&amp;CONCATENATE($M$6,"/",B51),Proventos!$D:$D,"&lt;"&amp;CONCATENATE($N$6,"/",B51),Proventos!$J:$J,"="&amp;$H$2),
AND($H$2=Data!$A$7,$K$2=Data!$A$2),SUMIFS(Proventos!$H:$H,Proventos!$D:$D,"&gt;="&amp;CONCATENATE($M$6,"/",B51),Proventos!$D:$D,"&lt;"&amp;CONCATENATE($N$6,"/",B51),Proventos!$J:$J,"="&amp;$H$2),
AND($H$2=Data!$A$8,$K$2=Data!$A$2),SUMIFS(Proventos!$H:$H,Proventos!$D:$D,"&gt;="&amp;CONCATENATE($M$6,"/",B51),Proventos!$D:$D,"&lt;"&amp;CONCATENATE($N$6,"/",B51),Proventos!$J:$J,"="&amp;$H$2),
AND($H$2=Data!$A$9,$K$2=Data!$A$2),SUMIFS(Proventos!$H:$H,Proventos!$D:$D,"&gt;="&amp;CONCATENATE($M$6,"/",B51),Proventos!$D:$D,"&lt;"&amp;CONCATENATE($N$6,"/",B51),Proventos!$J:$J,"="&amp;$H$2),
AND($H$2=Data!$A$10,$K$2=Data!$A$2),SUMIFS(Proventos!$H:$H,Proventos!$D:$D,"&gt;="&amp;CONCATENATE($M$6,"/",B51),Proventos!$D:$D,"&lt;"&amp;CONCATENATE($N$6,"/",B51),Proventos!$J:$J,"="&amp;$H$2),
AND($H$2=Data!$A$11,$K$2=Data!$A$2),SUMIFS(Proventos!$H:$H,Proventos!$D:$D,"&gt;="&amp;CONCATENATE($M$6,"/",B51),Proventos!$D:$D,"&lt;"&amp;CONCATENATE($N$6,"/",B51),Proventos!$J:$J,"="&amp;$H$2),
$K$2=Data!$A$2,SUMIFS(Proventos!$H:$H,Proventos!$D:$D,"&gt;="&amp;CONCATENATE($M$6,"/",B51),Proventos!$D:$D,"&lt;"&amp;CONCATENATE($N$6,"/",B51)),
$K$2&lt;&gt;Data!$A$2,SUMIFS(Proventos!$H:$H,Proventos!$D:$D,"&gt;="&amp;CONCATENATE($M$6,"/",B51),Proventos!$D:$D,"&lt;"&amp;CONCATENATE($N$6,"/",B51),Proventos!$A:$A,"="&amp;$K$2))</f>
        <v>0</v>
      </c>
      <c r="N51" s="245">
        <f>IFS(
AND($H$2=Data!$A$3,$K$2=Data!$A$2),SUMIFS(Proventos!$H:$H,Proventos!$D:$D,"&gt;="&amp;CONCATENATE($N$6,"/",B51),Proventos!$D:$D,"&lt;"&amp;CONCATENATE($C$6,"/",B52),Proventos!$J:$J,"="&amp;$H$2),
AND($H$2=Data!$A$4,$K$2=Data!$A$2),SUMIFS(Proventos!$H:$H,Proventos!$D:$D,"&gt;="&amp;CONCATENATE($N$6,"/",B51),Proventos!$D:$D,"&lt;"&amp;CONCATENATE($C$6,"/",B52),Proventos!$J:$J,"="&amp;$H$2),
AND($H$2=Data!$A$5,$K$2=Data!$A$2),SUMIFS(Proventos!$H:$H,Proventos!$D:$D,"&gt;="&amp;CONCATENATE($N$6,"/",B51),Proventos!$D:$D,"&lt;"&amp;CONCATENATE($C$6,"/",B52),Proventos!$J:$J,"="&amp;$H$2),
AND($H$2=Data!$A$6,$K$2=Data!$A$2),SUMIFS(Proventos!$H:$H,Proventos!$D:$D,"&gt;="&amp;CONCATENATE($N$6,"/",B51),Proventos!$D:$D,"&lt;"&amp;CONCATENATE($C$6,"/",B52),Proventos!$J:$J,"="&amp;$H$2),
AND($H$2=Data!$A$7,$K$2=Data!$A$2),SUMIFS(Proventos!$H:$H,Proventos!$D:$D,"&gt;="&amp;CONCATENATE($N$6,"/",B51),Proventos!$D:$D,"&lt;"&amp;CONCATENATE($C$6,"/",B52),Proventos!$J:$J,"="&amp;$H$2),
AND($H$2=Data!$A$8,$K$2=Data!$A$2),SUMIFS(Proventos!$H:$H,Proventos!$D:$D,"&gt;="&amp;CONCATENATE($N$6,"/",B51),Proventos!$D:$D,"&lt;"&amp;CONCATENATE($C$6,"/",B52),Proventos!$J:$J,"="&amp;$H$2),
AND($H$2=Data!$A$9,$K$2=Data!$A$2),SUMIFS(Proventos!$H:$H,Proventos!$D:$D,"&gt;="&amp;CONCATENATE($N$6,"/",B51),Proventos!$D:$D,"&lt;"&amp;CONCATENATE($C$6,"/",B52),Proventos!$J:$J,"="&amp;$H$2),
AND($H$2=Data!$A$10,$K$2=Data!$A$2),SUMIFS(Proventos!$H:$H,Proventos!$D:$D,"&gt;="&amp;CONCATENATE($N$6,"/",B51),Proventos!$D:$D,"&lt;"&amp;CONCATENATE($C$6,"/",B52),Proventos!$J:$J,"="&amp;$H$2),
AND($H$2=Data!$A$11,$K$2=Data!$A$2),SUMIFS(Proventos!$H:$H,Proventos!$D:$D,"&gt;="&amp;CONCATENATE($N$6,"/",B51),Proventos!$D:$D,"&lt;"&amp;CONCATENATE($C$6,"/",B52),Proventos!$J:$J,"="&amp;$H$2),
$K$2=Data!$A$2,SUMIFS(Proventos!$H:$H,Proventos!$D:$D,"&gt;="&amp;CONCATENATE($N$6,"/",B51),Proventos!$D:$D,"&lt;"&amp;CONCATENATE($C$6,"/",B52)),
$K$2&lt;&gt;Data!$A$2,SUMIFS(Proventos!$H:$H,Proventos!$D:$D,"&gt;="&amp;CONCATENATE($N$6,"/",B51),Proventos!$D:$D,"&lt;"&amp;CONCATENATE($C$6,"/",B52),Proventos!$A:$A,"="&amp;$K$2))</f>
        <v>0</v>
      </c>
      <c r="O51" s="245"/>
      <c r="P51" s="245">
        <f t="shared" si="1"/>
        <v>0</v>
      </c>
      <c r="Q51" s="245">
        <f t="shared" si="2"/>
        <v>0</v>
      </c>
    </row>
    <row r="52" ht="32.25" customHeight="1">
      <c r="A52" s="230"/>
      <c r="B52" s="244"/>
      <c r="C52" s="245">
        <f>IFS(
AND($H$2=Data!$A$3,$K$2=Data!$A$2),SUMIFS(Proventos!$H:$H,Proventos!$D:$D,"&gt;="&amp;CONCATENATE($C$6,"/",B52),Proventos!$D:$D,"&lt;"&amp;CONCATENATE($D$6,"/",B52),Proventos!$J:$J,"="&amp;$H$2),
AND($H$2=Data!$A$4,$K$2=Data!$A$2),SUMIFS(Proventos!$H:$H,Proventos!$D:$D,"&gt;="&amp;CONCATENATE($C$6,"/",B52),Proventos!$D:$D,"&lt;"&amp;CONCATENATE($D$6,"/",B52),Proventos!$J:$J,"="&amp;$H$2),
AND($H$2=Data!$A$5,$K$2=Data!$A$2),SUMIFS(Proventos!$H:$H,Proventos!$D:$D,"&gt;="&amp;CONCATENATE($C$6,"/",B52),Proventos!$D:$D,"&lt;"&amp;CONCATENATE($D$6,"/",B52),Proventos!$J:$J,"="&amp;$H$2),
AND($H$2=Data!$A$6,$K$2=Data!$A$2),SUMIFS(Proventos!$H:$H,Proventos!$D:$D,"&gt;="&amp;CONCATENATE($C$6,"/",B52),Proventos!$D:$D,"&lt;"&amp;CONCATENATE($D$6,"/",B52),Proventos!$J:$J,"="&amp;$H$2),
AND($H$2=Data!$A$7,$K$2=Data!$A$2),SUMIFS(Proventos!$H:$H,Proventos!$D:$D,"&gt;="&amp;CONCATENATE($C$6,"/",B52),Proventos!$D:$D,"&lt;"&amp;CONCATENATE($D$6,"/",B52),Proventos!$J:$J,"="&amp;$H$2),
AND($H$2=Data!$A$8,$K$2=Data!$A$2),SUMIFS(Proventos!$H:$H,Proventos!$D:$D,"&gt;="&amp;CONCATENATE($C$6,"/",B52),Proventos!$D:$D,"&lt;"&amp;CONCATENATE($D$6,"/",B52),Proventos!$J:$J,"="&amp;$H$2),
AND($H$2=Data!$A$9,$K$2=Data!$A$2),SUMIFS(Proventos!$H:$H,Proventos!$D:$D,"&gt;="&amp;CONCATENATE($C$6,"/",B52),Proventos!$D:$D,"&lt;"&amp;CONCATENATE($D$6,"/",B52),Proventos!$J:$J,"="&amp;$H$2),
AND($H$2=Data!$A$10,$K$2=Data!$A$2),SUMIFS(Proventos!$H:$H,Proventos!$D:$D,"&gt;="&amp;CONCATENATE($C$6,"/",B52),Proventos!$D:$D,"&lt;"&amp;CONCATENATE($D$6,"/",B52),Proventos!$J:$J,"="&amp;$H$2),
AND($H$2=Data!$A$11,$K$2=Data!$A$2),SUMIFS(Proventos!$H:$H,Proventos!$D:$D,"&gt;="&amp;CONCATENATE($C$6,"/",B52),Proventos!$D:$D,"&lt;"&amp;CONCATENATE($D$6,"/",B52),Proventos!$J:$J,"="&amp;$H$2),
$K$2=Data!$A$2,SUMIFS(Proventos!$H:$H,Proventos!$D:$D,"&gt;="&amp;CONCATENATE($C$6,"/",B52),Proventos!$D:$D,"&lt;"&amp;CONCATENATE($D$6,"/",B52)),
$K$2&lt;&gt;Data!$A$2,SUMIFS(Proventos!$H:$H,Proventos!$D:$D,"&gt;="&amp;CONCATENATE($C$6,"/",B52),Proventos!$D:$D,"&lt;"&amp;CONCATENATE($D$6,"/",B52),Proventos!$A:$A,"="&amp;$K$2))</f>
        <v>0</v>
      </c>
      <c r="D52" s="245">
        <f>IFS(
AND($H$2=Data!$A$3,$K$2=Data!$A$2),SUMIFS(Proventos!$H:$H,Proventos!$D:$D,"&gt;="&amp;CONCATENATE($D$6,"/",B52),Proventos!$D:$D,"&lt;"&amp;CONCATENATE($E$6,"/",B52),Proventos!$J:$J,"="&amp;$H$2),
AND($H$2=Data!$A$4,$K$2=Data!$A$2),SUMIFS(Proventos!$H:$H,Proventos!$D:$D,"&gt;="&amp;CONCATENATE($D$6,"/",B52),Proventos!$D:$D,"&lt;"&amp;CONCATENATE($E$6,"/",B52),Proventos!$J:$J,"="&amp;$H$2),
AND($H$2=Data!$A$5,$K$2=Data!$A$2),SUMIFS(Proventos!$H:$H,Proventos!$D:$D,"&gt;="&amp;CONCATENATE($D$6,"/",B52),Proventos!$D:$D,"&lt;"&amp;CONCATENATE($E$6,"/",B52),Proventos!$J:$J,"="&amp;$H$2),
AND($H$2=Data!$A$6,$K$2=Data!$A$2),SUMIFS(Proventos!$H:$H,Proventos!$D:$D,"&gt;="&amp;CONCATENATE($D$6,"/",B52),Proventos!$D:$D,"&lt;"&amp;CONCATENATE($E$6,"/",B52),Proventos!$J:$J,"="&amp;$H$2),
AND($H$2=Data!$A$7,$K$2=Data!$A$2),SUMIFS(Proventos!$H:$H,Proventos!$D:$D,"&gt;="&amp;CONCATENATE($D$6,"/",B52),Proventos!$D:$D,"&lt;"&amp;CONCATENATE($E$6,"/",B52),Proventos!$J:$J,"="&amp;$H$2),
AND($H$2=Data!$A$8,$K$2=Data!$A$2),SUMIFS(Proventos!$H:$H,Proventos!$D:$D,"&gt;="&amp;CONCATENATE($D$6,"/",B52),Proventos!$D:$D,"&lt;"&amp;CONCATENATE($E$6,"/",B52),Proventos!$J:$J,"="&amp;$H$2),
AND($H$2=Data!$A$9,$K$2=Data!$A$2),SUMIFS(Proventos!$H:$H,Proventos!$D:$D,"&gt;="&amp;CONCATENATE($D$6,"/",B52),Proventos!$D:$D,"&lt;"&amp;CONCATENATE($E$6,"/",B52),Proventos!$J:$J,"="&amp;$H$2),
AND($H$2=Data!$A$10,$K$2=Data!$A$2),SUMIFS(Proventos!$H:$H,Proventos!$D:$D,"&gt;="&amp;CONCATENATE($D$6,"/",B52),Proventos!$D:$D,"&lt;"&amp;CONCATENATE($E$6,"/",B52),Proventos!$J:$J,"="&amp;$H$2),
AND($H$2=Data!$A$11,$K$2=Data!$A$2),SUMIFS(Proventos!$H:$H,Proventos!$D:$D,"&gt;="&amp;CONCATENATE($D$6,"/",B52),Proventos!$D:$D,"&lt;"&amp;CONCATENATE($E$6,"/",B52),Proventos!$J:$J,"="&amp;$H$2),
$K$2=Data!$A$2,SUMIFS(Proventos!$H:$H,Proventos!$D:$D,"&gt;="&amp;CONCATENATE($D$6,"/",B52),Proventos!$D:$D,"&lt;"&amp;CONCATENATE($E$6,"/",B52)),
$K$2&lt;&gt;Data!$A$2,SUMIFS(Proventos!$H:$H,Proventos!$D:$D,"&gt;="&amp;CONCATENATE($D$6,"/",B52),Proventos!$D:$D,"&lt;"&amp;CONCATENATE($E$6,"/",B52),Proventos!$A:$A,"="&amp;$K$2))</f>
        <v>0</v>
      </c>
      <c r="E52" s="245">
        <f>IFS(
AND($H$2=Data!$A$3,$K$2=Data!$A$2),SUMIFS(Proventos!$H:$H,Proventos!$D:$D,"&gt;="&amp;CONCATENATE($E$6,"/",B52),Proventos!$D:$D,"&lt;"&amp;CONCATENATE($F$6,"/",B52),Proventos!$J:$J,"="&amp;$H$2),
AND($H$2=Data!$A$4,$K$2=Data!$A$2),SUMIFS(Proventos!$H:$H,Proventos!$D:$D,"&gt;="&amp;CONCATENATE($E$6,"/",B52),Proventos!$D:$D,"&lt;"&amp;CONCATENATE($F$6,"/",B52),Proventos!$J:$J,"="&amp;$H$2),
AND($H$2=Data!$A$5,$K$2=Data!$A$2),SUMIFS(Proventos!$H:$H,Proventos!$D:$D,"&gt;="&amp;CONCATENATE($E$6,"/",B52),Proventos!$D:$D,"&lt;"&amp;CONCATENATE($F$6,"/",B52),Proventos!$J:$J,"="&amp;$H$2),
AND($H$2=Data!$A$6,$K$2=Data!$A$2),SUMIFS(Proventos!$H:$H,Proventos!$D:$D,"&gt;="&amp;CONCATENATE($E$6,"/",B52),Proventos!$D:$D,"&lt;"&amp;CONCATENATE($F$6,"/",B52),Proventos!$J:$J,"="&amp;$H$2),
AND($H$2=Data!$A$7,$K$2=Data!$A$2),SUMIFS(Proventos!$H:$H,Proventos!$D:$D,"&gt;="&amp;CONCATENATE($E$6,"/",B52),Proventos!$D:$D,"&lt;"&amp;CONCATENATE($F$6,"/",B52),Proventos!$J:$J,"="&amp;$H$2),
AND($H$2=Data!$A$8,$K$2=Data!$A$2),SUMIFS(Proventos!$H:$H,Proventos!$D:$D,"&gt;="&amp;CONCATENATE($E$6,"/",B52),Proventos!$D:$D,"&lt;"&amp;CONCATENATE($F$6,"/",B52),Proventos!$J:$J,"="&amp;$H$2),
AND($H$2=Data!$A$9,$K$2=Data!$A$2),SUMIFS(Proventos!$H:$H,Proventos!$D:$D,"&gt;="&amp;CONCATENATE($E$6,"/",B52),Proventos!$D:$D,"&lt;"&amp;CONCATENATE($F$6,"/",B52),Proventos!$J:$J,"="&amp;$H$2),
AND($H$2=Data!$A$10,$K$2=Data!$A$2),SUMIFS(Proventos!$H:$H,Proventos!$D:$D,"&gt;="&amp;CONCATENATE($E$6,"/",B52),Proventos!$D:$D,"&lt;"&amp;CONCATENATE($F$6,"/",B52),Proventos!$J:$J,"="&amp;$H$2),
AND($H$2=Data!$A$11,$K$2=Data!$A$2),SUMIFS(Proventos!$H:$H,Proventos!$D:$D,"&gt;="&amp;CONCATENATE($E$6,"/",B52),Proventos!$D:$D,"&lt;"&amp;CONCATENATE($F$6,"/",B52),Proventos!$J:$J,"="&amp;$H$2),
$K$2=Data!$A$2,SUMIFS(Proventos!$H:$H,Proventos!$D:$D,"&gt;="&amp;CONCATENATE($E$6,"/",B52),Proventos!$D:$D,"&lt;"&amp;CONCATENATE($F$6,"/",B52)),
$K$2&lt;&gt;Data!$A$2,SUMIFS(Proventos!$H:$H,Proventos!$D:$D,"&gt;="&amp;CONCATENATE($E$6,"/",B52),Proventos!$D:$D,"&lt;"&amp;CONCATENATE($F$6,"/",B52),Proventos!$A:$A,"="&amp;$K$2))</f>
        <v>0</v>
      </c>
      <c r="F52" s="245">
        <f>IFS(
AND($H$2=Data!$A$3,$K$2=Data!$A$2),SUMIFS(Proventos!$H:$H,Proventos!$D:$D,"&gt;="&amp;CONCATENATE($F$6,"/",B52),Proventos!$D:$D,"&lt;"&amp;CONCATENATE($G$6,"/",B52),Proventos!$J:$J,"="&amp;$H$2),
AND($H$2=Data!$A$4,$K$2=Data!$A$2),SUMIFS(Proventos!$H:$H,Proventos!$D:$D,"&gt;="&amp;CONCATENATE($F$6,"/",B52),Proventos!$D:$D,"&lt;"&amp;CONCATENATE($G$6,"/",B52),Proventos!$J:$J,"="&amp;$H$2),
AND($H$2=Data!$A$5,$K$2=Data!$A$2),SUMIFS(Proventos!$H:$H,Proventos!$D:$D,"&gt;="&amp;CONCATENATE($F$6,"/",B52),Proventos!$D:$D,"&lt;"&amp;CONCATENATE($G$6,"/",B52),Proventos!$J:$J,"="&amp;$H$2),
AND($H$2=Data!$A$6,$K$2=Data!$A$2),SUMIFS(Proventos!$H:$H,Proventos!$D:$D,"&gt;="&amp;CONCATENATE($F$6,"/",B52),Proventos!$D:$D,"&lt;"&amp;CONCATENATE($G$6,"/",B52),Proventos!$J:$J,"="&amp;$H$2),
AND($H$2=Data!$A$7,$K$2=Data!$A$2),SUMIFS(Proventos!$H:$H,Proventos!$D:$D,"&gt;="&amp;CONCATENATE($F$6,"/",B52),Proventos!$D:$D,"&lt;"&amp;CONCATENATE($G$6,"/",B52),Proventos!$J:$J,"="&amp;$H$2),
AND($H$2=Data!$A$8,$K$2=Data!$A$2),SUMIFS(Proventos!$H:$H,Proventos!$D:$D,"&gt;="&amp;CONCATENATE($F$6,"/",B52),Proventos!$D:$D,"&lt;"&amp;CONCATENATE($G$6,"/",B52),Proventos!$J:$J,"="&amp;$H$2),
AND($H$2=Data!$A$9,$K$2=Data!$A$2),SUMIFS(Proventos!$H:$H,Proventos!$D:$D,"&gt;="&amp;CONCATENATE($F$6,"/",B52),Proventos!$D:$D,"&lt;"&amp;CONCATENATE($G$6,"/",B52),Proventos!$J:$J,"="&amp;$H$2),
AND($H$2=Data!$A$10,$K$2=Data!$A$2),SUMIFS(Proventos!$H:$H,Proventos!$D:$D,"&gt;="&amp;CONCATENATE($F$6,"/",B52),Proventos!$D:$D,"&lt;"&amp;CONCATENATE($G$6,"/",B52),Proventos!$J:$J,"="&amp;$H$2),
AND($H$2=Data!$A$11,$K$2=Data!$A$2),SUMIFS(Proventos!$H:$H,Proventos!$D:$D,"&gt;="&amp;CONCATENATE($F$6,"/",B52),Proventos!$D:$D,"&lt;"&amp;CONCATENATE($G$6,"/",B52),Proventos!$J:$J,"="&amp;$H$2),
$K$2=Data!$A$2,SUMIFS(Proventos!$H:$H,Proventos!$D:$D,"&gt;="&amp;CONCATENATE($F$6,"/",B52),Proventos!$D:$D,"&lt;"&amp;CONCATENATE($G$6,"/",B52)),
$K$2&lt;&gt;Data!$A$2,SUMIFS(Proventos!$H:$H,Proventos!$D:$D,"&gt;="&amp;CONCATENATE($F$6,"/",B52),Proventos!$D:$D,"&lt;"&amp;CONCATENATE($G$6,"/",B52),Proventos!$A:$A,"="&amp;$K$2))</f>
        <v>0</v>
      </c>
      <c r="G52" s="245">
        <f>IFS(
AND($H$2=Data!$A$3,$K$2=Data!$A$2),SUMIFS(Proventos!$H:$H,Proventos!$D:$D,"&gt;="&amp;CONCATENATE($G$6,"/",B52),Proventos!$D:$D,"&lt;"&amp;CONCATENATE($H$6,"/",B52),Proventos!$J:$J,"="&amp;$H$2),
AND($H$2=Data!$A$4,$K$2=Data!$A$2),SUMIFS(Proventos!$H:$H,Proventos!$D:$D,"&gt;="&amp;CONCATENATE($G$6,"/",B52),Proventos!$D:$D,"&lt;"&amp;CONCATENATE($H$6,"/",B52),Proventos!$J:$J,"="&amp;$H$2),
AND($H$2=Data!$A$5,$K$2=Data!$A$2),SUMIFS(Proventos!$H:$H,Proventos!$D:$D,"&gt;="&amp;CONCATENATE($G$6,"/",B52),Proventos!$D:$D,"&lt;"&amp;CONCATENATE($H$6,"/",B52),Proventos!$J:$J,"="&amp;$H$2),
AND($H$2=Data!$A$6,$K$2=Data!$A$2),SUMIFS(Proventos!$H:$H,Proventos!$D:$D,"&gt;="&amp;CONCATENATE($G$6,"/",B52),Proventos!$D:$D,"&lt;"&amp;CONCATENATE($H$6,"/",B52),Proventos!$J:$J,"="&amp;$H$2),
AND($H$2=Data!$A$7,$K$2=Data!$A$2),SUMIFS(Proventos!$H:$H,Proventos!$D:$D,"&gt;="&amp;CONCATENATE($G$6,"/",B52),Proventos!$D:$D,"&lt;"&amp;CONCATENATE($H$6,"/",B52),Proventos!$J:$J,"="&amp;$H$2),
AND($H$2=Data!$A$8,$K$2=Data!$A$2),SUMIFS(Proventos!$H:$H,Proventos!$D:$D,"&gt;="&amp;CONCATENATE($G$6,"/",B52),Proventos!$D:$D,"&lt;"&amp;CONCATENATE($H$6,"/",B52),Proventos!$J:$J,"="&amp;$H$2),
AND($H$2=Data!$A$9,$K$2=Data!$A$2),SUMIFS(Proventos!$H:$H,Proventos!$D:$D,"&gt;="&amp;CONCATENATE($G$6,"/",B52),Proventos!$D:$D,"&lt;"&amp;CONCATENATE($H$6,"/",B52),Proventos!$J:$J,"="&amp;$H$2),
AND($H$2=Data!$A$10,$K$2=Data!$A$2),SUMIFS(Proventos!$H:$H,Proventos!$D:$D,"&gt;="&amp;CONCATENATE($G$6,"/",B52),Proventos!$D:$D,"&lt;"&amp;CONCATENATE($H$6,"/",B52),Proventos!$J:$J,"="&amp;$H$2),
AND($H$2=Data!$A$11,$K$2=Data!$A$2),SUMIFS(Proventos!$H:$H,Proventos!$D:$D,"&gt;="&amp;CONCATENATE($G$6,"/",B52),Proventos!$D:$D,"&lt;"&amp;CONCATENATE($H$6,"/",B52),Proventos!$J:$J,"="&amp;$H$2),
$K$2=Data!$A$2,SUMIFS(Proventos!$H:$H,Proventos!$D:$D,"&gt;="&amp;CONCATENATE($G$6,"/",B52),Proventos!$D:$D,"&lt;"&amp;CONCATENATE($H$6,"/",B52)),
$K$2&lt;&gt;Data!$A$2,SUMIFS(Proventos!$H:$H,Proventos!$D:$D,"&gt;="&amp;CONCATENATE($G$6,"/",B52),Proventos!$D:$D,"&lt;"&amp;CONCATENATE($H$6,"/",B52),Proventos!$A:$A,"="&amp;$K$2))</f>
        <v>0</v>
      </c>
      <c r="H52" s="245">
        <f>IFS(
AND($H$2=Data!$A$3,$K$2=Data!$A$2),SUMIFS(Proventos!$H:$H,Proventos!$D:$D,"&gt;="&amp;CONCATENATE($H$6,"/",B52),Proventos!$D:$D,"&lt;"&amp;CONCATENATE($I$6,"/",B52),Proventos!$J:$J,"="&amp;$H$2),
AND($H$2=Data!$A$4,$K$2=Data!$A$2),SUMIFS(Proventos!$H:$H,Proventos!$D:$D,"&gt;="&amp;CONCATENATE($H$6,"/",B52),Proventos!$D:$D,"&lt;"&amp;CONCATENATE($I$6,"/",B52),Proventos!$J:$J,"="&amp;$H$2),
AND($H$2=Data!$A$5,$K$2=Data!$A$2),SUMIFS(Proventos!$H:$H,Proventos!$D:$D,"&gt;="&amp;CONCATENATE($H$6,"/",B52),Proventos!$D:$D,"&lt;"&amp;CONCATENATE($I$6,"/",B52),Proventos!$J:$J,"="&amp;$H$2),
AND($H$2=Data!$A$6,$K$2=Data!$A$2),SUMIFS(Proventos!$H:$H,Proventos!$D:$D,"&gt;="&amp;CONCATENATE($H$6,"/",B52),Proventos!$D:$D,"&lt;"&amp;CONCATENATE($I$6,"/",B52),Proventos!$J:$J,"="&amp;$H$2),
AND($H$2=Data!$A$7,$K$2=Data!$A$2),SUMIFS(Proventos!$H:$H,Proventos!$D:$D,"&gt;="&amp;CONCATENATE($H$6,"/",B52),Proventos!$D:$D,"&lt;"&amp;CONCATENATE($I$6,"/",B52),Proventos!$J:$J,"="&amp;$H$2),
AND($H$2=Data!$A$8,$K$2=Data!$A$2),SUMIFS(Proventos!$H:$H,Proventos!$D:$D,"&gt;="&amp;CONCATENATE($H$6,"/",B52),Proventos!$D:$D,"&lt;"&amp;CONCATENATE($I$6,"/",B52),Proventos!$J:$J,"="&amp;$H$2),
AND($H$2=Data!$A$9,$K$2=Data!$A$2),SUMIFS(Proventos!$H:$H,Proventos!$D:$D,"&gt;="&amp;CONCATENATE($H$6,"/",B52),Proventos!$D:$D,"&lt;"&amp;CONCATENATE($I$6,"/",B52),Proventos!$J:$J,"="&amp;$H$2),
AND($H$2=Data!$A$10,$K$2=Data!$A$2),SUMIFS(Proventos!$H:$H,Proventos!$D:$D,"&gt;="&amp;CONCATENATE($H$6,"/",B52),Proventos!$D:$D,"&lt;"&amp;CONCATENATE($I$6,"/",B52),Proventos!$J:$J,"="&amp;$H$2),
AND($H$2=Data!$A$11,$K$2=Data!$A$2),SUMIFS(Proventos!$H:$H,Proventos!$D:$D,"&gt;="&amp;CONCATENATE($H$6,"/",B52),Proventos!$D:$D,"&lt;"&amp;CONCATENATE($I$6,"/",B52),Proventos!$J:$J,"="&amp;$H$2),
$K$2=Data!$A$2,SUMIFS(Proventos!$H:$H,Proventos!$D:$D,"&gt;="&amp;CONCATENATE($H$6,"/",B52),Proventos!$D:$D,"&lt;"&amp;CONCATENATE($I$6,"/",B52)),
$K$2&lt;&gt;Data!$A$2,SUMIFS(Proventos!$H:$H,Proventos!$D:$D,"&gt;="&amp;CONCATENATE($H$6,"/",B52),Proventos!$D:$D,"&lt;"&amp;CONCATENATE($I$6,"/",B52),Proventos!$A:$A,"="&amp;$K$2))</f>
        <v>0</v>
      </c>
      <c r="I52" s="245">
        <f>IFS(
AND($H$2=Data!$A$3,$K$2=Data!$A$2),SUMIFS(Proventos!$H:$H,Proventos!$D:$D,"&gt;="&amp;CONCATENATE($I$6,"/",B52),Proventos!$D:$D,"&lt;"&amp;CONCATENATE($J$6,"/",B52),Proventos!$J:$J,"="&amp;$H$2),
AND($H$2=Data!$A$4,$K$2=Data!$A$2),SUMIFS(Proventos!$H:$H,Proventos!$D:$D,"&gt;="&amp;CONCATENATE($I$6,"/",B52),Proventos!$D:$D,"&lt;"&amp;CONCATENATE($J$6,"/",B52),Proventos!$J:$J,"="&amp;$H$2),
AND($H$2=Data!$A$5,$K$2=Data!$A$2),SUMIFS(Proventos!$H:$H,Proventos!$D:$D,"&gt;="&amp;CONCATENATE($I$6,"/",B52),Proventos!$D:$D,"&lt;"&amp;CONCATENATE($J$6,"/",B52),Proventos!$J:$J,"="&amp;$H$2),
AND($H$2=Data!$A$6,$K$2=Data!$A$2),SUMIFS(Proventos!$H:$H,Proventos!$D:$D,"&gt;="&amp;CONCATENATE($I$6,"/",B52),Proventos!$D:$D,"&lt;"&amp;CONCATENATE($J$6,"/",B52),Proventos!$J:$J,"="&amp;$H$2),
AND($H$2=Data!$A$7,$K$2=Data!$A$2),SUMIFS(Proventos!$H:$H,Proventos!$D:$D,"&gt;="&amp;CONCATENATE($I$6,"/",B52),Proventos!$D:$D,"&lt;"&amp;CONCATENATE($J$6,"/",B52),Proventos!$J:$J,"="&amp;$H$2),
AND($H$2=Data!$A$8,$K$2=Data!$A$2),SUMIFS(Proventos!$H:$H,Proventos!$D:$D,"&gt;="&amp;CONCATENATE($I$6,"/",B52),Proventos!$D:$D,"&lt;"&amp;CONCATENATE($J$6,"/",B52),Proventos!$J:$J,"="&amp;$H$2),
AND($H$2=Data!$A$9,$K$2=Data!$A$2),SUMIFS(Proventos!$H:$H,Proventos!$D:$D,"&gt;="&amp;CONCATENATE($I$6,"/",B52),Proventos!$D:$D,"&lt;"&amp;CONCATENATE($J$6,"/",B52),Proventos!$J:$J,"="&amp;$H$2),
AND($H$2=Data!$A$10,$K$2=Data!$A$2),SUMIFS(Proventos!$H:$H,Proventos!$D:$D,"&gt;="&amp;CONCATENATE($I$6,"/",B52),Proventos!$D:$D,"&lt;"&amp;CONCATENATE($J$6,"/",B52),Proventos!$J:$J,"="&amp;$H$2),
AND($H$2=Data!$A$11,$K$2=Data!$A$2),SUMIFS(Proventos!$H:$H,Proventos!$D:$D,"&gt;="&amp;CONCATENATE($I$6,"/",B52),Proventos!$D:$D,"&lt;"&amp;CONCATENATE($J$6,"/",B52),Proventos!$J:$J,"="&amp;$H$2),
$K$2=Data!$A$2,SUMIFS(Proventos!$H:$H,Proventos!$D:$D,"&gt;="&amp;CONCATENATE($I$6,"/",B52),Proventos!$D:$D,"&lt;"&amp;CONCATENATE($J$6,"/",B52)),
$K$2&lt;&gt;Data!$A$2,SUMIFS(Proventos!$H:$H,Proventos!$D:$D,"&gt;="&amp;CONCATENATE($I$6,"/",B52),Proventos!$D:$D,"&lt;"&amp;CONCATENATE($J$6,"/",B52),Proventos!$A:$A,"="&amp;$K$2))</f>
        <v>0</v>
      </c>
      <c r="J52" s="245">
        <f>IFS(
AND($H$2=Data!$A$3,$K$2=Data!$A$2),SUMIFS(Proventos!$H:$H,Proventos!$D:$D,"&gt;="&amp;CONCATENATE($J$6,"/",B52),Proventos!$D:$D,"&lt;"&amp;CONCATENATE($K$6,"/",B52),Proventos!$J:$J,"="&amp;$H$2),
AND($H$2=Data!$A$4,$K$2=Data!$A$2),SUMIFS(Proventos!$H:$H,Proventos!$D:$D,"&gt;="&amp;CONCATENATE($J$6,"/",B52),Proventos!$D:$D,"&lt;"&amp;CONCATENATE($K$6,"/",B52),Proventos!$J:$J,"="&amp;$H$2),
AND($H$2=Data!$A$5,$K$2=Data!$A$2),SUMIFS(Proventos!$H:$H,Proventos!$D:$D,"&gt;="&amp;CONCATENATE($J$6,"/",B52),Proventos!$D:$D,"&lt;"&amp;CONCATENATE($K$6,"/",B52),Proventos!$J:$J,"="&amp;$H$2),
AND($H$2=Data!$A$6,$K$2=Data!$A$2),SUMIFS(Proventos!$H:$H,Proventos!$D:$D,"&gt;="&amp;CONCATENATE($J$6,"/",B52),Proventos!$D:$D,"&lt;"&amp;CONCATENATE($K$6,"/",B52),Proventos!$J:$J,"="&amp;$H$2),
AND($H$2=Data!$A$7,$K$2=Data!$A$2),SUMIFS(Proventos!$H:$H,Proventos!$D:$D,"&gt;="&amp;CONCATENATE($J$6,"/",B52),Proventos!$D:$D,"&lt;"&amp;CONCATENATE($K$6,"/",B52),Proventos!$J:$J,"="&amp;$H$2),
AND($H$2=Data!$A$8,$K$2=Data!$A$2),SUMIFS(Proventos!$H:$H,Proventos!$D:$D,"&gt;="&amp;CONCATENATE($J$6,"/",B52),Proventos!$D:$D,"&lt;"&amp;CONCATENATE($K$6,"/",B52),Proventos!$J:$J,"="&amp;$H$2),
AND($H$2=Data!$A$9,$K$2=Data!$A$2),SUMIFS(Proventos!$H:$H,Proventos!$D:$D,"&gt;="&amp;CONCATENATE($J$6,"/",B52),Proventos!$D:$D,"&lt;"&amp;CONCATENATE($K$6,"/",B52),Proventos!$J:$J,"="&amp;$H$2),
AND($H$2=Data!$A$10,$K$2=Data!$A$2),SUMIFS(Proventos!$H:$H,Proventos!$D:$D,"&gt;="&amp;CONCATENATE($J$6,"/",B52),Proventos!$D:$D,"&lt;"&amp;CONCATENATE($K$6,"/",B52),Proventos!$J:$J,"="&amp;$H$2),
AND($H$2=Data!$A$11,$K$2=Data!$A$2),SUMIFS(Proventos!$H:$H,Proventos!$D:$D,"&gt;="&amp;CONCATENATE($J$6,"/",B52),Proventos!$D:$D,"&lt;"&amp;CONCATENATE($K$6,"/",B52),Proventos!$J:$J,"="&amp;$H$2),
$K$2=Data!$A$2,SUMIFS(Proventos!$H:$H,Proventos!$D:$D,"&gt;="&amp;CONCATENATE($J$6,"/",B52),Proventos!$D:$D,"&lt;"&amp;CONCATENATE($K$6,"/",B52)),
$K$2&lt;&gt;Data!$A$2,SUMIFS(Proventos!$H:$H,Proventos!$D:$D,"&gt;="&amp;CONCATENATE($J$6,"/",B52),Proventos!$D:$D,"&lt;"&amp;CONCATENATE($K$6,"/",B52),Proventos!$A:$A,"="&amp;$K$2))</f>
        <v>0</v>
      </c>
      <c r="K52" s="245">
        <f>IFS(
AND($H$2=Data!$A$3,$K$2=Data!$A$2),SUMIFS(Proventos!$H:$H,Proventos!$D:$D,"&gt;="&amp;CONCATENATE($K$6,"/",B52),Proventos!$D:$D,"&lt;"&amp;CONCATENATE($L$6,"/",B52),Proventos!$J:$J,"="&amp;$H$2),
AND($H$2=Data!$A$4,$K$2=Data!$A$2),SUMIFS(Proventos!$H:$H,Proventos!$D:$D,"&gt;="&amp;CONCATENATE($K$6,"/",B52),Proventos!$D:$D,"&lt;"&amp;CONCATENATE($L$6,"/",B52),Proventos!$J:$J,"="&amp;$H$2),
AND($H$2=Data!$A$5,$K$2=Data!$A$2),SUMIFS(Proventos!$H:$H,Proventos!$D:$D,"&gt;="&amp;CONCATENATE($K$6,"/",B52),Proventos!$D:$D,"&lt;"&amp;CONCATENATE($L$6,"/",B52),Proventos!$J:$J,"="&amp;$H$2),
AND($H$2=Data!$A$6,$K$2=Data!$A$2),SUMIFS(Proventos!$H:$H,Proventos!$D:$D,"&gt;="&amp;CONCATENATE($K$6,"/",B52),Proventos!$D:$D,"&lt;"&amp;CONCATENATE($L$6,"/",B52),Proventos!$J:$J,"="&amp;$H$2),
AND($H$2=Data!$A$7,$K$2=Data!$A$2),SUMIFS(Proventos!$H:$H,Proventos!$D:$D,"&gt;="&amp;CONCATENATE($K$6,"/",B52),Proventos!$D:$D,"&lt;"&amp;CONCATENATE($L$6,"/",B52),Proventos!$J:$J,"="&amp;$H$2),
AND($H$2=Data!$A$8,$K$2=Data!$A$2),SUMIFS(Proventos!$H:$H,Proventos!$D:$D,"&gt;="&amp;CONCATENATE($K$6,"/",B52),Proventos!$D:$D,"&lt;"&amp;CONCATENATE($L$6,"/",B52),Proventos!$J:$J,"="&amp;$H$2),
AND($H$2=Data!$A$9,$K$2=Data!$A$2),SUMIFS(Proventos!$H:$H,Proventos!$D:$D,"&gt;="&amp;CONCATENATE($K$6,"/",B52),Proventos!$D:$D,"&lt;"&amp;CONCATENATE($L$6,"/",B52),Proventos!$J:$J,"="&amp;$H$2),
AND($H$2=Data!$A$10,$K$2=Data!$A$2),SUMIFS(Proventos!$H:$H,Proventos!$D:$D,"&gt;="&amp;CONCATENATE($K$6,"/",B52),Proventos!$D:$D,"&lt;"&amp;CONCATENATE($L$6,"/",B52),Proventos!$J:$J,"="&amp;$H$2),
AND($H$2=Data!$A$11,$K$2=Data!$A$2),SUMIFS(Proventos!$H:$H,Proventos!$D:$D,"&gt;="&amp;CONCATENATE($K$6,"/",B52),Proventos!$D:$D,"&lt;"&amp;CONCATENATE($L$6,"/",B52),Proventos!$J:$J,"="&amp;$H$2),
$K$2=Data!$A$2,SUMIFS(Proventos!$H:$H,Proventos!$D:$D,"&gt;="&amp;CONCATENATE($K$6,"/",B52),Proventos!$D:$D,"&lt;"&amp;CONCATENATE($L$6,"/",B52)),
$K$2&lt;&gt;Data!$A$2,SUMIFS(Proventos!$H:$H,Proventos!$D:$D,"&gt;="&amp;CONCATENATE($K$6,"/",B52),Proventos!$D:$D,"&lt;"&amp;CONCATENATE($L$6,"/",B52),Proventos!$A:$A,"="&amp;$K$2))</f>
        <v>0</v>
      </c>
      <c r="L52" s="245">
        <f>IFS(
AND($H$2=Data!$A$3,$K$2=Data!$A$2),SUMIFS(Proventos!$H:$H,Proventos!$D:$D,"&gt;="&amp;CONCATENATE($L$6,"/",B52),Proventos!$D:$D,"&lt;"&amp;CONCATENATE($M$6,"/",B52),Proventos!$J:$J,"="&amp;$H$2),
AND($H$2=Data!$A$4,$K$2=Data!$A$2),SUMIFS(Proventos!$H:$H,Proventos!$D:$D,"&gt;="&amp;CONCATENATE($L$6,"/",B52),Proventos!$D:$D,"&lt;"&amp;CONCATENATE($M$6,"/",B52),Proventos!$J:$J,"="&amp;$H$2),
AND($H$2=Data!$A$5,$K$2=Data!$A$2),SUMIFS(Proventos!$H:$H,Proventos!$D:$D,"&gt;="&amp;CONCATENATE($L$6,"/",B52),Proventos!$D:$D,"&lt;"&amp;CONCATENATE($M$6,"/",B52),Proventos!$J:$J,"="&amp;$H$2),
AND($H$2=Data!$A$6,$K$2=Data!$A$2),SUMIFS(Proventos!$H:$H,Proventos!$D:$D,"&gt;="&amp;CONCATENATE($L$6,"/",B52),Proventos!$D:$D,"&lt;"&amp;CONCATENATE($M$6,"/",B52),Proventos!$J:$J,"="&amp;$H$2),
AND($H$2=Data!$A$7,$K$2=Data!$A$2),SUMIFS(Proventos!$H:$H,Proventos!$D:$D,"&gt;="&amp;CONCATENATE($L$6,"/",B52),Proventos!$D:$D,"&lt;"&amp;CONCATENATE($M$6,"/",B52),Proventos!$J:$J,"="&amp;$H$2),
AND($H$2=Data!$A$8,$K$2=Data!$A$2),SUMIFS(Proventos!$H:$H,Proventos!$D:$D,"&gt;="&amp;CONCATENATE($L$6,"/",B52),Proventos!$D:$D,"&lt;"&amp;CONCATENATE($M$6,"/",B52),Proventos!$J:$J,"="&amp;$H$2),
AND($H$2=Data!$A$9,$K$2=Data!$A$2),SUMIFS(Proventos!$H:$H,Proventos!$D:$D,"&gt;="&amp;CONCATENATE($L$6,"/",B52),Proventos!$D:$D,"&lt;"&amp;CONCATENATE($M$6,"/",B52),Proventos!$J:$J,"="&amp;$H$2),
AND($H$2=Data!$A$10,$K$2=Data!$A$2),SUMIFS(Proventos!$H:$H,Proventos!$D:$D,"&gt;="&amp;CONCATENATE($L$6,"/",B52),Proventos!$D:$D,"&lt;"&amp;CONCATENATE($M$6,"/",B52),Proventos!$J:$J,"="&amp;$H$2),
AND($H$2=Data!$A$11,$K$2=Data!$A$2),SUMIFS(Proventos!$H:$H,Proventos!$D:$D,"&gt;="&amp;CONCATENATE($L$6,"/",B52),Proventos!$D:$D,"&lt;"&amp;CONCATENATE($M$6,"/",B52),Proventos!$J:$J,"="&amp;$H$2),
$K$2=Data!$A$2,SUMIFS(Proventos!$H:$H,Proventos!$D:$D,"&gt;="&amp;CONCATENATE($L$6,"/",B52),Proventos!$D:$D,"&lt;"&amp;CONCATENATE($M$6,"/",B52)),
$K$2&lt;&gt;Data!$A$2,SUMIFS(Proventos!$H:$H,Proventos!$D:$D,"&gt;="&amp;CONCATENATE($L$6,"/",B52),Proventos!$D:$D,"&lt;"&amp;CONCATENATE($M$6,"/",B52),Proventos!$A:$A,"="&amp;$K$2))</f>
        <v>0</v>
      </c>
      <c r="M52" s="245">
        <f>IFS(
AND($H$2=Data!$A$3,$K$2=Data!$A$2),SUMIFS(Proventos!$H:$H,Proventos!$D:$D,"&gt;="&amp;CONCATENATE($M$6,"/",B52),Proventos!$D:$D,"&lt;"&amp;CONCATENATE($N$6,"/",B52),Proventos!$J:$J,"="&amp;$H$2),
AND($H$2=Data!$A$4,$K$2=Data!$A$2),SUMIFS(Proventos!$H:$H,Proventos!$D:$D,"&gt;="&amp;CONCATENATE($M$6,"/",B52),Proventos!$D:$D,"&lt;"&amp;CONCATENATE($N$6,"/",B52),Proventos!$J:$J,"="&amp;$H$2),
AND($H$2=Data!$A$5,$K$2=Data!$A$2),SUMIFS(Proventos!$H:$H,Proventos!$D:$D,"&gt;="&amp;CONCATENATE($M$6,"/",B52),Proventos!$D:$D,"&lt;"&amp;CONCATENATE($N$6,"/",B52),Proventos!$J:$J,"="&amp;$H$2),
AND($H$2=Data!$A$6,$K$2=Data!$A$2),SUMIFS(Proventos!$H:$H,Proventos!$D:$D,"&gt;="&amp;CONCATENATE($M$6,"/",B52),Proventos!$D:$D,"&lt;"&amp;CONCATENATE($N$6,"/",B52),Proventos!$J:$J,"="&amp;$H$2),
AND($H$2=Data!$A$7,$K$2=Data!$A$2),SUMIFS(Proventos!$H:$H,Proventos!$D:$D,"&gt;="&amp;CONCATENATE($M$6,"/",B52),Proventos!$D:$D,"&lt;"&amp;CONCATENATE($N$6,"/",B52),Proventos!$J:$J,"="&amp;$H$2),
AND($H$2=Data!$A$8,$K$2=Data!$A$2),SUMIFS(Proventos!$H:$H,Proventos!$D:$D,"&gt;="&amp;CONCATENATE($M$6,"/",B52),Proventos!$D:$D,"&lt;"&amp;CONCATENATE($N$6,"/",B52),Proventos!$J:$J,"="&amp;$H$2),
AND($H$2=Data!$A$9,$K$2=Data!$A$2),SUMIFS(Proventos!$H:$H,Proventos!$D:$D,"&gt;="&amp;CONCATENATE($M$6,"/",B52),Proventos!$D:$D,"&lt;"&amp;CONCATENATE($N$6,"/",B52),Proventos!$J:$J,"="&amp;$H$2),
AND($H$2=Data!$A$10,$K$2=Data!$A$2),SUMIFS(Proventos!$H:$H,Proventos!$D:$D,"&gt;="&amp;CONCATENATE($M$6,"/",B52),Proventos!$D:$D,"&lt;"&amp;CONCATENATE($N$6,"/",B52),Proventos!$J:$J,"="&amp;$H$2),
AND($H$2=Data!$A$11,$K$2=Data!$A$2),SUMIFS(Proventos!$H:$H,Proventos!$D:$D,"&gt;="&amp;CONCATENATE($M$6,"/",B52),Proventos!$D:$D,"&lt;"&amp;CONCATENATE($N$6,"/",B52),Proventos!$J:$J,"="&amp;$H$2),
$K$2=Data!$A$2,SUMIFS(Proventos!$H:$H,Proventos!$D:$D,"&gt;="&amp;CONCATENATE($M$6,"/",B52),Proventos!$D:$D,"&lt;"&amp;CONCATENATE($N$6,"/",B52)),
$K$2&lt;&gt;Data!$A$2,SUMIFS(Proventos!$H:$H,Proventos!$D:$D,"&gt;="&amp;CONCATENATE($M$6,"/",B52),Proventos!$D:$D,"&lt;"&amp;CONCATENATE($N$6,"/",B52),Proventos!$A:$A,"="&amp;$K$2))</f>
        <v>0</v>
      </c>
      <c r="N52" s="245">
        <f>IFS(
AND($H$2=Data!$A$3,$K$2=Data!$A$2),SUMIFS(Proventos!$H:$H,Proventos!$D:$D,"&gt;="&amp;CONCATENATE($N$6,"/",B52),Proventos!$D:$D,"&lt;"&amp;CONCATENATE($C$6,"/",B53),Proventos!$J:$J,"="&amp;$H$2),
AND($H$2=Data!$A$4,$K$2=Data!$A$2),SUMIFS(Proventos!$H:$H,Proventos!$D:$D,"&gt;="&amp;CONCATENATE($N$6,"/",B52),Proventos!$D:$D,"&lt;"&amp;CONCATENATE($C$6,"/",B53),Proventos!$J:$J,"="&amp;$H$2),
AND($H$2=Data!$A$5,$K$2=Data!$A$2),SUMIFS(Proventos!$H:$H,Proventos!$D:$D,"&gt;="&amp;CONCATENATE($N$6,"/",B52),Proventos!$D:$D,"&lt;"&amp;CONCATENATE($C$6,"/",B53),Proventos!$J:$J,"="&amp;$H$2),
AND($H$2=Data!$A$6,$K$2=Data!$A$2),SUMIFS(Proventos!$H:$H,Proventos!$D:$D,"&gt;="&amp;CONCATENATE($N$6,"/",B52),Proventos!$D:$D,"&lt;"&amp;CONCATENATE($C$6,"/",B53),Proventos!$J:$J,"="&amp;$H$2),
AND($H$2=Data!$A$7,$K$2=Data!$A$2),SUMIFS(Proventos!$H:$H,Proventos!$D:$D,"&gt;="&amp;CONCATENATE($N$6,"/",B52),Proventos!$D:$D,"&lt;"&amp;CONCATENATE($C$6,"/",B53),Proventos!$J:$J,"="&amp;$H$2),
AND($H$2=Data!$A$8,$K$2=Data!$A$2),SUMIFS(Proventos!$H:$H,Proventos!$D:$D,"&gt;="&amp;CONCATENATE($N$6,"/",B52),Proventos!$D:$D,"&lt;"&amp;CONCATENATE($C$6,"/",B53),Proventos!$J:$J,"="&amp;$H$2),
AND($H$2=Data!$A$9,$K$2=Data!$A$2),SUMIFS(Proventos!$H:$H,Proventos!$D:$D,"&gt;="&amp;CONCATENATE($N$6,"/",B52),Proventos!$D:$D,"&lt;"&amp;CONCATENATE($C$6,"/",B53),Proventos!$J:$J,"="&amp;$H$2),
AND($H$2=Data!$A$10,$K$2=Data!$A$2),SUMIFS(Proventos!$H:$H,Proventos!$D:$D,"&gt;="&amp;CONCATENATE($N$6,"/",B52),Proventos!$D:$D,"&lt;"&amp;CONCATENATE($C$6,"/",B53),Proventos!$J:$J,"="&amp;$H$2),
AND($H$2=Data!$A$11,$K$2=Data!$A$2),SUMIFS(Proventos!$H:$H,Proventos!$D:$D,"&gt;="&amp;CONCATENATE($N$6,"/",B52),Proventos!$D:$D,"&lt;"&amp;CONCATENATE($C$6,"/",B53),Proventos!$J:$J,"="&amp;$H$2),
$K$2=Data!$A$2,SUMIFS(Proventos!$H:$H,Proventos!$D:$D,"&gt;="&amp;CONCATENATE($N$6,"/",B52),Proventos!$D:$D,"&lt;"&amp;CONCATENATE($C$6,"/",B53)),
$K$2&lt;&gt;Data!$A$2,SUMIFS(Proventos!$H:$H,Proventos!$D:$D,"&gt;="&amp;CONCATENATE($N$6,"/",B52),Proventos!$D:$D,"&lt;"&amp;CONCATENATE($C$6,"/",B53),Proventos!$A:$A,"="&amp;$K$2))</f>
        <v>0</v>
      </c>
      <c r="O52" s="245"/>
      <c r="P52" s="245">
        <f t="shared" si="1"/>
        <v>0</v>
      </c>
      <c r="Q52" s="245">
        <f t="shared" si="2"/>
        <v>0</v>
      </c>
    </row>
    <row r="53" ht="32.25" customHeight="1">
      <c r="A53" s="230"/>
      <c r="B53" s="244"/>
      <c r="C53" s="245">
        <f>IFS(
AND($H$2=Data!$A$3,$K$2=Data!$A$2),SUMIFS(Proventos!$H:$H,Proventos!$D:$D,"&gt;="&amp;CONCATENATE($C$6,"/",B53),Proventos!$D:$D,"&lt;"&amp;CONCATENATE($D$6,"/",B53),Proventos!$J:$J,"="&amp;$H$2),
AND($H$2=Data!$A$4,$K$2=Data!$A$2),SUMIFS(Proventos!$H:$H,Proventos!$D:$D,"&gt;="&amp;CONCATENATE($C$6,"/",B53),Proventos!$D:$D,"&lt;"&amp;CONCATENATE($D$6,"/",B53),Proventos!$J:$J,"="&amp;$H$2),
AND($H$2=Data!$A$5,$K$2=Data!$A$2),SUMIFS(Proventos!$H:$H,Proventos!$D:$D,"&gt;="&amp;CONCATENATE($C$6,"/",B53),Proventos!$D:$D,"&lt;"&amp;CONCATENATE($D$6,"/",B53),Proventos!$J:$J,"="&amp;$H$2),
AND($H$2=Data!$A$6,$K$2=Data!$A$2),SUMIFS(Proventos!$H:$H,Proventos!$D:$D,"&gt;="&amp;CONCATENATE($C$6,"/",B53),Proventos!$D:$D,"&lt;"&amp;CONCATENATE($D$6,"/",B53),Proventos!$J:$J,"="&amp;$H$2),
AND($H$2=Data!$A$7,$K$2=Data!$A$2),SUMIFS(Proventos!$H:$H,Proventos!$D:$D,"&gt;="&amp;CONCATENATE($C$6,"/",B53),Proventos!$D:$D,"&lt;"&amp;CONCATENATE($D$6,"/",B53),Proventos!$J:$J,"="&amp;$H$2),
AND($H$2=Data!$A$8,$K$2=Data!$A$2),SUMIFS(Proventos!$H:$H,Proventos!$D:$D,"&gt;="&amp;CONCATENATE($C$6,"/",B53),Proventos!$D:$D,"&lt;"&amp;CONCATENATE($D$6,"/",B53),Proventos!$J:$J,"="&amp;$H$2),
AND($H$2=Data!$A$9,$K$2=Data!$A$2),SUMIFS(Proventos!$H:$H,Proventos!$D:$D,"&gt;="&amp;CONCATENATE($C$6,"/",B53),Proventos!$D:$D,"&lt;"&amp;CONCATENATE($D$6,"/",B53),Proventos!$J:$J,"="&amp;$H$2),
AND($H$2=Data!$A$10,$K$2=Data!$A$2),SUMIFS(Proventos!$H:$H,Proventos!$D:$D,"&gt;="&amp;CONCATENATE($C$6,"/",B53),Proventos!$D:$D,"&lt;"&amp;CONCATENATE($D$6,"/",B53),Proventos!$J:$J,"="&amp;$H$2),
AND($H$2=Data!$A$11,$K$2=Data!$A$2),SUMIFS(Proventos!$H:$H,Proventos!$D:$D,"&gt;="&amp;CONCATENATE($C$6,"/",B53),Proventos!$D:$D,"&lt;"&amp;CONCATENATE($D$6,"/",B53),Proventos!$J:$J,"="&amp;$H$2),
$K$2=Data!$A$2,SUMIFS(Proventos!$H:$H,Proventos!$D:$D,"&gt;="&amp;CONCATENATE($C$6,"/",B53),Proventos!$D:$D,"&lt;"&amp;CONCATENATE($D$6,"/",B53)),
$K$2&lt;&gt;Data!$A$2,SUMIFS(Proventos!$H:$H,Proventos!$D:$D,"&gt;="&amp;CONCATENATE($C$6,"/",B53),Proventos!$D:$D,"&lt;"&amp;CONCATENATE($D$6,"/",B53),Proventos!$A:$A,"="&amp;$K$2))</f>
        <v>0</v>
      </c>
      <c r="D53" s="245">
        <f>IFS(
AND($H$2=Data!$A$3,$K$2=Data!$A$2),SUMIFS(Proventos!$H:$H,Proventos!$D:$D,"&gt;="&amp;CONCATENATE($D$6,"/",B53),Proventos!$D:$D,"&lt;"&amp;CONCATENATE($E$6,"/",B53),Proventos!$J:$J,"="&amp;$H$2),
AND($H$2=Data!$A$4,$K$2=Data!$A$2),SUMIFS(Proventos!$H:$H,Proventos!$D:$D,"&gt;="&amp;CONCATENATE($D$6,"/",B53),Proventos!$D:$D,"&lt;"&amp;CONCATENATE($E$6,"/",B53),Proventos!$J:$J,"="&amp;$H$2),
AND($H$2=Data!$A$5,$K$2=Data!$A$2),SUMIFS(Proventos!$H:$H,Proventos!$D:$D,"&gt;="&amp;CONCATENATE($D$6,"/",B53),Proventos!$D:$D,"&lt;"&amp;CONCATENATE($E$6,"/",B53),Proventos!$J:$J,"="&amp;$H$2),
AND($H$2=Data!$A$6,$K$2=Data!$A$2),SUMIFS(Proventos!$H:$H,Proventos!$D:$D,"&gt;="&amp;CONCATENATE($D$6,"/",B53),Proventos!$D:$D,"&lt;"&amp;CONCATENATE($E$6,"/",B53),Proventos!$J:$J,"="&amp;$H$2),
AND($H$2=Data!$A$7,$K$2=Data!$A$2),SUMIFS(Proventos!$H:$H,Proventos!$D:$D,"&gt;="&amp;CONCATENATE($D$6,"/",B53),Proventos!$D:$D,"&lt;"&amp;CONCATENATE($E$6,"/",B53),Proventos!$J:$J,"="&amp;$H$2),
AND($H$2=Data!$A$8,$K$2=Data!$A$2),SUMIFS(Proventos!$H:$H,Proventos!$D:$D,"&gt;="&amp;CONCATENATE($D$6,"/",B53),Proventos!$D:$D,"&lt;"&amp;CONCATENATE($E$6,"/",B53),Proventos!$J:$J,"="&amp;$H$2),
AND($H$2=Data!$A$9,$K$2=Data!$A$2),SUMIFS(Proventos!$H:$H,Proventos!$D:$D,"&gt;="&amp;CONCATENATE($D$6,"/",B53),Proventos!$D:$D,"&lt;"&amp;CONCATENATE($E$6,"/",B53),Proventos!$J:$J,"="&amp;$H$2),
AND($H$2=Data!$A$10,$K$2=Data!$A$2),SUMIFS(Proventos!$H:$H,Proventos!$D:$D,"&gt;="&amp;CONCATENATE($D$6,"/",B53),Proventos!$D:$D,"&lt;"&amp;CONCATENATE($E$6,"/",B53),Proventos!$J:$J,"="&amp;$H$2),
AND($H$2=Data!$A$11,$K$2=Data!$A$2),SUMIFS(Proventos!$H:$H,Proventos!$D:$D,"&gt;="&amp;CONCATENATE($D$6,"/",B53),Proventos!$D:$D,"&lt;"&amp;CONCATENATE($E$6,"/",B53),Proventos!$J:$J,"="&amp;$H$2),
$K$2=Data!$A$2,SUMIFS(Proventos!$H:$H,Proventos!$D:$D,"&gt;="&amp;CONCATENATE($D$6,"/",B53),Proventos!$D:$D,"&lt;"&amp;CONCATENATE($E$6,"/",B53)),
$K$2&lt;&gt;Data!$A$2,SUMIFS(Proventos!$H:$H,Proventos!$D:$D,"&gt;="&amp;CONCATENATE($D$6,"/",B53),Proventos!$D:$D,"&lt;"&amp;CONCATENATE($E$6,"/",B53),Proventos!$A:$A,"="&amp;$K$2))</f>
        <v>0</v>
      </c>
      <c r="E53" s="245">
        <f>IFS(
AND($H$2=Data!$A$3,$K$2=Data!$A$2),SUMIFS(Proventos!$H:$H,Proventos!$D:$D,"&gt;="&amp;CONCATENATE($E$6,"/",B53),Proventos!$D:$D,"&lt;"&amp;CONCATENATE($F$6,"/",B53),Proventos!$J:$J,"="&amp;$H$2),
AND($H$2=Data!$A$4,$K$2=Data!$A$2),SUMIFS(Proventos!$H:$H,Proventos!$D:$D,"&gt;="&amp;CONCATENATE($E$6,"/",B53),Proventos!$D:$D,"&lt;"&amp;CONCATENATE($F$6,"/",B53),Proventos!$J:$J,"="&amp;$H$2),
AND($H$2=Data!$A$5,$K$2=Data!$A$2),SUMIFS(Proventos!$H:$H,Proventos!$D:$D,"&gt;="&amp;CONCATENATE($E$6,"/",B53),Proventos!$D:$D,"&lt;"&amp;CONCATENATE($F$6,"/",B53),Proventos!$J:$J,"="&amp;$H$2),
AND($H$2=Data!$A$6,$K$2=Data!$A$2),SUMIFS(Proventos!$H:$H,Proventos!$D:$D,"&gt;="&amp;CONCATENATE($E$6,"/",B53),Proventos!$D:$D,"&lt;"&amp;CONCATENATE($F$6,"/",B53),Proventos!$J:$J,"="&amp;$H$2),
AND($H$2=Data!$A$7,$K$2=Data!$A$2),SUMIFS(Proventos!$H:$H,Proventos!$D:$D,"&gt;="&amp;CONCATENATE($E$6,"/",B53),Proventos!$D:$D,"&lt;"&amp;CONCATENATE($F$6,"/",B53),Proventos!$J:$J,"="&amp;$H$2),
AND($H$2=Data!$A$8,$K$2=Data!$A$2),SUMIFS(Proventos!$H:$H,Proventos!$D:$D,"&gt;="&amp;CONCATENATE($E$6,"/",B53),Proventos!$D:$D,"&lt;"&amp;CONCATENATE($F$6,"/",B53),Proventos!$J:$J,"="&amp;$H$2),
AND($H$2=Data!$A$9,$K$2=Data!$A$2),SUMIFS(Proventos!$H:$H,Proventos!$D:$D,"&gt;="&amp;CONCATENATE($E$6,"/",B53),Proventos!$D:$D,"&lt;"&amp;CONCATENATE($F$6,"/",B53),Proventos!$J:$J,"="&amp;$H$2),
AND($H$2=Data!$A$10,$K$2=Data!$A$2),SUMIFS(Proventos!$H:$H,Proventos!$D:$D,"&gt;="&amp;CONCATENATE($E$6,"/",B53),Proventos!$D:$D,"&lt;"&amp;CONCATENATE($F$6,"/",B53),Proventos!$J:$J,"="&amp;$H$2),
AND($H$2=Data!$A$11,$K$2=Data!$A$2),SUMIFS(Proventos!$H:$H,Proventos!$D:$D,"&gt;="&amp;CONCATENATE($E$6,"/",B53),Proventos!$D:$D,"&lt;"&amp;CONCATENATE($F$6,"/",B53),Proventos!$J:$J,"="&amp;$H$2),
$K$2=Data!$A$2,SUMIFS(Proventos!$H:$H,Proventos!$D:$D,"&gt;="&amp;CONCATENATE($E$6,"/",B53),Proventos!$D:$D,"&lt;"&amp;CONCATENATE($F$6,"/",B53)),
$K$2&lt;&gt;Data!$A$2,SUMIFS(Proventos!$H:$H,Proventos!$D:$D,"&gt;="&amp;CONCATENATE($E$6,"/",B53),Proventos!$D:$D,"&lt;"&amp;CONCATENATE($F$6,"/",B53),Proventos!$A:$A,"="&amp;$K$2))</f>
        <v>0</v>
      </c>
      <c r="F53" s="245">
        <f>IFS(
AND($H$2=Data!$A$3,$K$2=Data!$A$2),SUMIFS(Proventos!$H:$H,Proventos!$D:$D,"&gt;="&amp;CONCATENATE($F$6,"/",B53),Proventos!$D:$D,"&lt;"&amp;CONCATENATE($G$6,"/",B53),Proventos!$J:$J,"="&amp;$H$2),
AND($H$2=Data!$A$4,$K$2=Data!$A$2),SUMIFS(Proventos!$H:$H,Proventos!$D:$D,"&gt;="&amp;CONCATENATE($F$6,"/",B53),Proventos!$D:$D,"&lt;"&amp;CONCATENATE($G$6,"/",B53),Proventos!$J:$J,"="&amp;$H$2),
AND($H$2=Data!$A$5,$K$2=Data!$A$2),SUMIFS(Proventos!$H:$H,Proventos!$D:$D,"&gt;="&amp;CONCATENATE($F$6,"/",B53),Proventos!$D:$D,"&lt;"&amp;CONCATENATE($G$6,"/",B53),Proventos!$J:$J,"="&amp;$H$2),
AND($H$2=Data!$A$6,$K$2=Data!$A$2),SUMIFS(Proventos!$H:$H,Proventos!$D:$D,"&gt;="&amp;CONCATENATE($F$6,"/",B53),Proventos!$D:$D,"&lt;"&amp;CONCATENATE($G$6,"/",B53),Proventos!$J:$J,"="&amp;$H$2),
AND($H$2=Data!$A$7,$K$2=Data!$A$2),SUMIFS(Proventos!$H:$H,Proventos!$D:$D,"&gt;="&amp;CONCATENATE($F$6,"/",B53),Proventos!$D:$D,"&lt;"&amp;CONCATENATE($G$6,"/",B53),Proventos!$J:$J,"="&amp;$H$2),
AND($H$2=Data!$A$8,$K$2=Data!$A$2),SUMIFS(Proventos!$H:$H,Proventos!$D:$D,"&gt;="&amp;CONCATENATE($F$6,"/",B53),Proventos!$D:$D,"&lt;"&amp;CONCATENATE($G$6,"/",B53),Proventos!$J:$J,"="&amp;$H$2),
AND($H$2=Data!$A$9,$K$2=Data!$A$2),SUMIFS(Proventos!$H:$H,Proventos!$D:$D,"&gt;="&amp;CONCATENATE($F$6,"/",B53),Proventos!$D:$D,"&lt;"&amp;CONCATENATE($G$6,"/",B53),Proventos!$J:$J,"="&amp;$H$2),
AND($H$2=Data!$A$10,$K$2=Data!$A$2),SUMIFS(Proventos!$H:$H,Proventos!$D:$D,"&gt;="&amp;CONCATENATE($F$6,"/",B53),Proventos!$D:$D,"&lt;"&amp;CONCATENATE($G$6,"/",B53),Proventos!$J:$J,"="&amp;$H$2),
AND($H$2=Data!$A$11,$K$2=Data!$A$2),SUMIFS(Proventos!$H:$H,Proventos!$D:$D,"&gt;="&amp;CONCATENATE($F$6,"/",B53),Proventos!$D:$D,"&lt;"&amp;CONCATENATE($G$6,"/",B53),Proventos!$J:$J,"="&amp;$H$2),
$K$2=Data!$A$2,SUMIFS(Proventos!$H:$H,Proventos!$D:$D,"&gt;="&amp;CONCATENATE($F$6,"/",B53),Proventos!$D:$D,"&lt;"&amp;CONCATENATE($G$6,"/",B53)),
$K$2&lt;&gt;Data!$A$2,SUMIFS(Proventos!$H:$H,Proventos!$D:$D,"&gt;="&amp;CONCATENATE($F$6,"/",B53),Proventos!$D:$D,"&lt;"&amp;CONCATENATE($G$6,"/",B53),Proventos!$A:$A,"="&amp;$K$2))</f>
        <v>0</v>
      </c>
      <c r="G53" s="245">
        <f>IFS(
AND($H$2=Data!$A$3,$K$2=Data!$A$2),SUMIFS(Proventos!$H:$H,Proventos!$D:$D,"&gt;="&amp;CONCATENATE($G$6,"/",B53),Proventos!$D:$D,"&lt;"&amp;CONCATENATE($H$6,"/",B53),Proventos!$J:$J,"="&amp;$H$2),
AND($H$2=Data!$A$4,$K$2=Data!$A$2),SUMIFS(Proventos!$H:$H,Proventos!$D:$D,"&gt;="&amp;CONCATENATE($G$6,"/",B53),Proventos!$D:$D,"&lt;"&amp;CONCATENATE($H$6,"/",B53),Proventos!$J:$J,"="&amp;$H$2),
AND($H$2=Data!$A$5,$K$2=Data!$A$2),SUMIFS(Proventos!$H:$H,Proventos!$D:$D,"&gt;="&amp;CONCATENATE($G$6,"/",B53),Proventos!$D:$D,"&lt;"&amp;CONCATENATE($H$6,"/",B53),Proventos!$J:$J,"="&amp;$H$2),
AND($H$2=Data!$A$6,$K$2=Data!$A$2),SUMIFS(Proventos!$H:$H,Proventos!$D:$D,"&gt;="&amp;CONCATENATE($G$6,"/",B53),Proventos!$D:$D,"&lt;"&amp;CONCATENATE($H$6,"/",B53),Proventos!$J:$J,"="&amp;$H$2),
AND($H$2=Data!$A$7,$K$2=Data!$A$2),SUMIFS(Proventos!$H:$H,Proventos!$D:$D,"&gt;="&amp;CONCATENATE($G$6,"/",B53),Proventos!$D:$D,"&lt;"&amp;CONCATENATE($H$6,"/",B53),Proventos!$J:$J,"="&amp;$H$2),
AND($H$2=Data!$A$8,$K$2=Data!$A$2),SUMIFS(Proventos!$H:$H,Proventos!$D:$D,"&gt;="&amp;CONCATENATE($G$6,"/",B53),Proventos!$D:$D,"&lt;"&amp;CONCATENATE($H$6,"/",B53),Proventos!$J:$J,"="&amp;$H$2),
AND($H$2=Data!$A$9,$K$2=Data!$A$2),SUMIFS(Proventos!$H:$H,Proventos!$D:$D,"&gt;="&amp;CONCATENATE($G$6,"/",B53),Proventos!$D:$D,"&lt;"&amp;CONCATENATE($H$6,"/",B53),Proventos!$J:$J,"="&amp;$H$2),
AND($H$2=Data!$A$10,$K$2=Data!$A$2),SUMIFS(Proventos!$H:$H,Proventos!$D:$D,"&gt;="&amp;CONCATENATE($G$6,"/",B53),Proventos!$D:$D,"&lt;"&amp;CONCATENATE($H$6,"/",B53),Proventos!$J:$J,"="&amp;$H$2),
AND($H$2=Data!$A$11,$K$2=Data!$A$2),SUMIFS(Proventos!$H:$H,Proventos!$D:$D,"&gt;="&amp;CONCATENATE($G$6,"/",B53),Proventos!$D:$D,"&lt;"&amp;CONCATENATE($H$6,"/",B53),Proventos!$J:$J,"="&amp;$H$2),
$K$2=Data!$A$2,SUMIFS(Proventos!$H:$H,Proventos!$D:$D,"&gt;="&amp;CONCATENATE($G$6,"/",B53),Proventos!$D:$D,"&lt;"&amp;CONCATENATE($H$6,"/",B53)),
$K$2&lt;&gt;Data!$A$2,SUMIFS(Proventos!$H:$H,Proventos!$D:$D,"&gt;="&amp;CONCATENATE($G$6,"/",B53),Proventos!$D:$D,"&lt;"&amp;CONCATENATE($H$6,"/",B53),Proventos!$A:$A,"="&amp;$K$2))</f>
        <v>0</v>
      </c>
      <c r="H53" s="245">
        <f>IFS(
AND($H$2=Data!$A$3,$K$2=Data!$A$2),SUMIFS(Proventos!$H:$H,Proventos!$D:$D,"&gt;="&amp;CONCATENATE($H$6,"/",B53),Proventos!$D:$D,"&lt;"&amp;CONCATENATE($I$6,"/",B53),Proventos!$J:$J,"="&amp;$H$2),
AND($H$2=Data!$A$4,$K$2=Data!$A$2),SUMIFS(Proventos!$H:$H,Proventos!$D:$D,"&gt;="&amp;CONCATENATE($H$6,"/",B53),Proventos!$D:$D,"&lt;"&amp;CONCATENATE($I$6,"/",B53),Proventos!$J:$J,"="&amp;$H$2),
AND($H$2=Data!$A$5,$K$2=Data!$A$2),SUMIFS(Proventos!$H:$H,Proventos!$D:$D,"&gt;="&amp;CONCATENATE($H$6,"/",B53),Proventos!$D:$D,"&lt;"&amp;CONCATENATE($I$6,"/",B53),Proventos!$J:$J,"="&amp;$H$2),
AND($H$2=Data!$A$6,$K$2=Data!$A$2),SUMIFS(Proventos!$H:$H,Proventos!$D:$D,"&gt;="&amp;CONCATENATE($H$6,"/",B53),Proventos!$D:$D,"&lt;"&amp;CONCATENATE($I$6,"/",B53),Proventos!$J:$J,"="&amp;$H$2),
AND($H$2=Data!$A$7,$K$2=Data!$A$2),SUMIFS(Proventos!$H:$H,Proventos!$D:$D,"&gt;="&amp;CONCATENATE($H$6,"/",B53),Proventos!$D:$D,"&lt;"&amp;CONCATENATE($I$6,"/",B53),Proventos!$J:$J,"="&amp;$H$2),
AND($H$2=Data!$A$8,$K$2=Data!$A$2),SUMIFS(Proventos!$H:$H,Proventos!$D:$D,"&gt;="&amp;CONCATENATE($H$6,"/",B53),Proventos!$D:$D,"&lt;"&amp;CONCATENATE($I$6,"/",B53),Proventos!$J:$J,"="&amp;$H$2),
AND($H$2=Data!$A$9,$K$2=Data!$A$2),SUMIFS(Proventos!$H:$H,Proventos!$D:$D,"&gt;="&amp;CONCATENATE($H$6,"/",B53),Proventos!$D:$D,"&lt;"&amp;CONCATENATE($I$6,"/",B53),Proventos!$J:$J,"="&amp;$H$2),
AND($H$2=Data!$A$10,$K$2=Data!$A$2),SUMIFS(Proventos!$H:$H,Proventos!$D:$D,"&gt;="&amp;CONCATENATE($H$6,"/",B53),Proventos!$D:$D,"&lt;"&amp;CONCATENATE($I$6,"/",B53),Proventos!$J:$J,"="&amp;$H$2),
AND($H$2=Data!$A$11,$K$2=Data!$A$2),SUMIFS(Proventos!$H:$H,Proventos!$D:$D,"&gt;="&amp;CONCATENATE($H$6,"/",B53),Proventos!$D:$D,"&lt;"&amp;CONCATENATE($I$6,"/",B53),Proventos!$J:$J,"="&amp;$H$2),
$K$2=Data!$A$2,SUMIFS(Proventos!$H:$H,Proventos!$D:$D,"&gt;="&amp;CONCATENATE($H$6,"/",B53),Proventos!$D:$D,"&lt;"&amp;CONCATENATE($I$6,"/",B53)),
$K$2&lt;&gt;Data!$A$2,SUMIFS(Proventos!$H:$H,Proventos!$D:$D,"&gt;="&amp;CONCATENATE($H$6,"/",B53),Proventos!$D:$D,"&lt;"&amp;CONCATENATE($I$6,"/",B53),Proventos!$A:$A,"="&amp;$K$2))</f>
        <v>0</v>
      </c>
      <c r="I53" s="245">
        <f>IFS(
AND($H$2=Data!$A$3,$K$2=Data!$A$2),SUMIFS(Proventos!$H:$H,Proventos!$D:$D,"&gt;="&amp;CONCATENATE($I$6,"/",B53),Proventos!$D:$D,"&lt;"&amp;CONCATENATE($J$6,"/",B53),Proventos!$J:$J,"="&amp;$H$2),
AND($H$2=Data!$A$4,$K$2=Data!$A$2),SUMIFS(Proventos!$H:$H,Proventos!$D:$D,"&gt;="&amp;CONCATENATE($I$6,"/",B53),Proventos!$D:$D,"&lt;"&amp;CONCATENATE($J$6,"/",B53),Proventos!$J:$J,"="&amp;$H$2),
AND($H$2=Data!$A$5,$K$2=Data!$A$2),SUMIFS(Proventos!$H:$H,Proventos!$D:$D,"&gt;="&amp;CONCATENATE($I$6,"/",B53),Proventos!$D:$D,"&lt;"&amp;CONCATENATE($J$6,"/",B53),Proventos!$J:$J,"="&amp;$H$2),
AND($H$2=Data!$A$6,$K$2=Data!$A$2),SUMIFS(Proventos!$H:$H,Proventos!$D:$D,"&gt;="&amp;CONCATENATE($I$6,"/",B53),Proventos!$D:$D,"&lt;"&amp;CONCATENATE($J$6,"/",B53),Proventos!$J:$J,"="&amp;$H$2),
AND($H$2=Data!$A$7,$K$2=Data!$A$2),SUMIFS(Proventos!$H:$H,Proventos!$D:$D,"&gt;="&amp;CONCATENATE($I$6,"/",B53),Proventos!$D:$D,"&lt;"&amp;CONCATENATE($J$6,"/",B53),Proventos!$J:$J,"="&amp;$H$2),
AND($H$2=Data!$A$8,$K$2=Data!$A$2),SUMIFS(Proventos!$H:$H,Proventos!$D:$D,"&gt;="&amp;CONCATENATE($I$6,"/",B53),Proventos!$D:$D,"&lt;"&amp;CONCATENATE($J$6,"/",B53),Proventos!$J:$J,"="&amp;$H$2),
AND($H$2=Data!$A$9,$K$2=Data!$A$2),SUMIFS(Proventos!$H:$H,Proventos!$D:$D,"&gt;="&amp;CONCATENATE($I$6,"/",B53),Proventos!$D:$D,"&lt;"&amp;CONCATENATE($J$6,"/",B53),Proventos!$J:$J,"="&amp;$H$2),
AND($H$2=Data!$A$10,$K$2=Data!$A$2),SUMIFS(Proventos!$H:$H,Proventos!$D:$D,"&gt;="&amp;CONCATENATE($I$6,"/",B53),Proventos!$D:$D,"&lt;"&amp;CONCATENATE($J$6,"/",B53),Proventos!$J:$J,"="&amp;$H$2),
AND($H$2=Data!$A$11,$K$2=Data!$A$2),SUMIFS(Proventos!$H:$H,Proventos!$D:$D,"&gt;="&amp;CONCATENATE($I$6,"/",B53),Proventos!$D:$D,"&lt;"&amp;CONCATENATE($J$6,"/",B53),Proventos!$J:$J,"="&amp;$H$2),
$K$2=Data!$A$2,SUMIFS(Proventos!$H:$H,Proventos!$D:$D,"&gt;="&amp;CONCATENATE($I$6,"/",B53),Proventos!$D:$D,"&lt;"&amp;CONCATENATE($J$6,"/",B53)),
$K$2&lt;&gt;Data!$A$2,SUMIFS(Proventos!$H:$H,Proventos!$D:$D,"&gt;="&amp;CONCATENATE($I$6,"/",B53),Proventos!$D:$D,"&lt;"&amp;CONCATENATE($J$6,"/",B53),Proventos!$A:$A,"="&amp;$K$2))</f>
        <v>0</v>
      </c>
      <c r="J53" s="245">
        <f>IFS(
AND($H$2=Data!$A$3,$K$2=Data!$A$2),SUMIFS(Proventos!$H:$H,Proventos!$D:$D,"&gt;="&amp;CONCATENATE($J$6,"/",B53),Proventos!$D:$D,"&lt;"&amp;CONCATENATE($K$6,"/",B53),Proventos!$J:$J,"="&amp;$H$2),
AND($H$2=Data!$A$4,$K$2=Data!$A$2),SUMIFS(Proventos!$H:$H,Proventos!$D:$D,"&gt;="&amp;CONCATENATE($J$6,"/",B53),Proventos!$D:$D,"&lt;"&amp;CONCATENATE($K$6,"/",B53),Proventos!$J:$J,"="&amp;$H$2),
AND($H$2=Data!$A$5,$K$2=Data!$A$2),SUMIFS(Proventos!$H:$H,Proventos!$D:$D,"&gt;="&amp;CONCATENATE($J$6,"/",B53),Proventos!$D:$D,"&lt;"&amp;CONCATENATE($K$6,"/",B53),Proventos!$J:$J,"="&amp;$H$2),
AND($H$2=Data!$A$6,$K$2=Data!$A$2),SUMIFS(Proventos!$H:$H,Proventos!$D:$D,"&gt;="&amp;CONCATENATE($J$6,"/",B53),Proventos!$D:$D,"&lt;"&amp;CONCATENATE($K$6,"/",B53),Proventos!$J:$J,"="&amp;$H$2),
AND($H$2=Data!$A$7,$K$2=Data!$A$2),SUMIFS(Proventos!$H:$H,Proventos!$D:$D,"&gt;="&amp;CONCATENATE($J$6,"/",B53),Proventos!$D:$D,"&lt;"&amp;CONCATENATE($K$6,"/",B53),Proventos!$J:$J,"="&amp;$H$2),
AND($H$2=Data!$A$8,$K$2=Data!$A$2),SUMIFS(Proventos!$H:$H,Proventos!$D:$D,"&gt;="&amp;CONCATENATE($J$6,"/",B53),Proventos!$D:$D,"&lt;"&amp;CONCATENATE($K$6,"/",B53),Proventos!$J:$J,"="&amp;$H$2),
AND($H$2=Data!$A$9,$K$2=Data!$A$2),SUMIFS(Proventos!$H:$H,Proventos!$D:$D,"&gt;="&amp;CONCATENATE($J$6,"/",B53),Proventos!$D:$D,"&lt;"&amp;CONCATENATE($K$6,"/",B53),Proventos!$J:$J,"="&amp;$H$2),
AND($H$2=Data!$A$10,$K$2=Data!$A$2),SUMIFS(Proventos!$H:$H,Proventos!$D:$D,"&gt;="&amp;CONCATENATE($J$6,"/",B53),Proventos!$D:$D,"&lt;"&amp;CONCATENATE($K$6,"/",B53),Proventos!$J:$J,"="&amp;$H$2),
AND($H$2=Data!$A$11,$K$2=Data!$A$2),SUMIFS(Proventos!$H:$H,Proventos!$D:$D,"&gt;="&amp;CONCATENATE($J$6,"/",B53),Proventos!$D:$D,"&lt;"&amp;CONCATENATE($K$6,"/",B53),Proventos!$J:$J,"="&amp;$H$2),
$K$2=Data!$A$2,SUMIFS(Proventos!$H:$H,Proventos!$D:$D,"&gt;="&amp;CONCATENATE($J$6,"/",B53),Proventos!$D:$D,"&lt;"&amp;CONCATENATE($K$6,"/",B53)),
$K$2&lt;&gt;Data!$A$2,SUMIFS(Proventos!$H:$H,Proventos!$D:$D,"&gt;="&amp;CONCATENATE($J$6,"/",B53),Proventos!$D:$D,"&lt;"&amp;CONCATENATE($K$6,"/",B53),Proventos!$A:$A,"="&amp;$K$2))</f>
        <v>0</v>
      </c>
      <c r="K53" s="245">
        <f>IFS(
AND($H$2=Data!$A$3,$K$2=Data!$A$2),SUMIFS(Proventos!$H:$H,Proventos!$D:$D,"&gt;="&amp;CONCATENATE($K$6,"/",B53),Proventos!$D:$D,"&lt;"&amp;CONCATENATE($L$6,"/",B53),Proventos!$J:$J,"="&amp;$H$2),
AND($H$2=Data!$A$4,$K$2=Data!$A$2),SUMIFS(Proventos!$H:$H,Proventos!$D:$D,"&gt;="&amp;CONCATENATE($K$6,"/",B53),Proventos!$D:$D,"&lt;"&amp;CONCATENATE($L$6,"/",B53),Proventos!$J:$J,"="&amp;$H$2),
AND($H$2=Data!$A$5,$K$2=Data!$A$2),SUMIFS(Proventos!$H:$H,Proventos!$D:$D,"&gt;="&amp;CONCATENATE($K$6,"/",B53),Proventos!$D:$D,"&lt;"&amp;CONCATENATE($L$6,"/",B53),Proventos!$J:$J,"="&amp;$H$2),
AND($H$2=Data!$A$6,$K$2=Data!$A$2),SUMIFS(Proventos!$H:$H,Proventos!$D:$D,"&gt;="&amp;CONCATENATE($K$6,"/",B53),Proventos!$D:$D,"&lt;"&amp;CONCATENATE($L$6,"/",B53),Proventos!$J:$J,"="&amp;$H$2),
AND($H$2=Data!$A$7,$K$2=Data!$A$2),SUMIFS(Proventos!$H:$H,Proventos!$D:$D,"&gt;="&amp;CONCATENATE($K$6,"/",B53),Proventos!$D:$D,"&lt;"&amp;CONCATENATE($L$6,"/",B53),Proventos!$J:$J,"="&amp;$H$2),
AND($H$2=Data!$A$8,$K$2=Data!$A$2),SUMIFS(Proventos!$H:$H,Proventos!$D:$D,"&gt;="&amp;CONCATENATE($K$6,"/",B53),Proventos!$D:$D,"&lt;"&amp;CONCATENATE($L$6,"/",B53),Proventos!$J:$J,"="&amp;$H$2),
AND($H$2=Data!$A$9,$K$2=Data!$A$2),SUMIFS(Proventos!$H:$H,Proventos!$D:$D,"&gt;="&amp;CONCATENATE($K$6,"/",B53),Proventos!$D:$D,"&lt;"&amp;CONCATENATE($L$6,"/",B53),Proventos!$J:$J,"="&amp;$H$2),
AND($H$2=Data!$A$10,$K$2=Data!$A$2),SUMIFS(Proventos!$H:$H,Proventos!$D:$D,"&gt;="&amp;CONCATENATE($K$6,"/",B53),Proventos!$D:$D,"&lt;"&amp;CONCATENATE($L$6,"/",B53),Proventos!$J:$J,"="&amp;$H$2),
AND($H$2=Data!$A$11,$K$2=Data!$A$2),SUMIFS(Proventos!$H:$H,Proventos!$D:$D,"&gt;="&amp;CONCATENATE($K$6,"/",B53),Proventos!$D:$D,"&lt;"&amp;CONCATENATE($L$6,"/",B53),Proventos!$J:$J,"="&amp;$H$2),
$K$2=Data!$A$2,SUMIFS(Proventos!$H:$H,Proventos!$D:$D,"&gt;="&amp;CONCATENATE($K$6,"/",B53),Proventos!$D:$D,"&lt;"&amp;CONCATENATE($L$6,"/",B53)),
$K$2&lt;&gt;Data!$A$2,SUMIFS(Proventos!$H:$H,Proventos!$D:$D,"&gt;="&amp;CONCATENATE($K$6,"/",B53),Proventos!$D:$D,"&lt;"&amp;CONCATENATE($L$6,"/",B53),Proventos!$A:$A,"="&amp;$K$2))</f>
        <v>0</v>
      </c>
      <c r="L53" s="245">
        <f>IFS(
AND($H$2=Data!$A$3,$K$2=Data!$A$2),SUMIFS(Proventos!$H:$H,Proventos!$D:$D,"&gt;="&amp;CONCATENATE($L$6,"/",B53),Proventos!$D:$D,"&lt;"&amp;CONCATENATE($M$6,"/",B53),Proventos!$J:$J,"="&amp;$H$2),
AND($H$2=Data!$A$4,$K$2=Data!$A$2),SUMIFS(Proventos!$H:$H,Proventos!$D:$D,"&gt;="&amp;CONCATENATE($L$6,"/",B53),Proventos!$D:$D,"&lt;"&amp;CONCATENATE($M$6,"/",B53),Proventos!$J:$J,"="&amp;$H$2),
AND($H$2=Data!$A$5,$K$2=Data!$A$2),SUMIFS(Proventos!$H:$H,Proventos!$D:$D,"&gt;="&amp;CONCATENATE($L$6,"/",B53),Proventos!$D:$D,"&lt;"&amp;CONCATENATE($M$6,"/",B53),Proventos!$J:$J,"="&amp;$H$2),
AND($H$2=Data!$A$6,$K$2=Data!$A$2),SUMIFS(Proventos!$H:$H,Proventos!$D:$D,"&gt;="&amp;CONCATENATE($L$6,"/",B53),Proventos!$D:$D,"&lt;"&amp;CONCATENATE($M$6,"/",B53),Proventos!$J:$J,"="&amp;$H$2),
AND($H$2=Data!$A$7,$K$2=Data!$A$2),SUMIFS(Proventos!$H:$H,Proventos!$D:$D,"&gt;="&amp;CONCATENATE($L$6,"/",B53),Proventos!$D:$D,"&lt;"&amp;CONCATENATE($M$6,"/",B53),Proventos!$J:$J,"="&amp;$H$2),
AND($H$2=Data!$A$8,$K$2=Data!$A$2),SUMIFS(Proventos!$H:$H,Proventos!$D:$D,"&gt;="&amp;CONCATENATE($L$6,"/",B53),Proventos!$D:$D,"&lt;"&amp;CONCATENATE($M$6,"/",B53),Proventos!$J:$J,"="&amp;$H$2),
AND($H$2=Data!$A$9,$K$2=Data!$A$2),SUMIFS(Proventos!$H:$H,Proventos!$D:$D,"&gt;="&amp;CONCATENATE($L$6,"/",B53),Proventos!$D:$D,"&lt;"&amp;CONCATENATE($M$6,"/",B53),Proventos!$J:$J,"="&amp;$H$2),
AND($H$2=Data!$A$10,$K$2=Data!$A$2),SUMIFS(Proventos!$H:$H,Proventos!$D:$D,"&gt;="&amp;CONCATENATE($L$6,"/",B53),Proventos!$D:$D,"&lt;"&amp;CONCATENATE($M$6,"/",B53),Proventos!$J:$J,"="&amp;$H$2),
AND($H$2=Data!$A$11,$K$2=Data!$A$2),SUMIFS(Proventos!$H:$H,Proventos!$D:$D,"&gt;="&amp;CONCATENATE($L$6,"/",B53),Proventos!$D:$D,"&lt;"&amp;CONCATENATE($M$6,"/",B53),Proventos!$J:$J,"="&amp;$H$2),
$K$2=Data!$A$2,SUMIFS(Proventos!$H:$H,Proventos!$D:$D,"&gt;="&amp;CONCATENATE($L$6,"/",B53),Proventos!$D:$D,"&lt;"&amp;CONCATENATE($M$6,"/",B53)),
$K$2&lt;&gt;Data!$A$2,SUMIFS(Proventos!$H:$H,Proventos!$D:$D,"&gt;="&amp;CONCATENATE($L$6,"/",B53),Proventos!$D:$D,"&lt;"&amp;CONCATENATE($M$6,"/",B53),Proventos!$A:$A,"="&amp;$K$2))</f>
        <v>0</v>
      </c>
      <c r="M53" s="245">
        <f>IFS(
AND($H$2=Data!$A$3,$K$2=Data!$A$2),SUMIFS(Proventos!$H:$H,Proventos!$D:$D,"&gt;="&amp;CONCATENATE($M$6,"/",B53),Proventos!$D:$D,"&lt;"&amp;CONCATENATE($N$6,"/",B53),Proventos!$J:$J,"="&amp;$H$2),
AND($H$2=Data!$A$4,$K$2=Data!$A$2),SUMIFS(Proventos!$H:$H,Proventos!$D:$D,"&gt;="&amp;CONCATENATE($M$6,"/",B53),Proventos!$D:$D,"&lt;"&amp;CONCATENATE($N$6,"/",B53),Proventos!$J:$J,"="&amp;$H$2),
AND($H$2=Data!$A$5,$K$2=Data!$A$2),SUMIFS(Proventos!$H:$H,Proventos!$D:$D,"&gt;="&amp;CONCATENATE($M$6,"/",B53),Proventos!$D:$D,"&lt;"&amp;CONCATENATE($N$6,"/",B53),Proventos!$J:$J,"="&amp;$H$2),
AND($H$2=Data!$A$6,$K$2=Data!$A$2),SUMIFS(Proventos!$H:$H,Proventos!$D:$D,"&gt;="&amp;CONCATENATE($M$6,"/",B53),Proventos!$D:$D,"&lt;"&amp;CONCATENATE($N$6,"/",B53),Proventos!$J:$J,"="&amp;$H$2),
AND($H$2=Data!$A$7,$K$2=Data!$A$2),SUMIFS(Proventos!$H:$H,Proventos!$D:$D,"&gt;="&amp;CONCATENATE($M$6,"/",B53),Proventos!$D:$D,"&lt;"&amp;CONCATENATE($N$6,"/",B53),Proventos!$J:$J,"="&amp;$H$2),
AND($H$2=Data!$A$8,$K$2=Data!$A$2),SUMIFS(Proventos!$H:$H,Proventos!$D:$D,"&gt;="&amp;CONCATENATE($M$6,"/",B53),Proventos!$D:$D,"&lt;"&amp;CONCATENATE($N$6,"/",B53),Proventos!$J:$J,"="&amp;$H$2),
AND($H$2=Data!$A$9,$K$2=Data!$A$2),SUMIFS(Proventos!$H:$H,Proventos!$D:$D,"&gt;="&amp;CONCATENATE($M$6,"/",B53),Proventos!$D:$D,"&lt;"&amp;CONCATENATE($N$6,"/",B53),Proventos!$J:$J,"="&amp;$H$2),
AND($H$2=Data!$A$10,$K$2=Data!$A$2),SUMIFS(Proventos!$H:$H,Proventos!$D:$D,"&gt;="&amp;CONCATENATE($M$6,"/",B53),Proventos!$D:$D,"&lt;"&amp;CONCATENATE($N$6,"/",B53),Proventos!$J:$J,"="&amp;$H$2),
AND($H$2=Data!$A$11,$K$2=Data!$A$2),SUMIFS(Proventos!$H:$H,Proventos!$D:$D,"&gt;="&amp;CONCATENATE($M$6,"/",B53),Proventos!$D:$D,"&lt;"&amp;CONCATENATE($N$6,"/",B53),Proventos!$J:$J,"="&amp;$H$2),
$K$2=Data!$A$2,SUMIFS(Proventos!$H:$H,Proventos!$D:$D,"&gt;="&amp;CONCATENATE($M$6,"/",B53),Proventos!$D:$D,"&lt;"&amp;CONCATENATE($N$6,"/",B53)),
$K$2&lt;&gt;Data!$A$2,SUMIFS(Proventos!$H:$H,Proventos!$D:$D,"&gt;="&amp;CONCATENATE($M$6,"/",B53),Proventos!$D:$D,"&lt;"&amp;CONCATENATE($N$6,"/",B53),Proventos!$A:$A,"="&amp;$K$2))</f>
        <v>0</v>
      </c>
      <c r="N53" s="245">
        <f>IFS(
AND($H$2=Data!$A$3,$K$2=Data!$A$2),SUMIFS(Proventos!$H:$H,Proventos!$D:$D,"&gt;="&amp;CONCATENATE($N$6,"/",B53),Proventos!$D:$D,"&lt;"&amp;CONCATENATE($C$6,"/",B54),Proventos!$J:$J,"="&amp;$H$2),
AND($H$2=Data!$A$4,$K$2=Data!$A$2),SUMIFS(Proventos!$H:$H,Proventos!$D:$D,"&gt;="&amp;CONCATENATE($N$6,"/",B53),Proventos!$D:$D,"&lt;"&amp;CONCATENATE($C$6,"/",B54),Proventos!$J:$J,"="&amp;$H$2),
AND($H$2=Data!$A$5,$K$2=Data!$A$2),SUMIFS(Proventos!$H:$H,Proventos!$D:$D,"&gt;="&amp;CONCATENATE($N$6,"/",B53),Proventos!$D:$D,"&lt;"&amp;CONCATENATE($C$6,"/",B54),Proventos!$J:$J,"="&amp;$H$2),
AND($H$2=Data!$A$6,$K$2=Data!$A$2),SUMIFS(Proventos!$H:$H,Proventos!$D:$D,"&gt;="&amp;CONCATENATE($N$6,"/",B53),Proventos!$D:$D,"&lt;"&amp;CONCATENATE($C$6,"/",B54),Proventos!$J:$J,"="&amp;$H$2),
AND($H$2=Data!$A$7,$K$2=Data!$A$2),SUMIFS(Proventos!$H:$H,Proventos!$D:$D,"&gt;="&amp;CONCATENATE($N$6,"/",B53),Proventos!$D:$D,"&lt;"&amp;CONCATENATE($C$6,"/",B54),Proventos!$J:$J,"="&amp;$H$2),
AND($H$2=Data!$A$8,$K$2=Data!$A$2),SUMIFS(Proventos!$H:$H,Proventos!$D:$D,"&gt;="&amp;CONCATENATE($N$6,"/",B53),Proventos!$D:$D,"&lt;"&amp;CONCATENATE($C$6,"/",B54),Proventos!$J:$J,"="&amp;$H$2),
AND($H$2=Data!$A$9,$K$2=Data!$A$2),SUMIFS(Proventos!$H:$H,Proventos!$D:$D,"&gt;="&amp;CONCATENATE($N$6,"/",B53),Proventos!$D:$D,"&lt;"&amp;CONCATENATE($C$6,"/",B54),Proventos!$J:$J,"="&amp;$H$2),
AND($H$2=Data!$A$10,$K$2=Data!$A$2),SUMIFS(Proventos!$H:$H,Proventos!$D:$D,"&gt;="&amp;CONCATENATE($N$6,"/",B53),Proventos!$D:$D,"&lt;"&amp;CONCATENATE($C$6,"/",B54),Proventos!$J:$J,"="&amp;$H$2),
AND($H$2=Data!$A$11,$K$2=Data!$A$2),SUMIFS(Proventos!$H:$H,Proventos!$D:$D,"&gt;="&amp;CONCATENATE($N$6,"/",B53),Proventos!$D:$D,"&lt;"&amp;CONCATENATE($C$6,"/",B54),Proventos!$J:$J,"="&amp;$H$2),
$K$2=Data!$A$2,SUMIFS(Proventos!$H:$H,Proventos!$D:$D,"&gt;="&amp;CONCATENATE($N$6,"/",B53),Proventos!$D:$D,"&lt;"&amp;CONCATENATE($C$6,"/",B54)),
$K$2&lt;&gt;Data!$A$2,SUMIFS(Proventos!$H:$H,Proventos!$D:$D,"&gt;="&amp;CONCATENATE($N$6,"/",B53),Proventos!$D:$D,"&lt;"&amp;CONCATENATE($C$6,"/",B54),Proventos!$A:$A,"="&amp;$K$2))</f>
        <v>0</v>
      </c>
      <c r="O53" s="245"/>
      <c r="P53" s="245">
        <f t="shared" si="1"/>
        <v>0</v>
      </c>
      <c r="Q53" s="245">
        <f t="shared" si="2"/>
        <v>0</v>
      </c>
    </row>
    <row r="54" ht="32.25" customHeight="1">
      <c r="A54" s="230"/>
      <c r="B54" s="244"/>
      <c r="C54" s="245">
        <f>IFS(
AND($H$2=Data!$A$3,$K$2=Data!$A$2),SUMIFS(Proventos!$H:$H,Proventos!$D:$D,"&gt;="&amp;CONCATENATE($C$6,"/",B54),Proventos!$D:$D,"&lt;"&amp;CONCATENATE($D$6,"/",B54),Proventos!$J:$J,"="&amp;$H$2),
AND($H$2=Data!$A$4,$K$2=Data!$A$2),SUMIFS(Proventos!$H:$H,Proventos!$D:$D,"&gt;="&amp;CONCATENATE($C$6,"/",B54),Proventos!$D:$D,"&lt;"&amp;CONCATENATE($D$6,"/",B54),Proventos!$J:$J,"="&amp;$H$2),
AND($H$2=Data!$A$5,$K$2=Data!$A$2),SUMIFS(Proventos!$H:$H,Proventos!$D:$D,"&gt;="&amp;CONCATENATE($C$6,"/",B54),Proventos!$D:$D,"&lt;"&amp;CONCATENATE($D$6,"/",B54),Proventos!$J:$J,"="&amp;$H$2),
AND($H$2=Data!$A$6,$K$2=Data!$A$2),SUMIFS(Proventos!$H:$H,Proventos!$D:$D,"&gt;="&amp;CONCATENATE($C$6,"/",B54),Proventos!$D:$D,"&lt;"&amp;CONCATENATE($D$6,"/",B54),Proventos!$J:$J,"="&amp;$H$2),
AND($H$2=Data!$A$7,$K$2=Data!$A$2),SUMIFS(Proventos!$H:$H,Proventos!$D:$D,"&gt;="&amp;CONCATENATE($C$6,"/",B54),Proventos!$D:$D,"&lt;"&amp;CONCATENATE($D$6,"/",B54),Proventos!$J:$J,"="&amp;$H$2),
AND($H$2=Data!$A$8,$K$2=Data!$A$2),SUMIFS(Proventos!$H:$H,Proventos!$D:$D,"&gt;="&amp;CONCATENATE($C$6,"/",B54),Proventos!$D:$D,"&lt;"&amp;CONCATENATE($D$6,"/",B54),Proventos!$J:$J,"="&amp;$H$2),
AND($H$2=Data!$A$9,$K$2=Data!$A$2),SUMIFS(Proventos!$H:$H,Proventos!$D:$D,"&gt;="&amp;CONCATENATE($C$6,"/",B54),Proventos!$D:$D,"&lt;"&amp;CONCATENATE($D$6,"/",B54),Proventos!$J:$J,"="&amp;$H$2),
AND($H$2=Data!$A$10,$K$2=Data!$A$2),SUMIFS(Proventos!$H:$H,Proventos!$D:$D,"&gt;="&amp;CONCATENATE($C$6,"/",B54),Proventos!$D:$D,"&lt;"&amp;CONCATENATE($D$6,"/",B54),Proventos!$J:$J,"="&amp;$H$2),
AND($H$2=Data!$A$11,$K$2=Data!$A$2),SUMIFS(Proventos!$H:$H,Proventos!$D:$D,"&gt;="&amp;CONCATENATE($C$6,"/",B54),Proventos!$D:$D,"&lt;"&amp;CONCATENATE($D$6,"/",B54),Proventos!$J:$J,"="&amp;$H$2),
$K$2=Data!$A$2,SUMIFS(Proventos!$H:$H,Proventos!$D:$D,"&gt;="&amp;CONCATENATE($C$6,"/",B54),Proventos!$D:$D,"&lt;"&amp;CONCATENATE($D$6,"/",B54)),
$K$2&lt;&gt;Data!$A$2,SUMIFS(Proventos!$H:$H,Proventos!$D:$D,"&gt;="&amp;CONCATENATE($C$6,"/",B54),Proventos!$D:$D,"&lt;"&amp;CONCATENATE($D$6,"/",B54),Proventos!$A:$A,"="&amp;$K$2))</f>
        <v>0</v>
      </c>
      <c r="D54" s="245">
        <f>IFS(
AND($H$2=Data!$A$3,$K$2=Data!$A$2),SUMIFS(Proventos!$H:$H,Proventos!$D:$D,"&gt;="&amp;CONCATENATE($D$6,"/",B54),Proventos!$D:$D,"&lt;"&amp;CONCATENATE($E$6,"/",B54),Proventos!$J:$J,"="&amp;$H$2),
AND($H$2=Data!$A$4,$K$2=Data!$A$2),SUMIFS(Proventos!$H:$H,Proventos!$D:$D,"&gt;="&amp;CONCATENATE($D$6,"/",B54),Proventos!$D:$D,"&lt;"&amp;CONCATENATE($E$6,"/",B54),Proventos!$J:$J,"="&amp;$H$2),
AND($H$2=Data!$A$5,$K$2=Data!$A$2),SUMIFS(Proventos!$H:$H,Proventos!$D:$D,"&gt;="&amp;CONCATENATE($D$6,"/",B54),Proventos!$D:$D,"&lt;"&amp;CONCATENATE($E$6,"/",B54),Proventos!$J:$J,"="&amp;$H$2),
AND($H$2=Data!$A$6,$K$2=Data!$A$2),SUMIFS(Proventos!$H:$H,Proventos!$D:$D,"&gt;="&amp;CONCATENATE($D$6,"/",B54),Proventos!$D:$D,"&lt;"&amp;CONCATENATE($E$6,"/",B54),Proventos!$J:$J,"="&amp;$H$2),
AND($H$2=Data!$A$7,$K$2=Data!$A$2),SUMIFS(Proventos!$H:$H,Proventos!$D:$D,"&gt;="&amp;CONCATENATE($D$6,"/",B54),Proventos!$D:$D,"&lt;"&amp;CONCATENATE($E$6,"/",B54),Proventos!$J:$J,"="&amp;$H$2),
AND($H$2=Data!$A$8,$K$2=Data!$A$2),SUMIFS(Proventos!$H:$H,Proventos!$D:$D,"&gt;="&amp;CONCATENATE($D$6,"/",B54),Proventos!$D:$D,"&lt;"&amp;CONCATENATE($E$6,"/",B54),Proventos!$J:$J,"="&amp;$H$2),
AND($H$2=Data!$A$9,$K$2=Data!$A$2),SUMIFS(Proventos!$H:$H,Proventos!$D:$D,"&gt;="&amp;CONCATENATE($D$6,"/",B54),Proventos!$D:$D,"&lt;"&amp;CONCATENATE($E$6,"/",B54),Proventos!$J:$J,"="&amp;$H$2),
AND($H$2=Data!$A$10,$K$2=Data!$A$2),SUMIFS(Proventos!$H:$H,Proventos!$D:$D,"&gt;="&amp;CONCATENATE($D$6,"/",B54),Proventos!$D:$D,"&lt;"&amp;CONCATENATE($E$6,"/",B54),Proventos!$J:$J,"="&amp;$H$2),
AND($H$2=Data!$A$11,$K$2=Data!$A$2),SUMIFS(Proventos!$H:$H,Proventos!$D:$D,"&gt;="&amp;CONCATENATE($D$6,"/",B54),Proventos!$D:$D,"&lt;"&amp;CONCATENATE($E$6,"/",B54),Proventos!$J:$J,"="&amp;$H$2),
$K$2=Data!$A$2,SUMIFS(Proventos!$H:$H,Proventos!$D:$D,"&gt;="&amp;CONCATENATE($D$6,"/",B54),Proventos!$D:$D,"&lt;"&amp;CONCATENATE($E$6,"/",B54)),
$K$2&lt;&gt;Data!$A$2,SUMIFS(Proventos!$H:$H,Proventos!$D:$D,"&gt;="&amp;CONCATENATE($D$6,"/",B54),Proventos!$D:$D,"&lt;"&amp;CONCATENATE($E$6,"/",B54),Proventos!$A:$A,"="&amp;$K$2))</f>
        <v>0</v>
      </c>
      <c r="E54" s="245">
        <f>IFS(
AND($H$2=Data!$A$3,$K$2=Data!$A$2),SUMIFS(Proventos!$H:$H,Proventos!$D:$D,"&gt;="&amp;CONCATENATE($E$6,"/",B54),Proventos!$D:$D,"&lt;"&amp;CONCATENATE($F$6,"/",B54),Proventos!$J:$J,"="&amp;$H$2),
AND($H$2=Data!$A$4,$K$2=Data!$A$2),SUMIFS(Proventos!$H:$H,Proventos!$D:$D,"&gt;="&amp;CONCATENATE($E$6,"/",B54),Proventos!$D:$D,"&lt;"&amp;CONCATENATE($F$6,"/",B54),Proventos!$J:$J,"="&amp;$H$2),
AND($H$2=Data!$A$5,$K$2=Data!$A$2),SUMIFS(Proventos!$H:$H,Proventos!$D:$D,"&gt;="&amp;CONCATENATE($E$6,"/",B54),Proventos!$D:$D,"&lt;"&amp;CONCATENATE($F$6,"/",B54),Proventos!$J:$J,"="&amp;$H$2),
AND($H$2=Data!$A$6,$K$2=Data!$A$2),SUMIFS(Proventos!$H:$H,Proventos!$D:$D,"&gt;="&amp;CONCATENATE($E$6,"/",B54),Proventos!$D:$D,"&lt;"&amp;CONCATENATE($F$6,"/",B54),Proventos!$J:$J,"="&amp;$H$2),
AND($H$2=Data!$A$7,$K$2=Data!$A$2),SUMIFS(Proventos!$H:$H,Proventos!$D:$D,"&gt;="&amp;CONCATENATE($E$6,"/",B54),Proventos!$D:$D,"&lt;"&amp;CONCATENATE($F$6,"/",B54),Proventos!$J:$J,"="&amp;$H$2),
AND($H$2=Data!$A$8,$K$2=Data!$A$2),SUMIFS(Proventos!$H:$H,Proventos!$D:$D,"&gt;="&amp;CONCATENATE($E$6,"/",B54),Proventos!$D:$D,"&lt;"&amp;CONCATENATE($F$6,"/",B54),Proventos!$J:$J,"="&amp;$H$2),
AND($H$2=Data!$A$9,$K$2=Data!$A$2),SUMIFS(Proventos!$H:$H,Proventos!$D:$D,"&gt;="&amp;CONCATENATE($E$6,"/",B54),Proventos!$D:$D,"&lt;"&amp;CONCATENATE($F$6,"/",B54),Proventos!$J:$J,"="&amp;$H$2),
AND($H$2=Data!$A$10,$K$2=Data!$A$2),SUMIFS(Proventos!$H:$H,Proventos!$D:$D,"&gt;="&amp;CONCATENATE($E$6,"/",B54),Proventos!$D:$D,"&lt;"&amp;CONCATENATE($F$6,"/",B54),Proventos!$J:$J,"="&amp;$H$2),
AND($H$2=Data!$A$11,$K$2=Data!$A$2),SUMIFS(Proventos!$H:$H,Proventos!$D:$D,"&gt;="&amp;CONCATENATE($E$6,"/",B54),Proventos!$D:$D,"&lt;"&amp;CONCATENATE($F$6,"/",B54),Proventos!$J:$J,"="&amp;$H$2),
$K$2=Data!$A$2,SUMIFS(Proventos!$H:$H,Proventos!$D:$D,"&gt;="&amp;CONCATENATE($E$6,"/",B54),Proventos!$D:$D,"&lt;"&amp;CONCATENATE($F$6,"/",B54)),
$K$2&lt;&gt;Data!$A$2,SUMIFS(Proventos!$H:$H,Proventos!$D:$D,"&gt;="&amp;CONCATENATE($E$6,"/",B54),Proventos!$D:$D,"&lt;"&amp;CONCATENATE($F$6,"/",B54),Proventos!$A:$A,"="&amp;$K$2))</f>
        <v>0</v>
      </c>
      <c r="F54" s="245">
        <f>IFS(
AND($H$2=Data!$A$3,$K$2=Data!$A$2),SUMIFS(Proventos!$H:$H,Proventos!$D:$D,"&gt;="&amp;CONCATENATE($F$6,"/",B54),Proventos!$D:$D,"&lt;"&amp;CONCATENATE($G$6,"/",B54),Proventos!$J:$J,"="&amp;$H$2),
AND($H$2=Data!$A$4,$K$2=Data!$A$2),SUMIFS(Proventos!$H:$H,Proventos!$D:$D,"&gt;="&amp;CONCATENATE($F$6,"/",B54),Proventos!$D:$D,"&lt;"&amp;CONCATENATE($G$6,"/",B54),Proventos!$J:$J,"="&amp;$H$2),
AND($H$2=Data!$A$5,$K$2=Data!$A$2),SUMIFS(Proventos!$H:$H,Proventos!$D:$D,"&gt;="&amp;CONCATENATE($F$6,"/",B54),Proventos!$D:$D,"&lt;"&amp;CONCATENATE($G$6,"/",B54),Proventos!$J:$J,"="&amp;$H$2),
AND($H$2=Data!$A$6,$K$2=Data!$A$2),SUMIFS(Proventos!$H:$H,Proventos!$D:$D,"&gt;="&amp;CONCATENATE($F$6,"/",B54),Proventos!$D:$D,"&lt;"&amp;CONCATENATE($G$6,"/",B54),Proventos!$J:$J,"="&amp;$H$2),
AND($H$2=Data!$A$7,$K$2=Data!$A$2),SUMIFS(Proventos!$H:$H,Proventos!$D:$D,"&gt;="&amp;CONCATENATE($F$6,"/",B54),Proventos!$D:$D,"&lt;"&amp;CONCATENATE($G$6,"/",B54),Proventos!$J:$J,"="&amp;$H$2),
AND($H$2=Data!$A$8,$K$2=Data!$A$2),SUMIFS(Proventos!$H:$H,Proventos!$D:$D,"&gt;="&amp;CONCATENATE($F$6,"/",B54),Proventos!$D:$D,"&lt;"&amp;CONCATENATE($G$6,"/",B54),Proventos!$J:$J,"="&amp;$H$2),
AND($H$2=Data!$A$9,$K$2=Data!$A$2),SUMIFS(Proventos!$H:$H,Proventos!$D:$D,"&gt;="&amp;CONCATENATE($F$6,"/",B54),Proventos!$D:$D,"&lt;"&amp;CONCATENATE($G$6,"/",B54),Proventos!$J:$J,"="&amp;$H$2),
AND($H$2=Data!$A$10,$K$2=Data!$A$2),SUMIFS(Proventos!$H:$H,Proventos!$D:$D,"&gt;="&amp;CONCATENATE($F$6,"/",B54),Proventos!$D:$D,"&lt;"&amp;CONCATENATE($G$6,"/",B54),Proventos!$J:$J,"="&amp;$H$2),
AND($H$2=Data!$A$11,$K$2=Data!$A$2),SUMIFS(Proventos!$H:$H,Proventos!$D:$D,"&gt;="&amp;CONCATENATE($F$6,"/",B54),Proventos!$D:$D,"&lt;"&amp;CONCATENATE($G$6,"/",B54),Proventos!$J:$J,"="&amp;$H$2),
$K$2=Data!$A$2,SUMIFS(Proventos!$H:$H,Proventos!$D:$D,"&gt;="&amp;CONCATENATE($F$6,"/",B54),Proventos!$D:$D,"&lt;"&amp;CONCATENATE($G$6,"/",B54)),
$K$2&lt;&gt;Data!$A$2,SUMIFS(Proventos!$H:$H,Proventos!$D:$D,"&gt;="&amp;CONCATENATE($F$6,"/",B54),Proventos!$D:$D,"&lt;"&amp;CONCATENATE($G$6,"/",B54),Proventos!$A:$A,"="&amp;$K$2))</f>
        <v>0</v>
      </c>
      <c r="G54" s="245">
        <f>IFS(
AND($H$2=Data!$A$3,$K$2=Data!$A$2),SUMIFS(Proventos!$H:$H,Proventos!$D:$D,"&gt;="&amp;CONCATENATE($G$6,"/",B54),Proventos!$D:$D,"&lt;"&amp;CONCATENATE($H$6,"/",B54),Proventos!$J:$J,"="&amp;$H$2),
AND($H$2=Data!$A$4,$K$2=Data!$A$2),SUMIFS(Proventos!$H:$H,Proventos!$D:$D,"&gt;="&amp;CONCATENATE($G$6,"/",B54),Proventos!$D:$D,"&lt;"&amp;CONCATENATE($H$6,"/",B54),Proventos!$J:$J,"="&amp;$H$2),
AND($H$2=Data!$A$5,$K$2=Data!$A$2),SUMIFS(Proventos!$H:$H,Proventos!$D:$D,"&gt;="&amp;CONCATENATE($G$6,"/",B54),Proventos!$D:$D,"&lt;"&amp;CONCATENATE($H$6,"/",B54),Proventos!$J:$J,"="&amp;$H$2),
AND($H$2=Data!$A$6,$K$2=Data!$A$2),SUMIFS(Proventos!$H:$H,Proventos!$D:$D,"&gt;="&amp;CONCATENATE($G$6,"/",B54),Proventos!$D:$D,"&lt;"&amp;CONCATENATE($H$6,"/",B54),Proventos!$J:$J,"="&amp;$H$2),
AND($H$2=Data!$A$7,$K$2=Data!$A$2),SUMIFS(Proventos!$H:$H,Proventos!$D:$D,"&gt;="&amp;CONCATENATE($G$6,"/",B54),Proventos!$D:$D,"&lt;"&amp;CONCATENATE($H$6,"/",B54),Proventos!$J:$J,"="&amp;$H$2),
AND($H$2=Data!$A$8,$K$2=Data!$A$2),SUMIFS(Proventos!$H:$H,Proventos!$D:$D,"&gt;="&amp;CONCATENATE($G$6,"/",B54),Proventos!$D:$D,"&lt;"&amp;CONCATENATE($H$6,"/",B54),Proventos!$J:$J,"="&amp;$H$2),
AND($H$2=Data!$A$9,$K$2=Data!$A$2),SUMIFS(Proventos!$H:$H,Proventos!$D:$D,"&gt;="&amp;CONCATENATE($G$6,"/",B54),Proventos!$D:$D,"&lt;"&amp;CONCATENATE($H$6,"/",B54),Proventos!$J:$J,"="&amp;$H$2),
AND($H$2=Data!$A$10,$K$2=Data!$A$2),SUMIFS(Proventos!$H:$H,Proventos!$D:$D,"&gt;="&amp;CONCATENATE($G$6,"/",B54),Proventos!$D:$D,"&lt;"&amp;CONCATENATE($H$6,"/",B54),Proventos!$J:$J,"="&amp;$H$2),
AND($H$2=Data!$A$11,$K$2=Data!$A$2),SUMIFS(Proventos!$H:$H,Proventos!$D:$D,"&gt;="&amp;CONCATENATE($G$6,"/",B54),Proventos!$D:$D,"&lt;"&amp;CONCATENATE($H$6,"/",B54),Proventos!$J:$J,"="&amp;$H$2),
$K$2=Data!$A$2,SUMIFS(Proventos!$H:$H,Proventos!$D:$D,"&gt;="&amp;CONCATENATE($G$6,"/",B54),Proventos!$D:$D,"&lt;"&amp;CONCATENATE($H$6,"/",B54)),
$K$2&lt;&gt;Data!$A$2,SUMIFS(Proventos!$H:$H,Proventos!$D:$D,"&gt;="&amp;CONCATENATE($G$6,"/",B54),Proventos!$D:$D,"&lt;"&amp;CONCATENATE($H$6,"/",B54),Proventos!$A:$A,"="&amp;$K$2))</f>
        <v>0</v>
      </c>
      <c r="H54" s="245">
        <f>IFS(
AND($H$2=Data!$A$3,$K$2=Data!$A$2),SUMIFS(Proventos!$H:$H,Proventos!$D:$D,"&gt;="&amp;CONCATENATE($H$6,"/",B54),Proventos!$D:$D,"&lt;"&amp;CONCATENATE($I$6,"/",B54),Proventos!$J:$J,"="&amp;$H$2),
AND($H$2=Data!$A$4,$K$2=Data!$A$2),SUMIFS(Proventos!$H:$H,Proventos!$D:$D,"&gt;="&amp;CONCATENATE($H$6,"/",B54),Proventos!$D:$D,"&lt;"&amp;CONCATENATE($I$6,"/",B54),Proventos!$J:$J,"="&amp;$H$2),
AND($H$2=Data!$A$5,$K$2=Data!$A$2),SUMIFS(Proventos!$H:$H,Proventos!$D:$D,"&gt;="&amp;CONCATENATE($H$6,"/",B54),Proventos!$D:$D,"&lt;"&amp;CONCATENATE($I$6,"/",B54),Proventos!$J:$J,"="&amp;$H$2),
AND($H$2=Data!$A$6,$K$2=Data!$A$2),SUMIFS(Proventos!$H:$H,Proventos!$D:$D,"&gt;="&amp;CONCATENATE($H$6,"/",B54),Proventos!$D:$D,"&lt;"&amp;CONCATENATE($I$6,"/",B54),Proventos!$J:$J,"="&amp;$H$2),
AND($H$2=Data!$A$7,$K$2=Data!$A$2),SUMIFS(Proventos!$H:$H,Proventos!$D:$D,"&gt;="&amp;CONCATENATE($H$6,"/",B54),Proventos!$D:$D,"&lt;"&amp;CONCATENATE($I$6,"/",B54),Proventos!$J:$J,"="&amp;$H$2),
AND($H$2=Data!$A$8,$K$2=Data!$A$2),SUMIFS(Proventos!$H:$H,Proventos!$D:$D,"&gt;="&amp;CONCATENATE($H$6,"/",B54),Proventos!$D:$D,"&lt;"&amp;CONCATENATE($I$6,"/",B54),Proventos!$J:$J,"="&amp;$H$2),
AND($H$2=Data!$A$9,$K$2=Data!$A$2),SUMIFS(Proventos!$H:$H,Proventos!$D:$D,"&gt;="&amp;CONCATENATE($H$6,"/",B54),Proventos!$D:$D,"&lt;"&amp;CONCATENATE($I$6,"/",B54),Proventos!$J:$J,"="&amp;$H$2),
AND($H$2=Data!$A$10,$K$2=Data!$A$2),SUMIFS(Proventos!$H:$H,Proventos!$D:$D,"&gt;="&amp;CONCATENATE($H$6,"/",B54),Proventos!$D:$D,"&lt;"&amp;CONCATENATE($I$6,"/",B54),Proventos!$J:$J,"="&amp;$H$2),
AND($H$2=Data!$A$11,$K$2=Data!$A$2),SUMIFS(Proventos!$H:$H,Proventos!$D:$D,"&gt;="&amp;CONCATENATE($H$6,"/",B54),Proventos!$D:$D,"&lt;"&amp;CONCATENATE($I$6,"/",B54),Proventos!$J:$J,"="&amp;$H$2),
$K$2=Data!$A$2,SUMIFS(Proventos!$H:$H,Proventos!$D:$D,"&gt;="&amp;CONCATENATE($H$6,"/",B54),Proventos!$D:$D,"&lt;"&amp;CONCATENATE($I$6,"/",B54)),
$K$2&lt;&gt;Data!$A$2,SUMIFS(Proventos!$H:$H,Proventos!$D:$D,"&gt;="&amp;CONCATENATE($H$6,"/",B54),Proventos!$D:$D,"&lt;"&amp;CONCATENATE($I$6,"/",B54),Proventos!$A:$A,"="&amp;$K$2))</f>
        <v>0</v>
      </c>
      <c r="I54" s="245">
        <f>IFS(
AND($H$2=Data!$A$3,$K$2=Data!$A$2),SUMIFS(Proventos!$H:$H,Proventos!$D:$D,"&gt;="&amp;CONCATENATE($I$6,"/",B54),Proventos!$D:$D,"&lt;"&amp;CONCATENATE($J$6,"/",B54),Proventos!$J:$J,"="&amp;$H$2),
AND($H$2=Data!$A$4,$K$2=Data!$A$2),SUMIFS(Proventos!$H:$H,Proventos!$D:$D,"&gt;="&amp;CONCATENATE($I$6,"/",B54),Proventos!$D:$D,"&lt;"&amp;CONCATENATE($J$6,"/",B54),Proventos!$J:$J,"="&amp;$H$2),
AND($H$2=Data!$A$5,$K$2=Data!$A$2),SUMIFS(Proventos!$H:$H,Proventos!$D:$D,"&gt;="&amp;CONCATENATE($I$6,"/",B54),Proventos!$D:$D,"&lt;"&amp;CONCATENATE($J$6,"/",B54),Proventos!$J:$J,"="&amp;$H$2),
AND($H$2=Data!$A$6,$K$2=Data!$A$2),SUMIFS(Proventos!$H:$H,Proventos!$D:$D,"&gt;="&amp;CONCATENATE($I$6,"/",B54),Proventos!$D:$D,"&lt;"&amp;CONCATENATE($J$6,"/",B54),Proventos!$J:$J,"="&amp;$H$2),
AND($H$2=Data!$A$7,$K$2=Data!$A$2),SUMIFS(Proventos!$H:$H,Proventos!$D:$D,"&gt;="&amp;CONCATENATE($I$6,"/",B54),Proventos!$D:$D,"&lt;"&amp;CONCATENATE($J$6,"/",B54),Proventos!$J:$J,"="&amp;$H$2),
AND($H$2=Data!$A$8,$K$2=Data!$A$2),SUMIFS(Proventos!$H:$H,Proventos!$D:$D,"&gt;="&amp;CONCATENATE($I$6,"/",B54),Proventos!$D:$D,"&lt;"&amp;CONCATENATE($J$6,"/",B54),Proventos!$J:$J,"="&amp;$H$2),
AND($H$2=Data!$A$9,$K$2=Data!$A$2),SUMIFS(Proventos!$H:$H,Proventos!$D:$D,"&gt;="&amp;CONCATENATE($I$6,"/",B54),Proventos!$D:$D,"&lt;"&amp;CONCATENATE($J$6,"/",B54),Proventos!$J:$J,"="&amp;$H$2),
AND($H$2=Data!$A$10,$K$2=Data!$A$2),SUMIFS(Proventos!$H:$H,Proventos!$D:$D,"&gt;="&amp;CONCATENATE($I$6,"/",B54),Proventos!$D:$D,"&lt;"&amp;CONCATENATE($J$6,"/",B54),Proventos!$J:$J,"="&amp;$H$2),
AND($H$2=Data!$A$11,$K$2=Data!$A$2),SUMIFS(Proventos!$H:$H,Proventos!$D:$D,"&gt;="&amp;CONCATENATE($I$6,"/",B54),Proventos!$D:$D,"&lt;"&amp;CONCATENATE($J$6,"/",B54),Proventos!$J:$J,"="&amp;$H$2),
$K$2=Data!$A$2,SUMIFS(Proventos!$H:$H,Proventos!$D:$D,"&gt;="&amp;CONCATENATE($I$6,"/",B54),Proventos!$D:$D,"&lt;"&amp;CONCATENATE($J$6,"/",B54)),
$K$2&lt;&gt;Data!$A$2,SUMIFS(Proventos!$H:$H,Proventos!$D:$D,"&gt;="&amp;CONCATENATE($I$6,"/",B54),Proventos!$D:$D,"&lt;"&amp;CONCATENATE($J$6,"/",B54),Proventos!$A:$A,"="&amp;$K$2))</f>
        <v>0</v>
      </c>
      <c r="J54" s="245">
        <f>IFS(
AND($H$2=Data!$A$3,$K$2=Data!$A$2),SUMIFS(Proventos!$H:$H,Proventos!$D:$D,"&gt;="&amp;CONCATENATE($J$6,"/",B54),Proventos!$D:$D,"&lt;"&amp;CONCATENATE($K$6,"/",B54),Proventos!$J:$J,"="&amp;$H$2),
AND($H$2=Data!$A$4,$K$2=Data!$A$2),SUMIFS(Proventos!$H:$H,Proventos!$D:$D,"&gt;="&amp;CONCATENATE($J$6,"/",B54),Proventos!$D:$D,"&lt;"&amp;CONCATENATE($K$6,"/",B54),Proventos!$J:$J,"="&amp;$H$2),
AND($H$2=Data!$A$5,$K$2=Data!$A$2),SUMIFS(Proventos!$H:$H,Proventos!$D:$D,"&gt;="&amp;CONCATENATE($J$6,"/",B54),Proventos!$D:$D,"&lt;"&amp;CONCATENATE($K$6,"/",B54),Proventos!$J:$J,"="&amp;$H$2),
AND($H$2=Data!$A$6,$K$2=Data!$A$2),SUMIFS(Proventos!$H:$H,Proventos!$D:$D,"&gt;="&amp;CONCATENATE($J$6,"/",B54),Proventos!$D:$D,"&lt;"&amp;CONCATENATE($K$6,"/",B54),Proventos!$J:$J,"="&amp;$H$2),
AND($H$2=Data!$A$7,$K$2=Data!$A$2),SUMIFS(Proventos!$H:$H,Proventos!$D:$D,"&gt;="&amp;CONCATENATE($J$6,"/",B54),Proventos!$D:$D,"&lt;"&amp;CONCATENATE($K$6,"/",B54),Proventos!$J:$J,"="&amp;$H$2),
AND($H$2=Data!$A$8,$K$2=Data!$A$2),SUMIFS(Proventos!$H:$H,Proventos!$D:$D,"&gt;="&amp;CONCATENATE($J$6,"/",B54),Proventos!$D:$D,"&lt;"&amp;CONCATENATE($K$6,"/",B54),Proventos!$J:$J,"="&amp;$H$2),
AND($H$2=Data!$A$9,$K$2=Data!$A$2),SUMIFS(Proventos!$H:$H,Proventos!$D:$D,"&gt;="&amp;CONCATENATE($J$6,"/",B54),Proventos!$D:$D,"&lt;"&amp;CONCATENATE($K$6,"/",B54),Proventos!$J:$J,"="&amp;$H$2),
AND($H$2=Data!$A$10,$K$2=Data!$A$2),SUMIFS(Proventos!$H:$H,Proventos!$D:$D,"&gt;="&amp;CONCATENATE($J$6,"/",B54),Proventos!$D:$D,"&lt;"&amp;CONCATENATE($K$6,"/",B54),Proventos!$J:$J,"="&amp;$H$2),
AND($H$2=Data!$A$11,$K$2=Data!$A$2),SUMIFS(Proventos!$H:$H,Proventos!$D:$D,"&gt;="&amp;CONCATENATE($J$6,"/",B54),Proventos!$D:$D,"&lt;"&amp;CONCATENATE($K$6,"/",B54),Proventos!$J:$J,"="&amp;$H$2),
$K$2=Data!$A$2,SUMIFS(Proventos!$H:$H,Proventos!$D:$D,"&gt;="&amp;CONCATENATE($J$6,"/",B54),Proventos!$D:$D,"&lt;"&amp;CONCATENATE($K$6,"/",B54)),
$K$2&lt;&gt;Data!$A$2,SUMIFS(Proventos!$H:$H,Proventos!$D:$D,"&gt;="&amp;CONCATENATE($J$6,"/",B54),Proventos!$D:$D,"&lt;"&amp;CONCATENATE($K$6,"/",B54),Proventos!$A:$A,"="&amp;$K$2))</f>
        <v>0</v>
      </c>
      <c r="K54" s="245">
        <f>IFS(
AND($H$2=Data!$A$3,$K$2=Data!$A$2),SUMIFS(Proventos!$H:$H,Proventos!$D:$D,"&gt;="&amp;CONCATENATE($K$6,"/",B54),Proventos!$D:$D,"&lt;"&amp;CONCATENATE($L$6,"/",B54),Proventos!$J:$J,"="&amp;$H$2),
AND($H$2=Data!$A$4,$K$2=Data!$A$2),SUMIFS(Proventos!$H:$H,Proventos!$D:$D,"&gt;="&amp;CONCATENATE($K$6,"/",B54),Proventos!$D:$D,"&lt;"&amp;CONCATENATE($L$6,"/",B54),Proventos!$J:$J,"="&amp;$H$2),
AND($H$2=Data!$A$5,$K$2=Data!$A$2),SUMIFS(Proventos!$H:$H,Proventos!$D:$D,"&gt;="&amp;CONCATENATE($K$6,"/",B54),Proventos!$D:$D,"&lt;"&amp;CONCATENATE($L$6,"/",B54),Proventos!$J:$J,"="&amp;$H$2),
AND($H$2=Data!$A$6,$K$2=Data!$A$2),SUMIFS(Proventos!$H:$H,Proventos!$D:$D,"&gt;="&amp;CONCATENATE($K$6,"/",B54),Proventos!$D:$D,"&lt;"&amp;CONCATENATE($L$6,"/",B54),Proventos!$J:$J,"="&amp;$H$2),
AND($H$2=Data!$A$7,$K$2=Data!$A$2),SUMIFS(Proventos!$H:$H,Proventos!$D:$D,"&gt;="&amp;CONCATENATE($K$6,"/",B54),Proventos!$D:$D,"&lt;"&amp;CONCATENATE($L$6,"/",B54),Proventos!$J:$J,"="&amp;$H$2),
AND($H$2=Data!$A$8,$K$2=Data!$A$2),SUMIFS(Proventos!$H:$H,Proventos!$D:$D,"&gt;="&amp;CONCATENATE($K$6,"/",B54),Proventos!$D:$D,"&lt;"&amp;CONCATENATE($L$6,"/",B54),Proventos!$J:$J,"="&amp;$H$2),
AND($H$2=Data!$A$9,$K$2=Data!$A$2),SUMIFS(Proventos!$H:$H,Proventos!$D:$D,"&gt;="&amp;CONCATENATE($K$6,"/",B54),Proventos!$D:$D,"&lt;"&amp;CONCATENATE($L$6,"/",B54),Proventos!$J:$J,"="&amp;$H$2),
AND($H$2=Data!$A$10,$K$2=Data!$A$2),SUMIFS(Proventos!$H:$H,Proventos!$D:$D,"&gt;="&amp;CONCATENATE($K$6,"/",B54),Proventos!$D:$D,"&lt;"&amp;CONCATENATE($L$6,"/",B54),Proventos!$J:$J,"="&amp;$H$2),
AND($H$2=Data!$A$11,$K$2=Data!$A$2),SUMIFS(Proventos!$H:$H,Proventos!$D:$D,"&gt;="&amp;CONCATENATE($K$6,"/",B54),Proventos!$D:$D,"&lt;"&amp;CONCATENATE($L$6,"/",B54),Proventos!$J:$J,"="&amp;$H$2),
$K$2=Data!$A$2,SUMIFS(Proventos!$H:$H,Proventos!$D:$D,"&gt;="&amp;CONCATENATE($K$6,"/",B54),Proventos!$D:$D,"&lt;"&amp;CONCATENATE($L$6,"/",B54)),
$K$2&lt;&gt;Data!$A$2,SUMIFS(Proventos!$H:$H,Proventos!$D:$D,"&gt;="&amp;CONCATENATE($K$6,"/",B54),Proventos!$D:$D,"&lt;"&amp;CONCATENATE($L$6,"/",B54),Proventos!$A:$A,"="&amp;$K$2))</f>
        <v>0</v>
      </c>
      <c r="L54" s="245">
        <f>IFS(
AND($H$2=Data!$A$3,$K$2=Data!$A$2),SUMIFS(Proventos!$H:$H,Proventos!$D:$D,"&gt;="&amp;CONCATENATE($L$6,"/",B54),Proventos!$D:$D,"&lt;"&amp;CONCATENATE($M$6,"/",B54),Proventos!$J:$J,"="&amp;$H$2),
AND($H$2=Data!$A$4,$K$2=Data!$A$2),SUMIFS(Proventos!$H:$H,Proventos!$D:$D,"&gt;="&amp;CONCATENATE($L$6,"/",B54),Proventos!$D:$D,"&lt;"&amp;CONCATENATE($M$6,"/",B54),Proventos!$J:$J,"="&amp;$H$2),
AND($H$2=Data!$A$5,$K$2=Data!$A$2),SUMIFS(Proventos!$H:$H,Proventos!$D:$D,"&gt;="&amp;CONCATENATE($L$6,"/",B54),Proventos!$D:$D,"&lt;"&amp;CONCATENATE($M$6,"/",B54),Proventos!$J:$J,"="&amp;$H$2),
AND($H$2=Data!$A$6,$K$2=Data!$A$2),SUMIFS(Proventos!$H:$H,Proventos!$D:$D,"&gt;="&amp;CONCATENATE($L$6,"/",B54),Proventos!$D:$D,"&lt;"&amp;CONCATENATE($M$6,"/",B54),Proventos!$J:$J,"="&amp;$H$2),
AND($H$2=Data!$A$7,$K$2=Data!$A$2),SUMIFS(Proventos!$H:$H,Proventos!$D:$D,"&gt;="&amp;CONCATENATE($L$6,"/",B54),Proventos!$D:$D,"&lt;"&amp;CONCATENATE($M$6,"/",B54),Proventos!$J:$J,"="&amp;$H$2),
AND($H$2=Data!$A$8,$K$2=Data!$A$2),SUMIFS(Proventos!$H:$H,Proventos!$D:$D,"&gt;="&amp;CONCATENATE($L$6,"/",B54),Proventos!$D:$D,"&lt;"&amp;CONCATENATE($M$6,"/",B54),Proventos!$J:$J,"="&amp;$H$2),
AND($H$2=Data!$A$9,$K$2=Data!$A$2),SUMIFS(Proventos!$H:$H,Proventos!$D:$D,"&gt;="&amp;CONCATENATE($L$6,"/",B54),Proventos!$D:$D,"&lt;"&amp;CONCATENATE($M$6,"/",B54),Proventos!$J:$J,"="&amp;$H$2),
AND($H$2=Data!$A$10,$K$2=Data!$A$2),SUMIFS(Proventos!$H:$H,Proventos!$D:$D,"&gt;="&amp;CONCATENATE($L$6,"/",B54),Proventos!$D:$D,"&lt;"&amp;CONCATENATE($M$6,"/",B54),Proventos!$J:$J,"="&amp;$H$2),
AND($H$2=Data!$A$11,$K$2=Data!$A$2),SUMIFS(Proventos!$H:$H,Proventos!$D:$D,"&gt;="&amp;CONCATENATE($L$6,"/",B54),Proventos!$D:$D,"&lt;"&amp;CONCATENATE($M$6,"/",B54),Proventos!$J:$J,"="&amp;$H$2),
$K$2=Data!$A$2,SUMIFS(Proventos!$H:$H,Proventos!$D:$D,"&gt;="&amp;CONCATENATE($L$6,"/",B54),Proventos!$D:$D,"&lt;"&amp;CONCATENATE($M$6,"/",B54)),
$K$2&lt;&gt;Data!$A$2,SUMIFS(Proventos!$H:$H,Proventos!$D:$D,"&gt;="&amp;CONCATENATE($L$6,"/",B54),Proventos!$D:$D,"&lt;"&amp;CONCATENATE($M$6,"/",B54),Proventos!$A:$A,"="&amp;$K$2))</f>
        <v>0</v>
      </c>
      <c r="M54" s="245">
        <f>IFS(
AND($H$2=Data!$A$3,$K$2=Data!$A$2),SUMIFS(Proventos!$H:$H,Proventos!$D:$D,"&gt;="&amp;CONCATENATE($M$6,"/",B54),Proventos!$D:$D,"&lt;"&amp;CONCATENATE($N$6,"/",B54),Proventos!$J:$J,"="&amp;$H$2),
AND($H$2=Data!$A$4,$K$2=Data!$A$2),SUMIFS(Proventos!$H:$H,Proventos!$D:$D,"&gt;="&amp;CONCATENATE($M$6,"/",B54),Proventos!$D:$D,"&lt;"&amp;CONCATENATE($N$6,"/",B54),Proventos!$J:$J,"="&amp;$H$2),
AND($H$2=Data!$A$5,$K$2=Data!$A$2),SUMIFS(Proventos!$H:$H,Proventos!$D:$D,"&gt;="&amp;CONCATENATE($M$6,"/",B54),Proventos!$D:$D,"&lt;"&amp;CONCATENATE($N$6,"/",B54),Proventos!$J:$J,"="&amp;$H$2),
AND($H$2=Data!$A$6,$K$2=Data!$A$2),SUMIFS(Proventos!$H:$H,Proventos!$D:$D,"&gt;="&amp;CONCATENATE($M$6,"/",B54),Proventos!$D:$D,"&lt;"&amp;CONCATENATE($N$6,"/",B54),Proventos!$J:$J,"="&amp;$H$2),
AND($H$2=Data!$A$7,$K$2=Data!$A$2),SUMIFS(Proventos!$H:$H,Proventos!$D:$D,"&gt;="&amp;CONCATENATE($M$6,"/",B54),Proventos!$D:$D,"&lt;"&amp;CONCATENATE($N$6,"/",B54),Proventos!$J:$J,"="&amp;$H$2),
AND($H$2=Data!$A$8,$K$2=Data!$A$2),SUMIFS(Proventos!$H:$H,Proventos!$D:$D,"&gt;="&amp;CONCATENATE($M$6,"/",B54),Proventos!$D:$D,"&lt;"&amp;CONCATENATE($N$6,"/",B54),Proventos!$J:$J,"="&amp;$H$2),
AND($H$2=Data!$A$9,$K$2=Data!$A$2),SUMIFS(Proventos!$H:$H,Proventos!$D:$D,"&gt;="&amp;CONCATENATE($M$6,"/",B54),Proventos!$D:$D,"&lt;"&amp;CONCATENATE($N$6,"/",B54),Proventos!$J:$J,"="&amp;$H$2),
AND($H$2=Data!$A$10,$K$2=Data!$A$2),SUMIFS(Proventos!$H:$H,Proventos!$D:$D,"&gt;="&amp;CONCATENATE($M$6,"/",B54),Proventos!$D:$D,"&lt;"&amp;CONCATENATE($N$6,"/",B54),Proventos!$J:$J,"="&amp;$H$2),
AND($H$2=Data!$A$11,$K$2=Data!$A$2),SUMIFS(Proventos!$H:$H,Proventos!$D:$D,"&gt;="&amp;CONCATENATE($M$6,"/",B54),Proventos!$D:$D,"&lt;"&amp;CONCATENATE($N$6,"/",B54),Proventos!$J:$J,"="&amp;$H$2),
$K$2=Data!$A$2,SUMIFS(Proventos!$H:$H,Proventos!$D:$D,"&gt;="&amp;CONCATENATE($M$6,"/",B54),Proventos!$D:$D,"&lt;"&amp;CONCATENATE($N$6,"/",B54)),
$K$2&lt;&gt;Data!$A$2,SUMIFS(Proventos!$H:$H,Proventos!$D:$D,"&gt;="&amp;CONCATENATE($M$6,"/",B54),Proventos!$D:$D,"&lt;"&amp;CONCATENATE($N$6,"/",B54),Proventos!$A:$A,"="&amp;$K$2))</f>
        <v>0</v>
      </c>
      <c r="N54" s="245">
        <f>IFS(
AND($H$2=Data!$A$3,$K$2=Data!$A$2),SUMIFS(Proventos!$H:$H,Proventos!$D:$D,"&gt;="&amp;CONCATENATE($N$6,"/",B54),Proventos!$D:$D,"&lt;"&amp;CONCATENATE($C$6,"/",B55),Proventos!$J:$J,"="&amp;$H$2),
AND($H$2=Data!$A$4,$K$2=Data!$A$2),SUMIFS(Proventos!$H:$H,Proventos!$D:$D,"&gt;="&amp;CONCATENATE($N$6,"/",B54),Proventos!$D:$D,"&lt;"&amp;CONCATENATE($C$6,"/",B55),Proventos!$J:$J,"="&amp;$H$2),
AND($H$2=Data!$A$5,$K$2=Data!$A$2),SUMIFS(Proventos!$H:$H,Proventos!$D:$D,"&gt;="&amp;CONCATENATE($N$6,"/",B54),Proventos!$D:$D,"&lt;"&amp;CONCATENATE($C$6,"/",B55),Proventos!$J:$J,"="&amp;$H$2),
AND($H$2=Data!$A$6,$K$2=Data!$A$2),SUMIFS(Proventos!$H:$H,Proventos!$D:$D,"&gt;="&amp;CONCATENATE($N$6,"/",B54),Proventos!$D:$D,"&lt;"&amp;CONCATENATE($C$6,"/",B55),Proventos!$J:$J,"="&amp;$H$2),
AND($H$2=Data!$A$7,$K$2=Data!$A$2),SUMIFS(Proventos!$H:$H,Proventos!$D:$D,"&gt;="&amp;CONCATENATE($N$6,"/",B54),Proventos!$D:$D,"&lt;"&amp;CONCATENATE($C$6,"/",B55),Proventos!$J:$J,"="&amp;$H$2),
AND($H$2=Data!$A$8,$K$2=Data!$A$2),SUMIFS(Proventos!$H:$H,Proventos!$D:$D,"&gt;="&amp;CONCATENATE($N$6,"/",B54),Proventos!$D:$D,"&lt;"&amp;CONCATENATE($C$6,"/",B55),Proventos!$J:$J,"="&amp;$H$2),
AND($H$2=Data!$A$9,$K$2=Data!$A$2),SUMIFS(Proventos!$H:$H,Proventos!$D:$D,"&gt;="&amp;CONCATENATE($N$6,"/",B54),Proventos!$D:$D,"&lt;"&amp;CONCATENATE($C$6,"/",B55),Proventos!$J:$J,"="&amp;$H$2),
AND($H$2=Data!$A$10,$K$2=Data!$A$2),SUMIFS(Proventos!$H:$H,Proventos!$D:$D,"&gt;="&amp;CONCATENATE($N$6,"/",B54),Proventos!$D:$D,"&lt;"&amp;CONCATENATE($C$6,"/",B55),Proventos!$J:$J,"="&amp;$H$2),
AND($H$2=Data!$A$11,$K$2=Data!$A$2),SUMIFS(Proventos!$H:$H,Proventos!$D:$D,"&gt;="&amp;CONCATENATE($N$6,"/",B54),Proventos!$D:$D,"&lt;"&amp;CONCATENATE($C$6,"/",B55),Proventos!$J:$J,"="&amp;$H$2),
$K$2=Data!$A$2,SUMIFS(Proventos!$H:$H,Proventos!$D:$D,"&gt;="&amp;CONCATENATE($N$6,"/",B54),Proventos!$D:$D,"&lt;"&amp;CONCATENATE($C$6,"/",B55)),
$K$2&lt;&gt;Data!$A$2,SUMIFS(Proventos!$H:$H,Proventos!$D:$D,"&gt;="&amp;CONCATENATE($N$6,"/",B54),Proventos!$D:$D,"&lt;"&amp;CONCATENATE($C$6,"/",B55),Proventos!$A:$A,"="&amp;$K$2))</f>
        <v>0</v>
      </c>
      <c r="O54" s="245"/>
      <c r="P54" s="245">
        <f t="shared" si="1"/>
        <v>0</v>
      </c>
      <c r="Q54" s="245">
        <f t="shared" si="2"/>
        <v>0</v>
      </c>
    </row>
    <row r="55" ht="32.25" customHeight="1">
      <c r="A55" s="230"/>
      <c r="B55" s="244"/>
      <c r="C55" s="245">
        <f>IFS(
AND($H$2=Data!$A$3,$K$2=Data!$A$2),SUMIFS(Proventos!$H:$H,Proventos!$D:$D,"&gt;="&amp;CONCATENATE($C$6,"/",B55),Proventos!$D:$D,"&lt;"&amp;CONCATENATE($D$6,"/",B55),Proventos!$J:$J,"="&amp;$H$2),
AND($H$2=Data!$A$4,$K$2=Data!$A$2),SUMIFS(Proventos!$H:$H,Proventos!$D:$D,"&gt;="&amp;CONCATENATE($C$6,"/",B55),Proventos!$D:$D,"&lt;"&amp;CONCATENATE($D$6,"/",B55),Proventos!$J:$J,"="&amp;$H$2),
AND($H$2=Data!$A$5,$K$2=Data!$A$2),SUMIFS(Proventos!$H:$H,Proventos!$D:$D,"&gt;="&amp;CONCATENATE($C$6,"/",B55),Proventos!$D:$D,"&lt;"&amp;CONCATENATE($D$6,"/",B55),Proventos!$J:$J,"="&amp;$H$2),
AND($H$2=Data!$A$6,$K$2=Data!$A$2),SUMIFS(Proventos!$H:$H,Proventos!$D:$D,"&gt;="&amp;CONCATENATE($C$6,"/",B55),Proventos!$D:$D,"&lt;"&amp;CONCATENATE($D$6,"/",B55),Proventos!$J:$J,"="&amp;$H$2),
AND($H$2=Data!$A$7,$K$2=Data!$A$2),SUMIFS(Proventos!$H:$H,Proventos!$D:$D,"&gt;="&amp;CONCATENATE($C$6,"/",B55),Proventos!$D:$D,"&lt;"&amp;CONCATENATE($D$6,"/",B55),Proventos!$J:$J,"="&amp;$H$2),
AND($H$2=Data!$A$8,$K$2=Data!$A$2),SUMIFS(Proventos!$H:$H,Proventos!$D:$D,"&gt;="&amp;CONCATENATE($C$6,"/",B55),Proventos!$D:$D,"&lt;"&amp;CONCATENATE($D$6,"/",B55),Proventos!$J:$J,"="&amp;$H$2),
AND($H$2=Data!$A$9,$K$2=Data!$A$2),SUMIFS(Proventos!$H:$H,Proventos!$D:$D,"&gt;="&amp;CONCATENATE($C$6,"/",B55),Proventos!$D:$D,"&lt;"&amp;CONCATENATE($D$6,"/",B55),Proventos!$J:$J,"="&amp;$H$2),
AND($H$2=Data!$A$10,$K$2=Data!$A$2),SUMIFS(Proventos!$H:$H,Proventos!$D:$D,"&gt;="&amp;CONCATENATE($C$6,"/",B55),Proventos!$D:$D,"&lt;"&amp;CONCATENATE($D$6,"/",B55),Proventos!$J:$J,"="&amp;$H$2),
AND($H$2=Data!$A$11,$K$2=Data!$A$2),SUMIFS(Proventos!$H:$H,Proventos!$D:$D,"&gt;="&amp;CONCATENATE($C$6,"/",B55),Proventos!$D:$D,"&lt;"&amp;CONCATENATE($D$6,"/",B55),Proventos!$J:$J,"="&amp;$H$2),
$K$2=Data!$A$2,SUMIFS(Proventos!$H:$H,Proventos!$D:$D,"&gt;="&amp;CONCATENATE($C$6,"/",B55),Proventos!$D:$D,"&lt;"&amp;CONCATENATE($D$6,"/",B55)),
$K$2&lt;&gt;Data!$A$2,SUMIFS(Proventos!$H:$H,Proventos!$D:$D,"&gt;="&amp;CONCATENATE($C$6,"/",B55),Proventos!$D:$D,"&lt;"&amp;CONCATENATE($D$6,"/",B55),Proventos!$A:$A,"="&amp;$K$2))</f>
        <v>0</v>
      </c>
      <c r="D55" s="245">
        <f>IFS(
AND($H$2=Data!$A$3,$K$2=Data!$A$2),SUMIFS(Proventos!$H:$H,Proventos!$D:$D,"&gt;="&amp;CONCATENATE($D$6,"/",B55),Proventos!$D:$D,"&lt;"&amp;CONCATENATE($E$6,"/",B55),Proventos!$J:$J,"="&amp;$H$2),
AND($H$2=Data!$A$4,$K$2=Data!$A$2),SUMIFS(Proventos!$H:$H,Proventos!$D:$D,"&gt;="&amp;CONCATENATE($D$6,"/",B55),Proventos!$D:$D,"&lt;"&amp;CONCATENATE($E$6,"/",B55),Proventos!$J:$J,"="&amp;$H$2),
AND($H$2=Data!$A$5,$K$2=Data!$A$2),SUMIFS(Proventos!$H:$H,Proventos!$D:$D,"&gt;="&amp;CONCATENATE($D$6,"/",B55),Proventos!$D:$D,"&lt;"&amp;CONCATENATE($E$6,"/",B55),Proventos!$J:$J,"="&amp;$H$2),
AND($H$2=Data!$A$6,$K$2=Data!$A$2),SUMIFS(Proventos!$H:$H,Proventos!$D:$D,"&gt;="&amp;CONCATENATE($D$6,"/",B55),Proventos!$D:$D,"&lt;"&amp;CONCATENATE($E$6,"/",B55),Proventos!$J:$J,"="&amp;$H$2),
AND($H$2=Data!$A$7,$K$2=Data!$A$2),SUMIFS(Proventos!$H:$H,Proventos!$D:$D,"&gt;="&amp;CONCATENATE($D$6,"/",B55),Proventos!$D:$D,"&lt;"&amp;CONCATENATE($E$6,"/",B55),Proventos!$J:$J,"="&amp;$H$2),
AND($H$2=Data!$A$8,$K$2=Data!$A$2),SUMIFS(Proventos!$H:$H,Proventos!$D:$D,"&gt;="&amp;CONCATENATE($D$6,"/",B55),Proventos!$D:$D,"&lt;"&amp;CONCATENATE($E$6,"/",B55),Proventos!$J:$J,"="&amp;$H$2),
AND($H$2=Data!$A$9,$K$2=Data!$A$2),SUMIFS(Proventos!$H:$H,Proventos!$D:$D,"&gt;="&amp;CONCATENATE($D$6,"/",B55),Proventos!$D:$D,"&lt;"&amp;CONCATENATE($E$6,"/",B55),Proventos!$J:$J,"="&amp;$H$2),
AND($H$2=Data!$A$10,$K$2=Data!$A$2),SUMIFS(Proventos!$H:$H,Proventos!$D:$D,"&gt;="&amp;CONCATENATE($D$6,"/",B55),Proventos!$D:$D,"&lt;"&amp;CONCATENATE($E$6,"/",B55),Proventos!$J:$J,"="&amp;$H$2),
AND($H$2=Data!$A$11,$K$2=Data!$A$2),SUMIFS(Proventos!$H:$H,Proventos!$D:$D,"&gt;="&amp;CONCATENATE($D$6,"/",B55),Proventos!$D:$D,"&lt;"&amp;CONCATENATE($E$6,"/",B55),Proventos!$J:$J,"="&amp;$H$2),
$K$2=Data!$A$2,SUMIFS(Proventos!$H:$H,Proventos!$D:$D,"&gt;="&amp;CONCATENATE($D$6,"/",B55),Proventos!$D:$D,"&lt;"&amp;CONCATENATE($E$6,"/",B55)),
$K$2&lt;&gt;Data!$A$2,SUMIFS(Proventos!$H:$H,Proventos!$D:$D,"&gt;="&amp;CONCATENATE($D$6,"/",B55),Proventos!$D:$D,"&lt;"&amp;CONCATENATE($E$6,"/",B55),Proventos!$A:$A,"="&amp;$K$2))</f>
        <v>0</v>
      </c>
      <c r="E55" s="245">
        <f>IFS(
AND($H$2=Data!$A$3,$K$2=Data!$A$2),SUMIFS(Proventos!$H:$H,Proventos!$D:$D,"&gt;="&amp;CONCATENATE($E$6,"/",B55),Proventos!$D:$D,"&lt;"&amp;CONCATENATE($F$6,"/",B55),Proventos!$J:$J,"="&amp;$H$2),
AND($H$2=Data!$A$4,$K$2=Data!$A$2),SUMIFS(Proventos!$H:$H,Proventos!$D:$D,"&gt;="&amp;CONCATENATE($E$6,"/",B55),Proventos!$D:$D,"&lt;"&amp;CONCATENATE($F$6,"/",B55),Proventos!$J:$J,"="&amp;$H$2),
AND($H$2=Data!$A$5,$K$2=Data!$A$2),SUMIFS(Proventos!$H:$H,Proventos!$D:$D,"&gt;="&amp;CONCATENATE($E$6,"/",B55),Proventos!$D:$D,"&lt;"&amp;CONCATENATE($F$6,"/",B55),Proventos!$J:$J,"="&amp;$H$2),
AND($H$2=Data!$A$6,$K$2=Data!$A$2),SUMIFS(Proventos!$H:$H,Proventos!$D:$D,"&gt;="&amp;CONCATENATE($E$6,"/",B55),Proventos!$D:$D,"&lt;"&amp;CONCATENATE($F$6,"/",B55),Proventos!$J:$J,"="&amp;$H$2),
AND($H$2=Data!$A$7,$K$2=Data!$A$2),SUMIFS(Proventos!$H:$H,Proventos!$D:$D,"&gt;="&amp;CONCATENATE($E$6,"/",B55),Proventos!$D:$D,"&lt;"&amp;CONCATENATE($F$6,"/",B55),Proventos!$J:$J,"="&amp;$H$2),
AND($H$2=Data!$A$8,$K$2=Data!$A$2),SUMIFS(Proventos!$H:$H,Proventos!$D:$D,"&gt;="&amp;CONCATENATE($E$6,"/",B55),Proventos!$D:$D,"&lt;"&amp;CONCATENATE($F$6,"/",B55),Proventos!$J:$J,"="&amp;$H$2),
AND($H$2=Data!$A$9,$K$2=Data!$A$2),SUMIFS(Proventos!$H:$H,Proventos!$D:$D,"&gt;="&amp;CONCATENATE($E$6,"/",B55),Proventos!$D:$D,"&lt;"&amp;CONCATENATE($F$6,"/",B55),Proventos!$J:$J,"="&amp;$H$2),
AND($H$2=Data!$A$10,$K$2=Data!$A$2),SUMIFS(Proventos!$H:$H,Proventos!$D:$D,"&gt;="&amp;CONCATENATE($E$6,"/",B55),Proventos!$D:$D,"&lt;"&amp;CONCATENATE($F$6,"/",B55),Proventos!$J:$J,"="&amp;$H$2),
AND($H$2=Data!$A$11,$K$2=Data!$A$2),SUMIFS(Proventos!$H:$H,Proventos!$D:$D,"&gt;="&amp;CONCATENATE($E$6,"/",B55),Proventos!$D:$D,"&lt;"&amp;CONCATENATE($F$6,"/",B55),Proventos!$J:$J,"="&amp;$H$2),
$K$2=Data!$A$2,SUMIFS(Proventos!$H:$H,Proventos!$D:$D,"&gt;="&amp;CONCATENATE($E$6,"/",B55),Proventos!$D:$D,"&lt;"&amp;CONCATENATE($F$6,"/",B55)),
$K$2&lt;&gt;Data!$A$2,SUMIFS(Proventos!$H:$H,Proventos!$D:$D,"&gt;="&amp;CONCATENATE($E$6,"/",B55),Proventos!$D:$D,"&lt;"&amp;CONCATENATE($F$6,"/",B55),Proventos!$A:$A,"="&amp;$K$2))</f>
        <v>0</v>
      </c>
      <c r="F55" s="245">
        <f>IFS(
AND($H$2=Data!$A$3,$K$2=Data!$A$2),SUMIFS(Proventos!$H:$H,Proventos!$D:$D,"&gt;="&amp;CONCATENATE($F$6,"/",B55),Proventos!$D:$D,"&lt;"&amp;CONCATENATE($G$6,"/",B55),Proventos!$J:$J,"="&amp;$H$2),
AND($H$2=Data!$A$4,$K$2=Data!$A$2),SUMIFS(Proventos!$H:$H,Proventos!$D:$D,"&gt;="&amp;CONCATENATE($F$6,"/",B55),Proventos!$D:$D,"&lt;"&amp;CONCATENATE($G$6,"/",B55),Proventos!$J:$J,"="&amp;$H$2),
AND($H$2=Data!$A$5,$K$2=Data!$A$2),SUMIFS(Proventos!$H:$H,Proventos!$D:$D,"&gt;="&amp;CONCATENATE($F$6,"/",B55),Proventos!$D:$D,"&lt;"&amp;CONCATENATE($G$6,"/",B55),Proventos!$J:$J,"="&amp;$H$2),
AND($H$2=Data!$A$6,$K$2=Data!$A$2),SUMIFS(Proventos!$H:$H,Proventos!$D:$D,"&gt;="&amp;CONCATENATE($F$6,"/",B55),Proventos!$D:$D,"&lt;"&amp;CONCATENATE($G$6,"/",B55),Proventos!$J:$J,"="&amp;$H$2),
AND($H$2=Data!$A$7,$K$2=Data!$A$2),SUMIFS(Proventos!$H:$H,Proventos!$D:$D,"&gt;="&amp;CONCATENATE($F$6,"/",B55),Proventos!$D:$D,"&lt;"&amp;CONCATENATE($G$6,"/",B55),Proventos!$J:$J,"="&amp;$H$2),
AND($H$2=Data!$A$8,$K$2=Data!$A$2),SUMIFS(Proventos!$H:$H,Proventos!$D:$D,"&gt;="&amp;CONCATENATE($F$6,"/",B55),Proventos!$D:$D,"&lt;"&amp;CONCATENATE($G$6,"/",B55),Proventos!$J:$J,"="&amp;$H$2),
AND($H$2=Data!$A$9,$K$2=Data!$A$2),SUMIFS(Proventos!$H:$H,Proventos!$D:$D,"&gt;="&amp;CONCATENATE($F$6,"/",B55),Proventos!$D:$D,"&lt;"&amp;CONCATENATE($G$6,"/",B55),Proventos!$J:$J,"="&amp;$H$2),
AND($H$2=Data!$A$10,$K$2=Data!$A$2),SUMIFS(Proventos!$H:$H,Proventos!$D:$D,"&gt;="&amp;CONCATENATE($F$6,"/",B55),Proventos!$D:$D,"&lt;"&amp;CONCATENATE($G$6,"/",B55),Proventos!$J:$J,"="&amp;$H$2),
AND($H$2=Data!$A$11,$K$2=Data!$A$2),SUMIFS(Proventos!$H:$H,Proventos!$D:$D,"&gt;="&amp;CONCATENATE($F$6,"/",B55),Proventos!$D:$D,"&lt;"&amp;CONCATENATE($G$6,"/",B55),Proventos!$J:$J,"="&amp;$H$2),
$K$2=Data!$A$2,SUMIFS(Proventos!$H:$H,Proventos!$D:$D,"&gt;="&amp;CONCATENATE($F$6,"/",B55),Proventos!$D:$D,"&lt;"&amp;CONCATENATE($G$6,"/",B55)),
$K$2&lt;&gt;Data!$A$2,SUMIFS(Proventos!$H:$H,Proventos!$D:$D,"&gt;="&amp;CONCATENATE($F$6,"/",B55),Proventos!$D:$D,"&lt;"&amp;CONCATENATE($G$6,"/",B55),Proventos!$A:$A,"="&amp;$K$2))</f>
        <v>0</v>
      </c>
      <c r="G55" s="245">
        <f>IFS(
AND($H$2=Data!$A$3,$K$2=Data!$A$2),SUMIFS(Proventos!$H:$H,Proventos!$D:$D,"&gt;="&amp;CONCATENATE($G$6,"/",B55),Proventos!$D:$D,"&lt;"&amp;CONCATENATE($H$6,"/",B55),Proventos!$J:$J,"="&amp;$H$2),
AND($H$2=Data!$A$4,$K$2=Data!$A$2),SUMIFS(Proventos!$H:$H,Proventos!$D:$D,"&gt;="&amp;CONCATENATE($G$6,"/",B55),Proventos!$D:$D,"&lt;"&amp;CONCATENATE($H$6,"/",B55),Proventos!$J:$J,"="&amp;$H$2),
AND($H$2=Data!$A$5,$K$2=Data!$A$2),SUMIFS(Proventos!$H:$H,Proventos!$D:$D,"&gt;="&amp;CONCATENATE($G$6,"/",B55),Proventos!$D:$D,"&lt;"&amp;CONCATENATE($H$6,"/",B55),Proventos!$J:$J,"="&amp;$H$2),
AND($H$2=Data!$A$6,$K$2=Data!$A$2),SUMIFS(Proventos!$H:$H,Proventos!$D:$D,"&gt;="&amp;CONCATENATE($G$6,"/",B55),Proventos!$D:$D,"&lt;"&amp;CONCATENATE($H$6,"/",B55),Proventos!$J:$J,"="&amp;$H$2),
AND($H$2=Data!$A$7,$K$2=Data!$A$2),SUMIFS(Proventos!$H:$H,Proventos!$D:$D,"&gt;="&amp;CONCATENATE($G$6,"/",B55),Proventos!$D:$D,"&lt;"&amp;CONCATENATE($H$6,"/",B55),Proventos!$J:$J,"="&amp;$H$2),
AND($H$2=Data!$A$8,$K$2=Data!$A$2),SUMIFS(Proventos!$H:$H,Proventos!$D:$D,"&gt;="&amp;CONCATENATE($G$6,"/",B55),Proventos!$D:$D,"&lt;"&amp;CONCATENATE($H$6,"/",B55),Proventos!$J:$J,"="&amp;$H$2),
AND($H$2=Data!$A$9,$K$2=Data!$A$2),SUMIFS(Proventos!$H:$H,Proventos!$D:$D,"&gt;="&amp;CONCATENATE($G$6,"/",B55),Proventos!$D:$D,"&lt;"&amp;CONCATENATE($H$6,"/",B55),Proventos!$J:$J,"="&amp;$H$2),
AND($H$2=Data!$A$10,$K$2=Data!$A$2),SUMIFS(Proventos!$H:$H,Proventos!$D:$D,"&gt;="&amp;CONCATENATE($G$6,"/",B55),Proventos!$D:$D,"&lt;"&amp;CONCATENATE($H$6,"/",B55),Proventos!$J:$J,"="&amp;$H$2),
AND($H$2=Data!$A$11,$K$2=Data!$A$2),SUMIFS(Proventos!$H:$H,Proventos!$D:$D,"&gt;="&amp;CONCATENATE($G$6,"/",B55),Proventos!$D:$D,"&lt;"&amp;CONCATENATE($H$6,"/",B55),Proventos!$J:$J,"="&amp;$H$2),
$K$2=Data!$A$2,SUMIFS(Proventos!$H:$H,Proventos!$D:$D,"&gt;="&amp;CONCATENATE($G$6,"/",B55),Proventos!$D:$D,"&lt;"&amp;CONCATENATE($H$6,"/",B55)),
$K$2&lt;&gt;Data!$A$2,SUMIFS(Proventos!$H:$H,Proventos!$D:$D,"&gt;="&amp;CONCATENATE($G$6,"/",B55),Proventos!$D:$D,"&lt;"&amp;CONCATENATE($H$6,"/",B55),Proventos!$A:$A,"="&amp;$K$2))</f>
        <v>0</v>
      </c>
      <c r="H55" s="245">
        <f>IFS(
AND($H$2=Data!$A$3,$K$2=Data!$A$2),SUMIFS(Proventos!$H:$H,Proventos!$D:$D,"&gt;="&amp;CONCATENATE($H$6,"/",B55),Proventos!$D:$D,"&lt;"&amp;CONCATENATE($I$6,"/",B55),Proventos!$J:$J,"="&amp;$H$2),
AND($H$2=Data!$A$4,$K$2=Data!$A$2),SUMIFS(Proventos!$H:$H,Proventos!$D:$D,"&gt;="&amp;CONCATENATE($H$6,"/",B55),Proventos!$D:$D,"&lt;"&amp;CONCATENATE($I$6,"/",B55),Proventos!$J:$J,"="&amp;$H$2),
AND($H$2=Data!$A$5,$K$2=Data!$A$2),SUMIFS(Proventos!$H:$H,Proventos!$D:$D,"&gt;="&amp;CONCATENATE($H$6,"/",B55),Proventos!$D:$D,"&lt;"&amp;CONCATENATE($I$6,"/",B55),Proventos!$J:$J,"="&amp;$H$2),
AND($H$2=Data!$A$6,$K$2=Data!$A$2),SUMIFS(Proventos!$H:$H,Proventos!$D:$D,"&gt;="&amp;CONCATENATE($H$6,"/",B55),Proventos!$D:$D,"&lt;"&amp;CONCATENATE($I$6,"/",B55),Proventos!$J:$J,"="&amp;$H$2),
AND($H$2=Data!$A$7,$K$2=Data!$A$2),SUMIFS(Proventos!$H:$H,Proventos!$D:$D,"&gt;="&amp;CONCATENATE($H$6,"/",B55),Proventos!$D:$D,"&lt;"&amp;CONCATENATE($I$6,"/",B55),Proventos!$J:$J,"="&amp;$H$2),
AND($H$2=Data!$A$8,$K$2=Data!$A$2),SUMIFS(Proventos!$H:$H,Proventos!$D:$D,"&gt;="&amp;CONCATENATE($H$6,"/",B55),Proventos!$D:$D,"&lt;"&amp;CONCATENATE($I$6,"/",B55),Proventos!$J:$J,"="&amp;$H$2),
AND($H$2=Data!$A$9,$K$2=Data!$A$2),SUMIFS(Proventos!$H:$H,Proventos!$D:$D,"&gt;="&amp;CONCATENATE($H$6,"/",B55),Proventos!$D:$D,"&lt;"&amp;CONCATENATE($I$6,"/",B55),Proventos!$J:$J,"="&amp;$H$2),
AND($H$2=Data!$A$10,$K$2=Data!$A$2),SUMIFS(Proventos!$H:$H,Proventos!$D:$D,"&gt;="&amp;CONCATENATE($H$6,"/",B55),Proventos!$D:$D,"&lt;"&amp;CONCATENATE($I$6,"/",B55),Proventos!$J:$J,"="&amp;$H$2),
AND($H$2=Data!$A$11,$K$2=Data!$A$2),SUMIFS(Proventos!$H:$H,Proventos!$D:$D,"&gt;="&amp;CONCATENATE($H$6,"/",B55),Proventos!$D:$D,"&lt;"&amp;CONCATENATE($I$6,"/",B55),Proventos!$J:$J,"="&amp;$H$2),
$K$2=Data!$A$2,SUMIFS(Proventos!$H:$H,Proventos!$D:$D,"&gt;="&amp;CONCATENATE($H$6,"/",B55),Proventos!$D:$D,"&lt;"&amp;CONCATENATE($I$6,"/",B55)),
$K$2&lt;&gt;Data!$A$2,SUMIFS(Proventos!$H:$H,Proventos!$D:$D,"&gt;="&amp;CONCATENATE($H$6,"/",B55),Proventos!$D:$D,"&lt;"&amp;CONCATENATE($I$6,"/",B55),Proventos!$A:$A,"="&amp;$K$2))</f>
        <v>0</v>
      </c>
      <c r="I55" s="245">
        <f>IFS(
AND($H$2=Data!$A$3,$K$2=Data!$A$2),SUMIFS(Proventos!$H:$H,Proventos!$D:$D,"&gt;="&amp;CONCATENATE($I$6,"/",B55),Proventos!$D:$D,"&lt;"&amp;CONCATENATE($J$6,"/",B55),Proventos!$J:$J,"="&amp;$H$2),
AND($H$2=Data!$A$4,$K$2=Data!$A$2),SUMIFS(Proventos!$H:$H,Proventos!$D:$D,"&gt;="&amp;CONCATENATE($I$6,"/",B55),Proventos!$D:$D,"&lt;"&amp;CONCATENATE($J$6,"/",B55),Proventos!$J:$J,"="&amp;$H$2),
AND($H$2=Data!$A$5,$K$2=Data!$A$2),SUMIFS(Proventos!$H:$H,Proventos!$D:$D,"&gt;="&amp;CONCATENATE($I$6,"/",B55),Proventos!$D:$D,"&lt;"&amp;CONCATENATE($J$6,"/",B55),Proventos!$J:$J,"="&amp;$H$2),
AND($H$2=Data!$A$6,$K$2=Data!$A$2),SUMIFS(Proventos!$H:$H,Proventos!$D:$D,"&gt;="&amp;CONCATENATE($I$6,"/",B55),Proventos!$D:$D,"&lt;"&amp;CONCATENATE($J$6,"/",B55),Proventos!$J:$J,"="&amp;$H$2),
AND($H$2=Data!$A$7,$K$2=Data!$A$2),SUMIFS(Proventos!$H:$H,Proventos!$D:$D,"&gt;="&amp;CONCATENATE($I$6,"/",B55),Proventos!$D:$D,"&lt;"&amp;CONCATENATE($J$6,"/",B55),Proventos!$J:$J,"="&amp;$H$2),
AND($H$2=Data!$A$8,$K$2=Data!$A$2),SUMIFS(Proventos!$H:$H,Proventos!$D:$D,"&gt;="&amp;CONCATENATE($I$6,"/",B55),Proventos!$D:$D,"&lt;"&amp;CONCATENATE($J$6,"/",B55),Proventos!$J:$J,"="&amp;$H$2),
AND($H$2=Data!$A$9,$K$2=Data!$A$2),SUMIFS(Proventos!$H:$H,Proventos!$D:$D,"&gt;="&amp;CONCATENATE($I$6,"/",B55),Proventos!$D:$D,"&lt;"&amp;CONCATENATE($J$6,"/",B55),Proventos!$J:$J,"="&amp;$H$2),
AND($H$2=Data!$A$10,$K$2=Data!$A$2),SUMIFS(Proventos!$H:$H,Proventos!$D:$D,"&gt;="&amp;CONCATENATE($I$6,"/",B55),Proventos!$D:$D,"&lt;"&amp;CONCATENATE($J$6,"/",B55),Proventos!$J:$J,"="&amp;$H$2),
AND($H$2=Data!$A$11,$K$2=Data!$A$2),SUMIFS(Proventos!$H:$H,Proventos!$D:$D,"&gt;="&amp;CONCATENATE($I$6,"/",B55),Proventos!$D:$D,"&lt;"&amp;CONCATENATE($J$6,"/",B55),Proventos!$J:$J,"="&amp;$H$2),
$K$2=Data!$A$2,SUMIFS(Proventos!$H:$H,Proventos!$D:$D,"&gt;="&amp;CONCATENATE($I$6,"/",B55),Proventos!$D:$D,"&lt;"&amp;CONCATENATE($J$6,"/",B55)),
$K$2&lt;&gt;Data!$A$2,SUMIFS(Proventos!$H:$H,Proventos!$D:$D,"&gt;="&amp;CONCATENATE($I$6,"/",B55),Proventos!$D:$D,"&lt;"&amp;CONCATENATE($J$6,"/",B55),Proventos!$A:$A,"="&amp;$K$2))</f>
        <v>0</v>
      </c>
      <c r="J55" s="245">
        <f>IFS(
AND($H$2=Data!$A$3,$K$2=Data!$A$2),SUMIFS(Proventos!$H:$H,Proventos!$D:$D,"&gt;="&amp;CONCATENATE($J$6,"/",B55),Proventos!$D:$D,"&lt;"&amp;CONCATENATE($K$6,"/",B55),Proventos!$J:$J,"="&amp;$H$2),
AND($H$2=Data!$A$4,$K$2=Data!$A$2),SUMIFS(Proventos!$H:$H,Proventos!$D:$D,"&gt;="&amp;CONCATENATE($J$6,"/",B55),Proventos!$D:$D,"&lt;"&amp;CONCATENATE($K$6,"/",B55),Proventos!$J:$J,"="&amp;$H$2),
AND($H$2=Data!$A$5,$K$2=Data!$A$2),SUMIFS(Proventos!$H:$H,Proventos!$D:$D,"&gt;="&amp;CONCATENATE($J$6,"/",B55),Proventos!$D:$D,"&lt;"&amp;CONCATENATE($K$6,"/",B55),Proventos!$J:$J,"="&amp;$H$2),
AND($H$2=Data!$A$6,$K$2=Data!$A$2),SUMIFS(Proventos!$H:$H,Proventos!$D:$D,"&gt;="&amp;CONCATENATE($J$6,"/",B55),Proventos!$D:$D,"&lt;"&amp;CONCATENATE($K$6,"/",B55),Proventos!$J:$J,"="&amp;$H$2),
AND($H$2=Data!$A$7,$K$2=Data!$A$2),SUMIFS(Proventos!$H:$H,Proventos!$D:$D,"&gt;="&amp;CONCATENATE($J$6,"/",B55),Proventos!$D:$D,"&lt;"&amp;CONCATENATE($K$6,"/",B55),Proventos!$J:$J,"="&amp;$H$2),
AND($H$2=Data!$A$8,$K$2=Data!$A$2),SUMIFS(Proventos!$H:$H,Proventos!$D:$D,"&gt;="&amp;CONCATENATE($J$6,"/",B55),Proventos!$D:$D,"&lt;"&amp;CONCATENATE($K$6,"/",B55),Proventos!$J:$J,"="&amp;$H$2),
AND($H$2=Data!$A$9,$K$2=Data!$A$2),SUMIFS(Proventos!$H:$H,Proventos!$D:$D,"&gt;="&amp;CONCATENATE($J$6,"/",B55),Proventos!$D:$D,"&lt;"&amp;CONCATENATE($K$6,"/",B55),Proventos!$J:$J,"="&amp;$H$2),
AND($H$2=Data!$A$10,$K$2=Data!$A$2),SUMIFS(Proventos!$H:$H,Proventos!$D:$D,"&gt;="&amp;CONCATENATE($J$6,"/",B55),Proventos!$D:$D,"&lt;"&amp;CONCATENATE($K$6,"/",B55),Proventos!$J:$J,"="&amp;$H$2),
AND($H$2=Data!$A$11,$K$2=Data!$A$2),SUMIFS(Proventos!$H:$H,Proventos!$D:$D,"&gt;="&amp;CONCATENATE($J$6,"/",B55),Proventos!$D:$D,"&lt;"&amp;CONCATENATE($K$6,"/",B55),Proventos!$J:$J,"="&amp;$H$2),
$K$2=Data!$A$2,SUMIFS(Proventos!$H:$H,Proventos!$D:$D,"&gt;="&amp;CONCATENATE($J$6,"/",B55),Proventos!$D:$D,"&lt;"&amp;CONCATENATE($K$6,"/",B55)),
$K$2&lt;&gt;Data!$A$2,SUMIFS(Proventos!$H:$H,Proventos!$D:$D,"&gt;="&amp;CONCATENATE($J$6,"/",B55),Proventos!$D:$D,"&lt;"&amp;CONCATENATE($K$6,"/",B55),Proventos!$A:$A,"="&amp;$K$2))</f>
        <v>0</v>
      </c>
      <c r="K55" s="245">
        <f>IFS(
AND($H$2=Data!$A$3,$K$2=Data!$A$2),SUMIFS(Proventos!$H:$H,Proventos!$D:$D,"&gt;="&amp;CONCATENATE($K$6,"/",B55),Proventos!$D:$D,"&lt;"&amp;CONCATENATE($L$6,"/",B55),Proventos!$J:$J,"="&amp;$H$2),
AND($H$2=Data!$A$4,$K$2=Data!$A$2),SUMIFS(Proventos!$H:$H,Proventos!$D:$D,"&gt;="&amp;CONCATENATE($K$6,"/",B55),Proventos!$D:$D,"&lt;"&amp;CONCATENATE($L$6,"/",B55),Proventos!$J:$J,"="&amp;$H$2),
AND($H$2=Data!$A$5,$K$2=Data!$A$2),SUMIFS(Proventos!$H:$H,Proventos!$D:$D,"&gt;="&amp;CONCATENATE($K$6,"/",B55),Proventos!$D:$D,"&lt;"&amp;CONCATENATE($L$6,"/",B55),Proventos!$J:$J,"="&amp;$H$2),
AND($H$2=Data!$A$6,$K$2=Data!$A$2),SUMIFS(Proventos!$H:$H,Proventos!$D:$D,"&gt;="&amp;CONCATENATE($K$6,"/",B55),Proventos!$D:$D,"&lt;"&amp;CONCATENATE($L$6,"/",B55),Proventos!$J:$J,"="&amp;$H$2),
AND($H$2=Data!$A$7,$K$2=Data!$A$2),SUMIFS(Proventos!$H:$H,Proventos!$D:$D,"&gt;="&amp;CONCATENATE($K$6,"/",B55),Proventos!$D:$D,"&lt;"&amp;CONCATENATE($L$6,"/",B55),Proventos!$J:$J,"="&amp;$H$2),
AND($H$2=Data!$A$8,$K$2=Data!$A$2),SUMIFS(Proventos!$H:$H,Proventos!$D:$D,"&gt;="&amp;CONCATENATE($K$6,"/",B55),Proventos!$D:$D,"&lt;"&amp;CONCATENATE($L$6,"/",B55),Proventos!$J:$J,"="&amp;$H$2),
AND($H$2=Data!$A$9,$K$2=Data!$A$2),SUMIFS(Proventos!$H:$H,Proventos!$D:$D,"&gt;="&amp;CONCATENATE($K$6,"/",B55),Proventos!$D:$D,"&lt;"&amp;CONCATENATE($L$6,"/",B55),Proventos!$J:$J,"="&amp;$H$2),
AND($H$2=Data!$A$10,$K$2=Data!$A$2),SUMIFS(Proventos!$H:$H,Proventos!$D:$D,"&gt;="&amp;CONCATENATE($K$6,"/",B55),Proventos!$D:$D,"&lt;"&amp;CONCATENATE($L$6,"/",B55),Proventos!$J:$J,"="&amp;$H$2),
AND($H$2=Data!$A$11,$K$2=Data!$A$2),SUMIFS(Proventos!$H:$H,Proventos!$D:$D,"&gt;="&amp;CONCATENATE($K$6,"/",B55),Proventos!$D:$D,"&lt;"&amp;CONCATENATE($L$6,"/",B55),Proventos!$J:$J,"="&amp;$H$2),
$K$2=Data!$A$2,SUMIFS(Proventos!$H:$H,Proventos!$D:$D,"&gt;="&amp;CONCATENATE($K$6,"/",B55),Proventos!$D:$D,"&lt;"&amp;CONCATENATE($L$6,"/",B55)),
$K$2&lt;&gt;Data!$A$2,SUMIFS(Proventos!$H:$H,Proventos!$D:$D,"&gt;="&amp;CONCATENATE($K$6,"/",B55),Proventos!$D:$D,"&lt;"&amp;CONCATENATE($L$6,"/",B55),Proventos!$A:$A,"="&amp;$K$2))</f>
        <v>0</v>
      </c>
      <c r="L55" s="245">
        <f>IFS(
AND($H$2=Data!$A$3,$K$2=Data!$A$2),SUMIFS(Proventos!$H:$H,Proventos!$D:$D,"&gt;="&amp;CONCATENATE($L$6,"/",B55),Proventos!$D:$D,"&lt;"&amp;CONCATENATE($M$6,"/",B55),Proventos!$J:$J,"="&amp;$H$2),
AND($H$2=Data!$A$4,$K$2=Data!$A$2),SUMIFS(Proventos!$H:$H,Proventos!$D:$D,"&gt;="&amp;CONCATENATE($L$6,"/",B55),Proventos!$D:$D,"&lt;"&amp;CONCATENATE($M$6,"/",B55),Proventos!$J:$J,"="&amp;$H$2),
AND($H$2=Data!$A$5,$K$2=Data!$A$2),SUMIFS(Proventos!$H:$H,Proventos!$D:$D,"&gt;="&amp;CONCATENATE($L$6,"/",B55),Proventos!$D:$D,"&lt;"&amp;CONCATENATE($M$6,"/",B55),Proventos!$J:$J,"="&amp;$H$2),
AND($H$2=Data!$A$6,$K$2=Data!$A$2),SUMIFS(Proventos!$H:$H,Proventos!$D:$D,"&gt;="&amp;CONCATENATE($L$6,"/",B55),Proventos!$D:$D,"&lt;"&amp;CONCATENATE($M$6,"/",B55),Proventos!$J:$J,"="&amp;$H$2),
AND($H$2=Data!$A$7,$K$2=Data!$A$2),SUMIFS(Proventos!$H:$H,Proventos!$D:$D,"&gt;="&amp;CONCATENATE($L$6,"/",B55),Proventos!$D:$D,"&lt;"&amp;CONCATENATE($M$6,"/",B55),Proventos!$J:$J,"="&amp;$H$2),
AND($H$2=Data!$A$8,$K$2=Data!$A$2),SUMIFS(Proventos!$H:$H,Proventos!$D:$D,"&gt;="&amp;CONCATENATE($L$6,"/",B55),Proventos!$D:$D,"&lt;"&amp;CONCATENATE($M$6,"/",B55),Proventos!$J:$J,"="&amp;$H$2),
AND($H$2=Data!$A$9,$K$2=Data!$A$2),SUMIFS(Proventos!$H:$H,Proventos!$D:$D,"&gt;="&amp;CONCATENATE($L$6,"/",B55),Proventos!$D:$D,"&lt;"&amp;CONCATENATE($M$6,"/",B55),Proventos!$J:$J,"="&amp;$H$2),
AND($H$2=Data!$A$10,$K$2=Data!$A$2),SUMIFS(Proventos!$H:$H,Proventos!$D:$D,"&gt;="&amp;CONCATENATE($L$6,"/",B55),Proventos!$D:$D,"&lt;"&amp;CONCATENATE($M$6,"/",B55),Proventos!$J:$J,"="&amp;$H$2),
AND($H$2=Data!$A$11,$K$2=Data!$A$2),SUMIFS(Proventos!$H:$H,Proventos!$D:$D,"&gt;="&amp;CONCATENATE($L$6,"/",B55),Proventos!$D:$D,"&lt;"&amp;CONCATENATE($M$6,"/",B55),Proventos!$J:$J,"="&amp;$H$2),
$K$2=Data!$A$2,SUMIFS(Proventos!$H:$H,Proventos!$D:$D,"&gt;="&amp;CONCATENATE($L$6,"/",B55),Proventos!$D:$D,"&lt;"&amp;CONCATENATE($M$6,"/",B55)),
$K$2&lt;&gt;Data!$A$2,SUMIFS(Proventos!$H:$H,Proventos!$D:$D,"&gt;="&amp;CONCATENATE($L$6,"/",B55),Proventos!$D:$D,"&lt;"&amp;CONCATENATE($M$6,"/",B55),Proventos!$A:$A,"="&amp;$K$2))</f>
        <v>0</v>
      </c>
      <c r="M55" s="245">
        <f>IFS(
AND($H$2=Data!$A$3,$K$2=Data!$A$2),SUMIFS(Proventos!$H:$H,Proventos!$D:$D,"&gt;="&amp;CONCATENATE($M$6,"/",B55),Proventos!$D:$D,"&lt;"&amp;CONCATENATE($N$6,"/",B55),Proventos!$J:$J,"="&amp;$H$2),
AND($H$2=Data!$A$4,$K$2=Data!$A$2),SUMIFS(Proventos!$H:$H,Proventos!$D:$D,"&gt;="&amp;CONCATENATE($M$6,"/",B55),Proventos!$D:$D,"&lt;"&amp;CONCATENATE($N$6,"/",B55),Proventos!$J:$J,"="&amp;$H$2),
AND($H$2=Data!$A$5,$K$2=Data!$A$2),SUMIFS(Proventos!$H:$H,Proventos!$D:$D,"&gt;="&amp;CONCATENATE($M$6,"/",B55),Proventos!$D:$D,"&lt;"&amp;CONCATENATE($N$6,"/",B55),Proventos!$J:$J,"="&amp;$H$2),
AND($H$2=Data!$A$6,$K$2=Data!$A$2),SUMIFS(Proventos!$H:$H,Proventos!$D:$D,"&gt;="&amp;CONCATENATE($M$6,"/",B55),Proventos!$D:$D,"&lt;"&amp;CONCATENATE($N$6,"/",B55),Proventos!$J:$J,"="&amp;$H$2),
AND($H$2=Data!$A$7,$K$2=Data!$A$2),SUMIFS(Proventos!$H:$H,Proventos!$D:$D,"&gt;="&amp;CONCATENATE($M$6,"/",B55),Proventos!$D:$D,"&lt;"&amp;CONCATENATE($N$6,"/",B55),Proventos!$J:$J,"="&amp;$H$2),
AND($H$2=Data!$A$8,$K$2=Data!$A$2),SUMIFS(Proventos!$H:$H,Proventos!$D:$D,"&gt;="&amp;CONCATENATE($M$6,"/",B55),Proventos!$D:$D,"&lt;"&amp;CONCATENATE($N$6,"/",B55),Proventos!$J:$J,"="&amp;$H$2),
AND($H$2=Data!$A$9,$K$2=Data!$A$2),SUMIFS(Proventos!$H:$H,Proventos!$D:$D,"&gt;="&amp;CONCATENATE($M$6,"/",B55),Proventos!$D:$D,"&lt;"&amp;CONCATENATE($N$6,"/",B55),Proventos!$J:$J,"="&amp;$H$2),
AND($H$2=Data!$A$10,$K$2=Data!$A$2),SUMIFS(Proventos!$H:$H,Proventos!$D:$D,"&gt;="&amp;CONCATENATE($M$6,"/",B55),Proventos!$D:$D,"&lt;"&amp;CONCATENATE($N$6,"/",B55),Proventos!$J:$J,"="&amp;$H$2),
AND($H$2=Data!$A$11,$K$2=Data!$A$2),SUMIFS(Proventos!$H:$H,Proventos!$D:$D,"&gt;="&amp;CONCATENATE($M$6,"/",B55),Proventos!$D:$D,"&lt;"&amp;CONCATENATE($N$6,"/",B55),Proventos!$J:$J,"="&amp;$H$2),
$K$2=Data!$A$2,SUMIFS(Proventos!$H:$H,Proventos!$D:$D,"&gt;="&amp;CONCATENATE($M$6,"/",B55),Proventos!$D:$D,"&lt;"&amp;CONCATENATE($N$6,"/",B55)),
$K$2&lt;&gt;Data!$A$2,SUMIFS(Proventos!$H:$H,Proventos!$D:$D,"&gt;="&amp;CONCATENATE($M$6,"/",B55),Proventos!$D:$D,"&lt;"&amp;CONCATENATE($N$6,"/",B55),Proventos!$A:$A,"="&amp;$K$2))</f>
        <v>0</v>
      </c>
      <c r="N55" s="245">
        <f>IFS(
AND($H$2=Data!$A$3,$K$2=Data!$A$2),SUMIFS(Proventos!$H:$H,Proventos!$D:$D,"&gt;="&amp;CONCATENATE($N$6,"/",B55),Proventos!$D:$D,"&lt;"&amp;CONCATENATE($C$6,"/",B56),Proventos!$J:$J,"="&amp;$H$2),
AND($H$2=Data!$A$4,$K$2=Data!$A$2),SUMIFS(Proventos!$H:$H,Proventos!$D:$D,"&gt;="&amp;CONCATENATE($N$6,"/",B55),Proventos!$D:$D,"&lt;"&amp;CONCATENATE($C$6,"/",B56),Proventos!$J:$J,"="&amp;$H$2),
AND($H$2=Data!$A$5,$K$2=Data!$A$2),SUMIFS(Proventos!$H:$H,Proventos!$D:$D,"&gt;="&amp;CONCATENATE($N$6,"/",B55),Proventos!$D:$D,"&lt;"&amp;CONCATENATE($C$6,"/",B56),Proventos!$J:$J,"="&amp;$H$2),
AND($H$2=Data!$A$6,$K$2=Data!$A$2),SUMIFS(Proventos!$H:$H,Proventos!$D:$D,"&gt;="&amp;CONCATENATE($N$6,"/",B55),Proventos!$D:$D,"&lt;"&amp;CONCATENATE($C$6,"/",B56),Proventos!$J:$J,"="&amp;$H$2),
AND($H$2=Data!$A$7,$K$2=Data!$A$2),SUMIFS(Proventos!$H:$H,Proventos!$D:$D,"&gt;="&amp;CONCATENATE($N$6,"/",B55),Proventos!$D:$D,"&lt;"&amp;CONCATENATE($C$6,"/",B56),Proventos!$J:$J,"="&amp;$H$2),
AND($H$2=Data!$A$8,$K$2=Data!$A$2),SUMIFS(Proventos!$H:$H,Proventos!$D:$D,"&gt;="&amp;CONCATENATE($N$6,"/",B55),Proventos!$D:$D,"&lt;"&amp;CONCATENATE($C$6,"/",B56),Proventos!$J:$J,"="&amp;$H$2),
AND($H$2=Data!$A$9,$K$2=Data!$A$2),SUMIFS(Proventos!$H:$H,Proventos!$D:$D,"&gt;="&amp;CONCATENATE($N$6,"/",B55),Proventos!$D:$D,"&lt;"&amp;CONCATENATE($C$6,"/",B56),Proventos!$J:$J,"="&amp;$H$2),
AND($H$2=Data!$A$10,$K$2=Data!$A$2),SUMIFS(Proventos!$H:$H,Proventos!$D:$D,"&gt;="&amp;CONCATENATE($N$6,"/",B55),Proventos!$D:$D,"&lt;"&amp;CONCATENATE($C$6,"/",B56),Proventos!$J:$J,"="&amp;$H$2),
AND($H$2=Data!$A$11,$K$2=Data!$A$2),SUMIFS(Proventos!$H:$H,Proventos!$D:$D,"&gt;="&amp;CONCATENATE($N$6,"/",B55),Proventos!$D:$D,"&lt;"&amp;CONCATENATE($C$6,"/",B56),Proventos!$J:$J,"="&amp;$H$2),
$K$2=Data!$A$2,SUMIFS(Proventos!$H:$H,Proventos!$D:$D,"&gt;="&amp;CONCATENATE($N$6,"/",B55),Proventos!$D:$D,"&lt;"&amp;CONCATENATE($C$6,"/",B56)),
$K$2&lt;&gt;Data!$A$2,SUMIFS(Proventos!$H:$H,Proventos!$D:$D,"&gt;="&amp;CONCATENATE($N$6,"/",B55),Proventos!$D:$D,"&lt;"&amp;CONCATENATE($C$6,"/",B56),Proventos!$A:$A,"="&amp;$K$2))</f>
        <v>0</v>
      </c>
      <c r="O55" s="245"/>
      <c r="P55" s="245">
        <f t="shared" si="1"/>
        <v>0</v>
      </c>
      <c r="Q55" s="245">
        <f t="shared" si="2"/>
        <v>0</v>
      </c>
    </row>
    <row r="56" ht="32.25" customHeight="1">
      <c r="A56" s="230"/>
      <c r="B56" s="244"/>
      <c r="C56" s="245">
        <f>IFS(
AND($H$2=Data!$A$3,$K$2=Data!$A$2),SUMIFS(Proventos!$H:$H,Proventos!$D:$D,"&gt;="&amp;CONCATENATE($C$6,"/",B56),Proventos!$D:$D,"&lt;"&amp;CONCATENATE($D$6,"/",B56),Proventos!$J:$J,"="&amp;$H$2),
AND($H$2=Data!$A$4,$K$2=Data!$A$2),SUMIFS(Proventos!$H:$H,Proventos!$D:$D,"&gt;="&amp;CONCATENATE($C$6,"/",B56),Proventos!$D:$D,"&lt;"&amp;CONCATENATE($D$6,"/",B56),Proventos!$J:$J,"="&amp;$H$2),
AND($H$2=Data!$A$5,$K$2=Data!$A$2),SUMIFS(Proventos!$H:$H,Proventos!$D:$D,"&gt;="&amp;CONCATENATE($C$6,"/",B56),Proventos!$D:$D,"&lt;"&amp;CONCATENATE($D$6,"/",B56),Proventos!$J:$J,"="&amp;$H$2),
AND($H$2=Data!$A$6,$K$2=Data!$A$2),SUMIFS(Proventos!$H:$H,Proventos!$D:$D,"&gt;="&amp;CONCATENATE($C$6,"/",B56),Proventos!$D:$D,"&lt;"&amp;CONCATENATE($D$6,"/",B56),Proventos!$J:$J,"="&amp;$H$2),
AND($H$2=Data!$A$7,$K$2=Data!$A$2),SUMIFS(Proventos!$H:$H,Proventos!$D:$D,"&gt;="&amp;CONCATENATE($C$6,"/",B56),Proventos!$D:$D,"&lt;"&amp;CONCATENATE($D$6,"/",B56),Proventos!$J:$J,"="&amp;$H$2),
AND($H$2=Data!$A$8,$K$2=Data!$A$2),SUMIFS(Proventos!$H:$H,Proventos!$D:$D,"&gt;="&amp;CONCATENATE($C$6,"/",B56),Proventos!$D:$D,"&lt;"&amp;CONCATENATE($D$6,"/",B56),Proventos!$J:$J,"="&amp;$H$2),
AND($H$2=Data!$A$9,$K$2=Data!$A$2),SUMIFS(Proventos!$H:$H,Proventos!$D:$D,"&gt;="&amp;CONCATENATE($C$6,"/",B56),Proventos!$D:$D,"&lt;"&amp;CONCATENATE($D$6,"/",B56),Proventos!$J:$J,"="&amp;$H$2),
AND($H$2=Data!$A$10,$K$2=Data!$A$2),SUMIFS(Proventos!$H:$H,Proventos!$D:$D,"&gt;="&amp;CONCATENATE($C$6,"/",B56),Proventos!$D:$D,"&lt;"&amp;CONCATENATE($D$6,"/",B56),Proventos!$J:$J,"="&amp;$H$2),
AND($H$2=Data!$A$11,$K$2=Data!$A$2),SUMIFS(Proventos!$H:$H,Proventos!$D:$D,"&gt;="&amp;CONCATENATE($C$6,"/",B56),Proventos!$D:$D,"&lt;"&amp;CONCATENATE($D$6,"/",B56),Proventos!$J:$J,"="&amp;$H$2),
$K$2=Data!$A$2,SUMIFS(Proventos!$H:$H,Proventos!$D:$D,"&gt;="&amp;CONCATENATE($C$6,"/",B56),Proventos!$D:$D,"&lt;"&amp;CONCATENATE($D$6,"/",B56)),
$K$2&lt;&gt;Data!$A$2,SUMIFS(Proventos!$H:$H,Proventos!$D:$D,"&gt;="&amp;CONCATENATE($C$6,"/",B56),Proventos!$D:$D,"&lt;"&amp;CONCATENATE($D$6,"/",B56),Proventos!$A:$A,"="&amp;$K$2))</f>
        <v>0</v>
      </c>
      <c r="D56" s="245">
        <f>IFS(
AND($H$2=Data!$A$3,$K$2=Data!$A$2),SUMIFS(Proventos!$H:$H,Proventos!$D:$D,"&gt;="&amp;CONCATENATE($D$6,"/",B56),Proventos!$D:$D,"&lt;"&amp;CONCATENATE($E$6,"/",B56),Proventos!$J:$J,"="&amp;$H$2),
AND($H$2=Data!$A$4,$K$2=Data!$A$2),SUMIFS(Proventos!$H:$H,Proventos!$D:$D,"&gt;="&amp;CONCATENATE($D$6,"/",B56),Proventos!$D:$D,"&lt;"&amp;CONCATENATE($E$6,"/",B56),Proventos!$J:$J,"="&amp;$H$2),
AND($H$2=Data!$A$5,$K$2=Data!$A$2),SUMIFS(Proventos!$H:$H,Proventos!$D:$D,"&gt;="&amp;CONCATENATE($D$6,"/",B56),Proventos!$D:$D,"&lt;"&amp;CONCATENATE($E$6,"/",B56),Proventos!$J:$J,"="&amp;$H$2),
AND($H$2=Data!$A$6,$K$2=Data!$A$2),SUMIFS(Proventos!$H:$H,Proventos!$D:$D,"&gt;="&amp;CONCATENATE($D$6,"/",B56),Proventos!$D:$D,"&lt;"&amp;CONCATENATE($E$6,"/",B56),Proventos!$J:$J,"="&amp;$H$2),
AND($H$2=Data!$A$7,$K$2=Data!$A$2),SUMIFS(Proventos!$H:$H,Proventos!$D:$D,"&gt;="&amp;CONCATENATE($D$6,"/",B56),Proventos!$D:$D,"&lt;"&amp;CONCATENATE($E$6,"/",B56),Proventos!$J:$J,"="&amp;$H$2),
AND($H$2=Data!$A$8,$K$2=Data!$A$2),SUMIFS(Proventos!$H:$H,Proventos!$D:$D,"&gt;="&amp;CONCATENATE($D$6,"/",B56),Proventos!$D:$D,"&lt;"&amp;CONCATENATE($E$6,"/",B56),Proventos!$J:$J,"="&amp;$H$2),
AND($H$2=Data!$A$9,$K$2=Data!$A$2),SUMIFS(Proventos!$H:$H,Proventos!$D:$D,"&gt;="&amp;CONCATENATE($D$6,"/",B56),Proventos!$D:$D,"&lt;"&amp;CONCATENATE($E$6,"/",B56),Proventos!$J:$J,"="&amp;$H$2),
AND($H$2=Data!$A$10,$K$2=Data!$A$2),SUMIFS(Proventos!$H:$H,Proventos!$D:$D,"&gt;="&amp;CONCATENATE($D$6,"/",B56),Proventos!$D:$D,"&lt;"&amp;CONCATENATE($E$6,"/",B56),Proventos!$J:$J,"="&amp;$H$2),
AND($H$2=Data!$A$11,$K$2=Data!$A$2),SUMIFS(Proventos!$H:$H,Proventos!$D:$D,"&gt;="&amp;CONCATENATE($D$6,"/",B56),Proventos!$D:$D,"&lt;"&amp;CONCATENATE($E$6,"/",B56),Proventos!$J:$J,"="&amp;$H$2),
$K$2=Data!$A$2,SUMIFS(Proventos!$H:$H,Proventos!$D:$D,"&gt;="&amp;CONCATENATE($D$6,"/",B56),Proventos!$D:$D,"&lt;"&amp;CONCATENATE($E$6,"/",B56)),
$K$2&lt;&gt;Data!$A$2,SUMIFS(Proventos!$H:$H,Proventos!$D:$D,"&gt;="&amp;CONCATENATE($D$6,"/",B56),Proventos!$D:$D,"&lt;"&amp;CONCATENATE($E$6,"/",B56),Proventos!$A:$A,"="&amp;$K$2))</f>
        <v>0</v>
      </c>
      <c r="E56" s="245">
        <f>IFS(
AND($H$2=Data!$A$3,$K$2=Data!$A$2),SUMIFS(Proventos!$H:$H,Proventos!$D:$D,"&gt;="&amp;CONCATENATE($E$6,"/",B56),Proventos!$D:$D,"&lt;"&amp;CONCATENATE($F$6,"/",B56),Proventos!$J:$J,"="&amp;$H$2),
AND($H$2=Data!$A$4,$K$2=Data!$A$2),SUMIFS(Proventos!$H:$H,Proventos!$D:$D,"&gt;="&amp;CONCATENATE($E$6,"/",B56),Proventos!$D:$D,"&lt;"&amp;CONCATENATE($F$6,"/",B56),Proventos!$J:$J,"="&amp;$H$2),
AND($H$2=Data!$A$5,$K$2=Data!$A$2),SUMIFS(Proventos!$H:$H,Proventos!$D:$D,"&gt;="&amp;CONCATENATE($E$6,"/",B56),Proventos!$D:$D,"&lt;"&amp;CONCATENATE($F$6,"/",B56),Proventos!$J:$J,"="&amp;$H$2),
AND($H$2=Data!$A$6,$K$2=Data!$A$2),SUMIFS(Proventos!$H:$H,Proventos!$D:$D,"&gt;="&amp;CONCATENATE($E$6,"/",B56),Proventos!$D:$D,"&lt;"&amp;CONCATENATE($F$6,"/",B56),Proventos!$J:$J,"="&amp;$H$2),
AND($H$2=Data!$A$7,$K$2=Data!$A$2),SUMIFS(Proventos!$H:$H,Proventos!$D:$D,"&gt;="&amp;CONCATENATE($E$6,"/",B56),Proventos!$D:$D,"&lt;"&amp;CONCATENATE($F$6,"/",B56),Proventos!$J:$J,"="&amp;$H$2),
AND($H$2=Data!$A$8,$K$2=Data!$A$2),SUMIFS(Proventos!$H:$H,Proventos!$D:$D,"&gt;="&amp;CONCATENATE($E$6,"/",B56),Proventos!$D:$D,"&lt;"&amp;CONCATENATE($F$6,"/",B56),Proventos!$J:$J,"="&amp;$H$2),
AND($H$2=Data!$A$9,$K$2=Data!$A$2),SUMIFS(Proventos!$H:$H,Proventos!$D:$D,"&gt;="&amp;CONCATENATE($E$6,"/",B56),Proventos!$D:$D,"&lt;"&amp;CONCATENATE($F$6,"/",B56),Proventos!$J:$J,"="&amp;$H$2),
AND($H$2=Data!$A$10,$K$2=Data!$A$2),SUMIFS(Proventos!$H:$H,Proventos!$D:$D,"&gt;="&amp;CONCATENATE($E$6,"/",B56),Proventos!$D:$D,"&lt;"&amp;CONCATENATE($F$6,"/",B56),Proventos!$J:$J,"="&amp;$H$2),
AND($H$2=Data!$A$11,$K$2=Data!$A$2),SUMIFS(Proventos!$H:$H,Proventos!$D:$D,"&gt;="&amp;CONCATENATE($E$6,"/",B56),Proventos!$D:$D,"&lt;"&amp;CONCATENATE($F$6,"/",B56),Proventos!$J:$J,"="&amp;$H$2),
$K$2=Data!$A$2,SUMIFS(Proventos!$H:$H,Proventos!$D:$D,"&gt;="&amp;CONCATENATE($E$6,"/",B56),Proventos!$D:$D,"&lt;"&amp;CONCATENATE($F$6,"/",B56)),
$K$2&lt;&gt;Data!$A$2,SUMIFS(Proventos!$H:$H,Proventos!$D:$D,"&gt;="&amp;CONCATENATE($E$6,"/",B56),Proventos!$D:$D,"&lt;"&amp;CONCATENATE($F$6,"/",B56),Proventos!$A:$A,"="&amp;$K$2))</f>
        <v>0</v>
      </c>
      <c r="F56" s="245">
        <f>IFS(
AND($H$2=Data!$A$3,$K$2=Data!$A$2),SUMIFS(Proventos!$H:$H,Proventos!$D:$D,"&gt;="&amp;CONCATENATE($F$6,"/",B56),Proventos!$D:$D,"&lt;"&amp;CONCATENATE($G$6,"/",B56),Proventos!$J:$J,"="&amp;$H$2),
AND($H$2=Data!$A$4,$K$2=Data!$A$2),SUMIFS(Proventos!$H:$H,Proventos!$D:$D,"&gt;="&amp;CONCATENATE($F$6,"/",B56),Proventos!$D:$D,"&lt;"&amp;CONCATENATE($G$6,"/",B56),Proventos!$J:$J,"="&amp;$H$2),
AND($H$2=Data!$A$5,$K$2=Data!$A$2),SUMIFS(Proventos!$H:$H,Proventos!$D:$D,"&gt;="&amp;CONCATENATE($F$6,"/",B56),Proventos!$D:$D,"&lt;"&amp;CONCATENATE($G$6,"/",B56),Proventos!$J:$J,"="&amp;$H$2),
AND($H$2=Data!$A$6,$K$2=Data!$A$2),SUMIFS(Proventos!$H:$H,Proventos!$D:$D,"&gt;="&amp;CONCATENATE($F$6,"/",B56),Proventos!$D:$D,"&lt;"&amp;CONCATENATE($G$6,"/",B56),Proventos!$J:$J,"="&amp;$H$2),
AND($H$2=Data!$A$7,$K$2=Data!$A$2),SUMIFS(Proventos!$H:$H,Proventos!$D:$D,"&gt;="&amp;CONCATENATE($F$6,"/",B56),Proventos!$D:$D,"&lt;"&amp;CONCATENATE($G$6,"/",B56),Proventos!$J:$J,"="&amp;$H$2),
AND($H$2=Data!$A$8,$K$2=Data!$A$2),SUMIFS(Proventos!$H:$H,Proventos!$D:$D,"&gt;="&amp;CONCATENATE($F$6,"/",B56),Proventos!$D:$D,"&lt;"&amp;CONCATENATE($G$6,"/",B56),Proventos!$J:$J,"="&amp;$H$2),
AND($H$2=Data!$A$9,$K$2=Data!$A$2),SUMIFS(Proventos!$H:$H,Proventos!$D:$D,"&gt;="&amp;CONCATENATE($F$6,"/",B56),Proventos!$D:$D,"&lt;"&amp;CONCATENATE($G$6,"/",B56),Proventos!$J:$J,"="&amp;$H$2),
AND($H$2=Data!$A$10,$K$2=Data!$A$2),SUMIFS(Proventos!$H:$H,Proventos!$D:$D,"&gt;="&amp;CONCATENATE($F$6,"/",B56),Proventos!$D:$D,"&lt;"&amp;CONCATENATE($G$6,"/",B56),Proventos!$J:$J,"="&amp;$H$2),
AND($H$2=Data!$A$11,$K$2=Data!$A$2),SUMIFS(Proventos!$H:$H,Proventos!$D:$D,"&gt;="&amp;CONCATENATE($F$6,"/",B56),Proventos!$D:$D,"&lt;"&amp;CONCATENATE($G$6,"/",B56),Proventos!$J:$J,"="&amp;$H$2),
$K$2=Data!$A$2,SUMIFS(Proventos!$H:$H,Proventos!$D:$D,"&gt;="&amp;CONCATENATE($F$6,"/",B56),Proventos!$D:$D,"&lt;"&amp;CONCATENATE($G$6,"/",B56)),
$K$2&lt;&gt;Data!$A$2,SUMIFS(Proventos!$H:$H,Proventos!$D:$D,"&gt;="&amp;CONCATENATE($F$6,"/",B56),Proventos!$D:$D,"&lt;"&amp;CONCATENATE($G$6,"/",B56),Proventos!$A:$A,"="&amp;$K$2))</f>
        <v>0</v>
      </c>
      <c r="G56" s="245">
        <f>IFS(
AND($H$2=Data!$A$3,$K$2=Data!$A$2),SUMIFS(Proventos!$H:$H,Proventos!$D:$D,"&gt;="&amp;CONCATENATE($G$6,"/",B56),Proventos!$D:$D,"&lt;"&amp;CONCATENATE($H$6,"/",B56),Proventos!$J:$J,"="&amp;$H$2),
AND($H$2=Data!$A$4,$K$2=Data!$A$2),SUMIFS(Proventos!$H:$H,Proventos!$D:$D,"&gt;="&amp;CONCATENATE($G$6,"/",B56),Proventos!$D:$D,"&lt;"&amp;CONCATENATE($H$6,"/",B56),Proventos!$J:$J,"="&amp;$H$2),
AND($H$2=Data!$A$5,$K$2=Data!$A$2),SUMIFS(Proventos!$H:$H,Proventos!$D:$D,"&gt;="&amp;CONCATENATE($G$6,"/",B56),Proventos!$D:$D,"&lt;"&amp;CONCATENATE($H$6,"/",B56),Proventos!$J:$J,"="&amp;$H$2),
AND($H$2=Data!$A$6,$K$2=Data!$A$2),SUMIFS(Proventos!$H:$H,Proventos!$D:$D,"&gt;="&amp;CONCATENATE($G$6,"/",B56),Proventos!$D:$D,"&lt;"&amp;CONCATENATE($H$6,"/",B56),Proventos!$J:$J,"="&amp;$H$2),
AND($H$2=Data!$A$7,$K$2=Data!$A$2),SUMIFS(Proventos!$H:$H,Proventos!$D:$D,"&gt;="&amp;CONCATENATE($G$6,"/",B56),Proventos!$D:$D,"&lt;"&amp;CONCATENATE($H$6,"/",B56),Proventos!$J:$J,"="&amp;$H$2),
AND($H$2=Data!$A$8,$K$2=Data!$A$2),SUMIFS(Proventos!$H:$H,Proventos!$D:$D,"&gt;="&amp;CONCATENATE($G$6,"/",B56),Proventos!$D:$D,"&lt;"&amp;CONCATENATE($H$6,"/",B56),Proventos!$J:$J,"="&amp;$H$2),
AND($H$2=Data!$A$9,$K$2=Data!$A$2),SUMIFS(Proventos!$H:$H,Proventos!$D:$D,"&gt;="&amp;CONCATENATE($G$6,"/",B56),Proventos!$D:$D,"&lt;"&amp;CONCATENATE($H$6,"/",B56),Proventos!$J:$J,"="&amp;$H$2),
AND($H$2=Data!$A$10,$K$2=Data!$A$2),SUMIFS(Proventos!$H:$H,Proventos!$D:$D,"&gt;="&amp;CONCATENATE($G$6,"/",B56),Proventos!$D:$D,"&lt;"&amp;CONCATENATE($H$6,"/",B56),Proventos!$J:$J,"="&amp;$H$2),
AND($H$2=Data!$A$11,$K$2=Data!$A$2),SUMIFS(Proventos!$H:$H,Proventos!$D:$D,"&gt;="&amp;CONCATENATE($G$6,"/",B56),Proventos!$D:$D,"&lt;"&amp;CONCATENATE($H$6,"/",B56),Proventos!$J:$J,"="&amp;$H$2),
$K$2=Data!$A$2,SUMIFS(Proventos!$H:$H,Proventos!$D:$D,"&gt;="&amp;CONCATENATE($G$6,"/",B56),Proventos!$D:$D,"&lt;"&amp;CONCATENATE($H$6,"/",B56)),
$K$2&lt;&gt;Data!$A$2,SUMIFS(Proventos!$H:$H,Proventos!$D:$D,"&gt;="&amp;CONCATENATE($G$6,"/",B56),Proventos!$D:$D,"&lt;"&amp;CONCATENATE($H$6,"/",B56),Proventos!$A:$A,"="&amp;$K$2))</f>
        <v>0</v>
      </c>
      <c r="H56" s="245">
        <f>IFS(
AND($H$2=Data!$A$3,$K$2=Data!$A$2),SUMIFS(Proventos!$H:$H,Proventos!$D:$D,"&gt;="&amp;CONCATENATE($H$6,"/",B56),Proventos!$D:$D,"&lt;"&amp;CONCATENATE($I$6,"/",B56),Proventos!$J:$J,"="&amp;$H$2),
AND($H$2=Data!$A$4,$K$2=Data!$A$2),SUMIFS(Proventos!$H:$H,Proventos!$D:$D,"&gt;="&amp;CONCATENATE($H$6,"/",B56),Proventos!$D:$D,"&lt;"&amp;CONCATENATE($I$6,"/",B56),Proventos!$J:$J,"="&amp;$H$2),
AND($H$2=Data!$A$5,$K$2=Data!$A$2),SUMIFS(Proventos!$H:$H,Proventos!$D:$D,"&gt;="&amp;CONCATENATE($H$6,"/",B56),Proventos!$D:$D,"&lt;"&amp;CONCATENATE($I$6,"/",B56),Proventos!$J:$J,"="&amp;$H$2),
AND($H$2=Data!$A$6,$K$2=Data!$A$2),SUMIFS(Proventos!$H:$H,Proventos!$D:$D,"&gt;="&amp;CONCATENATE($H$6,"/",B56),Proventos!$D:$D,"&lt;"&amp;CONCATENATE($I$6,"/",B56),Proventos!$J:$J,"="&amp;$H$2),
AND($H$2=Data!$A$7,$K$2=Data!$A$2),SUMIFS(Proventos!$H:$H,Proventos!$D:$D,"&gt;="&amp;CONCATENATE($H$6,"/",B56),Proventos!$D:$D,"&lt;"&amp;CONCATENATE($I$6,"/",B56),Proventos!$J:$J,"="&amp;$H$2),
AND($H$2=Data!$A$8,$K$2=Data!$A$2),SUMIFS(Proventos!$H:$H,Proventos!$D:$D,"&gt;="&amp;CONCATENATE($H$6,"/",B56),Proventos!$D:$D,"&lt;"&amp;CONCATENATE($I$6,"/",B56),Proventos!$J:$J,"="&amp;$H$2),
AND($H$2=Data!$A$9,$K$2=Data!$A$2),SUMIFS(Proventos!$H:$H,Proventos!$D:$D,"&gt;="&amp;CONCATENATE($H$6,"/",B56),Proventos!$D:$D,"&lt;"&amp;CONCATENATE($I$6,"/",B56),Proventos!$J:$J,"="&amp;$H$2),
AND($H$2=Data!$A$10,$K$2=Data!$A$2),SUMIFS(Proventos!$H:$H,Proventos!$D:$D,"&gt;="&amp;CONCATENATE($H$6,"/",B56),Proventos!$D:$D,"&lt;"&amp;CONCATENATE($I$6,"/",B56),Proventos!$J:$J,"="&amp;$H$2),
AND($H$2=Data!$A$11,$K$2=Data!$A$2),SUMIFS(Proventos!$H:$H,Proventos!$D:$D,"&gt;="&amp;CONCATENATE($H$6,"/",B56),Proventos!$D:$D,"&lt;"&amp;CONCATENATE($I$6,"/",B56),Proventos!$J:$J,"="&amp;$H$2),
$K$2=Data!$A$2,SUMIFS(Proventos!$H:$H,Proventos!$D:$D,"&gt;="&amp;CONCATENATE($H$6,"/",B56),Proventos!$D:$D,"&lt;"&amp;CONCATENATE($I$6,"/",B56)),
$K$2&lt;&gt;Data!$A$2,SUMIFS(Proventos!$H:$H,Proventos!$D:$D,"&gt;="&amp;CONCATENATE($H$6,"/",B56),Proventos!$D:$D,"&lt;"&amp;CONCATENATE($I$6,"/",B56),Proventos!$A:$A,"="&amp;$K$2))</f>
        <v>0</v>
      </c>
      <c r="I56" s="245">
        <f>IFS(
AND($H$2=Data!$A$3,$K$2=Data!$A$2),SUMIFS(Proventos!$H:$H,Proventos!$D:$D,"&gt;="&amp;CONCATENATE($I$6,"/",B56),Proventos!$D:$D,"&lt;"&amp;CONCATENATE($J$6,"/",B56),Proventos!$J:$J,"="&amp;$H$2),
AND($H$2=Data!$A$4,$K$2=Data!$A$2),SUMIFS(Proventos!$H:$H,Proventos!$D:$D,"&gt;="&amp;CONCATENATE($I$6,"/",B56),Proventos!$D:$D,"&lt;"&amp;CONCATENATE($J$6,"/",B56),Proventos!$J:$J,"="&amp;$H$2),
AND($H$2=Data!$A$5,$K$2=Data!$A$2),SUMIFS(Proventos!$H:$H,Proventos!$D:$D,"&gt;="&amp;CONCATENATE($I$6,"/",B56),Proventos!$D:$D,"&lt;"&amp;CONCATENATE($J$6,"/",B56),Proventos!$J:$J,"="&amp;$H$2),
AND($H$2=Data!$A$6,$K$2=Data!$A$2),SUMIFS(Proventos!$H:$H,Proventos!$D:$D,"&gt;="&amp;CONCATENATE($I$6,"/",B56),Proventos!$D:$D,"&lt;"&amp;CONCATENATE($J$6,"/",B56),Proventos!$J:$J,"="&amp;$H$2),
AND($H$2=Data!$A$7,$K$2=Data!$A$2),SUMIFS(Proventos!$H:$H,Proventos!$D:$D,"&gt;="&amp;CONCATENATE($I$6,"/",B56),Proventos!$D:$D,"&lt;"&amp;CONCATENATE($J$6,"/",B56),Proventos!$J:$J,"="&amp;$H$2),
AND($H$2=Data!$A$8,$K$2=Data!$A$2),SUMIFS(Proventos!$H:$H,Proventos!$D:$D,"&gt;="&amp;CONCATENATE($I$6,"/",B56),Proventos!$D:$D,"&lt;"&amp;CONCATENATE($J$6,"/",B56),Proventos!$J:$J,"="&amp;$H$2),
AND($H$2=Data!$A$9,$K$2=Data!$A$2),SUMIFS(Proventos!$H:$H,Proventos!$D:$D,"&gt;="&amp;CONCATENATE($I$6,"/",B56),Proventos!$D:$D,"&lt;"&amp;CONCATENATE($J$6,"/",B56),Proventos!$J:$J,"="&amp;$H$2),
AND($H$2=Data!$A$10,$K$2=Data!$A$2),SUMIFS(Proventos!$H:$H,Proventos!$D:$D,"&gt;="&amp;CONCATENATE($I$6,"/",B56),Proventos!$D:$D,"&lt;"&amp;CONCATENATE($J$6,"/",B56),Proventos!$J:$J,"="&amp;$H$2),
AND($H$2=Data!$A$11,$K$2=Data!$A$2),SUMIFS(Proventos!$H:$H,Proventos!$D:$D,"&gt;="&amp;CONCATENATE($I$6,"/",B56),Proventos!$D:$D,"&lt;"&amp;CONCATENATE($J$6,"/",B56),Proventos!$J:$J,"="&amp;$H$2),
$K$2=Data!$A$2,SUMIFS(Proventos!$H:$H,Proventos!$D:$D,"&gt;="&amp;CONCATENATE($I$6,"/",B56),Proventos!$D:$D,"&lt;"&amp;CONCATENATE($J$6,"/",B56)),
$K$2&lt;&gt;Data!$A$2,SUMIFS(Proventos!$H:$H,Proventos!$D:$D,"&gt;="&amp;CONCATENATE($I$6,"/",B56),Proventos!$D:$D,"&lt;"&amp;CONCATENATE($J$6,"/",B56),Proventos!$A:$A,"="&amp;$K$2))</f>
        <v>0</v>
      </c>
      <c r="J56" s="245">
        <f>IFS(
AND($H$2=Data!$A$3,$K$2=Data!$A$2),SUMIFS(Proventos!$H:$H,Proventos!$D:$D,"&gt;="&amp;CONCATENATE($J$6,"/",B56),Proventos!$D:$D,"&lt;"&amp;CONCATENATE($K$6,"/",B56),Proventos!$J:$J,"="&amp;$H$2),
AND($H$2=Data!$A$4,$K$2=Data!$A$2),SUMIFS(Proventos!$H:$H,Proventos!$D:$D,"&gt;="&amp;CONCATENATE($J$6,"/",B56),Proventos!$D:$D,"&lt;"&amp;CONCATENATE($K$6,"/",B56),Proventos!$J:$J,"="&amp;$H$2),
AND($H$2=Data!$A$5,$K$2=Data!$A$2),SUMIFS(Proventos!$H:$H,Proventos!$D:$D,"&gt;="&amp;CONCATENATE($J$6,"/",B56),Proventos!$D:$D,"&lt;"&amp;CONCATENATE($K$6,"/",B56),Proventos!$J:$J,"="&amp;$H$2),
AND($H$2=Data!$A$6,$K$2=Data!$A$2),SUMIFS(Proventos!$H:$H,Proventos!$D:$D,"&gt;="&amp;CONCATENATE($J$6,"/",B56),Proventos!$D:$D,"&lt;"&amp;CONCATENATE($K$6,"/",B56),Proventos!$J:$J,"="&amp;$H$2),
AND($H$2=Data!$A$7,$K$2=Data!$A$2),SUMIFS(Proventos!$H:$H,Proventos!$D:$D,"&gt;="&amp;CONCATENATE($J$6,"/",B56),Proventos!$D:$D,"&lt;"&amp;CONCATENATE($K$6,"/",B56),Proventos!$J:$J,"="&amp;$H$2),
AND($H$2=Data!$A$8,$K$2=Data!$A$2),SUMIFS(Proventos!$H:$H,Proventos!$D:$D,"&gt;="&amp;CONCATENATE($J$6,"/",B56),Proventos!$D:$D,"&lt;"&amp;CONCATENATE($K$6,"/",B56),Proventos!$J:$J,"="&amp;$H$2),
AND($H$2=Data!$A$9,$K$2=Data!$A$2),SUMIFS(Proventos!$H:$H,Proventos!$D:$D,"&gt;="&amp;CONCATENATE($J$6,"/",B56),Proventos!$D:$D,"&lt;"&amp;CONCATENATE($K$6,"/",B56),Proventos!$J:$J,"="&amp;$H$2),
AND($H$2=Data!$A$10,$K$2=Data!$A$2),SUMIFS(Proventos!$H:$H,Proventos!$D:$D,"&gt;="&amp;CONCATENATE($J$6,"/",B56),Proventos!$D:$D,"&lt;"&amp;CONCATENATE($K$6,"/",B56),Proventos!$J:$J,"="&amp;$H$2),
AND($H$2=Data!$A$11,$K$2=Data!$A$2),SUMIFS(Proventos!$H:$H,Proventos!$D:$D,"&gt;="&amp;CONCATENATE($J$6,"/",B56),Proventos!$D:$D,"&lt;"&amp;CONCATENATE($K$6,"/",B56),Proventos!$J:$J,"="&amp;$H$2),
$K$2=Data!$A$2,SUMIFS(Proventos!$H:$H,Proventos!$D:$D,"&gt;="&amp;CONCATENATE($J$6,"/",B56),Proventos!$D:$D,"&lt;"&amp;CONCATENATE($K$6,"/",B56)),
$K$2&lt;&gt;Data!$A$2,SUMIFS(Proventos!$H:$H,Proventos!$D:$D,"&gt;="&amp;CONCATENATE($J$6,"/",B56),Proventos!$D:$D,"&lt;"&amp;CONCATENATE($K$6,"/",B56),Proventos!$A:$A,"="&amp;$K$2))</f>
        <v>0</v>
      </c>
      <c r="K56" s="245">
        <f>IFS(
AND($H$2=Data!$A$3,$K$2=Data!$A$2),SUMIFS(Proventos!$H:$H,Proventos!$D:$D,"&gt;="&amp;CONCATENATE($K$6,"/",B56),Proventos!$D:$D,"&lt;"&amp;CONCATENATE($L$6,"/",B56),Proventos!$J:$J,"="&amp;$H$2),
AND($H$2=Data!$A$4,$K$2=Data!$A$2),SUMIFS(Proventos!$H:$H,Proventos!$D:$D,"&gt;="&amp;CONCATENATE($K$6,"/",B56),Proventos!$D:$D,"&lt;"&amp;CONCATENATE($L$6,"/",B56),Proventos!$J:$J,"="&amp;$H$2),
AND($H$2=Data!$A$5,$K$2=Data!$A$2),SUMIFS(Proventos!$H:$H,Proventos!$D:$D,"&gt;="&amp;CONCATENATE($K$6,"/",B56),Proventos!$D:$D,"&lt;"&amp;CONCATENATE($L$6,"/",B56),Proventos!$J:$J,"="&amp;$H$2),
AND($H$2=Data!$A$6,$K$2=Data!$A$2),SUMIFS(Proventos!$H:$H,Proventos!$D:$D,"&gt;="&amp;CONCATENATE($K$6,"/",B56),Proventos!$D:$D,"&lt;"&amp;CONCATENATE($L$6,"/",B56),Proventos!$J:$J,"="&amp;$H$2),
AND($H$2=Data!$A$7,$K$2=Data!$A$2),SUMIFS(Proventos!$H:$H,Proventos!$D:$D,"&gt;="&amp;CONCATENATE($K$6,"/",B56),Proventos!$D:$D,"&lt;"&amp;CONCATENATE($L$6,"/",B56),Proventos!$J:$J,"="&amp;$H$2),
AND($H$2=Data!$A$8,$K$2=Data!$A$2),SUMIFS(Proventos!$H:$H,Proventos!$D:$D,"&gt;="&amp;CONCATENATE($K$6,"/",B56),Proventos!$D:$D,"&lt;"&amp;CONCATENATE($L$6,"/",B56),Proventos!$J:$J,"="&amp;$H$2),
AND($H$2=Data!$A$9,$K$2=Data!$A$2),SUMIFS(Proventos!$H:$H,Proventos!$D:$D,"&gt;="&amp;CONCATENATE($K$6,"/",B56),Proventos!$D:$D,"&lt;"&amp;CONCATENATE($L$6,"/",B56),Proventos!$J:$J,"="&amp;$H$2),
AND($H$2=Data!$A$10,$K$2=Data!$A$2),SUMIFS(Proventos!$H:$H,Proventos!$D:$D,"&gt;="&amp;CONCATENATE($K$6,"/",B56),Proventos!$D:$D,"&lt;"&amp;CONCATENATE($L$6,"/",B56),Proventos!$J:$J,"="&amp;$H$2),
AND($H$2=Data!$A$11,$K$2=Data!$A$2),SUMIFS(Proventos!$H:$H,Proventos!$D:$D,"&gt;="&amp;CONCATENATE($K$6,"/",B56),Proventos!$D:$D,"&lt;"&amp;CONCATENATE($L$6,"/",B56),Proventos!$J:$J,"="&amp;$H$2),
$K$2=Data!$A$2,SUMIFS(Proventos!$H:$H,Proventos!$D:$D,"&gt;="&amp;CONCATENATE($K$6,"/",B56),Proventos!$D:$D,"&lt;"&amp;CONCATENATE($L$6,"/",B56)),
$K$2&lt;&gt;Data!$A$2,SUMIFS(Proventos!$H:$H,Proventos!$D:$D,"&gt;="&amp;CONCATENATE($K$6,"/",B56),Proventos!$D:$D,"&lt;"&amp;CONCATENATE($L$6,"/",B56),Proventos!$A:$A,"="&amp;$K$2))</f>
        <v>0</v>
      </c>
      <c r="L56" s="245">
        <f>IFS(
AND($H$2=Data!$A$3,$K$2=Data!$A$2),SUMIFS(Proventos!$H:$H,Proventos!$D:$D,"&gt;="&amp;CONCATENATE($L$6,"/",B56),Proventos!$D:$D,"&lt;"&amp;CONCATENATE($M$6,"/",B56),Proventos!$J:$J,"="&amp;$H$2),
AND($H$2=Data!$A$4,$K$2=Data!$A$2),SUMIFS(Proventos!$H:$H,Proventos!$D:$D,"&gt;="&amp;CONCATENATE($L$6,"/",B56),Proventos!$D:$D,"&lt;"&amp;CONCATENATE($M$6,"/",B56),Proventos!$J:$J,"="&amp;$H$2),
AND($H$2=Data!$A$5,$K$2=Data!$A$2),SUMIFS(Proventos!$H:$H,Proventos!$D:$D,"&gt;="&amp;CONCATENATE($L$6,"/",B56),Proventos!$D:$D,"&lt;"&amp;CONCATENATE($M$6,"/",B56),Proventos!$J:$J,"="&amp;$H$2),
AND($H$2=Data!$A$6,$K$2=Data!$A$2),SUMIFS(Proventos!$H:$H,Proventos!$D:$D,"&gt;="&amp;CONCATENATE($L$6,"/",B56),Proventos!$D:$D,"&lt;"&amp;CONCATENATE($M$6,"/",B56),Proventos!$J:$J,"="&amp;$H$2),
AND($H$2=Data!$A$7,$K$2=Data!$A$2),SUMIFS(Proventos!$H:$H,Proventos!$D:$D,"&gt;="&amp;CONCATENATE($L$6,"/",B56),Proventos!$D:$D,"&lt;"&amp;CONCATENATE($M$6,"/",B56),Proventos!$J:$J,"="&amp;$H$2),
AND($H$2=Data!$A$8,$K$2=Data!$A$2),SUMIFS(Proventos!$H:$H,Proventos!$D:$D,"&gt;="&amp;CONCATENATE($L$6,"/",B56),Proventos!$D:$D,"&lt;"&amp;CONCATENATE($M$6,"/",B56),Proventos!$J:$J,"="&amp;$H$2),
AND($H$2=Data!$A$9,$K$2=Data!$A$2),SUMIFS(Proventos!$H:$H,Proventos!$D:$D,"&gt;="&amp;CONCATENATE($L$6,"/",B56),Proventos!$D:$D,"&lt;"&amp;CONCATENATE($M$6,"/",B56),Proventos!$J:$J,"="&amp;$H$2),
AND($H$2=Data!$A$10,$K$2=Data!$A$2),SUMIFS(Proventos!$H:$H,Proventos!$D:$D,"&gt;="&amp;CONCATENATE($L$6,"/",B56),Proventos!$D:$D,"&lt;"&amp;CONCATENATE($M$6,"/",B56),Proventos!$J:$J,"="&amp;$H$2),
AND($H$2=Data!$A$11,$K$2=Data!$A$2),SUMIFS(Proventos!$H:$H,Proventos!$D:$D,"&gt;="&amp;CONCATENATE($L$6,"/",B56),Proventos!$D:$D,"&lt;"&amp;CONCATENATE($M$6,"/",B56),Proventos!$J:$J,"="&amp;$H$2),
$K$2=Data!$A$2,SUMIFS(Proventos!$H:$H,Proventos!$D:$D,"&gt;="&amp;CONCATENATE($L$6,"/",B56),Proventos!$D:$D,"&lt;"&amp;CONCATENATE($M$6,"/",B56)),
$K$2&lt;&gt;Data!$A$2,SUMIFS(Proventos!$H:$H,Proventos!$D:$D,"&gt;="&amp;CONCATENATE($L$6,"/",B56),Proventos!$D:$D,"&lt;"&amp;CONCATENATE($M$6,"/",B56),Proventos!$A:$A,"="&amp;$K$2))</f>
        <v>0</v>
      </c>
      <c r="M56" s="245">
        <f>IFS(
AND($H$2=Data!$A$3,$K$2=Data!$A$2),SUMIFS(Proventos!$H:$H,Proventos!$D:$D,"&gt;="&amp;CONCATENATE($M$6,"/",B56),Proventos!$D:$D,"&lt;"&amp;CONCATENATE($N$6,"/",B56),Proventos!$J:$J,"="&amp;$H$2),
AND($H$2=Data!$A$4,$K$2=Data!$A$2),SUMIFS(Proventos!$H:$H,Proventos!$D:$D,"&gt;="&amp;CONCATENATE($M$6,"/",B56),Proventos!$D:$D,"&lt;"&amp;CONCATENATE($N$6,"/",B56),Proventos!$J:$J,"="&amp;$H$2),
AND($H$2=Data!$A$5,$K$2=Data!$A$2),SUMIFS(Proventos!$H:$H,Proventos!$D:$D,"&gt;="&amp;CONCATENATE($M$6,"/",B56),Proventos!$D:$D,"&lt;"&amp;CONCATENATE($N$6,"/",B56),Proventos!$J:$J,"="&amp;$H$2),
AND($H$2=Data!$A$6,$K$2=Data!$A$2),SUMIFS(Proventos!$H:$H,Proventos!$D:$D,"&gt;="&amp;CONCATENATE($M$6,"/",B56),Proventos!$D:$D,"&lt;"&amp;CONCATENATE($N$6,"/",B56),Proventos!$J:$J,"="&amp;$H$2),
AND($H$2=Data!$A$7,$K$2=Data!$A$2),SUMIFS(Proventos!$H:$H,Proventos!$D:$D,"&gt;="&amp;CONCATENATE($M$6,"/",B56),Proventos!$D:$D,"&lt;"&amp;CONCATENATE($N$6,"/",B56),Proventos!$J:$J,"="&amp;$H$2),
AND($H$2=Data!$A$8,$K$2=Data!$A$2),SUMIFS(Proventos!$H:$H,Proventos!$D:$D,"&gt;="&amp;CONCATENATE($M$6,"/",B56),Proventos!$D:$D,"&lt;"&amp;CONCATENATE($N$6,"/",B56),Proventos!$J:$J,"="&amp;$H$2),
AND($H$2=Data!$A$9,$K$2=Data!$A$2),SUMIFS(Proventos!$H:$H,Proventos!$D:$D,"&gt;="&amp;CONCATENATE($M$6,"/",B56),Proventos!$D:$D,"&lt;"&amp;CONCATENATE($N$6,"/",B56),Proventos!$J:$J,"="&amp;$H$2),
AND($H$2=Data!$A$10,$K$2=Data!$A$2),SUMIFS(Proventos!$H:$H,Proventos!$D:$D,"&gt;="&amp;CONCATENATE($M$6,"/",B56),Proventos!$D:$D,"&lt;"&amp;CONCATENATE($N$6,"/",B56),Proventos!$J:$J,"="&amp;$H$2),
AND($H$2=Data!$A$11,$K$2=Data!$A$2),SUMIFS(Proventos!$H:$H,Proventos!$D:$D,"&gt;="&amp;CONCATENATE($M$6,"/",B56),Proventos!$D:$D,"&lt;"&amp;CONCATENATE($N$6,"/",B56),Proventos!$J:$J,"="&amp;$H$2),
$K$2=Data!$A$2,SUMIFS(Proventos!$H:$H,Proventos!$D:$D,"&gt;="&amp;CONCATENATE($M$6,"/",B56),Proventos!$D:$D,"&lt;"&amp;CONCATENATE($N$6,"/",B56)),
$K$2&lt;&gt;Data!$A$2,SUMIFS(Proventos!$H:$H,Proventos!$D:$D,"&gt;="&amp;CONCATENATE($M$6,"/",B56),Proventos!$D:$D,"&lt;"&amp;CONCATENATE($N$6,"/",B56),Proventos!$A:$A,"="&amp;$K$2))</f>
        <v>0</v>
      </c>
      <c r="N56" s="245">
        <f>IFS(
AND($H$2=Data!$A$3,$K$2=Data!$A$2),SUMIFS(Proventos!$H:$H,Proventos!$D:$D,"&gt;="&amp;CONCATENATE($N$6,"/",B56),Proventos!$D:$D,"&lt;"&amp;CONCATENATE($C$6,"/",B57),Proventos!$J:$J,"="&amp;$H$2),
AND($H$2=Data!$A$4,$K$2=Data!$A$2),SUMIFS(Proventos!$H:$H,Proventos!$D:$D,"&gt;="&amp;CONCATENATE($N$6,"/",B56),Proventos!$D:$D,"&lt;"&amp;CONCATENATE($C$6,"/",B57),Proventos!$J:$J,"="&amp;$H$2),
AND($H$2=Data!$A$5,$K$2=Data!$A$2),SUMIFS(Proventos!$H:$H,Proventos!$D:$D,"&gt;="&amp;CONCATENATE($N$6,"/",B56),Proventos!$D:$D,"&lt;"&amp;CONCATENATE($C$6,"/",B57),Proventos!$J:$J,"="&amp;$H$2),
AND($H$2=Data!$A$6,$K$2=Data!$A$2),SUMIFS(Proventos!$H:$H,Proventos!$D:$D,"&gt;="&amp;CONCATENATE($N$6,"/",B56),Proventos!$D:$D,"&lt;"&amp;CONCATENATE($C$6,"/",B57),Proventos!$J:$J,"="&amp;$H$2),
AND($H$2=Data!$A$7,$K$2=Data!$A$2),SUMIFS(Proventos!$H:$H,Proventos!$D:$D,"&gt;="&amp;CONCATENATE($N$6,"/",B56),Proventos!$D:$D,"&lt;"&amp;CONCATENATE($C$6,"/",B57),Proventos!$J:$J,"="&amp;$H$2),
AND($H$2=Data!$A$8,$K$2=Data!$A$2),SUMIFS(Proventos!$H:$H,Proventos!$D:$D,"&gt;="&amp;CONCATENATE($N$6,"/",B56),Proventos!$D:$D,"&lt;"&amp;CONCATENATE($C$6,"/",B57),Proventos!$J:$J,"="&amp;$H$2),
AND($H$2=Data!$A$9,$K$2=Data!$A$2),SUMIFS(Proventos!$H:$H,Proventos!$D:$D,"&gt;="&amp;CONCATENATE($N$6,"/",B56),Proventos!$D:$D,"&lt;"&amp;CONCATENATE($C$6,"/",B57),Proventos!$J:$J,"="&amp;$H$2),
AND($H$2=Data!$A$10,$K$2=Data!$A$2),SUMIFS(Proventos!$H:$H,Proventos!$D:$D,"&gt;="&amp;CONCATENATE($N$6,"/",B56),Proventos!$D:$D,"&lt;"&amp;CONCATENATE($C$6,"/",B57),Proventos!$J:$J,"="&amp;$H$2),
AND($H$2=Data!$A$11,$K$2=Data!$A$2),SUMIFS(Proventos!$H:$H,Proventos!$D:$D,"&gt;="&amp;CONCATENATE($N$6,"/",B56),Proventos!$D:$D,"&lt;"&amp;CONCATENATE($C$6,"/",B57),Proventos!$J:$J,"="&amp;$H$2),
$K$2=Data!$A$2,SUMIFS(Proventos!$H:$H,Proventos!$D:$D,"&gt;="&amp;CONCATENATE($N$6,"/",B56),Proventos!$D:$D,"&lt;"&amp;CONCATENATE($C$6,"/",B57)),
$K$2&lt;&gt;Data!$A$2,SUMIFS(Proventos!$H:$H,Proventos!$D:$D,"&gt;="&amp;CONCATENATE($N$6,"/",B56),Proventos!$D:$D,"&lt;"&amp;CONCATENATE($C$6,"/",B57),Proventos!$A:$A,"="&amp;$K$2))</f>
        <v>0</v>
      </c>
      <c r="O56" s="245"/>
      <c r="P56" s="245">
        <f t="shared" si="1"/>
        <v>0</v>
      </c>
      <c r="Q56" s="245">
        <f t="shared" si="2"/>
        <v>0</v>
      </c>
    </row>
    <row r="57" ht="32.25" customHeight="1">
      <c r="A57" s="230"/>
      <c r="B57" s="244"/>
      <c r="C57" s="245">
        <f>IFS(
AND($H$2=Data!$A$3,$K$2=Data!$A$2),SUMIFS(Proventos!$H:$H,Proventos!$D:$D,"&gt;="&amp;CONCATENATE($C$6,"/",B57),Proventos!$D:$D,"&lt;"&amp;CONCATENATE($D$6,"/",B57),Proventos!$J:$J,"="&amp;$H$2),
AND($H$2=Data!$A$4,$K$2=Data!$A$2),SUMIFS(Proventos!$H:$H,Proventos!$D:$D,"&gt;="&amp;CONCATENATE($C$6,"/",B57),Proventos!$D:$D,"&lt;"&amp;CONCATENATE($D$6,"/",B57),Proventos!$J:$J,"="&amp;$H$2),
AND($H$2=Data!$A$5,$K$2=Data!$A$2),SUMIFS(Proventos!$H:$H,Proventos!$D:$D,"&gt;="&amp;CONCATENATE($C$6,"/",B57),Proventos!$D:$D,"&lt;"&amp;CONCATENATE($D$6,"/",B57),Proventos!$J:$J,"="&amp;$H$2),
AND($H$2=Data!$A$6,$K$2=Data!$A$2),SUMIFS(Proventos!$H:$H,Proventos!$D:$D,"&gt;="&amp;CONCATENATE($C$6,"/",B57),Proventos!$D:$D,"&lt;"&amp;CONCATENATE($D$6,"/",B57),Proventos!$J:$J,"="&amp;$H$2),
AND($H$2=Data!$A$7,$K$2=Data!$A$2),SUMIFS(Proventos!$H:$H,Proventos!$D:$D,"&gt;="&amp;CONCATENATE($C$6,"/",B57),Proventos!$D:$D,"&lt;"&amp;CONCATENATE($D$6,"/",B57),Proventos!$J:$J,"="&amp;$H$2),
AND($H$2=Data!$A$8,$K$2=Data!$A$2),SUMIFS(Proventos!$H:$H,Proventos!$D:$D,"&gt;="&amp;CONCATENATE($C$6,"/",B57),Proventos!$D:$D,"&lt;"&amp;CONCATENATE($D$6,"/",B57),Proventos!$J:$J,"="&amp;$H$2),
AND($H$2=Data!$A$9,$K$2=Data!$A$2),SUMIFS(Proventos!$H:$H,Proventos!$D:$D,"&gt;="&amp;CONCATENATE($C$6,"/",B57),Proventos!$D:$D,"&lt;"&amp;CONCATENATE($D$6,"/",B57),Proventos!$J:$J,"="&amp;$H$2),
AND($H$2=Data!$A$10,$K$2=Data!$A$2),SUMIFS(Proventos!$H:$H,Proventos!$D:$D,"&gt;="&amp;CONCATENATE($C$6,"/",B57),Proventos!$D:$D,"&lt;"&amp;CONCATENATE($D$6,"/",B57),Proventos!$J:$J,"="&amp;$H$2),
AND($H$2=Data!$A$11,$K$2=Data!$A$2),SUMIFS(Proventos!$H:$H,Proventos!$D:$D,"&gt;="&amp;CONCATENATE($C$6,"/",B57),Proventos!$D:$D,"&lt;"&amp;CONCATENATE($D$6,"/",B57),Proventos!$J:$J,"="&amp;$H$2),
$K$2=Data!$A$2,SUMIFS(Proventos!$H:$H,Proventos!$D:$D,"&gt;="&amp;CONCATENATE($C$6,"/",B57),Proventos!$D:$D,"&lt;"&amp;CONCATENATE($D$6,"/",B57)),
$K$2&lt;&gt;Data!$A$2,SUMIFS(Proventos!$H:$H,Proventos!$D:$D,"&gt;="&amp;CONCATENATE($C$6,"/",B57),Proventos!$D:$D,"&lt;"&amp;CONCATENATE($D$6,"/",B57),Proventos!$A:$A,"="&amp;$K$2))</f>
        <v>0</v>
      </c>
      <c r="D57" s="245">
        <f>IFS(
AND($H$2=Data!$A$3,$K$2=Data!$A$2),SUMIFS(Proventos!$H:$H,Proventos!$D:$D,"&gt;="&amp;CONCATENATE($D$6,"/",B57),Proventos!$D:$D,"&lt;"&amp;CONCATENATE($E$6,"/",B57),Proventos!$J:$J,"="&amp;$H$2),
AND($H$2=Data!$A$4,$K$2=Data!$A$2),SUMIFS(Proventos!$H:$H,Proventos!$D:$D,"&gt;="&amp;CONCATENATE($D$6,"/",B57),Proventos!$D:$D,"&lt;"&amp;CONCATENATE($E$6,"/",B57),Proventos!$J:$J,"="&amp;$H$2),
AND($H$2=Data!$A$5,$K$2=Data!$A$2),SUMIFS(Proventos!$H:$H,Proventos!$D:$D,"&gt;="&amp;CONCATENATE($D$6,"/",B57),Proventos!$D:$D,"&lt;"&amp;CONCATENATE($E$6,"/",B57),Proventos!$J:$J,"="&amp;$H$2),
AND($H$2=Data!$A$6,$K$2=Data!$A$2),SUMIFS(Proventos!$H:$H,Proventos!$D:$D,"&gt;="&amp;CONCATENATE($D$6,"/",B57),Proventos!$D:$D,"&lt;"&amp;CONCATENATE($E$6,"/",B57),Proventos!$J:$J,"="&amp;$H$2),
AND($H$2=Data!$A$7,$K$2=Data!$A$2),SUMIFS(Proventos!$H:$H,Proventos!$D:$D,"&gt;="&amp;CONCATENATE($D$6,"/",B57),Proventos!$D:$D,"&lt;"&amp;CONCATENATE($E$6,"/",B57),Proventos!$J:$J,"="&amp;$H$2),
AND($H$2=Data!$A$8,$K$2=Data!$A$2),SUMIFS(Proventos!$H:$H,Proventos!$D:$D,"&gt;="&amp;CONCATENATE($D$6,"/",B57),Proventos!$D:$D,"&lt;"&amp;CONCATENATE($E$6,"/",B57),Proventos!$J:$J,"="&amp;$H$2),
AND($H$2=Data!$A$9,$K$2=Data!$A$2),SUMIFS(Proventos!$H:$H,Proventos!$D:$D,"&gt;="&amp;CONCATENATE($D$6,"/",B57),Proventos!$D:$D,"&lt;"&amp;CONCATENATE($E$6,"/",B57),Proventos!$J:$J,"="&amp;$H$2),
AND($H$2=Data!$A$10,$K$2=Data!$A$2),SUMIFS(Proventos!$H:$H,Proventos!$D:$D,"&gt;="&amp;CONCATENATE($D$6,"/",B57),Proventos!$D:$D,"&lt;"&amp;CONCATENATE($E$6,"/",B57),Proventos!$J:$J,"="&amp;$H$2),
AND($H$2=Data!$A$11,$K$2=Data!$A$2),SUMIFS(Proventos!$H:$H,Proventos!$D:$D,"&gt;="&amp;CONCATENATE($D$6,"/",B57),Proventos!$D:$D,"&lt;"&amp;CONCATENATE($E$6,"/",B57),Proventos!$J:$J,"="&amp;$H$2),
$K$2=Data!$A$2,SUMIFS(Proventos!$H:$H,Proventos!$D:$D,"&gt;="&amp;CONCATENATE($D$6,"/",B57),Proventos!$D:$D,"&lt;"&amp;CONCATENATE($E$6,"/",B57)),
$K$2&lt;&gt;Data!$A$2,SUMIFS(Proventos!$H:$H,Proventos!$D:$D,"&gt;="&amp;CONCATENATE($D$6,"/",B57),Proventos!$D:$D,"&lt;"&amp;CONCATENATE($E$6,"/",B57),Proventos!$A:$A,"="&amp;$K$2))</f>
        <v>0</v>
      </c>
      <c r="E57" s="245">
        <f>IFS(
AND($H$2=Data!$A$3,$K$2=Data!$A$2),SUMIFS(Proventos!$H:$H,Proventos!$D:$D,"&gt;="&amp;CONCATENATE($E$6,"/",B57),Proventos!$D:$D,"&lt;"&amp;CONCATENATE($F$6,"/",B57),Proventos!$J:$J,"="&amp;$H$2),
AND($H$2=Data!$A$4,$K$2=Data!$A$2),SUMIFS(Proventos!$H:$H,Proventos!$D:$D,"&gt;="&amp;CONCATENATE($E$6,"/",B57),Proventos!$D:$D,"&lt;"&amp;CONCATENATE($F$6,"/",B57),Proventos!$J:$J,"="&amp;$H$2),
AND($H$2=Data!$A$5,$K$2=Data!$A$2),SUMIFS(Proventos!$H:$H,Proventos!$D:$D,"&gt;="&amp;CONCATENATE($E$6,"/",B57),Proventos!$D:$D,"&lt;"&amp;CONCATENATE($F$6,"/",B57),Proventos!$J:$J,"="&amp;$H$2),
AND($H$2=Data!$A$6,$K$2=Data!$A$2),SUMIFS(Proventos!$H:$H,Proventos!$D:$D,"&gt;="&amp;CONCATENATE($E$6,"/",B57),Proventos!$D:$D,"&lt;"&amp;CONCATENATE($F$6,"/",B57),Proventos!$J:$J,"="&amp;$H$2),
AND($H$2=Data!$A$7,$K$2=Data!$A$2),SUMIFS(Proventos!$H:$H,Proventos!$D:$D,"&gt;="&amp;CONCATENATE($E$6,"/",B57),Proventos!$D:$D,"&lt;"&amp;CONCATENATE($F$6,"/",B57),Proventos!$J:$J,"="&amp;$H$2),
AND($H$2=Data!$A$8,$K$2=Data!$A$2),SUMIFS(Proventos!$H:$H,Proventos!$D:$D,"&gt;="&amp;CONCATENATE($E$6,"/",B57),Proventos!$D:$D,"&lt;"&amp;CONCATENATE($F$6,"/",B57),Proventos!$J:$J,"="&amp;$H$2),
AND($H$2=Data!$A$9,$K$2=Data!$A$2),SUMIFS(Proventos!$H:$H,Proventos!$D:$D,"&gt;="&amp;CONCATENATE($E$6,"/",B57),Proventos!$D:$D,"&lt;"&amp;CONCATENATE($F$6,"/",B57),Proventos!$J:$J,"="&amp;$H$2),
AND($H$2=Data!$A$10,$K$2=Data!$A$2),SUMIFS(Proventos!$H:$H,Proventos!$D:$D,"&gt;="&amp;CONCATENATE($E$6,"/",B57),Proventos!$D:$D,"&lt;"&amp;CONCATENATE($F$6,"/",B57),Proventos!$J:$J,"="&amp;$H$2),
AND($H$2=Data!$A$11,$K$2=Data!$A$2),SUMIFS(Proventos!$H:$H,Proventos!$D:$D,"&gt;="&amp;CONCATENATE($E$6,"/",B57),Proventos!$D:$D,"&lt;"&amp;CONCATENATE($F$6,"/",B57),Proventos!$J:$J,"="&amp;$H$2),
$K$2=Data!$A$2,SUMIFS(Proventos!$H:$H,Proventos!$D:$D,"&gt;="&amp;CONCATENATE($E$6,"/",B57),Proventos!$D:$D,"&lt;"&amp;CONCATENATE($F$6,"/",B57)),
$K$2&lt;&gt;Data!$A$2,SUMIFS(Proventos!$H:$H,Proventos!$D:$D,"&gt;="&amp;CONCATENATE($E$6,"/",B57),Proventos!$D:$D,"&lt;"&amp;CONCATENATE($F$6,"/",B57),Proventos!$A:$A,"="&amp;$K$2))</f>
        <v>0</v>
      </c>
      <c r="F57" s="245">
        <f>IFS(
AND($H$2=Data!$A$3,$K$2=Data!$A$2),SUMIFS(Proventos!$H:$H,Proventos!$D:$D,"&gt;="&amp;CONCATENATE($F$6,"/",B57),Proventos!$D:$D,"&lt;"&amp;CONCATENATE($G$6,"/",B57),Proventos!$J:$J,"="&amp;$H$2),
AND($H$2=Data!$A$4,$K$2=Data!$A$2),SUMIFS(Proventos!$H:$H,Proventos!$D:$D,"&gt;="&amp;CONCATENATE($F$6,"/",B57),Proventos!$D:$D,"&lt;"&amp;CONCATENATE($G$6,"/",B57),Proventos!$J:$J,"="&amp;$H$2),
AND($H$2=Data!$A$5,$K$2=Data!$A$2),SUMIFS(Proventos!$H:$H,Proventos!$D:$D,"&gt;="&amp;CONCATENATE($F$6,"/",B57),Proventos!$D:$D,"&lt;"&amp;CONCATENATE($G$6,"/",B57),Proventos!$J:$J,"="&amp;$H$2),
AND($H$2=Data!$A$6,$K$2=Data!$A$2),SUMIFS(Proventos!$H:$H,Proventos!$D:$D,"&gt;="&amp;CONCATENATE($F$6,"/",B57),Proventos!$D:$D,"&lt;"&amp;CONCATENATE($G$6,"/",B57),Proventos!$J:$J,"="&amp;$H$2),
AND($H$2=Data!$A$7,$K$2=Data!$A$2),SUMIFS(Proventos!$H:$H,Proventos!$D:$D,"&gt;="&amp;CONCATENATE($F$6,"/",B57),Proventos!$D:$D,"&lt;"&amp;CONCATENATE($G$6,"/",B57),Proventos!$J:$J,"="&amp;$H$2),
AND($H$2=Data!$A$8,$K$2=Data!$A$2),SUMIFS(Proventos!$H:$H,Proventos!$D:$D,"&gt;="&amp;CONCATENATE($F$6,"/",B57),Proventos!$D:$D,"&lt;"&amp;CONCATENATE($G$6,"/",B57),Proventos!$J:$J,"="&amp;$H$2),
AND($H$2=Data!$A$9,$K$2=Data!$A$2),SUMIFS(Proventos!$H:$H,Proventos!$D:$D,"&gt;="&amp;CONCATENATE($F$6,"/",B57),Proventos!$D:$D,"&lt;"&amp;CONCATENATE($G$6,"/",B57),Proventos!$J:$J,"="&amp;$H$2),
AND($H$2=Data!$A$10,$K$2=Data!$A$2),SUMIFS(Proventos!$H:$H,Proventos!$D:$D,"&gt;="&amp;CONCATENATE($F$6,"/",B57),Proventos!$D:$D,"&lt;"&amp;CONCATENATE($G$6,"/",B57),Proventos!$J:$J,"="&amp;$H$2),
AND($H$2=Data!$A$11,$K$2=Data!$A$2),SUMIFS(Proventos!$H:$H,Proventos!$D:$D,"&gt;="&amp;CONCATENATE($F$6,"/",B57),Proventos!$D:$D,"&lt;"&amp;CONCATENATE($G$6,"/",B57),Proventos!$J:$J,"="&amp;$H$2),
$K$2=Data!$A$2,SUMIFS(Proventos!$H:$H,Proventos!$D:$D,"&gt;="&amp;CONCATENATE($F$6,"/",B57),Proventos!$D:$D,"&lt;"&amp;CONCATENATE($G$6,"/",B57)),
$K$2&lt;&gt;Data!$A$2,SUMIFS(Proventos!$H:$H,Proventos!$D:$D,"&gt;="&amp;CONCATENATE($F$6,"/",B57),Proventos!$D:$D,"&lt;"&amp;CONCATENATE($G$6,"/",B57),Proventos!$A:$A,"="&amp;$K$2))</f>
        <v>0</v>
      </c>
      <c r="G57" s="245">
        <f>IFS(
AND($H$2=Data!$A$3,$K$2=Data!$A$2),SUMIFS(Proventos!$H:$H,Proventos!$D:$D,"&gt;="&amp;CONCATENATE($G$6,"/",B57),Proventos!$D:$D,"&lt;"&amp;CONCATENATE($H$6,"/",B57),Proventos!$J:$J,"="&amp;$H$2),
AND($H$2=Data!$A$4,$K$2=Data!$A$2),SUMIFS(Proventos!$H:$H,Proventos!$D:$D,"&gt;="&amp;CONCATENATE($G$6,"/",B57),Proventos!$D:$D,"&lt;"&amp;CONCATENATE($H$6,"/",B57),Proventos!$J:$J,"="&amp;$H$2),
AND($H$2=Data!$A$5,$K$2=Data!$A$2),SUMIFS(Proventos!$H:$H,Proventos!$D:$D,"&gt;="&amp;CONCATENATE($G$6,"/",B57),Proventos!$D:$D,"&lt;"&amp;CONCATENATE($H$6,"/",B57),Proventos!$J:$J,"="&amp;$H$2),
AND($H$2=Data!$A$6,$K$2=Data!$A$2),SUMIFS(Proventos!$H:$H,Proventos!$D:$D,"&gt;="&amp;CONCATENATE($G$6,"/",B57),Proventos!$D:$D,"&lt;"&amp;CONCATENATE($H$6,"/",B57),Proventos!$J:$J,"="&amp;$H$2),
AND($H$2=Data!$A$7,$K$2=Data!$A$2),SUMIFS(Proventos!$H:$H,Proventos!$D:$D,"&gt;="&amp;CONCATENATE($G$6,"/",B57),Proventos!$D:$D,"&lt;"&amp;CONCATENATE($H$6,"/",B57),Proventos!$J:$J,"="&amp;$H$2),
AND($H$2=Data!$A$8,$K$2=Data!$A$2),SUMIFS(Proventos!$H:$H,Proventos!$D:$D,"&gt;="&amp;CONCATENATE($G$6,"/",B57),Proventos!$D:$D,"&lt;"&amp;CONCATENATE($H$6,"/",B57),Proventos!$J:$J,"="&amp;$H$2),
AND($H$2=Data!$A$9,$K$2=Data!$A$2),SUMIFS(Proventos!$H:$H,Proventos!$D:$D,"&gt;="&amp;CONCATENATE($G$6,"/",B57),Proventos!$D:$D,"&lt;"&amp;CONCATENATE($H$6,"/",B57),Proventos!$J:$J,"="&amp;$H$2),
AND($H$2=Data!$A$10,$K$2=Data!$A$2),SUMIFS(Proventos!$H:$H,Proventos!$D:$D,"&gt;="&amp;CONCATENATE($G$6,"/",B57),Proventos!$D:$D,"&lt;"&amp;CONCATENATE($H$6,"/",B57),Proventos!$J:$J,"="&amp;$H$2),
AND($H$2=Data!$A$11,$K$2=Data!$A$2),SUMIFS(Proventos!$H:$H,Proventos!$D:$D,"&gt;="&amp;CONCATENATE($G$6,"/",B57),Proventos!$D:$D,"&lt;"&amp;CONCATENATE($H$6,"/",B57),Proventos!$J:$J,"="&amp;$H$2),
$K$2=Data!$A$2,SUMIFS(Proventos!$H:$H,Proventos!$D:$D,"&gt;="&amp;CONCATENATE($G$6,"/",B57),Proventos!$D:$D,"&lt;"&amp;CONCATENATE($H$6,"/",B57)),
$K$2&lt;&gt;Data!$A$2,SUMIFS(Proventos!$H:$H,Proventos!$D:$D,"&gt;="&amp;CONCATENATE($G$6,"/",B57),Proventos!$D:$D,"&lt;"&amp;CONCATENATE($H$6,"/",B57),Proventos!$A:$A,"="&amp;$K$2))</f>
        <v>0</v>
      </c>
      <c r="H57" s="245">
        <f>IFS(
AND($H$2=Data!$A$3,$K$2=Data!$A$2),SUMIFS(Proventos!$H:$H,Proventos!$D:$D,"&gt;="&amp;CONCATENATE($H$6,"/",B57),Proventos!$D:$D,"&lt;"&amp;CONCATENATE($I$6,"/",B57),Proventos!$J:$J,"="&amp;$H$2),
AND($H$2=Data!$A$4,$K$2=Data!$A$2),SUMIFS(Proventos!$H:$H,Proventos!$D:$D,"&gt;="&amp;CONCATENATE($H$6,"/",B57),Proventos!$D:$D,"&lt;"&amp;CONCATENATE($I$6,"/",B57),Proventos!$J:$J,"="&amp;$H$2),
AND($H$2=Data!$A$5,$K$2=Data!$A$2),SUMIFS(Proventos!$H:$H,Proventos!$D:$D,"&gt;="&amp;CONCATENATE($H$6,"/",B57),Proventos!$D:$D,"&lt;"&amp;CONCATENATE($I$6,"/",B57),Proventos!$J:$J,"="&amp;$H$2),
AND($H$2=Data!$A$6,$K$2=Data!$A$2),SUMIFS(Proventos!$H:$H,Proventos!$D:$D,"&gt;="&amp;CONCATENATE($H$6,"/",B57),Proventos!$D:$D,"&lt;"&amp;CONCATENATE($I$6,"/",B57),Proventos!$J:$J,"="&amp;$H$2),
AND($H$2=Data!$A$7,$K$2=Data!$A$2),SUMIFS(Proventos!$H:$H,Proventos!$D:$D,"&gt;="&amp;CONCATENATE($H$6,"/",B57),Proventos!$D:$D,"&lt;"&amp;CONCATENATE($I$6,"/",B57),Proventos!$J:$J,"="&amp;$H$2),
AND($H$2=Data!$A$8,$K$2=Data!$A$2),SUMIFS(Proventos!$H:$H,Proventos!$D:$D,"&gt;="&amp;CONCATENATE($H$6,"/",B57),Proventos!$D:$D,"&lt;"&amp;CONCATENATE($I$6,"/",B57),Proventos!$J:$J,"="&amp;$H$2),
AND($H$2=Data!$A$9,$K$2=Data!$A$2),SUMIFS(Proventos!$H:$H,Proventos!$D:$D,"&gt;="&amp;CONCATENATE($H$6,"/",B57),Proventos!$D:$D,"&lt;"&amp;CONCATENATE($I$6,"/",B57),Proventos!$J:$J,"="&amp;$H$2),
AND($H$2=Data!$A$10,$K$2=Data!$A$2),SUMIFS(Proventos!$H:$H,Proventos!$D:$D,"&gt;="&amp;CONCATENATE($H$6,"/",B57),Proventos!$D:$D,"&lt;"&amp;CONCATENATE($I$6,"/",B57),Proventos!$J:$J,"="&amp;$H$2),
AND($H$2=Data!$A$11,$K$2=Data!$A$2),SUMIFS(Proventos!$H:$H,Proventos!$D:$D,"&gt;="&amp;CONCATENATE($H$6,"/",B57),Proventos!$D:$D,"&lt;"&amp;CONCATENATE($I$6,"/",B57),Proventos!$J:$J,"="&amp;$H$2),
$K$2=Data!$A$2,SUMIFS(Proventos!$H:$H,Proventos!$D:$D,"&gt;="&amp;CONCATENATE($H$6,"/",B57),Proventos!$D:$D,"&lt;"&amp;CONCATENATE($I$6,"/",B57)),
$K$2&lt;&gt;Data!$A$2,SUMIFS(Proventos!$H:$H,Proventos!$D:$D,"&gt;="&amp;CONCATENATE($H$6,"/",B57),Proventos!$D:$D,"&lt;"&amp;CONCATENATE($I$6,"/",B57),Proventos!$A:$A,"="&amp;$K$2))</f>
        <v>0</v>
      </c>
      <c r="I57" s="245">
        <f>IFS(
AND($H$2=Data!$A$3,$K$2=Data!$A$2),SUMIFS(Proventos!$H:$H,Proventos!$D:$D,"&gt;="&amp;CONCATENATE($I$6,"/",B57),Proventos!$D:$D,"&lt;"&amp;CONCATENATE($J$6,"/",B57),Proventos!$J:$J,"="&amp;$H$2),
AND($H$2=Data!$A$4,$K$2=Data!$A$2),SUMIFS(Proventos!$H:$H,Proventos!$D:$D,"&gt;="&amp;CONCATENATE($I$6,"/",B57),Proventos!$D:$D,"&lt;"&amp;CONCATENATE($J$6,"/",B57),Proventos!$J:$J,"="&amp;$H$2),
AND($H$2=Data!$A$5,$K$2=Data!$A$2),SUMIFS(Proventos!$H:$H,Proventos!$D:$D,"&gt;="&amp;CONCATENATE($I$6,"/",B57),Proventos!$D:$D,"&lt;"&amp;CONCATENATE($J$6,"/",B57),Proventos!$J:$J,"="&amp;$H$2),
AND($H$2=Data!$A$6,$K$2=Data!$A$2),SUMIFS(Proventos!$H:$H,Proventos!$D:$D,"&gt;="&amp;CONCATENATE($I$6,"/",B57),Proventos!$D:$D,"&lt;"&amp;CONCATENATE($J$6,"/",B57),Proventos!$J:$J,"="&amp;$H$2),
AND($H$2=Data!$A$7,$K$2=Data!$A$2),SUMIFS(Proventos!$H:$H,Proventos!$D:$D,"&gt;="&amp;CONCATENATE($I$6,"/",B57),Proventos!$D:$D,"&lt;"&amp;CONCATENATE($J$6,"/",B57),Proventos!$J:$J,"="&amp;$H$2),
AND($H$2=Data!$A$8,$K$2=Data!$A$2),SUMIFS(Proventos!$H:$H,Proventos!$D:$D,"&gt;="&amp;CONCATENATE($I$6,"/",B57),Proventos!$D:$D,"&lt;"&amp;CONCATENATE($J$6,"/",B57),Proventos!$J:$J,"="&amp;$H$2),
AND($H$2=Data!$A$9,$K$2=Data!$A$2),SUMIFS(Proventos!$H:$H,Proventos!$D:$D,"&gt;="&amp;CONCATENATE($I$6,"/",B57),Proventos!$D:$D,"&lt;"&amp;CONCATENATE($J$6,"/",B57),Proventos!$J:$J,"="&amp;$H$2),
AND($H$2=Data!$A$10,$K$2=Data!$A$2),SUMIFS(Proventos!$H:$H,Proventos!$D:$D,"&gt;="&amp;CONCATENATE($I$6,"/",B57),Proventos!$D:$D,"&lt;"&amp;CONCATENATE($J$6,"/",B57),Proventos!$J:$J,"="&amp;$H$2),
AND($H$2=Data!$A$11,$K$2=Data!$A$2),SUMIFS(Proventos!$H:$H,Proventos!$D:$D,"&gt;="&amp;CONCATENATE($I$6,"/",B57),Proventos!$D:$D,"&lt;"&amp;CONCATENATE($J$6,"/",B57),Proventos!$J:$J,"="&amp;$H$2),
$K$2=Data!$A$2,SUMIFS(Proventos!$H:$H,Proventos!$D:$D,"&gt;="&amp;CONCATENATE($I$6,"/",B57),Proventos!$D:$D,"&lt;"&amp;CONCATENATE($J$6,"/",B57)),
$K$2&lt;&gt;Data!$A$2,SUMIFS(Proventos!$H:$H,Proventos!$D:$D,"&gt;="&amp;CONCATENATE($I$6,"/",B57),Proventos!$D:$D,"&lt;"&amp;CONCATENATE($J$6,"/",B57),Proventos!$A:$A,"="&amp;$K$2))</f>
        <v>0</v>
      </c>
      <c r="J57" s="245">
        <f>IFS(
AND($H$2=Data!$A$3,$K$2=Data!$A$2),SUMIFS(Proventos!$H:$H,Proventos!$D:$D,"&gt;="&amp;CONCATENATE($J$6,"/",B57),Proventos!$D:$D,"&lt;"&amp;CONCATENATE($K$6,"/",B57),Proventos!$J:$J,"="&amp;$H$2),
AND($H$2=Data!$A$4,$K$2=Data!$A$2),SUMIFS(Proventos!$H:$H,Proventos!$D:$D,"&gt;="&amp;CONCATENATE($J$6,"/",B57),Proventos!$D:$D,"&lt;"&amp;CONCATENATE($K$6,"/",B57),Proventos!$J:$J,"="&amp;$H$2),
AND($H$2=Data!$A$5,$K$2=Data!$A$2),SUMIFS(Proventos!$H:$H,Proventos!$D:$D,"&gt;="&amp;CONCATENATE($J$6,"/",B57),Proventos!$D:$D,"&lt;"&amp;CONCATENATE($K$6,"/",B57),Proventos!$J:$J,"="&amp;$H$2),
AND($H$2=Data!$A$6,$K$2=Data!$A$2),SUMIFS(Proventos!$H:$H,Proventos!$D:$D,"&gt;="&amp;CONCATENATE($J$6,"/",B57),Proventos!$D:$D,"&lt;"&amp;CONCATENATE($K$6,"/",B57),Proventos!$J:$J,"="&amp;$H$2),
AND($H$2=Data!$A$7,$K$2=Data!$A$2),SUMIFS(Proventos!$H:$H,Proventos!$D:$D,"&gt;="&amp;CONCATENATE($J$6,"/",B57),Proventos!$D:$D,"&lt;"&amp;CONCATENATE($K$6,"/",B57),Proventos!$J:$J,"="&amp;$H$2),
AND($H$2=Data!$A$8,$K$2=Data!$A$2),SUMIFS(Proventos!$H:$H,Proventos!$D:$D,"&gt;="&amp;CONCATENATE($J$6,"/",B57),Proventos!$D:$D,"&lt;"&amp;CONCATENATE($K$6,"/",B57),Proventos!$J:$J,"="&amp;$H$2),
AND($H$2=Data!$A$9,$K$2=Data!$A$2),SUMIFS(Proventos!$H:$H,Proventos!$D:$D,"&gt;="&amp;CONCATENATE($J$6,"/",B57),Proventos!$D:$D,"&lt;"&amp;CONCATENATE($K$6,"/",B57),Proventos!$J:$J,"="&amp;$H$2),
AND($H$2=Data!$A$10,$K$2=Data!$A$2),SUMIFS(Proventos!$H:$H,Proventos!$D:$D,"&gt;="&amp;CONCATENATE($J$6,"/",B57),Proventos!$D:$D,"&lt;"&amp;CONCATENATE($K$6,"/",B57),Proventos!$J:$J,"="&amp;$H$2),
AND($H$2=Data!$A$11,$K$2=Data!$A$2),SUMIFS(Proventos!$H:$H,Proventos!$D:$D,"&gt;="&amp;CONCATENATE($J$6,"/",B57),Proventos!$D:$D,"&lt;"&amp;CONCATENATE($K$6,"/",B57),Proventos!$J:$J,"="&amp;$H$2),
$K$2=Data!$A$2,SUMIFS(Proventos!$H:$H,Proventos!$D:$D,"&gt;="&amp;CONCATENATE($J$6,"/",B57),Proventos!$D:$D,"&lt;"&amp;CONCATENATE($K$6,"/",B57)),
$K$2&lt;&gt;Data!$A$2,SUMIFS(Proventos!$H:$H,Proventos!$D:$D,"&gt;="&amp;CONCATENATE($J$6,"/",B57),Proventos!$D:$D,"&lt;"&amp;CONCATENATE($K$6,"/",B57),Proventos!$A:$A,"="&amp;$K$2))</f>
        <v>0</v>
      </c>
      <c r="K57" s="245">
        <f>IFS(
AND($H$2=Data!$A$3,$K$2=Data!$A$2),SUMIFS(Proventos!$H:$H,Proventos!$D:$D,"&gt;="&amp;CONCATENATE($K$6,"/",B57),Proventos!$D:$D,"&lt;"&amp;CONCATENATE($L$6,"/",B57),Proventos!$J:$J,"="&amp;$H$2),
AND($H$2=Data!$A$4,$K$2=Data!$A$2),SUMIFS(Proventos!$H:$H,Proventos!$D:$D,"&gt;="&amp;CONCATENATE($K$6,"/",B57),Proventos!$D:$D,"&lt;"&amp;CONCATENATE($L$6,"/",B57),Proventos!$J:$J,"="&amp;$H$2),
AND($H$2=Data!$A$5,$K$2=Data!$A$2),SUMIFS(Proventos!$H:$H,Proventos!$D:$D,"&gt;="&amp;CONCATENATE($K$6,"/",B57),Proventos!$D:$D,"&lt;"&amp;CONCATENATE($L$6,"/",B57),Proventos!$J:$J,"="&amp;$H$2),
AND($H$2=Data!$A$6,$K$2=Data!$A$2),SUMIFS(Proventos!$H:$H,Proventos!$D:$D,"&gt;="&amp;CONCATENATE($K$6,"/",B57),Proventos!$D:$D,"&lt;"&amp;CONCATENATE($L$6,"/",B57),Proventos!$J:$J,"="&amp;$H$2),
AND($H$2=Data!$A$7,$K$2=Data!$A$2),SUMIFS(Proventos!$H:$H,Proventos!$D:$D,"&gt;="&amp;CONCATENATE($K$6,"/",B57),Proventos!$D:$D,"&lt;"&amp;CONCATENATE($L$6,"/",B57),Proventos!$J:$J,"="&amp;$H$2),
AND($H$2=Data!$A$8,$K$2=Data!$A$2),SUMIFS(Proventos!$H:$H,Proventos!$D:$D,"&gt;="&amp;CONCATENATE($K$6,"/",B57),Proventos!$D:$D,"&lt;"&amp;CONCATENATE($L$6,"/",B57),Proventos!$J:$J,"="&amp;$H$2),
AND($H$2=Data!$A$9,$K$2=Data!$A$2),SUMIFS(Proventos!$H:$H,Proventos!$D:$D,"&gt;="&amp;CONCATENATE($K$6,"/",B57),Proventos!$D:$D,"&lt;"&amp;CONCATENATE($L$6,"/",B57),Proventos!$J:$J,"="&amp;$H$2),
AND($H$2=Data!$A$10,$K$2=Data!$A$2),SUMIFS(Proventos!$H:$H,Proventos!$D:$D,"&gt;="&amp;CONCATENATE($K$6,"/",B57),Proventos!$D:$D,"&lt;"&amp;CONCATENATE($L$6,"/",B57),Proventos!$J:$J,"="&amp;$H$2),
AND($H$2=Data!$A$11,$K$2=Data!$A$2),SUMIFS(Proventos!$H:$H,Proventos!$D:$D,"&gt;="&amp;CONCATENATE($K$6,"/",B57),Proventos!$D:$D,"&lt;"&amp;CONCATENATE($L$6,"/",B57),Proventos!$J:$J,"="&amp;$H$2),
$K$2=Data!$A$2,SUMIFS(Proventos!$H:$H,Proventos!$D:$D,"&gt;="&amp;CONCATENATE($K$6,"/",B57),Proventos!$D:$D,"&lt;"&amp;CONCATENATE($L$6,"/",B57)),
$K$2&lt;&gt;Data!$A$2,SUMIFS(Proventos!$H:$H,Proventos!$D:$D,"&gt;="&amp;CONCATENATE($K$6,"/",B57),Proventos!$D:$D,"&lt;"&amp;CONCATENATE($L$6,"/",B57),Proventos!$A:$A,"="&amp;$K$2))</f>
        <v>0</v>
      </c>
      <c r="L57" s="245">
        <f>IFS(
AND($H$2=Data!$A$3,$K$2=Data!$A$2),SUMIFS(Proventos!$H:$H,Proventos!$D:$D,"&gt;="&amp;CONCATENATE($L$6,"/",B57),Proventos!$D:$D,"&lt;"&amp;CONCATENATE($M$6,"/",B57),Proventos!$J:$J,"="&amp;$H$2),
AND($H$2=Data!$A$4,$K$2=Data!$A$2),SUMIFS(Proventos!$H:$H,Proventos!$D:$D,"&gt;="&amp;CONCATENATE($L$6,"/",B57),Proventos!$D:$D,"&lt;"&amp;CONCATENATE($M$6,"/",B57),Proventos!$J:$J,"="&amp;$H$2),
AND($H$2=Data!$A$5,$K$2=Data!$A$2),SUMIFS(Proventos!$H:$H,Proventos!$D:$D,"&gt;="&amp;CONCATENATE($L$6,"/",B57),Proventos!$D:$D,"&lt;"&amp;CONCATENATE($M$6,"/",B57),Proventos!$J:$J,"="&amp;$H$2),
AND($H$2=Data!$A$6,$K$2=Data!$A$2),SUMIFS(Proventos!$H:$H,Proventos!$D:$D,"&gt;="&amp;CONCATENATE($L$6,"/",B57),Proventos!$D:$D,"&lt;"&amp;CONCATENATE($M$6,"/",B57),Proventos!$J:$J,"="&amp;$H$2),
AND($H$2=Data!$A$7,$K$2=Data!$A$2),SUMIFS(Proventos!$H:$H,Proventos!$D:$D,"&gt;="&amp;CONCATENATE($L$6,"/",B57),Proventos!$D:$D,"&lt;"&amp;CONCATENATE($M$6,"/",B57),Proventos!$J:$J,"="&amp;$H$2),
AND($H$2=Data!$A$8,$K$2=Data!$A$2),SUMIFS(Proventos!$H:$H,Proventos!$D:$D,"&gt;="&amp;CONCATENATE($L$6,"/",B57),Proventos!$D:$D,"&lt;"&amp;CONCATENATE($M$6,"/",B57),Proventos!$J:$J,"="&amp;$H$2),
AND($H$2=Data!$A$9,$K$2=Data!$A$2),SUMIFS(Proventos!$H:$H,Proventos!$D:$D,"&gt;="&amp;CONCATENATE($L$6,"/",B57),Proventos!$D:$D,"&lt;"&amp;CONCATENATE($M$6,"/",B57),Proventos!$J:$J,"="&amp;$H$2),
AND($H$2=Data!$A$10,$K$2=Data!$A$2),SUMIFS(Proventos!$H:$H,Proventos!$D:$D,"&gt;="&amp;CONCATENATE($L$6,"/",B57),Proventos!$D:$D,"&lt;"&amp;CONCATENATE($M$6,"/",B57),Proventos!$J:$J,"="&amp;$H$2),
AND($H$2=Data!$A$11,$K$2=Data!$A$2),SUMIFS(Proventos!$H:$H,Proventos!$D:$D,"&gt;="&amp;CONCATENATE($L$6,"/",B57),Proventos!$D:$D,"&lt;"&amp;CONCATENATE($M$6,"/",B57),Proventos!$J:$J,"="&amp;$H$2),
$K$2=Data!$A$2,SUMIFS(Proventos!$H:$H,Proventos!$D:$D,"&gt;="&amp;CONCATENATE($L$6,"/",B57),Proventos!$D:$D,"&lt;"&amp;CONCATENATE($M$6,"/",B57)),
$K$2&lt;&gt;Data!$A$2,SUMIFS(Proventos!$H:$H,Proventos!$D:$D,"&gt;="&amp;CONCATENATE($L$6,"/",B57),Proventos!$D:$D,"&lt;"&amp;CONCATENATE($M$6,"/",B57),Proventos!$A:$A,"="&amp;$K$2))</f>
        <v>0</v>
      </c>
      <c r="M57" s="245">
        <f>IFS(
AND($H$2=Data!$A$3,$K$2=Data!$A$2),SUMIFS(Proventos!$H:$H,Proventos!$D:$D,"&gt;="&amp;CONCATENATE($M$6,"/",B57),Proventos!$D:$D,"&lt;"&amp;CONCATENATE($N$6,"/",B57),Proventos!$J:$J,"="&amp;$H$2),
AND($H$2=Data!$A$4,$K$2=Data!$A$2),SUMIFS(Proventos!$H:$H,Proventos!$D:$D,"&gt;="&amp;CONCATENATE($M$6,"/",B57),Proventos!$D:$D,"&lt;"&amp;CONCATENATE($N$6,"/",B57),Proventos!$J:$J,"="&amp;$H$2),
AND($H$2=Data!$A$5,$K$2=Data!$A$2),SUMIFS(Proventos!$H:$H,Proventos!$D:$D,"&gt;="&amp;CONCATENATE($M$6,"/",B57),Proventos!$D:$D,"&lt;"&amp;CONCATENATE($N$6,"/",B57),Proventos!$J:$J,"="&amp;$H$2),
AND($H$2=Data!$A$6,$K$2=Data!$A$2),SUMIFS(Proventos!$H:$H,Proventos!$D:$D,"&gt;="&amp;CONCATENATE($M$6,"/",B57),Proventos!$D:$D,"&lt;"&amp;CONCATENATE($N$6,"/",B57),Proventos!$J:$J,"="&amp;$H$2),
AND($H$2=Data!$A$7,$K$2=Data!$A$2),SUMIFS(Proventos!$H:$H,Proventos!$D:$D,"&gt;="&amp;CONCATENATE($M$6,"/",B57),Proventos!$D:$D,"&lt;"&amp;CONCATENATE($N$6,"/",B57),Proventos!$J:$J,"="&amp;$H$2),
AND($H$2=Data!$A$8,$K$2=Data!$A$2),SUMIFS(Proventos!$H:$H,Proventos!$D:$D,"&gt;="&amp;CONCATENATE($M$6,"/",B57),Proventos!$D:$D,"&lt;"&amp;CONCATENATE($N$6,"/",B57),Proventos!$J:$J,"="&amp;$H$2),
AND($H$2=Data!$A$9,$K$2=Data!$A$2),SUMIFS(Proventos!$H:$H,Proventos!$D:$D,"&gt;="&amp;CONCATENATE($M$6,"/",B57),Proventos!$D:$D,"&lt;"&amp;CONCATENATE($N$6,"/",B57),Proventos!$J:$J,"="&amp;$H$2),
AND($H$2=Data!$A$10,$K$2=Data!$A$2),SUMIFS(Proventos!$H:$H,Proventos!$D:$D,"&gt;="&amp;CONCATENATE($M$6,"/",B57),Proventos!$D:$D,"&lt;"&amp;CONCATENATE($N$6,"/",B57),Proventos!$J:$J,"="&amp;$H$2),
AND($H$2=Data!$A$11,$K$2=Data!$A$2),SUMIFS(Proventos!$H:$H,Proventos!$D:$D,"&gt;="&amp;CONCATENATE($M$6,"/",B57),Proventos!$D:$D,"&lt;"&amp;CONCATENATE($N$6,"/",B57),Proventos!$J:$J,"="&amp;$H$2),
$K$2=Data!$A$2,SUMIFS(Proventos!$H:$H,Proventos!$D:$D,"&gt;="&amp;CONCATENATE($M$6,"/",B57),Proventos!$D:$D,"&lt;"&amp;CONCATENATE($N$6,"/",B57)),
$K$2&lt;&gt;Data!$A$2,SUMIFS(Proventos!$H:$H,Proventos!$D:$D,"&gt;="&amp;CONCATENATE($M$6,"/",B57),Proventos!$D:$D,"&lt;"&amp;CONCATENATE($N$6,"/",B57),Proventos!$A:$A,"="&amp;$K$2))</f>
        <v>0</v>
      </c>
      <c r="N57" s="245">
        <f>IFS(
AND($H$2=Data!$A$3,$K$2=Data!$A$2),SUMIFS(Proventos!$H:$H,Proventos!$D:$D,"&gt;="&amp;CONCATENATE($N$6,"/",B57),Proventos!$D:$D,"&lt;"&amp;CONCATENATE($C$6,"/",B58),Proventos!$J:$J,"="&amp;$H$2),
AND($H$2=Data!$A$4,$K$2=Data!$A$2),SUMIFS(Proventos!$H:$H,Proventos!$D:$D,"&gt;="&amp;CONCATENATE($N$6,"/",B57),Proventos!$D:$D,"&lt;"&amp;CONCATENATE($C$6,"/",B58),Proventos!$J:$J,"="&amp;$H$2),
AND($H$2=Data!$A$5,$K$2=Data!$A$2),SUMIFS(Proventos!$H:$H,Proventos!$D:$D,"&gt;="&amp;CONCATENATE($N$6,"/",B57),Proventos!$D:$D,"&lt;"&amp;CONCATENATE($C$6,"/",B58),Proventos!$J:$J,"="&amp;$H$2),
AND($H$2=Data!$A$6,$K$2=Data!$A$2),SUMIFS(Proventos!$H:$H,Proventos!$D:$D,"&gt;="&amp;CONCATENATE($N$6,"/",B57),Proventos!$D:$D,"&lt;"&amp;CONCATENATE($C$6,"/",B58),Proventos!$J:$J,"="&amp;$H$2),
AND($H$2=Data!$A$7,$K$2=Data!$A$2),SUMIFS(Proventos!$H:$H,Proventos!$D:$D,"&gt;="&amp;CONCATENATE($N$6,"/",B57),Proventos!$D:$D,"&lt;"&amp;CONCATENATE($C$6,"/",B58),Proventos!$J:$J,"="&amp;$H$2),
AND($H$2=Data!$A$8,$K$2=Data!$A$2),SUMIFS(Proventos!$H:$H,Proventos!$D:$D,"&gt;="&amp;CONCATENATE($N$6,"/",B57),Proventos!$D:$D,"&lt;"&amp;CONCATENATE($C$6,"/",B58),Proventos!$J:$J,"="&amp;$H$2),
AND($H$2=Data!$A$9,$K$2=Data!$A$2),SUMIFS(Proventos!$H:$H,Proventos!$D:$D,"&gt;="&amp;CONCATENATE($N$6,"/",B57),Proventos!$D:$D,"&lt;"&amp;CONCATENATE($C$6,"/",B58),Proventos!$J:$J,"="&amp;$H$2),
AND($H$2=Data!$A$10,$K$2=Data!$A$2),SUMIFS(Proventos!$H:$H,Proventos!$D:$D,"&gt;="&amp;CONCATENATE($N$6,"/",B57),Proventos!$D:$D,"&lt;"&amp;CONCATENATE($C$6,"/",B58),Proventos!$J:$J,"="&amp;$H$2),
AND($H$2=Data!$A$11,$K$2=Data!$A$2),SUMIFS(Proventos!$H:$H,Proventos!$D:$D,"&gt;="&amp;CONCATENATE($N$6,"/",B57),Proventos!$D:$D,"&lt;"&amp;CONCATENATE($C$6,"/",B58),Proventos!$J:$J,"="&amp;$H$2),
$K$2=Data!$A$2,SUMIFS(Proventos!$H:$H,Proventos!$D:$D,"&gt;="&amp;CONCATENATE($N$6,"/",B57),Proventos!$D:$D,"&lt;"&amp;CONCATENATE($C$6,"/",B58)),
$K$2&lt;&gt;Data!$A$2,SUMIFS(Proventos!$H:$H,Proventos!$D:$D,"&gt;="&amp;CONCATENATE($N$6,"/",B57),Proventos!$D:$D,"&lt;"&amp;CONCATENATE($C$6,"/",B58),Proventos!$A:$A,"="&amp;$K$2))</f>
        <v>0</v>
      </c>
      <c r="O57" s="245"/>
      <c r="P57" s="245">
        <f t="shared" si="1"/>
        <v>0</v>
      </c>
      <c r="Q57" s="245">
        <f t="shared" si="2"/>
        <v>0</v>
      </c>
    </row>
    <row r="58" ht="32.25" customHeight="1">
      <c r="A58" s="230"/>
      <c r="B58" s="244"/>
      <c r="C58" s="245">
        <f>IFS(
AND($H$2=Data!$A$3,$K$2=Data!$A$2),SUMIFS(Proventos!$H:$H,Proventos!$D:$D,"&gt;="&amp;CONCATENATE($C$6,"/",B58),Proventos!$D:$D,"&lt;"&amp;CONCATENATE($D$6,"/",B58),Proventos!$J:$J,"="&amp;$H$2),
AND($H$2=Data!$A$4,$K$2=Data!$A$2),SUMIFS(Proventos!$H:$H,Proventos!$D:$D,"&gt;="&amp;CONCATENATE($C$6,"/",B58),Proventos!$D:$D,"&lt;"&amp;CONCATENATE($D$6,"/",B58),Proventos!$J:$J,"="&amp;$H$2),
AND($H$2=Data!$A$5,$K$2=Data!$A$2),SUMIFS(Proventos!$H:$H,Proventos!$D:$D,"&gt;="&amp;CONCATENATE($C$6,"/",B58),Proventos!$D:$D,"&lt;"&amp;CONCATENATE($D$6,"/",B58),Proventos!$J:$J,"="&amp;$H$2),
AND($H$2=Data!$A$6,$K$2=Data!$A$2),SUMIFS(Proventos!$H:$H,Proventos!$D:$D,"&gt;="&amp;CONCATENATE($C$6,"/",B58),Proventos!$D:$D,"&lt;"&amp;CONCATENATE($D$6,"/",B58),Proventos!$J:$J,"="&amp;$H$2),
AND($H$2=Data!$A$7,$K$2=Data!$A$2),SUMIFS(Proventos!$H:$H,Proventos!$D:$D,"&gt;="&amp;CONCATENATE($C$6,"/",B58),Proventos!$D:$D,"&lt;"&amp;CONCATENATE($D$6,"/",B58),Proventos!$J:$J,"="&amp;$H$2),
AND($H$2=Data!$A$8,$K$2=Data!$A$2),SUMIFS(Proventos!$H:$H,Proventos!$D:$D,"&gt;="&amp;CONCATENATE($C$6,"/",B58),Proventos!$D:$D,"&lt;"&amp;CONCATENATE($D$6,"/",B58),Proventos!$J:$J,"="&amp;$H$2),
AND($H$2=Data!$A$9,$K$2=Data!$A$2),SUMIFS(Proventos!$H:$H,Proventos!$D:$D,"&gt;="&amp;CONCATENATE($C$6,"/",B58),Proventos!$D:$D,"&lt;"&amp;CONCATENATE($D$6,"/",B58),Proventos!$J:$J,"="&amp;$H$2),
AND($H$2=Data!$A$10,$K$2=Data!$A$2),SUMIFS(Proventos!$H:$H,Proventos!$D:$D,"&gt;="&amp;CONCATENATE($C$6,"/",B58),Proventos!$D:$D,"&lt;"&amp;CONCATENATE($D$6,"/",B58),Proventos!$J:$J,"="&amp;$H$2),
AND($H$2=Data!$A$11,$K$2=Data!$A$2),SUMIFS(Proventos!$H:$H,Proventos!$D:$D,"&gt;="&amp;CONCATENATE($C$6,"/",B58),Proventos!$D:$D,"&lt;"&amp;CONCATENATE($D$6,"/",B58),Proventos!$J:$J,"="&amp;$H$2),
$K$2=Data!$A$2,SUMIFS(Proventos!$H:$H,Proventos!$D:$D,"&gt;="&amp;CONCATENATE($C$6,"/",B58),Proventos!$D:$D,"&lt;"&amp;CONCATENATE($D$6,"/",B58)),
$K$2&lt;&gt;Data!$A$2,SUMIFS(Proventos!$H:$H,Proventos!$D:$D,"&gt;="&amp;CONCATENATE($C$6,"/",B58),Proventos!$D:$D,"&lt;"&amp;CONCATENATE($D$6,"/",B58),Proventos!$A:$A,"="&amp;$K$2))</f>
        <v>0</v>
      </c>
      <c r="D58" s="245">
        <f>IFS(
AND($H$2=Data!$A$3,$K$2=Data!$A$2),SUMIFS(Proventos!$H:$H,Proventos!$D:$D,"&gt;="&amp;CONCATENATE($D$6,"/",B58),Proventos!$D:$D,"&lt;"&amp;CONCATENATE($E$6,"/",B58),Proventos!$J:$J,"="&amp;$H$2),
AND($H$2=Data!$A$4,$K$2=Data!$A$2),SUMIFS(Proventos!$H:$H,Proventos!$D:$D,"&gt;="&amp;CONCATENATE($D$6,"/",B58),Proventos!$D:$D,"&lt;"&amp;CONCATENATE($E$6,"/",B58),Proventos!$J:$J,"="&amp;$H$2),
AND($H$2=Data!$A$5,$K$2=Data!$A$2),SUMIFS(Proventos!$H:$H,Proventos!$D:$D,"&gt;="&amp;CONCATENATE($D$6,"/",B58),Proventos!$D:$D,"&lt;"&amp;CONCATENATE($E$6,"/",B58),Proventos!$J:$J,"="&amp;$H$2),
AND($H$2=Data!$A$6,$K$2=Data!$A$2),SUMIFS(Proventos!$H:$H,Proventos!$D:$D,"&gt;="&amp;CONCATENATE($D$6,"/",B58),Proventos!$D:$D,"&lt;"&amp;CONCATENATE($E$6,"/",B58),Proventos!$J:$J,"="&amp;$H$2),
AND($H$2=Data!$A$7,$K$2=Data!$A$2),SUMIFS(Proventos!$H:$H,Proventos!$D:$D,"&gt;="&amp;CONCATENATE($D$6,"/",B58),Proventos!$D:$D,"&lt;"&amp;CONCATENATE($E$6,"/",B58),Proventos!$J:$J,"="&amp;$H$2),
AND($H$2=Data!$A$8,$K$2=Data!$A$2),SUMIFS(Proventos!$H:$H,Proventos!$D:$D,"&gt;="&amp;CONCATENATE($D$6,"/",B58),Proventos!$D:$D,"&lt;"&amp;CONCATENATE($E$6,"/",B58),Proventos!$J:$J,"="&amp;$H$2),
AND($H$2=Data!$A$9,$K$2=Data!$A$2),SUMIFS(Proventos!$H:$H,Proventos!$D:$D,"&gt;="&amp;CONCATENATE($D$6,"/",B58),Proventos!$D:$D,"&lt;"&amp;CONCATENATE($E$6,"/",B58),Proventos!$J:$J,"="&amp;$H$2),
AND($H$2=Data!$A$10,$K$2=Data!$A$2),SUMIFS(Proventos!$H:$H,Proventos!$D:$D,"&gt;="&amp;CONCATENATE($D$6,"/",B58),Proventos!$D:$D,"&lt;"&amp;CONCATENATE($E$6,"/",B58),Proventos!$J:$J,"="&amp;$H$2),
AND($H$2=Data!$A$11,$K$2=Data!$A$2),SUMIFS(Proventos!$H:$H,Proventos!$D:$D,"&gt;="&amp;CONCATENATE($D$6,"/",B58),Proventos!$D:$D,"&lt;"&amp;CONCATENATE($E$6,"/",B58),Proventos!$J:$J,"="&amp;$H$2),
$K$2=Data!$A$2,SUMIFS(Proventos!$H:$H,Proventos!$D:$D,"&gt;="&amp;CONCATENATE($D$6,"/",B58),Proventos!$D:$D,"&lt;"&amp;CONCATENATE($E$6,"/",B58)),
$K$2&lt;&gt;Data!$A$2,SUMIFS(Proventos!$H:$H,Proventos!$D:$D,"&gt;="&amp;CONCATENATE($D$6,"/",B58),Proventos!$D:$D,"&lt;"&amp;CONCATENATE($E$6,"/",B58),Proventos!$A:$A,"="&amp;$K$2))</f>
        <v>0</v>
      </c>
      <c r="E58" s="245">
        <f>IFS(
AND($H$2=Data!$A$3,$K$2=Data!$A$2),SUMIFS(Proventos!$H:$H,Proventos!$D:$D,"&gt;="&amp;CONCATENATE($E$6,"/",B58),Proventos!$D:$D,"&lt;"&amp;CONCATENATE($F$6,"/",B58),Proventos!$J:$J,"="&amp;$H$2),
AND($H$2=Data!$A$4,$K$2=Data!$A$2),SUMIFS(Proventos!$H:$H,Proventos!$D:$D,"&gt;="&amp;CONCATENATE($E$6,"/",B58),Proventos!$D:$D,"&lt;"&amp;CONCATENATE($F$6,"/",B58),Proventos!$J:$J,"="&amp;$H$2),
AND($H$2=Data!$A$5,$K$2=Data!$A$2),SUMIFS(Proventos!$H:$H,Proventos!$D:$D,"&gt;="&amp;CONCATENATE($E$6,"/",B58),Proventos!$D:$D,"&lt;"&amp;CONCATENATE($F$6,"/",B58),Proventos!$J:$J,"="&amp;$H$2),
AND($H$2=Data!$A$6,$K$2=Data!$A$2),SUMIFS(Proventos!$H:$H,Proventos!$D:$D,"&gt;="&amp;CONCATENATE($E$6,"/",B58),Proventos!$D:$D,"&lt;"&amp;CONCATENATE($F$6,"/",B58),Proventos!$J:$J,"="&amp;$H$2),
AND($H$2=Data!$A$7,$K$2=Data!$A$2),SUMIFS(Proventos!$H:$H,Proventos!$D:$D,"&gt;="&amp;CONCATENATE($E$6,"/",B58),Proventos!$D:$D,"&lt;"&amp;CONCATENATE($F$6,"/",B58),Proventos!$J:$J,"="&amp;$H$2),
AND($H$2=Data!$A$8,$K$2=Data!$A$2),SUMIFS(Proventos!$H:$H,Proventos!$D:$D,"&gt;="&amp;CONCATENATE($E$6,"/",B58),Proventos!$D:$D,"&lt;"&amp;CONCATENATE($F$6,"/",B58),Proventos!$J:$J,"="&amp;$H$2),
AND($H$2=Data!$A$9,$K$2=Data!$A$2),SUMIFS(Proventos!$H:$H,Proventos!$D:$D,"&gt;="&amp;CONCATENATE($E$6,"/",B58),Proventos!$D:$D,"&lt;"&amp;CONCATENATE($F$6,"/",B58),Proventos!$J:$J,"="&amp;$H$2),
AND($H$2=Data!$A$10,$K$2=Data!$A$2),SUMIFS(Proventos!$H:$H,Proventos!$D:$D,"&gt;="&amp;CONCATENATE($E$6,"/",B58),Proventos!$D:$D,"&lt;"&amp;CONCATENATE($F$6,"/",B58),Proventos!$J:$J,"="&amp;$H$2),
AND($H$2=Data!$A$11,$K$2=Data!$A$2),SUMIFS(Proventos!$H:$H,Proventos!$D:$D,"&gt;="&amp;CONCATENATE($E$6,"/",B58),Proventos!$D:$D,"&lt;"&amp;CONCATENATE($F$6,"/",B58),Proventos!$J:$J,"="&amp;$H$2),
$K$2=Data!$A$2,SUMIFS(Proventos!$H:$H,Proventos!$D:$D,"&gt;="&amp;CONCATENATE($E$6,"/",B58),Proventos!$D:$D,"&lt;"&amp;CONCATENATE($F$6,"/",B58)),
$K$2&lt;&gt;Data!$A$2,SUMIFS(Proventos!$H:$H,Proventos!$D:$D,"&gt;="&amp;CONCATENATE($E$6,"/",B58),Proventos!$D:$D,"&lt;"&amp;CONCATENATE($F$6,"/",B58),Proventos!$A:$A,"="&amp;$K$2))</f>
        <v>0</v>
      </c>
      <c r="F58" s="245">
        <f>IFS(
AND($H$2=Data!$A$3,$K$2=Data!$A$2),SUMIFS(Proventos!$H:$H,Proventos!$D:$D,"&gt;="&amp;CONCATENATE($F$6,"/",B58),Proventos!$D:$D,"&lt;"&amp;CONCATENATE($G$6,"/",B58),Proventos!$J:$J,"="&amp;$H$2),
AND($H$2=Data!$A$4,$K$2=Data!$A$2),SUMIFS(Proventos!$H:$H,Proventos!$D:$D,"&gt;="&amp;CONCATENATE($F$6,"/",B58),Proventos!$D:$D,"&lt;"&amp;CONCATENATE($G$6,"/",B58),Proventos!$J:$J,"="&amp;$H$2),
AND($H$2=Data!$A$5,$K$2=Data!$A$2),SUMIFS(Proventos!$H:$H,Proventos!$D:$D,"&gt;="&amp;CONCATENATE($F$6,"/",B58),Proventos!$D:$D,"&lt;"&amp;CONCATENATE($G$6,"/",B58),Proventos!$J:$J,"="&amp;$H$2),
AND($H$2=Data!$A$6,$K$2=Data!$A$2),SUMIFS(Proventos!$H:$H,Proventos!$D:$D,"&gt;="&amp;CONCATENATE($F$6,"/",B58),Proventos!$D:$D,"&lt;"&amp;CONCATENATE($G$6,"/",B58),Proventos!$J:$J,"="&amp;$H$2),
AND($H$2=Data!$A$7,$K$2=Data!$A$2),SUMIFS(Proventos!$H:$H,Proventos!$D:$D,"&gt;="&amp;CONCATENATE($F$6,"/",B58),Proventos!$D:$D,"&lt;"&amp;CONCATENATE($G$6,"/",B58),Proventos!$J:$J,"="&amp;$H$2),
AND($H$2=Data!$A$8,$K$2=Data!$A$2),SUMIFS(Proventos!$H:$H,Proventos!$D:$D,"&gt;="&amp;CONCATENATE($F$6,"/",B58),Proventos!$D:$D,"&lt;"&amp;CONCATENATE($G$6,"/",B58),Proventos!$J:$J,"="&amp;$H$2),
AND($H$2=Data!$A$9,$K$2=Data!$A$2),SUMIFS(Proventos!$H:$H,Proventos!$D:$D,"&gt;="&amp;CONCATENATE($F$6,"/",B58),Proventos!$D:$D,"&lt;"&amp;CONCATENATE($G$6,"/",B58),Proventos!$J:$J,"="&amp;$H$2),
AND($H$2=Data!$A$10,$K$2=Data!$A$2),SUMIFS(Proventos!$H:$H,Proventos!$D:$D,"&gt;="&amp;CONCATENATE($F$6,"/",B58),Proventos!$D:$D,"&lt;"&amp;CONCATENATE($G$6,"/",B58),Proventos!$J:$J,"="&amp;$H$2),
AND($H$2=Data!$A$11,$K$2=Data!$A$2),SUMIFS(Proventos!$H:$H,Proventos!$D:$D,"&gt;="&amp;CONCATENATE($F$6,"/",B58),Proventos!$D:$D,"&lt;"&amp;CONCATENATE($G$6,"/",B58),Proventos!$J:$J,"="&amp;$H$2),
$K$2=Data!$A$2,SUMIFS(Proventos!$H:$H,Proventos!$D:$D,"&gt;="&amp;CONCATENATE($F$6,"/",B58),Proventos!$D:$D,"&lt;"&amp;CONCATENATE($G$6,"/",B58)),
$K$2&lt;&gt;Data!$A$2,SUMIFS(Proventos!$H:$H,Proventos!$D:$D,"&gt;="&amp;CONCATENATE($F$6,"/",B58),Proventos!$D:$D,"&lt;"&amp;CONCATENATE($G$6,"/",B58),Proventos!$A:$A,"="&amp;$K$2))</f>
        <v>0</v>
      </c>
      <c r="G58" s="245">
        <f>IFS(
AND($H$2=Data!$A$3,$K$2=Data!$A$2),SUMIFS(Proventos!$H:$H,Proventos!$D:$D,"&gt;="&amp;CONCATENATE($G$6,"/",B58),Proventos!$D:$D,"&lt;"&amp;CONCATENATE($H$6,"/",B58),Proventos!$J:$J,"="&amp;$H$2),
AND($H$2=Data!$A$4,$K$2=Data!$A$2),SUMIFS(Proventos!$H:$H,Proventos!$D:$D,"&gt;="&amp;CONCATENATE($G$6,"/",B58),Proventos!$D:$D,"&lt;"&amp;CONCATENATE($H$6,"/",B58),Proventos!$J:$J,"="&amp;$H$2),
AND($H$2=Data!$A$5,$K$2=Data!$A$2),SUMIFS(Proventos!$H:$H,Proventos!$D:$D,"&gt;="&amp;CONCATENATE($G$6,"/",B58),Proventos!$D:$D,"&lt;"&amp;CONCATENATE($H$6,"/",B58),Proventos!$J:$J,"="&amp;$H$2),
AND($H$2=Data!$A$6,$K$2=Data!$A$2),SUMIFS(Proventos!$H:$H,Proventos!$D:$D,"&gt;="&amp;CONCATENATE($G$6,"/",B58),Proventos!$D:$D,"&lt;"&amp;CONCATENATE($H$6,"/",B58),Proventos!$J:$J,"="&amp;$H$2),
AND($H$2=Data!$A$7,$K$2=Data!$A$2),SUMIFS(Proventos!$H:$H,Proventos!$D:$D,"&gt;="&amp;CONCATENATE($G$6,"/",B58),Proventos!$D:$D,"&lt;"&amp;CONCATENATE($H$6,"/",B58),Proventos!$J:$J,"="&amp;$H$2),
AND($H$2=Data!$A$8,$K$2=Data!$A$2),SUMIFS(Proventos!$H:$H,Proventos!$D:$D,"&gt;="&amp;CONCATENATE($G$6,"/",B58),Proventos!$D:$D,"&lt;"&amp;CONCATENATE($H$6,"/",B58),Proventos!$J:$J,"="&amp;$H$2),
AND($H$2=Data!$A$9,$K$2=Data!$A$2),SUMIFS(Proventos!$H:$H,Proventos!$D:$D,"&gt;="&amp;CONCATENATE($G$6,"/",B58),Proventos!$D:$D,"&lt;"&amp;CONCATENATE($H$6,"/",B58),Proventos!$J:$J,"="&amp;$H$2),
AND($H$2=Data!$A$10,$K$2=Data!$A$2),SUMIFS(Proventos!$H:$H,Proventos!$D:$D,"&gt;="&amp;CONCATENATE($G$6,"/",B58),Proventos!$D:$D,"&lt;"&amp;CONCATENATE($H$6,"/",B58),Proventos!$J:$J,"="&amp;$H$2),
AND($H$2=Data!$A$11,$K$2=Data!$A$2),SUMIFS(Proventos!$H:$H,Proventos!$D:$D,"&gt;="&amp;CONCATENATE($G$6,"/",B58),Proventos!$D:$D,"&lt;"&amp;CONCATENATE($H$6,"/",B58),Proventos!$J:$J,"="&amp;$H$2),
$K$2=Data!$A$2,SUMIFS(Proventos!$H:$H,Proventos!$D:$D,"&gt;="&amp;CONCATENATE($G$6,"/",B58),Proventos!$D:$D,"&lt;"&amp;CONCATENATE($H$6,"/",B58)),
$K$2&lt;&gt;Data!$A$2,SUMIFS(Proventos!$H:$H,Proventos!$D:$D,"&gt;="&amp;CONCATENATE($G$6,"/",B58),Proventos!$D:$D,"&lt;"&amp;CONCATENATE($H$6,"/",B58),Proventos!$A:$A,"="&amp;$K$2))</f>
        <v>0</v>
      </c>
      <c r="H58" s="245">
        <f>IFS(
AND($H$2=Data!$A$3,$K$2=Data!$A$2),SUMIFS(Proventos!$H:$H,Proventos!$D:$D,"&gt;="&amp;CONCATENATE($H$6,"/",B58),Proventos!$D:$D,"&lt;"&amp;CONCATENATE($I$6,"/",B58),Proventos!$J:$J,"="&amp;$H$2),
AND($H$2=Data!$A$4,$K$2=Data!$A$2),SUMIFS(Proventos!$H:$H,Proventos!$D:$D,"&gt;="&amp;CONCATENATE($H$6,"/",B58),Proventos!$D:$D,"&lt;"&amp;CONCATENATE($I$6,"/",B58),Proventos!$J:$J,"="&amp;$H$2),
AND($H$2=Data!$A$5,$K$2=Data!$A$2),SUMIFS(Proventos!$H:$H,Proventos!$D:$D,"&gt;="&amp;CONCATENATE($H$6,"/",B58),Proventos!$D:$D,"&lt;"&amp;CONCATENATE($I$6,"/",B58),Proventos!$J:$J,"="&amp;$H$2),
AND($H$2=Data!$A$6,$K$2=Data!$A$2),SUMIFS(Proventos!$H:$H,Proventos!$D:$D,"&gt;="&amp;CONCATENATE($H$6,"/",B58),Proventos!$D:$D,"&lt;"&amp;CONCATENATE($I$6,"/",B58),Proventos!$J:$J,"="&amp;$H$2),
AND($H$2=Data!$A$7,$K$2=Data!$A$2),SUMIFS(Proventos!$H:$H,Proventos!$D:$D,"&gt;="&amp;CONCATENATE($H$6,"/",B58),Proventos!$D:$D,"&lt;"&amp;CONCATENATE($I$6,"/",B58),Proventos!$J:$J,"="&amp;$H$2),
AND($H$2=Data!$A$8,$K$2=Data!$A$2),SUMIFS(Proventos!$H:$H,Proventos!$D:$D,"&gt;="&amp;CONCATENATE($H$6,"/",B58),Proventos!$D:$D,"&lt;"&amp;CONCATENATE($I$6,"/",B58),Proventos!$J:$J,"="&amp;$H$2),
AND($H$2=Data!$A$9,$K$2=Data!$A$2),SUMIFS(Proventos!$H:$H,Proventos!$D:$D,"&gt;="&amp;CONCATENATE($H$6,"/",B58),Proventos!$D:$D,"&lt;"&amp;CONCATENATE($I$6,"/",B58),Proventos!$J:$J,"="&amp;$H$2),
AND($H$2=Data!$A$10,$K$2=Data!$A$2),SUMIFS(Proventos!$H:$H,Proventos!$D:$D,"&gt;="&amp;CONCATENATE($H$6,"/",B58),Proventos!$D:$D,"&lt;"&amp;CONCATENATE($I$6,"/",B58),Proventos!$J:$J,"="&amp;$H$2),
AND($H$2=Data!$A$11,$K$2=Data!$A$2),SUMIFS(Proventos!$H:$H,Proventos!$D:$D,"&gt;="&amp;CONCATENATE($H$6,"/",B58),Proventos!$D:$D,"&lt;"&amp;CONCATENATE($I$6,"/",B58),Proventos!$J:$J,"="&amp;$H$2),
$K$2=Data!$A$2,SUMIFS(Proventos!$H:$H,Proventos!$D:$D,"&gt;="&amp;CONCATENATE($H$6,"/",B58),Proventos!$D:$D,"&lt;"&amp;CONCATENATE($I$6,"/",B58)),
$K$2&lt;&gt;Data!$A$2,SUMIFS(Proventos!$H:$H,Proventos!$D:$D,"&gt;="&amp;CONCATENATE($H$6,"/",B58),Proventos!$D:$D,"&lt;"&amp;CONCATENATE($I$6,"/",B58),Proventos!$A:$A,"="&amp;$K$2))</f>
        <v>0</v>
      </c>
      <c r="I58" s="245">
        <f>IFS(
AND($H$2=Data!$A$3,$K$2=Data!$A$2),SUMIFS(Proventos!$H:$H,Proventos!$D:$D,"&gt;="&amp;CONCATENATE($I$6,"/",B58),Proventos!$D:$D,"&lt;"&amp;CONCATENATE($J$6,"/",B58),Proventos!$J:$J,"="&amp;$H$2),
AND($H$2=Data!$A$4,$K$2=Data!$A$2),SUMIFS(Proventos!$H:$H,Proventos!$D:$D,"&gt;="&amp;CONCATENATE($I$6,"/",B58),Proventos!$D:$D,"&lt;"&amp;CONCATENATE($J$6,"/",B58),Proventos!$J:$J,"="&amp;$H$2),
AND($H$2=Data!$A$5,$K$2=Data!$A$2),SUMIFS(Proventos!$H:$H,Proventos!$D:$D,"&gt;="&amp;CONCATENATE($I$6,"/",B58),Proventos!$D:$D,"&lt;"&amp;CONCATENATE($J$6,"/",B58),Proventos!$J:$J,"="&amp;$H$2),
AND($H$2=Data!$A$6,$K$2=Data!$A$2),SUMIFS(Proventos!$H:$H,Proventos!$D:$D,"&gt;="&amp;CONCATENATE($I$6,"/",B58),Proventos!$D:$D,"&lt;"&amp;CONCATENATE($J$6,"/",B58),Proventos!$J:$J,"="&amp;$H$2),
AND($H$2=Data!$A$7,$K$2=Data!$A$2),SUMIFS(Proventos!$H:$H,Proventos!$D:$D,"&gt;="&amp;CONCATENATE($I$6,"/",B58),Proventos!$D:$D,"&lt;"&amp;CONCATENATE($J$6,"/",B58),Proventos!$J:$J,"="&amp;$H$2),
AND($H$2=Data!$A$8,$K$2=Data!$A$2),SUMIFS(Proventos!$H:$H,Proventos!$D:$D,"&gt;="&amp;CONCATENATE($I$6,"/",B58),Proventos!$D:$D,"&lt;"&amp;CONCATENATE($J$6,"/",B58),Proventos!$J:$J,"="&amp;$H$2),
AND($H$2=Data!$A$9,$K$2=Data!$A$2),SUMIFS(Proventos!$H:$H,Proventos!$D:$D,"&gt;="&amp;CONCATENATE($I$6,"/",B58),Proventos!$D:$D,"&lt;"&amp;CONCATENATE($J$6,"/",B58),Proventos!$J:$J,"="&amp;$H$2),
AND($H$2=Data!$A$10,$K$2=Data!$A$2),SUMIFS(Proventos!$H:$H,Proventos!$D:$D,"&gt;="&amp;CONCATENATE($I$6,"/",B58),Proventos!$D:$D,"&lt;"&amp;CONCATENATE($J$6,"/",B58),Proventos!$J:$J,"="&amp;$H$2),
AND($H$2=Data!$A$11,$K$2=Data!$A$2),SUMIFS(Proventos!$H:$H,Proventos!$D:$D,"&gt;="&amp;CONCATENATE($I$6,"/",B58),Proventos!$D:$D,"&lt;"&amp;CONCATENATE($J$6,"/",B58),Proventos!$J:$J,"="&amp;$H$2),
$K$2=Data!$A$2,SUMIFS(Proventos!$H:$H,Proventos!$D:$D,"&gt;="&amp;CONCATENATE($I$6,"/",B58),Proventos!$D:$D,"&lt;"&amp;CONCATENATE($J$6,"/",B58)),
$K$2&lt;&gt;Data!$A$2,SUMIFS(Proventos!$H:$H,Proventos!$D:$D,"&gt;="&amp;CONCATENATE($I$6,"/",B58),Proventos!$D:$D,"&lt;"&amp;CONCATENATE($J$6,"/",B58),Proventos!$A:$A,"="&amp;$K$2))</f>
        <v>0</v>
      </c>
      <c r="J58" s="245">
        <f>IFS(
AND($H$2=Data!$A$3,$K$2=Data!$A$2),SUMIFS(Proventos!$H:$H,Proventos!$D:$D,"&gt;="&amp;CONCATENATE($J$6,"/",B58),Proventos!$D:$D,"&lt;"&amp;CONCATENATE($K$6,"/",B58),Proventos!$J:$J,"="&amp;$H$2),
AND($H$2=Data!$A$4,$K$2=Data!$A$2),SUMIFS(Proventos!$H:$H,Proventos!$D:$D,"&gt;="&amp;CONCATENATE($J$6,"/",B58),Proventos!$D:$D,"&lt;"&amp;CONCATENATE($K$6,"/",B58),Proventos!$J:$J,"="&amp;$H$2),
AND($H$2=Data!$A$5,$K$2=Data!$A$2),SUMIFS(Proventos!$H:$H,Proventos!$D:$D,"&gt;="&amp;CONCATENATE($J$6,"/",B58),Proventos!$D:$D,"&lt;"&amp;CONCATENATE($K$6,"/",B58),Proventos!$J:$J,"="&amp;$H$2),
AND($H$2=Data!$A$6,$K$2=Data!$A$2),SUMIFS(Proventos!$H:$H,Proventos!$D:$D,"&gt;="&amp;CONCATENATE($J$6,"/",B58),Proventos!$D:$D,"&lt;"&amp;CONCATENATE($K$6,"/",B58),Proventos!$J:$J,"="&amp;$H$2),
AND($H$2=Data!$A$7,$K$2=Data!$A$2),SUMIFS(Proventos!$H:$H,Proventos!$D:$D,"&gt;="&amp;CONCATENATE($J$6,"/",B58),Proventos!$D:$D,"&lt;"&amp;CONCATENATE($K$6,"/",B58),Proventos!$J:$J,"="&amp;$H$2),
AND($H$2=Data!$A$8,$K$2=Data!$A$2),SUMIFS(Proventos!$H:$H,Proventos!$D:$D,"&gt;="&amp;CONCATENATE($J$6,"/",B58),Proventos!$D:$D,"&lt;"&amp;CONCATENATE($K$6,"/",B58),Proventos!$J:$J,"="&amp;$H$2),
AND($H$2=Data!$A$9,$K$2=Data!$A$2),SUMIFS(Proventos!$H:$H,Proventos!$D:$D,"&gt;="&amp;CONCATENATE($J$6,"/",B58),Proventos!$D:$D,"&lt;"&amp;CONCATENATE($K$6,"/",B58),Proventos!$J:$J,"="&amp;$H$2),
AND($H$2=Data!$A$10,$K$2=Data!$A$2),SUMIFS(Proventos!$H:$H,Proventos!$D:$D,"&gt;="&amp;CONCATENATE($J$6,"/",B58),Proventos!$D:$D,"&lt;"&amp;CONCATENATE($K$6,"/",B58),Proventos!$J:$J,"="&amp;$H$2),
AND($H$2=Data!$A$11,$K$2=Data!$A$2),SUMIFS(Proventos!$H:$H,Proventos!$D:$D,"&gt;="&amp;CONCATENATE($J$6,"/",B58),Proventos!$D:$D,"&lt;"&amp;CONCATENATE($K$6,"/",B58),Proventos!$J:$J,"="&amp;$H$2),
$K$2=Data!$A$2,SUMIFS(Proventos!$H:$H,Proventos!$D:$D,"&gt;="&amp;CONCATENATE($J$6,"/",B58),Proventos!$D:$D,"&lt;"&amp;CONCATENATE($K$6,"/",B58)),
$K$2&lt;&gt;Data!$A$2,SUMIFS(Proventos!$H:$H,Proventos!$D:$D,"&gt;="&amp;CONCATENATE($J$6,"/",B58),Proventos!$D:$D,"&lt;"&amp;CONCATENATE($K$6,"/",B58),Proventos!$A:$A,"="&amp;$K$2))</f>
        <v>0</v>
      </c>
      <c r="K58" s="245">
        <f>IFS(
AND($H$2=Data!$A$3,$K$2=Data!$A$2),SUMIFS(Proventos!$H:$H,Proventos!$D:$D,"&gt;="&amp;CONCATENATE($K$6,"/",B58),Proventos!$D:$D,"&lt;"&amp;CONCATENATE($L$6,"/",B58),Proventos!$J:$J,"="&amp;$H$2),
AND($H$2=Data!$A$4,$K$2=Data!$A$2),SUMIFS(Proventos!$H:$H,Proventos!$D:$D,"&gt;="&amp;CONCATENATE($K$6,"/",B58),Proventos!$D:$D,"&lt;"&amp;CONCATENATE($L$6,"/",B58),Proventos!$J:$J,"="&amp;$H$2),
AND($H$2=Data!$A$5,$K$2=Data!$A$2),SUMIFS(Proventos!$H:$H,Proventos!$D:$D,"&gt;="&amp;CONCATENATE($K$6,"/",B58),Proventos!$D:$D,"&lt;"&amp;CONCATENATE($L$6,"/",B58),Proventos!$J:$J,"="&amp;$H$2),
AND($H$2=Data!$A$6,$K$2=Data!$A$2),SUMIFS(Proventos!$H:$H,Proventos!$D:$D,"&gt;="&amp;CONCATENATE($K$6,"/",B58),Proventos!$D:$D,"&lt;"&amp;CONCATENATE($L$6,"/",B58),Proventos!$J:$J,"="&amp;$H$2),
AND($H$2=Data!$A$7,$K$2=Data!$A$2),SUMIFS(Proventos!$H:$H,Proventos!$D:$D,"&gt;="&amp;CONCATENATE($K$6,"/",B58),Proventos!$D:$D,"&lt;"&amp;CONCATENATE($L$6,"/",B58),Proventos!$J:$J,"="&amp;$H$2),
AND($H$2=Data!$A$8,$K$2=Data!$A$2),SUMIFS(Proventos!$H:$H,Proventos!$D:$D,"&gt;="&amp;CONCATENATE($K$6,"/",B58),Proventos!$D:$D,"&lt;"&amp;CONCATENATE($L$6,"/",B58),Proventos!$J:$J,"="&amp;$H$2),
AND($H$2=Data!$A$9,$K$2=Data!$A$2),SUMIFS(Proventos!$H:$H,Proventos!$D:$D,"&gt;="&amp;CONCATENATE($K$6,"/",B58),Proventos!$D:$D,"&lt;"&amp;CONCATENATE($L$6,"/",B58),Proventos!$J:$J,"="&amp;$H$2),
AND($H$2=Data!$A$10,$K$2=Data!$A$2),SUMIFS(Proventos!$H:$H,Proventos!$D:$D,"&gt;="&amp;CONCATENATE($K$6,"/",B58),Proventos!$D:$D,"&lt;"&amp;CONCATENATE($L$6,"/",B58),Proventos!$J:$J,"="&amp;$H$2),
AND($H$2=Data!$A$11,$K$2=Data!$A$2),SUMIFS(Proventos!$H:$H,Proventos!$D:$D,"&gt;="&amp;CONCATENATE($K$6,"/",B58),Proventos!$D:$D,"&lt;"&amp;CONCATENATE($L$6,"/",B58),Proventos!$J:$J,"="&amp;$H$2),
$K$2=Data!$A$2,SUMIFS(Proventos!$H:$H,Proventos!$D:$D,"&gt;="&amp;CONCATENATE($K$6,"/",B58),Proventos!$D:$D,"&lt;"&amp;CONCATENATE($L$6,"/",B58)),
$K$2&lt;&gt;Data!$A$2,SUMIFS(Proventos!$H:$H,Proventos!$D:$D,"&gt;="&amp;CONCATENATE($K$6,"/",B58),Proventos!$D:$D,"&lt;"&amp;CONCATENATE($L$6,"/",B58),Proventos!$A:$A,"="&amp;$K$2))</f>
        <v>0</v>
      </c>
      <c r="L58" s="245">
        <f>IFS(
AND($H$2=Data!$A$3,$K$2=Data!$A$2),SUMIFS(Proventos!$H:$H,Proventos!$D:$D,"&gt;="&amp;CONCATENATE($L$6,"/",B58),Proventos!$D:$D,"&lt;"&amp;CONCATENATE($M$6,"/",B58),Proventos!$J:$J,"="&amp;$H$2),
AND($H$2=Data!$A$4,$K$2=Data!$A$2),SUMIFS(Proventos!$H:$H,Proventos!$D:$D,"&gt;="&amp;CONCATENATE($L$6,"/",B58),Proventos!$D:$D,"&lt;"&amp;CONCATENATE($M$6,"/",B58),Proventos!$J:$J,"="&amp;$H$2),
AND($H$2=Data!$A$5,$K$2=Data!$A$2),SUMIFS(Proventos!$H:$H,Proventos!$D:$D,"&gt;="&amp;CONCATENATE($L$6,"/",B58),Proventos!$D:$D,"&lt;"&amp;CONCATENATE($M$6,"/",B58),Proventos!$J:$J,"="&amp;$H$2),
AND($H$2=Data!$A$6,$K$2=Data!$A$2),SUMIFS(Proventos!$H:$H,Proventos!$D:$D,"&gt;="&amp;CONCATENATE($L$6,"/",B58),Proventos!$D:$D,"&lt;"&amp;CONCATENATE($M$6,"/",B58),Proventos!$J:$J,"="&amp;$H$2),
AND($H$2=Data!$A$7,$K$2=Data!$A$2),SUMIFS(Proventos!$H:$H,Proventos!$D:$D,"&gt;="&amp;CONCATENATE($L$6,"/",B58),Proventos!$D:$D,"&lt;"&amp;CONCATENATE($M$6,"/",B58),Proventos!$J:$J,"="&amp;$H$2),
AND($H$2=Data!$A$8,$K$2=Data!$A$2),SUMIFS(Proventos!$H:$H,Proventos!$D:$D,"&gt;="&amp;CONCATENATE($L$6,"/",B58),Proventos!$D:$D,"&lt;"&amp;CONCATENATE($M$6,"/",B58),Proventos!$J:$J,"="&amp;$H$2),
AND($H$2=Data!$A$9,$K$2=Data!$A$2),SUMIFS(Proventos!$H:$H,Proventos!$D:$D,"&gt;="&amp;CONCATENATE($L$6,"/",B58),Proventos!$D:$D,"&lt;"&amp;CONCATENATE($M$6,"/",B58),Proventos!$J:$J,"="&amp;$H$2),
AND($H$2=Data!$A$10,$K$2=Data!$A$2),SUMIFS(Proventos!$H:$H,Proventos!$D:$D,"&gt;="&amp;CONCATENATE($L$6,"/",B58),Proventos!$D:$D,"&lt;"&amp;CONCATENATE($M$6,"/",B58),Proventos!$J:$J,"="&amp;$H$2),
AND($H$2=Data!$A$11,$K$2=Data!$A$2),SUMIFS(Proventos!$H:$H,Proventos!$D:$D,"&gt;="&amp;CONCATENATE($L$6,"/",B58),Proventos!$D:$D,"&lt;"&amp;CONCATENATE($M$6,"/",B58),Proventos!$J:$J,"="&amp;$H$2),
$K$2=Data!$A$2,SUMIFS(Proventos!$H:$H,Proventos!$D:$D,"&gt;="&amp;CONCATENATE($L$6,"/",B58),Proventos!$D:$D,"&lt;"&amp;CONCATENATE($M$6,"/",B58)),
$K$2&lt;&gt;Data!$A$2,SUMIFS(Proventos!$H:$H,Proventos!$D:$D,"&gt;="&amp;CONCATENATE($L$6,"/",B58),Proventos!$D:$D,"&lt;"&amp;CONCATENATE($M$6,"/",B58),Proventos!$A:$A,"="&amp;$K$2))</f>
        <v>0</v>
      </c>
      <c r="M58" s="245">
        <f>IFS(
AND($H$2=Data!$A$3,$K$2=Data!$A$2),SUMIFS(Proventos!$H:$H,Proventos!$D:$D,"&gt;="&amp;CONCATENATE($M$6,"/",B58),Proventos!$D:$D,"&lt;"&amp;CONCATENATE($N$6,"/",B58),Proventos!$J:$J,"="&amp;$H$2),
AND($H$2=Data!$A$4,$K$2=Data!$A$2),SUMIFS(Proventos!$H:$H,Proventos!$D:$D,"&gt;="&amp;CONCATENATE($M$6,"/",B58),Proventos!$D:$D,"&lt;"&amp;CONCATENATE($N$6,"/",B58),Proventos!$J:$J,"="&amp;$H$2),
AND($H$2=Data!$A$5,$K$2=Data!$A$2),SUMIFS(Proventos!$H:$H,Proventos!$D:$D,"&gt;="&amp;CONCATENATE($M$6,"/",B58),Proventos!$D:$D,"&lt;"&amp;CONCATENATE($N$6,"/",B58),Proventos!$J:$J,"="&amp;$H$2),
AND($H$2=Data!$A$6,$K$2=Data!$A$2),SUMIFS(Proventos!$H:$H,Proventos!$D:$D,"&gt;="&amp;CONCATENATE($M$6,"/",B58),Proventos!$D:$D,"&lt;"&amp;CONCATENATE($N$6,"/",B58),Proventos!$J:$J,"="&amp;$H$2),
AND($H$2=Data!$A$7,$K$2=Data!$A$2),SUMIFS(Proventos!$H:$H,Proventos!$D:$D,"&gt;="&amp;CONCATENATE($M$6,"/",B58),Proventos!$D:$D,"&lt;"&amp;CONCATENATE($N$6,"/",B58),Proventos!$J:$J,"="&amp;$H$2),
AND($H$2=Data!$A$8,$K$2=Data!$A$2),SUMIFS(Proventos!$H:$H,Proventos!$D:$D,"&gt;="&amp;CONCATENATE($M$6,"/",B58),Proventos!$D:$D,"&lt;"&amp;CONCATENATE($N$6,"/",B58),Proventos!$J:$J,"="&amp;$H$2),
AND($H$2=Data!$A$9,$K$2=Data!$A$2),SUMIFS(Proventos!$H:$H,Proventos!$D:$D,"&gt;="&amp;CONCATENATE($M$6,"/",B58),Proventos!$D:$D,"&lt;"&amp;CONCATENATE($N$6,"/",B58),Proventos!$J:$J,"="&amp;$H$2),
AND($H$2=Data!$A$10,$K$2=Data!$A$2),SUMIFS(Proventos!$H:$H,Proventos!$D:$D,"&gt;="&amp;CONCATENATE($M$6,"/",B58),Proventos!$D:$D,"&lt;"&amp;CONCATENATE($N$6,"/",B58),Proventos!$J:$J,"="&amp;$H$2),
AND($H$2=Data!$A$11,$K$2=Data!$A$2),SUMIFS(Proventos!$H:$H,Proventos!$D:$D,"&gt;="&amp;CONCATENATE($M$6,"/",B58),Proventos!$D:$D,"&lt;"&amp;CONCATENATE($N$6,"/",B58),Proventos!$J:$J,"="&amp;$H$2),
$K$2=Data!$A$2,SUMIFS(Proventos!$H:$H,Proventos!$D:$D,"&gt;="&amp;CONCATENATE($M$6,"/",B58),Proventos!$D:$D,"&lt;"&amp;CONCATENATE($N$6,"/",B58)),
$K$2&lt;&gt;Data!$A$2,SUMIFS(Proventos!$H:$H,Proventos!$D:$D,"&gt;="&amp;CONCATENATE($M$6,"/",B58),Proventos!$D:$D,"&lt;"&amp;CONCATENATE($N$6,"/",B58),Proventos!$A:$A,"="&amp;$K$2))</f>
        <v>0</v>
      </c>
      <c r="N58" s="245">
        <f>IFS(
AND($H$2=Data!$A$3,$K$2=Data!$A$2),SUMIFS(Proventos!$H:$H,Proventos!$D:$D,"&gt;="&amp;CONCATENATE($N$6,"/",B58),Proventos!$D:$D,"&lt;"&amp;CONCATENATE($C$6,"/",B59),Proventos!$J:$J,"="&amp;$H$2),
AND($H$2=Data!$A$4,$K$2=Data!$A$2),SUMIFS(Proventos!$H:$H,Proventos!$D:$D,"&gt;="&amp;CONCATENATE($N$6,"/",B58),Proventos!$D:$D,"&lt;"&amp;CONCATENATE($C$6,"/",B59),Proventos!$J:$J,"="&amp;$H$2),
AND($H$2=Data!$A$5,$K$2=Data!$A$2),SUMIFS(Proventos!$H:$H,Proventos!$D:$D,"&gt;="&amp;CONCATENATE($N$6,"/",B58),Proventos!$D:$D,"&lt;"&amp;CONCATENATE($C$6,"/",B59),Proventos!$J:$J,"="&amp;$H$2),
AND($H$2=Data!$A$6,$K$2=Data!$A$2),SUMIFS(Proventos!$H:$H,Proventos!$D:$D,"&gt;="&amp;CONCATENATE($N$6,"/",B58),Proventos!$D:$D,"&lt;"&amp;CONCATENATE($C$6,"/",B59),Proventos!$J:$J,"="&amp;$H$2),
AND($H$2=Data!$A$7,$K$2=Data!$A$2),SUMIFS(Proventos!$H:$H,Proventos!$D:$D,"&gt;="&amp;CONCATENATE($N$6,"/",B58),Proventos!$D:$D,"&lt;"&amp;CONCATENATE($C$6,"/",B59),Proventos!$J:$J,"="&amp;$H$2),
AND($H$2=Data!$A$8,$K$2=Data!$A$2),SUMIFS(Proventos!$H:$H,Proventos!$D:$D,"&gt;="&amp;CONCATENATE($N$6,"/",B58),Proventos!$D:$D,"&lt;"&amp;CONCATENATE($C$6,"/",B59),Proventos!$J:$J,"="&amp;$H$2),
AND($H$2=Data!$A$9,$K$2=Data!$A$2),SUMIFS(Proventos!$H:$H,Proventos!$D:$D,"&gt;="&amp;CONCATENATE($N$6,"/",B58),Proventos!$D:$D,"&lt;"&amp;CONCATENATE($C$6,"/",B59),Proventos!$J:$J,"="&amp;$H$2),
AND($H$2=Data!$A$10,$K$2=Data!$A$2),SUMIFS(Proventos!$H:$H,Proventos!$D:$D,"&gt;="&amp;CONCATENATE($N$6,"/",B58),Proventos!$D:$D,"&lt;"&amp;CONCATENATE($C$6,"/",B59),Proventos!$J:$J,"="&amp;$H$2),
AND($H$2=Data!$A$11,$K$2=Data!$A$2),SUMIFS(Proventos!$H:$H,Proventos!$D:$D,"&gt;="&amp;CONCATENATE($N$6,"/",B58),Proventos!$D:$D,"&lt;"&amp;CONCATENATE($C$6,"/",B59),Proventos!$J:$J,"="&amp;$H$2),
$K$2=Data!$A$2,SUMIFS(Proventos!$H:$H,Proventos!$D:$D,"&gt;="&amp;CONCATENATE($N$6,"/",B58),Proventos!$D:$D,"&lt;"&amp;CONCATENATE($C$6,"/",B59)),
$K$2&lt;&gt;Data!$A$2,SUMIFS(Proventos!$H:$H,Proventos!$D:$D,"&gt;="&amp;CONCATENATE($N$6,"/",B58),Proventos!$D:$D,"&lt;"&amp;CONCATENATE($C$6,"/",B59),Proventos!$A:$A,"="&amp;$K$2))</f>
        <v>0</v>
      </c>
      <c r="O58" s="245"/>
      <c r="P58" s="245">
        <f t="shared" si="1"/>
        <v>0</v>
      </c>
      <c r="Q58" s="245">
        <f t="shared" si="2"/>
        <v>0</v>
      </c>
    </row>
    <row r="59" ht="32.25" customHeight="1">
      <c r="A59" s="230"/>
      <c r="B59" s="244"/>
      <c r="C59" s="245">
        <f>IFS(
AND($H$2=Data!$A$3,$K$2=Data!$A$2),SUMIFS(Proventos!$H:$H,Proventos!$D:$D,"&gt;="&amp;CONCATENATE($C$6,"/",B59),Proventos!$D:$D,"&lt;"&amp;CONCATENATE($D$6,"/",B59),Proventos!$J:$J,"="&amp;$H$2),
AND($H$2=Data!$A$4,$K$2=Data!$A$2),SUMIFS(Proventos!$H:$H,Proventos!$D:$D,"&gt;="&amp;CONCATENATE($C$6,"/",B59),Proventos!$D:$D,"&lt;"&amp;CONCATENATE($D$6,"/",B59),Proventos!$J:$J,"="&amp;$H$2),
AND($H$2=Data!$A$5,$K$2=Data!$A$2),SUMIFS(Proventos!$H:$H,Proventos!$D:$D,"&gt;="&amp;CONCATENATE($C$6,"/",B59),Proventos!$D:$D,"&lt;"&amp;CONCATENATE($D$6,"/",B59),Proventos!$J:$J,"="&amp;$H$2),
AND($H$2=Data!$A$6,$K$2=Data!$A$2),SUMIFS(Proventos!$H:$H,Proventos!$D:$D,"&gt;="&amp;CONCATENATE($C$6,"/",B59),Proventos!$D:$D,"&lt;"&amp;CONCATENATE($D$6,"/",B59),Proventos!$J:$J,"="&amp;$H$2),
AND($H$2=Data!$A$7,$K$2=Data!$A$2),SUMIFS(Proventos!$H:$H,Proventos!$D:$D,"&gt;="&amp;CONCATENATE($C$6,"/",B59),Proventos!$D:$D,"&lt;"&amp;CONCATENATE($D$6,"/",B59),Proventos!$J:$J,"="&amp;$H$2),
AND($H$2=Data!$A$8,$K$2=Data!$A$2),SUMIFS(Proventos!$H:$H,Proventos!$D:$D,"&gt;="&amp;CONCATENATE($C$6,"/",B59),Proventos!$D:$D,"&lt;"&amp;CONCATENATE($D$6,"/",B59),Proventos!$J:$J,"="&amp;$H$2),
AND($H$2=Data!$A$9,$K$2=Data!$A$2),SUMIFS(Proventos!$H:$H,Proventos!$D:$D,"&gt;="&amp;CONCATENATE($C$6,"/",B59),Proventos!$D:$D,"&lt;"&amp;CONCATENATE($D$6,"/",B59),Proventos!$J:$J,"="&amp;$H$2),
AND($H$2=Data!$A$10,$K$2=Data!$A$2),SUMIFS(Proventos!$H:$H,Proventos!$D:$D,"&gt;="&amp;CONCATENATE($C$6,"/",B59),Proventos!$D:$D,"&lt;"&amp;CONCATENATE($D$6,"/",B59),Proventos!$J:$J,"="&amp;$H$2),
AND($H$2=Data!$A$11,$K$2=Data!$A$2),SUMIFS(Proventos!$H:$H,Proventos!$D:$D,"&gt;="&amp;CONCATENATE($C$6,"/",B59),Proventos!$D:$D,"&lt;"&amp;CONCATENATE($D$6,"/",B59),Proventos!$J:$J,"="&amp;$H$2),
$K$2=Data!$A$2,SUMIFS(Proventos!$H:$H,Proventos!$D:$D,"&gt;="&amp;CONCATENATE($C$6,"/",B59),Proventos!$D:$D,"&lt;"&amp;CONCATENATE($D$6,"/",B59)),
$K$2&lt;&gt;Data!$A$2,SUMIFS(Proventos!$H:$H,Proventos!$D:$D,"&gt;="&amp;CONCATENATE($C$6,"/",B59),Proventos!$D:$D,"&lt;"&amp;CONCATENATE($D$6,"/",B59),Proventos!$A:$A,"="&amp;$K$2))</f>
        <v>0</v>
      </c>
      <c r="D59" s="245">
        <f>IFS(
AND($H$2=Data!$A$3,$K$2=Data!$A$2),SUMIFS(Proventos!$H:$H,Proventos!$D:$D,"&gt;="&amp;CONCATENATE($D$6,"/",B59),Proventos!$D:$D,"&lt;"&amp;CONCATENATE($E$6,"/",B59),Proventos!$J:$J,"="&amp;$H$2),
AND($H$2=Data!$A$4,$K$2=Data!$A$2),SUMIFS(Proventos!$H:$H,Proventos!$D:$D,"&gt;="&amp;CONCATENATE($D$6,"/",B59),Proventos!$D:$D,"&lt;"&amp;CONCATENATE($E$6,"/",B59),Proventos!$J:$J,"="&amp;$H$2),
AND($H$2=Data!$A$5,$K$2=Data!$A$2),SUMIFS(Proventos!$H:$H,Proventos!$D:$D,"&gt;="&amp;CONCATENATE($D$6,"/",B59),Proventos!$D:$D,"&lt;"&amp;CONCATENATE($E$6,"/",B59),Proventos!$J:$J,"="&amp;$H$2),
AND($H$2=Data!$A$6,$K$2=Data!$A$2),SUMIFS(Proventos!$H:$H,Proventos!$D:$D,"&gt;="&amp;CONCATENATE($D$6,"/",B59),Proventos!$D:$D,"&lt;"&amp;CONCATENATE($E$6,"/",B59),Proventos!$J:$J,"="&amp;$H$2),
AND($H$2=Data!$A$7,$K$2=Data!$A$2),SUMIFS(Proventos!$H:$H,Proventos!$D:$D,"&gt;="&amp;CONCATENATE($D$6,"/",B59),Proventos!$D:$D,"&lt;"&amp;CONCATENATE($E$6,"/",B59),Proventos!$J:$J,"="&amp;$H$2),
AND($H$2=Data!$A$8,$K$2=Data!$A$2),SUMIFS(Proventos!$H:$H,Proventos!$D:$D,"&gt;="&amp;CONCATENATE($D$6,"/",B59),Proventos!$D:$D,"&lt;"&amp;CONCATENATE($E$6,"/",B59),Proventos!$J:$J,"="&amp;$H$2),
AND($H$2=Data!$A$9,$K$2=Data!$A$2),SUMIFS(Proventos!$H:$H,Proventos!$D:$D,"&gt;="&amp;CONCATENATE($D$6,"/",B59),Proventos!$D:$D,"&lt;"&amp;CONCATENATE($E$6,"/",B59),Proventos!$J:$J,"="&amp;$H$2),
AND($H$2=Data!$A$10,$K$2=Data!$A$2),SUMIFS(Proventos!$H:$H,Proventos!$D:$D,"&gt;="&amp;CONCATENATE($D$6,"/",B59),Proventos!$D:$D,"&lt;"&amp;CONCATENATE($E$6,"/",B59),Proventos!$J:$J,"="&amp;$H$2),
AND($H$2=Data!$A$11,$K$2=Data!$A$2),SUMIFS(Proventos!$H:$H,Proventos!$D:$D,"&gt;="&amp;CONCATENATE($D$6,"/",B59),Proventos!$D:$D,"&lt;"&amp;CONCATENATE($E$6,"/",B59),Proventos!$J:$J,"="&amp;$H$2),
$K$2=Data!$A$2,SUMIFS(Proventos!$H:$H,Proventos!$D:$D,"&gt;="&amp;CONCATENATE($D$6,"/",B59),Proventos!$D:$D,"&lt;"&amp;CONCATENATE($E$6,"/",B59)),
$K$2&lt;&gt;Data!$A$2,SUMIFS(Proventos!$H:$H,Proventos!$D:$D,"&gt;="&amp;CONCATENATE($D$6,"/",B59),Proventos!$D:$D,"&lt;"&amp;CONCATENATE($E$6,"/",B59),Proventos!$A:$A,"="&amp;$K$2))</f>
        <v>0</v>
      </c>
      <c r="E59" s="245">
        <f>IFS(
AND($H$2=Data!$A$3,$K$2=Data!$A$2),SUMIFS(Proventos!$H:$H,Proventos!$D:$D,"&gt;="&amp;CONCATENATE($E$6,"/",B59),Proventos!$D:$D,"&lt;"&amp;CONCATENATE($F$6,"/",B59),Proventos!$J:$J,"="&amp;$H$2),
AND($H$2=Data!$A$4,$K$2=Data!$A$2),SUMIFS(Proventos!$H:$H,Proventos!$D:$D,"&gt;="&amp;CONCATENATE($E$6,"/",B59),Proventos!$D:$D,"&lt;"&amp;CONCATENATE($F$6,"/",B59),Proventos!$J:$J,"="&amp;$H$2),
AND($H$2=Data!$A$5,$K$2=Data!$A$2),SUMIFS(Proventos!$H:$H,Proventos!$D:$D,"&gt;="&amp;CONCATENATE($E$6,"/",B59),Proventos!$D:$D,"&lt;"&amp;CONCATENATE($F$6,"/",B59),Proventos!$J:$J,"="&amp;$H$2),
AND($H$2=Data!$A$6,$K$2=Data!$A$2),SUMIFS(Proventos!$H:$H,Proventos!$D:$D,"&gt;="&amp;CONCATENATE($E$6,"/",B59),Proventos!$D:$D,"&lt;"&amp;CONCATENATE($F$6,"/",B59),Proventos!$J:$J,"="&amp;$H$2),
AND($H$2=Data!$A$7,$K$2=Data!$A$2),SUMIFS(Proventos!$H:$H,Proventos!$D:$D,"&gt;="&amp;CONCATENATE($E$6,"/",B59),Proventos!$D:$D,"&lt;"&amp;CONCATENATE($F$6,"/",B59),Proventos!$J:$J,"="&amp;$H$2),
AND($H$2=Data!$A$8,$K$2=Data!$A$2),SUMIFS(Proventos!$H:$H,Proventos!$D:$D,"&gt;="&amp;CONCATENATE($E$6,"/",B59),Proventos!$D:$D,"&lt;"&amp;CONCATENATE($F$6,"/",B59),Proventos!$J:$J,"="&amp;$H$2),
AND($H$2=Data!$A$9,$K$2=Data!$A$2),SUMIFS(Proventos!$H:$H,Proventos!$D:$D,"&gt;="&amp;CONCATENATE($E$6,"/",B59),Proventos!$D:$D,"&lt;"&amp;CONCATENATE($F$6,"/",B59),Proventos!$J:$J,"="&amp;$H$2),
AND($H$2=Data!$A$10,$K$2=Data!$A$2),SUMIFS(Proventos!$H:$H,Proventos!$D:$D,"&gt;="&amp;CONCATENATE($E$6,"/",B59),Proventos!$D:$D,"&lt;"&amp;CONCATENATE($F$6,"/",B59),Proventos!$J:$J,"="&amp;$H$2),
AND($H$2=Data!$A$11,$K$2=Data!$A$2),SUMIFS(Proventos!$H:$H,Proventos!$D:$D,"&gt;="&amp;CONCATENATE($E$6,"/",B59),Proventos!$D:$D,"&lt;"&amp;CONCATENATE($F$6,"/",B59),Proventos!$J:$J,"="&amp;$H$2),
$K$2=Data!$A$2,SUMIFS(Proventos!$H:$H,Proventos!$D:$D,"&gt;="&amp;CONCATENATE($E$6,"/",B59),Proventos!$D:$D,"&lt;"&amp;CONCATENATE($F$6,"/",B59)),
$K$2&lt;&gt;Data!$A$2,SUMIFS(Proventos!$H:$H,Proventos!$D:$D,"&gt;="&amp;CONCATENATE($E$6,"/",B59),Proventos!$D:$D,"&lt;"&amp;CONCATENATE($F$6,"/",B59),Proventos!$A:$A,"="&amp;$K$2))</f>
        <v>0</v>
      </c>
      <c r="F59" s="245">
        <f>IFS(
AND($H$2=Data!$A$3,$K$2=Data!$A$2),SUMIFS(Proventos!$H:$H,Proventos!$D:$D,"&gt;="&amp;CONCATENATE($F$6,"/",B59),Proventos!$D:$D,"&lt;"&amp;CONCATENATE($G$6,"/",B59),Proventos!$J:$J,"="&amp;$H$2),
AND($H$2=Data!$A$4,$K$2=Data!$A$2),SUMIFS(Proventos!$H:$H,Proventos!$D:$D,"&gt;="&amp;CONCATENATE($F$6,"/",B59),Proventos!$D:$D,"&lt;"&amp;CONCATENATE($G$6,"/",B59),Proventos!$J:$J,"="&amp;$H$2),
AND($H$2=Data!$A$5,$K$2=Data!$A$2),SUMIFS(Proventos!$H:$H,Proventos!$D:$D,"&gt;="&amp;CONCATENATE($F$6,"/",B59),Proventos!$D:$D,"&lt;"&amp;CONCATENATE($G$6,"/",B59),Proventos!$J:$J,"="&amp;$H$2),
AND($H$2=Data!$A$6,$K$2=Data!$A$2),SUMIFS(Proventos!$H:$H,Proventos!$D:$D,"&gt;="&amp;CONCATENATE($F$6,"/",B59),Proventos!$D:$D,"&lt;"&amp;CONCATENATE($G$6,"/",B59),Proventos!$J:$J,"="&amp;$H$2),
AND($H$2=Data!$A$7,$K$2=Data!$A$2),SUMIFS(Proventos!$H:$H,Proventos!$D:$D,"&gt;="&amp;CONCATENATE($F$6,"/",B59),Proventos!$D:$D,"&lt;"&amp;CONCATENATE($G$6,"/",B59),Proventos!$J:$J,"="&amp;$H$2),
AND($H$2=Data!$A$8,$K$2=Data!$A$2),SUMIFS(Proventos!$H:$H,Proventos!$D:$D,"&gt;="&amp;CONCATENATE($F$6,"/",B59),Proventos!$D:$D,"&lt;"&amp;CONCATENATE($G$6,"/",B59),Proventos!$J:$J,"="&amp;$H$2),
AND($H$2=Data!$A$9,$K$2=Data!$A$2),SUMIFS(Proventos!$H:$H,Proventos!$D:$D,"&gt;="&amp;CONCATENATE($F$6,"/",B59),Proventos!$D:$D,"&lt;"&amp;CONCATENATE($G$6,"/",B59),Proventos!$J:$J,"="&amp;$H$2),
AND($H$2=Data!$A$10,$K$2=Data!$A$2),SUMIFS(Proventos!$H:$H,Proventos!$D:$D,"&gt;="&amp;CONCATENATE($F$6,"/",B59),Proventos!$D:$D,"&lt;"&amp;CONCATENATE($G$6,"/",B59),Proventos!$J:$J,"="&amp;$H$2),
AND($H$2=Data!$A$11,$K$2=Data!$A$2),SUMIFS(Proventos!$H:$H,Proventos!$D:$D,"&gt;="&amp;CONCATENATE($F$6,"/",B59),Proventos!$D:$D,"&lt;"&amp;CONCATENATE($G$6,"/",B59),Proventos!$J:$J,"="&amp;$H$2),
$K$2=Data!$A$2,SUMIFS(Proventos!$H:$H,Proventos!$D:$D,"&gt;="&amp;CONCATENATE($F$6,"/",B59),Proventos!$D:$D,"&lt;"&amp;CONCATENATE($G$6,"/",B59)),
$K$2&lt;&gt;Data!$A$2,SUMIFS(Proventos!$H:$H,Proventos!$D:$D,"&gt;="&amp;CONCATENATE($F$6,"/",B59),Proventos!$D:$D,"&lt;"&amp;CONCATENATE($G$6,"/",B59),Proventos!$A:$A,"="&amp;$K$2))</f>
        <v>0</v>
      </c>
      <c r="G59" s="245">
        <f>IFS(
AND($H$2=Data!$A$3,$K$2=Data!$A$2),SUMIFS(Proventos!$H:$H,Proventos!$D:$D,"&gt;="&amp;CONCATENATE($G$6,"/",B59),Proventos!$D:$D,"&lt;"&amp;CONCATENATE($H$6,"/",B59),Proventos!$J:$J,"="&amp;$H$2),
AND($H$2=Data!$A$4,$K$2=Data!$A$2),SUMIFS(Proventos!$H:$H,Proventos!$D:$D,"&gt;="&amp;CONCATENATE($G$6,"/",B59),Proventos!$D:$D,"&lt;"&amp;CONCATENATE($H$6,"/",B59),Proventos!$J:$J,"="&amp;$H$2),
AND($H$2=Data!$A$5,$K$2=Data!$A$2),SUMIFS(Proventos!$H:$H,Proventos!$D:$D,"&gt;="&amp;CONCATENATE($G$6,"/",B59),Proventos!$D:$D,"&lt;"&amp;CONCATENATE($H$6,"/",B59),Proventos!$J:$J,"="&amp;$H$2),
AND($H$2=Data!$A$6,$K$2=Data!$A$2),SUMIFS(Proventos!$H:$H,Proventos!$D:$D,"&gt;="&amp;CONCATENATE($G$6,"/",B59),Proventos!$D:$D,"&lt;"&amp;CONCATENATE($H$6,"/",B59),Proventos!$J:$J,"="&amp;$H$2),
AND($H$2=Data!$A$7,$K$2=Data!$A$2),SUMIFS(Proventos!$H:$H,Proventos!$D:$D,"&gt;="&amp;CONCATENATE($G$6,"/",B59),Proventos!$D:$D,"&lt;"&amp;CONCATENATE($H$6,"/",B59),Proventos!$J:$J,"="&amp;$H$2),
AND($H$2=Data!$A$8,$K$2=Data!$A$2),SUMIFS(Proventos!$H:$H,Proventos!$D:$D,"&gt;="&amp;CONCATENATE($G$6,"/",B59),Proventos!$D:$D,"&lt;"&amp;CONCATENATE($H$6,"/",B59),Proventos!$J:$J,"="&amp;$H$2),
AND($H$2=Data!$A$9,$K$2=Data!$A$2),SUMIFS(Proventos!$H:$H,Proventos!$D:$D,"&gt;="&amp;CONCATENATE($G$6,"/",B59),Proventos!$D:$D,"&lt;"&amp;CONCATENATE($H$6,"/",B59),Proventos!$J:$J,"="&amp;$H$2),
AND($H$2=Data!$A$10,$K$2=Data!$A$2),SUMIFS(Proventos!$H:$H,Proventos!$D:$D,"&gt;="&amp;CONCATENATE($G$6,"/",B59),Proventos!$D:$D,"&lt;"&amp;CONCATENATE($H$6,"/",B59),Proventos!$J:$J,"="&amp;$H$2),
AND($H$2=Data!$A$11,$K$2=Data!$A$2),SUMIFS(Proventos!$H:$H,Proventos!$D:$D,"&gt;="&amp;CONCATENATE($G$6,"/",B59),Proventos!$D:$D,"&lt;"&amp;CONCATENATE($H$6,"/",B59),Proventos!$J:$J,"="&amp;$H$2),
$K$2=Data!$A$2,SUMIFS(Proventos!$H:$H,Proventos!$D:$D,"&gt;="&amp;CONCATENATE($G$6,"/",B59),Proventos!$D:$D,"&lt;"&amp;CONCATENATE($H$6,"/",B59)),
$K$2&lt;&gt;Data!$A$2,SUMIFS(Proventos!$H:$H,Proventos!$D:$D,"&gt;="&amp;CONCATENATE($G$6,"/",B59),Proventos!$D:$D,"&lt;"&amp;CONCATENATE($H$6,"/",B59),Proventos!$A:$A,"="&amp;$K$2))</f>
        <v>0</v>
      </c>
      <c r="H59" s="245">
        <f>IFS(
AND($H$2=Data!$A$3,$K$2=Data!$A$2),SUMIFS(Proventos!$H:$H,Proventos!$D:$D,"&gt;="&amp;CONCATENATE($H$6,"/",B59),Proventos!$D:$D,"&lt;"&amp;CONCATENATE($I$6,"/",B59),Proventos!$J:$J,"="&amp;$H$2),
AND($H$2=Data!$A$4,$K$2=Data!$A$2),SUMIFS(Proventos!$H:$H,Proventos!$D:$D,"&gt;="&amp;CONCATENATE($H$6,"/",B59),Proventos!$D:$D,"&lt;"&amp;CONCATENATE($I$6,"/",B59),Proventos!$J:$J,"="&amp;$H$2),
AND($H$2=Data!$A$5,$K$2=Data!$A$2),SUMIFS(Proventos!$H:$H,Proventos!$D:$D,"&gt;="&amp;CONCATENATE($H$6,"/",B59),Proventos!$D:$D,"&lt;"&amp;CONCATENATE($I$6,"/",B59),Proventos!$J:$J,"="&amp;$H$2),
AND($H$2=Data!$A$6,$K$2=Data!$A$2),SUMIFS(Proventos!$H:$H,Proventos!$D:$D,"&gt;="&amp;CONCATENATE($H$6,"/",B59),Proventos!$D:$D,"&lt;"&amp;CONCATENATE($I$6,"/",B59),Proventos!$J:$J,"="&amp;$H$2),
AND($H$2=Data!$A$7,$K$2=Data!$A$2),SUMIFS(Proventos!$H:$H,Proventos!$D:$D,"&gt;="&amp;CONCATENATE($H$6,"/",B59),Proventos!$D:$D,"&lt;"&amp;CONCATENATE($I$6,"/",B59),Proventos!$J:$J,"="&amp;$H$2),
AND($H$2=Data!$A$8,$K$2=Data!$A$2),SUMIFS(Proventos!$H:$H,Proventos!$D:$D,"&gt;="&amp;CONCATENATE($H$6,"/",B59),Proventos!$D:$D,"&lt;"&amp;CONCATENATE($I$6,"/",B59),Proventos!$J:$J,"="&amp;$H$2),
AND($H$2=Data!$A$9,$K$2=Data!$A$2),SUMIFS(Proventos!$H:$H,Proventos!$D:$D,"&gt;="&amp;CONCATENATE($H$6,"/",B59),Proventos!$D:$D,"&lt;"&amp;CONCATENATE($I$6,"/",B59),Proventos!$J:$J,"="&amp;$H$2),
AND($H$2=Data!$A$10,$K$2=Data!$A$2),SUMIFS(Proventos!$H:$H,Proventos!$D:$D,"&gt;="&amp;CONCATENATE($H$6,"/",B59),Proventos!$D:$D,"&lt;"&amp;CONCATENATE($I$6,"/",B59),Proventos!$J:$J,"="&amp;$H$2),
AND($H$2=Data!$A$11,$K$2=Data!$A$2),SUMIFS(Proventos!$H:$H,Proventos!$D:$D,"&gt;="&amp;CONCATENATE($H$6,"/",B59),Proventos!$D:$D,"&lt;"&amp;CONCATENATE($I$6,"/",B59),Proventos!$J:$J,"="&amp;$H$2),
$K$2=Data!$A$2,SUMIFS(Proventos!$H:$H,Proventos!$D:$D,"&gt;="&amp;CONCATENATE($H$6,"/",B59),Proventos!$D:$D,"&lt;"&amp;CONCATENATE($I$6,"/",B59)),
$K$2&lt;&gt;Data!$A$2,SUMIFS(Proventos!$H:$H,Proventos!$D:$D,"&gt;="&amp;CONCATENATE($H$6,"/",B59),Proventos!$D:$D,"&lt;"&amp;CONCATENATE($I$6,"/",B59),Proventos!$A:$A,"="&amp;$K$2))</f>
        <v>0</v>
      </c>
      <c r="I59" s="245">
        <f>IFS(
AND($H$2=Data!$A$3,$K$2=Data!$A$2),SUMIFS(Proventos!$H:$H,Proventos!$D:$D,"&gt;="&amp;CONCATENATE($I$6,"/",B59),Proventos!$D:$D,"&lt;"&amp;CONCATENATE($J$6,"/",B59),Proventos!$J:$J,"="&amp;$H$2),
AND($H$2=Data!$A$4,$K$2=Data!$A$2),SUMIFS(Proventos!$H:$H,Proventos!$D:$D,"&gt;="&amp;CONCATENATE($I$6,"/",B59),Proventos!$D:$D,"&lt;"&amp;CONCATENATE($J$6,"/",B59),Proventos!$J:$J,"="&amp;$H$2),
AND($H$2=Data!$A$5,$K$2=Data!$A$2),SUMIFS(Proventos!$H:$H,Proventos!$D:$D,"&gt;="&amp;CONCATENATE($I$6,"/",B59),Proventos!$D:$D,"&lt;"&amp;CONCATENATE($J$6,"/",B59),Proventos!$J:$J,"="&amp;$H$2),
AND($H$2=Data!$A$6,$K$2=Data!$A$2),SUMIFS(Proventos!$H:$H,Proventos!$D:$D,"&gt;="&amp;CONCATENATE($I$6,"/",B59),Proventos!$D:$D,"&lt;"&amp;CONCATENATE($J$6,"/",B59),Proventos!$J:$J,"="&amp;$H$2),
AND($H$2=Data!$A$7,$K$2=Data!$A$2),SUMIFS(Proventos!$H:$H,Proventos!$D:$D,"&gt;="&amp;CONCATENATE($I$6,"/",B59),Proventos!$D:$D,"&lt;"&amp;CONCATENATE($J$6,"/",B59),Proventos!$J:$J,"="&amp;$H$2),
AND($H$2=Data!$A$8,$K$2=Data!$A$2),SUMIFS(Proventos!$H:$H,Proventos!$D:$D,"&gt;="&amp;CONCATENATE($I$6,"/",B59),Proventos!$D:$D,"&lt;"&amp;CONCATENATE($J$6,"/",B59),Proventos!$J:$J,"="&amp;$H$2),
AND($H$2=Data!$A$9,$K$2=Data!$A$2),SUMIFS(Proventos!$H:$H,Proventos!$D:$D,"&gt;="&amp;CONCATENATE($I$6,"/",B59),Proventos!$D:$D,"&lt;"&amp;CONCATENATE($J$6,"/",B59),Proventos!$J:$J,"="&amp;$H$2),
AND($H$2=Data!$A$10,$K$2=Data!$A$2),SUMIFS(Proventos!$H:$H,Proventos!$D:$D,"&gt;="&amp;CONCATENATE($I$6,"/",B59),Proventos!$D:$D,"&lt;"&amp;CONCATENATE($J$6,"/",B59),Proventos!$J:$J,"="&amp;$H$2),
AND($H$2=Data!$A$11,$K$2=Data!$A$2),SUMIFS(Proventos!$H:$H,Proventos!$D:$D,"&gt;="&amp;CONCATENATE($I$6,"/",B59),Proventos!$D:$D,"&lt;"&amp;CONCATENATE($J$6,"/",B59),Proventos!$J:$J,"="&amp;$H$2),
$K$2=Data!$A$2,SUMIFS(Proventos!$H:$H,Proventos!$D:$D,"&gt;="&amp;CONCATENATE($I$6,"/",B59),Proventos!$D:$D,"&lt;"&amp;CONCATENATE($J$6,"/",B59)),
$K$2&lt;&gt;Data!$A$2,SUMIFS(Proventos!$H:$H,Proventos!$D:$D,"&gt;="&amp;CONCATENATE($I$6,"/",B59),Proventos!$D:$D,"&lt;"&amp;CONCATENATE($J$6,"/",B59),Proventos!$A:$A,"="&amp;$K$2))</f>
        <v>0</v>
      </c>
      <c r="J59" s="245">
        <f>IFS(
AND($H$2=Data!$A$3,$K$2=Data!$A$2),SUMIFS(Proventos!$H:$H,Proventos!$D:$D,"&gt;="&amp;CONCATENATE($J$6,"/",B59),Proventos!$D:$D,"&lt;"&amp;CONCATENATE($K$6,"/",B59),Proventos!$J:$J,"="&amp;$H$2),
AND($H$2=Data!$A$4,$K$2=Data!$A$2),SUMIFS(Proventos!$H:$H,Proventos!$D:$D,"&gt;="&amp;CONCATENATE($J$6,"/",B59),Proventos!$D:$D,"&lt;"&amp;CONCATENATE($K$6,"/",B59),Proventos!$J:$J,"="&amp;$H$2),
AND($H$2=Data!$A$5,$K$2=Data!$A$2),SUMIFS(Proventos!$H:$H,Proventos!$D:$D,"&gt;="&amp;CONCATENATE($J$6,"/",B59),Proventos!$D:$D,"&lt;"&amp;CONCATENATE($K$6,"/",B59),Proventos!$J:$J,"="&amp;$H$2),
AND($H$2=Data!$A$6,$K$2=Data!$A$2),SUMIFS(Proventos!$H:$H,Proventos!$D:$D,"&gt;="&amp;CONCATENATE($J$6,"/",B59),Proventos!$D:$D,"&lt;"&amp;CONCATENATE($K$6,"/",B59),Proventos!$J:$J,"="&amp;$H$2),
AND($H$2=Data!$A$7,$K$2=Data!$A$2),SUMIFS(Proventos!$H:$H,Proventos!$D:$D,"&gt;="&amp;CONCATENATE($J$6,"/",B59),Proventos!$D:$D,"&lt;"&amp;CONCATENATE($K$6,"/",B59),Proventos!$J:$J,"="&amp;$H$2),
AND($H$2=Data!$A$8,$K$2=Data!$A$2),SUMIFS(Proventos!$H:$H,Proventos!$D:$D,"&gt;="&amp;CONCATENATE($J$6,"/",B59),Proventos!$D:$D,"&lt;"&amp;CONCATENATE($K$6,"/",B59),Proventos!$J:$J,"="&amp;$H$2),
AND($H$2=Data!$A$9,$K$2=Data!$A$2),SUMIFS(Proventos!$H:$H,Proventos!$D:$D,"&gt;="&amp;CONCATENATE($J$6,"/",B59),Proventos!$D:$D,"&lt;"&amp;CONCATENATE($K$6,"/",B59),Proventos!$J:$J,"="&amp;$H$2),
AND($H$2=Data!$A$10,$K$2=Data!$A$2),SUMIFS(Proventos!$H:$H,Proventos!$D:$D,"&gt;="&amp;CONCATENATE($J$6,"/",B59),Proventos!$D:$D,"&lt;"&amp;CONCATENATE($K$6,"/",B59),Proventos!$J:$J,"="&amp;$H$2),
AND($H$2=Data!$A$11,$K$2=Data!$A$2),SUMIFS(Proventos!$H:$H,Proventos!$D:$D,"&gt;="&amp;CONCATENATE($J$6,"/",B59),Proventos!$D:$D,"&lt;"&amp;CONCATENATE($K$6,"/",B59),Proventos!$J:$J,"="&amp;$H$2),
$K$2=Data!$A$2,SUMIFS(Proventos!$H:$H,Proventos!$D:$D,"&gt;="&amp;CONCATENATE($J$6,"/",B59),Proventos!$D:$D,"&lt;"&amp;CONCATENATE($K$6,"/",B59)),
$K$2&lt;&gt;Data!$A$2,SUMIFS(Proventos!$H:$H,Proventos!$D:$D,"&gt;="&amp;CONCATENATE($J$6,"/",B59),Proventos!$D:$D,"&lt;"&amp;CONCATENATE($K$6,"/",B59),Proventos!$A:$A,"="&amp;$K$2))</f>
        <v>0</v>
      </c>
      <c r="K59" s="245">
        <f>IFS(
AND($H$2=Data!$A$3,$K$2=Data!$A$2),SUMIFS(Proventos!$H:$H,Proventos!$D:$D,"&gt;="&amp;CONCATENATE($K$6,"/",B59),Proventos!$D:$D,"&lt;"&amp;CONCATENATE($L$6,"/",B59),Proventos!$J:$J,"="&amp;$H$2),
AND($H$2=Data!$A$4,$K$2=Data!$A$2),SUMIFS(Proventos!$H:$H,Proventos!$D:$D,"&gt;="&amp;CONCATENATE($K$6,"/",B59),Proventos!$D:$D,"&lt;"&amp;CONCATENATE($L$6,"/",B59),Proventos!$J:$J,"="&amp;$H$2),
AND($H$2=Data!$A$5,$K$2=Data!$A$2),SUMIFS(Proventos!$H:$H,Proventos!$D:$D,"&gt;="&amp;CONCATENATE($K$6,"/",B59),Proventos!$D:$D,"&lt;"&amp;CONCATENATE($L$6,"/",B59),Proventos!$J:$J,"="&amp;$H$2),
AND($H$2=Data!$A$6,$K$2=Data!$A$2),SUMIFS(Proventos!$H:$H,Proventos!$D:$D,"&gt;="&amp;CONCATENATE($K$6,"/",B59),Proventos!$D:$D,"&lt;"&amp;CONCATENATE($L$6,"/",B59),Proventos!$J:$J,"="&amp;$H$2),
AND($H$2=Data!$A$7,$K$2=Data!$A$2),SUMIFS(Proventos!$H:$H,Proventos!$D:$D,"&gt;="&amp;CONCATENATE($K$6,"/",B59),Proventos!$D:$D,"&lt;"&amp;CONCATENATE($L$6,"/",B59),Proventos!$J:$J,"="&amp;$H$2),
AND($H$2=Data!$A$8,$K$2=Data!$A$2),SUMIFS(Proventos!$H:$H,Proventos!$D:$D,"&gt;="&amp;CONCATENATE($K$6,"/",B59),Proventos!$D:$D,"&lt;"&amp;CONCATENATE($L$6,"/",B59),Proventos!$J:$J,"="&amp;$H$2),
AND($H$2=Data!$A$9,$K$2=Data!$A$2),SUMIFS(Proventos!$H:$H,Proventos!$D:$D,"&gt;="&amp;CONCATENATE($K$6,"/",B59),Proventos!$D:$D,"&lt;"&amp;CONCATENATE($L$6,"/",B59),Proventos!$J:$J,"="&amp;$H$2),
AND($H$2=Data!$A$10,$K$2=Data!$A$2),SUMIFS(Proventos!$H:$H,Proventos!$D:$D,"&gt;="&amp;CONCATENATE($K$6,"/",B59),Proventos!$D:$D,"&lt;"&amp;CONCATENATE($L$6,"/",B59),Proventos!$J:$J,"="&amp;$H$2),
AND($H$2=Data!$A$11,$K$2=Data!$A$2),SUMIFS(Proventos!$H:$H,Proventos!$D:$D,"&gt;="&amp;CONCATENATE($K$6,"/",B59),Proventos!$D:$D,"&lt;"&amp;CONCATENATE($L$6,"/",B59),Proventos!$J:$J,"="&amp;$H$2),
$K$2=Data!$A$2,SUMIFS(Proventos!$H:$H,Proventos!$D:$D,"&gt;="&amp;CONCATENATE($K$6,"/",B59),Proventos!$D:$D,"&lt;"&amp;CONCATENATE($L$6,"/",B59)),
$K$2&lt;&gt;Data!$A$2,SUMIFS(Proventos!$H:$H,Proventos!$D:$D,"&gt;="&amp;CONCATENATE($K$6,"/",B59),Proventos!$D:$D,"&lt;"&amp;CONCATENATE($L$6,"/",B59),Proventos!$A:$A,"="&amp;$K$2))</f>
        <v>0</v>
      </c>
      <c r="L59" s="245">
        <f>IFS(
AND($H$2=Data!$A$3,$K$2=Data!$A$2),SUMIFS(Proventos!$H:$H,Proventos!$D:$D,"&gt;="&amp;CONCATENATE($L$6,"/",B59),Proventos!$D:$D,"&lt;"&amp;CONCATENATE($M$6,"/",B59),Proventos!$J:$J,"="&amp;$H$2),
AND($H$2=Data!$A$4,$K$2=Data!$A$2),SUMIFS(Proventos!$H:$H,Proventos!$D:$D,"&gt;="&amp;CONCATENATE($L$6,"/",B59),Proventos!$D:$D,"&lt;"&amp;CONCATENATE($M$6,"/",B59),Proventos!$J:$J,"="&amp;$H$2),
AND($H$2=Data!$A$5,$K$2=Data!$A$2),SUMIFS(Proventos!$H:$H,Proventos!$D:$D,"&gt;="&amp;CONCATENATE($L$6,"/",B59),Proventos!$D:$D,"&lt;"&amp;CONCATENATE($M$6,"/",B59),Proventos!$J:$J,"="&amp;$H$2),
AND($H$2=Data!$A$6,$K$2=Data!$A$2),SUMIFS(Proventos!$H:$H,Proventos!$D:$D,"&gt;="&amp;CONCATENATE($L$6,"/",B59),Proventos!$D:$D,"&lt;"&amp;CONCATENATE($M$6,"/",B59),Proventos!$J:$J,"="&amp;$H$2),
AND($H$2=Data!$A$7,$K$2=Data!$A$2),SUMIFS(Proventos!$H:$H,Proventos!$D:$D,"&gt;="&amp;CONCATENATE($L$6,"/",B59),Proventos!$D:$D,"&lt;"&amp;CONCATENATE($M$6,"/",B59),Proventos!$J:$J,"="&amp;$H$2),
AND($H$2=Data!$A$8,$K$2=Data!$A$2),SUMIFS(Proventos!$H:$H,Proventos!$D:$D,"&gt;="&amp;CONCATENATE($L$6,"/",B59),Proventos!$D:$D,"&lt;"&amp;CONCATENATE($M$6,"/",B59),Proventos!$J:$J,"="&amp;$H$2),
AND($H$2=Data!$A$9,$K$2=Data!$A$2),SUMIFS(Proventos!$H:$H,Proventos!$D:$D,"&gt;="&amp;CONCATENATE($L$6,"/",B59),Proventos!$D:$D,"&lt;"&amp;CONCATENATE($M$6,"/",B59),Proventos!$J:$J,"="&amp;$H$2),
AND($H$2=Data!$A$10,$K$2=Data!$A$2),SUMIFS(Proventos!$H:$H,Proventos!$D:$D,"&gt;="&amp;CONCATENATE($L$6,"/",B59),Proventos!$D:$D,"&lt;"&amp;CONCATENATE($M$6,"/",B59),Proventos!$J:$J,"="&amp;$H$2),
AND($H$2=Data!$A$11,$K$2=Data!$A$2),SUMIFS(Proventos!$H:$H,Proventos!$D:$D,"&gt;="&amp;CONCATENATE($L$6,"/",B59),Proventos!$D:$D,"&lt;"&amp;CONCATENATE($M$6,"/",B59),Proventos!$J:$J,"="&amp;$H$2),
$K$2=Data!$A$2,SUMIFS(Proventos!$H:$H,Proventos!$D:$D,"&gt;="&amp;CONCATENATE($L$6,"/",B59),Proventos!$D:$D,"&lt;"&amp;CONCATENATE($M$6,"/",B59)),
$K$2&lt;&gt;Data!$A$2,SUMIFS(Proventos!$H:$H,Proventos!$D:$D,"&gt;="&amp;CONCATENATE($L$6,"/",B59),Proventos!$D:$D,"&lt;"&amp;CONCATENATE($M$6,"/",B59),Proventos!$A:$A,"="&amp;$K$2))</f>
        <v>0</v>
      </c>
      <c r="M59" s="245">
        <f>IFS(
AND($H$2=Data!$A$3,$K$2=Data!$A$2),SUMIFS(Proventos!$H:$H,Proventos!$D:$D,"&gt;="&amp;CONCATENATE($M$6,"/",B59),Proventos!$D:$D,"&lt;"&amp;CONCATENATE($N$6,"/",B59),Proventos!$J:$J,"="&amp;$H$2),
AND($H$2=Data!$A$4,$K$2=Data!$A$2),SUMIFS(Proventos!$H:$H,Proventos!$D:$D,"&gt;="&amp;CONCATENATE($M$6,"/",B59),Proventos!$D:$D,"&lt;"&amp;CONCATENATE($N$6,"/",B59),Proventos!$J:$J,"="&amp;$H$2),
AND($H$2=Data!$A$5,$K$2=Data!$A$2),SUMIFS(Proventos!$H:$H,Proventos!$D:$D,"&gt;="&amp;CONCATENATE($M$6,"/",B59),Proventos!$D:$D,"&lt;"&amp;CONCATENATE($N$6,"/",B59),Proventos!$J:$J,"="&amp;$H$2),
AND($H$2=Data!$A$6,$K$2=Data!$A$2),SUMIFS(Proventos!$H:$H,Proventos!$D:$D,"&gt;="&amp;CONCATENATE($M$6,"/",B59),Proventos!$D:$D,"&lt;"&amp;CONCATENATE($N$6,"/",B59),Proventos!$J:$J,"="&amp;$H$2),
AND($H$2=Data!$A$7,$K$2=Data!$A$2),SUMIFS(Proventos!$H:$H,Proventos!$D:$D,"&gt;="&amp;CONCATENATE($M$6,"/",B59),Proventos!$D:$D,"&lt;"&amp;CONCATENATE($N$6,"/",B59),Proventos!$J:$J,"="&amp;$H$2),
AND($H$2=Data!$A$8,$K$2=Data!$A$2),SUMIFS(Proventos!$H:$H,Proventos!$D:$D,"&gt;="&amp;CONCATENATE($M$6,"/",B59),Proventos!$D:$D,"&lt;"&amp;CONCATENATE($N$6,"/",B59),Proventos!$J:$J,"="&amp;$H$2),
AND($H$2=Data!$A$9,$K$2=Data!$A$2),SUMIFS(Proventos!$H:$H,Proventos!$D:$D,"&gt;="&amp;CONCATENATE($M$6,"/",B59),Proventos!$D:$D,"&lt;"&amp;CONCATENATE($N$6,"/",B59),Proventos!$J:$J,"="&amp;$H$2),
AND($H$2=Data!$A$10,$K$2=Data!$A$2),SUMIFS(Proventos!$H:$H,Proventos!$D:$D,"&gt;="&amp;CONCATENATE($M$6,"/",B59),Proventos!$D:$D,"&lt;"&amp;CONCATENATE($N$6,"/",B59),Proventos!$J:$J,"="&amp;$H$2),
AND($H$2=Data!$A$11,$K$2=Data!$A$2),SUMIFS(Proventos!$H:$H,Proventos!$D:$D,"&gt;="&amp;CONCATENATE($M$6,"/",B59),Proventos!$D:$D,"&lt;"&amp;CONCATENATE($N$6,"/",B59),Proventos!$J:$J,"="&amp;$H$2),
$K$2=Data!$A$2,SUMIFS(Proventos!$H:$H,Proventos!$D:$D,"&gt;="&amp;CONCATENATE($M$6,"/",B59),Proventos!$D:$D,"&lt;"&amp;CONCATENATE($N$6,"/",B59)),
$K$2&lt;&gt;Data!$A$2,SUMIFS(Proventos!$H:$H,Proventos!$D:$D,"&gt;="&amp;CONCATENATE($M$6,"/",B59),Proventos!$D:$D,"&lt;"&amp;CONCATENATE($N$6,"/",B59),Proventos!$A:$A,"="&amp;$K$2))</f>
        <v>0</v>
      </c>
      <c r="N59" s="245">
        <f>IFS(
AND($H$2=Data!$A$3,$K$2=Data!$A$2),SUMIFS(Proventos!$H:$H,Proventos!$D:$D,"&gt;="&amp;CONCATENATE($N$6,"/",B59),Proventos!$D:$D,"&lt;"&amp;CONCATENATE($C$6,"/",B60),Proventos!$J:$J,"="&amp;$H$2),
AND($H$2=Data!$A$4,$K$2=Data!$A$2),SUMIFS(Proventos!$H:$H,Proventos!$D:$D,"&gt;="&amp;CONCATENATE($N$6,"/",B59),Proventos!$D:$D,"&lt;"&amp;CONCATENATE($C$6,"/",B60),Proventos!$J:$J,"="&amp;$H$2),
AND($H$2=Data!$A$5,$K$2=Data!$A$2),SUMIFS(Proventos!$H:$H,Proventos!$D:$D,"&gt;="&amp;CONCATENATE($N$6,"/",B59),Proventos!$D:$D,"&lt;"&amp;CONCATENATE($C$6,"/",B60),Proventos!$J:$J,"="&amp;$H$2),
AND($H$2=Data!$A$6,$K$2=Data!$A$2),SUMIFS(Proventos!$H:$H,Proventos!$D:$D,"&gt;="&amp;CONCATENATE($N$6,"/",B59),Proventos!$D:$D,"&lt;"&amp;CONCATENATE($C$6,"/",B60),Proventos!$J:$J,"="&amp;$H$2),
AND($H$2=Data!$A$7,$K$2=Data!$A$2),SUMIFS(Proventos!$H:$H,Proventos!$D:$D,"&gt;="&amp;CONCATENATE($N$6,"/",B59),Proventos!$D:$D,"&lt;"&amp;CONCATENATE($C$6,"/",B60),Proventos!$J:$J,"="&amp;$H$2),
AND($H$2=Data!$A$8,$K$2=Data!$A$2),SUMIFS(Proventos!$H:$H,Proventos!$D:$D,"&gt;="&amp;CONCATENATE($N$6,"/",B59),Proventos!$D:$D,"&lt;"&amp;CONCATENATE($C$6,"/",B60),Proventos!$J:$J,"="&amp;$H$2),
AND($H$2=Data!$A$9,$K$2=Data!$A$2),SUMIFS(Proventos!$H:$H,Proventos!$D:$D,"&gt;="&amp;CONCATENATE($N$6,"/",B59),Proventos!$D:$D,"&lt;"&amp;CONCATENATE($C$6,"/",B60),Proventos!$J:$J,"="&amp;$H$2),
AND($H$2=Data!$A$10,$K$2=Data!$A$2),SUMIFS(Proventos!$H:$H,Proventos!$D:$D,"&gt;="&amp;CONCATENATE($N$6,"/",B59),Proventos!$D:$D,"&lt;"&amp;CONCATENATE($C$6,"/",B60),Proventos!$J:$J,"="&amp;$H$2),
AND($H$2=Data!$A$11,$K$2=Data!$A$2),SUMIFS(Proventos!$H:$H,Proventos!$D:$D,"&gt;="&amp;CONCATENATE($N$6,"/",B59),Proventos!$D:$D,"&lt;"&amp;CONCATENATE($C$6,"/",B60),Proventos!$J:$J,"="&amp;$H$2),
$K$2=Data!$A$2,SUMIFS(Proventos!$H:$H,Proventos!$D:$D,"&gt;="&amp;CONCATENATE($N$6,"/",B59),Proventos!$D:$D,"&lt;"&amp;CONCATENATE($C$6,"/",B60)),
$K$2&lt;&gt;Data!$A$2,SUMIFS(Proventos!$H:$H,Proventos!$D:$D,"&gt;="&amp;CONCATENATE($N$6,"/",B59),Proventos!$D:$D,"&lt;"&amp;CONCATENATE($C$6,"/",B60),Proventos!$A:$A,"="&amp;$K$2))</f>
        <v>0</v>
      </c>
      <c r="O59" s="245"/>
      <c r="P59" s="245">
        <f t="shared" si="1"/>
        <v>0</v>
      </c>
      <c r="Q59" s="245">
        <f t="shared" si="2"/>
        <v>0</v>
      </c>
    </row>
    <row r="60" ht="32.25" customHeight="1">
      <c r="A60" s="230"/>
      <c r="B60" s="244"/>
      <c r="C60" s="245">
        <f>IFS(
AND($H$2=Data!$A$3,$K$2=Data!$A$2),SUMIFS(Proventos!$H:$H,Proventos!$D:$D,"&gt;="&amp;CONCATENATE($C$6,"/",B60),Proventos!$D:$D,"&lt;"&amp;CONCATENATE($D$6,"/",B60),Proventos!$J:$J,"="&amp;$H$2),
AND($H$2=Data!$A$4,$K$2=Data!$A$2),SUMIFS(Proventos!$H:$H,Proventos!$D:$D,"&gt;="&amp;CONCATENATE($C$6,"/",B60),Proventos!$D:$D,"&lt;"&amp;CONCATENATE($D$6,"/",B60),Proventos!$J:$J,"="&amp;$H$2),
AND($H$2=Data!$A$5,$K$2=Data!$A$2),SUMIFS(Proventos!$H:$H,Proventos!$D:$D,"&gt;="&amp;CONCATENATE($C$6,"/",B60),Proventos!$D:$D,"&lt;"&amp;CONCATENATE($D$6,"/",B60),Proventos!$J:$J,"="&amp;$H$2),
AND($H$2=Data!$A$6,$K$2=Data!$A$2),SUMIFS(Proventos!$H:$H,Proventos!$D:$D,"&gt;="&amp;CONCATENATE($C$6,"/",B60),Proventos!$D:$D,"&lt;"&amp;CONCATENATE($D$6,"/",B60),Proventos!$J:$J,"="&amp;$H$2),
AND($H$2=Data!$A$7,$K$2=Data!$A$2),SUMIFS(Proventos!$H:$H,Proventos!$D:$D,"&gt;="&amp;CONCATENATE($C$6,"/",B60),Proventos!$D:$D,"&lt;"&amp;CONCATENATE($D$6,"/",B60),Proventos!$J:$J,"="&amp;$H$2),
AND($H$2=Data!$A$8,$K$2=Data!$A$2),SUMIFS(Proventos!$H:$H,Proventos!$D:$D,"&gt;="&amp;CONCATENATE($C$6,"/",B60),Proventos!$D:$D,"&lt;"&amp;CONCATENATE($D$6,"/",B60),Proventos!$J:$J,"="&amp;$H$2),
AND($H$2=Data!$A$9,$K$2=Data!$A$2),SUMIFS(Proventos!$H:$H,Proventos!$D:$D,"&gt;="&amp;CONCATENATE($C$6,"/",B60),Proventos!$D:$D,"&lt;"&amp;CONCATENATE($D$6,"/",B60),Proventos!$J:$J,"="&amp;$H$2),
AND($H$2=Data!$A$10,$K$2=Data!$A$2),SUMIFS(Proventos!$H:$H,Proventos!$D:$D,"&gt;="&amp;CONCATENATE($C$6,"/",B60),Proventos!$D:$D,"&lt;"&amp;CONCATENATE($D$6,"/",B60),Proventos!$J:$J,"="&amp;$H$2),
AND($H$2=Data!$A$11,$K$2=Data!$A$2),SUMIFS(Proventos!$H:$H,Proventos!$D:$D,"&gt;="&amp;CONCATENATE($C$6,"/",B60),Proventos!$D:$D,"&lt;"&amp;CONCATENATE($D$6,"/",B60),Proventos!$J:$J,"="&amp;$H$2),
$K$2=Data!$A$2,SUMIFS(Proventos!$H:$H,Proventos!$D:$D,"&gt;="&amp;CONCATENATE($C$6,"/",B60),Proventos!$D:$D,"&lt;"&amp;CONCATENATE($D$6,"/",B60)),
$K$2&lt;&gt;Data!$A$2,SUMIFS(Proventos!$H:$H,Proventos!$D:$D,"&gt;="&amp;CONCATENATE($C$6,"/",B60),Proventos!$D:$D,"&lt;"&amp;CONCATENATE($D$6,"/",B60),Proventos!$A:$A,"="&amp;$K$2))</f>
        <v>0</v>
      </c>
      <c r="D60" s="245">
        <f>IFS(
AND($H$2=Data!$A$3,$K$2=Data!$A$2),SUMIFS(Proventos!$H:$H,Proventos!$D:$D,"&gt;="&amp;CONCATENATE($D$6,"/",B60),Proventos!$D:$D,"&lt;"&amp;CONCATENATE($E$6,"/",B60),Proventos!$J:$J,"="&amp;$H$2),
AND($H$2=Data!$A$4,$K$2=Data!$A$2),SUMIFS(Proventos!$H:$H,Proventos!$D:$D,"&gt;="&amp;CONCATENATE($D$6,"/",B60),Proventos!$D:$D,"&lt;"&amp;CONCATENATE($E$6,"/",B60),Proventos!$J:$J,"="&amp;$H$2),
AND($H$2=Data!$A$5,$K$2=Data!$A$2),SUMIFS(Proventos!$H:$H,Proventos!$D:$D,"&gt;="&amp;CONCATENATE($D$6,"/",B60),Proventos!$D:$D,"&lt;"&amp;CONCATENATE($E$6,"/",B60),Proventos!$J:$J,"="&amp;$H$2),
AND($H$2=Data!$A$6,$K$2=Data!$A$2),SUMIFS(Proventos!$H:$H,Proventos!$D:$D,"&gt;="&amp;CONCATENATE($D$6,"/",B60),Proventos!$D:$D,"&lt;"&amp;CONCATENATE($E$6,"/",B60),Proventos!$J:$J,"="&amp;$H$2),
AND($H$2=Data!$A$7,$K$2=Data!$A$2),SUMIFS(Proventos!$H:$H,Proventos!$D:$D,"&gt;="&amp;CONCATENATE($D$6,"/",B60),Proventos!$D:$D,"&lt;"&amp;CONCATENATE($E$6,"/",B60),Proventos!$J:$J,"="&amp;$H$2),
AND($H$2=Data!$A$8,$K$2=Data!$A$2),SUMIFS(Proventos!$H:$H,Proventos!$D:$D,"&gt;="&amp;CONCATENATE($D$6,"/",B60),Proventos!$D:$D,"&lt;"&amp;CONCATENATE($E$6,"/",B60),Proventos!$J:$J,"="&amp;$H$2),
AND($H$2=Data!$A$9,$K$2=Data!$A$2),SUMIFS(Proventos!$H:$H,Proventos!$D:$D,"&gt;="&amp;CONCATENATE($D$6,"/",B60),Proventos!$D:$D,"&lt;"&amp;CONCATENATE($E$6,"/",B60),Proventos!$J:$J,"="&amp;$H$2),
AND($H$2=Data!$A$10,$K$2=Data!$A$2),SUMIFS(Proventos!$H:$H,Proventos!$D:$D,"&gt;="&amp;CONCATENATE($D$6,"/",B60),Proventos!$D:$D,"&lt;"&amp;CONCATENATE($E$6,"/",B60),Proventos!$J:$J,"="&amp;$H$2),
AND($H$2=Data!$A$11,$K$2=Data!$A$2),SUMIFS(Proventos!$H:$H,Proventos!$D:$D,"&gt;="&amp;CONCATENATE($D$6,"/",B60),Proventos!$D:$D,"&lt;"&amp;CONCATENATE($E$6,"/",B60),Proventos!$J:$J,"="&amp;$H$2),
$K$2=Data!$A$2,SUMIFS(Proventos!$H:$H,Proventos!$D:$D,"&gt;="&amp;CONCATENATE($D$6,"/",B60),Proventos!$D:$D,"&lt;"&amp;CONCATENATE($E$6,"/",B60)),
$K$2&lt;&gt;Data!$A$2,SUMIFS(Proventos!$H:$H,Proventos!$D:$D,"&gt;="&amp;CONCATENATE($D$6,"/",B60),Proventos!$D:$D,"&lt;"&amp;CONCATENATE($E$6,"/",B60),Proventos!$A:$A,"="&amp;$K$2))</f>
        <v>0</v>
      </c>
      <c r="E60" s="245">
        <f>IFS(
AND($H$2=Data!$A$3,$K$2=Data!$A$2),SUMIFS(Proventos!$H:$H,Proventos!$D:$D,"&gt;="&amp;CONCATENATE($E$6,"/",B60),Proventos!$D:$D,"&lt;"&amp;CONCATENATE($F$6,"/",B60),Proventos!$J:$J,"="&amp;$H$2),
AND($H$2=Data!$A$4,$K$2=Data!$A$2),SUMIFS(Proventos!$H:$H,Proventos!$D:$D,"&gt;="&amp;CONCATENATE($E$6,"/",B60),Proventos!$D:$D,"&lt;"&amp;CONCATENATE($F$6,"/",B60),Proventos!$J:$J,"="&amp;$H$2),
AND($H$2=Data!$A$5,$K$2=Data!$A$2),SUMIFS(Proventos!$H:$H,Proventos!$D:$D,"&gt;="&amp;CONCATENATE($E$6,"/",B60),Proventos!$D:$D,"&lt;"&amp;CONCATENATE($F$6,"/",B60),Proventos!$J:$J,"="&amp;$H$2),
AND($H$2=Data!$A$6,$K$2=Data!$A$2),SUMIFS(Proventos!$H:$H,Proventos!$D:$D,"&gt;="&amp;CONCATENATE($E$6,"/",B60),Proventos!$D:$D,"&lt;"&amp;CONCATENATE($F$6,"/",B60),Proventos!$J:$J,"="&amp;$H$2),
AND($H$2=Data!$A$7,$K$2=Data!$A$2),SUMIFS(Proventos!$H:$H,Proventos!$D:$D,"&gt;="&amp;CONCATENATE($E$6,"/",B60),Proventos!$D:$D,"&lt;"&amp;CONCATENATE($F$6,"/",B60),Proventos!$J:$J,"="&amp;$H$2),
AND($H$2=Data!$A$8,$K$2=Data!$A$2),SUMIFS(Proventos!$H:$H,Proventos!$D:$D,"&gt;="&amp;CONCATENATE($E$6,"/",B60),Proventos!$D:$D,"&lt;"&amp;CONCATENATE($F$6,"/",B60),Proventos!$J:$J,"="&amp;$H$2),
AND($H$2=Data!$A$9,$K$2=Data!$A$2),SUMIFS(Proventos!$H:$H,Proventos!$D:$D,"&gt;="&amp;CONCATENATE($E$6,"/",B60),Proventos!$D:$D,"&lt;"&amp;CONCATENATE($F$6,"/",B60),Proventos!$J:$J,"="&amp;$H$2),
AND($H$2=Data!$A$10,$K$2=Data!$A$2),SUMIFS(Proventos!$H:$H,Proventos!$D:$D,"&gt;="&amp;CONCATENATE($E$6,"/",B60),Proventos!$D:$D,"&lt;"&amp;CONCATENATE($F$6,"/",B60),Proventos!$J:$J,"="&amp;$H$2),
AND($H$2=Data!$A$11,$K$2=Data!$A$2),SUMIFS(Proventos!$H:$H,Proventos!$D:$D,"&gt;="&amp;CONCATENATE($E$6,"/",B60),Proventos!$D:$D,"&lt;"&amp;CONCATENATE($F$6,"/",B60),Proventos!$J:$J,"="&amp;$H$2),
$K$2=Data!$A$2,SUMIFS(Proventos!$H:$H,Proventos!$D:$D,"&gt;="&amp;CONCATENATE($E$6,"/",B60),Proventos!$D:$D,"&lt;"&amp;CONCATENATE($F$6,"/",B60)),
$K$2&lt;&gt;Data!$A$2,SUMIFS(Proventos!$H:$H,Proventos!$D:$D,"&gt;="&amp;CONCATENATE($E$6,"/",B60),Proventos!$D:$D,"&lt;"&amp;CONCATENATE($F$6,"/",B60),Proventos!$A:$A,"="&amp;$K$2))</f>
        <v>0</v>
      </c>
      <c r="F60" s="245">
        <f>IFS(
AND($H$2=Data!$A$3,$K$2=Data!$A$2),SUMIFS(Proventos!$H:$H,Proventos!$D:$D,"&gt;="&amp;CONCATENATE($F$6,"/",B60),Proventos!$D:$D,"&lt;"&amp;CONCATENATE($G$6,"/",B60),Proventos!$J:$J,"="&amp;$H$2),
AND($H$2=Data!$A$4,$K$2=Data!$A$2),SUMIFS(Proventos!$H:$H,Proventos!$D:$D,"&gt;="&amp;CONCATENATE($F$6,"/",B60),Proventos!$D:$D,"&lt;"&amp;CONCATENATE($G$6,"/",B60),Proventos!$J:$J,"="&amp;$H$2),
AND($H$2=Data!$A$5,$K$2=Data!$A$2),SUMIFS(Proventos!$H:$H,Proventos!$D:$D,"&gt;="&amp;CONCATENATE($F$6,"/",B60),Proventos!$D:$D,"&lt;"&amp;CONCATENATE($G$6,"/",B60),Proventos!$J:$J,"="&amp;$H$2),
AND($H$2=Data!$A$6,$K$2=Data!$A$2),SUMIFS(Proventos!$H:$H,Proventos!$D:$D,"&gt;="&amp;CONCATENATE($F$6,"/",B60),Proventos!$D:$D,"&lt;"&amp;CONCATENATE($G$6,"/",B60),Proventos!$J:$J,"="&amp;$H$2),
AND($H$2=Data!$A$7,$K$2=Data!$A$2),SUMIFS(Proventos!$H:$H,Proventos!$D:$D,"&gt;="&amp;CONCATENATE($F$6,"/",B60),Proventos!$D:$D,"&lt;"&amp;CONCATENATE($G$6,"/",B60),Proventos!$J:$J,"="&amp;$H$2),
AND($H$2=Data!$A$8,$K$2=Data!$A$2),SUMIFS(Proventos!$H:$H,Proventos!$D:$D,"&gt;="&amp;CONCATENATE($F$6,"/",B60),Proventos!$D:$D,"&lt;"&amp;CONCATENATE($G$6,"/",B60),Proventos!$J:$J,"="&amp;$H$2),
AND($H$2=Data!$A$9,$K$2=Data!$A$2),SUMIFS(Proventos!$H:$H,Proventos!$D:$D,"&gt;="&amp;CONCATENATE($F$6,"/",B60),Proventos!$D:$D,"&lt;"&amp;CONCATENATE($G$6,"/",B60),Proventos!$J:$J,"="&amp;$H$2),
AND($H$2=Data!$A$10,$K$2=Data!$A$2),SUMIFS(Proventos!$H:$H,Proventos!$D:$D,"&gt;="&amp;CONCATENATE($F$6,"/",B60),Proventos!$D:$D,"&lt;"&amp;CONCATENATE($G$6,"/",B60),Proventos!$J:$J,"="&amp;$H$2),
AND($H$2=Data!$A$11,$K$2=Data!$A$2),SUMIFS(Proventos!$H:$H,Proventos!$D:$D,"&gt;="&amp;CONCATENATE($F$6,"/",B60),Proventos!$D:$D,"&lt;"&amp;CONCATENATE($G$6,"/",B60),Proventos!$J:$J,"="&amp;$H$2),
$K$2=Data!$A$2,SUMIFS(Proventos!$H:$H,Proventos!$D:$D,"&gt;="&amp;CONCATENATE($F$6,"/",B60),Proventos!$D:$D,"&lt;"&amp;CONCATENATE($G$6,"/",B60)),
$K$2&lt;&gt;Data!$A$2,SUMIFS(Proventos!$H:$H,Proventos!$D:$D,"&gt;="&amp;CONCATENATE($F$6,"/",B60),Proventos!$D:$D,"&lt;"&amp;CONCATENATE($G$6,"/",B60),Proventos!$A:$A,"="&amp;$K$2))</f>
        <v>0</v>
      </c>
      <c r="G60" s="245">
        <f>IFS(
AND($H$2=Data!$A$3,$K$2=Data!$A$2),SUMIFS(Proventos!$H:$H,Proventos!$D:$D,"&gt;="&amp;CONCATENATE($G$6,"/",B60),Proventos!$D:$D,"&lt;"&amp;CONCATENATE($H$6,"/",B60),Proventos!$J:$J,"="&amp;$H$2),
AND($H$2=Data!$A$4,$K$2=Data!$A$2),SUMIFS(Proventos!$H:$H,Proventos!$D:$D,"&gt;="&amp;CONCATENATE($G$6,"/",B60),Proventos!$D:$D,"&lt;"&amp;CONCATENATE($H$6,"/",B60),Proventos!$J:$J,"="&amp;$H$2),
AND($H$2=Data!$A$5,$K$2=Data!$A$2),SUMIFS(Proventos!$H:$H,Proventos!$D:$D,"&gt;="&amp;CONCATENATE($G$6,"/",B60),Proventos!$D:$D,"&lt;"&amp;CONCATENATE($H$6,"/",B60),Proventos!$J:$J,"="&amp;$H$2),
AND($H$2=Data!$A$6,$K$2=Data!$A$2),SUMIFS(Proventos!$H:$H,Proventos!$D:$D,"&gt;="&amp;CONCATENATE($G$6,"/",B60),Proventos!$D:$D,"&lt;"&amp;CONCATENATE($H$6,"/",B60),Proventos!$J:$J,"="&amp;$H$2),
AND($H$2=Data!$A$7,$K$2=Data!$A$2),SUMIFS(Proventos!$H:$H,Proventos!$D:$D,"&gt;="&amp;CONCATENATE($G$6,"/",B60),Proventos!$D:$D,"&lt;"&amp;CONCATENATE($H$6,"/",B60),Proventos!$J:$J,"="&amp;$H$2),
AND($H$2=Data!$A$8,$K$2=Data!$A$2),SUMIFS(Proventos!$H:$H,Proventos!$D:$D,"&gt;="&amp;CONCATENATE($G$6,"/",B60),Proventos!$D:$D,"&lt;"&amp;CONCATENATE($H$6,"/",B60),Proventos!$J:$J,"="&amp;$H$2),
AND($H$2=Data!$A$9,$K$2=Data!$A$2),SUMIFS(Proventos!$H:$H,Proventos!$D:$D,"&gt;="&amp;CONCATENATE($G$6,"/",B60),Proventos!$D:$D,"&lt;"&amp;CONCATENATE($H$6,"/",B60),Proventos!$J:$J,"="&amp;$H$2),
AND($H$2=Data!$A$10,$K$2=Data!$A$2),SUMIFS(Proventos!$H:$H,Proventos!$D:$D,"&gt;="&amp;CONCATENATE($G$6,"/",B60),Proventos!$D:$D,"&lt;"&amp;CONCATENATE($H$6,"/",B60),Proventos!$J:$J,"="&amp;$H$2),
AND($H$2=Data!$A$11,$K$2=Data!$A$2),SUMIFS(Proventos!$H:$H,Proventos!$D:$D,"&gt;="&amp;CONCATENATE($G$6,"/",B60),Proventos!$D:$D,"&lt;"&amp;CONCATENATE($H$6,"/",B60),Proventos!$J:$J,"="&amp;$H$2),
$K$2=Data!$A$2,SUMIFS(Proventos!$H:$H,Proventos!$D:$D,"&gt;="&amp;CONCATENATE($G$6,"/",B60),Proventos!$D:$D,"&lt;"&amp;CONCATENATE($H$6,"/",B60)),
$K$2&lt;&gt;Data!$A$2,SUMIFS(Proventos!$H:$H,Proventos!$D:$D,"&gt;="&amp;CONCATENATE($G$6,"/",B60),Proventos!$D:$D,"&lt;"&amp;CONCATENATE($H$6,"/",B60),Proventos!$A:$A,"="&amp;$K$2))</f>
        <v>0</v>
      </c>
      <c r="H60" s="245">
        <f>IFS(
AND($H$2=Data!$A$3,$K$2=Data!$A$2),SUMIFS(Proventos!$H:$H,Proventos!$D:$D,"&gt;="&amp;CONCATENATE($H$6,"/",B60),Proventos!$D:$D,"&lt;"&amp;CONCATENATE($I$6,"/",B60),Proventos!$J:$J,"="&amp;$H$2),
AND($H$2=Data!$A$4,$K$2=Data!$A$2),SUMIFS(Proventos!$H:$H,Proventos!$D:$D,"&gt;="&amp;CONCATENATE($H$6,"/",B60),Proventos!$D:$D,"&lt;"&amp;CONCATENATE($I$6,"/",B60),Proventos!$J:$J,"="&amp;$H$2),
AND($H$2=Data!$A$5,$K$2=Data!$A$2),SUMIFS(Proventos!$H:$H,Proventos!$D:$D,"&gt;="&amp;CONCATENATE($H$6,"/",B60),Proventos!$D:$D,"&lt;"&amp;CONCATENATE($I$6,"/",B60),Proventos!$J:$J,"="&amp;$H$2),
AND($H$2=Data!$A$6,$K$2=Data!$A$2),SUMIFS(Proventos!$H:$H,Proventos!$D:$D,"&gt;="&amp;CONCATENATE($H$6,"/",B60),Proventos!$D:$D,"&lt;"&amp;CONCATENATE($I$6,"/",B60),Proventos!$J:$J,"="&amp;$H$2),
AND($H$2=Data!$A$7,$K$2=Data!$A$2),SUMIFS(Proventos!$H:$H,Proventos!$D:$D,"&gt;="&amp;CONCATENATE($H$6,"/",B60),Proventos!$D:$D,"&lt;"&amp;CONCATENATE($I$6,"/",B60),Proventos!$J:$J,"="&amp;$H$2),
AND($H$2=Data!$A$8,$K$2=Data!$A$2),SUMIFS(Proventos!$H:$H,Proventos!$D:$D,"&gt;="&amp;CONCATENATE($H$6,"/",B60),Proventos!$D:$D,"&lt;"&amp;CONCATENATE($I$6,"/",B60),Proventos!$J:$J,"="&amp;$H$2),
AND($H$2=Data!$A$9,$K$2=Data!$A$2),SUMIFS(Proventos!$H:$H,Proventos!$D:$D,"&gt;="&amp;CONCATENATE($H$6,"/",B60),Proventos!$D:$D,"&lt;"&amp;CONCATENATE($I$6,"/",B60),Proventos!$J:$J,"="&amp;$H$2),
AND($H$2=Data!$A$10,$K$2=Data!$A$2),SUMIFS(Proventos!$H:$H,Proventos!$D:$D,"&gt;="&amp;CONCATENATE($H$6,"/",B60),Proventos!$D:$D,"&lt;"&amp;CONCATENATE($I$6,"/",B60),Proventos!$J:$J,"="&amp;$H$2),
AND($H$2=Data!$A$11,$K$2=Data!$A$2),SUMIFS(Proventos!$H:$H,Proventos!$D:$D,"&gt;="&amp;CONCATENATE($H$6,"/",B60),Proventos!$D:$D,"&lt;"&amp;CONCATENATE($I$6,"/",B60),Proventos!$J:$J,"="&amp;$H$2),
$K$2=Data!$A$2,SUMIFS(Proventos!$H:$H,Proventos!$D:$D,"&gt;="&amp;CONCATENATE($H$6,"/",B60),Proventos!$D:$D,"&lt;"&amp;CONCATENATE($I$6,"/",B60)),
$K$2&lt;&gt;Data!$A$2,SUMIFS(Proventos!$H:$H,Proventos!$D:$D,"&gt;="&amp;CONCATENATE($H$6,"/",B60),Proventos!$D:$D,"&lt;"&amp;CONCATENATE($I$6,"/",B60),Proventos!$A:$A,"="&amp;$K$2))</f>
        <v>0</v>
      </c>
      <c r="I60" s="245">
        <f>IFS(
AND($H$2=Data!$A$3,$K$2=Data!$A$2),SUMIFS(Proventos!$H:$H,Proventos!$D:$D,"&gt;="&amp;CONCATENATE($I$6,"/",B60),Proventos!$D:$D,"&lt;"&amp;CONCATENATE($J$6,"/",B60),Proventos!$J:$J,"="&amp;$H$2),
AND($H$2=Data!$A$4,$K$2=Data!$A$2),SUMIFS(Proventos!$H:$H,Proventos!$D:$D,"&gt;="&amp;CONCATENATE($I$6,"/",B60),Proventos!$D:$D,"&lt;"&amp;CONCATENATE($J$6,"/",B60),Proventos!$J:$J,"="&amp;$H$2),
AND($H$2=Data!$A$5,$K$2=Data!$A$2),SUMIFS(Proventos!$H:$H,Proventos!$D:$D,"&gt;="&amp;CONCATENATE($I$6,"/",B60),Proventos!$D:$D,"&lt;"&amp;CONCATENATE($J$6,"/",B60),Proventos!$J:$J,"="&amp;$H$2),
AND($H$2=Data!$A$6,$K$2=Data!$A$2),SUMIFS(Proventos!$H:$H,Proventos!$D:$D,"&gt;="&amp;CONCATENATE($I$6,"/",B60),Proventos!$D:$D,"&lt;"&amp;CONCATENATE($J$6,"/",B60),Proventos!$J:$J,"="&amp;$H$2),
AND($H$2=Data!$A$7,$K$2=Data!$A$2),SUMIFS(Proventos!$H:$H,Proventos!$D:$D,"&gt;="&amp;CONCATENATE($I$6,"/",B60),Proventos!$D:$D,"&lt;"&amp;CONCATENATE($J$6,"/",B60),Proventos!$J:$J,"="&amp;$H$2),
AND($H$2=Data!$A$8,$K$2=Data!$A$2),SUMIFS(Proventos!$H:$H,Proventos!$D:$D,"&gt;="&amp;CONCATENATE($I$6,"/",B60),Proventos!$D:$D,"&lt;"&amp;CONCATENATE($J$6,"/",B60),Proventos!$J:$J,"="&amp;$H$2),
AND($H$2=Data!$A$9,$K$2=Data!$A$2),SUMIFS(Proventos!$H:$H,Proventos!$D:$D,"&gt;="&amp;CONCATENATE($I$6,"/",B60),Proventos!$D:$D,"&lt;"&amp;CONCATENATE($J$6,"/",B60),Proventos!$J:$J,"="&amp;$H$2),
AND($H$2=Data!$A$10,$K$2=Data!$A$2),SUMIFS(Proventos!$H:$H,Proventos!$D:$D,"&gt;="&amp;CONCATENATE($I$6,"/",B60),Proventos!$D:$D,"&lt;"&amp;CONCATENATE($J$6,"/",B60),Proventos!$J:$J,"="&amp;$H$2),
AND($H$2=Data!$A$11,$K$2=Data!$A$2),SUMIFS(Proventos!$H:$H,Proventos!$D:$D,"&gt;="&amp;CONCATENATE($I$6,"/",B60),Proventos!$D:$D,"&lt;"&amp;CONCATENATE($J$6,"/",B60),Proventos!$J:$J,"="&amp;$H$2),
$K$2=Data!$A$2,SUMIFS(Proventos!$H:$H,Proventos!$D:$D,"&gt;="&amp;CONCATENATE($I$6,"/",B60),Proventos!$D:$D,"&lt;"&amp;CONCATENATE($J$6,"/",B60)),
$K$2&lt;&gt;Data!$A$2,SUMIFS(Proventos!$H:$H,Proventos!$D:$D,"&gt;="&amp;CONCATENATE($I$6,"/",B60),Proventos!$D:$D,"&lt;"&amp;CONCATENATE($J$6,"/",B60),Proventos!$A:$A,"="&amp;$K$2))</f>
        <v>0</v>
      </c>
      <c r="J60" s="245">
        <f>IFS(
AND($H$2=Data!$A$3,$K$2=Data!$A$2),SUMIFS(Proventos!$H:$H,Proventos!$D:$D,"&gt;="&amp;CONCATENATE($J$6,"/",B60),Proventos!$D:$D,"&lt;"&amp;CONCATENATE($K$6,"/",B60),Proventos!$J:$J,"="&amp;$H$2),
AND($H$2=Data!$A$4,$K$2=Data!$A$2),SUMIFS(Proventos!$H:$H,Proventos!$D:$D,"&gt;="&amp;CONCATENATE($J$6,"/",B60),Proventos!$D:$D,"&lt;"&amp;CONCATENATE($K$6,"/",B60),Proventos!$J:$J,"="&amp;$H$2),
AND($H$2=Data!$A$5,$K$2=Data!$A$2),SUMIFS(Proventos!$H:$H,Proventos!$D:$D,"&gt;="&amp;CONCATENATE($J$6,"/",B60),Proventos!$D:$D,"&lt;"&amp;CONCATENATE($K$6,"/",B60),Proventos!$J:$J,"="&amp;$H$2),
AND($H$2=Data!$A$6,$K$2=Data!$A$2),SUMIFS(Proventos!$H:$H,Proventos!$D:$D,"&gt;="&amp;CONCATENATE($J$6,"/",B60),Proventos!$D:$D,"&lt;"&amp;CONCATENATE($K$6,"/",B60),Proventos!$J:$J,"="&amp;$H$2),
AND($H$2=Data!$A$7,$K$2=Data!$A$2),SUMIFS(Proventos!$H:$H,Proventos!$D:$D,"&gt;="&amp;CONCATENATE($J$6,"/",B60),Proventos!$D:$D,"&lt;"&amp;CONCATENATE($K$6,"/",B60),Proventos!$J:$J,"="&amp;$H$2),
AND($H$2=Data!$A$8,$K$2=Data!$A$2),SUMIFS(Proventos!$H:$H,Proventos!$D:$D,"&gt;="&amp;CONCATENATE($J$6,"/",B60),Proventos!$D:$D,"&lt;"&amp;CONCATENATE($K$6,"/",B60),Proventos!$J:$J,"="&amp;$H$2),
AND($H$2=Data!$A$9,$K$2=Data!$A$2),SUMIFS(Proventos!$H:$H,Proventos!$D:$D,"&gt;="&amp;CONCATENATE($J$6,"/",B60),Proventos!$D:$D,"&lt;"&amp;CONCATENATE($K$6,"/",B60),Proventos!$J:$J,"="&amp;$H$2),
AND($H$2=Data!$A$10,$K$2=Data!$A$2),SUMIFS(Proventos!$H:$H,Proventos!$D:$D,"&gt;="&amp;CONCATENATE($J$6,"/",B60),Proventos!$D:$D,"&lt;"&amp;CONCATENATE($K$6,"/",B60),Proventos!$J:$J,"="&amp;$H$2),
AND($H$2=Data!$A$11,$K$2=Data!$A$2),SUMIFS(Proventos!$H:$H,Proventos!$D:$D,"&gt;="&amp;CONCATENATE($J$6,"/",B60),Proventos!$D:$D,"&lt;"&amp;CONCATENATE($K$6,"/",B60),Proventos!$J:$J,"="&amp;$H$2),
$K$2=Data!$A$2,SUMIFS(Proventos!$H:$H,Proventos!$D:$D,"&gt;="&amp;CONCATENATE($J$6,"/",B60),Proventos!$D:$D,"&lt;"&amp;CONCATENATE($K$6,"/",B60)),
$K$2&lt;&gt;Data!$A$2,SUMIFS(Proventos!$H:$H,Proventos!$D:$D,"&gt;="&amp;CONCATENATE($J$6,"/",B60),Proventos!$D:$D,"&lt;"&amp;CONCATENATE($K$6,"/",B60),Proventos!$A:$A,"="&amp;$K$2))</f>
        <v>0</v>
      </c>
      <c r="K60" s="245">
        <f>IFS(
AND($H$2=Data!$A$3,$K$2=Data!$A$2),SUMIFS(Proventos!$H:$H,Proventos!$D:$D,"&gt;="&amp;CONCATENATE($K$6,"/",B60),Proventos!$D:$D,"&lt;"&amp;CONCATENATE($L$6,"/",B60),Proventos!$J:$J,"="&amp;$H$2),
AND($H$2=Data!$A$4,$K$2=Data!$A$2),SUMIFS(Proventos!$H:$H,Proventos!$D:$D,"&gt;="&amp;CONCATENATE($K$6,"/",B60),Proventos!$D:$D,"&lt;"&amp;CONCATENATE($L$6,"/",B60),Proventos!$J:$J,"="&amp;$H$2),
AND($H$2=Data!$A$5,$K$2=Data!$A$2),SUMIFS(Proventos!$H:$H,Proventos!$D:$D,"&gt;="&amp;CONCATENATE($K$6,"/",B60),Proventos!$D:$D,"&lt;"&amp;CONCATENATE($L$6,"/",B60),Proventos!$J:$J,"="&amp;$H$2),
AND($H$2=Data!$A$6,$K$2=Data!$A$2),SUMIFS(Proventos!$H:$H,Proventos!$D:$D,"&gt;="&amp;CONCATENATE($K$6,"/",B60),Proventos!$D:$D,"&lt;"&amp;CONCATENATE($L$6,"/",B60),Proventos!$J:$J,"="&amp;$H$2),
AND($H$2=Data!$A$7,$K$2=Data!$A$2),SUMIFS(Proventos!$H:$H,Proventos!$D:$D,"&gt;="&amp;CONCATENATE($K$6,"/",B60),Proventos!$D:$D,"&lt;"&amp;CONCATENATE($L$6,"/",B60),Proventos!$J:$J,"="&amp;$H$2),
AND($H$2=Data!$A$8,$K$2=Data!$A$2),SUMIFS(Proventos!$H:$H,Proventos!$D:$D,"&gt;="&amp;CONCATENATE($K$6,"/",B60),Proventos!$D:$D,"&lt;"&amp;CONCATENATE($L$6,"/",B60),Proventos!$J:$J,"="&amp;$H$2),
AND($H$2=Data!$A$9,$K$2=Data!$A$2),SUMIFS(Proventos!$H:$H,Proventos!$D:$D,"&gt;="&amp;CONCATENATE($K$6,"/",B60),Proventos!$D:$D,"&lt;"&amp;CONCATENATE($L$6,"/",B60),Proventos!$J:$J,"="&amp;$H$2),
AND($H$2=Data!$A$10,$K$2=Data!$A$2),SUMIFS(Proventos!$H:$H,Proventos!$D:$D,"&gt;="&amp;CONCATENATE($K$6,"/",B60),Proventos!$D:$D,"&lt;"&amp;CONCATENATE($L$6,"/",B60),Proventos!$J:$J,"="&amp;$H$2),
AND($H$2=Data!$A$11,$K$2=Data!$A$2),SUMIFS(Proventos!$H:$H,Proventos!$D:$D,"&gt;="&amp;CONCATENATE($K$6,"/",B60),Proventos!$D:$D,"&lt;"&amp;CONCATENATE($L$6,"/",B60),Proventos!$J:$J,"="&amp;$H$2),
$K$2=Data!$A$2,SUMIFS(Proventos!$H:$H,Proventos!$D:$D,"&gt;="&amp;CONCATENATE($K$6,"/",B60),Proventos!$D:$D,"&lt;"&amp;CONCATENATE($L$6,"/",B60)),
$K$2&lt;&gt;Data!$A$2,SUMIFS(Proventos!$H:$H,Proventos!$D:$D,"&gt;="&amp;CONCATENATE($K$6,"/",B60),Proventos!$D:$D,"&lt;"&amp;CONCATENATE($L$6,"/",B60),Proventos!$A:$A,"="&amp;$K$2))</f>
        <v>0</v>
      </c>
      <c r="L60" s="245">
        <f>IFS(
AND($H$2=Data!$A$3,$K$2=Data!$A$2),SUMIFS(Proventos!$H:$H,Proventos!$D:$D,"&gt;="&amp;CONCATENATE($L$6,"/",B60),Proventos!$D:$D,"&lt;"&amp;CONCATENATE($M$6,"/",B60),Proventos!$J:$J,"="&amp;$H$2),
AND($H$2=Data!$A$4,$K$2=Data!$A$2),SUMIFS(Proventos!$H:$H,Proventos!$D:$D,"&gt;="&amp;CONCATENATE($L$6,"/",B60),Proventos!$D:$D,"&lt;"&amp;CONCATENATE($M$6,"/",B60),Proventos!$J:$J,"="&amp;$H$2),
AND($H$2=Data!$A$5,$K$2=Data!$A$2),SUMIFS(Proventos!$H:$H,Proventos!$D:$D,"&gt;="&amp;CONCATENATE($L$6,"/",B60),Proventos!$D:$D,"&lt;"&amp;CONCATENATE($M$6,"/",B60),Proventos!$J:$J,"="&amp;$H$2),
AND($H$2=Data!$A$6,$K$2=Data!$A$2),SUMIFS(Proventos!$H:$H,Proventos!$D:$D,"&gt;="&amp;CONCATENATE($L$6,"/",B60),Proventos!$D:$D,"&lt;"&amp;CONCATENATE($M$6,"/",B60),Proventos!$J:$J,"="&amp;$H$2),
AND($H$2=Data!$A$7,$K$2=Data!$A$2),SUMIFS(Proventos!$H:$H,Proventos!$D:$D,"&gt;="&amp;CONCATENATE($L$6,"/",B60),Proventos!$D:$D,"&lt;"&amp;CONCATENATE($M$6,"/",B60),Proventos!$J:$J,"="&amp;$H$2),
AND($H$2=Data!$A$8,$K$2=Data!$A$2),SUMIFS(Proventos!$H:$H,Proventos!$D:$D,"&gt;="&amp;CONCATENATE($L$6,"/",B60),Proventos!$D:$D,"&lt;"&amp;CONCATENATE($M$6,"/",B60),Proventos!$J:$J,"="&amp;$H$2),
AND($H$2=Data!$A$9,$K$2=Data!$A$2),SUMIFS(Proventos!$H:$H,Proventos!$D:$D,"&gt;="&amp;CONCATENATE($L$6,"/",B60),Proventos!$D:$D,"&lt;"&amp;CONCATENATE($M$6,"/",B60),Proventos!$J:$J,"="&amp;$H$2),
AND($H$2=Data!$A$10,$K$2=Data!$A$2),SUMIFS(Proventos!$H:$H,Proventos!$D:$D,"&gt;="&amp;CONCATENATE($L$6,"/",B60),Proventos!$D:$D,"&lt;"&amp;CONCATENATE($M$6,"/",B60),Proventos!$J:$J,"="&amp;$H$2),
AND($H$2=Data!$A$11,$K$2=Data!$A$2),SUMIFS(Proventos!$H:$H,Proventos!$D:$D,"&gt;="&amp;CONCATENATE($L$6,"/",B60),Proventos!$D:$D,"&lt;"&amp;CONCATENATE($M$6,"/",B60),Proventos!$J:$J,"="&amp;$H$2),
$K$2=Data!$A$2,SUMIFS(Proventos!$H:$H,Proventos!$D:$D,"&gt;="&amp;CONCATENATE($L$6,"/",B60),Proventos!$D:$D,"&lt;"&amp;CONCATENATE($M$6,"/",B60)),
$K$2&lt;&gt;Data!$A$2,SUMIFS(Proventos!$H:$H,Proventos!$D:$D,"&gt;="&amp;CONCATENATE($L$6,"/",B60),Proventos!$D:$D,"&lt;"&amp;CONCATENATE($M$6,"/",B60),Proventos!$A:$A,"="&amp;$K$2))</f>
        <v>0</v>
      </c>
      <c r="M60" s="245">
        <f>IFS(
AND($H$2=Data!$A$3,$K$2=Data!$A$2),SUMIFS(Proventos!$H:$H,Proventos!$D:$D,"&gt;="&amp;CONCATENATE($M$6,"/",B60),Proventos!$D:$D,"&lt;"&amp;CONCATENATE($N$6,"/",B60),Proventos!$J:$J,"="&amp;$H$2),
AND($H$2=Data!$A$4,$K$2=Data!$A$2),SUMIFS(Proventos!$H:$H,Proventos!$D:$D,"&gt;="&amp;CONCATENATE($M$6,"/",B60),Proventos!$D:$D,"&lt;"&amp;CONCATENATE($N$6,"/",B60),Proventos!$J:$J,"="&amp;$H$2),
AND($H$2=Data!$A$5,$K$2=Data!$A$2),SUMIFS(Proventos!$H:$H,Proventos!$D:$D,"&gt;="&amp;CONCATENATE($M$6,"/",B60),Proventos!$D:$D,"&lt;"&amp;CONCATENATE($N$6,"/",B60),Proventos!$J:$J,"="&amp;$H$2),
AND($H$2=Data!$A$6,$K$2=Data!$A$2),SUMIFS(Proventos!$H:$H,Proventos!$D:$D,"&gt;="&amp;CONCATENATE($M$6,"/",B60),Proventos!$D:$D,"&lt;"&amp;CONCATENATE($N$6,"/",B60),Proventos!$J:$J,"="&amp;$H$2),
AND($H$2=Data!$A$7,$K$2=Data!$A$2),SUMIFS(Proventos!$H:$H,Proventos!$D:$D,"&gt;="&amp;CONCATENATE($M$6,"/",B60),Proventos!$D:$D,"&lt;"&amp;CONCATENATE($N$6,"/",B60),Proventos!$J:$J,"="&amp;$H$2),
AND($H$2=Data!$A$8,$K$2=Data!$A$2),SUMIFS(Proventos!$H:$H,Proventos!$D:$D,"&gt;="&amp;CONCATENATE($M$6,"/",B60),Proventos!$D:$D,"&lt;"&amp;CONCATENATE($N$6,"/",B60),Proventos!$J:$J,"="&amp;$H$2),
AND($H$2=Data!$A$9,$K$2=Data!$A$2),SUMIFS(Proventos!$H:$H,Proventos!$D:$D,"&gt;="&amp;CONCATENATE($M$6,"/",B60),Proventos!$D:$D,"&lt;"&amp;CONCATENATE($N$6,"/",B60),Proventos!$J:$J,"="&amp;$H$2),
AND($H$2=Data!$A$10,$K$2=Data!$A$2),SUMIFS(Proventos!$H:$H,Proventos!$D:$D,"&gt;="&amp;CONCATENATE($M$6,"/",B60),Proventos!$D:$D,"&lt;"&amp;CONCATENATE($N$6,"/",B60),Proventos!$J:$J,"="&amp;$H$2),
AND($H$2=Data!$A$11,$K$2=Data!$A$2),SUMIFS(Proventos!$H:$H,Proventos!$D:$D,"&gt;="&amp;CONCATENATE($M$6,"/",B60),Proventos!$D:$D,"&lt;"&amp;CONCATENATE($N$6,"/",B60),Proventos!$J:$J,"="&amp;$H$2),
$K$2=Data!$A$2,SUMIFS(Proventos!$H:$H,Proventos!$D:$D,"&gt;="&amp;CONCATENATE($M$6,"/",B60),Proventos!$D:$D,"&lt;"&amp;CONCATENATE($N$6,"/",B60)),
$K$2&lt;&gt;Data!$A$2,SUMIFS(Proventos!$H:$H,Proventos!$D:$D,"&gt;="&amp;CONCATENATE($M$6,"/",B60),Proventos!$D:$D,"&lt;"&amp;CONCATENATE($N$6,"/",B60),Proventos!$A:$A,"="&amp;$K$2))</f>
        <v>0</v>
      </c>
      <c r="N60" s="245">
        <f>IFS(
AND($H$2=Data!$A$3,$K$2=Data!$A$2),SUMIFS(Proventos!$H:$H,Proventos!$D:$D,"&gt;="&amp;CONCATENATE($N$6,"/",B60),Proventos!$D:$D,"&lt;"&amp;CONCATENATE($C$6,"/",B61),Proventos!$J:$J,"="&amp;$H$2),
AND($H$2=Data!$A$4,$K$2=Data!$A$2),SUMIFS(Proventos!$H:$H,Proventos!$D:$D,"&gt;="&amp;CONCATENATE($N$6,"/",B60),Proventos!$D:$D,"&lt;"&amp;CONCATENATE($C$6,"/",B61),Proventos!$J:$J,"="&amp;$H$2),
AND($H$2=Data!$A$5,$K$2=Data!$A$2),SUMIFS(Proventos!$H:$H,Proventos!$D:$D,"&gt;="&amp;CONCATENATE($N$6,"/",B60),Proventos!$D:$D,"&lt;"&amp;CONCATENATE($C$6,"/",B61),Proventos!$J:$J,"="&amp;$H$2),
AND($H$2=Data!$A$6,$K$2=Data!$A$2),SUMIFS(Proventos!$H:$H,Proventos!$D:$D,"&gt;="&amp;CONCATENATE($N$6,"/",B60),Proventos!$D:$D,"&lt;"&amp;CONCATENATE($C$6,"/",B61),Proventos!$J:$J,"="&amp;$H$2),
AND($H$2=Data!$A$7,$K$2=Data!$A$2),SUMIFS(Proventos!$H:$H,Proventos!$D:$D,"&gt;="&amp;CONCATENATE($N$6,"/",B60),Proventos!$D:$D,"&lt;"&amp;CONCATENATE($C$6,"/",B61),Proventos!$J:$J,"="&amp;$H$2),
AND($H$2=Data!$A$8,$K$2=Data!$A$2),SUMIFS(Proventos!$H:$H,Proventos!$D:$D,"&gt;="&amp;CONCATENATE($N$6,"/",B60),Proventos!$D:$D,"&lt;"&amp;CONCATENATE($C$6,"/",B61),Proventos!$J:$J,"="&amp;$H$2),
AND($H$2=Data!$A$9,$K$2=Data!$A$2),SUMIFS(Proventos!$H:$H,Proventos!$D:$D,"&gt;="&amp;CONCATENATE($N$6,"/",B60),Proventos!$D:$D,"&lt;"&amp;CONCATENATE($C$6,"/",B61),Proventos!$J:$J,"="&amp;$H$2),
AND($H$2=Data!$A$10,$K$2=Data!$A$2),SUMIFS(Proventos!$H:$H,Proventos!$D:$D,"&gt;="&amp;CONCATENATE($N$6,"/",B60),Proventos!$D:$D,"&lt;"&amp;CONCATENATE($C$6,"/",B61),Proventos!$J:$J,"="&amp;$H$2),
AND($H$2=Data!$A$11,$K$2=Data!$A$2),SUMIFS(Proventos!$H:$H,Proventos!$D:$D,"&gt;="&amp;CONCATENATE($N$6,"/",B60),Proventos!$D:$D,"&lt;"&amp;CONCATENATE($C$6,"/",B61),Proventos!$J:$J,"="&amp;$H$2),
$K$2=Data!$A$2,SUMIFS(Proventos!$H:$H,Proventos!$D:$D,"&gt;="&amp;CONCATENATE($N$6,"/",B60),Proventos!$D:$D,"&lt;"&amp;CONCATENATE($C$6,"/",B61)),
$K$2&lt;&gt;Data!$A$2,SUMIFS(Proventos!$H:$H,Proventos!$D:$D,"&gt;="&amp;CONCATENATE($N$6,"/",B60),Proventos!$D:$D,"&lt;"&amp;CONCATENATE($C$6,"/",B61),Proventos!$A:$A,"="&amp;$K$2))</f>
        <v>0</v>
      </c>
      <c r="O60" s="245"/>
      <c r="P60" s="245">
        <f t="shared" si="1"/>
        <v>0</v>
      </c>
      <c r="Q60" s="245">
        <f t="shared" si="2"/>
        <v>0</v>
      </c>
    </row>
    <row r="61" ht="32.25" customHeight="1">
      <c r="A61" s="230"/>
      <c r="B61" s="244"/>
      <c r="C61" s="245">
        <f>IFS(
AND($H$2=Data!$A$3,$K$2=Data!$A$2),SUMIFS(Proventos!$H:$H,Proventos!$D:$D,"&gt;="&amp;CONCATENATE($C$6,"/",B61),Proventos!$D:$D,"&lt;"&amp;CONCATENATE($D$6,"/",B61),Proventos!$J:$J,"="&amp;$H$2),
AND($H$2=Data!$A$4,$K$2=Data!$A$2),SUMIFS(Proventos!$H:$H,Proventos!$D:$D,"&gt;="&amp;CONCATENATE($C$6,"/",B61),Proventos!$D:$D,"&lt;"&amp;CONCATENATE($D$6,"/",B61),Proventos!$J:$J,"="&amp;$H$2),
AND($H$2=Data!$A$5,$K$2=Data!$A$2),SUMIFS(Proventos!$H:$H,Proventos!$D:$D,"&gt;="&amp;CONCATENATE($C$6,"/",B61),Proventos!$D:$D,"&lt;"&amp;CONCATENATE($D$6,"/",B61),Proventos!$J:$J,"="&amp;$H$2),
AND($H$2=Data!$A$6,$K$2=Data!$A$2),SUMIFS(Proventos!$H:$H,Proventos!$D:$D,"&gt;="&amp;CONCATENATE($C$6,"/",B61),Proventos!$D:$D,"&lt;"&amp;CONCATENATE($D$6,"/",B61),Proventos!$J:$J,"="&amp;$H$2),
AND($H$2=Data!$A$7,$K$2=Data!$A$2),SUMIFS(Proventos!$H:$H,Proventos!$D:$D,"&gt;="&amp;CONCATENATE($C$6,"/",B61),Proventos!$D:$D,"&lt;"&amp;CONCATENATE($D$6,"/",B61),Proventos!$J:$J,"="&amp;$H$2),
AND($H$2=Data!$A$8,$K$2=Data!$A$2),SUMIFS(Proventos!$H:$H,Proventos!$D:$D,"&gt;="&amp;CONCATENATE($C$6,"/",B61),Proventos!$D:$D,"&lt;"&amp;CONCATENATE($D$6,"/",B61),Proventos!$J:$J,"="&amp;$H$2),
AND($H$2=Data!$A$9,$K$2=Data!$A$2),SUMIFS(Proventos!$H:$H,Proventos!$D:$D,"&gt;="&amp;CONCATENATE($C$6,"/",B61),Proventos!$D:$D,"&lt;"&amp;CONCATENATE($D$6,"/",B61),Proventos!$J:$J,"="&amp;$H$2),
AND($H$2=Data!$A$10,$K$2=Data!$A$2),SUMIFS(Proventos!$H:$H,Proventos!$D:$D,"&gt;="&amp;CONCATENATE($C$6,"/",B61),Proventos!$D:$D,"&lt;"&amp;CONCATENATE($D$6,"/",B61),Proventos!$J:$J,"="&amp;$H$2),
AND($H$2=Data!$A$11,$K$2=Data!$A$2),SUMIFS(Proventos!$H:$H,Proventos!$D:$D,"&gt;="&amp;CONCATENATE($C$6,"/",B61),Proventos!$D:$D,"&lt;"&amp;CONCATENATE($D$6,"/",B61),Proventos!$J:$J,"="&amp;$H$2),
$K$2=Data!$A$2,SUMIFS(Proventos!$H:$H,Proventos!$D:$D,"&gt;="&amp;CONCATENATE($C$6,"/",B61),Proventos!$D:$D,"&lt;"&amp;CONCATENATE($D$6,"/",B61)),
$K$2&lt;&gt;Data!$A$2,SUMIFS(Proventos!$H:$H,Proventos!$D:$D,"&gt;="&amp;CONCATENATE($C$6,"/",B61),Proventos!$D:$D,"&lt;"&amp;CONCATENATE($D$6,"/",B61),Proventos!$A:$A,"="&amp;$K$2))</f>
        <v>0</v>
      </c>
      <c r="D61" s="245">
        <f>IFS(
AND($H$2=Data!$A$3,$K$2=Data!$A$2),SUMIFS(Proventos!$H:$H,Proventos!$D:$D,"&gt;="&amp;CONCATENATE($D$6,"/",B61),Proventos!$D:$D,"&lt;"&amp;CONCATENATE($E$6,"/",B61),Proventos!$J:$J,"="&amp;$H$2),
AND($H$2=Data!$A$4,$K$2=Data!$A$2),SUMIFS(Proventos!$H:$H,Proventos!$D:$D,"&gt;="&amp;CONCATENATE($D$6,"/",B61),Proventos!$D:$D,"&lt;"&amp;CONCATENATE($E$6,"/",B61),Proventos!$J:$J,"="&amp;$H$2),
AND($H$2=Data!$A$5,$K$2=Data!$A$2),SUMIFS(Proventos!$H:$H,Proventos!$D:$D,"&gt;="&amp;CONCATENATE($D$6,"/",B61),Proventos!$D:$D,"&lt;"&amp;CONCATENATE($E$6,"/",B61),Proventos!$J:$J,"="&amp;$H$2),
AND($H$2=Data!$A$6,$K$2=Data!$A$2),SUMIFS(Proventos!$H:$H,Proventos!$D:$D,"&gt;="&amp;CONCATENATE($D$6,"/",B61),Proventos!$D:$D,"&lt;"&amp;CONCATENATE($E$6,"/",B61),Proventos!$J:$J,"="&amp;$H$2),
AND($H$2=Data!$A$7,$K$2=Data!$A$2),SUMIFS(Proventos!$H:$H,Proventos!$D:$D,"&gt;="&amp;CONCATENATE($D$6,"/",B61),Proventos!$D:$D,"&lt;"&amp;CONCATENATE($E$6,"/",B61),Proventos!$J:$J,"="&amp;$H$2),
AND($H$2=Data!$A$8,$K$2=Data!$A$2),SUMIFS(Proventos!$H:$H,Proventos!$D:$D,"&gt;="&amp;CONCATENATE($D$6,"/",B61),Proventos!$D:$D,"&lt;"&amp;CONCATENATE($E$6,"/",B61),Proventos!$J:$J,"="&amp;$H$2),
AND($H$2=Data!$A$9,$K$2=Data!$A$2),SUMIFS(Proventos!$H:$H,Proventos!$D:$D,"&gt;="&amp;CONCATENATE($D$6,"/",B61),Proventos!$D:$D,"&lt;"&amp;CONCATENATE($E$6,"/",B61),Proventos!$J:$J,"="&amp;$H$2),
AND($H$2=Data!$A$10,$K$2=Data!$A$2),SUMIFS(Proventos!$H:$H,Proventos!$D:$D,"&gt;="&amp;CONCATENATE($D$6,"/",B61),Proventos!$D:$D,"&lt;"&amp;CONCATENATE($E$6,"/",B61),Proventos!$J:$J,"="&amp;$H$2),
AND($H$2=Data!$A$11,$K$2=Data!$A$2),SUMIFS(Proventos!$H:$H,Proventos!$D:$D,"&gt;="&amp;CONCATENATE($D$6,"/",B61),Proventos!$D:$D,"&lt;"&amp;CONCATENATE($E$6,"/",B61),Proventos!$J:$J,"="&amp;$H$2),
$K$2=Data!$A$2,SUMIFS(Proventos!$H:$H,Proventos!$D:$D,"&gt;="&amp;CONCATENATE($D$6,"/",B61),Proventos!$D:$D,"&lt;"&amp;CONCATENATE($E$6,"/",B61)),
$K$2&lt;&gt;Data!$A$2,SUMIFS(Proventos!$H:$H,Proventos!$D:$D,"&gt;="&amp;CONCATENATE($D$6,"/",B61),Proventos!$D:$D,"&lt;"&amp;CONCATENATE($E$6,"/",B61),Proventos!$A:$A,"="&amp;$K$2))</f>
        <v>0</v>
      </c>
      <c r="E61" s="245">
        <f>IFS(
AND($H$2=Data!$A$3,$K$2=Data!$A$2),SUMIFS(Proventos!$H:$H,Proventos!$D:$D,"&gt;="&amp;CONCATENATE($E$6,"/",B61),Proventos!$D:$D,"&lt;"&amp;CONCATENATE($F$6,"/",B61),Proventos!$J:$J,"="&amp;$H$2),
AND($H$2=Data!$A$4,$K$2=Data!$A$2),SUMIFS(Proventos!$H:$H,Proventos!$D:$D,"&gt;="&amp;CONCATENATE($E$6,"/",B61),Proventos!$D:$D,"&lt;"&amp;CONCATENATE($F$6,"/",B61),Proventos!$J:$J,"="&amp;$H$2),
AND($H$2=Data!$A$5,$K$2=Data!$A$2),SUMIFS(Proventos!$H:$H,Proventos!$D:$D,"&gt;="&amp;CONCATENATE($E$6,"/",B61),Proventos!$D:$D,"&lt;"&amp;CONCATENATE($F$6,"/",B61),Proventos!$J:$J,"="&amp;$H$2),
AND($H$2=Data!$A$6,$K$2=Data!$A$2),SUMIFS(Proventos!$H:$H,Proventos!$D:$D,"&gt;="&amp;CONCATENATE($E$6,"/",B61),Proventos!$D:$D,"&lt;"&amp;CONCATENATE($F$6,"/",B61),Proventos!$J:$J,"="&amp;$H$2),
AND($H$2=Data!$A$7,$K$2=Data!$A$2),SUMIFS(Proventos!$H:$H,Proventos!$D:$D,"&gt;="&amp;CONCATENATE($E$6,"/",B61),Proventos!$D:$D,"&lt;"&amp;CONCATENATE($F$6,"/",B61),Proventos!$J:$J,"="&amp;$H$2),
AND($H$2=Data!$A$8,$K$2=Data!$A$2),SUMIFS(Proventos!$H:$H,Proventos!$D:$D,"&gt;="&amp;CONCATENATE($E$6,"/",B61),Proventos!$D:$D,"&lt;"&amp;CONCATENATE($F$6,"/",B61),Proventos!$J:$J,"="&amp;$H$2),
AND($H$2=Data!$A$9,$K$2=Data!$A$2),SUMIFS(Proventos!$H:$H,Proventos!$D:$D,"&gt;="&amp;CONCATENATE($E$6,"/",B61),Proventos!$D:$D,"&lt;"&amp;CONCATENATE($F$6,"/",B61),Proventos!$J:$J,"="&amp;$H$2),
AND($H$2=Data!$A$10,$K$2=Data!$A$2),SUMIFS(Proventos!$H:$H,Proventos!$D:$D,"&gt;="&amp;CONCATENATE($E$6,"/",B61),Proventos!$D:$D,"&lt;"&amp;CONCATENATE($F$6,"/",B61),Proventos!$J:$J,"="&amp;$H$2),
AND($H$2=Data!$A$11,$K$2=Data!$A$2),SUMIFS(Proventos!$H:$H,Proventos!$D:$D,"&gt;="&amp;CONCATENATE($E$6,"/",B61),Proventos!$D:$D,"&lt;"&amp;CONCATENATE($F$6,"/",B61),Proventos!$J:$J,"="&amp;$H$2),
$K$2=Data!$A$2,SUMIFS(Proventos!$H:$H,Proventos!$D:$D,"&gt;="&amp;CONCATENATE($E$6,"/",B61),Proventos!$D:$D,"&lt;"&amp;CONCATENATE($F$6,"/",B61)),
$K$2&lt;&gt;Data!$A$2,SUMIFS(Proventos!$H:$H,Proventos!$D:$D,"&gt;="&amp;CONCATENATE($E$6,"/",B61),Proventos!$D:$D,"&lt;"&amp;CONCATENATE($F$6,"/",B61),Proventos!$A:$A,"="&amp;$K$2))</f>
        <v>0</v>
      </c>
      <c r="F61" s="245">
        <f>IFS(
AND($H$2=Data!$A$3,$K$2=Data!$A$2),SUMIFS(Proventos!$H:$H,Proventos!$D:$D,"&gt;="&amp;CONCATENATE($F$6,"/",B61),Proventos!$D:$D,"&lt;"&amp;CONCATENATE($G$6,"/",B61),Proventos!$J:$J,"="&amp;$H$2),
AND($H$2=Data!$A$4,$K$2=Data!$A$2),SUMIFS(Proventos!$H:$H,Proventos!$D:$D,"&gt;="&amp;CONCATENATE($F$6,"/",B61),Proventos!$D:$D,"&lt;"&amp;CONCATENATE($G$6,"/",B61),Proventos!$J:$J,"="&amp;$H$2),
AND($H$2=Data!$A$5,$K$2=Data!$A$2),SUMIFS(Proventos!$H:$H,Proventos!$D:$D,"&gt;="&amp;CONCATENATE($F$6,"/",B61),Proventos!$D:$D,"&lt;"&amp;CONCATENATE($G$6,"/",B61),Proventos!$J:$J,"="&amp;$H$2),
AND($H$2=Data!$A$6,$K$2=Data!$A$2),SUMIFS(Proventos!$H:$H,Proventos!$D:$D,"&gt;="&amp;CONCATENATE($F$6,"/",B61),Proventos!$D:$D,"&lt;"&amp;CONCATENATE($G$6,"/",B61),Proventos!$J:$J,"="&amp;$H$2),
AND($H$2=Data!$A$7,$K$2=Data!$A$2),SUMIFS(Proventos!$H:$H,Proventos!$D:$D,"&gt;="&amp;CONCATENATE($F$6,"/",B61),Proventos!$D:$D,"&lt;"&amp;CONCATENATE($G$6,"/",B61),Proventos!$J:$J,"="&amp;$H$2),
AND($H$2=Data!$A$8,$K$2=Data!$A$2),SUMIFS(Proventos!$H:$H,Proventos!$D:$D,"&gt;="&amp;CONCATENATE($F$6,"/",B61),Proventos!$D:$D,"&lt;"&amp;CONCATENATE($G$6,"/",B61),Proventos!$J:$J,"="&amp;$H$2),
AND($H$2=Data!$A$9,$K$2=Data!$A$2),SUMIFS(Proventos!$H:$H,Proventos!$D:$D,"&gt;="&amp;CONCATENATE($F$6,"/",B61),Proventos!$D:$D,"&lt;"&amp;CONCATENATE($G$6,"/",B61),Proventos!$J:$J,"="&amp;$H$2),
AND($H$2=Data!$A$10,$K$2=Data!$A$2),SUMIFS(Proventos!$H:$H,Proventos!$D:$D,"&gt;="&amp;CONCATENATE($F$6,"/",B61),Proventos!$D:$D,"&lt;"&amp;CONCATENATE($G$6,"/",B61),Proventos!$J:$J,"="&amp;$H$2),
AND($H$2=Data!$A$11,$K$2=Data!$A$2),SUMIFS(Proventos!$H:$H,Proventos!$D:$D,"&gt;="&amp;CONCATENATE($F$6,"/",B61),Proventos!$D:$D,"&lt;"&amp;CONCATENATE($G$6,"/",B61),Proventos!$J:$J,"="&amp;$H$2),
$K$2=Data!$A$2,SUMIFS(Proventos!$H:$H,Proventos!$D:$D,"&gt;="&amp;CONCATENATE($F$6,"/",B61),Proventos!$D:$D,"&lt;"&amp;CONCATENATE($G$6,"/",B61)),
$K$2&lt;&gt;Data!$A$2,SUMIFS(Proventos!$H:$H,Proventos!$D:$D,"&gt;="&amp;CONCATENATE($F$6,"/",B61),Proventos!$D:$D,"&lt;"&amp;CONCATENATE($G$6,"/",B61),Proventos!$A:$A,"="&amp;$K$2))</f>
        <v>0</v>
      </c>
      <c r="G61" s="245">
        <f>IFS(
AND($H$2=Data!$A$3,$K$2=Data!$A$2),SUMIFS(Proventos!$H:$H,Proventos!$D:$D,"&gt;="&amp;CONCATENATE($G$6,"/",B61),Proventos!$D:$D,"&lt;"&amp;CONCATENATE($H$6,"/",B61),Proventos!$J:$J,"="&amp;$H$2),
AND($H$2=Data!$A$4,$K$2=Data!$A$2),SUMIFS(Proventos!$H:$H,Proventos!$D:$D,"&gt;="&amp;CONCATENATE($G$6,"/",B61),Proventos!$D:$D,"&lt;"&amp;CONCATENATE($H$6,"/",B61),Proventos!$J:$J,"="&amp;$H$2),
AND($H$2=Data!$A$5,$K$2=Data!$A$2),SUMIFS(Proventos!$H:$H,Proventos!$D:$D,"&gt;="&amp;CONCATENATE($G$6,"/",B61),Proventos!$D:$D,"&lt;"&amp;CONCATENATE($H$6,"/",B61),Proventos!$J:$J,"="&amp;$H$2),
AND($H$2=Data!$A$6,$K$2=Data!$A$2),SUMIFS(Proventos!$H:$H,Proventos!$D:$D,"&gt;="&amp;CONCATENATE($G$6,"/",B61),Proventos!$D:$D,"&lt;"&amp;CONCATENATE($H$6,"/",B61),Proventos!$J:$J,"="&amp;$H$2),
AND($H$2=Data!$A$7,$K$2=Data!$A$2),SUMIFS(Proventos!$H:$H,Proventos!$D:$D,"&gt;="&amp;CONCATENATE($G$6,"/",B61),Proventos!$D:$D,"&lt;"&amp;CONCATENATE($H$6,"/",B61),Proventos!$J:$J,"="&amp;$H$2),
AND($H$2=Data!$A$8,$K$2=Data!$A$2),SUMIFS(Proventos!$H:$H,Proventos!$D:$D,"&gt;="&amp;CONCATENATE($G$6,"/",B61),Proventos!$D:$D,"&lt;"&amp;CONCATENATE($H$6,"/",B61),Proventos!$J:$J,"="&amp;$H$2),
AND($H$2=Data!$A$9,$K$2=Data!$A$2),SUMIFS(Proventos!$H:$H,Proventos!$D:$D,"&gt;="&amp;CONCATENATE($G$6,"/",B61),Proventos!$D:$D,"&lt;"&amp;CONCATENATE($H$6,"/",B61),Proventos!$J:$J,"="&amp;$H$2),
AND($H$2=Data!$A$10,$K$2=Data!$A$2),SUMIFS(Proventos!$H:$H,Proventos!$D:$D,"&gt;="&amp;CONCATENATE($G$6,"/",B61),Proventos!$D:$D,"&lt;"&amp;CONCATENATE($H$6,"/",B61),Proventos!$J:$J,"="&amp;$H$2),
AND($H$2=Data!$A$11,$K$2=Data!$A$2),SUMIFS(Proventos!$H:$H,Proventos!$D:$D,"&gt;="&amp;CONCATENATE($G$6,"/",B61),Proventos!$D:$D,"&lt;"&amp;CONCATENATE($H$6,"/",B61),Proventos!$J:$J,"="&amp;$H$2),
$K$2=Data!$A$2,SUMIFS(Proventos!$H:$H,Proventos!$D:$D,"&gt;="&amp;CONCATENATE($G$6,"/",B61),Proventos!$D:$D,"&lt;"&amp;CONCATENATE($H$6,"/",B61)),
$K$2&lt;&gt;Data!$A$2,SUMIFS(Proventos!$H:$H,Proventos!$D:$D,"&gt;="&amp;CONCATENATE($G$6,"/",B61),Proventos!$D:$D,"&lt;"&amp;CONCATENATE($H$6,"/",B61),Proventos!$A:$A,"="&amp;$K$2))</f>
        <v>0</v>
      </c>
      <c r="H61" s="245">
        <f>IFS(
AND($H$2=Data!$A$3,$K$2=Data!$A$2),SUMIFS(Proventos!$H:$H,Proventos!$D:$D,"&gt;="&amp;CONCATENATE($H$6,"/",B61),Proventos!$D:$D,"&lt;"&amp;CONCATENATE($I$6,"/",B61),Proventos!$J:$J,"="&amp;$H$2),
AND($H$2=Data!$A$4,$K$2=Data!$A$2),SUMIFS(Proventos!$H:$H,Proventos!$D:$D,"&gt;="&amp;CONCATENATE($H$6,"/",B61),Proventos!$D:$D,"&lt;"&amp;CONCATENATE($I$6,"/",B61),Proventos!$J:$J,"="&amp;$H$2),
AND($H$2=Data!$A$5,$K$2=Data!$A$2),SUMIFS(Proventos!$H:$H,Proventos!$D:$D,"&gt;="&amp;CONCATENATE($H$6,"/",B61),Proventos!$D:$D,"&lt;"&amp;CONCATENATE($I$6,"/",B61),Proventos!$J:$J,"="&amp;$H$2),
AND($H$2=Data!$A$6,$K$2=Data!$A$2),SUMIFS(Proventos!$H:$H,Proventos!$D:$D,"&gt;="&amp;CONCATENATE($H$6,"/",B61),Proventos!$D:$D,"&lt;"&amp;CONCATENATE($I$6,"/",B61),Proventos!$J:$J,"="&amp;$H$2),
AND($H$2=Data!$A$7,$K$2=Data!$A$2),SUMIFS(Proventos!$H:$H,Proventos!$D:$D,"&gt;="&amp;CONCATENATE($H$6,"/",B61),Proventos!$D:$D,"&lt;"&amp;CONCATENATE($I$6,"/",B61),Proventos!$J:$J,"="&amp;$H$2),
AND($H$2=Data!$A$8,$K$2=Data!$A$2),SUMIFS(Proventos!$H:$H,Proventos!$D:$D,"&gt;="&amp;CONCATENATE($H$6,"/",B61),Proventos!$D:$D,"&lt;"&amp;CONCATENATE($I$6,"/",B61),Proventos!$J:$J,"="&amp;$H$2),
AND($H$2=Data!$A$9,$K$2=Data!$A$2),SUMIFS(Proventos!$H:$H,Proventos!$D:$D,"&gt;="&amp;CONCATENATE($H$6,"/",B61),Proventos!$D:$D,"&lt;"&amp;CONCATENATE($I$6,"/",B61),Proventos!$J:$J,"="&amp;$H$2),
AND($H$2=Data!$A$10,$K$2=Data!$A$2),SUMIFS(Proventos!$H:$H,Proventos!$D:$D,"&gt;="&amp;CONCATENATE($H$6,"/",B61),Proventos!$D:$D,"&lt;"&amp;CONCATENATE($I$6,"/",B61),Proventos!$J:$J,"="&amp;$H$2),
AND($H$2=Data!$A$11,$K$2=Data!$A$2),SUMIFS(Proventos!$H:$H,Proventos!$D:$D,"&gt;="&amp;CONCATENATE($H$6,"/",B61),Proventos!$D:$D,"&lt;"&amp;CONCATENATE($I$6,"/",B61),Proventos!$J:$J,"="&amp;$H$2),
$K$2=Data!$A$2,SUMIFS(Proventos!$H:$H,Proventos!$D:$D,"&gt;="&amp;CONCATENATE($H$6,"/",B61),Proventos!$D:$D,"&lt;"&amp;CONCATENATE($I$6,"/",B61)),
$K$2&lt;&gt;Data!$A$2,SUMIFS(Proventos!$H:$H,Proventos!$D:$D,"&gt;="&amp;CONCATENATE($H$6,"/",B61),Proventos!$D:$D,"&lt;"&amp;CONCATENATE($I$6,"/",B61),Proventos!$A:$A,"="&amp;$K$2))</f>
        <v>0</v>
      </c>
      <c r="I61" s="245">
        <f>IFS(
AND($H$2=Data!$A$3,$K$2=Data!$A$2),SUMIFS(Proventos!$H:$H,Proventos!$D:$D,"&gt;="&amp;CONCATENATE($I$6,"/",B61),Proventos!$D:$D,"&lt;"&amp;CONCATENATE($J$6,"/",B61),Proventos!$J:$J,"="&amp;$H$2),
AND($H$2=Data!$A$4,$K$2=Data!$A$2),SUMIFS(Proventos!$H:$H,Proventos!$D:$D,"&gt;="&amp;CONCATENATE($I$6,"/",B61),Proventos!$D:$D,"&lt;"&amp;CONCATENATE($J$6,"/",B61),Proventos!$J:$J,"="&amp;$H$2),
AND($H$2=Data!$A$5,$K$2=Data!$A$2),SUMIFS(Proventos!$H:$H,Proventos!$D:$D,"&gt;="&amp;CONCATENATE($I$6,"/",B61),Proventos!$D:$D,"&lt;"&amp;CONCATENATE($J$6,"/",B61),Proventos!$J:$J,"="&amp;$H$2),
AND($H$2=Data!$A$6,$K$2=Data!$A$2),SUMIFS(Proventos!$H:$H,Proventos!$D:$D,"&gt;="&amp;CONCATENATE($I$6,"/",B61),Proventos!$D:$D,"&lt;"&amp;CONCATENATE($J$6,"/",B61),Proventos!$J:$J,"="&amp;$H$2),
AND($H$2=Data!$A$7,$K$2=Data!$A$2),SUMIFS(Proventos!$H:$H,Proventos!$D:$D,"&gt;="&amp;CONCATENATE($I$6,"/",B61),Proventos!$D:$D,"&lt;"&amp;CONCATENATE($J$6,"/",B61),Proventos!$J:$J,"="&amp;$H$2),
AND($H$2=Data!$A$8,$K$2=Data!$A$2),SUMIFS(Proventos!$H:$H,Proventos!$D:$D,"&gt;="&amp;CONCATENATE($I$6,"/",B61),Proventos!$D:$D,"&lt;"&amp;CONCATENATE($J$6,"/",B61),Proventos!$J:$J,"="&amp;$H$2),
AND($H$2=Data!$A$9,$K$2=Data!$A$2),SUMIFS(Proventos!$H:$H,Proventos!$D:$D,"&gt;="&amp;CONCATENATE($I$6,"/",B61),Proventos!$D:$D,"&lt;"&amp;CONCATENATE($J$6,"/",B61),Proventos!$J:$J,"="&amp;$H$2),
AND($H$2=Data!$A$10,$K$2=Data!$A$2),SUMIFS(Proventos!$H:$H,Proventos!$D:$D,"&gt;="&amp;CONCATENATE($I$6,"/",B61),Proventos!$D:$D,"&lt;"&amp;CONCATENATE($J$6,"/",B61),Proventos!$J:$J,"="&amp;$H$2),
AND($H$2=Data!$A$11,$K$2=Data!$A$2),SUMIFS(Proventos!$H:$H,Proventos!$D:$D,"&gt;="&amp;CONCATENATE($I$6,"/",B61),Proventos!$D:$D,"&lt;"&amp;CONCATENATE($J$6,"/",B61),Proventos!$J:$J,"="&amp;$H$2),
$K$2=Data!$A$2,SUMIFS(Proventos!$H:$H,Proventos!$D:$D,"&gt;="&amp;CONCATENATE($I$6,"/",B61),Proventos!$D:$D,"&lt;"&amp;CONCATENATE($J$6,"/",B61)),
$K$2&lt;&gt;Data!$A$2,SUMIFS(Proventos!$H:$H,Proventos!$D:$D,"&gt;="&amp;CONCATENATE($I$6,"/",B61),Proventos!$D:$D,"&lt;"&amp;CONCATENATE($J$6,"/",B61),Proventos!$A:$A,"="&amp;$K$2))</f>
        <v>0</v>
      </c>
      <c r="J61" s="245">
        <f>IFS(
AND($H$2=Data!$A$3,$K$2=Data!$A$2),SUMIFS(Proventos!$H:$H,Proventos!$D:$D,"&gt;="&amp;CONCATENATE($J$6,"/",B61),Proventos!$D:$D,"&lt;"&amp;CONCATENATE($K$6,"/",B61),Proventos!$J:$J,"="&amp;$H$2),
AND($H$2=Data!$A$4,$K$2=Data!$A$2),SUMIFS(Proventos!$H:$H,Proventos!$D:$D,"&gt;="&amp;CONCATENATE($J$6,"/",B61),Proventos!$D:$D,"&lt;"&amp;CONCATENATE($K$6,"/",B61),Proventos!$J:$J,"="&amp;$H$2),
AND($H$2=Data!$A$5,$K$2=Data!$A$2),SUMIFS(Proventos!$H:$H,Proventos!$D:$D,"&gt;="&amp;CONCATENATE($J$6,"/",B61),Proventos!$D:$D,"&lt;"&amp;CONCATENATE($K$6,"/",B61),Proventos!$J:$J,"="&amp;$H$2),
AND($H$2=Data!$A$6,$K$2=Data!$A$2),SUMIFS(Proventos!$H:$H,Proventos!$D:$D,"&gt;="&amp;CONCATENATE($J$6,"/",B61),Proventos!$D:$D,"&lt;"&amp;CONCATENATE($K$6,"/",B61),Proventos!$J:$J,"="&amp;$H$2),
AND($H$2=Data!$A$7,$K$2=Data!$A$2),SUMIFS(Proventos!$H:$H,Proventos!$D:$D,"&gt;="&amp;CONCATENATE($J$6,"/",B61),Proventos!$D:$D,"&lt;"&amp;CONCATENATE($K$6,"/",B61),Proventos!$J:$J,"="&amp;$H$2),
AND($H$2=Data!$A$8,$K$2=Data!$A$2),SUMIFS(Proventos!$H:$H,Proventos!$D:$D,"&gt;="&amp;CONCATENATE($J$6,"/",B61),Proventos!$D:$D,"&lt;"&amp;CONCATENATE($K$6,"/",B61),Proventos!$J:$J,"="&amp;$H$2),
AND($H$2=Data!$A$9,$K$2=Data!$A$2),SUMIFS(Proventos!$H:$H,Proventos!$D:$D,"&gt;="&amp;CONCATENATE($J$6,"/",B61),Proventos!$D:$D,"&lt;"&amp;CONCATENATE($K$6,"/",B61),Proventos!$J:$J,"="&amp;$H$2),
AND($H$2=Data!$A$10,$K$2=Data!$A$2),SUMIFS(Proventos!$H:$H,Proventos!$D:$D,"&gt;="&amp;CONCATENATE($J$6,"/",B61),Proventos!$D:$D,"&lt;"&amp;CONCATENATE($K$6,"/",B61),Proventos!$J:$J,"="&amp;$H$2),
AND($H$2=Data!$A$11,$K$2=Data!$A$2),SUMIFS(Proventos!$H:$H,Proventos!$D:$D,"&gt;="&amp;CONCATENATE($J$6,"/",B61),Proventos!$D:$D,"&lt;"&amp;CONCATENATE($K$6,"/",B61),Proventos!$J:$J,"="&amp;$H$2),
$K$2=Data!$A$2,SUMIFS(Proventos!$H:$H,Proventos!$D:$D,"&gt;="&amp;CONCATENATE($J$6,"/",B61),Proventos!$D:$D,"&lt;"&amp;CONCATENATE($K$6,"/",B61)),
$K$2&lt;&gt;Data!$A$2,SUMIFS(Proventos!$H:$H,Proventos!$D:$D,"&gt;="&amp;CONCATENATE($J$6,"/",B61),Proventos!$D:$D,"&lt;"&amp;CONCATENATE($K$6,"/",B61),Proventos!$A:$A,"="&amp;$K$2))</f>
        <v>0</v>
      </c>
      <c r="K61" s="245">
        <f>IFS(
AND($H$2=Data!$A$3,$K$2=Data!$A$2),SUMIFS(Proventos!$H:$H,Proventos!$D:$D,"&gt;="&amp;CONCATENATE($K$6,"/",B61),Proventos!$D:$D,"&lt;"&amp;CONCATENATE($L$6,"/",B61),Proventos!$J:$J,"="&amp;$H$2),
AND($H$2=Data!$A$4,$K$2=Data!$A$2),SUMIFS(Proventos!$H:$H,Proventos!$D:$D,"&gt;="&amp;CONCATENATE($K$6,"/",B61),Proventos!$D:$D,"&lt;"&amp;CONCATENATE($L$6,"/",B61),Proventos!$J:$J,"="&amp;$H$2),
AND($H$2=Data!$A$5,$K$2=Data!$A$2),SUMIFS(Proventos!$H:$H,Proventos!$D:$D,"&gt;="&amp;CONCATENATE($K$6,"/",B61),Proventos!$D:$D,"&lt;"&amp;CONCATENATE($L$6,"/",B61),Proventos!$J:$J,"="&amp;$H$2),
AND($H$2=Data!$A$6,$K$2=Data!$A$2),SUMIFS(Proventos!$H:$H,Proventos!$D:$D,"&gt;="&amp;CONCATENATE($K$6,"/",B61),Proventos!$D:$D,"&lt;"&amp;CONCATENATE($L$6,"/",B61),Proventos!$J:$J,"="&amp;$H$2),
AND($H$2=Data!$A$7,$K$2=Data!$A$2),SUMIFS(Proventos!$H:$H,Proventos!$D:$D,"&gt;="&amp;CONCATENATE($K$6,"/",B61),Proventos!$D:$D,"&lt;"&amp;CONCATENATE($L$6,"/",B61),Proventos!$J:$J,"="&amp;$H$2),
AND($H$2=Data!$A$8,$K$2=Data!$A$2),SUMIFS(Proventos!$H:$H,Proventos!$D:$D,"&gt;="&amp;CONCATENATE($K$6,"/",B61),Proventos!$D:$D,"&lt;"&amp;CONCATENATE($L$6,"/",B61),Proventos!$J:$J,"="&amp;$H$2),
AND($H$2=Data!$A$9,$K$2=Data!$A$2),SUMIFS(Proventos!$H:$H,Proventos!$D:$D,"&gt;="&amp;CONCATENATE($K$6,"/",B61),Proventos!$D:$D,"&lt;"&amp;CONCATENATE($L$6,"/",B61),Proventos!$J:$J,"="&amp;$H$2),
AND($H$2=Data!$A$10,$K$2=Data!$A$2),SUMIFS(Proventos!$H:$H,Proventos!$D:$D,"&gt;="&amp;CONCATENATE($K$6,"/",B61),Proventos!$D:$D,"&lt;"&amp;CONCATENATE($L$6,"/",B61),Proventos!$J:$J,"="&amp;$H$2),
AND($H$2=Data!$A$11,$K$2=Data!$A$2),SUMIFS(Proventos!$H:$H,Proventos!$D:$D,"&gt;="&amp;CONCATENATE($K$6,"/",B61),Proventos!$D:$D,"&lt;"&amp;CONCATENATE($L$6,"/",B61),Proventos!$J:$J,"="&amp;$H$2),
$K$2=Data!$A$2,SUMIFS(Proventos!$H:$H,Proventos!$D:$D,"&gt;="&amp;CONCATENATE($K$6,"/",B61),Proventos!$D:$D,"&lt;"&amp;CONCATENATE($L$6,"/",B61)),
$K$2&lt;&gt;Data!$A$2,SUMIFS(Proventos!$H:$H,Proventos!$D:$D,"&gt;="&amp;CONCATENATE($K$6,"/",B61),Proventos!$D:$D,"&lt;"&amp;CONCATENATE($L$6,"/",B61),Proventos!$A:$A,"="&amp;$K$2))</f>
        <v>0</v>
      </c>
      <c r="L61" s="245">
        <f>IFS(
AND($H$2=Data!$A$3,$K$2=Data!$A$2),SUMIFS(Proventos!$H:$H,Proventos!$D:$D,"&gt;="&amp;CONCATENATE($L$6,"/",B61),Proventos!$D:$D,"&lt;"&amp;CONCATENATE($M$6,"/",B61),Proventos!$J:$J,"="&amp;$H$2),
AND($H$2=Data!$A$4,$K$2=Data!$A$2),SUMIFS(Proventos!$H:$H,Proventos!$D:$D,"&gt;="&amp;CONCATENATE($L$6,"/",B61),Proventos!$D:$D,"&lt;"&amp;CONCATENATE($M$6,"/",B61),Proventos!$J:$J,"="&amp;$H$2),
AND($H$2=Data!$A$5,$K$2=Data!$A$2),SUMIFS(Proventos!$H:$H,Proventos!$D:$D,"&gt;="&amp;CONCATENATE($L$6,"/",B61),Proventos!$D:$D,"&lt;"&amp;CONCATENATE($M$6,"/",B61),Proventos!$J:$J,"="&amp;$H$2),
AND($H$2=Data!$A$6,$K$2=Data!$A$2),SUMIFS(Proventos!$H:$H,Proventos!$D:$D,"&gt;="&amp;CONCATENATE($L$6,"/",B61),Proventos!$D:$D,"&lt;"&amp;CONCATENATE($M$6,"/",B61),Proventos!$J:$J,"="&amp;$H$2),
AND($H$2=Data!$A$7,$K$2=Data!$A$2),SUMIFS(Proventos!$H:$H,Proventos!$D:$D,"&gt;="&amp;CONCATENATE($L$6,"/",B61),Proventos!$D:$D,"&lt;"&amp;CONCATENATE($M$6,"/",B61),Proventos!$J:$J,"="&amp;$H$2),
AND($H$2=Data!$A$8,$K$2=Data!$A$2),SUMIFS(Proventos!$H:$H,Proventos!$D:$D,"&gt;="&amp;CONCATENATE($L$6,"/",B61),Proventos!$D:$D,"&lt;"&amp;CONCATENATE($M$6,"/",B61),Proventos!$J:$J,"="&amp;$H$2),
AND($H$2=Data!$A$9,$K$2=Data!$A$2),SUMIFS(Proventos!$H:$H,Proventos!$D:$D,"&gt;="&amp;CONCATENATE($L$6,"/",B61),Proventos!$D:$D,"&lt;"&amp;CONCATENATE($M$6,"/",B61),Proventos!$J:$J,"="&amp;$H$2),
AND($H$2=Data!$A$10,$K$2=Data!$A$2),SUMIFS(Proventos!$H:$H,Proventos!$D:$D,"&gt;="&amp;CONCATENATE($L$6,"/",B61),Proventos!$D:$D,"&lt;"&amp;CONCATENATE($M$6,"/",B61),Proventos!$J:$J,"="&amp;$H$2),
AND($H$2=Data!$A$11,$K$2=Data!$A$2),SUMIFS(Proventos!$H:$H,Proventos!$D:$D,"&gt;="&amp;CONCATENATE($L$6,"/",B61),Proventos!$D:$D,"&lt;"&amp;CONCATENATE($M$6,"/",B61),Proventos!$J:$J,"="&amp;$H$2),
$K$2=Data!$A$2,SUMIFS(Proventos!$H:$H,Proventos!$D:$D,"&gt;="&amp;CONCATENATE($L$6,"/",B61),Proventos!$D:$D,"&lt;"&amp;CONCATENATE($M$6,"/",B61)),
$K$2&lt;&gt;Data!$A$2,SUMIFS(Proventos!$H:$H,Proventos!$D:$D,"&gt;="&amp;CONCATENATE($L$6,"/",B61),Proventos!$D:$D,"&lt;"&amp;CONCATENATE($M$6,"/",B61),Proventos!$A:$A,"="&amp;$K$2))</f>
        <v>0</v>
      </c>
      <c r="M61" s="245">
        <f>IFS(
AND($H$2=Data!$A$3,$K$2=Data!$A$2),SUMIFS(Proventos!$H:$H,Proventos!$D:$D,"&gt;="&amp;CONCATENATE($M$6,"/",B61),Proventos!$D:$D,"&lt;"&amp;CONCATENATE($N$6,"/",B61),Proventos!$J:$J,"="&amp;$H$2),
AND($H$2=Data!$A$4,$K$2=Data!$A$2),SUMIFS(Proventos!$H:$H,Proventos!$D:$D,"&gt;="&amp;CONCATENATE($M$6,"/",B61),Proventos!$D:$D,"&lt;"&amp;CONCATENATE($N$6,"/",B61),Proventos!$J:$J,"="&amp;$H$2),
AND($H$2=Data!$A$5,$K$2=Data!$A$2),SUMIFS(Proventos!$H:$H,Proventos!$D:$D,"&gt;="&amp;CONCATENATE($M$6,"/",B61),Proventos!$D:$D,"&lt;"&amp;CONCATENATE($N$6,"/",B61),Proventos!$J:$J,"="&amp;$H$2),
AND($H$2=Data!$A$6,$K$2=Data!$A$2),SUMIFS(Proventos!$H:$H,Proventos!$D:$D,"&gt;="&amp;CONCATENATE($M$6,"/",B61),Proventos!$D:$D,"&lt;"&amp;CONCATENATE($N$6,"/",B61),Proventos!$J:$J,"="&amp;$H$2),
AND($H$2=Data!$A$7,$K$2=Data!$A$2),SUMIFS(Proventos!$H:$H,Proventos!$D:$D,"&gt;="&amp;CONCATENATE($M$6,"/",B61),Proventos!$D:$D,"&lt;"&amp;CONCATENATE($N$6,"/",B61),Proventos!$J:$J,"="&amp;$H$2),
AND($H$2=Data!$A$8,$K$2=Data!$A$2),SUMIFS(Proventos!$H:$H,Proventos!$D:$D,"&gt;="&amp;CONCATENATE($M$6,"/",B61),Proventos!$D:$D,"&lt;"&amp;CONCATENATE($N$6,"/",B61),Proventos!$J:$J,"="&amp;$H$2),
AND($H$2=Data!$A$9,$K$2=Data!$A$2),SUMIFS(Proventos!$H:$H,Proventos!$D:$D,"&gt;="&amp;CONCATENATE($M$6,"/",B61),Proventos!$D:$D,"&lt;"&amp;CONCATENATE($N$6,"/",B61),Proventos!$J:$J,"="&amp;$H$2),
AND($H$2=Data!$A$10,$K$2=Data!$A$2),SUMIFS(Proventos!$H:$H,Proventos!$D:$D,"&gt;="&amp;CONCATENATE($M$6,"/",B61),Proventos!$D:$D,"&lt;"&amp;CONCATENATE($N$6,"/",B61),Proventos!$J:$J,"="&amp;$H$2),
AND($H$2=Data!$A$11,$K$2=Data!$A$2),SUMIFS(Proventos!$H:$H,Proventos!$D:$D,"&gt;="&amp;CONCATENATE($M$6,"/",B61),Proventos!$D:$D,"&lt;"&amp;CONCATENATE($N$6,"/",B61),Proventos!$J:$J,"="&amp;$H$2),
$K$2=Data!$A$2,SUMIFS(Proventos!$H:$H,Proventos!$D:$D,"&gt;="&amp;CONCATENATE($M$6,"/",B61),Proventos!$D:$D,"&lt;"&amp;CONCATENATE($N$6,"/",B61)),
$K$2&lt;&gt;Data!$A$2,SUMIFS(Proventos!$H:$H,Proventos!$D:$D,"&gt;="&amp;CONCATENATE($M$6,"/",B61),Proventos!$D:$D,"&lt;"&amp;CONCATENATE($N$6,"/",B61),Proventos!$A:$A,"="&amp;$K$2))</f>
        <v>0</v>
      </c>
      <c r="N61" s="245">
        <f>IFS(
AND($H$2=Data!$A$3,$K$2=Data!$A$2),SUMIFS(Proventos!$H:$H,Proventos!$D:$D,"&gt;="&amp;CONCATENATE($N$6,"/",B61),Proventos!$D:$D,"&lt;"&amp;CONCATENATE($C$6,"/",B62),Proventos!$J:$J,"="&amp;$H$2),
AND($H$2=Data!$A$4,$K$2=Data!$A$2),SUMIFS(Proventos!$H:$H,Proventos!$D:$D,"&gt;="&amp;CONCATENATE($N$6,"/",B61),Proventos!$D:$D,"&lt;"&amp;CONCATENATE($C$6,"/",B62),Proventos!$J:$J,"="&amp;$H$2),
AND($H$2=Data!$A$5,$K$2=Data!$A$2),SUMIFS(Proventos!$H:$H,Proventos!$D:$D,"&gt;="&amp;CONCATENATE($N$6,"/",B61),Proventos!$D:$D,"&lt;"&amp;CONCATENATE($C$6,"/",B62),Proventos!$J:$J,"="&amp;$H$2),
AND($H$2=Data!$A$6,$K$2=Data!$A$2),SUMIFS(Proventos!$H:$H,Proventos!$D:$D,"&gt;="&amp;CONCATENATE($N$6,"/",B61),Proventos!$D:$D,"&lt;"&amp;CONCATENATE($C$6,"/",B62),Proventos!$J:$J,"="&amp;$H$2),
AND($H$2=Data!$A$7,$K$2=Data!$A$2),SUMIFS(Proventos!$H:$H,Proventos!$D:$D,"&gt;="&amp;CONCATENATE($N$6,"/",B61),Proventos!$D:$D,"&lt;"&amp;CONCATENATE($C$6,"/",B62),Proventos!$J:$J,"="&amp;$H$2),
AND($H$2=Data!$A$8,$K$2=Data!$A$2),SUMIFS(Proventos!$H:$H,Proventos!$D:$D,"&gt;="&amp;CONCATENATE($N$6,"/",B61),Proventos!$D:$D,"&lt;"&amp;CONCATENATE($C$6,"/",B62),Proventos!$J:$J,"="&amp;$H$2),
AND($H$2=Data!$A$9,$K$2=Data!$A$2),SUMIFS(Proventos!$H:$H,Proventos!$D:$D,"&gt;="&amp;CONCATENATE($N$6,"/",B61),Proventos!$D:$D,"&lt;"&amp;CONCATENATE($C$6,"/",B62),Proventos!$J:$J,"="&amp;$H$2),
AND($H$2=Data!$A$10,$K$2=Data!$A$2),SUMIFS(Proventos!$H:$H,Proventos!$D:$D,"&gt;="&amp;CONCATENATE($N$6,"/",B61),Proventos!$D:$D,"&lt;"&amp;CONCATENATE($C$6,"/",B62),Proventos!$J:$J,"="&amp;$H$2),
AND($H$2=Data!$A$11,$K$2=Data!$A$2),SUMIFS(Proventos!$H:$H,Proventos!$D:$D,"&gt;="&amp;CONCATENATE($N$6,"/",B61),Proventos!$D:$D,"&lt;"&amp;CONCATENATE($C$6,"/",B62),Proventos!$J:$J,"="&amp;$H$2),
$K$2=Data!$A$2,SUMIFS(Proventos!$H:$H,Proventos!$D:$D,"&gt;="&amp;CONCATENATE($N$6,"/",B61),Proventos!$D:$D,"&lt;"&amp;CONCATENATE($C$6,"/",B62)),
$K$2&lt;&gt;Data!$A$2,SUMIFS(Proventos!$H:$H,Proventos!$D:$D,"&gt;="&amp;CONCATENATE($N$6,"/",B61),Proventos!$D:$D,"&lt;"&amp;CONCATENATE($C$6,"/",B62),Proventos!$A:$A,"="&amp;$K$2))</f>
        <v>0</v>
      </c>
      <c r="O61" s="245"/>
      <c r="P61" s="245">
        <f t="shared" si="1"/>
        <v>0</v>
      </c>
      <c r="Q61" s="245">
        <f t="shared" si="2"/>
        <v>0</v>
      </c>
    </row>
    <row r="62" ht="32.25" customHeight="1">
      <c r="A62" s="230"/>
      <c r="B62" s="244"/>
      <c r="C62" s="245">
        <f>IFS(
AND($H$2=Data!$A$3,$K$2=Data!$A$2),SUMIFS(Proventos!$H:$H,Proventos!$D:$D,"&gt;="&amp;CONCATENATE($C$6,"/",B62),Proventos!$D:$D,"&lt;"&amp;CONCATENATE($D$6,"/",B62),Proventos!$J:$J,"="&amp;$H$2),
AND($H$2=Data!$A$4,$K$2=Data!$A$2),SUMIFS(Proventos!$H:$H,Proventos!$D:$D,"&gt;="&amp;CONCATENATE($C$6,"/",B62),Proventos!$D:$D,"&lt;"&amp;CONCATENATE($D$6,"/",B62),Proventos!$J:$J,"="&amp;$H$2),
AND($H$2=Data!$A$5,$K$2=Data!$A$2),SUMIFS(Proventos!$H:$H,Proventos!$D:$D,"&gt;="&amp;CONCATENATE($C$6,"/",B62),Proventos!$D:$D,"&lt;"&amp;CONCATENATE($D$6,"/",B62),Proventos!$J:$J,"="&amp;$H$2),
AND($H$2=Data!$A$6,$K$2=Data!$A$2),SUMIFS(Proventos!$H:$H,Proventos!$D:$D,"&gt;="&amp;CONCATENATE($C$6,"/",B62),Proventos!$D:$D,"&lt;"&amp;CONCATENATE($D$6,"/",B62),Proventos!$J:$J,"="&amp;$H$2),
AND($H$2=Data!$A$7,$K$2=Data!$A$2),SUMIFS(Proventos!$H:$H,Proventos!$D:$D,"&gt;="&amp;CONCATENATE($C$6,"/",B62),Proventos!$D:$D,"&lt;"&amp;CONCATENATE($D$6,"/",B62),Proventos!$J:$J,"="&amp;$H$2),
AND($H$2=Data!$A$8,$K$2=Data!$A$2),SUMIFS(Proventos!$H:$H,Proventos!$D:$D,"&gt;="&amp;CONCATENATE($C$6,"/",B62),Proventos!$D:$D,"&lt;"&amp;CONCATENATE($D$6,"/",B62),Proventos!$J:$J,"="&amp;$H$2),
AND($H$2=Data!$A$9,$K$2=Data!$A$2),SUMIFS(Proventos!$H:$H,Proventos!$D:$D,"&gt;="&amp;CONCATENATE($C$6,"/",B62),Proventos!$D:$D,"&lt;"&amp;CONCATENATE($D$6,"/",B62),Proventos!$J:$J,"="&amp;$H$2),
AND($H$2=Data!$A$10,$K$2=Data!$A$2),SUMIFS(Proventos!$H:$H,Proventos!$D:$D,"&gt;="&amp;CONCATENATE($C$6,"/",B62),Proventos!$D:$D,"&lt;"&amp;CONCATENATE($D$6,"/",B62),Proventos!$J:$J,"="&amp;$H$2),
AND($H$2=Data!$A$11,$K$2=Data!$A$2),SUMIFS(Proventos!$H:$H,Proventos!$D:$D,"&gt;="&amp;CONCATENATE($C$6,"/",B62),Proventos!$D:$D,"&lt;"&amp;CONCATENATE($D$6,"/",B62),Proventos!$J:$J,"="&amp;$H$2),
$K$2=Data!$A$2,SUMIFS(Proventos!$H:$H,Proventos!$D:$D,"&gt;="&amp;CONCATENATE($C$6,"/",B62),Proventos!$D:$D,"&lt;"&amp;CONCATENATE($D$6,"/",B62)),
$K$2&lt;&gt;Data!$A$2,SUMIFS(Proventos!$H:$H,Proventos!$D:$D,"&gt;="&amp;CONCATENATE($C$6,"/",B62),Proventos!$D:$D,"&lt;"&amp;CONCATENATE($D$6,"/",B62),Proventos!$A:$A,"="&amp;$K$2))</f>
        <v>0</v>
      </c>
      <c r="D62" s="245">
        <f>IFS(
AND($H$2=Data!$A$3,$K$2=Data!$A$2),SUMIFS(Proventos!$H:$H,Proventos!$D:$D,"&gt;="&amp;CONCATENATE($D$6,"/",B62),Proventos!$D:$D,"&lt;"&amp;CONCATENATE($E$6,"/",B62),Proventos!$J:$J,"="&amp;$H$2),
AND($H$2=Data!$A$4,$K$2=Data!$A$2),SUMIFS(Proventos!$H:$H,Proventos!$D:$D,"&gt;="&amp;CONCATENATE($D$6,"/",B62),Proventos!$D:$D,"&lt;"&amp;CONCATENATE($E$6,"/",B62),Proventos!$J:$J,"="&amp;$H$2),
AND($H$2=Data!$A$5,$K$2=Data!$A$2),SUMIFS(Proventos!$H:$H,Proventos!$D:$D,"&gt;="&amp;CONCATENATE($D$6,"/",B62),Proventos!$D:$D,"&lt;"&amp;CONCATENATE($E$6,"/",B62),Proventos!$J:$J,"="&amp;$H$2),
AND($H$2=Data!$A$6,$K$2=Data!$A$2),SUMIFS(Proventos!$H:$H,Proventos!$D:$D,"&gt;="&amp;CONCATENATE($D$6,"/",B62),Proventos!$D:$D,"&lt;"&amp;CONCATENATE($E$6,"/",B62),Proventos!$J:$J,"="&amp;$H$2),
AND($H$2=Data!$A$7,$K$2=Data!$A$2),SUMIFS(Proventos!$H:$H,Proventos!$D:$D,"&gt;="&amp;CONCATENATE($D$6,"/",B62),Proventos!$D:$D,"&lt;"&amp;CONCATENATE($E$6,"/",B62),Proventos!$J:$J,"="&amp;$H$2),
AND($H$2=Data!$A$8,$K$2=Data!$A$2),SUMIFS(Proventos!$H:$H,Proventos!$D:$D,"&gt;="&amp;CONCATENATE($D$6,"/",B62),Proventos!$D:$D,"&lt;"&amp;CONCATENATE($E$6,"/",B62),Proventos!$J:$J,"="&amp;$H$2),
AND($H$2=Data!$A$9,$K$2=Data!$A$2),SUMIFS(Proventos!$H:$H,Proventos!$D:$D,"&gt;="&amp;CONCATENATE($D$6,"/",B62),Proventos!$D:$D,"&lt;"&amp;CONCATENATE($E$6,"/",B62),Proventos!$J:$J,"="&amp;$H$2),
AND($H$2=Data!$A$10,$K$2=Data!$A$2),SUMIFS(Proventos!$H:$H,Proventos!$D:$D,"&gt;="&amp;CONCATENATE($D$6,"/",B62),Proventos!$D:$D,"&lt;"&amp;CONCATENATE($E$6,"/",B62),Proventos!$J:$J,"="&amp;$H$2),
AND($H$2=Data!$A$11,$K$2=Data!$A$2),SUMIFS(Proventos!$H:$H,Proventos!$D:$D,"&gt;="&amp;CONCATENATE($D$6,"/",B62),Proventos!$D:$D,"&lt;"&amp;CONCATENATE($E$6,"/",B62),Proventos!$J:$J,"="&amp;$H$2),
$K$2=Data!$A$2,SUMIFS(Proventos!$H:$H,Proventos!$D:$D,"&gt;="&amp;CONCATENATE($D$6,"/",B62),Proventos!$D:$D,"&lt;"&amp;CONCATENATE($E$6,"/",B62)),
$K$2&lt;&gt;Data!$A$2,SUMIFS(Proventos!$H:$H,Proventos!$D:$D,"&gt;="&amp;CONCATENATE($D$6,"/",B62),Proventos!$D:$D,"&lt;"&amp;CONCATENATE($E$6,"/",B62),Proventos!$A:$A,"="&amp;$K$2))</f>
        <v>0</v>
      </c>
      <c r="E62" s="245">
        <f>IFS(
AND($H$2=Data!$A$3,$K$2=Data!$A$2),SUMIFS(Proventos!$H:$H,Proventos!$D:$D,"&gt;="&amp;CONCATENATE($E$6,"/",B62),Proventos!$D:$D,"&lt;"&amp;CONCATENATE($F$6,"/",B62),Proventos!$J:$J,"="&amp;$H$2),
AND($H$2=Data!$A$4,$K$2=Data!$A$2),SUMIFS(Proventos!$H:$H,Proventos!$D:$D,"&gt;="&amp;CONCATENATE($E$6,"/",B62),Proventos!$D:$D,"&lt;"&amp;CONCATENATE($F$6,"/",B62),Proventos!$J:$J,"="&amp;$H$2),
AND($H$2=Data!$A$5,$K$2=Data!$A$2),SUMIFS(Proventos!$H:$H,Proventos!$D:$D,"&gt;="&amp;CONCATENATE($E$6,"/",B62),Proventos!$D:$D,"&lt;"&amp;CONCATENATE($F$6,"/",B62),Proventos!$J:$J,"="&amp;$H$2),
AND($H$2=Data!$A$6,$K$2=Data!$A$2),SUMIFS(Proventos!$H:$H,Proventos!$D:$D,"&gt;="&amp;CONCATENATE($E$6,"/",B62),Proventos!$D:$D,"&lt;"&amp;CONCATENATE($F$6,"/",B62),Proventos!$J:$J,"="&amp;$H$2),
AND($H$2=Data!$A$7,$K$2=Data!$A$2),SUMIFS(Proventos!$H:$H,Proventos!$D:$D,"&gt;="&amp;CONCATENATE($E$6,"/",B62),Proventos!$D:$D,"&lt;"&amp;CONCATENATE($F$6,"/",B62),Proventos!$J:$J,"="&amp;$H$2),
AND($H$2=Data!$A$8,$K$2=Data!$A$2),SUMIFS(Proventos!$H:$H,Proventos!$D:$D,"&gt;="&amp;CONCATENATE($E$6,"/",B62),Proventos!$D:$D,"&lt;"&amp;CONCATENATE($F$6,"/",B62),Proventos!$J:$J,"="&amp;$H$2),
AND($H$2=Data!$A$9,$K$2=Data!$A$2),SUMIFS(Proventos!$H:$H,Proventos!$D:$D,"&gt;="&amp;CONCATENATE($E$6,"/",B62),Proventos!$D:$D,"&lt;"&amp;CONCATENATE($F$6,"/",B62),Proventos!$J:$J,"="&amp;$H$2),
AND($H$2=Data!$A$10,$K$2=Data!$A$2),SUMIFS(Proventos!$H:$H,Proventos!$D:$D,"&gt;="&amp;CONCATENATE($E$6,"/",B62),Proventos!$D:$D,"&lt;"&amp;CONCATENATE($F$6,"/",B62),Proventos!$J:$J,"="&amp;$H$2),
AND($H$2=Data!$A$11,$K$2=Data!$A$2),SUMIFS(Proventos!$H:$H,Proventos!$D:$D,"&gt;="&amp;CONCATENATE($E$6,"/",B62),Proventos!$D:$D,"&lt;"&amp;CONCATENATE($F$6,"/",B62),Proventos!$J:$J,"="&amp;$H$2),
$K$2=Data!$A$2,SUMIFS(Proventos!$H:$H,Proventos!$D:$D,"&gt;="&amp;CONCATENATE($E$6,"/",B62),Proventos!$D:$D,"&lt;"&amp;CONCATENATE($F$6,"/",B62)),
$K$2&lt;&gt;Data!$A$2,SUMIFS(Proventos!$H:$H,Proventos!$D:$D,"&gt;="&amp;CONCATENATE($E$6,"/",B62),Proventos!$D:$D,"&lt;"&amp;CONCATENATE($F$6,"/",B62),Proventos!$A:$A,"="&amp;$K$2))</f>
        <v>0</v>
      </c>
      <c r="F62" s="245">
        <f>IFS(
AND($H$2=Data!$A$3,$K$2=Data!$A$2),SUMIFS(Proventos!$H:$H,Proventos!$D:$D,"&gt;="&amp;CONCATENATE($F$6,"/",B62),Proventos!$D:$D,"&lt;"&amp;CONCATENATE($G$6,"/",B62),Proventos!$J:$J,"="&amp;$H$2),
AND($H$2=Data!$A$4,$K$2=Data!$A$2),SUMIFS(Proventos!$H:$H,Proventos!$D:$D,"&gt;="&amp;CONCATENATE($F$6,"/",B62),Proventos!$D:$D,"&lt;"&amp;CONCATENATE($G$6,"/",B62),Proventos!$J:$J,"="&amp;$H$2),
AND($H$2=Data!$A$5,$K$2=Data!$A$2),SUMIFS(Proventos!$H:$H,Proventos!$D:$D,"&gt;="&amp;CONCATENATE($F$6,"/",B62),Proventos!$D:$D,"&lt;"&amp;CONCATENATE($G$6,"/",B62),Proventos!$J:$J,"="&amp;$H$2),
AND($H$2=Data!$A$6,$K$2=Data!$A$2),SUMIFS(Proventos!$H:$H,Proventos!$D:$D,"&gt;="&amp;CONCATENATE($F$6,"/",B62),Proventos!$D:$D,"&lt;"&amp;CONCATENATE($G$6,"/",B62),Proventos!$J:$J,"="&amp;$H$2),
AND($H$2=Data!$A$7,$K$2=Data!$A$2),SUMIFS(Proventos!$H:$H,Proventos!$D:$D,"&gt;="&amp;CONCATENATE($F$6,"/",B62),Proventos!$D:$D,"&lt;"&amp;CONCATENATE($G$6,"/",B62),Proventos!$J:$J,"="&amp;$H$2),
AND($H$2=Data!$A$8,$K$2=Data!$A$2),SUMIFS(Proventos!$H:$H,Proventos!$D:$D,"&gt;="&amp;CONCATENATE($F$6,"/",B62),Proventos!$D:$D,"&lt;"&amp;CONCATENATE($G$6,"/",B62),Proventos!$J:$J,"="&amp;$H$2),
AND($H$2=Data!$A$9,$K$2=Data!$A$2),SUMIFS(Proventos!$H:$H,Proventos!$D:$D,"&gt;="&amp;CONCATENATE($F$6,"/",B62),Proventos!$D:$D,"&lt;"&amp;CONCATENATE($G$6,"/",B62),Proventos!$J:$J,"="&amp;$H$2),
AND($H$2=Data!$A$10,$K$2=Data!$A$2),SUMIFS(Proventos!$H:$H,Proventos!$D:$D,"&gt;="&amp;CONCATENATE($F$6,"/",B62),Proventos!$D:$D,"&lt;"&amp;CONCATENATE($G$6,"/",B62),Proventos!$J:$J,"="&amp;$H$2),
AND($H$2=Data!$A$11,$K$2=Data!$A$2),SUMIFS(Proventos!$H:$H,Proventos!$D:$D,"&gt;="&amp;CONCATENATE($F$6,"/",B62),Proventos!$D:$D,"&lt;"&amp;CONCATENATE($G$6,"/",B62),Proventos!$J:$J,"="&amp;$H$2),
$K$2=Data!$A$2,SUMIFS(Proventos!$H:$H,Proventos!$D:$D,"&gt;="&amp;CONCATENATE($F$6,"/",B62),Proventos!$D:$D,"&lt;"&amp;CONCATENATE($G$6,"/",B62)),
$K$2&lt;&gt;Data!$A$2,SUMIFS(Proventos!$H:$H,Proventos!$D:$D,"&gt;="&amp;CONCATENATE($F$6,"/",B62),Proventos!$D:$D,"&lt;"&amp;CONCATENATE($G$6,"/",B62),Proventos!$A:$A,"="&amp;$K$2))</f>
        <v>0</v>
      </c>
      <c r="G62" s="245">
        <f>IFS(
AND($H$2=Data!$A$3,$K$2=Data!$A$2),SUMIFS(Proventos!$H:$H,Proventos!$D:$D,"&gt;="&amp;CONCATENATE($G$6,"/",B62),Proventos!$D:$D,"&lt;"&amp;CONCATENATE($H$6,"/",B62),Proventos!$J:$J,"="&amp;$H$2),
AND($H$2=Data!$A$4,$K$2=Data!$A$2),SUMIFS(Proventos!$H:$H,Proventos!$D:$D,"&gt;="&amp;CONCATENATE($G$6,"/",B62),Proventos!$D:$D,"&lt;"&amp;CONCATENATE($H$6,"/",B62),Proventos!$J:$J,"="&amp;$H$2),
AND($H$2=Data!$A$5,$K$2=Data!$A$2),SUMIFS(Proventos!$H:$H,Proventos!$D:$D,"&gt;="&amp;CONCATENATE($G$6,"/",B62),Proventos!$D:$D,"&lt;"&amp;CONCATENATE($H$6,"/",B62),Proventos!$J:$J,"="&amp;$H$2),
AND($H$2=Data!$A$6,$K$2=Data!$A$2),SUMIFS(Proventos!$H:$H,Proventos!$D:$D,"&gt;="&amp;CONCATENATE($G$6,"/",B62),Proventos!$D:$D,"&lt;"&amp;CONCATENATE($H$6,"/",B62),Proventos!$J:$J,"="&amp;$H$2),
AND($H$2=Data!$A$7,$K$2=Data!$A$2),SUMIFS(Proventos!$H:$H,Proventos!$D:$D,"&gt;="&amp;CONCATENATE($G$6,"/",B62),Proventos!$D:$D,"&lt;"&amp;CONCATENATE($H$6,"/",B62),Proventos!$J:$J,"="&amp;$H$2),
AND($H$2=Data!$A$8,$K$2=Data!$A$2),SUMIFS(Proventos!$H:$H,Proventos!$D:$D,"&gt;="&amp;CONCATENATE($G$6,"/",B62),Proventos!$D:$D,"&lt;"&amp;CONCATENATE($H$6,"/",B62),Proventos!$J:$J,"="&amp;$H$2),
AND($H$2=Data!$A$9,$K$2=Data!$A$2),SUMIFS(Proventos!$H:$H,Proventos!$D:$D,"&gt;="&amp;CONCATENATE($G$6,"/",B62),Proventos!$D:$D,"&lt;"&amp;CONCATENATE($H$6,"/",B62),Proventos!$J:$J,"="&amp;$H$2),
AND($H$2=Data!$A$10,$K$2=Data!$A$2),SUMIFS(Proventos!$H:$H,Proventos!$D:$D,"&gt;="&amp;CONCATENATE($G$6,"/",B62),Proventos!$D:$D,"&lt;"&amp;CONCATENATE($H$6,"/",B62),Proventos!$J:$J,"="&amp;$H$2),
AND($H$2=Data!$A$11,$K$2=Data!$A$2),SUMIFS(Proventos!$H:$H,Proventos!$D:$D,"&gt;="&amp;CONCATENATE($G$6,"/",B62),Proventos!$D:$D,"&lt;"&amp;CONCATENATE($H$6,"/",B62),Proventos!$J:$J,"="&amp;$H$2),
$K$2=Data!$A$2,SUMIFS(Proventos!$H:$H,Proventos!$D:$D,"&gt;="&amp;CONCATENATE($G$6,"/",B62),Proventos!$D:$D,"&lt;"&amp;CONCATENATE($H$6,"/",B62)),
$K$2&lt;&gt;Data!$A$2,SUMIFS(Proventos!$H:$H,Proventos!$D:$D,"&gt;="&amp;CONCATENATE($G$6,"/",B62),Proventos!$D:$D,"&lt;"&amp;CONCATENATE($H$6,"/",B62),Proventos!$A:$A,"="&amp;$K$2))</f>
        <v>0</v>
      </c>
      <c r="H62" s="245">
        <f>IFS(
AND($H$2=Data!$A$3,$K$2=Data!$A$2),SUMIFS(Proventos!$H:$H,Proventos!$D:$D,"&gt;="&amp;CONCATENATE($H$6,"/",B62),Proventos!$D:$D,"&lt;"&amp;CONCATENATE($I$6,"/",B62),Proventos!$J:$J,"="&amp;$H$2),
AND($H$2=Data!$A$4,$K$2=Data!$A$2),SUMIFS(Proventos!$H:$H,Proventos!$D:$D,"&gt;="&amp;CONCATENATE($H$6,"/",B62),Proventos!$D:$D,"&lt;"&amp;CONCATENATE($I$6,"/",B62),Proventos!$J:$J,"="&amp;$H$2),
AND($H$2=Data!$A$5,$K$2=Data!$A$2),SUMIFS(Proventos!$H:$H,Proventos!$D:$D,"&gt;="&amp;CONCATENATE($H$6,"/",B62),Proventos!$D:$D,"&lt;"&amp;CONCATENATE($I$6,"/",B62),Proventos!$J:$J,"="&amp;$H$2),
AND($H$2=Data!$A$6,$K$2=Data!$A$2),SUMIFS(Proventos!$H:$H,Proventos!$D:$D,"&gt;="&amp;CONCATENATE($H$6,"/",B62),Proventos!$D:$D,"&lt;"&amp;CONCATENATE($I$6,"/",B62),Proventos!$J:$J,"="&amp;$H$2),
AND($H$2=Data!$A$7,$K$2=Data!$A$2),SUMIFS(Proventos!$H:$H,Proventos!$D:$D,"&gt;="&amp;CONCATENATE($H$6,"/",B62),Proventos!$D:$D,"&lt;"&amp;CONCATENATE($I$6,"/",B62),Proventos!$J:$J,"="&amp;$H$2),
AND($H$2=Data!$A$8,$K$2=Data!$A$2),SUMIFS(Proventos!$H:$H,Proventos!$D:$D,"&gt;="&amp;CONCATENATE($H$6,"/",B62),Proventos!$D:$D,"&lt;"&amp;CONCATENATE($I$6,"/",B62),Proventos!$J:$J,"="&amp;$H$2),
AND($H$2=Data!$A$9,$K$2=Data!$A$2),SUMIFS(Proventos!$H:$H,Proventos!$D:$D,"&gt;="&amp;CONCATENATE($H$6,"/",B62),Proventos!$D:$D,"&lt;"&amp;CONCATENATE($I$6,"/",B62),Proventos!$J:$J,"="&amp;$H$2),
AND($H$2=Data!$A$10,$K$2=Data!$A$2),SUMIFS(Proventos!$H:$H,Proventos!$D:$D,"&gt;="&amp;CONCATENATE($H$6,"/",B62),Proventos!$D:$D,"&lt;"&amp;CONCATENATE($I$6,"/",B62),Proventos!$J:$J,"="&amp;$H$2),
AND($H$2=Data!$A$11,$K$2=Data!$A$2),SUMIFS(Proventos!$H:$H,Proventos!$D:$D,"&gt;="&amp;CONCATENATE($H$6,"/",B62),Proventos!$D:$D,"&lt;"&amp;CONCATENATE($I$6,"/",B62),Proventos!$J:$J,"="&amp;$H$2),
$K$2=Data!$A$2,SUMIFS(Proventos!$H:$H,Proventos!$D:$D,"&gt;="&amp;CONCATENATE($H$6,"/",B62),Proventos!$D:$D,"&lt;"&amp;CONCATENATE($I$6,"/",B62)),
$K$2&lt;&gt;Data!$A$2,SUMIFS(Proventos!$H:$H,Proventos!$D:$D,"&gt;="&amp;CONCATENATE($H$6,"/",B62),Proventos!$D:$D,"&lt;"&amp;CONCATENATE($I$6,"/",B62),Proventos!$A:$A,"="&amp;$K$2))</f>
        <v>0</v>
      </c>
      <c r="I62" s="245">
        <f>IFS(
AND($H$2=Data!$A$3,$K$2=Data!$A$2),SUMIFS(Proventos!$H:$H,Proventos!$D:$D,"&gt;="&amp;CONCATENATE($I$6,"/",B62),Proventos!$D:$D,"&lt;"&amp;CONCATENATE($J$6,"/",B62),Proventos!$J:$J,"="&amp;$H$2),
AND($H$2=Data!$A$4,$K$2=Data!$A$2),SUMIFS(Proventos!$H:$H,Proventos!$D:$D,"&gt;="&amp;CONCATENATE($I$6,"/",B62),Proventos!$D:$D,"&lt;"&amp;CONCATENATE($J$6,"/",B62),Proventos!$J:$J,"="&amp;$H$2),
AND($H$2=Data!$A$5,$K$2=Data!$A$2),SUMIFS(Proventos!$H:$H,Proventos!$D:$D,"&gt;="&amp;CONCATENATE($I$6,"/",B62),Proventos!$D:$D,"&lt;"&amp;CONCATENATE($J$6,"/",B62),Proventos!$J:$J,"="&amp;$H$2),
AND($H$2=Data!$A$6,$K$2=Data!$A$2),SUMIFS(Proventos!$H:$H,Proventos!$D:$D,"&gt;="&amp;CONCATENATE($I$6,"/",B62),Proventos!$D:$D,"&lt;"&amp;CONCATENATE($J$6,"/",B62),Proventos!$J:$J,"="&amp;$H$2),
AND($H$2=Data!$A$7,$K$2=Data!$A$2),SUMIFS(Proventos!$H:$H,Proventos!$D:$D,"&gt;="&amp;CONCATENATE($I$6,"/",B62),Proventos!$D:$D,"&lt;"&amp;CONCATENATE($J$6,"/",B62),Proventos!$J:$J,"="&amp;$H$2),
AND($H$2=Data!$A$8,$K$2=Data!$A$2),SUMIFS(Proventos!$H:$H,Proventos!$D:$D,"&gt;="&amp;CONCATENATE($I$6,"/",B62),Proventos!$D:$D,"&lt;"&amp;CONCATENATE($J$6,"/",B62),Proventos!$J:$J,"="&amp;$H$2),
AND($H$2=Data!$A$9,$K$2=Data!$A$2),SUMIFS(Proventos!$H:$H,Proventos!$D:$D,"&gt;="&amp;CONCATENATE($I$6,"/",B62),Proventos!$D:$D,"&lt;"&amp;CONCATENATE($J$6,"/",B62),Proventos!$J:$J,"="&amp;$H$2),
AND($H$2=Data!$A$10,$K$2=Data!$A$2),SUMIFS(Proventos!$H:$H,Proventos!$D:$D,"&gt;="&amp;CONCATENATE($I$6,"/",B62),Proventos!$D:$D,"&lt;"&amp;CONCATENATE($J$6,"/",B62),Proventos!$J:$J,"="&amp;$H$2),
AND($H$2=Data!$A$11,$K$2=Data!$A$2),SUMIFS(Proventos!$H:$H,Proventos!$D:$D,"&gt;="&amp;CONCATENATE($I$6,"/",B62),Proventos!$D:$D,"&lt;"&amp;CONCATENATE($J$6,"/",B62),Proventos!$J:$J,"="&amp;$H$2),
$K$2=Data!$A$2,SUMIFS(Proventos!$H:$H,Proventos!$D:$D,"&gt;="&amp;CONCATENATE($I$6,"/",B62),Proventos!$D:$D,"&lt;"&amp;CONCATENATE($J$6,"/",B62)),
$K$2&lt;&gt;Data!$A$2,SUMIFS(Proventos!$H:$H,Proventos!$D:$D,"&gt;="&amp;CONCATENATE($I$6,"/",B62),Proventos!$D:$D,"&lt;"&amp;CONCATENATE($J$6,"/",B62),Proventos!$A:$A,"="&amp;$K$2))</f>
        <v>0</v>
      </c>
      <c r="J62" s="245">
        <f>IFS(
AND($H$2=Data!$A$3,$K$2=Data!$A$2),SUMIFS(Proventos!$H:$H,Proventos!$D:$D,"&gt;="&amp;CONCATENATE($J$6,"/",B62),Proventos!$D:$D,"&lt;"&amp;CONCATENATE($K$6,"/",B62),Proventos!$J:$J,"="&amp;$H$2),
AND($H$2=Data!$A$4,$K$2=Data!$A$2),SUMIFS(Proventos!$H:$H,Proventos!$D:$D,"&gt;="&amp;CONCATENATE($J$6,"/",B62),Proventos!$D:$D,"&lt;"&amp;CONCATENATE($K$6,"/",B62),Proventos!$J:$J,"="&amp;$H$2),
AND($H$2=Data!$A$5,$K$2=Data!$A$2),SUMIFS(Proventos!$H:$H,Proventos!$D:$D,"&gt;="&amp;CONCATENATE($J$6,"/",B62),Proventos!$D:$D,"&lt;"&amp;CONCATENATE($K$6,"/",B62),Proventos!$J:$J,"="&amp;$H$2),
AND($H$2=Data!$A$6,$K$2=Data!$A$2),SUMIFS(Proventos!$H:$H,Proventos!$D:$D,"&gt;="&amp;CONCATENATE($J$6,"/",B62),Proventos!$D:$D,"&lt;"&amp;CONCATENATE($K$6,"/",B62),Proventos!$J:$J,"="&amp;$H$2),
AND($H$2=Data!$A$7,$K$2=Data!$A$2),SUMIFS(Proventos!$H:$H,Proventos!$D:$D,"&gt;="&amp;CONCATENATE($J$6,"/",B62),Proventos!$D:$D,"&lt;"&amp;CONCATENATE($K$6,"/",B62),Proventos!$J:$J,"="&amp;$H$2),
AND($H$2=Data!$A$8,$K$2=Data!$A$2),SUMIFS(Proventos!$H:$H,Proventos!$D:$D,"&gt;="&amp;CONCATENATE($J$6,"/",B62),Proventos!$D:$D,"&lt;"&amp;CONCATENATE($K$6,"/",B62),Proventos!$J:$J,"="&amp;$H$2),
AND($H$2=Data!$A$9,$K$2=Data!$A$2),SUMIFS(Proventos!$H:$H,Proventos!$D:$D,"&gt;="&amp;CONCATENATE($J$6,"/",B62),Proventos!$D:$D,"&lt;"&amp;CONCATENATE($K$6,"/",B62),Proventos!$J:$J,"="&amp;$H$2),
AND($H$2=Data!$A$10,$K$2=Data!$A$2),SUMIFS(Proventos!$H:$H,Proventos!$D:$D,"&gt;="&amp;CONCATENATE($J$6,"/",B62),Proventos!$D:$D,"&lt;"&amp;CONCATENATE($K$6,"/",B62),Proventos!$J:$J,"="&amp;$H$2),
AND($H$2=Data!$A$11,$K$2=Data!$A$2),SUMIFS(Proventos!$H:$H,Proventos!$D:$D,"&gt;="&amp;CONCATENATE($J$6,"/",B62),Proventos!$D:$D,"&lt;"&amp;CONCATENATE($K$6,"/",B62),Proventos!$J:$J,"="&amp;$H$2),
$K$2=Data!$A$2,SUMIFS(Proventos!$H:$H,Proventos!$D:$D,"&gt;="&amp;CONCATENATE($J$6,"/",B62),Proventos!$D:$D,"&lt;"&amp;CONCATENATE($K$6,"/",B62)),
$K$2&lt;&gt;Data!$A$2,SUMIFS(Proventos!$H:$H,Proventos!$D:$D,"&gt;="&amp;CONCATENATE($J$6,"/",B62),Proventos!$D:$D,"&lt;"&amp;CONCATENATE($K$6,"/",B62),Proventos!$A:$A,"="&amp;$K$2))</f>
        <v>0</v>
      </c>
      <c r="K62" s="245">
        <f>IFS(
AND($H$2=Data!$A$3,$K$2=Data!$A$2),SUMIFS(Proventos!$H:$H,Proventos!$D:$D,"&gt;="&amp;CONCATENATE($K$6,"/",B62),Proventos!$D:$D,"&lt;"&amp;CONCATENATE($L$6,"/",B62),Proventos!$J:$J,"="&amp;$H$2),
AND($H$2=Data!$A$4,$K$2=Data!$A$2),SUMIFS(Proventos!$H:$H,Proventos!$D:$D,"&gt;="&amp;CONCATENATE($K$6,"/",B62),Proventos!$D:$D,"&lt;"&amp;CONCATENATE($L$6,"/",B62),Proventos!$J:$J,"="&amp;$H$2),
AND($H$2=Data!$A$5,$K$2=Data!$A$2),SUMIFS(Proventos!$H:$H,Proventos!$D:$D,"&gt;="&amp;CONCATENATE($K$6,"/",B62),Proventos!$D:$D,"&lt;"&amp;CONCATENATE($L$6,"/",B62),Proventos!$J:$J,"="&amp;$H$2),
AND($H$2=Data!$A$6,$K$2=Data!$A$2),SUMIFS(Proventos!$H:$H,Proventos!$D:$D,"&gt;="&amp;CONCATENATE($K$6,"/",B62),Proventos!$D:$D,"&lt;"&amp;CONCATENATE($L$6,"/",B62),Proventos!$J:$J,"="&amp;$H$2),
AND($H$2=Data!$A$7,$K$2=Data!$A$2),SUMIFS(Proventos!$H:$H,Proventos!$D:$D,"&gt;="&amp;CONCATENATE($K$6,"/",B62),Proventos!$D:$D,"&lt;"&amp;CONCATENATE($L$6,"/",B62),Proventos!$J:$J,"="&amp;$H$2),
AND($H$2=Data!$A$8,$K$2=Data!$A$2),SUMIFS(Proventos!$H:$H,Proventos!$D:$D,"&gt;="&amp;CONCATENATE($K$6,"/",B62),Proventos!$D:$D,"&lt;"&amp;CONCATENATE($L$6,"/",B62),Proventos!$J:$J,"="&amp;$H$2),
AND($H$2=Data!$A$9,$K$2=Data!$A$2),SUMIFS(Proventos!$H:$H,Proventos!$D:$D,"&gt;="&amp;CONCATENATE($K$6,"/",B62),Proventos!$D:$D,"&lt;"&amp;CONCATENATE($L$6,"/",B62),Proventos!$J:$J,"="&amp;$H$2),
AND($H$2=Data!$A$10,$K$2=Data!$A$2),SUMIFS(Proventos!$H:$H,Proventos!$D:$D,"&gt;="&amp;CONCATENATE($K$6,"/",B62),Proventos!$D:$D,"&lt;"&amp;CONCATENATE($L$6,"/",B62),Proventos!$J:$J,"="&amp;$H$2),
AND($H$2=Data!$A$11,$K$2=Data!$A$2),SUMIFS(Proventos!$H:$H,Proventos!$D:$D,"&gt;="&amp;CONCATENATE($K$6,"/",B62),Proventos!$D:$D,"&lt;"&amp;CONCATENATE($L$6,"/",B62),Proventos!$J:$J,"="&amp;$H$2),
$K$2=Data!$A$2,SUMIFS(Proventos!$H:$H,Proventos!$D:$D,"&gt;="&amp;CONCATENATE($K$6,"/",B62),Proventos!$D:$D,"&lt;"&amp;CONCATENATE($L$6,"/",B62)),
$K$2&lt;&gt;Data!$A$2,SUMIFS(Proventos!$H:$H,Proventos!$D:$D,"&gt;="&amp;CONCATENATE($K$6,"/",B62),Proventos!$D:$D,"&lt;"&amp;CONCATENATE($L$6,"/",B62),Proventos!$A:$A,"="&amp;$K$2))</f>
        <v>0</v>
      </c>
      <c r="L62" s="245">
        <f>IFS(
AND($H$2=Data!$A$3,$K$2=Data!$A$2),SUMIFS(Proventos!$H:$H,Proventos!$D:$D,"&gt;="&amp;CONCATENATE($L$6,"/",B62),Proventos!$D:$D,"&lt;"&amp;CONCATENATE($M$6,"/",B62),Proventos!$J:$J,"="&amp;$H$2),
AND($H$2=Data!$A$4,$K$2=Data!$A$2),SUMIFS(Proventos!$H:$H,Proventos!$D:$D,"&gt;="&amp;CONCATENATE($L$6,"/",B62),Proventos!$D:$D,"&lt;"&amp;CONCATENATE($M$6,"/",B62),Proventos!$J:$J,"="&amp;$H$2),
AND($H$2=Data!$A$5,$K$2=Data!$A$2),SUMIFS(Proventos!$H:$H,Proventos!$D:$D,"&gt;="&amp;CONCATENATE($L$6,"/",B62),Proventos!$D:$D,"&lt;"&amp;CONCATENATE($M$6,"/",B62),Proventos!$J:$J,"="&amp;$H$2),
AND($H$2=Data!$A$6,$K$2=Data!$A$2),SUMIFS(Proventos!$H:$H,Proventos!$D:$D,"&gt;="&amp;CONCATENATE($L$6,"/",B62),Proventos!$D:$D,"&lt;"&amp;CONCATENATE($M$6,"/",B62),Proventos!$J:$J,"="&amp;$H$2),
AND($H$2=Data!$A$7,$K$2=Data!$A$2),SUMIFS(Proventos!$H:$H,Proventos!$D:$D,"&gt;="&amp;CONCATENATE($L$6,"/",B62),Proventos!$D:$D,"&lt;"&amp;CONCATENATE($M$6,"/",B62),Proventos!$J:$J,"="&amp;$H$2),
AND($H$2=Data!$A$8,$K$2=Data!$A$2),SUMIFS(Proventos!$H:$H,Proventos!$D:$D,"&gt;="&amp;CONCATENATE($L$6,"/",B62),Proventos!$D:$D,"&lt;"&amp;CONCATENATE($M$6,"/",B62),Proventos!$J:$J,"="&amp;$H$2),
AND($H$2=Data!$A$9,$K$2=Data!$A$2),SUMIFS(Proventos!$H:$H,Proventos!$D:$D,"&gt;="&amp;CONCATENATE($L$6,"/",B62),Proventos!$D:$D,"&lt;"&amp;CONCATENATE($M$6,"/",B62),Proventos!$J:$J,"="&amp;$H$2),
AND($H$2=Data!$A$10,$K$2=Data!$A$2),SUMIFS(Proventos!$H:$H,Proventos!$D:$D,"&gt;="&amp;CONCATENATE($L$6,"/",B62),Proventos!$D:$D,"&lt;"&amp;CONCATENATE($M$6,"/",B62),Proventos!$J:$J,"="&amp;$H$2),
AND($H$2=Data!$A$11,$K$2=Data!$A$2),SUMIFS(Proventos!$H:$H,Proventos!$D:$D,"&gt;="&amp;CONCATENATE($L$6,"/",B62),Proventos!$D:$D,"&lt;"&amp;CONCATENATE($M$6,"/",B62),Proventos!$J:$J,"="&amp;$H$2),
$K$2=Data!$A$2,SUMIFS(Proventos!$H:$H,Proventos!$D:$D,"&gt;="&amp;CONCATENATE($L$6,"/",B62),Proventos!$D:$D,"&lt;"&amp;CONCATENATE($M$6,"/",B62)),
$K$2&lt;&gt;Data!$A$2,SUMIFS(Proventos!$H:$H,Proventos!$D:$D,"&gt;="&amp;CONCATENATE($L$6,"/",B62),Proventos!$D:$D,"&lt;"&amp;CONCATENATE($M$6,"/",B62),Proventos!$A:$A,"="&amp;$K$2))</f>
        <v>0</v>
      </c>
      <c r="M62" s="245">
        <f>IFS(
AND($H$2=Data!$A$3,$K$2=Data!$A$2),SUMIFS(Proventos!$H:$H,Proventos!$D:$D,"&gt;="&amp;CONCATENATE($M$6,"/",B62),Proventos!$D:$D,"&lt;"&amp;CONCATENATE($N$6,"/",B62),Proventos!$J:$J,"="&amp;$H$2),
AND($H$2=Data!$A$4,$K$2=Data!$A$2),SUMIFS(Proventos!$H:$H,Proventos!$D:$D,"&gt;="&amp;CONCATENATE($M$6,"/",B62),Proventos!$D:$D,"&lt;"&amp;CONCATENATE($N$6,"/",B62),Proventos!$J:$J,"="&amp;$H$2),
AND($H$2=Data!$A$5,$K$2=Data!$A$2),SUMIFS(Proventos!$H:$H,Proventos!$D:$D,"&gt;="&amp;CONCATENATE($M$6,"/",B62),Proventos!$D:$D,"&lt;"&amp;CONCATENATE($N$6,"/",B62),Proventos!$J:$J,"="&amp;$H$2),
AND($H$2=Data!$A$6,$K$2=Data!$A$2),SUMIFS(Proventos!$H:$H,Proventos!$D:$D,"&gt;="&amp;CONCATENATE($M$6,"/",B62),Proventos!$D:$D,"&lt;"&amp;CONCATENATE($N$6,"/",B62),Proventos!$J:$J,"="&amp;$H$2),
AND($H$2=Data!$A$7,$K$2=Data!$A$2),SUMIFS(Proventos!$H:$H,Proventos!$D:$D,"&gt;="&amp;CONCATENATE($M$6,"/",B62),Proventos!$D:$D,"&lt;"&amp;CONCATENATE($N$6,"/",B62),Proventos!$J:$J,"="&amp;$H$2),
AND($H$2=Data!$A$8,$K$2=Data!$A$2),SUMIFS(Proventos!$H:$H,Proventos!$D:$D,"&gt;="&amp;CONCATENATE($M$6,"/",B62),Proventos!$D:$D,"&lt;"&amp;CONCATENATE($N$6,"/",B62),Proventos!$J:$J,"="&amp;$H$2),
AND($H$2=Data!$A$9,$K$2=Data!$A$2),SUMIFS(Proventos!$H:$H,Proventos!$D:$D,"&gt;="&amp;CONCATENATE($M$6,"/",B62),Proventos!$D:$D,"&lt;"&amp;CONCATENATE($N$6,"/",B62),Proventos!$J:$J,"="&amp;$H$2),
AND($H$2=Data!$A$10,$K$2=Data!$A$2),SUMIFS(Proventos!$H:$H,Proventos!$D:$D,"&gt;="&amp;CONCATENATE($M$6,"/",B62),Proventos!$D:$D,"&lt;"&amp;CONCATENATE($N$6,"/",B62),Proventos!$J:$J,"="&amp;$H$2),
AND($H$2=Data!$A$11,$K$2=Data!$A$2),SUMIFS(Proventos!$H:$H,Proventos!$D:$D,"&gt;="&amp;CONCATENATE($M$6,"/",B62),Proventos!$D:$D,"&lt;"&amp;CONCATENATE($N$6,"/",B62),Proventos!$J:$J,"="&amp;$H$2),
$K$2=Data!$A$2,SUMIFS(Proventos!$H:$H,Proventos!$D:$D,"&gt;="&amp;CONCATENATE($M$6,"/",B62),Proventos!$D:$D,"&lt;"&amp;CONCATENATE($N$6,"/",B62)),
$K$2&lt;&gt;Data!$A$2,SUMIFS(Proventos!$H:$H,Proventos!$D:$D,"&gt;="&amp;CONCATENATE($M$6,"/",B62),Proventos!$D:$D,"&lt;"&amp;CONCATENATE($N$6,"/",B62),Proventos!$A:$A,"="&amp;$K$2))</f>
        <v>0</v>
      </c>
      <c r="N62" s="245">
        <f>IFS(
AND($H$2=Data!$A$3,$K$2=Data!$A$2),SUMIFS(Proventos!$H:$H,Proventos!$D:$D,"&gt;="&amp;CONCATENATE($N$6,"/",B62),Proventos!$D:$D,"&lt;"&amp;CONCATENATE($C$6,"/",B63),Proventos!$J:$J,"="&amp;$H$2),
AND($H$2=Data!$A$4,$K$2=Data!$A$2),SUMIFS(Proventos!$H:$H,Proventos!$D:$D,"&gt;="&amp;CONCATENATE($N$6,"/",B62),Proventos!$D:$D,"&lt;"&amp;CONCATENATE($C$6,"/",B63),Proventos!$J:$J,"="&amp;$H$2),
AND($H$2=Data!$A$5,$K$2=Data!$A$2),SUMIFS(Proventos!$H:$H,Proventos!$D:$D,"&gt;="&amp;CONCATENATE($N$6,"/",B62),Proventos!$D:$D,"&lt;"&amp;CONCATENATE($C$6,"/",B63),Proventos!$J:$J,"="&amp;$H$2),
AND($H$2=Data!$A$6,$K$2=Data!$A$2),SUMIFS(Proventos!$H:$H,Proventos!$D:$D,"&gt;="&amp;CONCATENATE($N$6,"/",B62),Proventos!$D:$D,"&lt;"&amp;CONCATENATE($C$6,"/",B63),Proventos!$J:$J,"="&amp;$H$2),
AND($H$2=Data!$A$7,$K$2=Data!$A$2),SUMIFS(Proventos!$H:$H,Proventos!$D:$D,"&gt;="&amp;CONCATENATE($N$6,"/",B62),Proventos!$D:$D,"&lt;"&amp;CONCATENATE($C$6,"/",B63),Proventos!$J:$J,"="&amp;$H$2),
AND($H$2=Data!$A$8,$K$2=Data!$A$2),SUMIFS(Proventos!$H:$H,Proventos!$D:$D,"&gt;="&amp;CONCATENATE($N$6,"/",B62),Proventos!$D:$D,"&lt;"&amp;CONCATENATE($C$6,"/",B63),Proventos!$J:$J,"="&amp;$H$2),
AND($H$2=Data!$A$9,$K$2=Data!$A$2),SUMIFS(Proventos!$H:$H,Proventos!$D:$D,"&gt;="&amp;CONCATENATE($N$6,"/",B62),Proventos!$D:$D,"&lt;"&amp;CONCATENATE($C$6,"/",B63),Proventos!$J:$J,"="&amp;$H$2),
AND($H$2=Data!$A$10,$K$2=Data!$A$2),SUMIFS(Proventos!$H:$H,Proventos!$D:$D,"&gt;="&amp;CONCATENATE($N$6,"/",B62),Proventos!$D:$D,"&lt;"&amp;CONCATENATE($C$6,"/",B63),Proventos!$J:$J,"="&amp;$H$2),
AND($H$2=Data!$A$11,$K$2=Data!$A$2),SUMIFS(Proventos!$H:$H,Proventos!$D:$D,"&gt;="&amp;CONCATENATE($N$6,"/",B62),Proventos!$D:$D,"&lt;"&amp;CONCATENATE($C$6,"/",B63),Proventos!$J:$J,"="&amp;$H$2),
$K$2=Data!$A$2,SUMIFS(Proventos!$H:$H,Proventos!$D:$D,"&gt;="&amp;CONCATENATE($N$6,"/",B62),Proventos!$D:$D,"&lt;"&amp;CONCATENATE($C$6,"/",B63)),
$K$2&lt;&gt;Data!$A$2,SUMIFS(Proventos!$H:$H,Proventos!$D:$D,"&gt;="&amp;CONCATENATE($N$6,"/",B62),Proventos!$D:$D,"&lt;"&amp;CONCATENATE($C$6,"/",B63),Proventos!$A:$A,"="&amp;$K$2))</f>
        <v>0</v>
      </c>
      <c r="O62" s="245"/>
      <c r="P62" s="245">
        <f t="shared" si="1"/>
        <v>0</v>
      </c>
      <c r="Q62" s="245">
        <f t="shared" si="2"/>
        <v>0</v>
      </c>
    </row>
    <row r="63" ht="32.25" customHeight="1">
      <c r="A63" s="230"/>
      <c r="B63" s="244"/>
      <c r="C63" s="245">
        <f>IFS(
AND($H$2=Data!$A$3,$K$2=Data!$A$2),SUMIFS(Proventos!$H:$H,Proventos!$D:$D,"&gt;="&amp;CONCATENATE($C$6,"/",B63),Proventos!$D:$D,"&lt;"&amp;CONCATENATE($D$6,"/",B63),Proventos!$J:$J,"="&amp;$H$2),
AND($H$2=Data!$A$4,$K$2=Data!$A$2),SUMIFS(Proventos!$H:$H,Proventos!$D:$D,"&gt;="&amp;CONCATENATE($C$6,"/",B63),Proventos!$D:$D,"&lt;"&amp;CONCATENATE($D$6,"/",B63),Proventos!$J:$J,"="&amp;$H$2),
AND($H$2=Data!$A$5,$K$2=Data!$A$2),SUMIFS(Proventos!$H:$H,Proventos!$D:$D,"&gt;="&amp;CONCATENATE($C$6,"/",B63),Proventos!$D:$D,"&lt;"&amp;CONCATENATE($D$6,"/",B63),Proventos!$J:$J,"="&amp;$H$2),
AND($H$2=Data!$A$6,$K$2=Data!$A$2),SUMIFS(Proventos!$H:$H,Proventos!$D:$D,"&gt;="&amp;CONCATENATE($C$6,"/",B63),Proventos!$D:$D,"&lt;"&amp;CONCATENATE($D$6,"/",B63),Proventos!$J:$J,"="&amp;$H$2),
AND($H$2=Data!$A$7,$K$2=Data!$A$2),SUMIFS(Proventos!$H:$H,Proventos!$D:$D,"&gt;="&amp;CONCATENATE($C$6,"/",B63),Proventos!$D:$D,"&lt;"&amp;CONCATENATE($D$6,"/",B63),Proventos!$J:$J,"="&amp;$H$2),
AND($H$2=Data!$A$8,$K$2=Data!$A$2),SUMIFS(Proventos!$H:$H,Proventos!$D:$D,"&gt;="&amp;CONCATENATE($C$6,"/",B63),Proventos!$D:$D,"&lt;"&amp;CONCATENATE($D$6,"/",B63),Proventos!$J:$J,"="&amp;$H$2),
AND($H$2=Data!$A$9,$K$2=Data!$A$2),SUMIFS(Proventos!$H:$H,Proventos!$D:$D,"&gt;="&amp;CONCATENATE($C$6,"/",B63),Proventos!$D:$D,"&lt;"&amp;CONCATENATE($D$6,"/",B63),Proventos!$J:$J,"="&amp;$H$2),
AND($H$2=Data!$A$10,$K$2=Data!$A$2),SUMIFS(Proventos!$H:$H,Proventos!$D:$D,"&gt;="&amp;CONCATENATE($C$6,"/",B63),Proventos!$D:$D,"&lt;"&amp;CONCATENATE($D$6,"/",B63),Proventos!$J:$J,"="&amp;$H$2),
AND($H$2=Data!$A$11,$K$2=Data!$A$2),SUMIFS(Proventos!$H:$H,Proventos!$D:$D,"&gt;="&amp;CONCATENATE($C$6,"/",B63),Proventos!$D:$D,"&lt;"&amp;CONCATENATE($D$6,"/",B63),Proventos!$J:$J,"="&amp;$H$2),
$K$2=Data!$A$2,SUMIFS(Proventos!$H:$H,Proventos!$D:$D,"&gt;="&amp;CONCATENATE($C$6,"/",B63),Proventos!$D:$D,"&lt;"&amp;CONCATENATE($D$6,"/",B63)),
$K$2&lt;&gt;Data!$A$2,SUMIFS(Proventos!$H:$H,Proventos!$D:$D,"&gt;="&amp;CONCATENATE($C$6,"/",B63),Proventos!$D:$D,"&lt;"&amp;CONCATENATE($D$6,"/",B63),Proventos!$A:$A,"="&amp;$K$2))</f>
        <v>0</v>
      </c>
      <c r="D63" s="245">
        <f>IFS(
AND($H$2=Data!$A$3,$K$2=Data!$A$2),SUMIFS(Proventos!$H:$H,Proventos!$D:$D,"&gt;="&amp;CONCATENATE($D$6,"/",B63),Proventos!$D:$D,"&lt;"&amp;CONCATENATE($E$6,"/",B63),Proventos!$J:$J,"="&amp;$H$2),
AND($H$2=Data!$A$4,$K$2=Data!$A$2),SUMIFS(Proventos!$H:$H,Proventos!$D:$D,"&gt;="&amp;CONCATENATE($D$6,"/",B63),Proventos!$D:$D,"&lt;"&amp;CONCATENATE($E$6,"/",B63),Proventos!$J:$J,"="&amp;$H$2),
AND($H$2=Data!$A$5,$K$2=Data!$A$2),SUMIFS(Proventos!$H:$H,Proventos!$D:$D,"&gt;="&amp;CONCATENATE($D$6,"/",B63),Proventos!$D:$D,"&lt;"&amp;CONCATENATE($E$6,"/",B63),Proventos!$J:$J,"="&amp;$H$2),
AND($H$2=Data!$A$6,$K$2=Data!$A$2),SUMIFS(Proventos!$H:$H,Proventos!$D:$D,"&gt;="&amp;CONCATENATE($D$6,"/",B63),Proventos!$D:$D,"&lt;"&amp;CONCATENATE($E$6,"/",B63),Proventos!$J:$J,"="&amp;$H$2),
AND($H$2=Data!$A$7,$K$2=Data!$A$2),SUMIFS(Proventos!$H:$H,Proventos!$D:$D,"&gt;="&amp;CONCATENATE($D$6,"/",B63),Proventos!$D:$D,"&lt;"&amp;CONCATENATE($E$6,"/",B63),Proventos!$J:$J,"="&amp;$H$2),
AND($H$2=Data!$A$8,$K$2=Data!$A$2),SUMIFS(Proventos!$H:$H,Proventos!$D:$D,"&gt;="&amp;CONCATENATE($D$6,"/",B63),Proventos!$D:$D,"&lt;"&amp;CONCATENATE($E$6,"/",B63),Proventos!$J:$J,"="&amp;$H$2),
AND($H$2=Data!$A$9,$K$2=Data!$A$2),SUMIFS(Proventos!$H:$H,Proventos!$D:$D,"&gt;="&amp;CONCATENATE($D$6,"/",B63),Proventos!$D:$D,"&lt;"&amp;CONCATENATE($E$6,"/",B63),Proventos!$J:$J,"="&amp;$H$2),
AND($H$2=Data!$A$10,$K$2=Data!$A$2),SUMIFS(Proventos!$H:$H,Proventos!$D:$D,"&gt;="&amp;CONCATENATE($D$6,"/",B63),Proventos!$D:$D,"&lt;"&amp;CONCATENATE($E$6,"/",B63),Proventos!$J:$J,"="&amp;$H$2),
AND($H$2=Data!$A$11,$K$2=Data!$A$2),SUMIFS(Proventos!$H:$H,Proventos!$D:$D,"&gt;="&amp;CONCATENATE($D$6,"/",B63),Proventos!$D:$D,"&lt;"&amp;CONCATENATE($E$6,"/",B63),Proventos!$J:$J,"="&amp;$H$2),
$K$2=Data!$A$2,SUMIFS(Proventos!$H:$H,Proventos!$D:$D,"&gt;="&amp;CONCATENATE($D$6,"/",B63),Proventos!$D:$D,"&lt;"&amp;CONCATENATE($E$6,"/",B63)),
$K$2&lt;&gt;Data!$A$2,SUMIFS(Proventos!$H:$H,Proventos!$D:$D,"&gt;="&amp;CONCATENATE($D$6,"/",B63),Proventos!$D:$D,"&lt;"&amp;CONCATENATE($E$6,"/",B63),Proventos!$A:$A,"="&amp;$K$2))</f>
        <v>0</v>
      </c>
      <c r="E63" s="245">
        <f>IFS(
AND($H$2=Data!$A$3,$K$2=Data!$A$2),SUMIFS(Proventos!$H:$H,Proventos!$D:$D,"&gt;="&amp;CONCATENATE($E$6,"/",B63),Proventos!$D:$D,"&lt;"&amp;CONCATENATE($F$6,"/",B63),Proventos!$J:$J,"="&amp;$H$2),
AND($H$2=Data!$A$4,$K$2=Data!$A$2),SUMIFS(Proventos!$H:$H,Proventos!$D:$D,"&gt;="&amp;CONCATENATE($E$6,"/",B63),Proventos!$D:$D,"&lt;"&amp;CONCATENATE($F$6,"/",B63),Proventos!$J:$J,"="&amp;$H$2),
AND($H$2=Data!$A$5,$K$2=Data!$A$2),SUMIFS(Proventos!$H:$H,Proventos!$D:$D,"&gt;="&amp;CONCATENATE($E$6,"/",B63),Proventos!$D:$D,"&lt;"&amp;CONCATENATE($F$6,"/",B63),Proventos!$J:$J,"="&amp;$H$2),
AND($H$2=Data!$A$6,$K$2=Data!$A$2),SUMIFS(Proventos!$H:$H,Proventos!$D:$D,"&gt;="&amp;CONCATENATE($E$6,"/",B63),Proventos!$D:$D,"&lt;"&amp;CONCATENATE($F$6,"/",B63),Proventos!$J:$J,"="&amp;$H$2),
AND($H$2=Data!$A$7,$K$2=Data!$A$2),SUMIFS(Proventos!$H:$H,Proventos!$D:$D,"&gt;="&amp;CONCATENATE($E$6,"/",B63),Proventos!$D:$D,"&lt;"&amp;CONCATENATE($F$6,"/",B63),Proventos!$J:$J,"="&amp;$H$2),
AND($H$2=Data!$A$8,$K$2=Data!$A$2),SUMIFS(Proventos!$H:$H,Proventos!$D:$D,"&gt;="&amp;CONCATENATE($E$6,"/",B63),Proventos!$D:$D,"&lt;"&amp;CONCATENATE($F$6,"/",B63),Proventos!$J:$J,"="&amp;$H$2),
AND($H$2=Data!$A$9,$K$2=Data!$A$2),SUMIFS(Proventos!$H:$H,Proventos!$D:$D,"&gt;="&amp;CONCATENATE($E$6,"/",B63),Proventos!$D:$D,"&lt;"&amp;CONCATENATE($F$6,"/",B63),Proventos!$J:$J,"="&amp;$H$2),
AND($H$2=Data!$A$10,$K$2=Data!$A$2),SUMIFS(Proventos!$H:$H,Proventos!$D:$D,"&gt;="&amp;CONCATENATE($E$6,"/",B63),Proventos!$D:$D,"&lt;"&amp;CONCATENATE($F$6,"/",B63),Proventos!$J:$J,"="&amp;$H$2),
AND($H$2=Data!$A$11,$K$2=Data!$A$2),SUMIFS(Proventos!$H:$H,Proventos!$D:$D,"&gt;="&amp;CONCATENATE($E$6,"/",B63),Proventos!$D:$D,"&lt;"&amp;CONCATENATE($F$6,"/",B63),Proventos!$J:$J,"="&amp;$H$2),
$K$2=Data!$A$2,SUMIFS(Proventos!$H:$H,Proventos!$D:$D,"&gt;="&amp;CONCATENATE($E$6,"/",B63),Proventos!$D:$D,"&lt;"&amp;CONCATENATE($F$6,"/",B63)),
$K$2&lt;&gt;Data!$A$2,SUMIFS(Proventos!$H:$H,Proventos!$D:$D,"&gt;="&amp;CONCATENATE($E$6,"/",B63),Proventos!$D:$D,"&lt;"&amp;CONCATENATE($F$6,"/",B63),Proventos!$A:$A,"="&amp;$K$2))</f>
        <v>0</v>
      </c>
      <c r="F63" s="245">
        <f>IFS(
AND($H$2=Data!$A$3,$K$2=Data!$A$2),SUMIFS(Proventos!$H:$H,Proventos!$D:$D,"&gt;="&amp;CONCATENATE($F$6,"/",B63),Proventos!$D:$D,"&lt;"&amp;CONCATENATE($G$6,"/",B63),Proventos!$J:$J,"="&amp;$H$2),
AND($H$2=Data!$A$4,$K$2=Data!$A$2),SUMIFS(Proventos!$H:$H,Proventos!$D:$D,"&gt;="&amp;CONCATENATE($F$6,"/",B63),Proventos!$D:$D,"&lt;"&amp;CONCATENATE($G$6,"/",B63),Proventos!$J:$J,"="&amp;$H$2),
AND($H$2=Data!$A$5,$K$2=Data!$A$2),SUMIFS(Proventos!$H:$H,Proventos!$D:$D,"&gt;="&amp;CONCATENATE($F$6,"/",B63),Proventos!$D:$D,"&lt;"&amp;CONCATENATE($G$6,"/",B63),Proventos!$J:$J,"="&amp;$H$2),
AND($H$2=Data!$A$6,$K$2=Data!$A$2),SUMIFS(Proventos!$H:$H,Proventos!$D:$D,"&gt;="&amp;CONCATENATE($F$6,"/",B63),Proventos!$D:$D,"&lt;"&amp;CONCATENATE($G$6,"/",B63),Proventos!$J:$J,"="&amp;$H$2),
AND($H$2=Data!$A$7,$K$2=Data!$A$2),SUMIFS(Proventos!$H:$H,Proventos!$D:$D,"&gt;="&amp;CONCATENATE($F$6,"/",B63),Proventos!$D:$D,"&lt;"&amp;CONCATENATE($G$6,"/",B63),Proventos!$J:$J,"="&amp;$H$2),
AND($H$2=Data!$A$8,$K$2=Data!$A$2),SUMIFS(Proventos!$H:$H,Proventos!$D:$D,"&gt;="&amp;CONCATENATE($F$6,"/",B63),Proventos!$D:$D,"&lt;"&amp;CONCATENATE($G$6,"/",B63),Proventos!$J:$J,"="&amp;$H$2),
AND($H$2=Data!$A$9,$K$2=Data!$A$2),SUMIFS(Proventos!$H:$H,Proventos!$D:$D,"&gt;="&amp;CONCATENATE($F$6,"/",B63),Proventos!$D:$D,"&lt;"&amp;CONCATENATE($G$6,"/",B63),Proventos!$J:$J,"="&amp;$H$2),
AND($H$2=Data!$A$10,$K$2=Data!$A$2),SUMIFS(Proventos!$H:$H,Proventos!$D:$D,"&gt;="&amp;CONCATENATE($F$6,"/",B63),Proventos!$D:$D,"&lt;"&amp;CONCATENATE($G$6,"/",B63),Proventos!$J:$J,"="&amp;$H$2),
AND($H$2=Data!$A$11,$K$2=Data!$A$2),SUMIFS(Proventos!$H:$H,Proventos!$D:$D,"&gt;="&amp;CONCATENATE($F$6,"/",B63),Proventos!$D:$D,"&lt;"&amp;CONCATENATE($G$6,"/",B63),Proventos!$J:$J,"="&amp;$H$2),
$K$2=Data!$A$2,SUMIFS(Proventos!$H:$H,Proventos!$D:$D,"&gt;="&amp;CONCATENATE($F$6,"/",B63),Proventos!$D:$D,"&lt;"&amp;CONCATENATE($G$6,"/",B63)),
$K$2&lt;&gt;Data!$A$2,SUMIFS(Proventos!$H:$H,Proventos!$D:$D,"&gt;="&amp;CONCATENATE($F$6,"/",B63),Proventos!$D:$D,"&lt;"&amp;CONCATENATE($G$6,"/",B63),Proventos!$A:$A,"="&amp;$K$2))</f>
        <v>0</v>
      </c>
      <c r="G63" s="245">
        <f>IFS(
AND($H$2=Data!$A$3,$K$2=Data!$A$2),SUMIFS(Proventos!$H:$H,Proventos!$D:$D,"&gt;="&amp;CONCATENATE($G$6,"/",B63),Proventos!$D:$D,"&lt;"&amp;CONCATENATE($H$6,"/",B63),Proventos!$J:$J,"="&amp;$H$2),
AND($H$2=Data!$A$4,$K$2=Data!$A$2),SUMIFS(Proventos!$H:$H,Proventos!$D:$D,"&gt;="&amp;CONCATENATE($G$6,"/",B63),Proventos!$D:$D,"&lt;"&amp;CONCATENATE($H$6,"/",B63),Proventos!$J:$J,"="&amp;$H$2),
AND($H$2=Data!$A$5,$K$2=Data!$A$2),SUMIFS(Proventos!$H:$H,Proventos!$D:$D,"&gt;="&amp;CONCATENATE($G$6,"/",B63),Proventos!$D:$D,"&lt;"&amp;CONCATENATE($H$6,"/",B63),Proventos!$J:$J,"="&amp;$H$2),
AND($H$2=Data!$A$6,$K$2=Data!$A$2),SUMIFS(Proventos!$H:$H,Proventos!$D:$D,"&gt;="&amp;CONCATENATE($G$6,"/",B63),Proventos!$D:$D,"&lt;"&amp;CONCATENATE($H$6,"/",B63),Proventos!$J:$J,"="&amp;$H$2),
AND($H$2=Data!$A$7,$K$2=Data!$A$2),SUMIFS(Proventos!$H:$H,Proventos!$D:$D,"&gt;="&amp;CONCATENATE($G$6,"/",B63),Proventos!$D:$D,"&lt;"&amp;CONCATENATE($H$6,"/",B63),Proventos!$J:$J,"="&amp;$H$2),
AND($H$2=Data!$A$8,$K$2=Data!$A$2),SUMIFS(Proventos!$H:$H,Proventos!$D:$D,"&gt;="&amp;CONCATENATE($G$6,"/",B63),Proventos!$D:$D,"&lt;"&amp;CONCATENATE($H$6,"/",B63),Proventos!$J:$J,"="&amp;$H$2),
AND($H$2=Data!$A$9,$K$2=Data!$A$2),SUMIFS(Proventos!$H:$H,Proventos!$D:$D,"&gt;="&amp;CONCATENATE($G$6,"/",B63),Proventos!$D:$D,"&lt;"&amp;CONCATENATE($H$6,"/",B63),Proventos!$J:$J,"="&amp;$H$2),
AND($H$2=Data!$A$10,$K$2=Data!$A$2),SUMIFS(Proventos!$H:$H,Proventos!$D:$D,"&gt;="&amp;CONCATENATE($G$6,"/",B63),Proventos!$D:$D,"&lt;"&amp;CONCATENATE($H$6,"/",B63),Proventos!$J:$J,"="&amp;$H$2),
AND($H$2=Data!$A$11,$K$2=Data!$A$2),SUMIFS(Proventos!$H:$H,Proventos!$D:$D,"&gt;="&amp;CONCATENATE($G$6,"/",B63),Proventos!$D:$D,"&lt;"&amp;CONCATENATE($H$6,"/",B63),Proventos!$J:$J,"="&amp;$H$2),
$K$2=Data!$A$2,SUMIFS(Proventos!$H:$H,Proventos!$D:$D,"&gt;="&amp;CONCATENATE($G$6,"/",B63),Proventos!$D:$D,"&lt;"&amp;CONCATENATE($H$6,"/",B63)),
$K$2&lt;&gt;Data!$A$2,SUMIFS(Proventos!$H:$H,Proventos!$D:$D,"&gt;="&amp;CONCATENATE($G$6,"/",B63),Proventos!$D:$D,"&lt;"&amp;CONCATENATE($H$6,"/",B63),Proventos!$A:$A,"="&amp;$K$2))</f>
        <v>0</v>
      </c>
      <c r="H63" s="245">
        <f>IFS(
AND($H$2=Data!$A$3,$K$2=Data!$A$2),SUMIFS(Proventos!$H:$H,Proventos!$D:$D,"&gt;="&amp;CONCATENATE($H$6,"/",B63),Proventos!$D:$D,"&lt;"&amp;CONCATENATE($I$6,"/",B63),Proventos!$J:$J,"="&amp;$H$2),
AND($H$2=Data!$A$4,$K$2=Data!$A$2),SUMIFS(Proventos!$H:$H,Proventos!$D:$D,"&gt;="&amp;CONCATENATE($H$6,"/",B63),Proventos!$D:$D,"&lt;"&amp;CONCATENATE($I$6,"/",B63),Proventos!$J:$J,"="&amp;$H$2),
AND($H$2=Data!$A$5,$K$2=Data!$A$2),SUMIFS(Proventos!$H:$H,Proventos!$D:$D,"&gt;="&amp;CONCATENATE($H$6,"/",B63),Proventos!$D:$D,"&lt;"&amp;CONCATENATE($I$6,"/",B63),Proventos!$J:$J,"="&amp;$H$2),
AND($H$2=Data!$A$6,$K$2=Data!$A$2),SUMIFS(Proventos!$H:$H,Proventos!$D:$D,"&gt;="&amp;CONCATENATE($H$6,"/",B63),Proventos!$D:$D,"&lt;"&amp;CONCATENATE($I$6,"/",B63),Proventos!$J:$J,"="&amp;$H$2),
AND($H$2=Data!$A$7,$K$2=Data!$A$2),SUMIFS(Proventos!$H:$H,Proventos!$D:$D,"&gt;="&amp;CONCATENATE($H$6,"/",B63),Proventos!$D:$D,"&lt;"&amp;CONCATENATE($I$6,"/",B63),Proventos!$J:$J,"="&amp;$H$2),
AND($H$2=Data!$A$8,$K$2=Data!$A$2),SUMIFS(Proventos!$H:$H,Proventos!$D:$D,"&gt;="&amp;CONCATENATE($H$6,"/",B63),Proventos!$D:$D,"&lt;"&amp;CONCATENATE($I$6,"/",B63),Proventos!$J:$J,"="&amp;$H$2),
AND($H$2=Data!$A$9,$K$2=Data!$A$2),SUMIFS(Proventos!$H:$H,Proventos!$D:$D,"&gt;="&amp;CONCATENATE($H$6,"/",B63),Proventos!$D:$D,"&lt;"&amp;CONCATENATE($I$6,"/",B63),Proventos!$J:$J,"="&amp;$H$2),
AND($H$2=Data!$A$10,$K$2=Data!$A$2),SUMIFS(Proventos!$H:$H,Proventos!$D:$D,"&gt;="&amp;CONCATENATE($H$6,"/",B63),Proventos!$D:$D,"&lt;"&amp;CONCATENATE($I$6,"/",B63),Proventos!$J:$J,"="&amp;$H$2),
AND($H$2=Data!$A$11,$K$2=Data!$A$2),SUMIFS(Proventos!$H:$H,Proventos!$D:$D,"&gt;="&amp;CONCATENATE($H$6,"/",B63),Proventos!$D:$D,"&lt;"&amp;CONCATENATE($I$6,"/",B63),Proventos!$J:$J,"="&amp;$H$2),
$K$2=Data!$A$2,SUMIFS(Proventos!$H:$H,Proventos!$D:$D,"&gt;="&amp;CONCATENATE($H$6,"/",B63),Proventos!$D:$D,"&lt;"&amp;CONCATENATE($I$6,"/",B63)),
$K$2&lt;&gt;Data!$A$2,SUMIFS(Proventos!$H:$H,Proventos!$D:$D,"&gt;="&amp;CONCATENATE($H$6,"/",B63),Proventos!$D:$D,"&lt;"&amp;CONCATENATE($I$6,"/",B63),Proventos!$A:$A,"="&amp;$K$2))</f>
        <v>0</v>
      </c>
      <c r="I63" s="245">
        <f>IFS(
AND($H$2=Data!$A$3,$K$2=Data!$A$2),SUMIFS(Proventos!$H:$H,Proventos!$D:$D,"&gt;="&amp;CONCATENATE($I$6,"/",B63),Proventos!$D:$D,"&lt;"&amp;CONCATENATE($J$6,"/",B63),Proventos!$J:$J,"="&amp;$H$2),
AND($H$2=Data!$A$4,$K$2=Data!$A$2),SUMIFS(Proventos!$H:$H,Proventos!$D:$D,"&gt;="&amp;CONCATENATE($I$6,"/",B63),Proventos!$D:$D,"&lt;"&amp;CONCATENATE($J$6,"/",B63),Proventos!$J:$J,"="&amp;$H$2),
AND($H$2=Data!$A$5,$K$2=Data!$A$2),SUMIFS(Proventos!$H:$H,Proventos!$D:$D,"&gt;="&amp;CONCATENATE($I$6,"/",B63),Proventos!$D:$D,"&lt;"&amp;CONCATENATE($J$6,"/",B63),Proventos!$J:$J,"="&amp;$H$2),
AND($H$2=Data!$A$6,$K$2=Data!$A$2),SUMIFS(Proventos!$H:$H,Proventos!$D:$D,"&gt;="&amp;CONCATENATE($I$6,"/",B63),Proventos!$D:$D,"&lt;"&amp;CONCATENATE($J$6,"/",B63),Proventos!$J:$J,"="&amp;$H$2),
AND($H$2=Data!$A$7,$K$2=Data!$A$2),SUMIFS(Proventos!$H:$H,Proventos!$D:$D,"&gt;="&amp;CONCATENATE($I$6,"/",B63),Proventos!$D:$D,"&lt;"&amp;CONCATENATE($J$6,"/",B63),Proventos!$J:$J,"="&amp;$H$2),
AND($H$2=Data!$A$8,$K$2=Data!$A$2),SUMIFS(Proventos!$H:$H,Proventos!$D:$D,"&gt;="&amp;CONCATENATE($I$6,"/",B63),Proventos!$D:$D,"&lt;"&amp;CONCATENATE($J$6,"/",B63),Proventos!$J:$J,"="&amp;$H$2),
AND($H$2=Data!$A$9,$K$2=Data!$A$2),SUMIFS(Proventos!$H:$H,Proventos!$D:$D,"&gt;="&amp;CONCATENATE($I$6,"/",B63),Proventos!$D:$D,"&lt;"&amp;CONCATENATE($J$6,"/",B63),Proventos!$J:$J,"="&amp;$H$2),
AND($H$2=Data!$A$10,$K$2=Data!$A$2),SUMIFS(Proventos!$H:$H,Proventos!$D:$D,"&gt;="&amp;CONCATENATE($I$6,"/",B63),Proventos!$D:$D,"&lt;"&amp;CONCATENATE($J$6,"/",B63),Proventos!$J:$J,"="&amp;$H$2),
AND($H$2=Data!$A$11,$K$2=Data!$A$2),SUMIFS(Proventos!$H:$H,Proventos!$D:$D,"&gt;="&amp;CONCATENATE($I$6,"/",B63),Proventos!$D:$D,"&lt;"&amp;CONCATENATE($J$6,"/",B63),Proventos!$J:$J,"="&amp;$H$2),
$K$2=Data!$A$2,SUMIFS(Proventos!$H:$H,Proventos!$D:$D,"&gt;="&amp;CONCATENATE($I$6,"/",B63),Proventos!$D:$D,"&lt;"&amp;CONCATENATE($J$6,"/",B63)),
$K$2&lt;&gt;Data!$A$2,SUMIFS(Proventos!$H:$H,Proventos!$D:$D,"&gt;="&amp;CONCATENATE($I$6,"/",B63),Proventos!$D:$D,"&lt;"&amp;CONCATENATE($J$6,"/",B63),Proventos!$A:$A,"="&amp;$K$2))</f>
        <v>0</v>
      </c>
      <c r="J63" s="245">
        <f>IFS(
AND($H$2=Data!$A$3,$K$2=Data!$A$2),SUMIFS(Proventos!$H:$H,Proventos!$D:$D,"&gt;="&amp;CONCATENATE($J$6,"/",B63),Proventos!$D:$D,"&lt;"&amp;CONCATENATE($K$6,"/",B63),Proventos!$J:$J,"="&amp;$H$2),
AND($H$2=Data!$A$4,$K$2=Data!$A$2),SUMIFS(Proventos!$H:$H,Proventos!$D:$D,"&gt;="&amp;CONCATENATE($J$6,"/",B63),Proventos!$D:$D,"&lt;"&amp;CONCATENATE($K$6,"/",B63),Proventos!$J:$J,"="&amp;$H$2),
AND($H$2=Data!$A$5,$K$2=Data!$A$2),SUMIFS(Proventos!$H:$H,Proventos!$D:$D,"&gt;="&amp;CONCATENATE($J$6,"/",B63),Proventos!$D:$D,"&lt;"&amp;CONCATENATE($K$6,"/",B63),Proventos!$J:$J,"="&amp;$H$2),
AND($H$2=Data!$A$6,$K$2=Data!$A$2),SUMIFS(Proventos!$H:$H,Proventos!$D:$D,"&gt;="&amp;CONCATENATE($J$6,"/",B63),Proventos!$D:$D,"&lt;"&amp;CONCATENATE($K$6,"/",B63),Proventos!$J:$J,"="&amp;$H$2),
AND($H$2=Data!$A$7,$K$2=Data!$A$2),SUMIFS(Proventos!$H:$H,Proventos!$D:$D,"&gt;="&amp;CONCATENATE($J$6,"/",B63),Proventos!$D:$D,"&lt;"&amp;CONCATENATE($K$6,"/",B63),Proventos!$J:$J,"="&amp;$H$2),
AND($H$2=Data!$A$8,$K$2=Data!$A$2),SUMIFS(Proventos!$H:$H,Proventos!$D:$D,"&gt;="&amp;CONCATENATE($J$6,"/",B63),Proventos!$D:$D,"&lt;"&amp;CONCATENATE($K$6,"/",B63),Proventos!$J:$J,"="&amp;$H$2),
AND($H$2=Data!$A$9,$K$2=Data!$A$2),SUMIFS(Proventos!$H:$H,Proventos!$D:$D,"&gt;="&amp;CONCATENATE($J$6,"/",B63),Proventos!$D:$D,"&lt;"&amp;CONCATENATE($K$6,"/",B63),Proventos!$J:$J,"="&amp;$H$2),
AND($H$2=Data!$A$10,$K$2=Data!$A$2),SUMIFS(Proventos!$H:$H,Proventos!$D:$D,"&gt;="&amp;CONCATENATE($J$6,"/",B63),Proventos!$D:$D,"&lt;"&amp;CONCATENATE($K$6,"/",B63),Proventos!$J:$J,"="&amp;$H$2),
AND($H$2=Data!$A$11,$K$2=Data!$A$2),SUMIFS(Proventos!$H:$H,Proventos!$D:$D,"&gt;="&amp;CONCATENATE($J$6,"/",B63),Proventos!$D:$D,"&lt;"&amp;CONCATENATE($K$6,"/",B63),Proventos!$J:$J,"="&amp;$H$2),
$K$2=Data!$A$2,SUMIFS(Proventos!$H:$H,Proventos!$D:$D,"&gt;="&amp;CONCATENATE($J$6,"/",B63),Proventos!$D:$D,"&lt;"&amp;CONCATENATE($K$6,"/",B63)),
$K$2&lt;&gt;Data!$A$2,SUMIFS(Proventos!$H:$H,Proventos!$D:$D,"&gt;="&amp;CONCATENATE($J$6,"/",B63),Proventos!$D:$D,"&lt;"&amp;CONCATENATE($K$6,"/",B63),Proventos!$A:$A,"="&amp;$K$2))</f>
        <v>0</v>
      </c>
      <c r="K63" s="245">
        <f>IFS(
AND($H$2=Data!$A$3,$K$2=Data!$A$2),SUMIFS(Proventos!$H:$H,Proventos!$D:$D,"&gt;="&amp;CONCATENATE($K$6,"/",B63),Proventos!$D:$D,"&lt;"&amp;CONCATENATE($L$6,"/",B63),Proventos!$J:$J,"="&amp;$H$2),
AND($H$2=Data!$A$4,$K$2=Data!$A$2),SUMIFS(Proventos!$H:$H,Proventos!$D:$D,"&gt;="&amp;CONCATENATE($K$6,"/",B63),Proventos!$D:$D,"&lt;"&amp;CONCATENATE($L$6,"/",B63),Proventos!$J:$J,"="&amp;$H$2),
AND($H$2=Data!$A$5,$K$2=Data!$A$2),SUMIFS(Proventos!$H:$H,Proventos!$D:$D,"&gt;="&amp;CONCATENATE($K$6,"/",B63),Proventos!$D:$D,"&lt;"&amp;CONCATENATE($L$6,"/",B63),Proventos!$J:$J,"="&amp;$H$2),
AND($H$2=Data!$A$6,$K$2=Data!$A$2),SUMIFS(Proventos!$H:$H,Proventos!$D:$D,"&gt;="&amp;CONCATENATE($K$6,"/",B63),Proventos!$D:$D,"&lt;"&amp;CONCATENATE($L$6,"/",B63),Proventos!$J:$J,"="&amp;$H$2),
AND($H$2=Data!$A$7,$K$2=Data!$A$2),SUMIFS(Proventos!$H:$H,Proventos!$D:$D,"&gt;="&amp;CONCATENATE($K$6,"/",B63),Proventos!$D:$D,"&lt;"&amp;CONCATENATE($L$6,"/",B63),Proventos!$J:$J,"="&amp;$H$2),
AND($H$2=Data!$A$8,$K$2=Data!$A$2),SUMIFS(Proventos!$H:$H,Proventos!$D:$D,"&gt;="&amp;CONCATENATE($K$6,"/",B63),Proventos!$D:$D,"&lt;"&amp;CONCATENATE($L$6,"/",B63),Proventos!$J:$J,"="&amp;$H$2),
AND($H$2=Data!$A$9,$K$2=Data!$A$2),SUMIFS(Proventos!$H:$H,Proventos!$D:$D,"&gt;="&amp;CONCATENATE($K$6,"/",B63),Proventos!$D:$D,"&lt;"&amp;CONCATENATE($L$6,"/",B63),Proventos!$J:$J,"="&amp;$H$2),
AND($H$2=Data!$A$10,$K$2=Data!$A$2),SUMIFS(Proventos!$H:$H,Proventos!$D:$D,"&gt;="&amp;CONCATENATE($K$6,"/",B63),Proventos!$D:$D,"&lt;"&amp;CONCATENATE($L$6,"/",B63),Proventos!$J:$J,"="&amp;$H$2),
AND($H$2=Data!$A$11,$K$2=Data!$A$2),SUMIFS(Proventos!$H:$H,Proventos!$D:$D,"&gt;="&amp;CONCATENATE($K$6,"/",B63),Proventos!$D:$D,"&lt;"&amp;CONCATENATE($L$6,"/",B63),Proventos!$J:$J,"="&amp;$H$2),
$K$2=Data!$A$2,SUMIFS(Proventos!$H:$H,Proventos!$D:$D,"&gt;="&amp;CONCATENATE($K$6,"/",B63),Proventos!$D:$D,"&lt;"&amp;CONCATENATE($L$6,"/",B63)),
$K$2&lt;&gt;Data!$A$2,SUMIFS(Proventos!$H:$H,Proventos!$D:$D,"&gt;="&amp;CONCATENATE($K$6,"/",B63),Proventos!$D:$D,"&lt;"&amp;CONCATENATE($L$6,"/",B63),Proventos!$A:$A,"="&amp;$K$2))</f>
        <v>0</v>
      </c>
      <c r="L63" s="245">
        <f>IFS(
AND($H$2=Data!$A$3,$K$2=Data!$A$2),SUMIFS(Proventos!$H:$H,Proventos!$D:$D,"&gt;="&amp;CONCATENATE($L$6,"/",B63),Proventos!$D:$D,"&lt;"&amp;CONCATENATE($M$6,"/",B63),Proventos!$J:$J,"="&amp;$H$2),
AND($H$2=Data!$A$4,$K$2=Data!$A$2),SUMIFS(Proventos!$H:$H,Proventos!$D:$D,"&gt;="&amp;CONCATENATE($L$6,"/",B63),Proventos!$D:$D,"&lt;"&amp;CONCATENATE($M$6,"/",B63),Proventos!$J:$J,"="&amp;$H$2),
AND($H$2=Data!$A$5,$K$2=Data!$A$2),SUMIFS(Proventos!$H:$H,Proventos!$D:$D,"&gt;="&amp;CONCATENATE($L$6,"/",B63),Proventos!$D:$D,"&lt;"&amp;CONCATENATE($M$6,"/",B63),Proventos!$J:$J,"="&amp;$H$2),
AND($H$2=Data!$A$6,$K$2=Data!$A$2),SUMIFS(Proventos!$H:$H,Proventos!$D:$D,"&gt;="&amp;CONCATENATE($L$6,"/",B63),Proventos!$D:$D,"&lt;"&amp;CONCATENATE($M$6,"/",B63),Proventos!$J:$J,"="&amp;$H$2),
AND($H$2=Data!$A$7,$K$2=Data!$A$2),SUMIFS(Proventos!$H:$H,Proventos!$D:$D,"&gt;="&amp;CONCATENATE($L$6,"/",B63),Proventos!$D:$D,"&lt;"&amp;CONCATENATE($M$6,"/",B63),Proventos!$J:$J,"="&amp;$H$2),
AND($H$2=Data!$A$8,$K$2=Data!$A$2),SUMIFS(Proventos!$H:$H,Proventos!$D:$D,"&gt;="&amp;CONCATENATE($L$6,"/",B63),Proventos!$D:$D,"&lt;"&amp;CONCATENATE($M$6,"/",B63),Proventos!$J:$J,"="&amp;$H$2),
AND($H$2=Data!$A$9,$K$2=Data!$A$2),SUMIFS(Proventos!$H:$H,Proventos!$D:$D,"&gt;="&amp;CONCATENATE($L$6,"/",B63),Proventos!$D:$D,"&lt;"&amp;CONCATENATE($M$6,"/",B63),Proventos!$J:$J,"="&amp;$H$2),
AND($H$2=Data!$A$10,$K$2=Data!$A$2),SUMIFS(Proventos!$H:$H,Proventos!$D:$D,"&gt;="&amp;CONCATENATE($L$6,"/",B63),Proventos!$D:$D,"&lt;"&amp;CONCATENATE($M$6,"/",B63),Proventos!$J:$J,"="&amp;$H$2),
AND($H$2=Data!$A$11,$K$2=Data!$A$2),SUMIFS(Proventos!$H:$H,Proventos!$D:$D,"&gt;="&amp;CONCATENATE($L$6,"/",B63),Proventos!$D:$D,"&lt;"&amp;CONCATENATE($M$6,"/",B63),Proventos!$J:$J,"="&amp;$H$2),
$K$2=Data!$A$2,SUMIFS(Proventos!$H:$H,Proventos!$D:$D,"&gt;="&amp;CONCATENATE($L$6,"/",B63),Proventos!$D:$D,"&lt;"&amp;CONCATENATE($M$6,"/",B63)),
$K$2&lt;&gt;Data!$A$2,SUMIFS(Proventos!$H:$H,Proventos!$D:$D,"&gt;="&amp;CONCATENATE($L$6,"/",B63),Proventos!$D:$D,"&lt;"&amp;CONCATENATE($M$6,"/",B63),Proventos!$A:$A,"="&amp;$K$2))</f>
        <v>0</v>
      </c>
      <c r="M63" s="245">
        <f>IFS(
AND($H$2=Data!$A$3,$K$2=Data!$A$2),SUMIFS(Proventos!$H:$H,Proventos!$D:$D,"&gt;="&amp;CONCATENATE($M$6,"/",B63),Proventos!$D:$D,"&lt;"&amp;CONCATENATE($N$6,"/",B63),Proventos!$J:$J,"="&amp;$H$2),
AND($H$2=Data!$A$4,$K$2=Data!$A$2),SUMIFS(Proventos!$H:$H,Proventos!$D:$D,"&gt;="&amp;CONCATENATE($M$6,"/",B63),Proventos!$D:$D,"&lt;"&amp;CONCATENATE($N$6,"/",B63),Proventos!$J:$J,"="&amp;$H$2),
AND($H$2=Data!$A$5,$K$2=Data!$A$2),SUMIFS(Proventos!$H:$H,Proventos!$D:$D,"&gt;="&amp;CONCATENATE($M$6,"/",B63),Proventos!$D:$D,"&lt;"&amp;CONCATENATE($N$6,"/",B63),Proventos!$J:$J,"="&amp;$H$2),
AND($H$2=Data!$A$6,$K$2=Data!$A$2),SUMIFS(Proventos!$H:$H,Proventos!$D:$D,"&gt;="&amp;CONCATENATE($M$6,"/",B63),Proventos!$D:$D,"&lt;"&amp;CONCATENATE($N$6,"/",B63),Proventos!$J:$J,"="&amp;$H$2),
AND($H$2=Data!$A$7,$K$2=Data!$A$2),SUMIFS(Proventos!$H:$H,Proventos!$D:$D,"&gt;="&amp;CONCATENATE($M$6,"/",B63),Proventos!$D:$D,"&lt;"&amp;CONCATENATE($N$6,"/",B63),Proventos!$J:$J,"="&amp;$H$2),
AND($H$2=Data!$A$8,$K$2=Data!$A$2),SUMIFS(Proventos!$H:$H,Proventos!$D:$D,"&gt;="&amp;CONCATENATE($M$6,"/",B63),Proventos!$D:$D,"&lt;"&amp;CONCATENATE($N$6,"/",B63),Proventos!$J:$J,"="&amp;$H$2),
AND($H$2=Data!$A$9,$K$2=Data!$A$2),SUMIFS(Proventos!$H:$H,Proventos!$D:$D,"&gt;="&amp;CONCATENATE($M$6,"/",B63),Proventos!$D:$D,"&lt;"&amp;CONCATENATE($N$6,"/",B63),Proventos!$J:$J,"="&amp;$H$2),
AND($H$2=Data!$A$10,$K$2=Data!$A$2),SUMIFS(Proventos!$H:$H,Proventos!$D:$D,"&gt;="&amp;CONCATENATE($M$6,"/",B63),Proventos!$D:$D,"&lt;"&amp;CONCATENATE($N$6,"/",B63),Proventos!$J:$J,"="&amp;$H$2),
AND($H$2=Data!$A$11,$K$2=Data!$A$2),SUMIFS(Proventos!$H:$H,Proventos!$D:$D,"&gt;="&amp;CONCATENATE($M$6,"/",B63),Proventos!$D:$D,"&lt;"&amp;CONCATENATE($N$6,"/",B63),Proventos!$J:$J,"="&amp;$H$2),
$K$2=Data!$A$2,SUMIFS(Proventos!$H:$H,Proventos!$D:$D,"&gt;="&amp;CONCATENATE($M$6,"/",B63),Proventos!$D:$D,"&lt;"&amp;CONCATENATE($N$6,"/",B63)),
$K$2&lt;&gt;Data!$A$2,SUMIFS(Proventos!$H:$H,Proventos!$D:$D,"&gt;="&amp;CONCATENATE($M$6,"/",B63),Proventos!$D:$D,"&lt;"&amp;CONCATENATE($N$6,"/",B63),Proventos!$A:$A,"="&amp;$K$2))</f>
        <v>0</v>
      </c>
      <c r="N63" s="245">
        <f>IFS(
AND($H$2=Data!$A$3,$K$2=Data!$A$2),SUMIFS(Proventos!$H:$H,Proventos!$D:$D,"&gt;="&amp;CONCATENATE($N$6,"/",B63),Proventos!$D:$D,"&lt;"&amp;CONCATENATE($C$6,"/",B64),Proventos!$J:$J,"="&amp;$H$2),
AND($H$2=Data!$A$4,$K$2=Data!$A$2),SUMIFS(Proventos!$H:$H,Proventos!$D:$D,"&gt;="&amp;CONCATENATE($N$6,"/",B63),Proventos!$D:$D,"&lt;"&amp;CONCATENATE($C$6,"/",B64),Proventos!$J:$J,"="&amp;$H$2),
AND($H$2=Data!$A$5,$K$2=Data!$A$2),SUMIFS(Proventos!$H:$H,Proventos!$D:$D,"&gt;="&amp;CONCATENATE($N$6,"/",B63),Proventos!$D:$D,"&lt;"&amp;CONCATENATE($C$6,"/",B64),Proventos!$J:$J,"="&amp;$H$2),
AND($H$2=Data!$A$6,$K$2=Data!$A$2),SUMIFS(Proventos!$H:$H,Proventos!$D:$D,"&gt;="&amp;CONCATENATE($N$6,"/",B63),Proventos!$D:$D,"&lt;"&amp;CONCATENATE($C$6,"/",B64),Proventos!$J:$J,"="&amp;$H$2),
AND($H$2=Data!$A$7,$K$2=Data!$A$2),SUMIFS(Proventos!$H:$H,Proventos!$D:$D,"&gt;="&amp;CONCATENATE($N$6,"/",B63),Proventos!$D:$D,"&lt;"&amp;CONCATENATE($C$6,"/",B64),Proventos!$J:$J,"="&amp;$H$2),
AND($H$2=Data!$A$8,$K$2=Data!$A$2),SUMIFS(Proventos!$H:$H,Proventos!$D:$D,"&gt;="&amp;CONCATENATE($N$6,"/",B63),Proventos!$D:$D,"&lt;"&amp;CONCATENATE($C$6,"/",B64),Proventos!$J:$J,"="&amp;$H$2),
AND($H$2=Data!$A$9,$K$2=Data!$A$2),SUMIFS(Proventos!$H:$H,Proventos!$D:$D,"&gt;="&amp;CONCATENATE($N$6,"/",B63),Proventos!$D:$D,"&lt;"&amp;CONCATENATE($C$6,"/",B64),Proventos!$J:$J,"="&amp;$H$2),
AND($H$2=Data!$A$10,$K$2=Data!$A$2),SUMIFS(Proventos!$H:$H,Proventos!$D:$D,"&gt;="&amp;CONCATENATE($N$6,"/",B63),Proventos!$D:$D,"&lt;"&amp;CONCATENATE($C$6,"/",B64),Proventos!$J:$J,"="&amp;$H$2),
AND($H$2=Data!$A$11,$K$2=Data!$A$2),SUMIFS(Proventos!$H:$H,Proventos!$D:$D,"&gt;="&amp;CONCATENATE($N$6,"/",B63),Proventos!$D:$D,"&lt;"&amp;CONCATENATE($C$6,"/",B64),Proventos!$J:$J,"="&amp;$H$2),
$K$2=Data!$A$2,SUMIFS(Proventos!$H:$H,Proventos!$D:$D,"&gt;="&amp;CONCATENATE($N$6,"/",B63),Proventos!$D:$D,"&lt;"&amp;CONCATENATE($C$6,"/",B64)),
$K$2&lt;&gt;Data!$A$2,SUMIFS(Proventos!$H:$H,Proventos!$D:$D,"&gt;="&amp;CONCATENATE($N$6,"/",B63),Proventos!$D:$D,"&lt;"&amp;CONCATENATE($C$6,"/",B64),Proventos!$A:$A,"="&amp;$K$2))</f>
        <v>0</v>
      </c>
      <c r="O63" s="245"/>
      <c r="P63" s="245">
        <f t="shared" si="1"/>
        <v>0</v>
      </c>
      <c r="Q63" s="245">
        <f t="shared" si="2"/>
        <v>0</v>
      </c>
    </row>
    <row r="64" ht="32.25" customHeight="1">
      <c r="A64" s="230"/>
      <c r="B64" s="244"/>
      <c r="C64" s="245">
        <f>IFS(
AND($H$2=Data!$A$3,$K$2=Data!$A$2),SUMIFS(Proventos!$H:$H,Proventos!$D:$D,"&gt;="&amp;CONCATENATE($C$6,"/",B64),Proventos!$D:$D,"&lt;"&amp;CONCATENATE($D$6,"/",B64),Proventos!$J:$J,"="&amp;$H$2),
AND($H$2=Data!$A$4,$K$2=Data!$A$2),SUMIFS(Proventos!$H:$H,Proventos!$D:$D,"&gt;="&amp;CONCATENATE($C$6,"/",B64),Proventos!$D:$D,"&lt;"&amp;CONCATENATE($D$6,"/",B64),Proventos!$J:$J,"="&amp;$H$2),
AND($H$2=Data!$A$5,$K$2=Data!$A$2),SUMIFS(Proventos!$H:$H,Proventos!$D:$D,"&gt;="&amp;CONCATENATE($C$6,"/",B64),Proventos!$D:$D,"&lt;"&amp;CONCATENATE($D$6,"/",B64),Proventos!$J:$J,"="&amp;$H$2),
AND($H$2=Data!$A$6,$K$2=Data!$A$2),SUMIFS(Proventos!$H:$H,Proventos!$D:$D,"&gt;="&amp;CONCATENATE($C$6,"/",B64),Proventos!$D:$D,"&lt;"&amp;CONCATENATE($D$6,"/",B64),Proventos!$J:$J,"="&amp;$H$2),
AND($H$2=Data!$A$7,$K$2=Data!$A$2),SUMIFS(Proventos!$H:$H,Proventos!$D:$D,"&gt;="&amp;CONCATENATE($C$6,"/",B64),Proventos!$D:$D,"&lt;"&amp;CONCATENATE($D$6,"/",B64),Proventos!$J:$J,"="&amp;$H$2),
AND($H$2=Data!$A$8,$K$2=Data!$A$2),SUMIFS(Proventos!$H:$H,Proventos!$D:$D,"&gt;="&amp;CONCATENATE($C$6,"/",B64),Proventos!$D:$D,"&lt;"&amp;CONCATENATE($D$6,"/",B64),Proventos!$J:$J,"="&amp;$H$2),
AND($H$2=Data!$A$9,$K$2=Data!$A$2),SUMIFS(Proventos!$H:$H,Proventos!$D:$D,"&gt;="&amp;CONCATENATE($C$6,"/",B64),Proventos!$D:$D,"&lt;"&amp;CONCATENATE($D$6,"/",B64),Proventos!$J:$J,"="&amp;$H$2),
AND($H$2=Data!$A$10,$K$2=Data!$A$2),SUMIFS(Proventos!$H:$H,Proventos!$D:$D,"&gt;="&amp;CONCATENATE($C$6,"/",B64),Proventos!$D:$D,"&lt;"&amp;CONCATENATE($D$6,"/",B64),Proventos!$J:$J,"="&amp;$H$2),
AND($H$2=Data!$A$11,$K$2=Data!$A$2),SUMIFS(Proventos!$H:$H,Proventos!$D:$D,"&gt;="&amp;CONCATENATE($C$6,"/",B64),Proventos!$D:$D,"&lt;"&amp;CONCATENATE($D$6,"/",B64),Proventos!$J:$J,"="&amp;$H$2),
$K$2=Data!$A$2,SUMIFS(Proventos!$H:$H,Proventos!$D:$D,"&gt;="&amp;CONCATENATE($C$6,"/",B64),Proventos!$D:$D,"&lt;"&amp;CONCATENATE($D$6,"/",B64)),
$K$2&lt;&gt;Data!$A$2,SUMIFS(Proventos!$H:$H,Proventos!$D:$D,"&gt;="&amp;CONCATENATE($C$6,"/",B64),Proventos!$D:$D,"&lt;"&amp;CONCATENATE($D$6,"/",B64),Proventos!$A:$A,"="&amp;$K$2))</f>
        <v>0</v>
      </c>
      <c r="D64" s="245">
        <f>IFS(
AND($H$2=Data!$A$3,$K$2=Data!$A$2),SUMIFS(Proventos!$H:$H,Proventos!$D:$D,"&gt;="&amp;CONCATENATE($D$6,"/",B64),Proventos!$D:$D,"&lt;"&amp;CONCATENATE($E$6,"/",B64),Proventos!$J:$J,"="&amp;$H$2),
AND($H$2=Data!$A$4,$K$2=Data!$A$2),SUMIFS(Proventos!$H:$H,Proventos!$D:$D,"&gt;="&amp;CONCATENATE($D$6,"/",B64),Proventos!$D:$D,"&lt;"&amp;CONCATENATE($E$6,"/",B64),Proventos!$J:$J,"="&amp;$H$2),
AND($H$2=Data!$A$5,$K$2=Data!$A$2),SUMIFS(Proventos!$H:$H,Proventos!$D:$D,"&gt;="&amp;CONCATENATE($D$6,"/",B64),Proventos!$D:$D,"&lt;"&amp;CONCATENATE($E$6,"/",B64),Proventos!$J:$J,"="&amp;$H$2),
AND($H$2=Data!$A$6,$K$2=Data!$A$2),SUMIFS(Proventos!$H:$H,Proventos!$D:$D,"&gt;="&amp;CONCATENATE($D$6,"/",B64),Proventos!$D:$D,"&lt;"&amp;CONCATENATE($E$6,"/",B64),Proventos!$J:$J,"="&amp;$H$2),
AND($H$2=Data!$A$7,$K$2=Data!$A$2),SUMIFS(Proventos!$H:$H,Proventos!$D:$D,"&gt;="&amp;CONCATENATE($D$6,"/",B64),Proventos!$D:$D,"&lt;"&amp;CONCATENATE($E$6,"/",B64),Proventos!$J:$J,"="&amp;$H$2),
AND($H$2=Data!$A$8,$K$2=Data!$A$2),SUMIFS(Proventos!$H:$H,Proventos!$D:$D,"&gt;="&amp;CONCATENATE($D$6,"/",B64),Proventos!$D:$D,"&lt;"&amp;CONCATENATE($E$6,"/",B64),Proventos!$J:$J,"="&amp;$H$2),
AND($H$2=Data!$A$9,$K$2=Data!$A$2),SUMIFS(Proventos!$H:$H,Proventos!$D:$D,"&gt;="&amp;CONCATENATE($D$6,"/",B64),Proventos!$D:$D,"&lt;"&amp;CONCATENATE($E$6,"/",B64),Proventos!$J:$J,"="&amp;$H$2),
AND($H$2=Data!$A$10,$K$2=Data!$A$2),SUMIFS(Proventos!$H:$H,Proventos!$D:$D,"&gt;="&amp;CONCATENATE($D$6,"/",B64),Proventos!$D:$D,"&lt;"&amp;CONCATENATE($E$6,"/",B64),Proventos!$J:$J,"="&amp;$H$2),
AND($H$2=Data!$A$11,$K$2=Data!$A$2),SUMIFS(Proventos!$H:$H,Proventos!$D:$D,"&gt;="&amp;CONCATENATE($D$6,"/",B64),Proventos!$D:$D,"&lt;"&amp;CONCATENATE($E$6,"/",B64),Proventos!$J:$J,"="&amp;$H$2),
$K$2=Data!$A$2,SUMIFS(Proventos!$H:$H,Proventos!$D:$D,"&gt;="&amp;CONCATENATE($D$6,"/",B64),Proventos!$D:$D,"&lt;"&amp;CONCATENATE($E$6,"/",B64)),
$K$2&lt;&gt;Data!$A$2,SUMIFS(Proventos!$H:$H,Proventos!$D:$D,"&gt;="&amp;CONCATENATE($D$6,"/",B64),Proventos!$D:$D,"&lt;"&amp;CONCATENATE($E$6,"/",B64),Proventos!$A:$A,"="&amp;$K$2))</f>
        <v>0</v>
      </c>
      <c r="E64" s="245">
        <f>IFS(
AND($H$2=Data!$A$3,$K$2=Data!$A$2),SUMIFS(Proventos!$H:$H,Proventos!$D:$D,"&gt;="&amp;CONCATENATE($E$6,"/",B64),Proventos!$D:$D,"&lt;"&amp;CONCATENATE($F$6,"/",B64),Proventos!$J:$J,"="&amp;$H$2),
AND($H$2=Data!$A$4,$K$2=Data!$A$2),SUMIFS(Proventos!$H:$H,Proventos!$D:$D,"&gt;="&amp;CONCATENATE($E$6,"/",B64),Proventos!$D:$D,"&lt;"&amp;CONCATENATE($F$6,"/",B64),Proventos!$J:$J,"="&amp;$H$2),
AND($H$2=Data!$A$5,$K$2=Data!$A$2),SUMIFS(Proventos!$H:$H,Proventos!$D:$D,"&gt;="&amp;CONCATENATE($E$6,"/",B64),Proventos!$D:$D,"&lt;"&amp;CONCATENATE($F$6,"/",B64),Proventos!$J:$J,"="&amp;$H$2),
AND($H$2=Data!$A$6,$K$2=Data!$A$2),SUMIFS(Proventos!$H:$H,Proventos!$D:$D,"&gt;="&amp;CONCATENATE($E$6,"/",B64),Proventos!$D:$D,"&lt;"&amp;CONCATENATE($F$6,"/",B64),Proventos!$J:$J,"="&amp;$H$2),
AND($H$2=Data!$A$7,$K$2=Data!$A$2),SUMIFS(Proventos!$H:$H,Proventos!$D:$D,"&gt;="&amp;CONCATENATE($E$6,"/",B64),Proventos!$D:$D,"&lt;"&amp;CONCATENATE($F$6,"/",B64),Proventos!$J:$J,"="&amp;$H$2),
AND($H$2=Data!$A$8,$K$2=Data!$A$2),SUMIFS(Proventos!$H:$H,Proventos!$D:$D,"&gt;="&amp;CONCATENATE($E$6,"/",B64),Proventos!$D:$D,"&lt;"&amp;CONCATENATE($F$6,"/",B64),Proventos!$J:$J,"="&amp;$H$2),
AND($H$2=Data!$A$9,$K$2=Data!$A$2),SUMIFS(Proventos!$H:$H,Proventos!$D:$D,"&gt;="&amp;CONCATENATE($E$6,"/",B64),Proventos!$D:$D,"&lt;"&amp;CONCATENATE($F$6,"/",B64),Proventos!$J:$J,"="&amp;$H$2),
AND($H$2=Data!$A$10,$K$2=Data!$A$2),SUMIFS(Proventos!$H:$H,Proventos!$D:$D,"&gt;="&amp;CONCATENATE($E$6,"/",B64),Proventos!$D:$D,"&lt;"&amp;CONCATENATE($F$6,"/",B64),Proventos!$J:$J,"="&amp;$H$2),
AND($H$2=Data!$A$11,$K$2=Data!$A$2),SUMIFS(Proventos!$H:$H,Proventos!$D:$D,"&gt;="&amp;CONCATENATE($E$6,"/",B64),Proventos!$D:$D,"&lt;"&amp;CONCATENATE($F$6,"/",B64),Proventos!$J:$J,"="&amp;$H$2),
$K$2=Data!$A$2,SUMIFS(Proventos!$H:$H,Proventos!$D:$D,"&gt;="&amp;CONCATENATE($E$6,"/",B64),Proventos!$D:$D,"&lt;"&amp;CONCATENATE($F$6,"/",B64)),
$K$2&lt;&gt;Data!$A$2,SUMIFS(Proventos!$H:$H,Proventos!$D:$D,"&gt;="&amp;CONCATENATE($E$6,"/",B64),Proventos!$D:$D,"&lt;"&amp;CONCATENATE($F$6,"/",B64),Proventos!$A:$A,"="&amp;$K$2))</f>
        <v>0</v>
      </c>
      <c r="F64" s="245">
        <f>IFS(
AND($H$2=Data!$A$3,$K$2=Data!$A$2),SUMIFS(Proventos!$H:$H,Proventos!$D:$D,"&gt;="&amp;CONCATENATE($F$6,"/",B64),Proventos!$D:$D,"&lt;"&amp;CONCATENATE($G$6,"/",B64),Proventos!$J:$J,"="&amp;$H$2),
AND($H$2=Data!$A$4,$K$2=Data!$A$2),SUMIFS(Proventos!$H:$H,Proventos!$D:$D,"&gt;="&amp;CONCATENATE($F$6,"/",B64),Proventos!$D:$D,"&lt;"&amp;CONCATENATE($G$6,"/",B64),Proventos!$J:$J,"="&amp;$H$2),
AND($H$2=Data!$A$5,$K$2=Data!$A$2),SUMIFS(Proventos!$H:$H,Proventos!$D:$D,"&gt;="&amp;CONCATENATE($F$6,"/",B64),Proventos!$D:$D,"&lt;"&amp;CONCATENATE($G$6,"/",B64),Proventos!$J:$J,"="&amp;$H$2),
AND($H$2=Data!$A$6,$K$2=Data!$A$2),SUMIFS(Proventos!$H:$H,Proventos!$D:$D,"&gt;="&amp;CONCATENATE($F$6,"/",B64),Proventos!$D:$D,"&lt;"&amp;CONCATENATE($G$6,"/",B64),Proventos!$J:$J,"="&amp;$H$2),
AND($H$2=Data!$A$7,$K$2=Data!$A$2),SUMIFS(Proventos!$H:$H,Proventos!$D:$D,"&gt;="&amp;CONCATENATE($F$6,"/",B64),Proventos!$D:$D,"&lt;"&amp;CONCATENATE($G$6,"/",B64),Proventos!$J:$J,"="&amp;$H$2),
AND($H$2=Data!$A$8,$K$2=Data!$A$2),SUMIFS(Proventos!$H:$H,Proventos!$D:$D,"&gt;="&amp;CONCATENATE($F$6,"/",B64),Proventos!$D:$D,"&lt;"&amp;CONCATENATE($G$6,"/",B64),Proventos!$J:$J,"="&amp;$H$2),
AND($H$2=Data!$A$9,$K$2=Data!$A$2),SUMIFS(Proventos!$H:$H,Proventos!$D:$D,"&gt;="&amp;CONCATENATE($F$6,"/",B64),Proventos!$D:$D,"&lt;"&amp;CONCATENATE($G$6,"/",B64),Proventos!$J:$J,"="&amp;$H$2),
AND($H$2=Data!$A$10,$K$2=Data!$A$2),SUMIFS(Proventos!$H:$H,Proventos!$D:$D,"&gt;="&amp;CONCATENATE($F$6,"/",B64),Proventos!$D:$D,"&lt;"&amp;CONCATENATE($G$6,"/",B64),Proventos!$J:$J,"="&amp;$H$2),
AND($H$2=Data!$A$11,$K$2=Data!$A$2),SUMIFS(Proventos!$H:$H,Proventos!$D:$D,"&gt;="&amp;CONCATENATE($F$6,"/",B64),Proventos!$D:$D,"&lt;"&amp;CONCATENATE($G$6,"/",B64),Proventos!$J:$J,"="&amp;$H$2),
$K$2=Data!$A$2,SUMIFS(Proventos!$H:$H,Proventos!$D:$D,"&gt;="&amp;CONCATENATE($F$6,"/",B64),Proventos!$D:$D,"&lt;"&amp;CONCATENATE($G$6,"/",B64)),
$K$2&lt;&gt;Data!$A$2,SUMIFS(Proventos!$H:$H,Proventos!$D:$D,"&gt;="&amp;CONCATENATE($F$6,"/",B64),Proventos!$D:$D,"&lt;"&amp;CONCATENATE($G$6,"/",B64),Proventos!$A:$A,"="&amp;$K$2))</f>
        <v>0</v>
      </c>
      <c r="G64" s="245">
        <f>IFS(
AND($H$2=Data!$A$3,$K$2=Data!$A$2),SUMIFS(Proventos!$H:$H,Proventos!$D:$D,"&gt;="&amp;CONCATENATE($G$6,"/",B64),Proventos!$D:$D,"&lt;"&amp;CONCATENATE($H$6,"/",B64),Proventos!$J:$J,"="&amp;$H$2),
AND($H$2=Data!$A$4,$K$2=Data!$A$2),SUMIFS(Proventos!$H:$H,Proventos!$D:$D,"&gt;="&amp;CONCATENATE($G$6,"/",B64),Proventos!$D:$D,"&lt;"&amp;CONCATENATE($H$6,"/",B64),Proventos!$J:$J,"="&amp;$H$2),
AND($H$2=Data!$A$5,$K$2=Data!$A$2),SUMIFS(Proventos!$H:$H,Proventos!$D:$D,"&gt;="&amp;CONCATENATE($G$6,"/",B64),Proventos!$D:$D,"&lt;"&amp;CONCATENATE($H$6,"/",B64),Proventos!$J:$J,"="&amp;$H$2),
AND($H$2=Data!$A$6,$K$2=Data!$A$2),SUMIFS(Proventos!$H:$H,Proventos!$D:$D,"&gt;="&amp;CONCATENATE($G$6,"/",B64),Proventos!$D:$D,"&lt;"&amp;CONCATENATE($H$6,"/",B64),Proventos!$J:$J,"="&amp;$H$2),
AND($H$2=Data!$A$7,$K$2=Data!$A$2),SUMIFS(Proventos!$H:$H,Proventos!$D:$D,"&gt;="&amp;CONCATENATE($G$6,"/",B64),Proventos!$D:$D,"&lt;"&amp;CONCATENATE($H$6,"/",B64),Proventos!$J:$J,"="&amp;$H$2),
AND($H$2=Data!$A$8,$K$2=Data!$A$2),SUMIFS(Proventos!$H:$H,Proventos!$D:$D,"&gt;="&amp;CONCATENATE($G$6,"/",B64),Proventos!$D:$D,"&lt;"&amp;CONCATENATE($H$6,"/",B64),Proventos!$J:$J,"="&amp;$H$2),
AND($H$2=Data!$A$9,$K$2=Data!$A$2),SUMIFS(Proventos!$H:$H,Proventos!$D:$D,"&gt;="&amp;CONCATENATE($G$6,"/",B64),Proventos!$D:$D,"&lt;"&amp;CONCATENATE($H$6,"/",B64),Proventos!$J:$J,"="&amp;$H$2),
AND($H$2=Data!$A$10,$K$2=Data!$A$2),SUMIFS(Proventos!$H:$H,Proventos!$D:$D,"&gt;="&amp;CONCATENATE($G$6,"/",B64),Proventos!$D:$D,"&lt;"&amp;CONCATENATE($H$6,"/",B64),Proventos!$J:$J,"="&amp;$H$2),
AND($H$2=Data!$A$11,$K$2=Data!$A$2),SUMIFS(Proventos!$H:$H,Proventos!$D:$D,"&gt;="&amp;CONCATENATE($G$6,"/",B64),Proventos!$D:$D,"&lt;"&amp;CONCATENATE($H$6,"/",B64),Proventos!$J:$J,"="&amp;$H$2),
$K$2=Data!$A$2,SUMIFS(Proventos!$H:$H,Proventos!$D:$D,"&gt;="&amp;CONCATENATE($G$6,"/",B64),Proventos!$D:$D,"&lt;"&amp;CONCATENATE($H$6,"/",B64)),
$K$2&lt;&gt;Data!$A$2,SUMIFS(Proventos!$H:$H,Proventos!$D:$D,"&gt;="&amp;CONCATENATE($G$6,"/",B64),Proventos!$D:$D,"&lt;"&amp;CONCATENATE($H$6,"/",B64),Proventos!$A:$A,"="&amp;$K$2))</f>
        <v>0</v>
      </c>
      <c r="H64" s="245">
        <f>IFS(
AND($H$2=Data!$A$3,$K$2=Data!$A$2),SUMIFS(Proventos!$H:$H,Proventos!$D:$D,"&gt;="&amp;CONCATENATE($H$6,"/",B64),Proventos!$D:$D,"&lt;"&amp;CONCATENATE($I$6,"/",B64),Proventos!$J:$J,"="&amp;$H$2),
AND($H$2=Data!$A$4,$K$2=Data!$A$2),SUMIFS(Proventos!$H:$H,Proventos!$D:$D,"&gt;="&amp;CONCATENATE($H$6,"/",B64),Proventos!$D:$D,"&lt;"&amp;CONCATENATE($I$6,"/",B64),Proventos!$J:$J,"="&amp;$H$2),
AND($H$2=Data!$A$5,$K$2=Data!$A$2),SUMIFS(Proventos!$H:$H,Proventos!$D:$D,"&gt;="&amp;CONCATENATE($H$6,"/",B64),Proventos!$D:$D,"&lt;"&amp;CONCATENATE($I$6,"/",B64),Proventos!$J:$J,"="&amp;$H$2),
AND($H$2=Data!$A$6,$K$2=Data!$A$2),SUMIFS(Proventos!$H:$H,Proventos!$D:$D,"&gt;="&amp;CONCATENATE($H$6,"/",B64),Proventos!$D:$D,"&lt;"&amp;CONCATENATE($I$6,"/",B64),Proventos!$J:$J,"="&amp;$H$2),
AND($H$2=Data!$A$7,$K$2=Data!$A$2),SUMIFS(Proventos!$H:$H,Proventos!$D:$D,"&gt;="&amp;CONCATENATE($H$6,"/",B64),Proventos!$D:$D,"&lt;"&amp;CONCATENATE($I$6,"/",B64),Proventos!$J:$J,"="&amp;$H$2),
AND($H$2=Data!$A$8,$K$2=Data!$A$2),SUMIFS(Proventos!$H:$H,Proventos!$D:$D,"&gt;="&amp;CONCATENATE($H$6,"/",B64),Proventos!$D:$D,"&lt;"&amp;CONCATENATE($I$6,"/",B64),Proventos!$J:$J,"="&amp;$H$2),
AND($H$2=Data!$A$9,$K$2=Data!$A$2),SUMIFS(Proventos!$H:$H,Proventos!$D:$D,"&gt;="&amp;CONCATENATE($H$6,"/",B64),Proventos!$D:$D,"&lt;"&amp;CONCATENATE($I$6,"/",B64),Proventos!$J:$J,"="&amp;$H$2),
AND($H$2=Data!$A$10,$K$2=Data!$A$2),SUMIFS(Proventos!$H:$H,Proventos!$D:$D,"&gt;="&amp;CONCATENATE($H$6,"/",B64),Proventos!$D:$D,"&lt;"&amp;CONCATENATE($I$6,"/",B64),Proventos!$J:$J,"="&amp;$H$2),
AND($H$2=Data!$A$11,$K$2=Data!$A$2),SUMIFS(Proventos!$H:$H,Proventos!$D:$D,"&gt;="&amp;CONCATENATE($H$6,"/",B64),Proventos!$D:$D,"&lt;"&amp;CONCATENATE($I$6,"/",B64),Proventos!$J:$J,"="&amp;$H$2),
$K$2=Data!$A$2,SUMIFS(Proventos!$H:$H,Proventos!$D:$D,"&gt;="&amp;CONCATENATE($H$6,"/",B64),Proventos!$D:$D,"&lt;"&amp;CONCATENATE($I$6,"/",B64)),
$K$2&lt;&gt;Data!$A$2,SUMIFS(Proventos!$H:$H,Proventos!$D:$D,"&gt;="&amp;CONCATENATE($H$6,"/",B64),Proventos!$D:$D,"&lt;"&amp;CONCATENATE($I$6,"/",B64),Proventos!$A:$A,"="&amp;$K$2))</f>
        <v>0</v>
      </c>
      <c r="I64" s="245">
        <f>IFS(
AND($H$2=Data!$A$3,$K$2=Data!$A$2),SUMIFS(Proventos!$H:$H,Proventos!$D:$D,"&gt;="&amp;CONCATENATE($I$6,"/",B64),Proventos!$D:$D,"&lt;"&amp;CONCATENATE($J$6,"/",B64),Proventos!$J:$J,"="&amp;$H$2),
AND($H$2=Data!$A$4,$K$2=Data!$A$2),SUMIFS(Proventos!$H:$H,Proventos!$D:$D,"&gt;="&amp;CONCATENATE($I$6,"/",B64),Proventos!$D:$D,"&lt;"&amp;CONCATENATE($J$6,"/",B64),Proventos!$J:$J,"="&amp;$H$2),
AND($H$2=Data!$A$5,$K$2=Data!$A$2),SUMIFS(Proventos!$H:$H,Proventos!$D:$D,"&gt;="&amp;CONCATENATE($I$6,"/",B64),Proventos!$D:$D,"&lt;"&amp;CONCATENATE($J$6,"/",B64),Proventos!$J:$J,"="&amp;$H$2),
AND($H$2=Data!$A$6,$K$2=Data!$A$2),SUMIFS(Proventos!$H:$H,Proventos!$D:$D,"&gt;="&amp;CONCATENATE($I$6,"/",B64),Proventos!$D:$D,"&lt;"&amp;CONCATENATE($J$6,"/",B64),Proventos!$J:$J,"="&amp;$H$2),
AND($H$2=Data!$A$7,$K$2=Data!$A$2),SUMIFS(Proventos!$H:$H,Proventos!$D:$D,"&gt;="&amp;CONCATENATE($I$6,"/",B64),Proventos!$D:$D,"&lt;"&amp;CONCATENATE($J$6,"/",B64),Proventos!$J:$J,"="&amp;$H$2),
AND($H$2=Data!$A$8,$K$2=Data!$A$2),SUMIFS(Proventos!$H:$H,Proventos!$D:$D,"&gt;="&amp;CONCATENATE($I$6,"/",B64),Proventos!$D:$D,"&lt;"&amp;CONCATENATE($J$6,"/",B64),Proventos!$J:$J,"="&amp;$H$2),
AND($H$2=Data!$A$9,$K$2=Data!$A$2),SUMIFS(Proventos!$H:$H,Proventos!$D:$D,"&gt;="&amp;CONCATENATE($I$6,"/",B64),Proventos!$D:$D,"&lt;"&amp;CONCATENATE($J$6,"/",B64),Proventos!$J:$J,"="&amp;$H$2),
AND($H$2=Data!$A$10,$K$2=Data!$A$2),SUMIFS(Proventos!$H:$H,Proventos!$D:$D,"&gt;="&amp;CONCATENATE($I$6,"/",B64),Proventos!$D:$D,"&lt;"&amp;CONCATENATE($J$6,"/",B64),Proventos!$J:$J,"="&amp;$H$2),
AND($H$2=Data!$A$11,$K$2=Data!$A$2),SUMIFS(Proventos!$H:$H,Proventos!$D:$D,"&gt;="&amp;CONCATENATE($I$6,"/",B64),Proventos!$D:$D,"&lt;"&amp;CONCATENATE($J$6,"/",B64),Proventos!$J:$J,"="&amp;$H$2),
$K$2=Data!$A$2,SUMIFS(Proventos!$H:$H,Proventos!$D:$D,"&gt;="&amp;CONCATENATE($I$6,"/",B64),Proventos!$D:$D,"&lt;"&amp;CONCATENATE($J$6,"/",B64)),
$K$2&lt;&gt;Data!$A$2,SUMIFS(Proventos!$H:$H,Proventos!$D:$D,"&gt;="&amp;CONCATENATE($I$6,"/",B64),Proventos!$D:$D,"&lt;"&amp;CONCATENATE($J$6,"/",B64),Proventos!$A:$A,"="&amp;$K$2))</f>
        <v>0</v>
      </c>
      <c r="J64" s="245">
        <f>IFS(
AND($H$2=Data!$A$3,$K$2=Data!$A$2),SUMIFS(Proventos!$H:$H,Proventos!$D:$D,"&gt;="&amp;CONCATENATE($J$6,"/",B64),Proventos!$D:$D,"&lt;"&amp;CONCATENATE($K$6,"/",B64),Proventos!$J:$J,"="&amp;$H$2),
AND($H$2=Data!$A$4,$K$2=Data!$A$2),SUMIFS(Proventos!$H:$H,Proventos!$D:$D,"&gt;="&amp;CONCATENATE($J$6,"/",B64),Proventos!$D:$D,"&lt;"&amp;CONCATENATE($K$6,"/",B64),Proventos!$J:$J,"="&amp;$H$2),
AND($H$2=Data!$A$5,$K$2=Data!$A$2),SUMIFS(Proventos!$H:$H,Proventos!$D:$D,"&gt;="&amp;CONCATENATE($J$6,"/",B64),Proventos!$D:$D,"&lt;"&amp;CONCATENATE($K$6,"/",B64),Proventos!$J:$J,"="&amp;$H$2),
AND($H$2=Data!$A$6,$K$2=Data!$A$2),SUMIFS(Proventos!$H:$H,Proventos!$D:$D,"&gt;="&amp;CONCATENATE($J$6,"/",B64),Proventos!$D:$D,"&lt;"&amp;CONCATENATE($K$6,"/",B64),Proventos!$J:$J,"="&amp;$H$2),
AND($H$2=Data!$A$7,$K$2=Data!$A$2),SUMIFS(Proventos!$H:$H,Proventos!$D:$D,"&gt;="&amp;CONCATENATE($J$6,"/",B64),Proventos!$D:$D,"&lt;"&amp;CONCATENATE($K$6,"/",B64),Proventos!$J:$J,"="&amp;$H$2),
AND($H$2=Data!$A$8,$K$2=Data!$A$2),SUMIFS(Proventos!$H:$H,Proventos!$D:$D,"&gt;="&amp;CONCATENATE($J$6,"/",B64),Proventos!$D:$D,"&lt;"&amp;CONCATENATE($K$6,"/",B64),Proventos!$J:$J,"="&amp;$H$2),
AND($H$2=Data!$A$9,$K$2=Data!$A$2),SUMIFS(Proventos!$H:$H,Proventos!$D:$D,"&gt;="&amp;CONCATENATE($J$6,"/",B64),Proventos!$D:$D,"&lt;"&amp;CONCATENATE($K$6,"/",B64),Proventos!$J:$J,"="&amp;$H$2),
AND($H$2=Data!$A$10,$K$2=Data!$A$2),SUMIFS(Proventos!$H:$H,Proventos!$D:$D,"&gt;="&amp;CONCATENATE($J$6,"/",B64),Proventos!$D:$D,"&lt;"&amp;CONCATENATE($K$6,"/",B64),Proventos!$J:$J,"="&amp;$H$2),
AND($H$2=Data!$A$11,$K$2=Data!$A$2),SUMIFS(Proventos!$H:$H,Proventos!$D:$D,"&gt;="&amp;CONCATENATE($J$6,"/",B64),Proventos!$D:$D,"&lt;"&amp;CONCATENATE($K$6,"/",B64),Proventos!$J:$J,"="&amp;$H$2),
$K$2=Data!$A$2,SUMIFS(Proventos!$H:$H,Proventos!$D:$D,"&gt;="&amp;CONCATENATE($J$6,"/",B64),Proventos!$D:$D,"&lt;"&amp;CONCATENATE($K$6,"/",B64)),
$K$2&lt;&gt;Data!$A$2,SUMIFS(Proventos!$H:$H,Proventos!$D:$D,"&gt;="&amp;CONCATENATE($J$6,"/",B64),Proventos!$D:$D,"&lt;"&amp;CONCATENATE($K$6,"/",B64),Proventos!$A:$A,"="&amp;$K$2))</f>
        <v>0</v>
      </c>
      <c r="K64" s="245">
        <f>IFS(
AND($H$2=Data!$A$3,$K$2=Data!$A$2),SUMIFS(Proventos!$H:$H,Proventos!$D:$D,"&gt;="&amp;CONCATENATE($K$6,"/",B64),Proventos!$D:$D,"&lt;"&amp;CONCATENATE($L$6,"/",B64),Proventos!$J:$J,"="&amp;$H$2),
AND($H$2=Data!$A$4,$K$2=Data!$A$2),SUMIFS(Proventos!$H:$H,Proventos!$D:$D,"&gt;="&amp;CONCATENATE($K$6,"/",B64),Proventos!$D:$D,"&lt;"&amp;CONCATENATE($L$6,"/",B64),Proventos!$J:$J,"="&amp;$H$2),
AND($H$2=Data!$A$5,$K$2=Data!$A$2),SUMIFS(Proventos!$H:$H,Proventos!$D:$D,"&gt;="&amp;CONCATENATE($K$6,"/",B64),Proventos!$D:$D,"&lt;"&amp;CONCATENATE($L$6,"/",B64),Proventos!$J:$J,"="&amp;$H$2),
AND($H$2=Data!$A$6,$K$2=Data!$A$2),SUMIFS(Proventos!$H:$H,Proventos!$D:$D,"&gt;="&amp;CONCATENATE($K$6,"/",B64),Proventos!$D:$D,"&lt;"&amp;CONCATENATE($L$6,"/",B64),Proventos!$J:$J,"="&amp;$H$2),
AND($H$2=Data!$A$7,$K$2=Data!$A$2),SUMIFS(Proventos!$H:$H,Proventos!$D:$D,"&gt;="&amp;CONCATENATE($K$6,"/",B64),Proventos!$D:$D,"&lt;"&amp;CONCATENATE($L$6,"/",B64),Proventos!$J:$J,"="&amp;$H$2),
AND($H$2=Data!$A$8,$K$2=Data!$A$2),SUMIFS(Proventos!$H:$H,Proventos!$D:$D,"&gt;="&amp;CONCATENATE($K$6,"/",B64),Proventos!$D:$D,"&lt;"&amp;CONCATENATE($L$6,"/",B64),Proventos!$J:$J,"="&amp;$H$2),
AND($H$2=Data!$A$9,$K$2=Data!$A$2),SUMIFS(Proventos!$H:$H,Proventos!$D:$D,"&gt;="&amp;CONCATENATE($K$6,"/",B64),Proventos!$D:$D,"&lt;"&amp;CONCATENATE($L$6,"/",B64),Proventos!$J:$J,"="&amp;$H$2),
AND($H$2=Data!$A$10,$K$2=Data!$A$2),SUMIFS(Proventos!$H:$H,Proventos!$D:$D,"&gt;="&amp;CONCATENATE($K$6,"/",B64),Proventos!$D:$D,"&lt;"&amp;CONCATENATE($L$6,"/",B64),Proventos!$J:$J,"="&amp;$H$2),
AND($H$2=Data!$A$11,$K$2=Data!$A$2),SUMIFS(Proventos!$H:$H,Proventos!$D:$D,"&gt;="&amp;CONCATENATE($K$6,"/",B64),Proventos!$D:$D,"&lt;"&amp;CONCATENATE($L$6,"/",B64),Proventos!$J:$J,"="&amp;$H$2),
$K$2=Data!$A$2,SUMIFS(Proventos!$H:$H,Proventos!$D:$D,"&gt;="&amp;CONCATENATE($K$6,"/",B64),Proventos!$D:$D,"&lt;"&amp;CONCATENATE($L$6,"/",B64)),
$K$2&lt;&gt;Data!$A$2,SUMIFS(Proventos!$H:$H,Proventos!$D:$D,"&gt;="&amp;CONCATENATE($K$6,"/",B64),Proventos!$D:$D,"&lt;"&amp;CONCATENATE($L$6,"/",B64),Proventos!$A:$A,"="&amp;$K$2))</f>
        <v>0</v>
      </c>
      <c r="L64" s="245">
        <f>IFS(
AND($H$2=Data!$A$3,$K$2=Data!$A$2),SUMIFS(Proventos!$H:$H,Proventos!$D:$D,"&gt;="&amp;CONCATENATE($L$6,"/",B64),Proventos!$D:$D,"&lt;"&amp;CONCATENATE($M$6,"/",B64),Proventos!$J:$J,"="&amp;$H$2),
AND($H$2=Data!$A$4,$K$2=Data!$A$2),SUMIFS(Proventos!$H:$H,Proventos!$D:$D,"&gt;="&amp;CONCATENATE($L$6,"/",B64),Proventos!$D:$D,"&lt;"&amp;CONCATENATE($M$6,"/",B64),Proventos!$J:$J,"="&amp;$H$2),
AND($H$2=Data!$A$5,$K$2=Data!$A$2),SUMIFS(Proventos!$H:$H,Proventos!$D:$D,"&gt;="&amp;CONCATENATE($L$6,"/",B64),Proventos!$D:$D,"&lt;"&amp;CONCATENATE($M$6,"/",B64),Proventos!$J:$J,"="&amp;$H$2),
AND($H$2=Data!$A$6,$K$2=Data!$A$2),SUMIFS(Proventos!$H:$H,Proventos!$D:$D,"&gt;="&amp;CONCATENATE($L$6,"/",B64),Proventos!$D:$D,"&lt;"&amp;CONCATENATE($M$6,"/",B64),Proventos!$J:$J,"="&amp;$H$2),
AND($H$2=Data!$A$7,$K$2=Data!$A$2),SUMIFS(Proventos!$H:$H,Proventos!$D:$D,"&gt;="&amp;CONCATENATE($L$6,"/",B64),Proventos!$D:$D,"&lt;"&amp;CONCATENATE($M$6,"/",B64),Proventos!$J:$J,"="&amp;$H$2),
AND($H$2=Data!$A$8,$K$2=Data!$A$2),SUMIFS(Proventos!$H:$H,Proventos!$D:$D,"&gt;="&amp;CONCATENATE($L$6,"/",B64),Proventos!$D:$D,"&lt;"&amp;CONCATENATE($M$6,"/",B64),Proventos!$J:$J,"="&amp;$H$2),
AND($H$2=Data!$A$9,$K$2=Data!$A$2),SUMIFS(Proventos!$H:$H,Proventos!$D:$D,"&gt;="&amp;CONCATENATE($L$6,"/",B64),Proventos!$D:$D,"&lt;"&amp;CONCATENATE($M$6,"/",B64),Proventos!$J:$J,"="&amp;$H$2),
AND($H$2=Data!$A$10,$K$2=Data!$A$2),SUMIFS(Proventos!$H:$H,Proventos!$D:$D,"&gt;="&amp;CONCATENATE($L$6,"/",B64),Proventos!$D:$D,"&lt;"&amp;CONCATENATE($M$6,"/",B64),Proventos!$J:$J,"="&amp;$H$2),
AND($H$2=Data!$A$11,$K$2=Data!$A$2),SUMIFS(Proventos!$H:$H,Proventos!$D:$D,"&gt;="&amp;CONCATENATE($L$6,"/",B64),Proventos!$D:$D,"&lt;"&amp;CONCATENATE($M$6,"/",B64),Proventos!$J:$J,"="&amp;$H$2),
$K$2=Data!$A$2,SUMIFS(Proventos!$H:$H,Proventos!$D:$D,"&gt;="&amp;CONCATENATE($L$6,"/",B64),Proventos!$D:$D,"&lt;"&amp;CONCATENATE($M$6,"/",B64)),
$K$2&lt;&gt;Data!$A$2,SUMIFS(Proventos!$H:$H,Proventos!$D:$D,"&gt;="&amp;CONCATENATE($L$6,"/",B64),Proventos!$D:$D,"&lt;"&amp;CONCATENATE($M$6,"/",B64),Proventos!$A:$A,"="&amp;$K$2))</f>
        <v>0</v>
      </c>
      <c r="M64" s="245">
        <f>IFS(
AND($H$2=Data!$A$3,$K$2=Data!$A$2),SUMIFS(Proventos!$H:$H,Proventos!$D:$D,"&gt;="&amp;CONCATENATE($M$6,"/",B64),Proventos!$D:$D,"&lt;"&amp;CONCATENATE($N$6,"/",B64),Proventos!$J:$J,"="&amp;$H$2),
AND($H$2=Data!$A$4,$K$2=Data!$A$2),SUMIFS(Proventos!$H:$H,Proventos!$D:$D,"&gt;="&amp;CONCATENATE($M$6,"/",B64),Proventos!$D:$D,"&lt;"&amp;CONCATENATE($N$6,"/",B64),Proventos!$J:$J,"="&amp;$H$2),
AND($H$2=Data!$A$5,$K$2=Data!$A$2),SUMIFS(Proventos!$H:$H,Proventos!$D:$D,"&gt;="&amp;CONCATENATE($M$6,"/",B64),Proventos!$D:$D,"&lt;"&amp;CONCATENATE($N$6,"/",B64),Proventos!$J:$J,"="&amp;$H$2),
AND($H$2=Data!$A$6,$K$2=Data!$A$2),SUMIFS(Proventos!$H:$H,Proventos!$D:$D,"&gt;="&amp;CONCATENATE($M$6,"/",B64),Proventos!$D:$D,"&lt;"&amp;CONCATENATE($N$6,"/",B64),Proventos!$J:$J,"="&amp;$H$2),
AND($H$2=Data!$A$7,$K$2=Data!$A$2),SUMIFS(Proventos!$H:$H,Proventos!$D:$D,"&gt;="&amp;CONCATENATE($M$6,"/",B64),Proventos!$D:$D,"&lt;"&amp;CONCATENATE($N$6,"/",B64),Proventos!$J:$J,"="&amp;$H$2),
AND($H$2=Data!$A$8,$K$2=Data!$A$2),SUMIFS(Proventos!$H:$H,Proventos!$D:$D,"&gt;="&amp;CONCATENATE($M$6,"/",B64),Proventos!$D:$D,"&lt;"&amp;CONCATENATE($N$6,"/",B64),Proventos!$J:$J,"="&amp;$H$2),
AND($H$2=Data!$A$9,$K$2=Data!$A$2),SUMIFS(Proventos!$H:$H,Proventos!$D:$D,"&gt;="&amp;CONCATENATE($M$6,"/",B64),Proventos!$D:$D,"&lt;"&amp;CONCATENATE($N$6,"/",B64),Proventos!$J:$J,"="&amp;$H$2),
AND($H$2=Data!$A$10,$K$2=Data!$A$2),SUMIFS(Proventos!$H:$H,Proventos!$D:$D,"&gt;="&amp;CONCATENATE($M$6,"/",B64),Proventos!$D:$D,"&lt;"&amp;CONCATENATE($N$6,"/",B64),Proventos!$J:$J,"="&amp;$H$2),
AND($H$2=Data!$A$11,$K$2=Data!$A$2),SUMIFS(Proventos!$H:$H,Proventos!$D:$D,"&gt;="&amp;CONCATENATE($M$6,"/",B64),Proventos!$D:$D,"&lt;"&amp;CONCATENATE($N$6,"/",B64),Proventos!$J:$J,"="&amp;$H$2),
$K$2=Data!$A$2,SUMIFS(Proventos!$H:$H,Proventos!$D:$D,"&gt;="&amp;CONCATENATE($M$6,"/",B64),Proventos!$D:$D,"&lt;"&amp;CONCATENATE($N$6,"/",B64)),
$K$2&lt;&gt;Data!$A$2,SUMIFS(Proventos!$H:$H,Proventos!$D:$D,"&gt;="&amp;CONCATENATE($M$6,"/",B64),Proventos!$D:$D,"&lt;"&amp;CONCATENATE($N$6,"/",B64),Proventos!$A:$A,"="&amp;$K$2))</f>
        <v>0</v>
      </c>
      <c r="N64" s="245">
        <f>IFS(
AND($H$2=Data!$A$3,$K$2=Data!$A$2),SUMIFS(Proventos!$H:$H,Proventos!$D:$D,"&gt;="&amp;CONCATENATE($N$6,"/",B64),Proventos!$D:$D,"&lt;"&amp;CONCATENATE($C$6,"/",B65),Proventos!$J:$J,"="&amp;$H$2),
AND($H$2=Data!$A$4,$K$2=Data!$A$2),SUMIFS(Proventos!$H:$H,Proventos!$D:$D,"&gt;="&amp;CONCATENATE($N$6,"/",B64),Proventos!$D:$D,"&lt;"&amp;CONCATENATE($C$6,"/",B65),Proventos!$J:$J,"="&amp;$H$2),
AND($H$2=Data!$A$5,$K$2=Data!$A$2),SUMIFS(Proventos!$H:$H,Proventos!$D:$D,"&gt;="&amp;CONCATENATE($N$6,"/",B64),Proventos!$D:$D,"&lt;"&amp;CONCATENATE($C$6,"/",B65),Proventos!$J:$J,"="&amp;$H$2),
AND($H$2=Data!$A$6,$K$2=Data!$A$2),SUMIFS(Proventos!$H:$H,Proventos!$D:$D,"&gt;="&amp;CONCATENATE($N$6,"/",B64),Proventos!$D:$D,"&lt;"&amp;CONCATENATE($C$6,"/",B65),Proventos!$J:$J,"="&amp;$H$2),
AND($H$2=Data!$A$7,$K$2=Data!$A$2),SUMIFS(Proventos!$H:$H,Proventos!$D:$D,"&gt;="&amp;CONCATENATE($N$6,"/",B64),Proventos!$D:$D,"&lt;"&amp;CONCATENATE($C$6,"/",B65),Proventos!$J:$J,"="&amp;$H$2),
AND($H$2=Data!$A$8,$K$2=Data!$A$2),SUMIFS(Proventos!$H:$H,Proventos!$D:$D,"&gt;="&amp;CONCATENATE($N$6,"/",B64),Proventos!$D:$D,"&lt;"&amp;CONCATENATE($C$6,"/",B65),Proventos!$J:$J,"="&amp;$H$2),
AND($H$2=Data!$A$9,$K$2=Data!$A$2),SUMIFS(Proventos!$H:$H,Proventos!$D:$D,"&gt;="&amp;CONCATENATE($N$6,"/",B64),Proventos!$D:$D,"&lt;"&amp;CONCATENATE($C$6,"/",B65),Proventos!$J:$J,"="&amp;$H$2),
AND($H$2=Data!$A$10,$K$2=Data!$A$2),SUMIFS(Proventos!$H:$H,Proventos!$D:$D,"&gt;="&amp;CONCATENATE($N$6,"/",B64),Proventos!$D:$D,"&lt;"&amp;CONCATENATE($C$6,"/",B65),Proventos!$J:$J,"="&amp;$H$2),
AND($H$2=Data!$A$11,$K$2=Data!$A$2),SUMIFS(Proventos!$H:$H,Proventos!$D:$D,"&gt;="&amp;CONCATENATE($N$6,"/",B64),Proventos!$D:$D,"&lt;"&amp;CONCATENATE($C$6,"/",B65),Proventos!$J:$J,"="&amp;$H$2),
$K$2=Data!$A$2,SUMIFS(Proventos!$H:$H,Proventos!$D:$D,"&gt;="&amp;CONCATENATE($N$6,"/",B64),Proventos!$D:$D,"&lt;"&amp;CONCATENATE($C$6,"/",B65)),
$K$2&lt;&gt;Data!$A$2,SUMIFS(Proventos!$H:$H,Proventos!$D:$D,"&gt;="&amp;CONCATENATE($N$6,"/",B64),Proventos!$D:$D,"&lt;"&amp;CONCATENATE($C$6,"/",B65),Proventos!$A:$A,"="&amp;$K$2))</f>
        <v>0</v>
      </c>
      <c r="O64" s="245"/>
      <c r="P64" s="245">
        <f t="shared" si="1"/>
        <v>0</v>
      </c>
      <c r="Q64" s="245">
        <f t="shared" si="2"/>
        <v>0</v>
      </c>
    </row>
    <row r="65" ht="32.25" customHeight="1">
      <c r="A65" s="230"/>
      <c r="B65" s="244"/>
      <c r="C65" s="245">
        <f>IFS(
AND($H$2=Data!$A$3,$K$2=Data!$A$2),SUMIFS(Proventos!$H:$H,Proventos!$D:$D,"&gt;="&amp;CONCATENATE($C$6,"/",B65),Proventos!$D:$D,"&lt;"&amp;CONCATENATE($D$6,"/",B65),Proventos!$J:$J,"="&amp;$H$2),
AND($H$2=Data!$A$4,$K$2=Data!$A$2),SUMIFS(Proventos!$H:$H,Proventos!$D:$D,"&gt;="&amp;CONCATENATE($C$6,"/",B65),Proventos!$D:$D,"&lt;"&amp;CONCATENATE($D$6,"/",B65),Proventos!$J:$J,"="&amp;$H$2),
AND($H$2=Data!$A$5,$K$2=Data!$A$2),SUMIFS(Proventos!$H:$H,Proventos!$D:$D,"&gt;="&amp;CONCATENATE($C$6,"/",B65),Proventos!$D:$D,"&lt;"&amp;CONCATENATE($D$6,"/",B65),Proventos!$J:$J,"="&amp;$H$2),
AND($H$2=Data!$A$6,$K$2=Data!$A$2),SUMIFS(Proventos!$H:$H,Proventos!$D:$D,"&gt;="&amp;CONCATENATE($C$6,"/",B65),Proventos!$D:$D,"&lt;"&amp;CONCATENATE($D$6,"/",B65),Proventos!$J:$J,"="&amp;$H$2),
AND($H$2=Data!$A$7,$K$2=Data!$A$2),SUMIFS(Proventos!$H:$H,Proventos!$D:$D,"&gt;="&amp;CONCATENATE($C$6,"/",B65),Proventos!$D:$D,"&lt;"&amp;CONCATENATE($D$6,"/",B65),Proventos!$J:$J,"="&amp;$H$2),
AND($H$2=Data!$A$8,$K$2=Data!$A$2),SUMIFS(Proventos!$H:$H,Proventos!$D:$D,"&gt;="&amp;CONCATENATE($C$6,"/",B65),Proventos!$D:$D,"&lt;"&amp;CONCATENATE($D$6,"/",B65),Proventos!$J:$J,"="&amp;$H$2),
AND($H$2=Data!$A$9,$K$2=Data!$A$2),SUMIFS(Proventos!$H:$H,Proventos!$D:$D,"&gt;="&amp;CONCATENATE($C$6,"/",B65),Proventos!$D:$D,"&lt;"&amp;CONCATENATE($D$6,"/",B65),Proventos!$J:$J,"="&amp;$H$2),
AND($H$2=Data!$A$10,$K$2=Data!$A$2),SUMIFS(Proventos!$H:$H,Proventos!$D:$D,"&gt;="&amp;CONCATENATE($C$6,"/",B65),Proventos!$D:$D,"&lt;"&amp;CONCATENATE($D$6,"/",B65),Proventos!$J:$J,"="&amp;$H$2),
AND($H$2=Data!$A$11,$K$2=Data!$A$2),SUMIFS(Proventos!$H:$H,Proventos!$D:$D,"&gt;="&amp;CONCATENATE($C$6,"/",B65),Proventos!$D:$D,"&lt;"&amp;CONCATENATE($D$6,"/",B65),Proventos!$J:$J,"="&amp;$H$2),
$K$2=Data!$A$2,SUMIFS(Proventos!$H:$H,Proventos!$D:$D,"&gt;="&amp;CONCATENATE($C$6,"/",B65),Proventos!$D:$D,"&lt;"&amp;CONCATENATE($D$6,"/",B65)),
$K$2&lt;&gt;Data!$A$2,SUMIFS(Proventos!$H:$H,Proventos!$D:$D,"&gt;="&amp;CONCATENATE($C$6,"/",B65),Proventos!$D:$D,"&lt;"&amp;CONCATENATE($D$6,"/",B65),Proventos!$A:$A,"="&amp;$K$2))</f>
        <v>0</v>
      </c>
      <c r="D65" s="245">
        <f>IFS(
AND($H$2=Data!$A$3,$K$2=Data!$A$2),SUMIFS(Proventos!$H:$H,Proventos!$D:$D,"&gt;="&amp;CONCATENATE($D$6,"/",B65),Proventos!$D:$D,"&lt;"&amp;CONCATENATE($E$6,"/",B65),Proventos!$J:$J,"="&amp;$H$2),
AND($H$2=Data!$A$4,$K$2=Data!$A$2),SUMIFS(Proventos!$H:$H,Proventos!$D:$D,"&gt;="&amp;CONCATENATE($D$6,"/",B65),Proventos!$D:$D,"&lt;"&amp;CONCATENATE($E$6,"/",B65),Proventos!$J:$J,"="&amp;$H$2),
AND($H$2=Data!$A$5,$K$2=Data!$A$2),SUMIFS(Proventos!$H:$H,Proventos!$D:$D,"&gt;="&amp;CONCATENATE($D$6,"/",B65),Proventos!$D:$D,"&lt;"&amp;CONCATENATE($E$6,"/",B65),Proventos!$J:$J,"="&amp;$H$2),
AND($H$2=Data!$A$6,$K$2=Data!$A$2),SUMIFS(Proventos!$H:$H,Proventos!$D:$D,"&gt;="&amp;CONCATENATE($D$6,"/",B65),Proventos!$D:$D,"&lt;"&amp;CONCATENATE($E$6,"/",B65),Proventos!$J:$J,"="&amp;$H$2),
AND($H$2=Data!$A$7,$K$2=Data!$A$2),SUMIFS(Proventos!$H:$H,Proventos!$D:$D,"&gt;="&amp;CONCATENATE($D$6,"/",B65),Proventos!$D:$D,"&lt;"&amp;CONCATENATE($E$6,"/",B65),Proventos!$J:$J,"="&amp;$H$2),
AND($H$2=Data!$A$8,$K$2=Data!$A$2),SUMIFS(Proventos!$H:$H,Proventos!$D:$D,"&gt;="&amp;CONCATENATE($D$6,"/",B65),Proventos!$D:$D,"&lt;"&amp;CONCATENATE($E$6,"/",B65),Proventos!$J:$J,"="&amp;$H$2),
AND($H$2=Data!$A$9,$K$2=Data!$A$2),SUMIFS(Proventos!$H:$H,Proventos!$D:$D,"&gt;="&amp;CONCATENATE($D$6,"/",B65),Proventos!$D:$D,"&lt;"&amp;CONCATENATE($E$6,"/",B65),Proventos!$J:$J,"="&amp;$H$2),
AND($H$2=Data!$A$10,$K$2=Data!$A$2),SUMIFS(Proventos!$H:$H,Proventos!$D:$D,"&gt;="&amp;CONCATENATE($D$6,"/",B65),Proventos!$D:$D,"&lt;"&amp;CONCATENATE($E$6,"/",B65),Proventos!$J:$J,"="&amp;$H$2),
AND($H$2=Data!$A$11,$K$2=Data!$A$2),SUMIFS(Proventos!$H:$H,Proventos!$D:$D,"&gt;="&amp;CONCATENATE($D$6,"/",B65),Proventos!$D:$D,"&lt;"&amp;CONCATENATE($E$6,"/",B65),Proventos!$J:$J,"="&amp;$H$2),
$K$2=Data!$A$2,SUMIFS(Proventos!$H:$H,Proventos!$D:$D,"&gt;="&amp;CONCATENATE($D$6,"/",B65),Proventos!$D:$D,"&lt;"&amp;CONCATENATE($E$6,"/",B65)),
$K$2&lt;&gt;Data!$A$2,SUMIFS(Proventos!$H:$H,Proventos!$D:$D,"&gt;="&amp;CONCATENATE($D$6,"/",B65),Proventos!$D:$D,"&lt;"&amp;CONCATENATE($E$6,"/",B65),Proventos!$A:$A,"="&amp;$K$2))</f>
        <v>0</v>
      </c>
      <c r="E65" s="245">
        <f>IFS(
AND($H$2=Data!$A$3,$K$2=Data!$A$2),SUMIFS(Proventos!$H:$H,Proventos!$D:$D,"&gt;="&amp;CONCATENATE($E$6,"/",B65),Proventos!$D:$D,"&lt;"&amp;CONCATENATE($F$6,"/",B65),Proventos!$J:$J,"="&amp;$H$2),
AND($H$2=Data!$A$4,$K$2=Data!$A$2),SUMIFS(Proventos!$H:$H,Proventos!$D:$D,"&gt;="&amp;CONCATENATE($E$6,"/",B65),Proventos!$D:$D,"&lt;"&amp;CONCATENATE($F$6,"/",B65),Proventos!$J:$J,"="&amp;$H$2),
AND($H$2=Data!$A$5,$K$2=Data!$A$2),SUMIFS(Proventos!$H:$H,Proventos!$D:$D,"&gt;="&amp;CONCATENATE($E$6,"/",B65),Proventos!$D:$D,"&lt;"&amp;CONCATENATE($F$6,"/",B65),Proventos!$J:$J,"="&amp;$H$2),
AND($H$2=Data!$A$6,$K$2=Data!$A$2),SUMIFS(Proventos!$H:$H,Proventos!$D:$D,"&gt;="&amp;CONCATENATE($E$6,"/",B65),Proventos!$D:$D,"&lt;"&amp;CONCATENATE($F$6,"/",B65),Proventos!$J:$J,"="&amp;$H$2),
AND($H$2=Data!$A$7,$K$2=Data!$A$2),SUMIFS(Proventos!$H:$H,Proventos!$D:$D,"&gt;="&amp;CONCATENATE($E$6,"/",B65),Proventos!$D:$D,"&lt;"&amp;CONCATENATE($F$6,"/",B65),Proventos!$J:$J,"="&amp;$H$2),
AND($H$2=Data!$A$8,$K$2=Data!$A$2),SUMIFS(Proventos!$H:$H,Proventos!$D:$D,"&gt;="&amp;CONCATENATE($E$6,"/",B65),Proventos!$D:$D,"&lt;"&amp;CONCATENATE($F$6,"/",B65),Proventos!$J:$J,"="&amp;$H$2),
AND($H$2=Data!$A$9,$K$2=Data!$A$2),SUMIFS(Proventos!$H:$H,Proventos!$D:$D,"&gt;="&amp;CONCATENATE($E$6,"/",B65),Proventos!$D:$D,"&lt;"&amp;CONCATENATE($F$6,"/",B65),Proventos!$J:$J,"="&amp;$H$2),
AND($H$2=Data!$A$10,$K$2=Data!$A$2),SUMIFS(Proventos!$H:$H,Proventos!$D:$D,"&gt;="&amp;CONCATENATE($E$6,"/",B65),Proventos!$D:$D,"&lt;"&amp;CONCATENATE($F$6,"/",B65),Proventos!$J:$J,"="&amp;$H$2),
AND($H$2=Data!$A$11,$K$2=Data!$A$2),SUMIFS(Proventos!$H:$H,Proventos!$D:$D,"&gt;="&amp;CONCATENATE($E$6,"/",B65),Proventos!$D:$D,"&lt;"&amp;CONCATENATE($F$6,"/",B65),Proventos!$J:$J,"="&amp;$H$2),
$K$2=Data!$A$2,SUMIFS(Proventos!$H:$H,Proventos!$D:$D,"&gt;="&amp;CONCATENATE($E$6,"/",B65),Proventos!$D:$D,"&lt;"&amp;CONCATENATE($F$6,"/",B65)),
$K$2&lt;&gt;Data!$A$2,SUMIFS(Proventos!$H:$H,Proventos!$D:$D,"&gt;="&amp;CONCATENATE($E$6,"/",B65),Proventos!$D:$D,"&lt;"&amp;CONCATENATE($F$6,"/",B65),Proventos!$A:$A,"="&amp;$K$2))</f>
        <v>0</v>
      </c>
      <c r="F65" s="245">
        <f>IFS(
AND($H$2=Data!$A$3,$K$2=Data!$A$2),SUMIFS(Proventos!$H:$H,Proventos!$D:$D,"&gt;="&amp;CONCATENATE($F$6,"/",B65),Proventos!$D:$D,"&lt;"&amp;CONCATENATE($G$6,"/",B65),Proventos!$J:$J,"="&amp;$H$2),
AND($H$2=Data!$A$4,$K$2=Data!$A$2),SUMIFS(Proventos!$H:$H,Proventos!$D:$D,"&gt;="&amp;CONCATENATE($F$6,"/",B65),Proventos!$D:$D,"&lt;"&amp;CONCATENATE($G$6,"/",B65),Proventos!$J:$J,"="&amp;$H$2),
AND($H$2=Data!$A$5,$K$2=Data!$A$2),SUMIFS(Proventos!$H:$H,Proventos!$D:$D,"&gt;="&amp;CONCATENATE($F$6,"/",B65),Proventos!$D:$D,"&lt;"&amp;CONCATENATE($G$6,"/",B65),Proventos!$J:$J,"="&amp;$H$2),
AND($H$2=Data!$A$6,$K$2=Data!$A$2),SUMIFS(Proventos!$H:$H,Proventos!$D:$D,"&gt;="&amp;CONCATENATE($F$6,"/",B65),Proventos!$D:$D,"&lt;"&amp;CONCATENATE($G$6,"/",B65),Proventos!$J:$J,"="&amp;$H$2),
AND($H$2=Data!$A$7,$K$2=Data!$A$2),SUMIFS(Proventos!$H:$H,Proventos!$D:$D,"&gt;="&amp;CONCATENATE($F$6,"/",B65),Proventos!$D:$D,"&lt;"&amp;CONCATENATE($G$6,"/",B65),Proventos!$J:$J,"="&amp;$H$2),
AND($H$2=Data!$A$8,$K$2=Data!$A$2),SUMIFS(Proventos!$H:$H,Proventos!$D:$D,"&gt;="&amp;CONCATENATE($F$6,"/",B65),Proventos!$D:$D,"&lt;"&amp;CONCATENATE($G$6,"/",B65),Proventos!$J:$J,"="&amp;$H$2),
AND($H$2=Data!$A$9,$K$2=Data!$A$2),SUMIFS(Proventos!$H:$H,Proventos!$D:$D,"&gt;="&amp;CONCATENATE($F$6,"/",B65),Proventos!$D:$D,"&lt;"&amp;CONCATENATE($G$6,"/",B65),Proventos!$J:$J,"="&amp;$H$2),
AND($H$2=Data!$A$10,$K$2=Data!$A$2),SUMIFS(Proventos!$H:$H,Proventos!$D:$D,"&gt;="&amp;CONCATENATE($F$6,"/",B65),Proventos!$D:$D,"&lt;"&amp;CONCATENATE($G$6,"/",B65),Proventos!$J:$J,"="&amp;$H$2),
AND($H$2=Data!$A$11,$K$2=Data!$A$2),SUMIFS(Proventos!$H:$H,Proventos!$D:$D,"&gt;="&amp;CONCATENATE($F$6,"/",B65),Proventos!$D:$D,"&lt;"&amp;CONCATENATE($G$6,"/",B65),Proventos!$J:$J,"="&amp;$H$2),
$K$2=Data!$A$2,SUMIFS(Proventos!$H:$H,Proventos!$D:$D,"&gt;="&amp;CONCATENATE($F$6,"/",B65),Proventos!$D:$D,"&lt;"&amp;CONCATENATE($G$6,"/",B65)),
$K$2&lt;&gt;Data!$A$2,SUMIFS(Proventos!$H:$H,Proventos!$D:$D,"&gt;="&amp;CONCATENATE($F$6,"/",B65),Proventos!$D:$D,"&lt;"&amp;CONCATENATE($G$6,"/",B65),Proventos!$A:$A,"="&amp;$K$2))</f>
        <v>0</v>
      </c>
      <c r="G65" s="245">
        <f>IFS(
AND($H$2=Data!$A$3,$K$2=Data!$A$2),SUMIFS(Proventos!$H:$H,Proventos!$D:$D,"&gt;="&amp;CONCATENATE($G$6,"/",B65),Proventos!$D:$D,"&lt;"&amp;CONCATENATE($H$6,"/",B65),Proventos!$J:$J,"="&amp;$H$2),
AND($H$2=Data!$A$4,$K$2=Data!$A$2),SUMIFS(Proventos!$H:$H,Proventos!$D:$D,"&gt;="&amp;CONCATENATE($G$6,"/",B65),Proventos!$D:$D,"&lt;"&amp;CONCATENATE($H$6,"/",B65),Proventos!$J:$J,"="&amp;$H$2),
AND($H$2=Data!$A$5,$K$2=Data!$A$2),SUMIFS(Proventos!$H:$H,Proventos!$D:$D,"&gt;="&amp;CONCATENATE($G$6,"/",B65),Proventos!$D:$D,"&lt;"&amp;CONCATENATE($H$6,"/",B65),Proventos!$J:$J,"="&amp;$H$2),
AND($H$2=Data!$A$6,$K$2=Data!$A$2),SUMIFS(Proventos!$H:$H,Proventos!$D:$D,"&gt;="&amp;CONCATENATE($G$6,"/",B65),Proventos!$D:$D,"&lt;"&amp;CONCATENATE($H$6,"/",B65),Proventos!$J:$J,"="&amp;$H$2),
AND($H$2=Data!$A$7,$K$2=Data!$A$2),SUMIFS(Proventos!$H:$H,Proventos!$D:$D,"&gt;="&amp;CONCATENATE($G$6,"/",B65),Proventos!$D:$D,"&lt;"&amp;CONCATENATE($H$6,"/",B65),Proventos!$J:$J,"="&amp;$H$2),
AND($H$2=Data!$A$8,$K$2=Data!$A$2),SUMIFS(Proventos!$H:$H,Proventos!$D:$D,"&gt;="&amp;CONCATENATE($G$6,"/",B65),Proventos!$D:$D,"&lt;"&amp;CONCATENATE($H$6,"/",B65),Proventos!$J:$J,"="&amp;$H$2),
AND($H$2=Data!$A$9,$K$2=Data!$A$2),SUMIFS(Proventos!$H:$H,Proventos!$D:$D,"&gt;="&amp;CONCATENATE($G$6,"/",B65),Proventos!$D:$D,"&lt;"&amp;CONCATENATE($H$6,"/",B65),Proventos!$J:$J,"="&amp;$H$2),
AND($H$2=Data!$A$10,$K$2=Data!$A$2),SUMIFS(Proventos!$H:$H,Proventos!$D:$D,"&gt;="&amp;CONCATENATE($G$6,"/",B65),Proventos!$D:$D,"&lt;"&amp;CONCATENATE($H$6,"/",B65),Proventos!$J:$J,"="&amp;$H$2),
AND($H$2=Data!$A$11,$K$2=Data!$A$2),SUMIFS(Proventos!$H:$H,Proventos!$D:$D,"&gt;="&amp;CONCATENATE($G$6,"/",B65),Proventos!$D:$D,"&lt;"&amp;CONCATENATE($H$6,"/",B65),Proventos!$J:$J,"="&amp;$H$2),
$K$2=Data!$A$2,SUMIFS(Proventos!$H:$H,Proventos!$D:$D,"&gt;="&amp;CONCATENATE($G$6,"/",B65),Proventos!$D:$D,"&lt;"&amp;CONCATENATE($H$6,"/",B65)),
$K$2&lt;&gt;Data!$A$2,SUMIFS(Proventos!$H:$H,Proventos!$D:$D,"&gt;="&amp;CONCATENATE($G$6,"/",B65),Proventos!$D:$D,"&lt;"&amp;CONCATENATE($H$6,"/",B65),Proventos!$A:$A,"="&amp;$K$2))</f>
        <v>0</v>
      </c>
      <c r="H65" s="245">
        <f>IFS(
AND($H$2=Data!$A$3,$K$2=Data!$A$2),SUMIFS(Proventos!$H:$H,Proventos!$D:$D,"&gt;="&amp;CONCATENATE($H$6,"/",B65),Proventos!$D:$D,"&lt;"&amp;CONCATENATE($I$6,"/",B65),Proventos!$J:$J,"="&amp;$H$2),
AND($H$2=Data!$A$4,$K$2=Data!$A$2),SUMIFS(Proventos!$H:$H,Proventos!$D:$D,"&gt;="&amp;CONCATENATE($H$6,"/",B65),Proventos!$D:$D,"&lt;"&amp;CONCATENATE($I$6,"/",B65),Proventos!$J:$J,"="&amp;$H$2),
AND($H$2=Data!$A$5,$K$2=Data!$A$2),SUMIFS(Proventos!$H:$H,Proventos!$D:$D,"&gt;="&amp;CONCATENATE($H$6,"/",B65),Proventos!$D:$D,"&lt;"&amp;CONCATENATE($I$6,"/",B65),Proventos!$J:$J,"="&amp;$H$2),
AND($H$2=Data!$A$6,$K$2=Data!$A$2),SUMIFS(Proventos!$H:$H,Proventos!$D:$D,"&gt;="&amp;CONCATENATE($H$6,"/",B65),Proventos!$D:$D,"&lt;"&amp;CONCATENATE($I$6,"/",B65),Proventos!$J:$J,"="&amp;$H$2),
AND($H$2=Data!$A$7,$K$2=Data!$A$2),SUMIFS(Proventos!$H:$H,Proventos!$D:$D,"&gt;="&amp;CONCATENATE($H$6,"/",B65),Proventos!$D:$D,"&lt;"&amp;CONCATENATE($I$6,"/",B65),Proventos!$J:$J,"="&amp;$H$2),
AND($H$2=Data!$A$8,$K$2=Data!$A$2),SUMIFS(Proventos!$H:$H,Proventos!$D:$D,"&gt;="&amp;CONCATENATE($H$6,"/",B65),Proventos!$D:$D,"&lt;"&amp;CONCATENATE($I$6,"/",B65),Proventos!$J:$J,"="&amp;$H$2),
AND($H$2=Data!$A$9,$K$2=Data!$A$2),SUMIFS(Proventos!$H:$H,Proventos!$D:$D,"&gt;="&amp;CONCATENATE($H$6,"/",B65),Proventos!$D:$D,"&lt;"&amp;CONCATENATE($I$6,"/",B65),Proventos!$J:$J,"="&amp;$H$2),
AND($H$2=Data!$A$10,$K$2=Data!$A$2),SUMIFS(Proventos!$H:$H,Proventos!$D:$D,"&gt;="&amp;CONCATENATE($H$6,"/",B65),Proventos!$D:$D,"&lt;"&amp;CONCATENATE($I$6,"/",B65),Proventos!$J:$J,"="&amp;$H$2),
AND($H$2=Data!$A$11,$K$2=Data!$A$2),SUMIFS(Proventos!$H:$H,Proventos!$D:$D,"&gt;="&amp;CONCATENATE($H$6,"/",B65),Proventos!$D:$D,"&lt;"&amp;CONCATENATE($I$6,"/",B65),Proventos!$J:$J,"="&amp;$H$2),
$K$2=Data!$A$2,SUMIFS(Proventos!$H:$H,Proventos!$D:$D,"&gt;="&amp;CONCATENATE($H$6,"/",B65),Proventos!$D:$D,"&lt;"&amp;CONCATENATE($I$6,"/",B65)),
$K$2&lt;&gt;Data!$A$2,SUMIFS(Proventos!$H:$H,Proventos!$D:$D,"&gt;="&amp;CONCATENATE($H$6,"/",B65),Proventos!$D:$D,"&lt;"&amp;CONCATENATE($I$6,"/",B65),Proventos!$A:$A,"="&amp;$K$2))</f>
        <v>0</v>
      </c>
      <c r="I65" s="245">
        <f>IFS(
AND($H$2=Data!$A$3,$K$2=Data!$A$2),SUMIFS(Proventos!$H:$H,Proventos!$D:$D,"&gt;="&amp;CONCATENATE($I$6,"/",B65),Proventos!$D:$D,"&lt;"&amp;CONCATENATE($J$6,"/",B65),Proventos!$J:$J,"="&amp;$H$2),
AND($H$2=Data!$A$4,$K$2=Data!$A$2),SUMIFS(Proventos!$H:$H,Proventos!$D:$D,"&gt;="&amp;CONCATENATE($I$6,"/",B65),Proventos!$D:$D,"&lt;"&amp;CONCATENATE($J$6,"/",B65),Proventos!$J:$J,"="&amp;$H$2),
AND($H$2=Data!$A$5,$K$2=Data!$A$2),SUMIFS(Proventos!$H:$H,Proventos!$D:$D,"&gt;="&amp;CONCATENATE($I$6,"/",B65),Proventos!$D:$D,"&lt;"&amp;CONCATENATE($J$6,"/",B65),Proventos!$J:$J,"="&amp;$H$2),
AND($H$2=Data!$A$6,$K$2=Data!$A$2),SUMIFS(Proventos!$H:$H,Proventos!$D:$D,"&gt;="&amp;CONCATENATE($I$6,"/",B65),Proventos!$D:$D,"&lt;"&amp;CONCATENATE($J$6,"/",B65),Proventos!$J:$J,"="&amp;$H$2),
AND($H$2=Data!$A$7,$K$2=Data!$A$2),SUMIFS(Proventos!$H:$H,Proventos!$D:$D,"&gt;="&amp;CONCATENATE($I$6,"/",B65),Proventos!$D:$D,"&lt;"&amp;CONCATENATE($J$6,"/",B65),Proventos!$J:$J,"="&amp;$H$2),
AND($H$2=Data!$A$8,$K$2=Data!$A$2),SUMIFS(Proventos!$H:$H,Proventos!$D:$D,"&gt;="&amp;CONCATENATE($I$6,"/",B65),Proventos!$D:$D,"&lt;"&amp;CONCATENATE($J$6,"/",B65),Proventos!$J:$J,"="&amp;$H$2),
AND($H$2=Data!$A$9,$K$2=Data!$A$2),SUMIFS(Proventos!$H:$H,Proventos!$D:$D,"&gt;="&amp;CONCATENATE($I$6,"/",B65),Proventos!$D:$D,"&lt;"&amp;CONCATENATE($J$6,"/",B65),Proventos!$J:$J,"="&amp;$H$2),
AND($H$2=Data!$A$10,$K$2=Data!$A$2),SUMIFS(Proventos!$H:$H,Proventos!$D:$D,"&gt;="&amp;CONCATENATE($I$6,"/",B65),Proventos!$D:$D,"&lt;"&amp;CONCATENATE($J$6,"/",B65),Proventos!$J:$J,"="&amp;$H$2),
AND($H$2=Data!$A$11,$K$2=Data!$A$2),SUMIFS(Proventos!$H:$H,Proventos!$D:$D,"&gt;="&amp;CONCATENATE($I$6,"/",B65),Proventos!$D:$D,"&lt;"&amp;CONCATENATE($J$6,"/",B65),Proventos!$J:$J,"="&amp;$H$2),
$K$2=Data!$A$2,SUMIFS(Proventos!$H:$H,Proventos!$D:$D,"&gt;="&amp;CONCATENATE($I$6,"/",B65),Proventos!$D:$D,"&lt;"&amp;CONCATENATE($J$6,"/",B65)),
$K$2&lt;&gt;Data!$A$2,SUMIFS(Proventos!$H:$H,Proventos!$D:$D,"&gt;="&amp;CONCATENATE($I$6,"/",B65),Proventos!$D:$D,"&lt;"&amp;CONCATENATE($J$6,"/",B65),Proventos!$A:$A,"="&amp;$K$2))</f>
        <v>0</v>
      </c>
      <c r="J65" s="245">
        <f>IFS(
AND($H$2=Data!$A$3,$K$2=Data!$A$2),SUMIFS(Proventos!$H:$H,Proventos!$D:$D,"&gt;="&amp;CONCATENATE($J$6,"/",B65),Proventos!$D:$D,"&lt;"&amp;CONCATENATE($K$6,"/",B65),Proventos!$J:$J,"="&amp;$H$2),
AND($H$2=Data!$A$4,$K$2=Data!$A$2),SUMIFS(Proventos!$H:$H,Proventos!$D:$D,"&gt;="&amp;CONCATENATE($J$6,"/",B65),Proventos!$D:$D,"&lt;"&amp;CONCATENATE($K$6,"/",B65),Proventos!$J:$J,"="&amp;$H$2),
AND($H$2=Data!$A$5,$K$2=Data!$A$2),SUMIFS(Proventos!$H:$H,Proventos!$D:$D,"&gt;="&amp;CONCATENATE($J$6,"/",B65),Proventos!$D:$D,"&lt;"&amp;CONCATENATE($K$6,"/",B65),Proventos!$J:$J,"="&amp;$H$2),
AND($H$2=Data!$A$6,$K$2=Data!$A$2),SUMIFS(Proventos!$H:$H,Proventos!$D:$D,"&gt;="&amp;CONCATENATE($J$6,"/",B65),Proventos!$D:$D,"&lt;"&amp;CONCATENATE($K$6,"/",B65),Proventos!$J:$J,"="&amp;$H$2),
AND($H$2=Data!$A$7,$K$2=Data!$A$2),SUMIFS(Proventos!$H:$H,Proventos!$D:$D,"&gt;="&amp;CONCATENATE($J$6,"/",B65),Proventos!$D:$D,"&lt;"&amp;CONCATENATE($K$6,"/",B65),Proventos!$J:$J,"="&amp;$H$2),
AND($H$2=Data!$A$8,$K$2=Data!$A$2),SUMIFS(Proventos!$H:$H,Proventos!$D:$D,"&gt;="&amp;CONCATENATE($J$6,"/",B65),Proventos!$D:$D,"&lt;"&amp;CONCATENATE($K$6,"/",B65),Proventos!$J:$J,"="&amp;$H$2),
AND($H$2=Data!$A$9,$K$2=Data!$A$2),SUMIFS(Proventos!$H:$H,Proventos!$D:$D,"&gt;="&amp;CONCATENATE($J$6,"/",B65),Proventos!$D:$D,"&lt;"&amp;CONCATENATE($K$6,"/",B65),Proventos!$J:$J,"="&amp;$H$2),
AND($H$2=Data!$A$10,$K$2=Data!$A$2),SUMIFS(Proventos!$H:$H,Proventos!$D:$D,"&gt;="&amp;CONCATENATE($J$6,"/",B65),Proventos!$D:$D,"&lt;"&amp;CONCATENATE($K$6,"/",B65),Proventos!$J:$J,"="&amp;$H$2),
AND($H$2=Data!$A$11,$K$2=Data!$A$2),SUMIFS(Proventos!$H:$H,Proventos!$D:$D,"&gt;="&amp;CONCATENATE($J$6,"/",B65),Proventos!$D:$D,"&lt;"&amp;CONCATENATE($K$6,"/",B65),Proventos!$J:$J,"="&amp;$H$2),
$K$2=Data!$A$2,SUMIFS(Proventos!$H:$H,Proventos!$D:$D,"&gt;="&amp;CONCATENATE($J$6,"/",B65),Proventos!$D:$D,"&lt;"&amp;CONCATENATE($K$6,"/",B65)),
$K$2&lt;&gt;Data!$A$2,SUMIFS(Proventos!$H:$H,Proventos!$D:$D,"&gt;="&amp;CONCATENATE($J$6,"/",B65),Proventos!$D:$D,"&lt;"&amp;CONCATENATE($K$6,"/",B65),Proventos!$A:$A,"="&amp;$K$2))</f>
        <v>0</v>
      </c>
      <c r="K65" s="245">
        <f>IFS(
AND($H$2=Data!$A$3,$K$2=Data!$A$2),SUMIFS(Proventos!$H:$H,Proventos!$D:$D,"&gt;="&amp;CONCATENATE($K$6,"/",B65),Proventos!$D:$D,"&lt;"&amp;CONCATENATE($L$6,"/",B65),Proventos!$J:$J,"="&amp;$H$2),
AND($H$2=Data!$A$4,$K$2=Data!$A$2),SUMIFS(Proventos!$H:$H,Proventos!$D:$D,"&gt;="&amp;CONCATENATE($K$6,"/",B65),Proventos!$D:$D,"&lt;"&amp;CONCATENATE($L$6,"/",B65),Proventos!$J:$J,"="&amp;$H$2),
AND($H$2=Data!$A$5,$K$2=Data!$A$2),SUMIFS(Proventos!$H:$H,Proventos!$D:$D,"&gt;="&amp;CONCATENATE($K$6,"/",B65),Proventos!$D:$D,"&lt;"&amp;CONCATENATE($L$6,"/",B65),Proventos!$J:$J,"="&amp;$H$2),
AND($H$2=Data!$A$6,$K$2=Data!$A$2),SUMIFS(Proventos!$H:$H,Proventos!$D:$D,"&gt;="&amp;CONCATENATE($K$6,"/",B65),Proventos!$D:$D,"&lt;"&amp;CONCATENATE($L$6,"/",B65),Proventos!$J:$J,"="&amp;$H$2),
AND($H$2=Data!$A$7,$K$2=Data!$A$2),SUMIFS(Proventos!$H:$H,Proventos!$D:$D,"&gt;="&amp;CONCATENATE($K$6,"/",B65),Proventos!$D:$D,"&lt;"&amp;CONCATENATE($L$6,"/",B65),Proventos!$J:$J,"="&amp;$H$2),
AND($H$2=Data!$A$8,$K$2=Data!$A$2),SUMIFS(Proventos!$H:$H,Proventos!$D:$D,"&gt;="&amp;CONCATENATE($K$6,"/",B65),Proventos!$D:$D,"&lt;"&amp;CONCATENATE($L$6,"/",B65),Proventos!$J:$J,"="&amp;$H$2),
AND($H$2=Data!$A$9,$K$2=Data!$A$2),SUMIFS(Proventos!$H:$H,Proventos!$D:$D,"&gt;="&amp;CONCATENATE($K$6,"/",B65),Proventos!$D:$D,"&lt;"&amp;CONCATENATE($L$6,"/",B65),Proventos!$J:$J,"="&amp;$H$2),
AND($H$2=Data!$A$10,$K$2=Data!$A$2),SUMIFS(Proventos!$H:$H,Proventos!$D:$D,"&gt;="&amp;CONCATENATE($K$6,"/",B65),Proventos!$D:$D,"&lt;"&amp;CONCATENATE($L$6,"/",B65),Proventos!$J:$J,"="&amp;$H$2),
AND($H$2=Data!$A$11,$K$2=Data!$A$2),SUMIFS(Proventos!$H:$H,Proventos!$D:$D,"&gt;="&amp;CONCATENATE($K$6,"/",B65),Proventos!$D:$D,"&lt;"&amp;CONCATENATE($L$6,"/",B65),Proventos!$J:$J,"="&amp;$H$2),
$K$2=Data!$A$2,SUMIFS(Proventos!$H:$H,Proventos!$D:$D,"&gt;="&amp;CONCATENATE($K$6,"/",B65),Proventos!$D:$D,"&lt;"&amp;CONCATENATE($L$6,"/",B65)),
$K$2&lt;&gt;Data!$A$2,SUMIFS(Proventos!$H:$H,Proventos!$D:$D,"&gt;="&amp;CONCATENATE($K$6,"/",B65),Proventos!$D:$D,"&lt;"&amp;CONCATENATE($L$6,"/",B65),Proventos!$A:$A,"="&amp;$K$2))</f>
        <v>0</v>
      </c>
      <c r="L65" s="245">
        <f>IFS(
AND($H$2=Data!$A$3,$K$2=Data!$A$2),SUMIFS(Proventos!$H:$H,Proventos!$D:$D,"&gt;="&amp;CONCATENATE($L$6,"/",B65),Proventos!$D:$D,"&lt;"&amp;CONCATENATE($M$6,"/",B65),Proventos!$J:$J,"="&amp;$H$2),
AND($H$2=Data!$A$4,$K$2=Data!$A$2),SUMIFS(Proventos!$H:$H,Proventos!$D:$D,"&gt;="&amp;CONCATENATE($L$6,"/",B65),Proventos!$D:$D,"&lt;"&amp;CONCATENATE($M$6,"/",B65),Proventos!$J:$J,"="&amp;$H$2),
AND($H$2=Data!$A$5,$K$2=Data!$A$2),SUMIFS(Proventos!$H:$H,Proventos!$D:$D,"&gt;="&amp;CONCATENATE($L$6,"/",B65),Proventos!$D:$D,"&lt;"&amp;CONCATENATE($M$6,"/",B65),Proventos!$J:$J,"="&amp;$H$2),
AND($H$2=Data!$A$6,$K$2=Data!$A$2),SUMIFS(Proventos!$H:$H,Proventos!$D:$D,"&gt;="&amp;CONCATENATE($L$6,"/",B65),Proventos!$D:$D,"&lt;"&amp;CONCATENATE($M$6,"/",B65),Proventos!$J:$J,"="&amp;$H$2),
AND($H$2=Data!$A$7,$K$2=Data!$A$2),SUMIFS(Proventos!$H:$H,Proventos!$D:$D,"&gt;="&amp;CONCATENATE($L$6,"/",B65),Proventos!$D:$D,"&lt;"&amp;CONCATENATE($M$6,"/",B65),Proventos!$J:$J,"="&amp;$H$2),
AND($H$2=Data!$A$8,$K$2=Data!$A$2),SUMIFS(Proventos!$H:$H,Proventos!$D:$D,"&gt;="&amp;CONCATENATE($L$6,"/",B65),Proventos!$D:$D,"&lt;"&amp;CONCATENATE($M$6,"/",B65),Proventos!$J:$J,"="&amp;$H$2),
AND($H$2=Data!$A$9,$K$2=Data!$A$2),SUMIFS(Proventos!$H:$H,Proventos!$D:$D,"&gt;="&amp;CONCATENATE($L$6,"/",B65),Proventos!$D:$D,"&lt;"&amp;CONCATENATE($M$6,"/",B65),Proventos!$J:$J,"="&amp;$H$2),
AND($H$2=Data!$A$10,$K$2=Data!$A$2),SUMIFS(Proventos!$H:$H,Proventos!$D:$D,"&gt;="&amp;CONCATENATE($L$6,"/",B65),Proventos!$D:$D,"&lt;"&amp;CONCATENATE($M$6,"/",B65),Proventos!$J:$J,"="&amp;$H$2),
AND($H$2=Data!$A$11,$K$2=Data!$A$2),SUMIFS(Proventos!$H:$H,Proventos!$D:$D,"&gt;="&amp;CONCATENATE($L$6,"/",B65),Proventos!$D:$D,"&lt;"&amp;CONCATENATE($M$6,"/",B65),Proventos!$J:$J,"="&amp;$H$2),
$K$2=Data!$A$2,SUMIFS(Proventos!$H:$H,Proventos!$D:$D,"&gt;="&amp;CONCATENATE($L$6,"/",B65),Proventos!$D:$D,"&lt;"&amp;CONCATENATE($M$6,"/",B65)),
$K$2&lt;&gt;Data!$A$2,SUMIFS(Proventos!$H:$H,Proventos!$D:$D,"&gt;="&amp;CONCATENATE($L$6,"/",B65),Proventos!$D:$D,"&lt;"&amp;CONCATENATE($M$6,"/",B65),Proventos!$A:$A,"="&amp;$K$2))</f>
        <v>0</v>
      </c>
      <c r="M65" s="245">
        <f>IFS(
AND($H$2=Data!$A$3,$K$2=Data!$A$2),SUMIFS(Proventos!$H:$H,Proventos!$D:$D,"&gt;="&amp;CONCATENATE($M$6,"/",B65),Proventos!$D:$D,"&lt;"&amp;CONCATENATE($N$6,"/",B65),Proventos!$J:$J,"="&amp;$H$2),
AND($H$2=Data!$A$4,$K$2=Data!$A$2),SUMIFS(Proventos!$H:$H,Proventos!$D:$D,"&gt;="&amp;CONCATENATE($M$6,"/",B65),Proventos!$D:$D,"&lt;"&amp;CONCATENATE($N$6,"/",B65),Proventos!$J:$J,"="&amp;$H$2),
AND($H$2=Data!$A$5,$K$2=Data!$A$2),SUMIFS(Proventos!$H:$H,Proventos!$D:$D,"&gt;="&amp;CONCATENATE($M$6,"/",B65),Proventos!$D:$D,"&lt;"&amp;CONCATENATE($N$6,"/",B65),Proventos!$J:$J,"="&amp;$H$2),
AND($H$2=Data!$A$6,$K$2=Data!$A$2),SUMIFS(Proventos!$H:$H,Proventos!$D:$D,"&gt;="&amp;CONCATENATE($M$6,"/",B65),Proventos!$D:$D,"&lt;"&amp;CONCATENATE($N$6,"/",B65),Proventos!$J:$J,"="&amp;$H$2),
AND($H$2=Data!$A$7,$K$2=Data!$A$2),SUMIFS(Proventos!$H:$H,Proventos!$D:$D,"&gt;="&amp;CONCATENATE($M$6,"/",B65),Proventos!$D:$D,"&lt;"&amp;CONCATENATE($N$6,"/",B65),Proventos!$J:$J,"="&amp;$H$2),
AND($H$2=Data!$A$8,$K$2=Data!$A$2),SUMIFS(Proventos!$H:$H,Proventos!$D:$D,"&gt;="&amp;CONCATENATE($M$6,"/",B65),Proventos!$D:$D,"&lt;"&amp;CONCATENATE($N$6,"/",B65),Proventos!$J:$J,"="&amp;$H$2),
AND($H$2=Data!$A$9,$K$2=Data!$A$2),SUMIFS(Proventos!$H:$H,Proventos!$D:$D,"&gt;="&amp;CONCATENATE($M$6,"/",B65),Proventos!$D:$D,"&lt;"&amp;CONCATENATE($N$6,"/",B65),Proventos!$J:$J,"="&amp;$H$2),
AND($H$2=Data!$A$10,$K$2=Data!$A$2),SUMIFS(Proventos!$H:$H,Proventos!$D:$D,"&gt;="&amp;CONCATENATE($M$6,"/",B65),Proventos!$D:$D,"&lt;"&amp;CONCATENATE($N$6,"/",B65),Proventos!$J:$J,"="&amp;$H$2),
AND($H$2=Data!$A$11,$K$2=Data!$A$2),SUMIFS(Proventos!$H:$H,Proventos!$D:$D,"&gt;="&amp;CONCATENATE($M$6,"/",B65),Proventos!$D:$D,"&lt;"&amp;CONCATENATE($N$6,"/",B65),Proventos!$J:$J,"="&amp;$H$2),
$K$2=Data!$A$2,SUMIFS(Proventos!$H:$H,Proventos!$D:$D,"&gt;="&amp;CONCATENATE($M$6,"/",B65),Proventos!$D:$D,"&lt;"&amp;CONCATENATE($N$6,"/",B65)),
$K$2&lt;&gt;Data!$A$2,SUMIFS(Proventos!$H:$H,Proventos!$D:$D,"&gt;="&amp;CONCATENATE($M$6,"/",B65),Proventos!$D:$D,"&lt;"&amp;CONCATENATE($N$6,"/",B65),Proventos!$A:$A,"="&amp;$K$2))</f>
        <v>0</v>
      </c>
      <c r="N65" s="245">
        <f>IFS(
AND($H$2=Data!$A$3,$K$2=Data!$A$2),SUMIFS(Proventos!$H:$H,Proventos!$D:$D,"&gt;="&amp;CONCATENATE($N$6,"/",B65),Proventos!$D:$D,"&lt;"&amp;CONCATENATE($C$6,"/",B66),Proventos!$J:$J,"="&amp;$H$2),
AND($H$2=Data!$A$4,$K$2=Data!$A$2),SUMIFS(Proventos!$H:$H,Proventos!$D:$D,"&gt;="&amp;CONCATENATE($N$6,"/",B65),Proventos!$D:$D,"&lt;"&amp;CONCATENATE($C$6,"/",B66),Proventos!$J:$J,"="&amp;$H$2),
AND($H$2=Data!$A$5,$K$2=Data!$A$2),SUMIFS(Proventos!$H:$H,Proventos!$D:$D,"&gt;="&amp;CONCATENATE($N$6,"/",B65),Proventos!$D:$D,"&lt;"&amp;CONCATENATE($C$6,"/",B66),Proventos!$J:$J,"="&amp;$H$2),
AND($H$2=Data!$A$6,$K$2=Data!$A$2),SUMIFS(Proventos!$H:$H,Proventos!$D:$D,"&gt;="&amp;CONCATENATE($N$6,"/",B65),Proventos!$D:$D,"&lt;"&amp;CONCATENATE($C$6,"/",B66),Proventos!$J:$J,"="&amp;$H$2),
AND($H$2=Data!$A$7,$K$2=Data!$A$2),SUMIFS(Proventos!$H:$H,Proventos!$D:$D,"&gt;="&amp;CONCATENATE($N$6,"/",B65),Proventos!$D:$D,"&lt;"&amp;CONCATENATE($C$6,"/",B66),Proventos!$J:$J,"="&amp;$H$2),
AND($H$2=Data!$A$8,$K$2=Data!$A$2),SUMIFS(Proventos!$H:$H,Proventos!$D:$D,"&gt;="&amp;CONCATENATE($N$6,"/",B65),Proventos!$D:$D,"&lt;"&amp;CONCATENATE($C$6,"/",B66),Proventos!$J:$J,"="&amp;$H$2),
AND($H$2=Data!$A$9,$K$2=Data!$A$2),SUMIFS(Proventos!$H:$H,Proventos!$D:$D,"&gt;="&amp;CONCATENATE($N$6,"/",B65),Proventos!$D:$D,"&lt;"&amp;CONCATENATE($C$6,"/",B66),Proventos!$J:$J,"="&amp;$H$2),
AND($H$2=Data!$A$10,$K$2=Data!$A$2),SUMIFS(Proventos!$H:$H,Proventos!$D:$D,"&gt;="&amp;CONCATENATE($N$6,"/",B65),Proventos!$D:$D,"&lt;"&amp;CONCATENATE($C$6,"/",B66),Proventos!$J:$J,"="&amp;$H$2),
AND($H$2=Data!$A$11,$K$2=Data!$A$2),SUMIFS(Proventos!$H:$H,Proventos!$D:$D,"&gt;="&amp;CONCATENATE($N$6,"/",B65),Proventos!$D:$D,"&lt;"&amp;CONCATENATE($C$6,"/",B66),Proventos!$J:$J,"="&amp;$H$2),
$K$2=Data!$A$2,SUMIFS(Proventos!$H:$H,Proventos!$D:$D,"&gt;="&amp;CONCATENATE($N$6,"/",B65),Proventos!$D:$D,"&lt;"&amp;CONCATENATE($C$6,"/",B66)),
$K$2&lt;&gt;Data!$A$2,SUMIFS(Proventos!$H:$H,Proventos!$D:$D,"&gt;="&amp;CONCATENATE($N$6,"/",B65),Proventos!$D:$D,"&lt;"&amp;CONCATENATE($C$6,"/",B66),Proventos!$A:$A,"="&amp;$K$2))</f>
        <v>0</v>
      </c>
      <c r="O65" s="245"/>
      <c r="P65" s="245">
        <f t="shared" si="1"/>
        <v>0</v>
      </c>
      <c r="Q65" s="245">
        <f t="shared" si="2"/>
        <v>0</v>
      </c>
    </row>
    <row r="66" ht="32.25" customHeight="1">
      <c r="A66" s="230"/>
      <c r="B66" s="244"/>
      <c r="C66" s="245">
        <f>IFS(
AND($H$2=Data!$A$3,$K$2=Data!$A$2),SUMIFS(Proventos!$H:$H,Proventos!$D:$D,"&gt;="&amp;CONCATENATE($C$6,"/",B66),Proventos!$D:$D,"&lt;"&amp;CONCATENATE($D$6,"/",B66),Proventos!$J:$J,"="&amp;$H$2),
AND($H$2=Data!$A$4,$K$2=Data!$A$2),SUMIFS(Proventos!$H:$H,Proventos!$D:$D,"&gt;="&amp;CONCATENATE($C$6,"/",B66),Proventos!$D:$D,"&lt;"&amp;CONCATENATE($D$6,"/",B66),Proventos!$J:$J,"="&amp;$H$2),
AND($H$2=Data!$A$5,$K$2=Data!$A$2),SUMIFS(Proventos!$H:$H,Proventos!$D:$D,"&gt;="&amp;CONCATENATE($C$6,"/",B66),Proventos!$D:$D,"&lt;"&amp;CONCATENATE($D$6,"/",B66),Proventos!$J:$J,"="&amp;$H$2),
AND($H$2=Data!$A$6,$K$2=Data!$A$2),SUMIFS(Proventos!$H:$H,Proventos!$D:$D,"&gt;="&amp;CONCATENATE($C$6,"/",B66),Proventos!$D:$D,"&lt;"&amp;CONCATENATE($D$6,"/",B66),Proventos!$J:$J,"="&amp;$H$2),
AND($H$2=Data!$A$7,$K$2=Data!$A$2),SUMIFS(Proventos!$H:$H,Proventos!$D:$D,"&gt;="&amp;CONCATENATE($C$6,"/",B66),Proventos!$D:$D,"&lt;"&amp;CONCATENATE($D$6,"/",B66),Proventos!$J:$J,"="&amp;$H$2),
AND($H$2=Data!$A$8,$K$2=Data!$A$2),SUMIFS(Proventos!$H:$H,Proventos!$D:$D,"&gt;="&amp;CONCATENATE($C$6,"/",B66),Proventos!$D:$D,"&lt;"&amp;CONCATENATE($D$6,"/",B66),Proventos!$J:$J,"="&amp;$H$2),
AND($H$2=Data!$A$9,$K$2=Data!$A$2),SUMIFS(Proventos!$H:$H,Proventos!$D:$D,"&gt;="&amp;CONCATENATE($C$6,"/",B66),Proventos!$D:$D,"&lt;"&amp;CONCATENATE($D$6,"/",B66),Proventos!$J:$J,"="&amp;$H$2),
AND($H$2=Data!$A$10,$K$2=Data!$A$2),SUMIFS(Proventos!$H:$H,Proventos!$D:$D,"&gt;="&amp;CONCATENATE($C$6,"/",B66),Proventos!$D:$D,"&lt;"&amp;CONCATENATE($D$6,"/",B66),Proventos!$J:$J,"="&amp;$H$2),
AND($H$2=Data!$A$11,$K$2=Data!$A$2),SUMIFS(Proventos!$H:$H,Proventos!$D:$D,"&gt;="&amp;CONCATENATE($C$6,"/",B66),Proventos!$D:$D,"&lt;"&amp;CONCATENATE($D$6,"/",B66),Proventos!$J:$J,"="&amp;$H$2),
$K$2=Data!$A$2,SUMIFS(Proventos!$H:$H,Proventos!$D:$D,"&gt;="&amp;CONCATENATE($C$6,"/",B66),Proventos!$D:$D,"&lt;"&amp;CONCATENATE($D$6,"/",B66)),
$K$2&lt;&gt;Data!$A$2,SUMIFS(Proventos!$H:$H,Proventos!$D:$D,"&gt;="&amp;CONCATENATE($C$6,"/",B66),Proventos!$D:$D,"&lt;"&amp;CONCATENATE($D$6,"/",B66),Proventos!$A:$A,"="&amp;$K$2))</f>
        <v>0</v>
      </c>
      <c r="D66" s="245">
        <f>IFS(
AND($H$2=Data!$A$3,$K$2=Data!$A$2),SUMIFS(Proventos!$H:$H,Proventos!$D:$D,"&gt;="&amp;CONCATENATE($D$6,"/",B66),Proventos!$D:$D,"&lt;"&amp;CONCATENATE($E$6,"/",B66),Proventos!$J:$J,"="&amp;$H$2),
AND($H$2=Data!$A$4,$K$2=Data!$A$2),SUMIFS(Proventos!$H:$H,Proventos!$D:$D,"&gt;="&amp;CONCATENATE($D$6,"/",B66),Proventos!$D:$D,"&lt;"&amp;CONCATENATE($E$6,"/",B66),Proventos!$J:$J,"="&amp;$H$2),
AND($H$2=Data!$A$5,$K$2=Data!$A$2),SUMIFS(Proventos!$H:$H,Proventos!$D:$D,"&gt;="&amp;CONCATENATE($D$6,"/",B66),Proventos!$D:$D,"&lt;"&amp;CONCATENATE($E$6,"/",B66),Proventos!$J:$J,"="&amp;$H$2),
AND($H$2=Data!$A$6,$K$2=Data!$A$2),SUMIFS(Proventos!$H:$H,Proventos!$D:$D,"&gt;="&amp;CONCATENATE($D$6,"/",B66),Proventos!$D:$D,"&lt;"&amp;CONCATENATE($E$6,"/",B66),Proventos!$J:$J,"="&amp;$H$2),
AND($H$2=Data!$A$7,$K$2=Data!$A$2),SUMIFS(Proventos!$H:$H,Proventos!$D:$D,"&gt;="&amp;CONCATENATE($D$6,"/",B66),Proventos!$D:$D,"&lt;"&amp;CONCATENATE($E$6,"/",B66),Proventos!$J:$J,"="&amp;$H$2),
AND($H$2=Data!$A$8,$K$2=Data!$A$2),SUMIFS(Proventos!$H:$H,Proventos!$D:$D,"&gt;="&amp;CONCATENATE($D$6,"/",B66),Proventos!$D:$D,"&lt;"&amp;CONCATENATE($E$6,"/",B66),Proventos!$J:$J,"="&amp;$H$2),
AND($H$2=Data!$A$9,$K$2=Data!$A$2),SUMIFS(Proventos!$H:$H,Proventos!$D:$D,"&gt;="&amp;CONCATENATE($D$6,"/",B66),Proventos!$D:$D,"&lt;"&amp;CONCATENATE($E$6,"/",B66),Proventos!$J:$J,"="&amp;$H$2),
AND($H$2=Data!$A$10,$K$2=Data!$A$2),SUMIFS(Proventos!$H:$H,Proventos!$D:$D,"&gt;="&amp;CONCATENATE($D$6,"/",B66),Proventos!$D:$D,"&lt;"&amp;CONCATENATE($E$6,"/",B66),Proventos!$J:$J,"="&amp;$H$2),
AND($H$2=Data!$A$11,$K$2=Data!$A$2),SUMIFS(Proventos!$H:$H,Proventos!$D:$D,"&gt;="&amp;CONCATENATE($D$6,"/",B66),Proventos!$D:$D,"&lt;"&amp;CONCATENATE($E$6,"/",B66),Proventos!$J:$J,"="&amp;$H$2),
$K$2=Data!$A$2,SUMIFS(Proventos!$H:$H,Proventos!$D:$D,"&gt;="&amp;CONCATENATE($D$6,"/",B66),Proventos!$D:$D,"&lt;"&amp;CONCATENATE($E$6,"/",B66)),
$K$2&lt;&gt;Data!$A$2,SUMIFS(Proventos!$H:$H,Proventos!$D:$D,"&gt;="&amp;CONCATENATE($D$6,"/",B66),Proventos!$D:$D,"&lt;"&amp;CONCATENATE($E$6,"/",B66),Proventos!$A:$A,"="&amp;$K$2))</f>
        <v>0</v>
      </c>
      <c r="E66" s="245">
        <f>IFS(
AND($H$2=Data!$A$3,$K$2=Data!$A$2),SUMIFS(Proventos!$H:$H,Proventos!$D:$D,"&gt;="&amp;CONCATENATE($E$6,"/",B66),Proventos!$D:$D,"&lt;"&amp;CONCATENATE($F$6,"/",B66),Proventos!$J:$J,"="&amp;$H$2),
AND($H$2=Data!$A$4,$K$2=Data!$A$2),SUMIFS(Proventos!$H:$H,Proventos!$D:$D,"&gt;="&amp;CONCATENATE($E$6,"/",B66),Proventos!$D:$D,"&lt;"&amp;CONCATENATE($F$6,"/",B66),Proventos!$J:$J,"="&amp;$H$2),
AND($H$2=Data!$A$5,$K$2=Data!$A$2),SUMIFS(Proventos!$H:$H,Proventos!$D:$D,"&gt;="&amp;CONCATENATE($E$6,"/",B66),Proventos!$D:$D,"&lt;"&amp;CONCATENATE($F$6,"/",B66),Proventos!$J:$J,"="&amp;$H$2),
AND($H$2=Data!$A$6,$K$2=Data!$A$2),SUMIFS(Proventos!$H:$H,Proventos!$D:$D,"&gt;="&amp;CONCATENATE($E$6,"/",B66),Proventos!$D:$D,"&lt;"&amp;CONCATENATE($F$6,"/",B66),Proventos!$J:$J,"="&amp;$H$2),
AND($H$2=Data!$A$7,$K$2=Data!$A$2),SUMIFS(Proventos!$H:$H,Proventos!$D:$D,"&gt;="&amp;CONCATENATE($E$6,"/",B66),Proventos!$D:$D,"&lt;"&amp;CONCATENATE($F$6,"/",B66),Proventos!$J:$J,"="&amp;$H$2),
AND($H$2=Data!$A$8,$K$2=Data!$A$2),SUMIFS(Proventos!$H:$H,Proventos!$D:$D,"&gt;="&amp;CONCATENATE($E$6,"/",B66),Proventos!$D:$D,"&lt;"&amp;CONCATENATE($F$6,"/",B66),Proventos!$J:$J,"="&amp;$H$2),
AND($H$2=Data!$A$9,$K$2=Data!$A$2),SUMIFS(Proventos!$H:$H,Proventos!$D:$D,"&gt;="&amp;CONCATENATE($E$6,"/",B66),Proventos!$D:$D,"&lt;"&amp;CONCATENATE($F$6,"/",B66),Proventos!$J:$J,"="&amp;$H$2),
AND($H$2=Data!$A$10,$K$2=Data!$A$2),SUMIFS(Proventos!$H:$H,Proventos!$D:$D,"&gt;="&amp;CONCATENATE($E$6,"/",B66),Proventos!$D:$D,"&lt;"&amp;CONCATENATE($F$6,"/",B66),Proventos!$J:$J,"="&amp;$H$2),
AND($H$2=Data!$A$11,$K$2=Data!$A$2),SUMIFS(Proventos!$H:$H,Proventos!$D:$D,"&gt;="&amp;CONCATENATE($E$6,"/",B66),Proventos!$D:$D,"&lt;"&amp;CONCATENATE($F$6,"/",B66),Proventos!$J:$J,"="&amp;$H$2),
$K$2=Data!$A$2,SUMIFS(Proventos!$H:$H,Proventos!$D:$D,"&gt;="&amp;CONCATENATE($E$6,"/",B66),Proventos!$D:$D,"&lt;"&amp;CONCATENATE($F$6,"/",B66)),
$K$2&lt;&gt;Data!$A$2,SUMIFS(Proventos!$H:$H,Proventos!$D:$D,"&gt;="&amp;CONCATENATE($E$6,"/",B66),Proventos!$D:$D,"&lt;"&amp;CONCATENATE($F$6,"/",B66),Proventos!$A:$A,"="&amp;$K$2))</f>
        <v>0</v>
      </c>
      <c r="F66" s="245">
        <f>IFS(
AND($H$2=Data!$A$3,$K$2=Data!$A$2),SUMIFS(Proventos!$H:$H,Proventos!$D:$D,"&gt;="&amp;CONCATENATE($F$6,"/",B66),Proventos!$D:$D,"&lt;"&amp;CONCATENATE($G$6,"/",B66),Proventos!$J:$J,"="&amp;$H$2),
AND($H$2=Data!$A$4,$K$2=Data!$A$2),SUMIFS(Proventos!$H:$H,Proventos!$D:$D,"&gt;="&amp;CONCATENATE($F$6,"/",B66),Proventos!$D:$D,"&lt;"&amp;CONCATENATE($G$6,"/",B66),Proventos!$J:$J,"="&amp;$H$2),
AND($H$2=Data!$A$5,$K$2=Data!$A$2),SUMIFS(Proventos!$H:$H,Proventos!$D:$D,"&gt;="&amp;CONCATENATE($F$6,"/",B66),Proventos!$D:$D,"&lt;"&amp;CONCATENATE($G$6,"/",B66),Proventos!$J:$J,"="&amp;$H$2),
AND($H$2=Data!$A$6,$K$2=Data!$A$2),SUMIFS(Proventos!$H:$H,Proventos!$D:$D,"&gt;="&amp;CONCATENATE($F$6,"/",B66),Proventos!$D:$D,"&lt;"&amp;CONCATENATE($G$6,"/",B66),Proventos!$J:$J,"="&amp;$H$2),
AND($H$2=Data!$A$7,$K$2=Data!$A$2),SUMIFS(Proventos!$H:$H,Proventos!$D:$D,"&gt;="&amp;CONCATENATE($F$6,"/",B66),Proventos!$D:$D,"&lt;"&amp;CONCATENATE($G$6,"/",B66),Proventos!$J:$J,"="&amp;$H$2),
AND($H$2=Data!$A$8,$K$2=Data!$A$2),SUMIFS(Proventos!$H:$H,Proventos!$D:$D,"&gt;="&amp;CONCATENATE($F$6,"/",B66),Proventos!$D:$D,"&lt;"&amp;CONCATENATE($G$6,"/",B66),Proventos!$J:$J,"="&amp;$H$2),
AND($H$2=Data!$A$9,$K$2=Data!$A$2),SUMIFS(Proventos!$H:$H,Proventos!$D:$D,"&gt;="&amp;CONCATENATE($F$6,"/",B66),Proventos!$D:$D,"&lt;"&amp;CONCATENATE($G$6,"/",B66),Proventos!$J:$J,"="&amp;$H$2),
AND($H$2=Data!$A$10,$K$2=Data!$A$2),SUMIFS(Proventos!$H:$H,Proventos!$D:$D,"&gt;="&amp;CONCATENATE($F$6,"/",B66),Proventos!$D:$D,"&lt;"&amp;CONCATENATE($G$6,"/",B66),Proventos!$J:$J,"="&amp;$H$2),
AND($H$2=Data!$A$11,$K$2=Data!$A$2),SUMIFS(Proventos!$H:$H,Proventos!$D:$D,"&gt;="&amp;CONCATENATE($F$6,"/",B66),Proventos!$D:$D,"&lt;"&amp;CONCATENATE($G$6,"/",B66),Proventos!$J:$J,"="&amp;$H$2),
$K$2=Data!$A$2,SUMIFS(Proventos!$H:$H,Proventos!$D:$D,"&gt;="&amp;CONCATENATE($F$6,"/",B66),Proventos!$D:$D,"&lt;"&amp;CONCATENATE($G$6,"/",B66)),
$K$2&lt;&gt;Data!$A$2,SUMIFS(Proventos!$H:$H,Proventos!$D:$D,"&gt;="&amp;CONCATENATE($F$6,"/",B66),Proventos!$D:$D,"&lt;"&amp;CONCATENATE($G$6,"/",B66),Proventos!$A:$A,"="&amp;$K$2))</f>
        <v>0</v>
      </c>
      <c r="G66" s="245">
        <f>IFS(
AND($H$2=Data!$A$3,$K$2=Data!$A$2),SUMIFS(Proventos!$H:$H,Proventos!$D:$D,"&gt;="&amp;CONCATENATE($G$6,"/",B66),Proventos!$D:$D,"&lt;"&amp;CONCATENATE($H$6,"/",B66),Proventos!$J:$J,"="&amp;$H$2),
AND($H$2=Data!$A$4,$K$2=Data!$A$2),SUMIFS(Proventos!$H:$H,Proventos!$D:$D,"&gt;="&amp;CONCATENATE($G$6,"/",B66),Proventos!$D:$D,"&lt;"&amp;CONCATENATE($H$6,"/",B66),Proventos!$J:$J,"="&amp;$H$2),
AND($H$2=Data!$A$5,$K$2=Data!$A$2),SUMIFS(Proventos!$H:$H,Proventos!$D:$D,"&gt;="&amp;CONCATENATE($G$6,"/",B66),Proventos!$D:$D,"&lt;"&amp;CONCATENATE($H$6,"/",B66),Proventos!$J:$J,"="&amp;$H$2),
AND($H$2=Data!$A$6,$K$2=Data!$A$2),SUMIFS(Proventos!$H:$H,Proventos!$D:$D,"&gt;="&amp;CONCATENATE($G$6,"/",B66),Proventos!$D:$D,"&lt;"&amp;CONCATENATE($H$6,"/",B66),Proventos!$J:$J,"="&amp;$H$2),
AND($H$2=Data!$A$7,$K$2=Data!$A$2),SUMIFS(Proventos!$H:$H,Proventos!$D:$D,"&gt;="&amp;CONCATENATE($G$6,"/",B66),Proventos!$D:$D,"&lt;"&amp;CONCATENATE($H$6,"/",B66),Proventos!$J:$J,"="&amp;$H$2),
AND($H$2=Data!$A$8,$K$2=Data!$A$2),SUMIFS(Proventos!$H:$H,Proventos!$D:$D,"&gt;="&amp;CONCATENATE($G$6,"/",B66),Proventos!$D:$D,"&lt;"&amp;CONCATENATE($H$6,"/",B66),Proventos!$J:$J,"="&amp;$H$2),
AND($H$2=Data!$A$9,$K$2=Data!$A$2),SUMIFS(Proventos!$H:$H,Proventos!$D:$D,"&gt;="&amp;CONCATENATE($G$6,"/",B66),Proventos!$D:$D,"&lt;"&amp;CONCATENATE($H$6,"/",B66),Proventos!$J:$J,"="&amp;$H$2),
AND($H$2=Data!$A$10,$K$2=Data!$A$2),SUMIFS(Proventos!$H:$H,Proventos!$D:$D,"&gt;="&amp;CONCATENATE($G$6,"/",B66),Proventos!$D:$D,"&lt;"&amp;CONCATENATE($H$6,"/",B66),Proventos!$J:$J,"="&amp;$H$2),
AND($H$2=Data!$A$11,$K$2=Data!$A$2),SUMIFS(Proventos!$H:$H,Proventos!$D:$D,"&gt;="&amp;CONCATENATE($G$6,"/",B66),Proventos!$D:$D,"&lt;"&amp;CONCATENATE($H$6,"/",B66),Proventos!$J:$J,"="&amp;$H$2),
$K$2=Data!$A$2,SUMIFS(Proventos!$H:$H,Proventos!$D:$D,"&gt;="&amp;CONCATENATE($G$6,"/",B66),Proventos!$D:$D,"&lt;"&amp;CONCATENATE($H$6,"/",B66)),
$K$2&lt;&gt;Data!$A$2,SUMIFS(Proventos!$H:$H,Proventos!$D:$D,"&gt;="&amp;CONCATENATE($G$6,"/",B66),Proventos!$D:$D,"&lt;"&amp;CONCATENATE($H$6,"/",B66),Proventos!$A:$A,"="&amp;$K$2))</f>
        <v>0</v>
      </c>
      <c r="H66" s="245">
        <f>IFS(
AND($H$2=Data!$A$3,$K$2=Data!$A$2),SUMIFS(Proventos!$H:$H,Proventos!$D:$D,"&gt;="&amp;CONCATENATE($H$6,"/",B66),Proventos!$D:$D,"&lt;"&amp;CONCATENATE($I$6,"/",B66),Proventos!$J:$J,"="&amp;$H$2),
AND($H$2=Data!$A$4,$K$2=Data!$A$2),SUMIFS(Proventos!$H:$H,Proventos!$D:$D,"&gt;="&amp;CONCATENATE($H$6,"/",B66),Proventos!$D:$D,"&lt;"&amp;CONCATENATE($I$6,"/",B66),Proventos!$J:$J,"="&amp;$H$2),
AND($H$2=Data!$A$5,$K$2=Data!$A$2),SUMIFS(Proventos!$H:$H,Proventos!$D:$D,"&gt;="&amp;CONCATENATE($H$6,"/",B66),Proventos!$D:$D,"&lt;"&amp;CONCATENATE($I$6,"/",B66),Proventos!$J:$J,"="&amp;$H$2),
AND($H$2=Data!$A$6,$K$2=Data!$A$2),SUMIFS(Proventos!$H:$H,Proventos!$D:$D,"&gt;="&amp;CONCATENATE($H$6,"/",B66),Proventos!$D:$D,"&lt;"&amp;CONCATENATE($I$6,"/",B66),Proventos!$J:$J,"="&amp;$H$2),
AND($H$2=Data!$A$7,$K$2=Data!$A$2),SUMIFS(Proventos!$H:$H,Proventos!$D:$D,"&gt;="&amp;CONCATENATE($H$6,"/",B66),Proventos!$D:$D,"&lt;"&amp;CONCATENATE($I$6,"/",B66),Proventos!$J:$J,"="&amp;$H$2),
AND($H$2=Data!$A$8,$K$2=Data!$A$2),SUMIFS(Proventos!$H:$H,Proventos!$D:$D,"&gt;="&amp;CONCATENATE($H$6,"/",B66),Proventos!$D:$D,"&lt;"&amp;CONCATENATE($I$6,"/",B66),Proventos!$J:$J,"="&amp;$H$2),
AND($H$2=Data!$A$9,$K$2=Data!$A$2),SUMIFS(Proventos!$H:$H,Proventos!$D:$D,"&gt;="&amp;CONCATENATE($H$6,"/",B66),Proventos!$D:$D,"&lt;"&amp;CONCATENATE($I$6,"/",B66),Proventos!$J:$J,"="&amp;$H$2),
AND($H$2=Data!$A$10,$K$2=Data!$A$2),SUMIFS(Proventos!$H:$H,Proventos!$D:$D,"&gt;="&amp;CONCATENATE($H$6,"/",B66),Proventos!$D:$D,"&lt;"&amp;CONCATENATE($I$6,"/",B66),Proventos!$J:$J,"="&amp;$H$2),
AND($H$2=Data!$A$11,$K$2=Data!$A$2),SUMIFS(Proventos!$H:$H,Proventos!$D:$D,"&gt;="&amp;CONCATENATE($H$6,"/",B66),Proventos!$D:$D,"&lt;"&amp;CONCATENATE($I$6,"/",B66),Proventos!$J:$J,"="&amp;$H$2),
$K$2=Data!$A$2,SUMIFS(Proventos!$H:$H,Proventos!$D:$D,"&gt;="&amp;CONCATENATE($H$6,"/",B66),Proventos!$D:$D,"&lt;"&amp;CONCATENATE($I$6,"/",B66)),
$K$2&lt;&gt;Data!$A$2,SUMIFS(Proventos!$H:$H,Proventos!$D:$D,"&gt;="&amp;CONCATENATE($H$6,"/",B66),Proventos!$D:$D,"&lt;"&amp;CONCATENATE($I$6,"/",B66),Proventos!$A:$A,"="&amp;$K$2))</f>
        <v>0</v>
      </c>
      <c r="I66" s="245">
        <f>IFS(
AND($H$2=Data!$A$3,$K$2=Data!$A$2),SUMIFS(Proventos!$H:$H,Proventos!$D:$D,"&gt;="&amp;CONCATENATE($I$6,"/",B66),Proventos!$D:$D,"&lt;"&amp;CONCATENATE($J$6,"/",B66),Proventos!$J:$J,"="&amp;$H$2),
AND($H$2=Data!$A$4,$K$2=Data!$A$2),SUMIFS(Proventos!$H:$H,Proventos!$D:$D,"&gt;="&amp;CONCATENATE($I$6,"/",B66),Proventos!$D:$D,"&lt;"&amp;CONCATENATE($J$6,"/",B66),Proventos!$J:$J,"="&amp;$H$2),
AND($H$2=Data!$A$5,$K$2=Data!$A$2),SUMIFS(Proventos!$H:$H,Proventos!$D:$D,"&gt;="&amp;CONCATENATE($I$6,"/",B66),Proventos!$D:$D,"&lt;"&amp;CONCATENATE($J$6,"/",B66),Proventos!$J:$J,"="&amp;$H$2),
AND($H$2=Data!$A$6,$K$2=Data!$A$2),SUMIFS(Proventos!$H:$H,Proventos!$D:$D,"&gt;="&amp;CONCATENATE($I$6,"/",B66),Proventos!$D:$D,"&lt;"&amp;CONCATENATE($J$6,"/",B66),Proventos!$J:$J,"="&amp;$H$2),
AND($H$2=Data!$A$7,$K$2=Data!$A$2),SUMIFS(Proventos!$H:$H,Proventos!$D:$D,"&gt;="&amp;CONCATENATE($I$6,"/",B66),Proventos!$D:$D,"&lt;"&amp;CONCATENATE($J$6,"/",B66),Proventos!$J:$J,"="&amp;$H$2),
AND($H$2=Data!$A$8,$K$2=Data!$A$2),SUMIFS(Proventos!$H:$H,Proventos!$D:$D,"&gt;="&amp;CONCATENATE($I$6,"/",B66),Proventos!$D:$D,"&lt;"&amp;CONCATENATE($J$6,"/",B66),Proventos!$J:$J,"="&amp;$H$2),
AND($H$2=Data!$A$9,$K$2=Data!$A$2),SUMIFS(Proventos!$H:$H,Proventos!$D:$D,"&gt;="&amp;CONCATENATE($I$6,"/",B66),Proventos!$D:$D,"&lt;"&amp;CONCATENATE($J$6,"/",B66),Proventos!$J:$J,"="&amp;$H$2),
AND($H$2=Data!$A$10,$K$2=Data!$A$2),SUMIFS(Proventos!$H:$H,Proventos!$D:$D,"&gt;="&amp;CONCATENATE($I$6,"/",B66),Proventos!$D:$D,"&lt;"&amp;CONCATENATE($J$6,"/",B66),Proventos!$J:$J,"="&amp;$H$2),
AND($H$2=Data!$A$11,$K$2=Data!$A$2),SUMIFS(Proventos!$H:$H,Proventos!$D:$D,"&gt;="&amp;CONCATENATE($I$6,"/",B66),Proventos!$D:$D,"&lt;"&amp;CONCATENATE($J$6,"/",B66),Proventos!$J:$J,"="&amp;$H$2),
$K$2=Data!$A$2,SUMIFS(Proventos!$H:$H,Proventos!$D:$D,"&gt;="&amp;CONCATENATE($I$6,"/",B66),Proventos!$D:$D,"&lt;"&amp;CONCATENATE($J$6,"/",B66)),
$K$2&lt;&gt;Data!$A$2,SUMIFS(Proventos!$H:$H,Proventos!$D:$D,"&gt;="&amp;CONCATENATE($I$6,"/",B66),Proventos!$D:$D,"&lt;"&amp;CONCATENATE($J$6,"/",B66),Proventos!$A:$A,"="&amp;$K$2))</f>
        <v>0</v>
      </c>
      <c r="J66" s="245">
        <f>IFS(
AND($H$2=Data!$A$3,$K$2=Data!$A$2),SUMIFS(Proventos!$H:$H,Proventos!$D:$D,"&gt;="&amp;CONCATENATE($J$6,"/",B66),Proventos!$D:$D,"&lt;"&amp;CONCATENATE($K$6,"/",B66),Proventos!$J:$J,"="&amp;$H$2),
AND($H$2=Data!$A$4,$K$2=Data!$A$2),SUMIFS(Proventos!$H:$H,Proventos!$D:$D,"&gt;="&amp;CONCATENATE($J$6,"/",B66),Proventos!$D:$D,"&lt;"&amp;CONCATENATE($K$6,"/",B66),Proventos!$J:$J,"="&amp;$H$2),
AND($H$2=Data!$A$5,$K$2=Data!$A$2),SUMIFS(Proventos!$H:$H,Proventos!$D:$D,"&gt;="&amp;CONCATENATE($J$6,"/",B66),Proventos!$D:$D,"&lt;"&amp;CONCATENATE($K$6,"/",B66),Proventos!$J:$J,"="&amp;$H$2),
AND($H$2=Data!$A$6,$K$2=Data!$A$2),SUMIFS(Proventos!$H:$H,Proventos!$D:$D,"&gt;="&amp;CONCATENATE($J$6,"/",B66),Proventos!$D:$D,"&lt;"&amp;CONCATENATE($K$6,"/",B66),Proventos!$J:$J,"="&amp;$H$2),
AND($H$2=Data!$A$7,$K$2=Data!$A$2),SUMIFS(Proventos!$H:$H,Proventos!$D:$D,"&gt;="&amp;CONCATENATE($J$6,"/",B66),Proventos!$D:$D,"&lt;"&amp;CONCATENATE($K$6,"/",B66),Proventos!$J:$J,"="&amp;$H$2),
AND($H$2=Data!$A$8,$K$2=Data!$A$2),SUMIFS(Proventos!$H:$H,Proventos!$D:$D,"&gt;="&amp;CONCATENATE($J$6,"/",B66),Proventos!$D:$D,"&lt;"&amp;CONCATENATE($K$6,"/",B66),Proventos!$J:$J,"="&amp;$H$2),
AND($H$2=Data!$A$9,$K$2=Data!$A$2),SUMIFS(Proventos!$H:$H,Proventos!$D:$D,"&gt;="&amp;CONCATENATE($J$6,"/",B66),Proventos!$D:$D,"&lt;"&amp;CONCATENATE($K$6,"/",B66),Proventos!$J:$J,"="&amp;$H$2),
AND($H$2=Data!$A$10,$K$2=Data!$A$2),SUMIFS(Proventos!$H:$H,Proventos!$D:$D,"&gt;="&amp;CONCATENATE($J$6,"/",B66),Proventos!$D:$D,"&lt;"&amp;CONCATENATE($K$6,"/",B66),Proventos!$J:$J,"="&amp;$H$2),
AND($H$2=Data!$A$11,$K$2=Data!$A$2),SUMIFS(Proventos!$H:$H,Proventos!$D:$D,"&gt;="&amp;CONCATENATE($J$6,"/",B66),Proventos!$D:$D,"&lt;"&amp;CONCATENATE($K$6,"/",B66),Proventos!$J:$J,"="&amp;$H$2),
$K$2=Data!$A$2,SUMIFS(Proventos!$H:$H,Proventos!$D:$D,"&gt;="&amp;CONCATENATE($J$6,"/",B66),Proventos!$D:$D,"&lt;"&amp;CONCATENATE($K$6,"/",B66)),
$K$2&lt;&gt;Data!$A$2,SUMIFS(Proventos!$H:$H,Proventos!$D:$D,"&gt;="&amp;CONCATENATE($J$6,"/",B66),Proventos!$D:$D,"&lt;"&amp;CONCATENATE($K$6,"/",B66),Proventos!$A:$A,"="&amp;$K$2))</f>
        <v>0</v>
      </c>
      <c r="K66" s="245">
        <f>IFS(
AND($H$2=Data!$A$3,$K$2=Data!$A$2),SUMIFS(Proventos!$H:$H,Proventos!$D:$D,"&gt;="&amp;CONCATENATE($K$6,"/",B66),Proventos!$D:$D,"&lt;"&amp;CONCATENATE($L$6,"/",B66),Proventos!$J:$J,"="&amp;$H$2),
AND($H$2=Data!$A$4,$K$2=Data!$A$2),SUMIFS(Proventos!$H:$H,Proventos!$D:$D,"&gt;="&amp;CONCATENATE($K$6,"/",B66),Proventos!$D:$D,"&lt;"&amp;CONCATENATE($L$6,"/",B66),Proventos!$J:$J,"="&amp;$H$2),
AND($H$2=Data!$A$5,$K$2=Data!$A$2),SUMIFS(Proventos!$H:$H,Proventos!$D:$D,"&gt;="&amp;CONCATENATE($K$6,"/",B66),Proventos!$D:$D,"&lt;"&amp;CONCATENATE($L$6,"/",B66),Proventos!$J:$J,"="&amp;$H$2),
AND($H$2=Data!$A$6,$K$2=Data!$A$2),SUMIFS(Proventos!$H:$H,Proventos!$D:$D,"&gt;="&amp;CONCATENATE($K$6,"/",B66),Proventos!$D:$D,"&lt;"&amp;CONCATENATE($L$6,"/",B66),Proventos!$J:$J,"="&amp;$H$2),
AND($H$2=Data!$A$7,$K$2=Data!$A$2),SUMIFS(Proventos!$H:$H,Proventos!$D:$D,"&gt;="&amp;CONCATENATE($K$6,"/",B66),Proventos!$D:$D,"&lt;"&amp;CONCATENATE($L$6,"/",B66),Proventos!$J:$J,"="&amp;$H$2),
AND($H$2=Data!$A$8,$K$2=Data!$A$2),SUMIFS(Proventos!$H:$H,Proventos!$D:$D,"&gt;="&amp;CONCATENATE($K$6,"/",B66),Proventos!$D:$D,"&lt;"&amp;CONCATENATE($L$6,"/",B66),Proventos!$J:$J,"="&amp;$H$2),
AND($H$2=Data!$A$9,$K$2=Data!$A$2),SUMIFS(Proventos!$H:$H,Proventos!$D:$D,"&gt;="&amp;CONCATENATE($K$6,"/",B66),Proventos!$D:$D,"&lt;"&amp;CONCATENATE($L$6,"/",B66),Proventos!$J:$J,"="&amp;$H$2),
AND($H$2=Data!$A$10,$K$2=Data!$A$2),SUMIFS(Proventos!$H:$H,Proventos!$D:$D,"&gt;="&amp;CONCATENATE($K$6,"/",B66),Proventos!$D:$D,"&lt;"&amp;CONCATENATE($L$6,"/",B66),Proventos!$J:$J,"="&amp;$H$2),
AND($H$2=Data!$A$11,$K$2=Data!$A$2),SUMIFS(Proventos!$H:$H,Proventos!$D:$D,"&gt;="&amp;CONCATENATE($K$6,"/",B66),Proventos!$D:$D,"&lt;"&amp;CONCATENATE($L$6,"/",B66),Proventos!$J:$J,"="&amp;$H$2),
$K$2=Data!$A$2,SUMIFS(Proventos!$H:$H,Proventos!$D:$D,"&gt;="&amp;CONCATENATE($K$6,"/",B66),Proventos!$D:$D,"&lt;"&amp;CONCATENATE($L$6,"/",B66)),
$K$2&lt;&gt;Data!$A$2,SUMIFS(Proventos!$H:$H,Proventos!$D:$D,"&gt;="&amp;CONCATENATE($K$6,"/",B66),Proventos!$D:$D,"&lt;"&amp;CONCATENATE($L$6,"/",B66),Proventos!$A:$A,"="&amp;$K$2))</f>
        <v>0</v>
      </c>
      <c r="L66" s="245">
        <f>IFS(
AND($H$2=Data!$A$3,$K$2=Data!$A$2),SUMIFS(Proventos!$H:$H,Proventos!$D:$D,"&gt;="&amp;CONCATENATE($L$6,"/",B66),Proventos!$D:$D,"&lt;"&amp;CONCATENATE($M$6,"/",B66),Proventos!$J:$J,"="&amp;$H$2),
AND($H$2=Data!$A$4,$K$2=Data!$A$2),SUMIFS(Proventos!$H:$H,Proventos!$D:$D,"&gt;="&amp;CONCATENATE($L$6,"/",B66),Proventos!$D:$D,"&lt;"&amp;CONCATENATE($M$6,"/",B66),Proventos!$J:$J,"="&amp;$H$2),
AND($H$2=Data!$A$5,$K$2=Data!$A$2),SUMIFS(Proventos!$H:$H,Proventos!$D:$D,"&gt;="&amp;CONCATENATE($L$6,"/",B66),Proventos!$D:$D,"&lt;"&amp;CONCATENATE($M$6,"/",B66),Proventos!$J:$J,"="&amp;$H$2),
AND($H$2=Data!$A$6,$K$2=Data!$A$2),SUMIFS(Proventos!$H:$H,Proventos!$D:$D,"&gt;="&amp;CONCATENATE($L$6,"/",B66),Proventos!$D:$D,"&lt;"&amp;CONCATENATE($M$6,"/",B66),Proventos!$J:$J,"="&amp;$H$2),
AND($H$2=Data!$A$7,$K$2=Data!$A$2),SUMIFS(Proventos!$H:$H,Proventos!$D:$D,"&gt;="&amp;CONCATENATE($L$6,"/",B66),Proventos!$D:$D,"&lt;"&amp;CONCATENATE($M$6,"/",B66),Proventos!$J:$J,"="&amp;$H$2),
AND($H$2=Data!$A$8,$K$2=Data!$A$2),SUMIFS(Proventos!$H:$H,Proventos!$D:$D,"&gt;="&amp;CONCATENATE($L$6,"/",B66),Proventos!$D:$D,"&lt;"&amp;CONCATENATE($M$6,"/",B66),Proventos!$J:$J,"="&amp;$H$2),
AND($H$2=Data!$A$9,$K$2=Data!$A$2),SUMIFS(Proventos!$H:$H,Proventos!$D:$D,"&gt;="&amp;CONCATENATE($L$6,"/",B66),Proventos!$D:$D,"&lt;"&amp;CONCATENATE($M$6,"/",B66),Proventos!$J:$J,"="&amp;$H$2),
AND($H$2=Data!$A$10,$K$2=Data!$A$2),SUMIFS(Proventos!$H:$H,Proventos!$D:$D,"&gt;="&amp;CONCATENATE($L$6,"/",B66),Proventos!$D:$D,"&lt;"&amp;CONCATENATE($M$6,"/",B66),Proventos!$J:$J,"="&amp;$H$2),
AND($H$2=Data!$A$11,$K$2=Data!$A$2),SUMIFS(Proventos!$H:$H,Proventos!$D:$D,"&gt;="&amp;CONCATENATE($L$6,"/",B66),Proventos!$D:$D,"&lt;"&amp;CONCATENATE($M$6,"/",B66),Proventos!$J:$J,"="&amp;$H$2),
$K$2=Data!$A$2,SUMIFS(Proventos!$H:$H,Proventos!$D:$D,"&gt;="&amp;CONCATENATE($L$6,"/",B66),Proventos!$D:$D,"&lt;"&amp;CONCATENATE($M$6,"/",B66)),
$K$2&lt;&gt;Data!$A$2,SUMIFS(Proventos!$H:$H,Proventos!$D:$D,"&gt;="&amp;CONCATENATE($L$6,"/",B66),Proventos!$D:$D,"&lt;"&amp;CONCATENATE($M$6,"/",B66),Proventos!$A:$A,"="&amp;$K$2))</f>
        <v>0</v>
      </c>
      <c r="M66" s="245">
        <f>IFS(
AND($H$2=Data!$A$3,$K$2=Data!$A$2),SUMIFS(Proventos!$H:$H,Proventos!$D:$D,"&gt;="&amp;CONCATENATE($M$6,"/",B66),Proventos!$D:$D,"&lt;"&amp;CONCATENATE($N$6,"/",B66),Proventos!$J:$J,"="&amp;$H$2),
AND($H$2=Data!$A$4,$K$2=Data!$A$2),SUMIFS(Proventos!$H:$H,Proventos!$D:$D,"&gt;="&amp;CONCATENATE($M$6,"/",B66),Proventos!$D:$D,"&lt;"&amp;CONCATENATE($N$6,"/",B66),Proventos!$J:$J,"="&amp;$H$2),
AND($H$2=Data!$A$5,$K$2=Data!$A$2),SUMIFS(Proventos!$H:$H,Proventos!$D:$D,"&gt;="&amp;CONCATENATE($M$6,"/",B66),Proventos!$D:$D,"&lt;"&amp;CONCATENATE($N$6,"/",B66),Proventos!$J:$J,"="&amp;$H$2),
AND($H$2=Data!$A$6,$K$2=Data!$A$2),SUMIFS(Proventos!$H:$H,Proventos!$D:$D,"&gt;="&amp;CONCATENATE($M$6,"/",B66),Proventos!$D:$D,"&lt;"&amp;CONCATENATE($N$6,"/",B66),Proventos!$J:$J,"="&amp;$H$2),
AND($H$2=Data!$A$7,$K$2=Data!$A$2),SUMIFS(Proventos!$H:$H,Proventos!$D:$D,"&gt;="&amp;CONCATENATE($M$6,"/",B66),Proventos!$D:$D,"&lt;"&amp;CONCATENATE($N$6,"/",B66),Proventos!$J:$J,"="&amp;$H$2),
AND($H$2=Data!$A$8,$K$2=Data!$A$2),SUMIFS(Proventos!$H:$H,Proventos!$D:$D,"&gt;="&amp;CONCATENATE($M$6,"/",B66),Proventos!$D:$D,"&lt;"&amp;CONCATENATE($N$6,"/",B66),Proventos!$J:$J,"="&amp;$H$2),
AND($H$2=Data!$A$9,$K$2=Data!$A$2),SUMIFS(Proventos!$H:$H,Proventos!$D:$D,"&gt;="&amp;CONCATENATE($M$6,"/",B66),Proventos!$D:$D,"&lt;"&amp;CONCATENATE($N$6,"/",B66),Proventos!$J:$J,"="&amp;$H$2),
AND($H$2=Data!$A$10,$K$2=Data!$A$2),SUMIFS(Proventos!$H:$H,Proventos!$D:$D,"&gt;="&amp;CONCATENATE($M$6,"/",B66),Proventos!$D:$D,"&lt;"&amp;CONCATENATE($N$6,"/",B66),Proventos!$J:$J,"="&amp;$H$2),
AND($H$2=Data!$A$11,$K$2=Data!$A$2),SUMIFS(Proventos!$H:$H,Proventos!$D:$D,"&gt;="&amp;CONCATENATE($M$6,"/",B66),Proventos!$D:$D,"&lt;"&amp;CONCATENATE($N$6,"/",B66),Proventos!$J:$J,"="&amp;$H$2),
$K$2=Data!$A$2,SUMIFS(Proventos!$H:$H,Proventos!$D:$D,"&gt;="&amp;CONCATENATE($M$6,"/",B66),Proventos!$D:$D,"&lt;"&amp;CONCATENATE($N$6,"/",B66)),
$K$2&lt;&gt;Data!$A$2,SUMIFS(Proventos!$H:$H,Proventos!$D:$D,"&gt;="&amp;CONCATENATE($M$6,"/",B66),Proventos!$D:$D,"&lt;"&amp;CONCATENATE($N$6,"/",B66),Proventos!$A:$A,"="&amp;$K$2))</f>
        <v>0</v>
      </c>
      <c r="N66" s="245">
        <f>IFS(
AND($H$2=Data!$A$3,$K$2=Data!$A$2),SUMIFS(Proventos!$H:$H,Proventos!$D:$D,"&gt;="&amp;CONCATENATE($N$6,"/",B66),Proventos!$D:$D,"&lt;"&amp;CONCATENATE($C$6,"/",B67),Proventos!$J:$J,"="&amp;$H$2),
AND($H$2=Data!$A$4,$K$2=Data!$A$2),SUMIFS(Proventos!$H:$H,Proventos!$D:$D,"&gt;="&amp;CONCATENATE($N$6,"/",B66),Proventos!$D:$D,"&lt;"&amp;CONCATENATE($C$6,"/",B67),Proventos!$J:$J,"="&amp;$H$2),
AND($H$2=Data!$A$5,$K$2=Data!$A$2),SUMIFS(Proventos!$H:$H,Proventos!$D:$D,"&gt;="&amp;CONCATENATE($N$6,"/",B66),Proventos!$D:$D,"&lt;"&amp;CONCATENATE($C$6,"/",B67),Proventos!$J:$J,"="&amp;$H$2),
AND($H$2=Data!$A$6,$K$2=Data!$A$2),SUMIFS(Proventos!$H:$H,Proventos!$D:$D,"&gt;="&amp;CONCATENATE($N$6,"/",B66),Proventos!$D:$D,"&lt;"&amp;CONCATENATE($C$6,"/",B67),Proventos!$J:$J,"="&amp;$H$2),
AND($H$2=Data!$A$7,$K$2=Data!$A$2),SUMIFS(Proventos!$H:$H,Proventos!$D:$D,"&gt;="&amp;CONCATENATE($N$6,"/",B66),Proventos!$D:$D,"&lt;"&amp;CONCATENATE($C$6,"/",B67),Proventos!$J:$J,"="&amp;$H$2),
AND($H$2=Data!$A$8,$K$2=Data!$A$2),SUMIFS(Proventos!$H:$H,Proventos!$D:$D,"&gt;="&amp;CONCATENATE($N$6,"/",B66),Proventos!$D:$D,"&lt;"&amp;CONCATENATE($C$6,"/",B67),Proventos!$J:$J,"="&amp;$H$2),
AND($H$2=Data!$A$9,$K$2=Data!$A$2),SUMIFS(Proventos!$H:$H,Proventos!$D:$D,"&gt;="&amp;CONCATENATE($N$6,"/",B66),Proventos!$D:$D,"&lt;"&amp;CONCATENATE($C$6,"/",B67),Proventos!$J:$J,"="&amp;$H$2),
AND($H$2=Data!$A$10,$K$2=Data!$A$2),SUMIFS(Proventos!$H:$H,Proventos!$D:$D,"&gt;="&amp;CONCATENATE($N$6,"/",B66),Proventos!$D:$D,"&lt;"&amp;CONCATENATE($C$6,"/",B67),Proventos!$J:$J,"="&amp;$H$2),
AND($H$2=Data!$A$11,$K$2=Data!$A$2),SUMIFS(Proventos!$H:$H,Proventos!$D:$D,"&gt;="&amp;CONCATENATE($N$6,"/",B66),Proventos!$D:$D,"&lt;"&amp;CONCATENATE($C$6,"/",B67),Proventos!$J:$J,"="&amp;$H$2),
$K$2=Data!$A$2,SUMIFS(Proventos!$H:$H,Proventos!$D:$D,"&gt;="&amp;CONCATENATE($N$6,"/",B66),Proventos!$D:$D,"&lt;"&amp;CONCATENATE($C$6,"/",B67)),
$K$2&lt;&gt;Data!$A$2,SUMIFS(Proventos!$H:$H,Proventos!$D:$D,"&gt;="&amp;CONCATENATE($N$6,"/",B66),Proventos!$D:$D,"&lt;"&amp;CONCATENATE($C$6,"/",B67),Proventos!$A:$A,"="&amp;$K$2))</f>
        <v>0</v>
      </c>
      <c r="O66" s="245"/>
      <c r="P66" s="245">
        <f t="shared" si="1"/>
        <v>0</v>
      </c>
      <c r="Q66" s="245">
        <f t="shared" si="2"/>
        <v>0</v>
      </c>
    </row>
    <row r="67" ht="32.25" customHeight="1">
      <c r="A67" s="230"/>
      <c r="B67" s="244"/>
      <c r="C67" s="245">
        <f>IFS(
AND($H$2=Data!$A$3,$K$2=Data!$A$2),SUMIFS(Proventos!$H:$H,Proventos!$D:$D,"&gt;="&amp;CONCATENATE($C$6,"/",B67),Proventos!$D:$D,"&lt;"&amp;CONCATENATE($D$6,"/",B67),Proventos!$J:$J,"="&amp;$H$2),
AND($H$2=Data!$A$4,$K$2=Data!$A$2),SUMIFS(Proventos!$H:$H,Proventos!$D:$D,"&gt;="&amp;CONCATENATE($C$6,"/",B67),Proventos!$D:$D,"&lt;"&amp;CONCATENATE($D$6,"/",B67),Proventos!$J:$J,"="&amp;$H$2),
AND($H$2=Data!$A$5,$K$2=Data!$A$2),SUMIFS(Proventos!$H:$H,Proventos!$D:$D,"&gt;="&amp;CONCATENATE($C$6,"/",B67),Proventos!$D:$D,"&lt;"&amp;CONCATENATE($D$6,"/",B67),Proventos!$J:$J,"="&amp;$H$2),
AND($H$2=Data!$A$6,$K$2=Data!$A$2),SUMIFS(Proventos!$H:$H,Proventos!$D:$D,"&gt;="&amp;CONCATENATE($C$6,"/",B67),Proventos!$D:$D,"&lt;"&amp;CONCATENATE($D$6,"/",B67),Proventos!$J:$J,"="&amp;$H$2),
AND($H$2=Data!$A$7,$K$2=Data!$A$2),SUMIFS(Proventos!$H:$H,Proventos!$D:$D,"&gt;="&amp;CONCATENATE($C$6,"/",B67),Proventos!$D:$D,"&lt;"&amp;CONCATENATE($D$6,"/",B67),Proventos!$J:$J,"="&amp;$H$2),
AND($H$2=Data!$A$8,$K$2=Data!$A$2),SUMIFS(Proventos!$H:$H,Proventos!$D:$D,"&gt;="&amp;CONCATENATE($C$6,"/",B67),Proventos!$D:$D,"&lt;"&amp;CONCATENATE($D$6,"/",B67),Proventos!$J:$J,"="&amp;$H$2),
AND($H$2=Data!$A$9,$K$2=Data!$A$2),SUMIFS(Proventos!$H:$H,Proventos!$D:$D,"&gt;="&amp;CONCATENATE($C$6,"/",B67),Proventos!$D:$D,"&lt;"&amp;CONCATENATE($D$6,"/",B67),Proventos!$J:$J,"="&amp;$H$2),
AND($H$2=Data!$A$10,$K$2=Data!$A$2),SUMIFS(Proventos!$H:$H,Proventos!$D:$D,"&gt;="&amp;CONCATENATE($C$6,"/",B67),Proventos!$D:$D,"&lt;"&amp;CONCATENATE($D$6,"/",B67),Proventos!$J:$J,"="&amp;$H$2),
AND($H$2=Data!$A$11,$K$2=Data!$A$2),SUMIFS(Proventos!$H:$H,Proventos!$D:$D,"&gt;="&amp;CONCATENATE($C$6,"/",B67),Proventos!$D:$D,"&lt;"&amp;CONCATENATE($D$6,"/",B67),Proventos!$J:$J,"="&amp;$H$2),
$K$2=Data!$A$2,SUMIFS(Proventos!$H:$H,Proventos!$D:$D,"&gt;="&amp;CONCATENATE($C$6,"/",B67),Proventos!$D:$D,"&lt;"&amp;CONCATENATE($D$6,"/",B67)),
$K$2&lt;&gt;Data!$A$2,SUMIFS(Proventos!$H:$H,Proventos!$D:$D,"&gt;="&amp;CONCATENATE($C$6,"/",B67),Proventos!$D:$D,"&lt;"&amp;CONCATENATE($D$6,"/",B67),Proventos!$A:$A,"="&amp;$K$2))</f>
        <v>0</v>
      </c>
      <c r="D67" s="245">
        <f>IFS(
AND($H$2=Data!$A$3,$K$2=Data!$A$2),SUMIFS(Proventos!$H:$H,Proventos!$D:$D,"&gt;="&amp;CONCATENATE($D$6,"/",B67),Proventos!$D:$D,"&lt;"&amp;CONCATENATE($E$6,"/",B67),Proventos!$J:$J,"="&amp;$H$2),
AND($H$2=Data!$A$4,$K$2=Data!$A$2),SUMIFS(Proventos!$H:$H,Proventos!$D:$D,"&gt;="&amp;CONCATENATE($D$6,"/",B67),Proventos!$D:$D,"&lt;"&amp;CONCATENATE($E$6,"/",B67),Proventos!$J:$J,"="&amp;$H$2),
AND($H$2=Data!$A$5,$K$2=Data!$A$2),SUMIFS(Proventos!$H:$H,Proventos!$D:$D,"&gt;="&amp;CONCATENATE($D$6,"/",B67),Proventos!$D:$D,"&lt;"&amp;CONCATENATE($E$6,"/",B67),Proventos!$J:$J,"="&amp;$H$2),
AND($H$2=Data!$A$6,$K$2=Data!$A$2),SUMIFS(Proventos!$H:$H,Proventos!$D:$D,"&gt;="&amp;CONCATENATE($D$6,"/",B67),Proventos!$D:$D,"&lt;"&amp;CONCATENATE($E$6,"/",B67),Proventos!$J:$J,"="&amp;$H$2),
AND($H$2=Data!$A$7,$K$2=Data!$A$2),SUMIFS(Proventos!$H:$H,Proventos!$D:$D,"&gt;="&amp;CONCATENATE($D$6,"/",B67),Proventos!$D:$D,"&lt;"&amp;CONCATENATE($E$6,"/",B67),Proventos!$J:$J,"="&amp;$H$2),
AND($H$2=Data!$A$8,$K$2=Data!$A$2),SUMIFS(Proventos!$H:$H,Proventos!$D:$D,"&gt;="&amp;CONCATENATE($D$6,"/",B67),Proventos!$D:$D,"&lt;"&amp;CONCATENATE($E$6,"/",B67),Proventos!$J:$J,"="&amp;$H$2),
AND($H$2=Data!$A$9,$K$2=Data!$A$2),SUMIFS(Proventos!$H:$H,Proventos!$D:$D,"&gt;="&amp;CONCATENATE($D$6,"/",B67),Proventos!$D:$D,"&lt;"&amp;CONCATENATE($E$6,"/",B67),Proventos!$J:$J,"="&amp;$H$2),
AND($H$2=Data!$A$10,$K$2=Data!$A$2),SUMIFS(Proventos!$H:$H,Proventos!$D:$D,"&gt;="&amp;CONCATENATE($D$6,"/",B67),Proventos!$D:$D,"&lt;"&amp;CONCATENATE($E$6,"/",B67),Proventos!$J:$J,"="&amp;$H$2),
AND($H$2=Data!$A$11,$K$2=Data!$A$2),SUMIFS(Proventos!$H:$H,Proventos!$D:$D,"&gt;="&amp;CONCATENATE($D$6,"/",B67),Proventos!$D:$D,"&lt;"&amp;CONCATENATE($E$6,"/",B67),Proventos!$J:$J,"="&amp;$H$2),
$K$2=Data!$A$2,SUMIFS(Proventos!$H:$H,Proventos!$D:$D,"&gt;="&amp;CONCATENATE($D$6,"/",B67),Proventos!$D:$D,"&lt;"&amp;CONCATENATE($E$6,"/",B67)),
$K$2&lt;&gt;Data!$A$2,SUMIFS(Proventos!$H:$H,Proventos!$D:$D,"&gt;="&amp;CONCATENATE($D$6,"/",B67),Proventos!$D:$D,"&lt;"&amp;CONCATENATE($E$6,"/",B67),Proventos!$A:$A,"="&amp;$K$2))</f>
        <v>0</v>
      </c>
      <c r="E67" s="245">
        <f>IFS(
AND($H$2=Data!$A$3,$K$2=Data!$A$2),SUMIFS(Proventos!$H:$H,Proventos!$D:$D,"&gt;="&amp;CONCATENATE($E$6,"/",B67),Proventos!$D:$D,"&lt;"&amp;CONCATENATE($F$6,"/",B67),Proventos!$J:$J,"="&amp;$H$2),
AND($H$2=Data!$A$4,$K$2=Data!$A$2),SUMIFS(Proventos!$H:$H,Proventos!$D:$D,"&gt;="&amp;CONCATENATE($E$6,"/",B67),Proventos!$D:$D,"&lt;"&amp;CONCATENATE($F$6,"/",B67),Proventos!$J:$J,"="&amp;$H$2),
AND($H$2=Data!$A$5,$K$2=Data!$A$2),SUMIFS(Proventos!$H:$H,Proventos!$D:$D,"&gt;="&amp;CONCATENATE($E$6,"/",B67),Proventos!$D:$D,"&lt;"&amp;CONCATENATE($F$6,"/",B67),Proventos!$J:$J,"="&amp;$H$2),
AND($H$2=Data!$A$6,$K$2=Data!$A$2),SUMIFS(Proventos!$H:$H,Proventos!$D:$D,"&gt;="&amp;CONCATENATE($E$6,"/",B67),Proventos!$D:$D,"&lt;"&amp;CONCATENATE($F$6,"/",B67),Proventos!$J:$J,"="&amp;$H$2),
AND($H$2=Data!$A$7,$K$2=Data!$A$2),SUMIFS(Proventos!$H:$H,Proventos!$D:$D,"&gt;="&amp;CONCATENATE($E$6,"/",B67),Proventos!$D:$D,"&lt;"&amp;CONCATENATE($F$6,"/",B67),Proventos!$J:$J,"="&amp;$H$2),
AND($H$2=Data!$A$8,$K$2=Data!$A$2),SUMIFS(Proventos!$H:$H,Proventos!$D:$D,"&gt;="&amp;CONCATENATE($E$6,"/",B67),Proventos!$D:$D,"&lt;"&amp;CONCATENATE($F$6,"/",B67),Proventos!$J:$J,"="&amp;$H$2),
AND($H$2=Data!$A$9,$K$2=Data!$A$2),SUMIFS(Proventos!$H:$H,Proventos!$D:$D,"&gt;="&amp;CONCATENATE($E$6,"/",B67),Proventos!$D:$D,"&lt;"&amp;CONCATENATE($F$6,"/",B67),Proventos!$J:$J,"="&amp;$H$2),
AND($H$2=Data!$A$10,$K$2=Data!$A$2),SUMIFS(Proventos!$H:$H,Proventos!$D:$D,"&gt;="&amp;CONCATENATE($E$6,"/",B67),Proventos!$D:$D,"&lt;"&amp;CONCATENATE($F$6,"/",B67),Proventos!$J:$J,"="&amp;$H$2),
AND($H$2=Data!$A$11,$K$2=Data!$A$2),SUMIFS(Proventos!$H:$H,Proventos!$D:$D,"&gt;="&amp;CONCATENATE($E$6,"/",B67),Proventos!$D:$D,"&lt;"&amp;CONCATENATE($F$6,"/",B67),Proventos!$J:$J,"="&amp;$H$2),
$K$2=Data!$A$2,SUMIFS(Proventos!$H:$H,Proventos!$D:$D,"&gt;="&amp;CONCATENATE($E$6,"/",B67),Proventos!$D:$D,"&lt;"&amp;CONCATENATE($F$6,"/",B67)),
$K$2&lt;&gt;Data!$A$2,SUMIFS(Proventos!$H:$H,Proventos!$D:$D,"&gt;="&amp;CONCATENATE($E$6,"/",B67),Proventos!$D:$D,"&lt;"&amp;CONCATENATE($F$6,"/",B67),Proventos!$A:$A,"="&amp;$K$2))</f>
        <v>0</v>
      </c>
      <c r="F67" s="245">
        <f>IFS(
AND($H$2=Data!$A$3,$K$2=Data!$A$2),SUMIFS(Proventos!$H:$H,Proventos!$D:$D,"&gt;="&amp;CONCATENATE($F$6,"/",B67),Proventos!$D:$D,"&lt;"&amp;CONCATENATE($G$6,"/",B67),Proventos!$J:$J,"="&amp;$H$2),
AND($H$2=Data!$A$4,$K$2=Data!$A$2),SUMIFS(Proventos!$H:$H,Proventos!$D:$D,"&gt;="&amp;CONCATENATE($F$6,"/",B67),Proventos!$D:$D,"&lt;"&amp;CONCATENATE($G$6,"/",B67),Proventos!$J:$J,"="&amp;$H$2),
AND($H$2=Data!$A$5,$K$2=Data!$A$2),SUMIFS(Proventos!$H:$H,Proventos!$D:$D,"&gt;="&amp;CONCATENATE($F$6,"/",B67),Proventos!$D:$D,"&lt;"&amp;CONCATENATE($G$6,"/",B67),Proventos!$J:$J,"="&amp;$H$2),
AND($H$2=Data!$A$6,$K$2=Data!$A$2),SUMIFS(Proventos!$H:$H,Proventos!$D:$D,"&gt;="&amp;CONCATENATE($F$6,"/",B67),Proventos!$D:$D,"&lt;"&amp;CONCATENATE($G$6,"/",B67),Proventos!$J:$J,"="&amp;$H$2),
AND($H$2=Data!$A$7,$K$2=Data!$A$2),SUMIFS(Proventos!$H:$H,Proventos!$D:$D,"&gt;="&amp;CONCATENATE($F$6,"/",B67),Proventos!$D:$D,"&lt;"&amp;CONCATENATE($G$6,"/",B67),Proventos!$J:$J,"="&amp;$H$2),
AND($H$2=Data!$A$8,$K$2=Data!$A$2),SUMIFS(Proventos!$H:$H,Proventos!$D:$D,"&gt;="&amp;CONCATENATE($F$6,"/",B67),Proventos!$D:$D,"&lt;"&amp;CONCATENATE($G$6,"/",B67),Proventos!$J:$J,"="&amp;$H$2),
AND($H$2=Data!$A$9,$K$2=Data!$A$2),SUMIFS(Proventos!$H:$H,Proventos!$D:$D,"&gt;="&amp;CONCATENATE($F$6,"/",B67),Proventos!$D:$D,"&lt;"&amp;CONCATENATE($G$6,"/",B67),Proventos!$J:$J,"="&amp;$H$2),
AND($H$2=Data!$A$10,$K$2=Data!$A$2),SUMIFS(Proventos!$H:$H,Proventos!$D:$D,"&gt;="&amp;CONCATENATE($F$6,"/",B67),Proventos!$D:$D,"&lt;"&amp;CONCATENATE($G$6,"/",B67),Proventos!$J:$J,"="&amp;$H$2),
AND($H$2=Data!$A$11,$K$2=Data!$A$2),SUMIFS(Proventos!$H:$H,Proventos!$D:$D,"&gt;="&amp;CONCATENATE($F$6,"/",B67),Proventos!$D:$D,"&lt;"&amp;CONCATENATE($G$6,"/",B67),Proventos!$J:$J,"="&amp;$H$2),
$K$2=Data!$A$2,SUMIFS(Proventos!$H:$H,Proventos!$D:$D,"&gt;="&amp;CONCATENATE($F$6,"/",B67),Proventos!$D:$D,"&lt;"&amp;CONCATENATE($G$6,"/",B67)),
$K$2&lt;&gt;Data!$A$2,SUMIFS(Proventos!$H:$H,Proventos!$D:$D,"&gt;="&amp;CONCATENATE($F$6,"/",B67),Proventos!$D:$D,"&lt;"&amp;CONCATENATE($G$6,"/",B67),Proventos!$A:$A,"="&amp;$K$2))</f>
        <v>0</v>
      </c>
      <c r="G67" s="245">
        <f>IFS(
AND($H$2=Data!$A$3,$K$2=Data!$A$2),SUMIFS(Proventos!$H:$H,Proventos!$D:$D,"&gt;="&amp;CONCATENATE($G$6,"/",B67),Proventos!$D:$D,"&lt;"&amp;CONCATENATE($H$6,"/",B67),Proventos!$J:$J,"="&amp;$H$2),
AND($H$2=Data!$A$4,$K$2=Data!$A$2),SUMIFS(Proventos!$H:$H,Proventos!$D:$D,"&gt;="&amp;CONCATENATE($G$6,"/",B67),Proventos!$D:$D,"&lt;"&amp;CONCATENATE($H$6,"/",B67),Proventos!$J:$J,"="&amp;$H$2),
AND($H$2=Data!$A$5,$K$2=Data!$A$2),SUMIFS(Proventos!$H:$H,Proventos!$D:$D,"&gt;="&amp;CONCATENATE($G$6,"/",B67),Proventos!$D:$D,"&lt;"&amp;CONCATENATE($H$6,"/",B67),Proventos!$J:$J,"="&amp;$H$2),
AND($H$2=Data!$A$6,$K$2=Data!$A$2),SUMIFS(Proventos!$H:$H,Proventos!$D:$D,"&gt;="&amp;CONCATENATE($G$6,"/",B67),Proventos!$D:$D,"&lt;"&amp;CONCATENATE($H$6,"/",B67),Proventos!$J:$J,"="&amp;$H$2),
AND($H$2=Data!$A$7,$K$2=Data!$A$2),SUMIFS(Proventos!$H:$H,Proventos!$D:$D,"&gt;="&amp;CONCATENATE($G$6,"/",B67),Proventos!$D:$D,"&lt;"&amp;CONCATENATE($H$6,"/",B67),Proventos!$J:$J,"="&amp;$H$2),
AND($H$2=Data!$A$8,$K$2=Data!$A$2),SUMIFS(Proventos!$H:$H,Proventos!$D:$D,"&gt;="&amp;CONCATENATE($G$6,"/",B67),Proventos!$D:$D,"&lt;"&amp;CONCATENATE($H$6,"/",B67),Proventos!$J:$J,"="&amp;$H$2),
AND($H$2=Data!$A$9,$K$2=Data!$A$2),SUMIFS(Proventos!$H:$H,Proventos!$D:$D,"&gt;="&amp;CONCATENATE($G$6,"/",B67),Proventos!$D:$D,"&lt;"&amp;CONCATENATE($H$6,"/",B67),Proventos!$J:$J,"="&amp;$H$2),
AND($H$2=Data!$A$10,$K$2=Data!$A$2),SUMIFS(Proventos!$H:$H,Proventos!$D:$D,"&gt;="&amp;CONCATENATE($G$6,"/",B67),Proventos!$D:$D,"&lt;"&amp;CONCATENATE($H$6,"/",B67),Proventos!$J:$J,"="&amp;$H$2),
AND($H$2=Data!$A$11,$K$2=Data!$A$2),SUMIFS(Proventos!$H:$H,Proventos!$D:$D,"&gt;="&amp;CONCATENATE($G$6,"/",B67),Proventos!$D:$D,"&lt;"&amp;CONCATENATE($H$6,"/",B67),Proventos!$J:$J,"="&amp;$H$2),
$K$2=Data!$A$2,SUMIFS(Proventos!$H:$H,Proventos!$D:$D,"&gt;="&amp;CONCATENATE($G$6,"/",B67),Proventos!$D:$D,"&lt;"&amp;CONCATENATE($H$6,"/",B67)),
$K$2&lt;&gt;Data!$A$2,SUMIFS(Proventos!$H:$H,Proventos!$D:$D,"&gt;="&amp;CONCATENATE($G$6,"/",B67),Proventos!$D:$D,"&lt;"&amp;CONCATENATE($H$6,"/",B67),Proventos!$A:$A,"="&amp;$K$2))</f>
        <v>0</v>
      </c>
      <c r="H67" s="245">
        <f>IFS(
AND($H$2=Data!$A$3,$K$2=Data!$A$2),SUMIFS(Proventos!$H:$H,Proventos!$D:$D,"&gt;="&amp;CONCATENATE($H$6,"/",B67),Proventos!$D:$D,"&lt;"&amp;CONCATENATE($I$6,"/",B67),Proventos!$J:$J,"="&amp;$H$2),
AND($H$2=Data!$A$4,$K$2=Data!$A$2),SUMIFS(Proventos!$H:$H,Proventos!$D:$D,"&gt;="&amp;CONCATENATE($H$6,"/",B67),Proventos!$D:$D,"&lt;"&amp;CONCATENATE($I$6,"/",B67),Proventos!$J:$J,"="&amp;$H$2),
AND($H$2=Data!$A$5,$K$2=Data!$A$2),SUMIFS(Proventos!$H:$H,Proventos!$D:$D,"&gt;="&amp;CONCATENATE($H$6,"/",B67),Proventos!$D:$D,"&lt;"&amp;CONCATENATE($I$6,"/",B67),Proventos!$J:$J,"="&amp;$H$2),
AND($H$2=Data!$A$6,$K$2=Data!$A$2),SUMIFS(Proventos!$H:$H,Proventos!$D:$D,"&gt;="&amp;CONCATENATE($H$6,"/",B67),Proventos!$D:$D,"&lt;"&amp;CONCATENATE($I$6,"/",B67),Proventos!$J:$J,"="&amp;$H$2),
AND($H$2=Data!$A$7,$K$2=Data!$A$2),SUMIFS(Proventos!$H:$H,Proventos!$D:$D,"&gt;="&amp;CONCATENATE($H$6,"/",B67),Proventos!$D:$D,"&lt;"&amp;CONCATENATE($I$6,"/",B67),Proventos!$J:$J,"="&amp;$H$2),
AND($H$2=Data!$A$8,$K$2=Data!$A$2),SUMIFS(Proventos!$H:$H,Proventos!$D:$D,"&gt;="&amp;CONCATENATE($H$6,"/",B67),Proventos!$D:$D,"&lt;"&amp;CONCATENATE($I$6,"/",B67),Proventos!$J:$J,"="&amp;$H$2),
AND($H$2=Data!$A$9,$K$2=Data!$A$2),SUMIFS(Proventos!$H:$H,Proventos!$D:$D,"&gt;="&amp;CONCATENATE($H$6,"/",B67),Proventos!$D:$D,"&lt;"&amp;CONCATENATE($I$6,"/",B67),Proventos!$J:$J,"="&amp;$H$2),
AND($H$2=Data!$A$10,$K$2=Data!$A$2),SUMIFS(Proventos!$H:$H,Proventos!$D:$D,"&gt;="&amp;CONCATENATE($H$6,"/",B67),Proventos!$D:$D,"&lt;"&amp;CONCATENATE($I$6,"/",B67),Proventos!$J:$J,"="&amp;$H$2),
AND($H$2=Data!$A$11,$K$2=Data!$A$2),SUMIFS(Proventos!$H:$H,Proventos!$D:$D,"&gt;="&amp;CONCATENATE($H$6,"/",B67),Proventos!$D:$D,"&lt;"&amp;CONCATENATE($I$6,"/",B67),Proventos!$J:$J,"="&amp;$H$2),
$K$2=Data!$A$2,SUMIFS(Proventos!$H:$H,Proventos!$D:$D,"&gt;="&amp;CONCATENATE($H$6,"/",B67),Proventos!$D:$D,"&lt;"&amp;CONCATENATE($I$6,"/",B67)),
$K$2&lt;&gt;Data!$A$2,SUMIFS(Proventos!$H:$H,Proventos!$D:$D,"&gt;="&amp;CONCATENATE($H$6,"/",B67),Proventos!$D:$D,"&lt;"&amp;CONCATENATE($I$6,"/",B67),Proventos!$A:$A,"="&amp;$K$2))</f>
        <v>0</v>
      </c>
      <c r="I67" s="245">
        <f>IFS(
AND($H$2=Data!$A$3,$K$2=Data!$A$2),SUMIFS(Proventos!$H:$H,Proventos!$D:$D,"&gt;="&amp;CONCATENATE($I$6,"/",B67),Proventos!$D:$D,"&lt;"&amp;CONCATENATE($J$6,"/",B67),Proventos!$J:$J,"="&amp;$H$2),
AND($H$2=Data!$A$4,$K$2=Data!$A$2),SUMIFS(Proventos!$H:$H,Proventos!$D:$D,"&gt;="&amp;CONCATENATE($I$6,"/",B67),Proventos!$D:$D,"&lt;"&amp;CONCATENATE($J$6,"/",B67),Proventos!$J:$J,"="&amp;$H$2),
AND($H$2=Data!$A$5,$K$2=Data!$A$2),SUMIFS(Proventos!$H:$H,Proventos!$D:$D,"&gt;="&amp;CONCATENATE($I$6,"/",B67),Proventos!$D:$D,"&lt;"&amp;CONCATENATE($J$6,"/",B67),Proventos!$J:$J,"="&amp;$H$2),
AND($H$2=Data!$A$6,$K$2=Data!$A$2),SUMIFS(Proventos!$H:$H,Proventos!$D:$D,"&gt;="&amp;CONCATENATE($I$6,"/",B67),Proventos!$D:$D,"&lt;"&amp;CONCATENATE($J$6,"/",B67),Proventos!$J:$J,"="&amp;$H$2),
AND($H$2=Data!$A$7,$K$2=Data!$A$2),SUMIFS(Proventos!$H:$H,Proventos!$D:$D,"&gt;="&amp;CONCATENATE($I$6,"/",B67),Proventos!$D:$D,"&lt;"&amp;CONCATENATE($J$6,"/",B67),Proventos!$J:$J,"="&amp;$H$2),
AND($H$2=Data!$A$8,$K$2=Data!$A$2),SUMIFS(Proventos!$H:$H,Proventos!$D:$D,"&gt;="&amp;CONCATENATE($I$6,"/",B67),Proventos!$D:$D,"&lt;"&amp;CONCATENATE($J$6,"/",B67),Proventos!$J:$J,"="&amp;$H$2),
AND($H$2=Data!$A$9,$K$2=Data!$A$2),SUMIFS(Proventos!$H:$H,Proventos!$D:$D,"&gt;="&amp;CONCATENATE($I$6,"/",B67),Proventos!$D:$D,"&lt;"&amp;CONCATENATE($J$6,"/",B67),Proventos!$J:$J,"="&amp;$H$2),
AND($H$2=Data!$A$10,$K$2=Data!$A$2),SUMIFS(Proventos!$H:$H,Proventos!$D:$D,"&gt;="&amp;CONCATENATE($I$6,"/",B67),Proventos!$D:$D,"&lt;"&amp;CONCATENATE($J$6,"/",B67),Proventos!$J:$J,"="&amp;$H$2),
AND($H$2=Data!$A$11,$K$2=Data!$A$2),SUMIFS(Proventos!$H:$H,Proventos!$D:$D,"&gt;="&amp;CONCATENATE($I$6,"/",B67),Proventos!$D:$D,"&lt;"&amp;CONCATENATE($J$6,"/",B67),Proventos!$J:$J,"="&amp;$H$2),
$K$2=Data!$A$2,SUMIFS(Proventos!$H:$H,Proventos!$D:$D,"&gt;="&amp;CONCATENATE($I$6,"/",B67),Proventos!$D:$D,"&lt;"&amp;CONCATENATE($J$6,"/",B67)),
$K$2&lt;&gt;Data!$A$2,SUMIFS(Proventos!$H:$H,Proventos!$D:$D,"&gt;="&amp;CONCATENATE($I$6,"/",B67),Proventos!$D:$D,"&lt;"&amp;CONCATENATE($J$6,"/",B67),Proventos!$A:$A,"="&amp;$K$2))</f>
        <v>0</v>
      </c>
      <c r="J67" s="245">
        <f>IFS(
AND($H$2=Data!$A$3,$K$2=Data!$A$2),SUMIFS(Proventos!$H:$H,Proventos!$D:$D,"&gt;="&amp;CONCATENATE($J$6,"/",B67),Proventos!$D:$D,"&lt;"&amp;CONCATENATE($K$6,"/",B67),Proventos!$J:$J,"="&amp;$H$2),
AND($H$2=Data!$A$4,$K$2=Data!$A$2),SUMIFS(Proventos!$H:$H,Proventos!$D:$D,"&gt;="&amp;CONCATENATE($J$6,"/",B67),Proventos!$D:$D,"&lt;"&amp;CONCATENATE($K$6,"/",B67),Proventos!$J:$J,"="&amp;$H$2),
AND($H$2=Data!$A$5,$K$2=Data!$A$2),SUMIFS(Proventos!$H:$H,Proventos!$D:$D,"&gt;="&amp;CONCATENATE($J$6,"/",B67),Proventos!$D:$D,"&lt;"&amp;CONCATENATE($K$6,"/",B67),Proventos!$J:$J,"="&amp;$H$2),
AND($H$2=Data!$A$6,$K$2=Data!$A$2),SUMIFS(Proventos!$H:$H,Proventos!$D:$D,"&gt;="&amp;CONCATENATE($J$6,"/",B67),Proventos!$D:$D,"&lt;"&amp;CONCATENATE($K$6,"/",B67),Proventos!$J:$J,"="&amp;$H$2),
AND($H$2=Data!$A$7,$K$2=Data!$A$2),SUMIFS(Proventos!$H:$H,Proventos!$D:$D,"&gt;="&amp;CONCATENATE($J$6,"/",B67),Proventos!$D:$D,"&lt;"&amp;CONCATENATE($K$6,"/",B67),Proventos!$J:$J,"="&amp;$H$2),
AND($H$2=Data!$A$8,$K$2=Data!$A$2),SUMIFS(Proventos!$H:$H,Proventos!$D:$D,"&gt;="&amp;CONCATENATE($J$6,"/",B67),Proventos!$D:$D,"&lt;"&amp;CONCATENATE($K$6,"/",B67),Proventos!$J:$J,"="&amp;$H$2),
AND($H$2=Data!$A$9,$K$2=Data!$A$2),SUMIFS(Proventos!$H:$H,Proventos!$D:$D,"&gt;="&amp;CONCATENATE($J$6,"/",B67),Proventos!$D:$D,"&lt;"&amp;CONCATENATE($K$6,"/",B67),Proventos!$J:$J,"="&amp;$H$2),
AND($H$2=Data!$A$10,$K$2=Data!$A$2),SUMIFS(Proventos!$H:$H,Proventos!$D:$D,"&gt;="&amp;CONCATENATE($J$6,"/",B67),Proventos!$D:$D,"&lt;"&amp;CONCATENATE($K$6,"/",B67),Proventos!$J:$J,"="&amp;$H$2),
AND($H$2=Data!$A$11,$K$2=Data!$A$2),SUMIFS(Proventos!$H:$H,Proventos!$D:$D,"&gt;="&amp;CONCATENATE($J$6,"/",B67),Proventos!$D:$D,"&lt;"&amp;CONCATENATE($K$6,"/",B67),Proventos!$J:$J,"="&amp;$H$2),
$K$2=Data!$A$2,SUMIFS(Proventos!$H:$H,Proventos!$D:$D,"&gt;="&amp;CONCATENATE($J$6,"/",B67),Proventos!$D:$D,"&lt;"&amp;CONCATENATE($K$6,"/",B67)),
$K$2&lt;&gt;Data!$A$2,SUMIFS(Proventos!$H:$H,Proventos!$D:$D,"&gt;="&amp;CONCATENATE($J$6,"/",B67),Proventos!$D:$D,"&lt;"&amp;CONCATENATE($K$6,"/",B67),Proventos!$A:$A,"="&amp;$K$2))</f>
        <v>0</v>
      </c>
      <c r="K67" s="245">
        <f>IFS(
AND($H$2=Data!$A$3,$K$2=Data!$A$2),SUMIFS(Proventos!$H:$H,Proventos!$D:$D,"&gt;="&amp;CONCATENATE($K$6,"/",B67),Proventos!$D:$D,"&lt;"&amp;CONCATENATE($L$6,"/",B67),Proventos!$J:$J,"="&amp;$H$2),
AND($H$2=Data!$A$4,$K$2=Data!$A$2),SUMIFS(Proventos!$H:$H,Proventos!$D:$D,"&gt;="&amp;CONCATENATE($K$6,"/",B67),Proventos!$D:$D,"&lt;"&amp;CONCATENATE($L$6,"/",B67),Proventos!$J:$J,"="&amp;$H$2),
AND($H$2=Data!$A$5,$K$2=Data!$A$2),SUMIFS(Proventos!$H:$H,Proventos!$D:$D,"&gt;="&amp;CONCATENATE($K$6,"/",B67),Proventos!$D:$D,"&lt;"&amp;CONCATENATE($L$6,"/",B67),Proventos!$J:$J,"="&amp;$H$2),
AND($H$2=Data!$A$6,$K$2=Data!$A$2),SUMIFS(Proventos!$H:$H,Proventos!$D:$D,"&gt;="&amp;CONCATENATE($K$6,"/",B67),Proventos!$D:$D,"&lt;"&amp;CONCATENATE($L$6,"/",B67),Proventos!$J:$J,"="&amp;$H$2),
AND($H$2=Data!$A$7,$K$2=Data!$A$2),SUMIFS(Proventos!$H:$H,Proventos!$D:$D,"&gt;="&amp;CONCATENATE($K$6,"/",B67),Proventos!$D:$D,"&lt;"&amp;CONCATENATE($L$6,"/",B67),Proventos!$J:$J,"="&amp;$H$2),
AND($H$2=Data!$A$8,$K$2=Data!$A$2),SUMIFS(Proventos!$H:$H,Proventos!$D:$D,"&gt;="&amp;CONCATENATE($K$6,"/",B67),Proventos!$D:$D,"&lt;"&amp;CONCATENATE($L$6,"/",B67),Proventos!$J:$J,"="&amp;$H$2),
AND($H$2=Data!$A$9,$K$2=Data!$A$2),SUMIFS(Proventos!$H:$H,Proventos!$D:$D,"&gt;="&amp;CONCATENATE($K$6,"/",B67),Proventos!$D:$D,"&lt;"&amp;CONCATENATE($L$6,"/",B67),Proventos!$J:$J,"="&amp;$H$2),
AND($H$2=Data!$A$10,$K$2=Data!$A$2),SUMIFS(Proventos!$H:$H,Proventos!$D:$D,"&gt;="&amp;CONCATENATE($K$6,"/",B67),Proventos!$D:$D,"&lt;"&amp;CONCATENATE($L$6,"/",B67),Proventos!$J:$J,"="&amp;$H$2),
AND($H$2=Data!$A$11,$K$2=Data!$A$2),SUMIFS(Proventos!$H:$H,Proventos!$D:$D,"&gt;="&amp;CONCATENATE($K$6,"/",B67),Proventos!$D:$D,"&lt;"&amp;CONCATENATE($L$6,"/",B67),Proventos!$J:$J,"="&amp;$H$2),
$K$2=Data!$A$2,SUMIFS(Proventos!$H:$H,Proventos!$D:$D,"&gt;="&amp;CONCATENATE($K$6,"/",B67),Proventos!$D:$D,"&lt;"&amp;CONCATENATE($L$6,"/",B67)),
$K$2&lt;&gt;Data!$A$2,SUMIFS(Proventos!$H:$H,Proventos!$D:$D,"&gt;="&amp;CONCATENATE($K$6,"/",B67),Proventos!$D:$D,"&lt;"&amp;CONCATENATE($L$6,"/",B67),Proventos!$A:$A,"="&amp;$K$2))</f>
        <v>0</v>
      </c>
      <c r="L67" s="245">
        <f>IFS(
AND($H$2=Data!$A$3,$K$2=Data!$A$2),SUMIFS(Proventos!$H:$H,Proventos!$D:$D,"&gt;="&amp;CONCATENATE($L$6,"/",B67),Proventos!$D:$D,"&lt;"&amp;CONCATENATE($M$6,"/",B67),Proventos!$J:$J,"="&amp;$H$2),
AND($H$2=Data!$A$4,$K$2=Data!$A$2),SUMIFS(Proventos!$H:$H,Proventos!$D:$D,"&gt;="&amp;CONCATENATE($L$6,"/",B67),Proventos!$D:$D,"&lt;"&amp;CONCATENATE($M$6,"/",B67),Proventos!$J:$J,"="&amp;$H$2),
AND($H$2=Data!$A$5,$K$2=Data!$A$2),SUMIFS(Proventos!$H:$H,Proventos!$D:$D,"&gt;="&amp;CONCATENATE($L$6,"/",B67),Proventos!$D:$D,"&lt;"&amp;CONCATENATE($M$6,"/",B67),Proventos!$J:$J,"="&amp;$H$2),
AND($H$2=Data!$A$6,$K$2=Data!$A$2),SUMIFS(Proventos!$H:$H,Proventos!$D:$D,"&gt;="&amp;CONCATENATE($L$6,"/",B67),Proventos!$D:$D,"&lt;"&amp;CONCATENATE($M$6,"/",B67),Proventos!$J:$J,"="&amp;$H$2),
AND($H$2=Data!$A$7,$K$2=Data!$A$2),SUMIFS(Proventos!$H:$H,Proventos!$D:$D,"&gt;="&amp;CONCATENATE($L$6,"/",B67),Proventos!$D:$D,"&lt;"&amp;CONCATENATE($M$6,"/",B67),Proventos!$J:$J,"="&amp;$H$2),
AND($H$2=Data!$A$8,$K$2=Data!$A$2),SUMIFS(Proventos!$H:$H,Proventos!$D:$D,"&gt;="&amp;CONCATENATE($L$6,"/",B67),Proventos!$D:$D,"&lt;"&amp;CONCATENATE($M$6,"/",B67),Proventos!$J:$J,"="&amp;$H$2),
AND($H$2=Data!$A$9,$K$2=Data!$A$2),SUMIFS(Proventos!$H:$H,Proventos!$D:$D,"&gt;="&amp;CONCATENATE($L$6,"/",B67),Proventos!$D:$D,"&lt;"&amp;CONCATENATE($M$6,"/",B67),Proventos!$J:$J,"="&amp;$H$2),
AND($H$2=Data!$A$10,$K$2=Data!$A$2),SUMIFS(Proventos!$H:$H,Proventos!$D:$D,"&gt;="&amp;CONCATENATE($L$6,"/",B67),Proventos!$D:$D,"&lt;"&amp;CONCATENATE($M$6,"/",B67),Proventos!$J:$J,"="&amp;$H$2),
AND($H$2=Data!$A$11,$K$2=Data!$A$2),SUMIFS(Proventos!$H:$H,Proventos!$D:$D,"&gt;="&amp;CONCATENATE($L$6,"/",B67),Proventos!$D:$D,"&lt;"&amp;CONCATENATE($M$6,"/",B67),Proventos!$J:$J,"="&amp;$H$2),
$K$2=Data!$A$2,SUMIFS(Proventos!$H:$H,Proventos!$D:$D,"&gt;="&amp;CONCATENATE($L$6,"/",B67),Proventos!$D:$D,"&lt;"&amp;CONCATENATE($M$6,"/",B67)),
$K$2&lt;&gt;Data!$A$2,SUMIFS(Proventos!$H:$H,Proventos!$D:$D,"&gt;="&amp;CONCATENATE($L$6,"/",B67),Proventos!$D:$D,"&lt;"&amp;CONCATENATE($M$6,"/",B67),Proventos!$A:$A,"="&amp;$K$2))</f>
        <v>0</v>
      </c>
      <c r="M67" s="245">
        <f>IFS(
AND($H$2=Data!$A$3,$K$2=Data!$A$2),SUMIFS(Proventos!$H:$H,Proventos!$D:$D,"&gt;="&amp;CONCATENATE($M$6,"/",B67),Proventos!$D:$D,"&lt;"&amp;CONCATENATE($N$6,"/",B67),Proventos!$J:$J,"="&amp;$H$2),
AND($H$2=Data!$A$4,$K$2=Data!$A$2),SUMIFS(Proventos!$H:$H,Proventos!$D:$D,"&gt;="&amp;CONCATENATE($M$6,"/",B67),Proventos!$D:$D,"&lt;"&amp;CONCATENATE($N$6,"/",B67),Proventos!$J:$J,"="&amp;$H$2),
AND($H$2=Data!$A$5,$K$2=Data!$A$2),SUMIFS(Proventos!$H:$H,Proventos!$D:$D,"&gt;="&amp;CONCATENATE($M$6,"/",B67),Proventos!$D:$D,"&lt;"&amp;CONCATENATE($N$6,"/",B67),Proventos!$J:$J,"="&amp;$H$2),
AND($H$2=Data!$A$6,$K$2=Data!$A$2),SUMIFS(Proventos!$H:$H,Proventos!$D:$D,"&gt;="&amp;CONCATENATE($M$6,"/",B67),Proventos!$D:$D,"&lt;"&amp;CONCATENATE($N$6,"/",B67),Proventos!$J:$J,"="&amp;$H$2),
AND($H$2=Data!$A$7,$K$2=Data!$A$2),SUMIFS(Proventos!$H:$H,Proventos!$D:$D,"&gt;="&amp;CONCATENATE($M$6,"/",B67),Proventos!$D:$D,"&lt;"&amp;CONCATENATE($N$6,"/",B67),Proventos!$J:$J,"="&amp;$H$2),
AND($H$2=Data!$A$8,$K$2=Data!$A$2),SUMIFS(Proventos!$H:$H,Proventos!$D:$D,"&gt;="&amp;CONCATENATE($M$6,"/",B67),Proventos!$D:$D,"&lt;"&amp;CONCATENATE($N$6,"/",B67),Proventos!$J:$J,"="&amp;$H$2),
AND($H$2=Data!$A$9,$K$2=Data!$A$2),SUMIFS(Proventos!$H:$H,Proventos!$D:$D,"&gt;="&amp;CONCATENATE($M$6,"/",B67),Proventos!$D:$D,"&lt;"&amp;CONCATENATE($N$6,"/",B67),Proventos!$J:$J,"="&amp;$H$2),
AND($H$2=Data!$A$10,$K$2=Data!$A$2),SUMIFS(Proventos!$H:$H,Proventos!$D:$D,"&gt;="&amp;CONCATENATE($M$6,"/",B67),Proventos!$D:$D,"&lt;"&amp;CONCATENATE($N$6,"/",B67),Proventos!$J:$J,"="&amp;$H$2),
AND($H$2=Data!$A$11,$K$2=Data!$A$2),SUMIFS(Proventos!$H:$H,Proventos!$D:$D,"&gt;="&amp;CONCATENATE($M$6,"/",B67),Proventos!$D:$D,"&lt;"&amp;CONCATENATE($N$6,"/",B67),Proventos!$J:$J,"="&amp;$H$2),
$K$2=Data!$A$2,SUMIFS(Proventos!$H:$H,Proventos!$D:$D,"&gt;="&amp;CONCATENATE($M$6,"/",B67),Proventos!$D:$D,"&lt;"&amp;CONCATENATE($N$6,"/",B67)),
$K$2&lt;&gt;Data!$A$2,SUMIFS(Proventos!$H:$H,Proventos!$D:$D,"&gt;="&amp;CONCATENATE($M$6,"/",B67),Proventos!$D:$D,"&lt;"&amp;CONCATENATE($N$6,"/",B67),Proventos!$A:$A,"="&amp;$K$2))</f>
        <v>0</v>
      </c>
      <c r="N67" s="245">
        <f>IFS(
AND($H$2=Data!$A$3,$K$2=Data!$A$2),SUMIFS(Proventos!$H:$H,Proventos!$D:$D,"&gt;="&amp;CONCATENATE($N$6,"/",B67),Proventos!$D:$D,"&lt;"&amp;CONCATENATE($C$6,"/",B68),Proventos!$J:$J,"="&amp;$H$2),
AND($H$2=Data!$A$4,$K$2=Data!$A$2),SUMIFS(Proventos!$H:$H,Proventos!$D:$D,"&gt;="&amp;CONCATENATE($N$6,"/",B67),Proventos!$D:$D,"&lt;"&amp;CONCATENATE($C$6,"/",B68),Proventos!$J:$J,"="&amp;$H$2),
AND($H$2=Data!$A$5,$K$2=Data!$A$2),SUMIFS(Proventos!$H:$H,Proventos!$D:$D,"&gt;="&amp;CONCATENATE($N$6,"/",B67),Proventos!$D:$D,"&lt;"&amp;CONCATENATE($C$6,"/",B68),Proventos!$J:$J,"="&amp;$H$2),
AND($H$2=Data!$A$6,$K$2=Data!$A$2),SUMIFS(Proventos!$H:$H,Proventos!$D:$D,"&gt;="&amp;CONCATENATE($N$6,"/",B67),Proventos!$D:$D,"&lt;"&amp;CONCATENATE($C$6,"/",B68),Proventos!$J:$J,"="&amp;$H$2),
AND($H$2=Data!$A$7,$K$2=Data!$A$2),SUMIFS(Proventos!$H:$H,Proventos!$D:$D,"&gt;="&amp;CONCATENATE($N$6,"/",B67),Proventos!$D:$D,"&lt;"&amp;CONCATENATE($C$6,"/",B68),Proventos!$J:$J,"="&amp;$H$2),
AND($H$2=Data!$A$8,$K$2=Data!$A$2),SUMIFS(Proventos!$H:$H,Proventos!$D:$D,"&gt;="&amp;CONCATENATE($N$6,"/",B67),Proventos!$D:$D,"&lt;"&amp;CONCATENATE($C$6,"/",B68),Proventos!$J:$J,"="&amp;$H$2),
AND($H$2=Data!$A$9,$K$2=Data!$A$2),SUMIFS(Proventos!$H:$H,Proventos!$D:$D,"&gt;="&amp;CONCATENATE($N$6,"/",B67),Proventos!$D:$D,"&lt;"&amp;CONCATENATE($C$6,"/",B68),Proventos!$J:$J,"="&amp;$H$2),
AND($H$2=Data!$A$10,$K$2=Data!$A$2),SUMIFS(Proventos!$H:$H,Proventos!$D:$D,"&gt;="&amp;CONCATENATE($N$6,"/",B67),Proventos!$D:$D,"&lt;"&amp;CONCATENATE($C$6,"/",B68),Proventos!$J:$J,"="&amp;$H$2),
AND($H$2=Data!$A$11,$K$2=Data!$A$2),SUMIFS(Proventos!$H:$H,Proventos!$D:$D,"&gt;="&amp;CONCATENATE($N$6,"/",B67),Proventos!$D:$D,"&lt;"&amp;CONCATENATE($C$6,"/",B68),Proventos!$J:$J,"="&amp;$H$2),
$K$2=Data!$A$2,SUMIFS(Proventos!$H:$H,Proventos!$D:$D,"&gt;="&amp;CONCATENATE($N$6,"/",B67),Proventos!$D:$D,"&lt;"&amp;CONCATENATE($C$6,"/",B68)),
$K$2&lt;&gt;Data!$A$2,SUMIFS(Proventos!$H:$H,Proventos!$D:$D,"&gt;="&amp;CONCATENATE($N$6,"/",B67),Proventos!$D:$D,"&lt;"&amp;CONCATENATE($C$6,"/",B68),Proventos!$A:$A,"="&amp;$K$2))</f>
        <v>0</v>
      </c>
      <c r="O67" s="245"/>
      <c r="P67" s="245">
        <f t="shared" si="1"/>
        <v>0</v>
      </c>
      <c r="Q67" s="245">
        <f t="shared" si="2"/>
        <v>0</v>
      </c>
    </row>
    <row r="68" ht="32.25" customHeight="1">
      <c r="A68" s="230"/>
      <c r="B68" s="244"/>
      <c r="C68" s="245">
        <f>IFS(
AND($H$2=Data!$A$3,$K$2=Data!$A$2),SUMIFS(Proventos!$H:$H,Proventos!$D:$D,"&gt;="&amp;CONCATENATE($C$6,"/",B68),Proventos!$D:$D,"&lt;"&amp;CONCATENATE($D$6,"/",B68),Proventos!$J:$J,"="&amp;$H$2),
AND($H$2=Data!$A$4,$K$2=Data!$A$2),SUMIFS(Proventos!$H:$H,Proventos!$D:$D,"&gt;="&amp;CONCATENATE($C$6,"/",B68),Proventos!$D:$D,"&lt;"&amp;CONCATENATE($D$6,"/",B68),Proventos!$J:$J,"="&amp;$H$2),
AND($H$2=Data!$A$5,$K$2=Data!$A$2),SUMIFS(Proventos!$H:$H,Proventos!$D:$D,"&gt;="&amp;CONCATENATE($C$6,"/",B68),Proventos!$D:$D,"&lt;"&amp;CONCATENATE($D$6,"/",B68),Proventos!$J:$J,"="&amp;$H$2),
AND($H$2=Data!$A$6,$K$2=Data!$A$2),SUMIFS(Proventos!$H:$H,Proventos!$D:$D,"&gt;="&amp;CONCATENATE($C$6,"/",B68),Proventos!$D:$D,"&lt;"&amp;CONCATENATE($D$6,"/",B68),Proventos!$J:$J,"="&amp;$H$2),
AND($H$2=Data!$A$7,$K$2=Data!$A$2),SUMIFS(Proventos!$H:$H,Proventos!$D:$D,"&gt;="&amp;CONCATENATE($C$6,"/",B68),Proventos!$D:$D,"&lt;"&amp;CONCATENATE($D$6,"/",B68),Proventos!$J:$J,"="&amp;$H$2),
AND($H$2=Data!$A$8,$K$2=Data!$A$2),SUMIFS(Proventos!$H:$H,Proventos!$D:$D,"&gt;="&amp;CONCATENATE($C$6,"/",B68),Proventos!$D:$D,"&lt;"&amp;CONCATENATE($D$6,"/",B68),Proventos!$J:$J,"="&amp;$H$2),
AND($H$2=Data!$A$9,$K$2=Data!$A$2),SUMIFS(Proventos!$H:$H,Proventos!$D:$D,"&gt;="&amp;CONCATENATE($C$6,"/",B68),Proventos!$D:$D,"&lt;"&amp;CONCATENATE($D$6,"/",B68),Proventos!$J:$J,"="&amp;$H$2),
AND($H$2=Data!$A$10,$K$2=Data!$A$2),SUMIFS(Proventos!$H:$H,Proventos!$D:$D,"&gt;="&amp;CONCATENATE($C$6,"/",B68),Proventos!$D:$D,"&lt;"&amp;CONCATENATE($D$6,"/",B68),Proventos!$J:$J,"="&amp;$H$2),
AND($H$2=Data!$A$11,$K$2=Data!$A$2),SUMIFS(Proventos!$H:$H,Proventos!$D:$D,"&gt;="&amp;CONCATENATE($C$6,"/",B68),Proventos!$D:$D,"&lt;"&amp;CONCATENATE($D$6,"/",B68),Proventos!$J:$J,"="&amp;$H$2),
$K$2=Data!$A$2,SUMIFS(Proventos!$H:$H,Proventos!$D:$D,"&gt;="&amp;CONCATENATE($C$6,"/",B68),Proventos!$D:$D,"&lt;"&amp;CONCATENATE($D$6,"/",B68)),
$K$2&lt;&gt;Data!$A$2,SUMIFS(Proventos!$H:$H,Proventos!$D:$D,"&gt;="&amp;CONCATENATE($C$6,"/",B68),Proventos!$D:$D,"&lt;"&amp;CONCATENATE($D$6,"/",B68),Proventos!$A:$A,"="&amp;$K$2))</f>
        <v>0</v>
      </c>
      <c r="D68" s="245">
        <f>IFS(
AND($H$2=Data!$A$3,$K$2=Data!$A$2),SUMIFS(Proventos!$H:$H,Proventos!$D:$D,"&gt;="&amp;CONCATENATE($D$6,"/",B68),Proventos!$D:$D,"&lt;"&amp;CONCATENATE($E$6,"/",B68),Proventos!$J:$J,"="&amp;$H$2),
AND($H$2=Data!$A$4,$K$2=Data!$A$2),SUMIFS(Proventos!$H:$H,Proventos!$D:$D,"&gt;="&amp;CONCATENATE($D$6,"/",B68),Proventos!$D:$D,"&lt;"&amp;CONCATENATE($E$6,"/",B68),Proventos!$J:$J,"="&amp;$H$2),
AND($H$2=Data!$A$5,$K$2=Data!$A$2),SUMIFS(Proventos!$H:$H,Proventos!$D:$D,"&gt;="&amp;CONCATENATE($D$6,"/",B68),Proventos!$D:$D,"&lt;"&amp;CONCATENATE($E$6,"/",B68),Proventos!$J:$J,"="&amp;$H$2),
AND($H$2=Data!$A$6,$K$2=Data!$A$2),SUMIFS(Proventos!$H:$H,Proventos!$D:$D,"&gt;="&amp;CONCATENATE($D$6,"/",B68),Proventos!$D:$D,"&lt;"&amp;CONCATENATE($E$6,"/",B68),Proventos!$J:$J,"="&amp;$H$2),
AND($H$2=Data!$A$7,$K$2=Data!$A$2),SUMIFS(Proventos!$H:$H,Proventos!$D:$D,"&gt;="&amp;CONCATENATE($D$6,"/",B68),Proventos!$D:$D,"&lt;"&amp;CONCATENATE($E$6,"/",B68),Proventos!$J:$J,"="&amp;$H$2),
AND($H$2=Data!$A$8,$K$2=Data!$A$2),SUMIFS(Proventos!$H:$H,Proventos!$D:$D,"&gt;="&amp;CONCATENATE($D$6,"/",B68),Proventos!$D:$D,"&lt;"&amp;CONCATENATE($E$6,"/",B68),Proventos!$J:$J,"="&amp;$H$2),
AND($H$2=Data!$A$9,$K$2=Data!$A$2),SUMIFS(Proventos!$H:$H,Proventos!$D:$D,"&gt;="&amp;CONCATENATE($D$6,"/",B68),Proventos!$D:$D,"&lt;"&amp;CONCATENATE($E$6,"/",B68),Proventos!$J:$J,"="&amp;$H$2),
AND($H$2=Data!$A$10,$K$2=Data!$A$2),SUMIFS(Proventos!$H:$H,Proventos!$D:$D,"&gt;="&amp;CONCATENATE($D$6,"/",B68),Proventos!$D:$D,"&lt;"&amp;CONCATENATE($E$6,"/",B68),Proventos!$J:$J,"="&amp;$H$2),
AND($H$2=Data!$A$11,$K$2=Data!$A$2),SUMIFS(Proventos!$H:$H,Proventos!$D:$D,"&gt;="&amp;CONCATENATE($D$6,"/",B68),Proventos!$D:$D,"&lt;"&amp;CONCATENATE($E$6,"/",B68),Proventos!$J:$J,"="&amp;$H$2),
$K$2=Data!$A$2,SUMIFS(Proventos!$H:$H,Proventos!$D:$D,"&gt;="&amp;CONCATENATE($D$6,"/",B68),Proventos!$D:$D,"&lt;"&amp;CONCATENATE($E$6,"/",B68)),
$K$2&lt;&gt;Data!$A$2,SUMIFS(Proventos!$H:$H,Proventos!$D:$D,"&gt;="&amp;CONCATENATE($D$6,"/",B68),Proventos!$D:$D,"&lt;"&amp;CONCATENATE($E$6,"/",B68),Proventos!$A:$A,"="&amp;$K$2))</f>
        <v>0</v>
      </c>
      <c r="E68" s="245">
        <f>IFS(
AND($H$2=Data!$A$3,$K$2=Data!$A$2),SUMIFS(Proventos!$H:$H,Proventos!$D:$D,"&gt;="&amp;CONCATENATE($E$6,"/",B68),Proventos!$D:$D,"&lt;"&amp;CONCATENATE($F$6,"/",B68),Proventos!$J:$J,"="&amp;$H$2),
AND($H$2=Data!$A$4,$K$2=Data!$A$2),SUMIFS(Proventos!$H:$H,Proventos!$D:$D,"&gt;="&amp;CONCATENATE($E$6,"/",B68),Proventos!$D:$D,"&lt;"&amp;CONCATENATE($F$6,"/",B68),Proventos!$J:$J,"="&amp;$H$2),
AND($H$2=Data!$A$5,$K$2=Data!$A$2),SUMIFS(Proventos!$H:$H,Proventos!$D:$D,"&gt;="&amp;CONCATENATE($E$6,"/",B68),Proventos!$D:$D,"&lt;"&amp;CONCATENATE($F$6,"/",B68),Proventos!$J:$J,"="&amp;$H$2),
AND($H$2=Data!$A$6,$K$2=Data!$A$2),SUMIFS(Proventos!$H:$H,Proventos!$D:$D,"&gt;="&amp;CONCATENATE($E$6,"/",B68),Proventos!$D:$D,"&lt;"&amp;CONCATENATE($F$6,"/",B68),Proventos!$J:$J,"="&amp;$H$2),
AND($H$2=Data!$A$7,$K$2=Data!$A$2),SUMIFS(Proventos!$H:$H,Proventos!$D:$D,"&gt;="&amp;CONCATENATE($E$6,"/",B68),Proventos!$D:$D,"&lt;"&amp;CONCATENATE($F$6,"/",B68),Proventos!$J:$J,"="&amp;$H$2),
AND($H$2=Data!$A$8,$K$2=Data!$A$2),SUMIFS(Proventos!$H:$H,Proventos!$D:$D,"&gt;="&amp;CONCATENATE($E$6,"/",B68),Proventos!$D:$D,"&lt;"&amp;CONCATENATE($F$6,"/",B68),Proventos!$J:$J,"="&amp;$H$2),
AND($H$2=Data!$A$9,$K$2=Data!$A$2),SUMIFS(Proventos!$H:$H,Proventos!$D:$D,"&gt;="&amp;CONCATENATE($E$6,"/",B68),Proventos!$D:$D,"&lt;"&amp;CONCATENATE($F$6,"/",B68),Proventos!$J:$J,"="&amp;$H$2),
AND($H$2=Data!$A$10,$K$2=Data!$A$2),SUMIFS(Proventos!$H:$H,Proventos!$D:$D,"&gt;="&amp;CONCATENATE($E$6,"/",B68),Proventos!$D:$D,"&lt;"&amp;CONCATENATE($F$6,"/",B68),Proventos!$J:$J,"="&amp;$H$2),
AND($H$2=Data!$A$11,$K$2=Data!$A$2),SUMIFS(Proventos!$H:$H,Proventos!$D:$D,"&gt;="&amp;CONCATENATE($E$6,"/",B68),Proventos!$D:$D,"&lt;"&amp;CONCATENATE($F$6,"/",B68),Proventos!$J:$J,"="&amp;$H$2),
$K$2=Data!$A$2,SUMIFS(Proventos!$H:$H,Proventos!$D:$D,"&gt;="&amp;CONCATENATE($E$6,"/",B68),Proventos!$D:$D,"&lt;"&amp;CONCATENATE($F$6,"/",B68)),
$K$2&lt;&gt;Data!$A$2,SUMIFS(Proventos!$H:$H,Proventos!$D:$D,"&gt;="&amp;CONCATENATE($E$6,"/",B68),Proventos!$D:$D,"&lt;"&amp;CONCATENATE($F$6,"/",B68),Proventos!$A:$A,"="&amp;$K$2))</f>
        <v>0</v>
      </c>
      <c r="F68" s="245">
        <f>IFS(
AND($H$2=Data!$A$3,$K$2=Data!$A$2),SUMIFS(Proventos!$H:$H,Proventos!$D:$D,"&gt;="&amp;CONCATENATE($F$6,"/",B68),Proventos!$D:$D,"&lt;"&amp;CONCATENATE($G$6,"/",B68),Proventos!$J:$J,"="&amp;$H$2),
AND($H$2=Data!$A$4,$K$2=Data!$A$2),SUMIFS(Proventos!$H:$H,Proventos!$D:$D,"&gt;="&amp;CONCATENATE($F$6,"/",B68),Proventos!$D:$D,"&lt;"&amp;CONCATENATE($G$6,"/",B68),Proventos!$J:$J,"="&amp;$H$2),
AND($H$2=Data!$A$5,$K$2=Data!$A$2),SUMIFS(Proventos!$H:$H,Proventos!$D:$D,"&gt;="&amp;CONCATENATE($F$6,"/",B68),Proventos!$D:$D,"&lt;"&amp;CONCATENATE($G$6,"/",B68),Proventos!$J:$J,"="&amp;$H$2),
AND($H$2=Data!$A$6,$K$2=Data!$A$2),SUMIFS(Proventos!$H:$H,Proventos!$D:$D,"&gt;="&amp;CONCATENATE($F$6,"/",B68),Proventos!$D:$D,"&lt;"&amp;CONCATENATE($G$6,"/",B68),Proventos!$J:$J,"="&amp;$H$2),
AND($H$2=Data!$A$7,$K$2=Data!$A$2),SUMIFS(Proventos!$H:$H,Proventos!$D:$D,"&gt;="&amp;CONCATENATE($F$6,"/",B68),Proventos!$D:$D,"&lt;"&amp;CONCATENATE($G$6,"/",B68),Proventos!$J:$J,"="&amp;$H$2),
AND($H$2=Data!$A$8,$K$2=Data!$A$2),SUMIFS(Proventos!$H:$H,Proventos!$D:$D,"&gt;="&amp;CONCATENATE($F$6,"/",B68),Proventos!$D:$D,"&lt;"&amp;CONCATENATE($G$6,"/",B68),Proventos!$J:$J,"="&amp;$H$2),
AND($H$2=Data!$A$9,$K$2=Data!$A$2),SUMIFS(Proventos!$H:$H,Proventos!$D:$D,"&gt;="&amp;CONCATENATE($F$6,"/",B68),Proventos!$D:$D,"&lt;"&amp;CONCATENATE($G$6,"/",B68),Proventos!$J:$J,"="&amp;$H$2),
AND($H$2=Data!$A$10,$K$2=Data!$A$2),SUMIFS(Proventos!$H:$H,Proventos!$D:$D,"&gt;="&amp;CONCATENATE($F$6,"/",B68),Proventos!$D:$D,"&lt;"&amp;CONCATENATE($G$6,"/",B68),Proventos!$J:$J,"="&amp;$H$2),
AND($H$2=Data!$A$11,$K$2=Data!$A$2),SUMIFS(Proventos!$H:$H,Proventos!$D:$D,"&gt;="&amp;CONCATENATE($F$6,"/",B68),Proventos!$D:$D,"&lt;"&amp;CONCATENATE($G$6,"/",B68),Proventos!$J:$J,"="&amp;$H$2),
$K$2=Data!$A$2,SUMIFS(Proventos!$H:$H,Proventos!$D:$D,"&gt;="&amp;CONCATENATE($F$6,"/",B68),Proventos!$D:$D,"&lt;"&amp;CONCATENATE($G$6,"/",B68)),
$K$2&lt;&gt;Data!$A$2,SUMIFS(Proventos!$H:$H,Proventos!$D:$D,"&gt;="&amp;CONCATENATE($F$6,"/",B68),Proventos!$D:$D,"&lt;"&amp;CONCATENATE($G$6,"/",B68),Proventos!$A:$A,"="&amp;$K$2))</f>
        <v>0</v>
      </c>
      <c r="G68" s="245">
        <f>IFS(
AND($H$2=Data!$A$3,$K$2=Data!$A$2),SUMIFS(Proventos!$H:$H,Proventos!$D:$D,"&gt;="&amp;CONCATENATE($G$6,"/",B68),Proventos!$D:$D,"&lt;"&amp;CONCATENATE($H$6,"/",B68),Proventos!$J:$J,"="&amp;$H$2),
AND($H$2=Data!$A$4,$K$2=Data!$A$2),SUMIFS(Proventos!$H:$H,Proventos!$D:$D,"&gt;="&amp;CONCATENATE($G$6,"/",B68),Proventos!$D:$D,"&lt;"&amp;CONCATENATE($H$6,"/",B68),Proventos!$J:$J,"="&amp;$H$2),
AND($H$2=Data!$A$5,$K$2=Data!$A$2),SUMIFS(Proventos!$H:$H,Proventos!$D:$D,"&gt;="&amp;CONCATENATE($G$6,"/",B68),Proventos!$D:$D,"&lt;"&amp;CONCATENATE($H$6,"/",B68),Proventos!$J:$J,"="&amp;$H$2),
AND($H$2=Data!$A$6,$K$2=Data!$A$2),SUMIFS(Proventos!$H:$H,Proventos!$D:$D,"&gt;="&amp;CONCATENATE($G$6,"/",B68),Proventos!$D:$D,"&lt;"&amp;CONCATENATE($H$6,"/",B68),Proventos!$J:$J,"="&amp;$H$2),
AND($H$2=Data!$A$7,$K$2=Data!$A$2),SUMIFS(Proventos!$H:$H,Proventos!$D:$D,"&gt;="&amp;CONCATENATE($G$6,"/",B68),Proventos!$D:$D,"&lt;"&amp;CONCATENATE($H$6,"/",B68),Proventos!$J:$J,"="&amp;$H$2),
AND($H$2=Data!$A$8,$K$2=Data!$A$2),SUMIFS(Proventos!$H:$H,Proventos!$D:$D,"&gt;="&amp;CONCATENATE($G$6,"/",B68),Proventos!$D:$D,"&lt;"&amp;CONCATENATE($H$6,"/",B68),Proventos!$J:$J,"="&amp;$H$2),
AND($H$2=Data!$A$9,$K$2=Data!$A$2),SUMIFS(Proventos!$H:$H,Proventos!$D:$D,"&gt;="&amp;CONCATENATE($G$6,"/",B68),Proventos!$D:$D,"&lt;"&amp;CONCATENATE($H$6,"/",B68),Proventos!$J:$J,"="&amp;$H$2),
AND($H$2=Data!$A$10,$K$2=Data!$A$2),SUMIFS(Proventos!$H:$H,Proventos!$D:$D,"&gt;="&amp;CONCATENATE($G$6,"/",B68),Proventos!$D:$D,"&lt;"&amp;CONCATENATE($H$6,"/",B68),Proventos!$J:$J,"="&amp;$H$2),
AND($H$2=Data!$A$11,$K$2=Data!$A$2),SUMIFS(Proventos!$H:$H,Proventos!$D:$D,"&gt;="&amp;CONCATENATE($G$6,"/",B68),Proventos!$D:$D,"&lt;"&amp;CONCATENATE($H$6,"/",B68),Proventos!$J:$J,"="&amp;$H$2),
$K$2=Data!$A$2,SUMIFS(Proventos!$H:$H,Proventos!$D:$D,"&gt;="&amp;CONCATENATE($G$6,"/",B68),Proventos!$D:$D,"&lt;"&amp;CONCATENATE($H$6,"/",B68)),
$K$2&lt;&gt;Data!$A$2,SUMIFS(Proventos!$H:$H,Proventos!$D:$D,"&gt;="&amp;CONCATENATE($G$6,"/",B68),Proventos!$D:$D,"&lt;"&amp;CONCATENATE($H$6,"/",B68),Proventos!$A:$A,"="&amp;$K$2))</f>
        <v>0</v>
      </c>
      <c r="H68" s="245">
        <f>IFS(
AND($H$2=Data!$A$3,$K$2=Data!$A$2),SUMIFS(Proventos!$H:$H,Proventos!$D:$D,"&gt;="&amp;CONCATENATE($H$6,"/",B68),Proventos!$D:$D,"&lt;"&amp;CONCATENATE($I$6,"/",B68),Proventos!$J:$J,"="&amp;$H$2),
AND($H$2=Data!$A$4,$K$2=Data!$A$2),SUMIFS(Proventos!$H:$H,Proventos!$D:$D,"&gt;="&amp;CONCATENATE($H$6,"/",B68),Proventos!$D:$D,"&lt;"&amp;CONCATENATE($I$6,"/",B68),Proventos!$J:$J,"="&amp;$H$2),
AND($H$2=Data!$A$5,$K$2=Data!$A$2),SUMIFS(Proventos!$H:$H,Proventos!$D:$D,"&gt;="&amp;CONCATENATE($H$6,"/",B68),Proventos!$D:$D,"&lt;"&amp;CONCATENATE($I$6,"/",B68),Proventos!$J:$J,"="&amp;$H$2),
AND($H$2=Data!$A$6,$K$2=Data!$A$2),SUMIFS(Proventos!$H:$H,Proventos!$D:$D,"&gt;="&amp;CONCATENATE($H$6,"/",B68),Proventos!$D:$D,"&lt;"&amp;CONCATENATE($I$6,"/",B68),Proventos!$J:$J,"="&amp;$H$2),
AND($H$2=Data!$A$7,$K$2=Data!$A$2),SUMIFS(Proventos!$H:$H,Proventos!$D:$D,"&gt;="&amp;CONCATENATE($H$6,"/",B68),Proventos!$D:$D,"&lt;"&amp;CONCATENATE($I$6,"/",B68),Proventos!$J:$J,"="&amp;$H$2),
AND($H$2=Data!$A$8,$K$2=Data!$A$2),SUMIFS(Proventos!$H:$H,Proventos!$D:$D,"&gt;="&amp;CONCATENATE($H$6,"/",B68),Proventos!$D:$D,"&lt;"&amp;CONCATENATE($I$6,"/",B68),Proventos!$J:$J,"="&amp;$H$2),
AND($H$2=Data!$A$9,$K$2=Data!$A$2),SUMIFS(Proventos!$H:$H,Proventos!$D:$D,"&gt;="&amp;CONCATENATE($H$6,"/",B68),Proventos!$D:$D,"&lt;"&amp;CONCATENATE($I$6,"/",B68),Proventos!$J:$J,"="&amp;$H$2),
AND($H$2=Data!$A$10,$K$2=Data!$A$2),SUMIFS(Proventos!$H:$H,Proventos!$D:$D,"&gt;="&amp;CONCATENATE($H$6,"/",B68),Proventos!$D:$D,"&lt;"&amp;CONCATENATE($I$6,"/",B68),Proventos!$J:$J,"="&amp;$H$2),
AND($H$2=Data!$A$11,$K$2=Data!$A$2),SUMIFS(Proventos!$H:$H,Proventos!$D:$D,"&gt;="&amp;CONCATENATE($H$6,"/",B68),Proventos!$D:$D,"&lt;"&amp;CONCATENATE($I$6,"/",B68),Proventos!$J:$J,"="&amp;$H$2),
$K$2=Data!$A$2,SUMIFS(Proventos!$H:$H,Proventos!$D:$D,"&gt;="&amp;CONCATENATE($H$6,"/",B68),Proventos!$D:$D,"&lt;"&amp;CONCATENATE($I$6,"/",B68)),
$K$2&lt;&gt;Data!$A$2,SUMIFS(Proventos!$H:$H,Proventos!$D:$D,"&gt;="&amp;CONCATENATE($H$6,"/",B68),Proventos!$D:$D,"&lt;"&amp;CONCATENATE($I$6,"/",B68),Proventos!$A:$A,"="&amp;$K$2))</f>
        <v>0</v>
      </c>
      <c r="I68" s="245">
        <f>IFS(
AND($H$2=Data!$A$3,$K$2=Data!$A$2),SUMIFS(Proventos!$H:$H,Proventos!$D:$D,"&gt;="&amp;CONCATENATE($I$6,"/",B68),Proventos!$D:$D,"&lt;"&amp;CONCATENATE($J$6,"/",B68),Proventos!$J:$J,"="&amp;$H$2),
AND($H$2=Data!$A$4,$K$2=Data!$A$2),SUMIFS(Proventos!$H:$H,Proventos!$D:$D,"&gt;="&amp;CONCATENATE($I$6,"/",B68),Proventos!$D:$D,"&lt;"&amp;CONCATENATE($J$6,"/",B68),Proventos!$J:$J,"="&amp;$H$2),
AND($H$2=Data!$A$5,$K$2=Data!$A$2),SUMIFS(Proventos!$H:$H,Proventos!$D:$D,"&gt;="&amp;CONCATENATE($I$6,"/",B68),Proventos!$D:$D,"&lt;"&amp;CONCATENATE($J$6,"/",B68),Proventos!$J:$J,"="&amp;$H$2),
AND($H$2=Data!$A$6,$K$2=Data!$A$2),SUMIFS(Proventos!$H:$H,Proventos!$D:$D,"&gt;="&amp;CONCATENATE($I$6,"/",B68),Proventos!$D:$D,"&lt;"&amp;CONCATENATE($J$6,"/",B68),Proventos!$J:$J,"="&amp;$H$2),
AND($H$2=Data!$A$7,$K$2=Data!$A$2),SUMIFS(Proventos!$H:$H,Proventos!$D:$D,"&gt;="&amp;CONCATENATE($I$6,"/",B68),Proventos!$D:$D,"&lt;"&amp;CONCATENATE($J$6,"/",B68),Proventos!$J:$J,"="&amp;$H$2),
AND($H$2=Data!$A$8,$K$2=Data!$A$2),SUMIFS(Proventos!$H:$H,Proventos!$D:$D,"&gt;="&amp;CONCATENATE($I$6,"/",B68),Proventos!$D:$D,"&lt;"&amp;CONCATENATE($J$6,"/",B68),Proventos!$J:$J,"="&amp;$H$2),
AND($H$2=Data!$A$9,$K$2=Data!$A$2),SUMIFS(Proventos!$H:$H,Proventos!$D:$D,"&gt;="&amp;CONCATENATE($I$6,"/",B68),Proventos!$D:$D,"&lt;"&amp;CONCATENATE($J$6,"/",B68),Proventos!$J:$J,"="&amp;$H$2),
AND($H$2=Data!$A$10,$K$2=Data!$A$2),SUMIFS(Proventos!$H:$H,Proventos!$D:$D,"&gt;="&amp;CONCATENATE($I$6,"/",B68),Proventos!$D:$D,"&lt;"&amp;CONCATENATE($J$6,"/",B68),Proventos!$J:$J,"="&amp;$H$2),
AND($H$2=Data!$A$11,$K$2=Data!$A$2),SUMIFS(Proventos!$H:$H,Proventos!$D:$D,"&gt;="&amp;CONCATENATE($I$6,"/",B68),Proventos!$D:$D,"&lt;"&amp;CONCATENATE($J$6,"/",B68),Proventos!$J:$J,"="&amp;$H$2),
$K$2=Data!$A$2,SUMIFS(Proventos!$H:$H,Proventos!$D:$D,"&gt;="&amp;CONCATENATE($I$6,"/",B68),Proventos!$D:$D,"&lt;"&amp;CONCATENATE($J$6,"/",B68)),
$K$2&lt;&gt;Data!$A$2,SUMIFS(Proventos!$H:$H,Proventos!$D:$D,"&gt;="&amp;CONCATENATE($I$6,"/",B68),Proventos!$D:$D,"&lt;"&amp;CONCATENATE($J$6,"/",B68),Proventos!$A:$A,"="&amp;$K$2))</f>
        <v>0</v>
      </c>
      <c r="J68" s="245">
        <f>IFS(
AND($H$2=Data!$A$3,$K$2=Data!$A$2),SUMIFS(Proventos!$H:$H,Proventos!$D:$D,"&gt;="&amp;CONCATENATE($J$6,"/",B68),Proventos!$D:$D,"&lt;"&amp;CONCATENATE($K$6,"/",B68),Proventos!$J:$J,"="&amp;$H$2),
AND($H$2=Data!$A$4,$K$2=Data!$A$2),SUMIFS(Proventos!$H:$H,Proventos!$D:$D,"&gt;="&amp;CONCATENATE($J$6,"/",B68),Proventos!$D:$D,"&lt;"&amp;CONCATENATE($K$6,"/",B68),Proventos!$J:$J,"="&amp;$H$2),
AND($H$2=Data!$A$5,$K$2=Data!$A$2),SUMIFS(Proventos!$H:$H,Proventos!$D:$D,"&gt;="&amp;CONCATENATE($J$6,"/",B68),Proventos!$D:$D,"&lt;"&amp;CONCATENATE($K$6,"/",B68),Proventos!$J:$J,"="&amp;$H$2),
AND($H$2=Data!$A$6,$K$2=Data!$A$2),SUMIFS(Proventos!$H:$H,Proventos!$D:$D,"&gt;="&amp;CONCATENATE($J$6,"/",B68),Proventos!$D:$D,"&lt;"&amp;CONCATENATE($K$6,"/",B68),Proventos!$J:$J,"="&amp;$H$2),
AND($H$2=Data!$A$7,$K$2=Data!$A$2),SUMIFS(Proventos!$H:$H,Proventos!$D:$D,"&gt;="&amp;CONCATENATE($J$6,"/",B68),Proventos!$D:$D,"&lt;"&amp;CONCATENATE($K$6,"/",B68),Proventos!$J:$J,"="&amp;$H$2),
AND($H$2=Data!$A$8,$K$2=Data!$A$2),SUMIFS(Proventos!$H:$H,Proventos!$D:$D,"&gt;="&amp;CONCATENATE($J$6,"/",B68),Proventos!$D:$D,"&lt;"&amp;CONCATENATE($K$6,"/",B68),Proventos!$J:$J,"="&amp;$H$2),
AND($H$2=Data!$A$9,$K$2=Data!$A$2),SUMIFS(Proventos!$H:$H,Proventos!$D:$D,"&gt;="&amp;CONCATENATE($J$6,"/",B68),Proventos!$D:$D,"&lt;"&amp;CONCATENATE($K$6,"/",B68),Proventos!$J:$J,"="&amp;$H$2),
AND($H$2=Data!$A$10,$K$2=Data!$A$2),SUMIFS(Proventos!$H:$H,Proventos!$D:$D,"&gt;="&amp;CONCATENATE($J$6,"/",B68),Proventos!$D:$D,"&lt;"&amp;CONCATENATE($K$6,"/",B68),Proventos!$J:$J,"="&amp;$H$2),
AND($H$2=Data!$A$11,$K$2=Data!$A$2),SUMIFS(Proventos!$H:$H,Proventos!$D:$D,"&gt;="&amp;CONCATENATE($J$6,"/",B68),Proventos!$D:$D,"&lt;"&amp;CONCATENATE($K$6,"/",B68),Proventos!$J:$J,"="&amp;$H$2),
$K$2=Data!$A$2,SUMIFS(Proventos!$H:$H,Proventos!$D:$D,"&gt;="&amp;CONCATENATE($J$6,"/",B68),Proventos!$D:$D,"&lt;"&amp;CONCATENATE($K$6,"/",B68)),
$K$2&lt;&gt;Data!$A$2,SUMIFS(Proventos!$H:$H,Proventos!$D:$D,"&gt;="&amp;CONCATENATE($J$6,"/",B68),Proventos!$D:$D,"&lt;"&amp;CONCATENATE($K$6,"/",B68),Proventos!$A:$A,"="&amp;$K$2))</f>
        <v>0</v>
      </c>
      <c r="K68" s="245">
        <f>IFS(
AND($H$2=Data!$A$3,$K$2=Data!$A$2),SUMIFS(Proventos!$H:$H,Proventos!$D:$D,"&gt;="&amp;CONCATENATE($K$6,"/",B68),Proventos!$D:$D,"&lt;"&amp;CONCATENATE($L$6,"/",B68),Proventos!$J:$J,"="&amp;$H$2),
AND($H$2=Data!$A$4,$K$2=Data!$A$2),SUMIFS(Proventos!$H:$H,Proventos!$D:$D,"&gt;="&amp;CONCATENATE($K$6,"/",B68),Proventos!$D:$D,"&lt;"&amp;CONCATENATE($L$6,"/",B68),Proventos!$J:$J,"="&amp;$H$2),
AND($H$2=Data!$A$5,$K$2=Data!$A$2),SUMIFS(Proventos!$H:$H,Proventos!$D:$D,"&gt;="&amp;CONCATENATE($K$6,"/",B68),Proventos!$D:$D,"&lt;"&amp;CONCATENATE($L$6,"/",B68),Proventos!$J:$J,"="&amp;$H$2),
AND($H$2=Data!$A$6,$K$2=Data!$A$2),SUMIFS(Proventos!$H:$H,Proventos!$D:$D,"&gt;="&amp;CONCATENATE($K$6,"/",B68),Proventos!$D:$D,"&lt;"&amp;CONCATENATE($L$6,"/",B68),Proventos!$J:$J,"="&amp;$H$2),
AND($H$2=Data!$A$7,$K$2=Data!$A$2),SUMIFS(Proventos!$H:$H,Proventos!$D:$D,"&gt;="&amp;CONCATENATE($K$6,"/",B68),Proventos!$D:$D,"&lt;"&amp;CONCATENATE($L$6,"/",B68),Proventos!$J:$J,"="&amp;$H$2),
AND($H$2=Data!$A$8,$K$2=Data!$A$2),SUMIFS(Proventos!$H:$H,Proventos!$D:$D,"&gt;="&amp;CONCATENATE($K$6,"/",B68),Proventos!$D:$D,"&lt;"&amp;CONCATENATE($L$6,"/",B68),Proventos!$J:$J,"="&amp;$H$2),
AND($H$2=Data!$A$9,$K$2=Data!$A$2),SUMIFS(Proventos!$H:$H,Proventos!$D:$D,"&gt;="&amp;CONCATENATE($K$6,"/",B68),Proventos!$D:$D,"&lt;"&amp;CONCATENATE($L$6,"/",B68),Proventos!$J:$J,"="&amp;$H$2),
AND($H$2=Data!$A$10,$K$2=Data!$A$2),SUMIFS(Proventos!$H:$H,Proventos!$D:$D,"&gt;="&amp;CONCATENATE($K$6,"/",B68),Proventos!$D:$D,"&lt;"&amp;CONCATENATE($L$6,"/",B68),Proventos!$J:$J,"="&amp;$H$2),
AND($H$2=Data!$A$11,$K$2=Data!$A$2),SUMIFS(Proventos!$H:$H,Proventos!$D:$D,"&gt;="&amp;CONCATENATE($K$6,"/",B68),Proventos!$D:$D,"&lt;"&amp;CONCATENATE($L$6,"/",B68),Proventos!$J:$J,"="&amp;$H$2),
$K$2=Data!$A$2,SUMIFS(Proventos!$H:$H,Proventos!$D:$D,"&gt;="&amp;CONCATENATE($K$6,"/",B68),Proventos!$D:$D,"&lt;"&amp;CONCATENATE($L$6,"/",B68)),
$K$2&lt;&gt;Data!$A$2,SUMIFS(Proventos!$H:$H,Proventos!$D:$D,"&gt;="&amp;CONCATENATE($K$6,"/",B68),Proventos!$D:$D,"&lt;"&amp;CONCATENATE($L$6,"/",B68),Proventos!$A:$A,"="&amp;$K$2))</f>
        <v>0</v>
      </c>
      <c r="L68" s="245">
        <f>IFS(
AND($H$2=Data!$A$3,$K$2=Data!$A$2),SUMIFS(Proventos!$H:$H,Proventos!$D:$D,"&gt;="&amp;CONCATENATE($L$6,"/",B68),Proventos!$D:$D,"&lt;"&amp;CONCATENATE($M$6,"/",B68),Proventos!$J:$J,"="&amp;$H$2),
AND($H$2=Data!$A$4,$K$2=Data!$A$2),SUMIFS(Proventos!$H:$H,Proventos!$D:$D,"&gt;="&amp;CONCATENATE($L$6,"/",B68),Proventos!$D:$D,"&lt;"&amp;CONCATENATE($M$6,"/",B68),Proventos!$J:$J,"="&amp;$H$2),
AND($H$2=Data!$A$5,$K$2=Data!$A$2),SUMIFS(Proventos!$H:$H,Proventos!$D:$D,"&gt;="&amp;CONCATENATE($L$6,"/",B68),Proventos!$D:$D,"&lt;"&amp;CONCATENATE($M$6,"/",B68),Proventos!$J:$J,"="&amp;$H$2),
AND($H$2=Data!$A$6,$K$2=Data!$A$2),SUMIFS(Proventos!$H:$H,Proventos!$D:$D,"&gt;="&amp;CONCATENATE($L$6,"/",B68),Proventos!$D:$D,"&lt;"&amp;CONCATENATE($M$6,"/",B68),Proventos!$J:$J,"="&amp;$H$2),
AND($H$2=Data!$A$7,$K$2=Data!$A$2),SUMIFS(Proventos!$H:$H,Proventos!$D:$D,"&gt;="&amp;CONCATENATE($L$6,"/",B68),Proventos!$D:$D,"&lt;"&amp;CONCATENATE($M$6,"/",B68),Proventos!$J:$J,"="&amp;$H$2),
AND($H$2=Data!$A$8,$K$2=Data!$A$2),SUMIFS(Proventos!$H:$H,Proventos!$D:$D,"&gt;="&amp;CONCATENATE($L$6,"/",B68),Proventos!$D:$D,"&lt;"&amp;CONCATENATE($M$6,"/",B68),Proventos!$J:$J,"="&amp;$H$2),
AND($H$2=Data!$A$9,$K$2=Data!$A$2),SUMIFS(Proventos!$H:$H,Proventos!$D:$D,"&gt;="&amp;CONCATENATE($L$6,"/",B68),Proventos!$D:$D,"&lt;"&amp;CONCATENATE($M$6,"/",B68),Proventos!$J:$J,"="&amp;$H$2),
AND($H$2=Data!$A$10,$K$2=Data!$A$2),SUMIFS(Proventos!$H:$H,Proventos!$D:$D,"&gt;="&amp;CONCATENATE($L$6,"/",B68),Proventos!$D:$D,"&lt;"&amp;CONCATENATE($M$6,"/",B68),Proventos!$J:$J,"="&amp;$H$2),
AND($H$2=Data!$A$11,$K$2=Data!$A$2),SUMIFS(Proventos!$H:$H,Proventos!$D:$D,"&gt;="&amp;CONCATENATE($L$6,"/",B68),Proventos!$D:$D,"&lt;"&amp;CONCATENATE($M$6,"/",B68),Proventos!$J:$J,"="&amp;$H$2),
$K$2=Data!$A$2,SUMIFS(Proventos!$H:$H,Proventos!$D:$D,"&gt;="&amp;CONCATENATE($L$6,"/",B68),Proventos!$D:$D,"&lt;"&amp;CONCATENATE($M$6,"/",B68)),
$K$2&lt;&gt;Data!$A$2,SUMIFS(Proventos!$H:$H,Proventos!$D:$D,"&gt;="&amp;CONCATENATE($L$6,"/",B68),Proventos!$D:$D,"&lt;"&amp;CONCATENATE($M$6,"/",B68),Proventos!$A:$A,"="&amp;$K$2))</f>
        <v>0</v>
      </c>
      <c r="M68" s="245">
        <f>IFS(
AND($H$2=Data!$A$3,$K$2=Data!$A$2),SUMIFS(Proventos!$H:$H,Proventos!$D:$D,"&gt;="&amp;CONCATENATE($M$6,"/",B68),Proventos!$D:$D,"&lt;"&amp;CONCATENATE($N$6,"/",B68),Proventos!$J:$J,"="&amp;$H$2),
AND($H$2=Data!$A$4,$K$2=Data!$A$2),SUMIFS(Proventos!$H:$H,Proventos!$D:$D,"&gt;="&amp;CONCATENATE($M$6,"/",B68),Proventos!$D:$D,"&lt;"&amp;CONCATENATE($N$6,"/",B68),Proventos!$J:$J,"="&amp;$H$2),
AND($H$2=Data!$A$5,$K$2=Data!$A$2),SUMIFS(Proventos!$H:$H,Proventos!$D:$D,"&gt;="&amp;CONCATENATE($M$6,"/",B68),Proventos!$D:$D,"&lt;"&amp;CONCATENATE($N$6,"/",B68),Proventos!$J:$J,"="&amp;$H$2),
AND($H$2=Data!$A$6,$K$2=Data!$A$2),SUMIFS(Proventos!$H:$H,Proventos!$D:$D,"&gt;="&amp;CONCATENATE($M$6,"/",B68),Proventos!$D:$D,"&lt;"&amp;CONCATENATE($N$6,"/",B68),Proventos!$J:$J,"="&amp;$H$2),
AND($H$2=Data!$A$7,$K$2=Data!$A$2),SUMIFS(Proventos!$H:$H,Proventos!$D:$D,"&gt;="&amp;CONCATENATE($M$6,"/",B68),Proventos!$D:$D,"&lt;"&amp;CONCATENATE($N$6,"/",B68),Proventos!$J:$J,"="&amp;$H$2),
AND($H$2=Data!$A$8,$K$2=Data!$A$2),SUMIFS(Proventos!$H:$H,Proventos!$D:$D,"&gt;="&amp;CONCATENATE($M$6,"/",B68),Proventos!$D:$D,"&lt;"&amp;CONCATENATE($N$6,"/",B68),Proventos!$J:$J,"="&amp;$H$2),
AND($H$2=Data!$A$9,$K$2=Data!$A$2),SUMIFS(Proventos!$H:$H,Proventos!$D:$D,"&gt;="&amp;CONCATENATE($M$6,"/",B68),Proventos!$D:$D,"&lt;"&amp;CONCATENATE($N$6,"/",B68),Proventos!$J:$J,"="&amp;$H$2),
AND($H$2=Data!$A$10,$K$2=Data!$A$2),SUMIFS(Proventos!$H:$H,Proventos!$D:$D,"&gt;="&amp;CONCATENATE($M$6,"/",B68),Proventos!$D:$D,"&lt;"&amp;CONCATENATE($N$6,"/",B68),Proventos!$J:$J,"="&amp;$H$2),
AND($H$2=Data!$A$11,$K$2=Data!$A$2),SUMIFS(Proventos!$H:$H,Proventos!$D:$D,"&gt;="&amp;CONCATENATE($M$6,"/",B68),Proventos!$D:$D,"&lt;"&amp;CONCATENATE($N$6,"/",B68),Proventos!$J:$J,"="&amp;$H$2),
$K$2=Data!$A$2,SUMIFS(Proventos!$H:$H,Proventos!$D:$D,"&gt;="&amp;CONCATENATE($M$6,"/",B68),Proventos!$D:$D,"&lt;"&amp;CONCATENATE($N$6,"/",B68)),
$K$2&lt;&gt;Data!$A$2,SUMIFS(Proventos!$H:$H,Proventos!$D:$D,"&gt;="&amp;CONCATENATE($M$6,"/",B68),Proventos!$D:$D,"&lt;"&amp;CONCATENATE($N$6,"/",B68),Proventos!$A:$A,"="&amp;$K$2))</f>
        <v>0</v>
      </c>
      <c r="N68" s="245">
        <f>IFS(
AND($H$2=Data!$A$3,$K$2=Data!$A$2),SUMIFS(Proventos!$H:$H,Proventos!$D:$D,"&gt;="&amp;CONCATENATE($N$6,"/",B68),Proventos!$D:$D,"&lt;"&amp;CONCATENATE($C$6,"/",B69),Proventos!$J:$J,"="&amp;$H$2),
AND($H$2=Data!$A$4,$K$2=Data!$A$2),SUMIFS(Proventos!$H:$H,Proventos!$D:$D,"&gt;="&amp;CONCATENATE($N$6,"/",B68),Proventos!$D:$D,"&lt;"&amp;CONCATENATE($C$6,"/",B69),Proventos!$J:$J,"="&amp;$H$2),
AND($H$2=Data!$A$5,$K$2=Data!$A$2),SUMIFS(Proventos!$H:$H,Proventos!$D:$D,"&gt;="&amp;CONCATENATE($N$6,"/",B68),Proventos!$D:$D,"&lt;"&amp;CONCATENATE($C$6,"/",B69),Proventos!$J:$J,"="&amp;$H$2),
AND($H$2=Data!$A$6,$K$2=Data!$A$2),SUMIFS(Proventos!$H:$H,Proventos!$D:$D,"&gt;="&amp;CONCATENATE($N$6,"/",B68),Proventos!$D:$D,"&lt;"&amp;CONCATENATE($C$6,"/",B69),Proventos!$J:$J,"="&amp;$H$2),
AND($H$2=Data!$A$7,$K$2=Data!$A$2),SUMIFS(Proventos!$H:$H,Proventos!$D:$D,"&gt;="&amp;CONCATENATE($N$6,"/",B68),Proventos!$D:$D,"&lt;"&amp;CONCATENATE($C$6,"/",B69),Proventos!$J:$J,"="&amp;$H$2),
AND($H$2=Data!$A$8,$K$2=Data!$A$2),SUMIFS(Proventos!$H:$H,Proventos!$D:$D,"&gt;="&amp;CONCATENATE($N$6,"/",B68),Proventos!$D:$D,"&lt;"&amp;CONCATENATE($C$6,"/",B69),Proventos!$J:$J,"="&amp;$H$2),
AND($H$2=Data!$A$9,$K$2=Data!$A$2),SUMIFS(Proventos!$H:$H,Proventos!$D:$D,"&gt;="&amp;CONCATENATE($N$6,"/",B68),Proventos!$D:$D,"&lt;"&amp;CONCATENATE($C$6,"/",B69),Proventos!$J:$J,"="&amp;$H$2),
AND($H$2=Data!$A$10,$K$2=Data!$A$2),SUMIFS(Proventos!$H:$H,Proventos!$D:$D,"&gt;="&amp;CONCATENATE($N$6,"/",B68),Proventos!$D:$D,"&lt;"&amp;CONCATENATE($C$6,"/",B69),Proventos!$J:$J,"="&amp;$H$2),
AND($H$2=Data!$A$11,$K$2=Data!$A$2),SUMIFS(Proventos!$H:$H,Proventos!$D:$D,"&gt;="&amp;CONCATENATE($N$6,"/",B68),Proventos!$D:$D,"&lt;"&amp;CONCATENATE($C$6,"/",B69),Proventos!$J:$J,"="&amp;$H$2),
$K$2=Data!$A$2,SUMIFS(Proventos!$H:$H,Proventos!$D:$D,"&gt;="&amp;CONCATENATE($N$6,"/",B68),Proventos!$D:$D,"&lt;"&amp;CONCATENATE($C$6,"/",B69)),
$K$2&lt;&gt;Data!$A$2,SUMIFS(Proventos!$H:$H,Proventos!$D:$D,"&gt;="&amp;CONCATENATE($N$6,"/",B68),Proventos!$D:$D,"&lt;"&amp;CONCATENATE($C$6,"/",B69),Proventos!$A:$A,"="&amp;$K$2))</f>
        <v>0</v>
      </c>
      <c r="O68" s="245"/>
      <c r="P68" s="245">
        <f t="shared" si="1"/>
        <v>0</v>
      </c>
      <c r="Q68" s="245">
        <f t="shared" si="2"/>
        <v>0</v>
      </c>
    </row>
    <row r="69" ht="32.25" customHeight="1">
      <c r="A69" s="230"/>
      <c r="B69" s="244"/>
      <c r="C69" s="245">
        <f>IFS(
AND($H$2=Data!$A$3,$K$2=Data!$A$2),SUMIFS(Proventos!$H:$H,Proventos!$D:$D,"&gt;="&amp;CONCATENATE($C$6,"/",B69),Proventos!$D:$D,"&lt;"&amp;CONCATENATE($D$6,"/",B69),Proventos!$J:$J,"="&amp;$H$2),
AND($H$2=Data!$A$4,$K$2=Data!$A$2),SUMIFS(Proventos!$H:$H,Proventos!$D:$D,"&gt;="&amp;CONCATENATE($C$6,"/",B69),Proventos!$D:$D,"&lt;"&amp;CONCATENATE($D$6,"/",B69),Proventos!$J:$J,"="&amp;$H$2),
AND($H$2=Data!$A$5,$K$2=Data!$A$2),SUMIFS(Proventos!$H:$H,Proventos!$D:$D,"&gt;="&amp;CONCATENATE($C$6,"/",B69),Proventos!$D:$D,"&lt;"&amp;CONCATENATE($D$6,"/",B69),Proventos!$J:$J,"="&amp;$H$2),
AND($H$2=Data!$A$6,$K$2=Data!$A$2),SUMIFS(Proventos!$H:$H,Proventos!$D:$D,"&gt;="&amp;CONCATENATE($C$6,"/",B69),Proventos!$D:$D,"&lt;"&amp;CONCATENATE($D$6,"/",B69),Proventos!$J:$J,"="&amp;$H$2),
AND($H$2=Data!$A$7,$K$2=Data!$A$2),SUMIFS(Proventos!$H:$H,Proventos!$D:$D,"&gt;="&amp;CONCATENATE($C$6,"/",B69),Proventos!$D:$D,"&lt;"&amp;CONCATENATE($D$6,"/",B69),Proventos!$J:$J,"="&amp;$H$2),
AND($H$2=Data!$A$8,$K$2=Data!$A$2),SUMIFS(Proventos!$H:$H,Proventos!$D:$D,"&gt;="&amp;CONCATENATE($C$6,"/",B69),Proventos!$D:$D,"&lt;"&amp;CONCATENATE($D$6,"/",B69),Proventos!$J:$J,"="&amp;$H$2),
AND($H$2=Data!$A$9,$K$2=Data!$A$2),SUMIFS(Proventos!$H:$H,Proventos!$D:$D,"&gt;="&amp;CONCATENATE($C$6,"/",B69),Proventos!$D:$D,"&lt;"&amp;CONCATENATE($D$6,"/",B69),Proventos!$J:$J,"="&amp;$H$2),
AND($H$2=Data!$A$10,$K$2=Data!$A$2),SUMIFS(Proventos!$H:$H,Proventos!$D:$D,"&gt;="&amp;CONCATENATE($C$6,"/",B69),Proventos!$D:$D,"&lt;"&amp;CONCATENATE($D$6,"/",B69),Proventos!$J:$J,"="&amp;$H$2),
AND($H$2=Data!$A$11,$K$2=Data!$A$2),SUMIFS(Proventos!$H:$H,Proventos!$D:$D,"&gt;="&amp;CONCATENATE($C$6,"/",B69),Proventos!$D:$D,"&lt;"&amp;CONCATENATE($D$6,"/",B69),Proventos!$J:$J,"="&amp;$H$2),
$K$2=Data!$A$2,SUMIFS(Proventos!$H:$H,Proventos!$D:$D,"&gt;="&amp;CONCATENATE($C$6,"/",B69),Proventos!$D:$D,"&lt;"&amp;CONCATENATE($D$6,"/",B69)),
$K$2&lt;&gt;Data!$A$2,SUMIFS(Proventos!$H:$H,Proventos!$D:$D,"&gt;="&amp;CONCATENATE($C$6,"/",B69),Proventos!$D:$D,"&lt;"&amp;CONCATENATE($D$6,"/",B69),Proventos!$A:$A,"="&amp;$K$2))</f>
        <v>0</v>
      </c>
      <c r="D69" s="245">
        <f>IFS(
AND($H$2=Data!$A$3,$K$2=Data!$A$2),SUMIFS(Proventos!$H:$H,Proventos!$D:$D,"&gt;="&amp;CONCATENATE($D$6,"/",B69),Proventos!$D:$D,"&lt;"&amp;CONCATENATE($E$6,"/",B69),Proventos!$J:$J,"="&amp;$H$2),
AND($H$2=Data!$A$4,$K$2=Data!$A$2),SUMIFS(Proventos!$H:$H,Proventos!$D:$D,"&gt;="&amp;CONCATENATE($D$6,"/",B69),Proventos!$D:$D,"&lt;"&amp;CONCATENATE($E$6,"/",B69),Proventos!$J:$J,"="&amp;$H$2),
AND($H$2=Data!$A$5,$K$2=Data!$A$2),SUMIFS(Proventos!$H:$H,Proventos!$D:$D,"&gt;="&amp;CONCATENATE($D$6,"/",B69),Proventos!$D:$D,"&lt;"&amp;CONCATENATE($E$6,"/",B69),Proventos!$J:$J,"="&amp;$H$2),
AND($H$2=Data!$A$6,$K$2=Data!$A$2),SUMIFS(Proventos!$H:$H,Proventos!$D:$D,"&gt;="&amp;CONCATENATE($D$6,"/",B69),Proventos!$D:$D,"&lt;"&amp;CONCATENATE($E$6,"/",B69),Proventos!$J:$J,"="&amp;$H$2),
AND($H$2=Data!$A$7,$K$2=Data!$A$2),SUMIFS(Proventos!$H:$H,Proventos!$D:$D,"&gt;="&amp;CONCATENATE($D$6,"/",B69),Proventos!$D:$D,"&lt;"&amp;CONCATENATE($E$6,"/",B69),Proventos!$J:$J,"="&amp;$H$2),
AND($H$2=Data!$A$8,$K$2=Data!$A$2),SUMIFS(Proventos!$H:$H,Proventos!$D:$D,"&gt;="&amp;CONCATENATE($D$6,"/",B69),Proventos!$D:$D,"&lt;"&amp;CONCATENATE($E$6,"/",B69),Proventos!$J:$J,"="&amp;$H$2),
AND($H$2=Data!$A$9,$K$2=Data!$A$2),SUMIFS(Proventos!$H:$H,Proventos!$D:$D,"&gt;="&amp;CONCATENATE($D$6,"/",B69),Proventos!$D:$D,"&lt;"&amp;CONCATENATE($E$6,"/",B69),Proventos!$J:$J,"="&amp;$H$2),
AND($H$2=Data!$A$10,$K$2=Data!$A$2),SUMIFS(Proventos!$H:$H,Proventos!$D:$D,"&gt;="&amp;CONCATENATE($D$6,"/",B69),Proventos!$D:$D,"&lt;"&amp;CONCATENATE($E$6,"/",B69),Proventos!$J:$J,"="&amp;$H$2),
AND($H$2=Data!$A$11,$K$2=Data!$A$2),SUMIFS(Proventos!$H:$H,Proventos!$D:$D,"&gt;="&amp;CONCATENATE($D$6,"/",B69),Proventos!$D:$D,"&lt;"&amp;CONCATENATE($E$6,"/",B69),Proventos!$J:$J,"="&amp;$H$2),
$K$2=Data!$A$2,SUMIFS(Proventos!$H:$H,Proventos!$D:$D,"&gt;="&amp;CONCATENATE($D$6,"/",B69),Proventos!$D:$D,"&lt;"&amp;CONCATENATE($E$6,"/",B69)),
$K$2&lt;&gt;Data!$A$2,SUMIFS(Proventos!$H:$H,Proventos!$D:$D,"&gt;="&amp;CONCATENATE($D$6,"/",B69),Proventos!$D:$D,"&lt;"&amp;CONCATENATE($E$6,"/",B69),Proventos!$A:$A,"="&amp;$K$2))</f>
        <v>0</v>
      </c>
      <c r="E69" s="245">
        <f>IFS(
AND($H$2=Data!$A$3,$K$2=Data!$A$2),SUMIFS(Proventos!$H:$H,Proventos!$D:$D,"&gt;="&amp;CONCATENATE($E$6,"/",B69),Proventos!$D:$D,"&lt;"&amp;CONCATENATE($F$6,"/",B69),Proventos!$J:$J,"="&amp;$H$2),
AND($H$2=Data!$A$4,$K$2=Data!$A$2),SUMIFS(Proventos!$H:$H,Proventos!$D:$D,"&gt;="&amp;CONCATENATE($E$6,"/",B69),Proventos!$D:$D,"&lt;"&amp;CONCATENATE($F$6,"/",B69),Proventos!$J:$J,"="&amp;$H$2),
AND($H$2=Data!$A$5,$K$2=Data!$A$2),SUMIFS(Proventos!$H:$H,Proventos!$D:$D,"&gt;="&amp;CONCATENATE($E$6,"/",B69),Proventos!$D:$D,"&lt;"&amp;CONCATENATE($F$6,"/",B69),Proventos!$J:$J,"="&amp;$H$2),
AND($H$2=Data!$A$6,$K$2=Data!$A$2),SUMIFS(Proventos!$H:$H,Proventos!$D:$D,"&gt;="&amp;CONCATENATE($E$6,"/",B69),Proventos!$D:$D,"&lt;"&amp;CONCATENATE($F$6,"/",B69),Proventos!$J:$J,"="&amp;$H$2),
AND($H$2=Data!$A$7,$K$2=Data!$A$2),SUMIFS(Proventos!$H:$H,Proventos!$D:$D,"&gt;="&amp;CONCATENATE($E$6,"/",B69),Proventos!$D:$D,"&lt;"&amp;CONCATENATE($F$6,"/",B69),Proventos!$J:$J,"="&amp;$H$2),
AND($H$2=Data!$A$8,$K$2=Data!$A$2),SUMIFS(Proventos!$H:$H,Proventos!$D:$D,"&gt;="&amp;CONCATENATE($E$6,"/",B69),Proventos!$D:$D,"&lt;"&amp;CONCATENATE($F$6,"/",B69),Proventos!$J:$J,"="&amp;$H$2),
AND($H$2=Data!$A$9,$K$2=Data!$A$2),SUMIFS(Proventos!$H:$H,Proventos!$D:$D,"&gt;="&amp;CONCATENATE($E$6,"/",B69),Proventos!$D:$D,"&lt;"&amp;CONCATENATE($F$6,"/",B69),Proventos!$J:$J,"="&amp;$H$2),
AND($H$2=Data!$A$10,$K$2=Data!$A$2),SUMIFS(Proventos!$H:$H,Proventos!$D:$D,"&gt;="&amp;CONCATENATE($E$6,"/",B69),Proventos!$D:$D,"&lt;"&amp;CONCATENATE($F$6,"/",B69),Proventos!$J:$J,"="&amp;$H$2),
AND($H$2=Data!$A$11,$K$2=Data!$A$2),SUMIFS(Proventos!$H:$H,Proventos!$D:$D,"&gt;="&amp;CONCATENATE($E$6,"/",B69),Proventos!$D:$D,"&lt;"&amp;CONCATENATE($F$6,"/",B69),Proventos!$J:$J,"="&amp;$H$2),
$K$2=Data!$A$2,SUMIFS(Proventos!$H:$H,Proventos!$D:$D,"&gt;="&amp;CONCATENATE($E$6,"/",B69),Proventos!$D:$D,"&lt;"&amp;CONCATENATE($F$6,"/",B69)),
$K$2&lt;&gt;Data!$A$2,SUMIFS(Proventos!$H:$H,Proventos!$D:$D,"&gt;="&amp;CONCATENATE($E$6,"/",B69),Proventos!$D:$D,"&lt;"&amp;CONCATENATE($F$6,"/",B69),Proventos!$A:$A,"="&amp;$K$2))</f>
        <v>0</v>
      </c>
      <c r="F69" s="245">
        <f>IFS(
AND($H$2=Data!$A$3,$K$2=Data!$A$2),SUMIFS(Proventos!$H:$H,Proventos!$D:$D,"&gt;="&amp;CONCATENATE($F$6,"/",B69),Proventos!$D:$D,"&lt;"&amp;CONCATENATE($G$6,"/",B69),Proventos!$J:$J,"="&amp;$H$2),
AND($H$2=Data!$A$4,$K$2=Data!$A$2),SUMIFS(Proventos!$H:$H,Proventos!$D:$D,"&gt;="&amp;CONCATENATE($F$6,"/",B69),Proventos!$D:$D,"&lt;"&amp;CONCATENATE($G$6,"/",B69),Proventos!$J:$J,"="&amp;$H$2),
AND($H$2=Data!$A$5,$K$2=Data!$A$2),SUMIFS(Proventos!$H:$H,Proventos!$D:$D,"&gt;="&amp;CONCATENATE($F$6,"/",B69),Proventos!$D:$D,"&lt;"&amp;CONCATENATE($G$6,"/",B69),Proventos!$J:$J,"="&amp;$H$2),
AND($H$2=Data!$A$6,$K$2=Data!$A$2),SUMIFS(Proventos!$H:$H,Proventos!$D:$D,"&gt;="&amp;CONCATENATE($F$6,"/",B69),Proventos!$D:$D,"&lt;"&amp;CONCATENATE($G$6,"/",B69),Proventos!$J:$J,"="&amp;$H$2),
AND($H$2=Data!$A$7,$K$2=Data!$A$2),SUMIFS(Proventos!$H:$H,Proventos!$D:$D,"&gt;="&amp;CONCATENATE($F$6,"/",B69),Proventos!$D:$D,"&lt;"&amp;CONCATENATE($G$6,"/",B69),Proventos!$J:$J,"="&amp;$H$2),
AND($H$2=Data!$A$8,$K$2=Data!$A$2),SUMIFS(Proventos!$H:$H,Proventos!$D:$D,"&gt;="&amp;CONCATENATE($F$6,"/",B69),Proventos!$D:$D,"&lt;"&amp;CONCATENATE($G$6,"/",B69),Proventos!$J:$J,"="&amp;$H$2),
AND($H$2=Data!$A$9,$K$2=Data!$A$2),SUMIFS(Proventos!$H:$H,Proventos!$D:$D,"&gt;="&amp;CONCATENATE($F$6,"/",B69),Proventos!$D:$D,"&lt;"&amp;CONCATENATE($G$6,"/",B69),Proventos!$J:$J,"="&amp;$H$2),
AND($H$2=Data!$A$10,$K$2=Data!$A$2),SUMIFS(Proventos!$H:$H,Proventos!$D:$D,"&gt;="&amp;CONCATENATE($F$6,"/",B69),Proventos!$D:$D,"&lt;"&amp;CONCATENATE($G$6,"/",B69),Proventos!$J:$J,"="&amp;$H$2),
AND($H$2=Data!$A$11,$K$2=Data!$A$2),SUMIFS(Proventos!$H:$H,Proventos!$D:$D,"&gt;="&amp;CONCATENATE($F$6,"/",B69),Proventos!$D:$D,"&lt;"&amp;CONCATENATE($G$6,"/",B69),Proventos!$J:$J,"="&amp;$H$2),
$K$2=Data!$A$2,SUMIFS(Proventos!$H:$H,Proventos!$D:$D,"&gt;="&amp;CONCATENATE($F$6,"/",B69),Proventos!$D:$D,"&lt;"&amp;CONCATENATE($G$6,"/",B69)),
$K$2&lt;&gt;Data!$A$2,SUMIFS(Proventos!$H:$H,Proventos!$D:$D,"&gt;="&amp;CONCATENATE($F$6,"/",B69),Proventos!$D:$D,"&lt;"&amp;CONCATENATE($G$6,"/",B69),Proventos!$A:$A,"="&amp;$K$2))</f>
        <v>0</v>
      </c>
      <c r="G69" s="245">
        <f>IFS(
AND($H$2=Data!$A$3,$K$2=Data!$A$2),SUMIFS(Proventos!$H:$H,Proventos!$D:$D,"&gt;="&amp;CONCATENATE($G$6,"/",B69),Proventos!$D:$D,"&lt;"&amp;CONCATENATE($H$6,"/",B69),Proventos!$J:$J,"="&amp;$H$2),
AND($H$2=Data!$A$4,$K$2=Data!$A$2),SUMIFS(Proventos!$H:$H,Proventos!$D:$D,"&gt;="&amp;CONCATENATE($G$6,"/",B69),Proventos!$D:$D,"&lt;"&amp;CONCATENATE($H$6,"/",B69),Proventos!$J:$J,"="&amp;$H$2),
AND($H$2=Data!$A$5,$K$2=Data!$A$2),SUMIFS(Proventos!$H:$H,Proventos!$D:$D,"&gt;="&amp;CONCATENATE($G$6,"/",B69),Proventos!$D:$D,"&lt;"&amp;CONCATENATE($H$6,"/",B69),Proventos!$J:$J,"="&amp;$H$2),
AND($H$2=Data!$A$6,$K$2=Data!$A$2),SUMIFS(Proventos!$H:$H,Proventos!$D:$D,"&gt;="&amp;CONCATENATE($G$6,"/",B69),Proventos!$D:$D,"&lt;"&amp;CONCATENATE($H$6,"/",B69),Proventos!$J:$J,"="&amp;$H$2),
AND($H$2=Data!$A$7,$K$2=Data!$A$2),SUMIFS(Proventos!$H:$H,Proventos!$D:$D,"&gt;="&amp;CONCATENATE($G$6,"/",B69),Proventos!$D:$D,"&lt;"&amp;CONCATENATE($H$6,"/",B69),Proventos!$J:$J,"="&amp;$H$2),
AND($H$2=Data!$A$8,$K$2=Data!$A$2),SUMIFS(Proventos!$H:$H,Proventos!$D:$D,"&gt;="&amp;CONCATENATE($G$6,"/",B69),Proventos!$D:$D,"&lt;"&amp;CONCATENATE($H$6,"/",B69),Proventos!$J:$J,"="&amp;$H$2),
AND($H$2=Data!$A$9,$K$2=Data!$A$2),SUMIFS(Proventos!$H:$H,Proventos!$D:$D,"&gt;="&amp;CONCATENATE($G$6,"/",B69),Proventos!$D:$D,"&lt;"&amp;CONCATENATE($H$6,"/",B69),Proventos!$J:$J,"="&amp;$H$2),
AND($H$2=Data!$A$10,$K$2=Data!$A$2),SUMIFS(Proventos!$H:$H,Proventos!$D:$D,"&gt;="&amp;CONCATENATE($G$6,"/",B69),Proventos!$D:$D,"&lt;"&amp;CONCATENATE($H$6,"/",B69),Proventos!$J:$J,"="&amp;$H$2),
AND($H$2=Data!$A$11,$K$2=Data!$A$2),SUMIFS(Proventos!$H:$H,Proventos!$D:$D,"&gt;="&amp;CONCATENATE($G$6,"/",B69),Proventos!$D:$D,"&lt;"&amp;CONCATENATE($H$6,"/",B69),Proventos!$J:$J,"="&amp;$H$2),
$K$2=Data!$A$2,SUMIFS(Proventos!$H:$H,Proventos!$D:$D,"&gt;="&amp;CONCATENATE($G$6,"/",B69),Proventos!$D:$D,"&lt;"&amp;CONCATENATE($H$6,"/",B69)),
$K$2&lt;&gt;Data!$A$2,SUMIFS(Proventos!$H:$H,Proventos!$D:$D,"&gt;="&amp;CONCATENATE($G$6,"/",B69),Proventos!$D:$D,"&lt;"&amp;CONCATENATE($H$6,"/",B69),Proventos!$A:$A,"="&amp;$K$2))</f>
        <v>0</v>
      </c>
      <c r="H69" s="245">
        <f>IFS(
AND($H$2=Data!$A$3,$K$2=Data!$A$2),SUMIFS(Proventos!$H:$H,Proventos!$D:$D,"&gt;="&amp;CONCATENATE($H$6,"/",B69),Proventos!$D:$D,"&lt;"&amp;CONCATENATE($I$6,"/",B69),Proventos!$J:$J,"="&amp;$H$2),
AND($H$2=Data!$A$4,$K$2=Data!$A$2),SUMIFS(Proventos!$H:$H,Proventos!$D:$D,"&gt;="&amp;CONCATENATE($H$6,"/",B69),Proventos!$D:$D,"&lt;"&amp;CONCATENATE($I$6,"/",B69),Proventos!$J:$J,"="&amp;$H$2),
AND($H$2=Data!$A$5,$K$2=Data!$A$2),SUMIFS(Proventos!$H:$H,Proventos!$D:$D,"&gt;="&amp;CONCATENATE($H$6,"/",B69),Proventos!$D:$D,"&lt;"&amp;CONCATENATE($I$6,"/",B69),Proventos!$J:$J,"="&amp;$H$2),
AND($H$2=Data!$A$6,$K$2=Data!$A$2),SUMIFS(Proventos!$H:$H,Proventos!$D:$D,"&gt;="&amp;CONCATENATE($H$6,"/",B69),Proventos!$D:$D,"&lt;"&amp;CONCATENATE($I$6,"/",B69),Proventos!$J:$J,"="&amp;$H$2),
AND($H$2=Data!$A$7,$K$2=Data!$A$2),SUMIFS(Proventos!$H:$H,Proventos!$D:$D,"&gt;="&amp;CONCATENATE($H$6,"/",B69),Proventos!$D:$D,"&lt;"&amp;CONCATENATE($I$6,"/",B69),Proventos!$J:$J,"="&amp;$H$2),
AND($H$2=Data!$A$8,$K$2=Data!$A$2),SUMIFS(Proventos!$H:$H,Proventos!$D:$D,"&gt;="&amp;CONCATENATE($H$6,"/",B69),Proventos!$D:$D,"&lt;"&amp;CONCATENATE($I$6,"/",B69),Proventos!$J:$J,"="&amp;$H$2),
AND($H$2=Data!$A$9,$K$2=Data!$A$2),SUMIFS(Proventos!$H:$H,Proventos!$D:$D,"&gt;="&amp;CONCATENATE($H$6,"/",B69),Proventos!$D:$D,"&lt;"&amp;CONCATENATE($I$6,"/",B69),Proventos!$J:$J,"="&amp;$H$2),
AND($H$2=Data!$A$10,$K$2=Data!$A$2),SUMIFS(Proventos!$H:$H,Proventos!$D:$D,"&gt;="&amp;CONCATENATE($H$6,"/",B69),Proventos!$D:$D,"&lt;"&amp;CONCATENATE($I$6,"/",B69),Proventos!$J:$J,"="&amp;$H$2),
AND($H$2=Data!$A$11,$K$2=Data!$A$2),SUMIFS(Proventos!$H:$H,Proventos!$D:$D,"&gt;="&amp;CONCATENATE($H$6,"/",B69),Proventos!$D:$D,"&lt;"&amp;CONCATENATE($I$6,"/",B69),Proventos!$J:$J,"="&amp;$H$2),
$K$2=Data!$A$2,SUMIFS(Proventos!$H:$H,Proventos!$D:$D,"&gt;="&amp;CONCATENATE($H$6,"/",B69),Proventos!$D:$D,"&lt;"&amp;CONCATENATE($I$6,"/",B69)),
$K$2&lt;&gt;Data!$A$2,SUMIFS(Proventos!$H:$H,Proventos!$D:$D,"&gt;="&amp;CONCATENATE($H$6,"/",B69),Proventos!$D:$D,"&lt;"&amp;CONCATENATE($I$6,"/",B69),Proventos!$A:$A,"="&amp;$K$2))</f>
        <v>0</v>
      </c>
      <c r="I69" s="245">
        <f>IFS(
AND($H$2=Data!$A$3,$K$2=Data!$A$2),SUMIFS(Proventos!$H:$H,Proventos!$D:$D,"&gt;="&amp;CONCATENATE($I$6,"/",B69),Proventos!$D:$D,"&lt;"&amp;CONCATENATE($J$6,"/",B69),Proventos!$J:$J,"="&amp;$H$2),
AND($H$2=Data!$A$4,$K$2=Data!$A$2),SUMIFS(Proventos!$H:$H,Proventos!$D:$D,"&gt;="&amp;CONCATENATE($I$6,"/",B69),Proventos!$D:$D,"&lt;"&amp;CONCATENATE($J$6,"/",B69),Proventos!$J:$J,"="&amp;$H$2),
AND($H$2=Data!$A$5,$K$2=Data!$A$2),SUMIFS(Proventos!$H:$H,Proventos!$D:$D,"&gt;="&amp;CONCATENATE($I$6,"/",B69),Proventos!$D:$D,"&lt;"&amp;CONCATENATE($J$6,"/",B69),Proventos!$J:$J,"="&amp;$H$2),
AND($H$2=Data!$A$6,$K$2=Data!$A$2),SUMIFS(Proventos!$H:$H,Proventos!$D:$D,"&gt;="&amp;CONCATENATE($I$6,"/",B69),Proventos!$D:$D,"&lt;"&amp;CONCATENATE($J$6,"/",B69),Proventos!$J:$J,"="&amp;$H$2),
AND($H$2=Data!$A$7,$K$2=Data!$A$2),SUMIFS(Proventos!$H:$H,Proventos!$D:$D,"&gt;="&amp;CONCATENATE($I$6,"/",B69),Proventos!$D:$D,"&lt;"&amp;CONCATENATE($J$6,"/",B69),Proventos!$J:$J,"="&amp;$H$2),
AND($H$2=Data!$A$8,$K$2=Data!$A$2),SUMIFS(Proventos!$H:$H,Proventos!$D:$D,"&gt;="&amp;CONCATENATE($I$6,"/",B69),Proventos!$D:$D,"&lt;"&amp;CONCATENATE($J$6,"/",B69),Proventos!$J:$J,"="&amp;$H$2),
AND($H$2=Data!$A$9,$K$2=Data!$A$2),SUMIFS(Proventos!$H:$H,Proventos!$D:$D,"&gt;="&amp;CONCATENATE($I$6,"/",B69),Proventos!$D:$D,"&lt;"&amp;CONCATENATE($J$6,"/",B69),Proventos!$J:$J,"="&amp;$H$2),
AND($H$2=Data!$A$10,$K$2=Data!$A$2),SUMIFS(Proventos!$H:$H,Proventos!$D:$D,"&gt;="&amp;CONCATENATE($I$6,"/",B69),Proventos!$D:$D,"&lt;"&amp;CONCATENATE($J$6,"/",B69),Proventos!$J:$J,"="&amp;$H$2),
AND($H$2=Data!$A$11,$K$2=Data!$A$2),SUMIFS(Proventos!$H:$H,Proventos!$D:$D,"&gt;="&amp;CONCATENATE($I$6,"/",B69),Proventos!$D:$D,"&lt;"&amp;CONCATENATE($J$6,"/",B69),Proventos!$J:$J,"="&amp;$H$2),
$K$2=Data!$A$2,SUMIFS(Proventos!$H:$H,Proventos!$D:$D,"&gt;="&amp;CONCATENATE($I$6,"/",B69),Proventos!$D:$D,"&lt;"&amp;CONCATENATE($J$6,"/",B69)),
$K$2&lt;&gt;Data!$A$2,SUMIFS(Proventos!$H:$H,Proventos!$D:$D,"&gt;="&amp;CONCATENATE($I$6,"/",B69),Proventos!$D:$D,"&lt;"&amp;CONCATENATE($J$6,"/",B69),Proventos!$A:$A,"="&amp;$K$2))</f>
        <v>0</v>
      </c>
      <c r="J69" s="245">
        <f>IFS(
AND($H$2=Data!$A$3,$K$2=Data!$A$2),SUMIFS(Proventos!$H:$H,Proventos!$D:$D,"&gt;="&amp;CONCATENATE($J$6,"/",B69),Proventos!$D:$D,"&lt;"&amp;CONCATENATE($K$6,"/",B69),Proventos!$J:$J,"="&amp;$H$2),
AND($H$2=Data!$A$4,$K$2=Data!$A$2),SUMIFS(Proventos!$H:$H,Proventos!$D:$D,"&gt;="&amp;CONCATENATE($J$6,"/",B69),Proventos!$D:$D,"&lt;"&amp;CONCATENATE($K$6,"/",B69),Proventos!$J:$J,"="&amp;$H$2),
AND($H$2=Data!$A$5,$K$2=Data!$A$2),SUMIFS(Proventos!$H:$H,Proventos!$D:$D,"&gt;="&amp;CONCATENATE($J$6,"/",B69),Proventos!$D:$D,"&lt;"&amp;CONCATENATE($K$6,"/",B69),Proventos!$J:$J,"="&amp;$H$2),
AND($H$2=Data!$A$6,$K$2=Data!$A$2),SUMIFS(Proventos!$H:$H,Proventos!$D:$D,"&gt;="&amp;CONCATENATE($J$6,"/",B69),Proventos!$D:$D,"&lt;"&amp;CONCATENATE($K$6,"/",B69),Proventos!$J:$J,"="&amp;$H$2),
AND($H$2=Data!$A$7,$K$2=Data!$A$2),SUMIFS(Proventos!$H:$H,Proventos!$D:$D,"&gt;="&amp;CONCATENATE($J$6,"/",B69),Proventos!$D:$D,"&lt;"&amp;CONCATENATE($K$6,"/",B69),Proventos!$J:$J,"="&amp;$H$2),
AND($H$2=Data!$A$8,$K$2=Data!$A$2),SUMIFS(Proventos!$H:$H,Proventos!$D:$D,"&gt;="&amp;CONCATENATE($J$6,"/",B69),Proventos!$D:$D,"&lt;"&amp;CONCATENATE($K$6,"/",B69),Proventos!$J:$J,"="&amp;$H$2),
AND($H$2=Data!$A$9,$K$2=Data!$A$2),SUMIFS(Proventos!$H:$H,Proventos!$D:$D,"&gt;="&amp;CONCATENATE($J$6,"/",B69),Proventos!$D:$D,"&lt;"&amp;CONCATENATE($K$6,"/",B69),Proventos!$J:$J,"="&amp;$H$2),
AND($H$2=Data!$A$10,$K$2=Data!$A$2),SUMIFS(Proventos!$H:$H,Proventos!$D:$D,"&gt;="&amp;CONCATENATE($J$6,"/",B69),Proventos!$D:$D,"&lt;"&amp;CONCATENATE($K$6,"/",B69),Proventos!$J:$J,"="&amp;$H$2),
AND($H$2=Data!$A$11,$K$2=Data!$A$2),SUMIFS(Proventos!$H:$H,Proventos!$D:$D,"&gt;="&amp;CONCATENATE($J$6,"/",B69),Proventos!$D:$D,"&lt;"&amp;CONCATENATE($K$6,"/",B69),Proventos!$J:$J,"="&amp;$H$2),
$K$2=Data!$A$2,SUMIFS(Proventos!$H:$H,Proventos!$D:$D,"&gt;="&amp;CONCATENATE($J$6,"/",B69),Proventos!$D:$D,"&lt;"&amp;CONCATENATE($K$6,"/",B69)),
$K$2&lt;&gt;Data!$A$2,SUMIFS(Proventos!$H:$H,Proventos!$D:$D,"&gt;="&amp;CONCATENATE($J$6,"/",B69),Proventos!$D:$D,"&lt;"&amp;CONCATENATE($K$6,"/",B69),Proventos!$A:$A,"="&amp;$K$2))</f>
        <v>0</v>
      </c>
      <c r="K69" s="245">
        <f>IFS(
AND($H$2=Data!$A$3,$K$2=Data!$A$2),SUMIFS(Proventos!$H:$H,Proventos!$D:$D,"&gt;="&amp;CONCATENATE($K$6,"/",B69),Proventos!$D:$D,"&lt;"&amp;CONCATENATE($L$6,"/",B69),Proventos!$J:$J,"="&amp;$H$2),
AND($H$2=Data!$A$4,$K$2=Data!$A$2),SUMIFS(Proventos!$H:$H,Proventos!$D:$D,"&gt;="&amp;CONCATENATE($K$6,"/",B69),Proventos!$D:$D,"&lt;"&amp;CONCATENATE($L$6,"/",B69),Proventos!$J:$J,"="&amp;$H$2),
AND($H$2=Data!$A$5,$K$2=Data!$A$2),SUMIFS(Proventos!$H:$H,Proventos!$D:$D,"&gt;="&amp;CONCATENATE($K$6,"/",B69),Proventos!$D:$D,"&lt;"&amp;CONCATENATE($L$6,"/",B69),Proventos!$J:$J,"="&amp;$H$2),
AND($H$2=Data!$A$6,$K$2=Data!$A$2),SUMIFS(Proventos!$H:$H,Proventos!$D:$D,"&gt;="&amp;CONCATENATE($K$6,"/",B69),Proventos!$D:$D,"&lt;"&amp;CONCATENATE($L$6,"/",B69),Proventos!$J:$J,"="&amp;$H$2),
AND($H$2=Data!$A$7,$K$2=Data!$A$2),SUMIFS(Proventos!$H:$H,Proventos!$D:$D,"&gt;="&amp;CONCATENATE($K$6,"/",B69),Proventos!$D:$D,"&lt;"&amp;CONCATENATE($L$6,"/",B69),Proventos!$J:$J,"="&amp;$H$2),
AND($H$2=Data!$A$8,$K$2=Data!$A$2),SUMIFS(Proventos!$H:$H,Proventos!$D:$D,"&gt;="&amp;CONCATENATE($K$6,"/",B69),Proventos!$D:$D,"&lt;"&amp;CONCATENATE($L$6,"/",B69),Proventos!$J:$J,"="&amp;$H$2),
AND($H$2=Data!$A$9,$K$2=Data!$A$2),SUMIFS(Proventos!$H:$H,Proventos!$D:$D,"&gt;="&amp;CONCATENATE($K$6,"/",B69),Proventos!$D:$D,"&lt;"&amp;CONCATENATE($L$6,"/",B69),Proventos!$J:$J,"="&amp;$H$2),
AND($H$2=Data!$A$10,$K$2=Data!$A$2),SUMIFS(Proventos!$H:$H,Proventos!$D:$D,"&gt;="&amp;CONCATENATE($K$6,"/",B69),Proventos!$D:$D,"&lt;"&amp;CONCATENATE($L$6,"/",B69),Proventos!$J:$J,"="&amp;$H$2),
AND($H$2=Data!$A$11,$K$2=Data!$A$2),SUMIFS(Proventos!$H:$H,Proventos!$D:$D,"&gt;="&amp;CONCATENATE($K$6,"/",B69),Proventos!$D:$D,"&lt;"&amp;CONCATENATE($L$6,"/",B69),Proventos!$J:$J,"="&amp;$H$2),
$K$2=Data!$A$2,SUMIFS(Proventos!$H:$H,Proventos!$D:$D,"&gt;="&amp;CONCATENATE($K$6,"/",B69),Proventos!$D:$D,"&lt;"&amp;CONCATENATE($L$6,"/",B69)),
$K$2&lt;&gt;Data!$A$2,SUMIFS(Proventos!$H:$H,Proventos!$D:$D,"&gt;="&amp;CONCATENATE($K$6,"/",B69),Proventos!$D:$D,"&lt;"&amp;CONCATENATE($L$6,"/",B69),Proventos!$A:$A,"="&amp;$K$2))</f>
        <v>0</v>
      </c>
      <c r="L69" s="245">
        <f>IFS(
AND($H$2=Data!$A$3,$K$2=Data!$A$2),SUMIFS(Proventos!$H:$H,Proventos!$D:$D,"&gt;="&amp;CONCATENATE($L$6,"/",B69),Proventos!$D:$D,"&lt;"&amp;CONCATENATE($M$6,"/",B69),Proventos!$J:$J,"="&amp;$H$2),
AND($H$2=Data!$A$4,$K$2=Data!$A$2),SUMIFS(Proventos!$H:$H,Proventos!$D:$D,"&gt;="&amp;CONCATENATE($L$6,"/",B69),Proventos!$D:$D,"&lt;"&amp;CONCATENATE($M$6,"/",B69),Proventos!$J:$J,"="&amp;$H$2),
AND($H$2=Data!$A$5,$K$2=Data!$A$2),SUMIFS(Proventos!$H:$H,Proventos!$D:$D,"&gt;="&amp;CONCATENATE($L$6,"/",B69),Proventos!$D:$D,"&lt;"&amp;CONCATENATE($M$6,"/",B69),Proventos!$J:$J,"="&amp;$H$2),
AND($H$2=Data!$A$6,$K$2=Data!$A$2),SUMIFS(Proventos!$H:$H,Proventos!$D:$D,"&gt;="&amp;CONCATENATE($L$6,"/",B69),Proventos!$D:$D,"&lt;"&amp;CONCATENATE($M$6,"/",B69),Proventos!$J:$J,"="&amp;$H$2),
AND($H$2=Data!$A$7,$K$2=Data!$A$2),SUMIFS(Proventos!$H:$H,Proventos!$D:$D,"&gt;="&amp;CONCATENATE($L$6,"/",B69),Proventos!$D:$D,"&lt;"&amp;CONCATENATE($M$6,"/",B69),Proventos!$J:$J,"="&amp;$H$2),
AND($H$2=Data!$A$8,$K$2=Data!$A$2),SUMIFS(Proventos!$H:$H,Proventos!$D:$D,"&gt;="&amp;CONCATENATE($L$6,"/",B69),Proventos!$D:$D,"&lt;"&amp;CONCATENATE($M$6,"/",B69),Proventos!$J:$J,"="&amp;$H$2),
AND($H$2=Data!$A$9,$K$2=Data!$A$2),SUMIFS(Proventos!$H:$H,Proventos!$D:$D,"&gt;="&amp;CONCATENATE($L$6,"/",B69),Proventos!$D:$D,"&lt;"&amp;CONCATENATE($M$6,"/",B69),Proventos!$J:$J,"="&amp;$H$2),
AND($H$2=Data!$A$10,$K$2=Data!$A$2),SUMIFS(Proventos!$H:$H,Proventos!$D:$D,"&gt;="&amp;CONCATENATE($L$6,"/",B69),Proventos!$D:$D,"&lt;"&amp;CONCATENATE($M$6,"/",B69),Proventos!$J:$J,"="&amp;$H$2),
AND($H$2=Data!$A$11,$K$2=Data!$A$2),SUMIFS(Proventos!$H:$H,Proventos!$D:$D,"&gt;="&amp;CONCATENATE($L$6,"/",B69),Proventos!$D:$D,"&lt;"&amp;CONCATENATE($M$6,"/",B69),Proventos!$J:$J,"="&amp;$H$2),
$K$2=Data!$A$2,SUMIFS(Proventos!$H:$H,Proventos!$D:$D,"&gt;="&amp;CONCATENATE($L$6,"/",B69),Proventos!$D:$D,"&lt;"&amp;CONCATENATE($M$6,"/",B69)),
$K$2&lt;&gt;Data!$A$2,SUMIFS(Proventos!$H:$H,Proventos!$D:$D,"&gt;="&amp;CONCATENATE($L$6,"/",B69),Proventos!$D:$D,"&lt;"&amp;CONCATENATE($M$6,"/",B69),Proventos!$A:$A,"="&amp;$K$2))</f>
        <v>0</v>
      </c>
      <c r="M69" s="245">
        <f>IFS(
AND($H$2=Data!$A$3,$K$2=Data!$A$2),SUMIFS(Proventos!$H:$H,Proventos!$D:$D,"&gt;="&amp;CONCATENATE($M$6,"/",B69),Proventos!$D:$D,"&lt;"&amp;CONCATENATE($N$6,"/",B69),Proventos!$J:$J,"="&amp;$H$2),
AND($H$2=Data!$A$4,$K$2=Data!$A$2),SUMIFS(Proventos!$H:$H,Proventos!$D:$D,"&gt;="&amp;CONCATENATE($M$6,"/",B69),Proventos!$D:$D,"&lt;"&amp;CONCATENATE($N$6,"/",B69),Proventos!$J:$J,"="&amp;$H$2),
AND($H$2=Data!$A$5,$K$2=Data!$A$2),SUMIFS(Proventos!$H:$H,Proventos!$D:$D,"&gt;="&amp;CONCATENATE($M$6,"/",B69),Proventos!$D:$D,"&lt;"&amp;CONCATENATE($N$6,"/",B69),Proventos!$J:$J,"="&amp;$H$2),
AND($H$2=Data!$A$6,$K$2=Data!$A$2),SUMIFS(Proventos!$H:$H,Proventos!$D:$D,"&gt;="&amp;CONCATENATE($M$6,"/",B69),Proventos!$D:$D,"&lt;"&amp;CONCATENATE($N$6,"/",B69),Proventos!$J:$J,"="&amp;$H$2),
AND($H$2=Data!$A$7,$K$2=Data!$A$2),SUMIFS(Proventos!$H:$H,Proventos!$D:$D,"&gt;="&amp;CONCATENATE($M$6,"/",B69),Proventos!$D:$D,"&lt;"&amp;CONCATENATE($N$6,"/",B69),Proventos!$J:$J,"="&amp;$H$2),
AND($H$2=Data!$A$8,$K$2=Data!$A$2),SUMIFS(Proventos!$H:$H,Proventos!$D:$D,"&gt;="&amp;CONCATENATE($M$6,"/",B69),Proventos!$D:$D,"&lt;"&amp;CONCATENATE($N$6,"/",B69),Proventos!$J:$J,"="&amp;$H$2),
AND($H$2=Data!$A$9,$K$2=Data!$A$2),SUMIFS(Proventos!$H:$H,Proventos!$D:$D,"&gt;="&amp;CONCATENATE($M$6,"/",B69),Proventos!$D:$D,"&lt;"&amp;CONCATENATE($N$6,"/",B69),Proventos!$J:$J,"="&amp;$H$2),
AND($H$2=Data!$A$10,$K$2=Data!$A$2),SUMIFS(Proventos!$H:$H,Proventos!$D:$D,"&gt;="&amp;CONCATENATE($M$6,"/",B69),Proventos!$D:$D,"&lt;"&amp;CONCATENATE($N$6,"/",B69),Proventos!$J:$J,"="&amp;$H$2),
AND($H$2=Data!$A$11,$K$2=Data!$A$2),SUMIFS(Proventos!$H:$H,Proventos!$D:$D,"&gt;="&amp;CONCATENATE($M$6,"/",B69),Proventos!$D:$D,"&lt;"&amp;CONCATENATE($N$6,"/",B69),Proventos!$J:$J,"="&amp;$H$2),
$K$2=Data!$A$2,SUMIFS(Proventos!$H:$H,Proventos!$D:$D,"&gt;="&amp;CONCATENATE($M$6,"/",B69),Proventos!$D:$D,"&lt;"&amp;CONCATENATE($N$6,"/",B69)),
$K$2&lt;&gt;Data!$A$2,SUMIFS(Proventos!$H:$H,Proventos!$D:$D,"&gt;="&amp;CONCATENATE($M$6,"/",B69),Proventos!$D:$D,"&lt;"&amp;CONCATENATE($N$6,"/",B69),Proventos!$A:$A,"="&amp;$K$2))</f>
        <v>0</v>
      </c>
      <c r="N69" s="245">
        <f>IFS(
AND($H$2=Data!$A$3,$K$2=Data!$A$2),SUMIFS(Proventos!$H:$H,Proventos!$D:$D,"&gt;="&amp;CONCATENATE($N$6,"/",B69),Proventos!$D:$D,"&lt;"&amp;CONCATENATE($C$6,"/",B70),Proventos!$J:$J,"="&amp;$H$2),
AND($H$2=Data!$A$4,$K$2=Data!$A$2),SUMIFS(Proventos!$H:$H,Proventos!$D:$D,"&gt;="&amp;CONCATENATE($N$6,"/",B69),Proventos!$D:$D,"&lt;"&amp;CONCATENATE($C$6,"/",B70),Proventos!$J:$J,"="&amp;$H$2),
AND($H$2=Data!$A$5,$K$2=Data!$A$2),SUMIFS(Proventos!$H:$H,Proventos!$D:$D,"&gt;="&amp;CONCATENATE($N$6,"/",B69),Proventos!$D:$D,"&lt;"&amp;CONCATENATE($C$6,"/",B70),Proventos!$J:$J,"="&amp;$H$2),
AND($H$2=Data!$A$6,$K$2=Data!$A$2),SUMIFS(Proventos!$H:$H,Proventos!$D:$D,"&gt;="&amp;CONCATENATE($N$6,"/",B69),Proventos!$D:$D,"&lt;"&amp;CONCATENATE($C$6,"/",B70),Proventos!$J:$J,"="&amp;$H$2),
AND($H$2=Data!$A$7,$K$2=Data!$A$2),SUMIFS(Proventos!$H:$H,Proventos!$D:$D,"&gt;="&amp;CONCATENATE($N$6,"/",B69),Proventos!$D:$D,"&lt;"&amp;CONCATENATE($C$6,"/",B70),Proventos!$J:$J,"="&amp;$H$2),
AND($H$2=Data!$A$8,$K$2=Data!$A$2),SUMIFS(Proventos!$H:$H,Proventos!$D:$D,"&gt;="&amp;CONCATENATE($N$6,"/",B69),Proventos!$D:$D,"&lt;"&amp;CONCATENATE($C$6,"/",B70),Proventos!$J:$J,"="&amp;$H$2),
AND($H$2=Data!$A$9,$K$2=Data!$A$2),SUMIFS(Proventos!$H:$H,Proventos!$D:$D,"&gt;="&amp;CONCATENATE($N$6,"/",B69),Proventos!$D:$D,"&lt;"&amp;CONCATENATE($C$6,"/",B70),Proventos!$J:$J,"="&amp;$H$2),
AND($H$2=Data!$A$10,$K$2=Data!$A$2),SUMIFS(Proventos!$H:$H,Proventos!$D:$D,"&gt;="&amp;CONCATENATE($N$6,"/",B69),Proventos!$D:$D,"&lt;"&amp;CONCATENATE($C$6,"/",B70),Proventos!$J:$J,"="&amp;$H$2),
AND($H$2=Data!$A$11,$K$2=Data!$A$2),SUMIFS(Proventos!$H:$H,Proventos!$D:$D,"&gt;="&amp;CONCATENATE($N$6,"/",B69),Proventos!$D:$D,"&lt;"&amp;CONCATENATE($C$6,"/",B70),Proventos!$J:$J,"="&amp;$H$2),
$K$2=Data!$A$2,SUMIFS(Proventos!$H:$H,Proventos!$D:$D,"&gt;="&amp;CONCATENATE($N$6,"/",B69),Proventos!$D:$D,"&lt;"&amp;CONCATENATE($C$6,"/",B70)),
$K$2&lt;&gt;Data!$A$2,SUMIFS(Proventos!$H:$H,Proventos!$D:$D,"&gt;="&amp;CONCATENATE($N$6,"/",B69),Proventos!$D:$D,"&lt;"&amp;CONCATENATE($C$6,"/",B70),Proventos!$A:$A,"="&amp;$K$2))</f>
        <v>0</v>
      </c>
      <c r="O69" s="245"/>
      <c r="P69" s="245">
        <f t="shared" si="1"/>
        <v>0</v>
      </c>
      <c r="Q69" s="245">
        <f t="shared" si="2"/>
        <v>0</v>
      </c>
    </row>
    <row r="70" ht="32.25" customHeight="1">
      <c r="A70" s="230"/>
      <c r="B70" s="244"/>
      <c r="C70" s="245">
        <f>IFS(
AND($H$2=Data!$A$3,$K$2=Data!$A$2),SUMIFS(Proventos!$H:$H,Proventos!$D:$D,"&gt;="&amp;CONCATENATE($C$6,"/",B70),Proventos!$D:$D,"&lt;"&amp;CONCATENATE($D$6,"/",B70),Proventos!$J:$J,"="&amp;$H$2),
AND($H$2=Data!$A$4,$K$2=Data!$A$2),SUMIFS(Proventos!$H:$H,Proventos!$D:$D,"&gt;="&amp;CONCATENATE($C$6,"/",B70),Proventos!$D:$D,"&lt;"&amp;CONCATENATE($D$6,"/",B70),Proventos!$J:$J,"="&amp;$H$2),
AND($H$2=Data!$A$5,$K$2=Data!$A$2),SUMIFS(Proventos!$H:$H,Proventos!$D:$D,"&gt;="&amp;CONCATENATE($C$6,"/",B70),Proventos!$D:$D,"&lt;"&amp;CONCATENATE($D$6,"/",B70),Proventos!$J:$J,"="&amp;$H$2),
AND($H$2=Data!$A$6,$K$2=Data!$A$2),SUMIFS(Proventos!$H:$H,Proventos!$D:$D,"&gt;="&amp;CONCATENATE($C$6,"/",B70),Proventos!$D:$D,"&lt;"&amp;CONCATENATE($D$6,"/",B70),Proventos!$J:$J,"="&amp;$H$2),
AND($H$2=Data!$A$7,$K$2=Data!$A$2),SUMIFS(Proventos!$H:$H,Proventos!$D:$D,"&gt;="&amp;CONCATENATE($C$6,"/",B70),Proventos!$D:$D,"&lt;"&amp;CONCATENATE($D$6,"/",B70),Proventos!$J:$J,"="&amp;$H$2),
AND($H$2=Data!$A$8,$K$2=Data!$A$2),SUMIFS(Proventos!$H:$H,Proventos!$D:$D,"&gt;="&amp;CONCATENATE($C$6,"/",B70),Proventos!$D:$D,"&lt;"&amp;CONCATENATE($D$6,"/",B70),Proventos!$J:$J,"="&amp;$H$2),
AND($H$2=Data!$A$9,$K$2=Data!$A$2),SUMIFS(Proventos!$H:$H,Proventos!$D:$D,"&gt;="&amp;CONCATENATE($C$6,"/",B70),Proventos!$D:$D,"&lt;"&amp;CONCATENATE($D$6,"/",B70),Proventos!$J:$J,"="&amp;$H$2),
AND($H$2=Data!$A$10,$K$2=Data!$A$2),SUMIFS(Proventos!$H:$H,Proventos!$D:$D,"&gt;="&amp;CONCATENATE($C$6,"/",B70),Proventos!$D:$D,"&lt;"&amp;CONCATENATE($D$6,"/",B70),Proventos!$J:$J,"="&amp;$H$2),
AND($H$2=Data!$A$11,$K$2=Data!$A$2),SUMIFS(Proventos!$H:$H,Proventos!$D:$D,"&gt;="&amp;CONCATENATE($C$6,"/",B70),Proventos!$D:$D,"&lt;"&amp;CONCATENATE($D$6,"/",B70),Proventos!$J:$J,"="&amp;$H$2),
$K$2=Data!$A$2,SUMIFS(Proventos!$H:$H,Proventos!$D:$D,"&gt;="&amp;CONCATENATE($C$6,"/",B70),Proventos!$D:$D,"&lt;"&amp;CONCATENATE($D$6,"/",B70)),
$K$2&lt;&gt;Data!$A$2,SUMIFS(Proventos!$H:$H,Proventos!$D:$D,"&gt;="&amp;CONCATENATE($C$6,"/",B70),Proventos!$D:$D,"&lt;"&amp;CONCATENATE($D$6,"/",B70),Proventos!$A:$A,"="&amp;$K$2))</f>
        <v>0</v>
      </c>
      <c r="D70" s="245">
        <f>IFS(
AND($H$2=Data!$A$3,$K$2=Data!$A$2),SUMIFS(Proventos!$H:$H,Proventos!$D:$D,"&gt;="&amp;CONCATENATE($D$6,"/",B70),Proventos!$D:$D,"&lt;"&amp;CONCATENATE($E$6,"/",B70),Proventos!$J:$J,"="&amp;$H$2),
AND($H$2=Data!$A$4,$K$2=Data!$A$2),SUMIFS(Proventos!$H:$H,Proventos!$D:$D,"&gt;="&amp;CONCATENATE($D$6,"/",B70),Proventos!$D:$D,"&lt;"&amp;CONCATENATE($E$6,"/",B70),Proventos!$J:$J,"="&amp;$H$2),
AND($H$2=Data!$A$5,$K$2=Data!$A$2),SUMIFS(Proventos!$H:$H,Proventos!$D:$D,"&gt;="&amp;CONCATENATE($D$6,"/",B70),Proventos!$D:$D,"&lt;"&amp;CONCATENATE($E$6,"/",B70),Proventos!$J:$J,"="&amp;$H$2),
AND($H$2=Data!$A$6,$K$2=Data!$A$2),SUMIFS(Proventos!$H:$H,Proventos!$D:$D,"&gt;="&amp;CONCATENATE($D$6,"/",B70),Proventos!$D:$D,"&lt;"&amp;CONCATENATE($E$6,"/",B70),Proventos!$J:$J,"="&amp;$H$2),
AND($H$2=Data!$A$7,$K$2=Data!$A$2),SUMIFS(Proventos!$H:$H,Proventos!$D:$D,"&gt;="&amp;CONCATENATE($D$6,"/",B70),Proventos!$D:$D,"&lt;"&amp;CONCATENATE($E$6,"/",B70),Proventos!$J:$J,"="&amp;$H$2),
AND($H$2=Data!$A$8,$K$2=Data!$A$2),SUMIFS(Proventos!$H:$H,Proventos!$D:$D,"&gt;="&amp;CONCATENATE($D$6,"/",B70),Proventos!$D:$D,"&lt;"&amp;CONCATENATE($E$6,"/",B70),Proventos!$J:$J,"="&amp;$H$2),
AND($H$2=Data!$A$9,$K$2=Data!$A$2),SUMIFS(Proventos!$H:$H,Proventos!$D:$D,"&gt;="&amp;CONCATENATE($D$6,"/",B70),Proventos!$D:$D,"&lt;"&amp;CONCATENATE($E$6,"/",B70),Proventos!$J:$J,"="&amp;$H$2),
AND($H$2=Data!$A$10,$K$2=Data!$A$2),SUMIFS(Proventos!$H:$H,Proventos!$D:$D,"&gt;="&amp;CONCATENATE($D$6,"/",B70),Proventos!$D:$D,"&lt;"&amp;CONCATENATE($E$6,"/",B70),Proventos!$J:$J,"="&amp;$H$2),
AND($H$2=Data!$A$11,$K$2=Data!$A$2),SUMIFS(Proventos!$H:$H,Proventos!$D:$D,"&gt;="&amp;CONCATENATE($D$6,"/",B70),Proventos!$D:$D,"&lt;"&amp;CONCATENATE($E$6,"/",B70),Proventos!$J:$J,"="&amp;$H$2),
$K$2=Data!$A$2,SUMIFS(Proventos!$H:$H,Proventos!$D:$D,"&gt;="&amp;CONCATENATE($D$6,"/",B70),Proventos!$D:$D,"&lt;"&amp;CONCATENATE($E$6,"/",B70)),
$K$2&lt;&gt;Data!$A$2,SUMIFS(Proventos!$H:$H,Proventos!$D:$D,"&gt;="&amp;CONCATENATE($D$6,"/",B70),Proventos!$D:$D,"&lt;"&amp;CONCATENATE($E$6,"/",B70),Proventos!$A:$A,"="&amp;$K$2))</f>
        <v>0</v>
      </c>
      <c r="E70" s="245">
        <f>IFS(
AND($H$2=Data!$A$3,$K$2=Data!$A$2),SUMIFS(Proventos!$H:$H,Proventos!$D:$D,"&gt;="&amp;CONCATENATE($E$6,"/",B70),Proventos!$D:$D,"&lt;"&amp;CONCATENATE($F$6,"/",B70),Proventos!$J:$J,"="&amp;$H$2),
AND($H$2=Data!$A$4,$K$2=Data!$A$2),SUMIFS(Proventos!$H:$H,Proventos!$D:$D,"&gt;="&amp;CONCATENATE($E$6,"/",B70),Proventos!$D:$D,"&lt;"&amp;CONCATENATE($F$6,"/",B70),Proventos!$J:$J,"="&amp;$H$2),
AND($H$2=Data!$A$5,$K$2=Data!$A$2),SUMIFS(Proventos!$H:$H,Proventos!$D:$D,"&gt;="&amp;CONCATENATE($E$6,"/",B70),Proventos!$D:$D,"&lt;"&amp;CONCATENATE($F$6,"/",B70),Proventos!$J:$J,"="&amp;$H$2),
AND($H$2=Data!$A$6,$K$2=Data!$A$2),SUMIFS(Proventos!$H:$H,Proventos!$D:$D,"&gt;="&amp;CONCATENATE($E$6,"/",B70),Proventos!$D:$D,"&lt;"&amp;CONCATENATE($F$6,"/",B70),Proventos!$J:$J,"="&amp;$H$2),
AND($H$2=Data!$A$7,$K$2=Data!$A$2),SUMIFS(Proventos!$H:$H,Proventos!$D:$D,"&gt;="&amp;CONCATENATE($E$6,"/",B70),Proventos!$D:$D,"&lt;"&amp;CONCATENATE($F$6,"/",B70),Proventos!$J:$J,"="&amp;$H$2),
AND($H$2=Data!$A$8,$K$2=Data!$A$2),SUMIFS(Proventos!$H:$H,Proventos!$D:$D,"&gt;="&amp;CONCATENATE($E$6,"/",B70),Proventos!$D:$D,"&lt;"&amp;CONCATENATE($F$6,"/",B70),Proventos!$J:$J,"="&amp;$H$2),
AND($H$2=Data!$A$9,$K$2=Data!$A$2),SUMIFS(Proventos!$H:$H,Proventos!$D:$D,"&gt;="&amp;CONCATENATE($E$6,"/",B70),Proventos!$D:$D,"&lt;"&amp;CONCATENATE($F$6,"/",B70),Proventos!$J:$J,"="&amp;$H$2),
AND($H$2=Data!$A$10,$K$2=Data!$A$2),SUMIFS(Proventos!$H:$H,Proventos!$D:$D,"&gt;="&amp;CONCATENATE($E$6,"/",B70),Proventos!$D:$D,"&lt;"&amp;CONCATENATE($F$6,"/",B70),Proventos!$J:$J,"="&amp;$H$2),
AND($H$2=Data!$A$11,$K$2=Data!$A$2),SUMIFS(Proventos!$H:$H,Proventos!$D:$D,"&gt;="&amp;CONCATENATE($E$6,"/",B70),Proventos!$D:$D,"&lt;"&amp;CONCATENATE($F$6,"/",B70),Proventos!$J:$J,"="&amp;$H$2),
$K$2=Data!$A$2,SUMIFS(Proventos!$H:$H,Proventos!$D:$D,"&gt;="&amp;CONCATENATE($E$6,"/",B70),Proventos!$D:$D,"&lt;"&amp;CONCATENATE($F$6,"/",B70)),
$K$2&lt;&gt;Data!$A$2,SUMIFS(Proventos!$H:$H,Proventos!$D:$D,"&gt;="&amp;CONCATENATE($E$6,"/",B70),Proventos!$D:$D,"&lt;"&amp;CONCATENATE($F$6,"/",B70),Proventos!$A:$A,"="&amp;$K$2))</f>
        <v>0</v>
      </c>
      <c r="F70" s="245">
        <f>IFS(
AND($H$2=Data!$A$3,$K$2=Data!$A$2),SUMIFS(Proventos!$H:$H,Proventos!$D:$D,"&gt;="&amp;CONCATENATE($F$6,"/",B70),Proventos!$D:$D,"&lt;"&amp;CONCATENATE($G$6,"/",B70),Proventos!$J:$J,"="&amp;$H$2),
AND($H$2=Data!$A$4,$K$2=Data!$A$2),SUMIFS(Proventos!$H:$H,Proventos!$D:$D,"&gt;="&amp;CONCATENATE($F$6,"/",B70),Proventos!$D:$D,"&lt;"&amp;CONCATENATE($G$6,"/",B70),Proventos!$J:$J,"="&amp;$H$2),
AND($H$2=Data!$A$5,$K$2=Data!$A$2),SUMIFS(Proventos!$H:$H,Proventos!$D:$D,"&gt;="&amp;CONCATENATE($F$6,"/",B70),Proventos!$D:$D,"&lt;"&amp;CONCATENATE($G$6,"/",B70),Proventos!$J:$J,"="&amp;$H$2),
AND($H$2=Data!$A$6,$K$2=Data!$A$2),SUMIFS(Proventos!$H:$H,Proventos!$D:$D,"&gt;="&amp;CONCATENATE($F$6,"/",B70),Proventos!$D:$D,"&lt;"&amp;CONCATENATE($G$6,"/",B70),Proventos!$J:$J,"="&amp;$H$2),
AND($H$2=Data!$A$7,$K$2=Data!$A$2),SUMIFS(Proventos!$H:$H,Proventos!$D:$D,"&gt;="&amp;CONCATENATE($F$6,"/",B70),Proventos!$D:$D,"&lt;"&amp;CONCATENATE($G$6,"/",B70),Proventos!$J:$J,"="&amp;$H$2),
AND($H$2=Data!$A$8,$K$2=Data!$A$2),SUMIFS(Proventos!$H:$H,Proventos!$D:$D,"&gt;="&amp;CONCATENATE($F$6,"/",B70),Proventos!$D:$D,"&lt;"&amp;CONCATENATE($G$6,"/",B70),Proventos!$J:$J,"="&amp;$H$2),
AND($H$2=Data!$A$9,$K$2=Data!$A$2),SUMIFS(Proventos!$H:$H,Proventos!$D:$D,"&gt;="&amp;CONCATENATE($F$6,"/",B70),Proventos!$D:$D,"&lt;"&amp;CONCATENATE($G$6,"/",B70),Proventos!$J:$J,"="&amp;$H$2),
AND($H$2=Data!$A$10,$K$2=Data!$A$2),SUMIFS(Proventos!$H:$H,Proventos!$D:$D,"&gt;="&amp;CONCATENATE($F$6,"/",B70),Proventos!$D:$D,"&lt;"&amp;CONCATENATE($G$6,"/",B70),Proventos!$J:$J,"="&amp;$H$2),
AND($H$2=Data!$A$11,$K$2=Data!$A$2),SUMIFS(Proventos!$H:$H,Proventos!$D:$D,"&gt;="&amp;CONCATENATE($F$6,"/",B70),Proventos!$D:$D,"&lt;"&amp;CONCATENATE($G$6,"/",B70),Proventos!$J:$J,"="&amp;$H$2),
$K$2=Data!$A$2,SUMIFS(Proventos!$H:$H,Proventos!$D:$D,"&gt;="&amp;CONCATENATE($F$6,"/",B70),Proventos!$D:$D,"&lt;"&amp;CONCATENATE($G$6,"/",B70)),
$K$2&lt;&gt;Data!$A$2,SUMIFS(Proventos!$H:$H,Proventos!$D:$D,"&gt;="&amp;CONCATENATE($F$6,"/",B70),Proventos!$D:$D,"&lt;"&amp;CONCATENATE($G$6,"/",B70),Proventos!$A:$A,"="&amp;$K$2))</f>
        <v>0</v>
      </c>
      <c r="G70" s="245">
        <f>IFS(
AND($H$2=Data!$A$3,$K$2=Data!$A$2),SUMIFS(Proventos!$H:$H,Proventos!$D:$D,"&gt;="&amp;CONCATENATE($G$6,"/",B70),Proventos!$D:$D,"&lt;"&amp;CONCATENATE($H$6,"/",B70),Proventos!$J:$J,"="&amp;$H$2),
AND($H$2=Data!$A$4,$K$2=Data!$A$2),SUMIFS(Proventos!$H:$H,Proventos!$D:$D,"&gt;="&amp;CONCATENATE($G$6,"/",B70),Proventos!$D:$D,"&lt;"&amp;CONCATENATE($H$6,"/",B70),Proventos!$J:$J,"="&amp;$H$2),
AND($H$2=Data!$A$5,$K$2=Data!$A$2),SUMIFS(Proventos!$H:$H,Proventos!$D:$D,"&gt;="&amp;CONCATENATE($G$6,"/",B70),Proventos!$D:$D,"&lt;"&amp;CONCATENATE($H$6,"/",B70),Proventos!$J:$J,"="&amp;$H$2),
AND($H$2=Data!$A$6,$K$2=Data!$A$2),SUMIFS(Proventos!$H:$H,Proventos!$D:$D,"&gt;="&amp;CONCATENATE($G$6,"/",B70),Proventos!$D:$D,"&lt;"&amp;CONCATENATE($H$6,"/",B70),Proventos!$J:$J,"="&amp;$H$2),
AND($H$2=Data!$A$7,$K$2=Data!$A$2),SUMIFS(Proventos!$H:$H,Proventos!$D:$D,"&gt;="&amp;CONCATENATE($G$6,"/",B70),Proventos!$D:$D,"&lt;"&amp;CONCATENATE($H$6,"/",B70),Proventos!$J:$J,"="&amp;$H$2),
AND($H$2=Data!$A$8,$K$2=Data!$A$2),SUMIFS(Proventos!$H:$H,Proventos!$D:$D,"&gt;="&amp;CONCATENATE($G$6,"/",B70),Proventos!$D:$D,"&lt;"&amp;CONCATENATE($H$6,"/",B70),Proventos!$J:$J,"="&amp;$H$2),
AND($H$2=Data!$A$9,$K$2=Data!$A$2),SUMIFS(Proventos!$H:$H,Proventos!$D:$D,"&gt;="&amp;CONCATENATE($G$6,"/",B70),Proventos!$D:$D,"&lt;"&amp;CONCATENATE($H$6,"/",B70),Proventos!$J:$J,"="&amp;$H$2),
AND($H$2=Data!$A$10,$K$2=Data!$A$2),SUMIFS(Proventos!$H:$H,Proventos!$D:$D,"&gt;="&amp;CONCATENATE($G$6,"/",B70),Proventos!$D:$D,"&lt;"&amp;CONCATENATE($H$6,"/",B70),Proventos!$J:$J,"="&amp;$H$2),
AND($H$2=Data!$A$11,$K$2=Data!$A$2),SUMIFS(Proventos!$H:$H,Proventos!$D:$D,"&gt;="&amp;CONCATENATE($G$6,"/",B70),Proventos!$D:$D,"&lt;"&amp;CONCATENATE($H$6,"/",B70),Proventos!$J:$J,"="&amp;$H$2),
$K$2=Data!$A$2,SUMIFS(Proventos!$H:$H,Proventos!$D:$D,"&gt;="&amp;CONCATENATE($G$6,"/",B70),Proventos!$D:$D,"&lt;"&amp;CONCATENATE($H$6,"/",B70)),
$K$2&lt;&gt;Data!$A$2,SUMIFS(Proventos!$H:$H,Proventos!$D:$D,"&gt;="&amp;CONCATENATE($G$6,"/",B70),Proventos!$D:$D,"&lt;"&amp;CONCATENATE($H$6,"/",B70),Proventos!$A:$A,"="&amp;$K$2))</f>
        <v>0</v>
      </c>
      <c r="H70" s="245">
        <f>IFS(
AND($H$2=Data!$A$3,$K$2=Data!$A$2),SUMIFS(Proventos!$H:$H,Proventos!$D:$D,"&gt;="&amp;CONCATENATE($H$6,"/",B70),Proventos!$D:$D,"&lt;"&amp;CONCATENATE($I$6,"/",B70),Proventos!$J:$J,"="&amp;$H$2),
AND($H$2=Data!$A$4,$K$2=Data!$A$2),SUMIFS(Proventos!$H:$H,Proventos!$D:$D,"&gt;="&amp;CONCATENATE($H$6,"/",B70),Proventos!$D:$D,"&lt;"&amp;CONCATENATE($I$6,"/",B70),Proventos!$J:$J,"="&amp;$H$2),
AND($H$2=Data!$A$5,$K$2=Data!$A$2),SUMIFS(Proventos!$H:$H,Proventos!$D:$D,"&gt;="&amp;CONCATENATE($H$6,"/",B70),Proventos!$D:$D,"&lt;"&amp;CONCATENATE($I$6,"/",B70),Proventos!$J:$J,"="&amp;$H$2),
AND($H$2=Data!$A$6,$K$2=Data!$A$2),SUMIFS(Proventos!$H:$H,Proventos!$D:$D,"&gt;="&amp;CONCATENATE($H$6,"/",B70),Proventos!$D:$D,"&lt;"&amp;CONCATENATE($I$6,"/",B70),Proventos!$J:$J,"="&amp;$H$2),
AND($H$2=Data!$A$7,$K$2=Data!$A$2),SUMIFS(Proventos!$H:$H,Proventos!$D:$D,"&gt;="&amp;CONCATENATE($H$6,"/",B70),Proventos!$D:$D,"&lt;"&amp;CONCATENATE($I$6,"/",B70),Proventos!$J:$J,"="&amp;$H$2),
AND($H$2=Data!$A$8,$K$2=Data!$A$2),SUMIFS(Proventos!$H:$H,Proventos!$D:$D,"&gt;="&amp;CONCATENATE($H$6,"/",B70),Proventos!$D:$D,"&lt;"&amp;CONCATENATE($I$6,"/",B70),Proventos!$J:$J,"="&amp;$H$2),
AND($H$2=Data!$A$9,$K$2=Data!$A$2),SUMIFS(Proventos!$H:$H,Proventos!$D:$D,"&gt;="&amp;CONCATENATE($H$6,"/",B70),Proventos!$D:$D,"&lt;"&amp;CONCATENATE($I$6,"/",B70),Proventos!$J:$J,"="&amp;$H$2),
AND($H$2=Data!$A$10,$K$2=Data!$A$2),SUMIFS(Proventos!$H:$H,Proventos!$D:$D,"&gt;="&amp;CONCATENATE($H$6,"/",B70),Proventos!$D:$D,"&lt;"&amp;CONCATENATE($I$6,"/",B70),Proventos!$J:$J,"="&amp;$H$2),
AND($H$2=Data!$A$11,$K$2=Data!$A$2),SUMIFS(Proventos!$H:$H,Proventos!$D:$D,"&gt;="&amp;CONCATENATE($H$6,"/",B70),Proventos!$D:$D,"&lt;"&amp;CONCATENATE($I$6,"/",B70),Proventos!$J:$J,"="&amp;$H$2),
$K$2=Data!$A$2,SUMIFS(Proventos!$H:$H,Proventos!$D:$D,"&gt;="&amp;CONCATENATE($H$6,"/",B70),Proventos!$D:$D,"&lt;"&amp;CONCATENATE($I$6,"/",B70)),
$K$2&lt;&gt;Data!$A$2,SUMIFS(Proventos!$H:$H,Proventos!$D:$D,"&gt;="&amp;CONCATENATE($H$6,"/",B70),Proventos!$D:$D,"&lt;"&amp;CONCATENATE($I$6,"/",B70),Proventos!$A:$A,"="&amp;$K$2))</f>
        <v>0</v>
      </c>
      <c r="I70" s="245">
        <f>IFS(
AND($H$2=Data!$A$3,$K$2=Data!$A$2),SUMIFS(Proventos!$H:$H,Proventos!$D:$D,"&gt;="&amp;CONCATENATE($I$6,"/",B70),Proventos!$D:$D,"&lt;"&amp;CONCATENATE($J$6,"/",B70),Proventos!$J:$J,"="&amp;$H$2),
AND($H$2=Data!$A$4,$K$2=Data!$A$2),SUMIFS(Proventos!$H:$H,Proventos!$D:$D,"&gt;="&amp;CONCATENATE($I$6,"/",B70),Proventos!$D:$D,"&lt;"&amp;CONCATENATE($J$6,"/",B70),Proventos!$J:$J,"="&amp;$H$2),
AND($H$2=Data!$A$5,$K$2=Data!$A$2),SUMIFS(Proventos!$H:$H,Proventos!$D:$D,"&gt;="&amp;CONCATENATE($I$6,"/",B70),Proventos!$D:$D,"&lt;"&amp;CONCATENATE($J$6,"/",B70),Proventos!$J:$J,"="&amp;$H$2),
AND($H$2=Data!$A$6,$K$2=Data!$A$2),SUMIFS(Proventos!$H:$H,Proventos!$D:$D,"&gt;="&amp;CONCATENATE($I$6,"/",B70),Proventos!$D:$D,"&lt;"&amp;CONCATENATE($J$6,"/",B70),Proventos!$J:$J,"="&amp;$H$2),
AND($H$2=Data!$A$7,$K$2=Data!$A$2),SUMIFS(Proventos!$H:$H,Proventos!$D:$D,"&gt;="&amp;CONCATENATE($I$6,"/",B70),Proventos!$D:$D,"&lt;"&amp;CONCATENATE($J$6,"/",B70),Proventos!$J:$J,"="&amp;$H$2),
AND($H$2=Data!$A$8,$K$2=Data!$A$2),SUMIFS(Proventos!$H:$H,Proventos!$D:$D,"&gt;="&amp;CONCATENATE($I$6,"/",B70),Proventos!$D:$D,"&lt;"&amp;CONCATENATE($J$6,"/",B70),Proventos!$J:$J,"="&amp;$H$2),
AND($H$2=Data!$A$9,$K$2=Data!$A$2),SUMIFS(Proventos!$H:$H,Proventos!$D:$D,"&gt;="&amp;CONCATENATE($I$6,"/",B70),Proventos!$D:$D,"&lt;"&amp;CONCATENATE($J$6,"/",B70),Proventos!$J:$J,"="&amp;$H$2),
AND($H$2=Data!$A$10,$K$2=Data!$A$2),SUMIFS(Proventos!$H:$H,Proventos!$D:$D,"&gt;="&amp;CONCATENATE($I$6,"/",B70),Proventos!$D:$D,"&lt;"&amp;CONCATENATE($J$6,"/",B70),Proventos!$J:$J,"="&amp;$H$2),
AND($H$2=Data!$A$11,$K$2=Data!$A$2),SUMIFS(Proventos!$H:$H,Proventos!$D:$D,"&gt;="&amp;CONCATENATE($I$6,"/",B70),Proventos!$D:$D,"&lt;"&amp;CONCATENATE($J$6,"/",B70),Proventos!$J:$J,"="&amp;$H$2),
$K$2=Data!$A$2,SUMIFS(Proventos!$H:$H,Proventos!$D:$D,"&gt;="&amp;CONCATENATE($I$6,"/",B70),Proventos!$D:$D,"&lt;"&amp;CONCATENATE($J$6,"/",B70)),
$K$2&lt;&gt;Data!$A$2,SUMIFS(Proventos!$H:$H,Proventos!$D:$D,"&gt;="&amp;CONCATENATE($I$6,"/",B70),Proventos!$D:$D,"&lt;"&amp;CONCATENATE($J$6,"/",B70),Proventos!$A:$A,"="&amp;$K$2))</f>
        <v>0</v>
      </c>
      <c r="J70" s="245">
        <f>IFS(
AND($H$2=Data!$A$3,$K$2=Data!$A$2),SUMIFS(Proventos!$H:$H,Proventos!$D:$D,"&gt;="&amp;CONCATENATE($J$6,"/",B70),Proventos!$D:$D,"&lt;"&amp;CONCATENATE($K$6,"/",B70),Proventos!$J:$J,"="&amp;$H$2),
AND($H$2=Data!$A$4,$K$2=Data!$A$2),SUMIFS(Proventos!$H:$H,Proventos!$D:$D,"&gt;="&amp;CONCATENATE($J$6,"/",B70),Proventos!$D:$D,"&lt;"&amp;CONCATENATE($K$6,"/",B70),Proventos!$J:$J,"="&amp;$H$2),
AND($H$2=Data!$A$5,$K$2=Data!$A$2),SUMIFS(Proventos!$H:$H,Proventos!$D:$D,"&gt;="&amp;CONCATENATE($J$6,"/",B70),Proventos!$D:$D,"&lt;"&amp;CONCATENATE($K$6,"/",B70),Proventos!$J:$J,"="&amp;$H$2),
AND($H$2=Data!$A$6,$K$2=Data!$A$2),SUMIFS(Proventos!$H:$H,Proventos!$D:$D,"&gt;="&amp;CONCATENATE($J$6,"/",B70),Proventos!$D:$D,"&lt;"&amp;CONCATENATE($K$6,"/",B70),Proventos!$J:$J,"="&amp;$H$2),
AND($H$2=Data!$A$7,$K$2=Data!$A$2),SUMIFS(Proventos!$H:$H,Proventos!$D:$D,"&gt;="&amp;CONCATENATE($J$6,"/",B70),Proventos!$D:$D,"&lt;"&amp;CONCATENATE($K$6,"/",B70),Proventos!$J:$J,"="&amp;$H$2),
AND($H$2=Data!$A$8,$K$2=Data!$A$2),SUMIFS(Proventos!$H:$H,Proventos!$D:$D,"&gt;="&amp;CONCATENATE($J$6,"/",B70),Proventos!$D:$D,"&lt;"&amp;CONCATENATE($K$6,"/",B70),Proventos!$J:$J,"="&amp;$H$2),
AND($H$2=Data!$A$9,$K$2=Data!$A$2),SUMIFS(Proventos!$H:$H,Proventos!$D:$D,"&gt;="&amp;CONCATENATE($J$6,"/",B70),Proventos!$D:$D,"&lt;"&amp;CONCATENATE($K$6,"/",B70),Proventos!$J:$J,"="&amp;$H$2),
AND($H$2=Data!$A$10,$K$2=Data!$A$2),SUMIFS(Proventos!$H:$H,Proventos!$D:$D,"&gt;="&amp;CONCATENATE($J$6,"/",B70),Proventos!$D:$D,"&lt;"&amp;CONCATENATE($K$6,"/",B70),Proventos!$J:$J,"="&amp;$H$2),
AND($H$2=Data!$A$11,$K$2=Data!$A$2),SUMIFS(Proventos!$H:$H,Proventos!$D:$D,"&gt;="&amp;CONCATENATE($J$6,"/",B70),Proventos!$D:$D,"&lt;"&amp;CONCATENATE($K$6,"/",B70),Proventos!$J:$J,"="&amp;$H$2),
$K$2=Data!$A$2,SUMIFS(Proventos!$H:$H,Proventos!$D:$D,"&gt;="&amp;CONCATENATE($J$6,"/",B70),Proventos!$D:$D,"&lt;"&amp;CONCATENATE($K$6,"/",B70)),
$K$2&lt;&gt;Data!$A$2,SUMIFS(Proventos!$H:$H,Proventos!$D:$D,"&gt;="&amp;CONCATENATE($J$6,"/",B70),Proventos!$D:$D,"&lt;"&amp;CONCATENATE($K$6,"/",B70),Proventos!$A:$A,"="&amp;$K$2))</f>
        <v>0</v>
      </c>
      <c r="K70" s="245">
        <f>IFS(
AND($H$2=Data!$A$3,$K$2=Data!$A$2),SUMIFS(Proventos!$H:$H,Proventos!$D:$D,"&gt;="&amp;CONCATENATE($K$6,"/",B70),Proventos!$D:$D,"&lt;"&amp;CONCATENATE($L$6,"/",B70),Proventos!$J:$J,"="&amp;$H$2),
AND($H$2=Data!$A$4,$K$2=Data!$A$2),SUMIFS(Proventos!$H:$H,Proventos!$D:$D,"&gt;="&amp;CONCATENATE($K$6,"/",B70),Proventos!$D:$D,"&lt;"&amp;CONCATENATE($L$6,"/",B70),Proventos!$J:$J,"="&amp;$H$2),
AND($H$2=Data!$A$5,$K$2=Data!$A$2),SUMIFS(Proventos!$H:$H,Proventos!$D:$D,"&gt;="&amp;CONCATENATE($K$6,"/",B70),Proventos!$D:$D,"&lt;"&amp;CONCATENATE($L$6,"/",B70),Proventos!$J:$J,"="&amp;$H$2),
AND($H$2=Data!$A$6,$K$2=Data!$A$2),SUMIFS(Proventos!$H:$H,Proventos!$D:$D,"&gt;="&amp;CONCATENATE($K$6,"/",B70),Proventos!$D:$D,"&lt;"&amp;CONCATENATE($L$6,"/",B70),Proventos!$J:$J,"="&amp;$H$2),
AND($H$2=Data!$A$7,$K$2=Data!$A$2),SUMIFS(Proventos!$H:$H,Proventos!$D:$D,"&gt;="&amp;CONCATENATE($K$6,"/",B70),Proventos!$D:$D,"&lt;"&amp;CONCATENATE($L$6,"/",B70),Proventos!$J:$J,"="&amp;$H$2),
AND($H$2=Data!$A$8,$K$2=Data!$A$2),SUMIFS(Proventos!$H:$H,Proventos!$D:$D,"&gt;="&amp;CONCATENATE($K$6,"/",B70),Proventos!$D:$D,"&lt;"&amp;CONCATENATE($L$6,"/",B70),Proventos!$J:$J,"="&amp;$H$2),
AND($H$2=Data!$A$9,$K$2=Data!$A$2),SUMIFS(Proventos!$H:$H,Proventos!$D:$D,"&gt;="&amp;CONCATENATE($K$6,"/",B70),Proventos!$D:$D,"&lt;"&amp;CONCATENATE($L$6,"/",B70),Proventos!$J:$J,"="&amp;$H$2),
AND($H$2=Data!$A$10,$K$2=Data!$A$2),SUMIFS(Proventos!$H:$H,Proventos!$D:$D,"&gt;="&amp;CONCATENATE($K$6,"/",B70),Proventos!$D:$D,"&lt;"&amp;CONCATENATE($L$6,"/",B70),Proventos!$J:$J,"="&amp;$H$2),
AND($H$2=Data!$A$11,$K$2=Data!$A$2),SUMIFS(Proventos!$H:$H,Proventos!$D:$D,"&gt;="&amp;CONCATENATE($K$6,"/",B70),Proventos!$D:$D,"&lt;"&amp;CONCATENATE($L$6,"/",B70),Proventos!$J:$J,"="&amp;$H$2),
$K$2=Data!$A$2,SUMIFS(Proventos!$H:$H,Proventos!$D:$D,"&gt;="&amp;CONCATENATE($K$6,"/",B70),Proventos!$D:$D,"&lt;"&amp;CONCATENATE($L$6,"/",B70)),
$K$2&lt;&gt;Data!$A$2,SUMIFS(Proventos!$H:$H,Proventos!$D:$D,"&gt;="&amp;CONCATENATE($K$6,"/",B70),Proventos!$D:$D,"&lt;"&amp;CONCATENATE($L$6,"/",B70),Proventos!$A:$A,"="&amp;$K$2))</f>
        <v>0</v>
      </c>
      <c r="L70" s="245">
        <f>IFS(
AND($H$2=Data!$A$3,$K$2=Data!$A$2),SUMIFS(Proventos!$H:$H,Proventos!$D:$D,"&gt;="&amp;CONCATENATE($L$6,"/",B70),Proventos!$D:$D,"&lt;"&amp;CONCATENATE($M$6,"/",B70),Proventos!$J:$J,"="&amp;$H$2),
AND($H$2=Data!$A$4,$K$2=Data!$A$2),SUMIFS(Proventos!$H:$H,Proventos!$D:$D,"&gt;="&amp;CONCATENATE($L$6,"/",B70),Proventos!$D:$D,"&lt;"&amp;CONCATENATE($M$6,"/",B70),Proventos!$J:$J,"="&amp;$H$2),
AND($H$2=Data!$A$5,$K$2=Data!$A$2),SUMIFS(Proventos!$H:$H,Proventos!$D:$D,"&gt;="&amp;CONCATENATE($L$6,"/",B70),Proventos!$D:$D,"&lt;"&amp;CONCATENATE($M$6,"/",B70),Proventos!$J:$J,"="&amp;$H$2),
AND($H$2=Data!$A$6,$K$2=Data!$A$2),SUMIFS(Proventos!$H:$H,Proventos!$D:$D,"&gt;="&amp;CONCATENATE($L$6,"/",B70),Proventos!$D:$D,"&lt;"&amp;CONCATENATE($M$6,"/",B70),Proventos!$J:$J,"="&amp;$H$2),
AND($H$2=Data!$A$7,$K$2=Data!$A$2),SUMIFS(Proventos!$H:$H,Proventos!$D:$D,"&gt;="&amp;CONCATENATE($L$6,"/",B70),Proventos!$D:$D,"&lt;"&amp;CONCATENATE($M$6,"/",B70),Proventos!$J:$J,"="&amp;$H$2),
AND($H$2=Data!$A$8,$K$2=Data!$A$2),SUMIFS(Proventos!$H:$H,Proventos!$D:$D,"&gt;="&amp;CONCATENATE($L$6,"/",B70),Proventos!$D:$D,"&lt;"&amp;CONCATENATE($M$6,"/",B70),Proventos!$J:$J,"="&amp;$H$2),
AND($H$2=Data!$A$9,$K$2=Data!$A$2),SUMIFS(Proventos!$H:$H,Proventos!$D:$D,"&gt;="&amp;CONCATENATE($L$6,"/",B70),Proventos!$D:$D,"&lt;"&amp;CONCATENATE($M$6,"/",B70),Proventos!$J:$J,"="&amp;$H$2),
AND($H$2=Data!$A$10,$K$2=Data!$A$2),SUMIFS(Proventos!$H:$H,Proventos!$D:$D,"&gt;="&amp;CONCATENATE($L$6,"/",B70),Proventos!$D:$D,"&lt;"&amp;CONCATENATE($M$6,"/",B70),Proventos!$J:$J,"="&amp;$H$2),
AND($H$2=Data!$A$11,$K$2=Data!$A$2),SUMIFS(Proventos!$H:$H,Proventos!$D:$D,"&gt;="&amp;CONCATENATE($L$6,"/",B70),Proventos!$D:$D,"&lt;"&amp;CONCATENATE($M$6,"/",B70),Proventos!$J:$J,"="&amp;$H$2),
$K$2=Data!$A$2,SUMIFS(Proventos!$H:$H,Proventos!$D:$D,"&gt;="&amp;CONCATENATE($L$6,"/",B70),Proventos!$D:$D,"&lt;"&amp;CONCATENATE($M$6,"/",B70)),
$K$2&lt;&gt;Data!$A$2,SUMIFS(Proventos!$H:$H,Proventos!$D:$D,"&gt;="&amp;CONCATENATE($L$6,"/",B70),Proventos!$D:$D,"&lt;"&amp;CONCATENATE($M$6,"/",B70),Proventos!$A:$A,"="&amp;$K$2))</f>
        <v>0</v>
      </c>
      <c r="M70" s="245">
        <f>IFS(
AND($H$2=Data!$A$3,$K$2=Data!$A$2),SUMIFS(Proventos!$H:$H,Proventos!$D:$D,"&gt;="&amp;CONCATENATE($M$6,"/",B70),Proventos!$D:$D,"&lt;"&amp;CONCATENATE($N$6,"/",B70),Proventos!$J:$J,"="&amp;$H$2),
AND($H$2=Data!$A$4,$K$2=Data!$A$2),SUMIFS(Proventos!$H:$H,Proventos!$D:$D,"&gt;="&amp;CONCATENATE($M$6,"/",B70),Proventos!$D:$D,"&lt;"&amp;CONCATENATE($N$6,"/",B70),Proventos!$J:$J,"="&amp;$H$2),
AND($H$2=Data!$A$5,$K$2=Data!$A$2),SUMIFS(Proventos!$H:$H,Proventos!$D:$D,"&gt;="&amp;CONCATENATE($M$6,"/",B70),Proventos!$D:$D,"&lt;"&amp;CONCATENATE($N$6,"/",B70),Proventos!$J:$J,"="&amp;$H$2),
AND($H$2=Data!$A$6,$K$2=Data!$A$2),SUMIFS(Proventos!$H:$H,Proventos!$D:$D,"&gt;="&amp;CONCATENATE($M$6,"/",B70),Proventos!$D:$D,"&lt;"&amp;CONCATENATE($N$6,"/",B70),Proventos!$J:$J,"="&amp;$H$2),
AND($H$2=Data!$A$7,$K$2=Data!$A$2),SUMIFS(Proventos!$H:$H,Proventos!$D:$D,"&gt;="&amp;CONCATENATE($M$6,"/",B70),Proventos!$D:$D,"&lt;"&amp;CONCATENATE($N$6,"/",B70),Proventos!$J:$J,"="&amp;$H$2),
AND($H$2=Data!$A$8,$K$2=Data!$A$2),SUMIFS(Proventos!$H:$H,Proventos!$D:$D,"&gt;="&amp;CONCATENATE($M$6,"/",B70),Proventos!$D:$D,"&lt;"&amp;CONCATENATE($N$6,"/",B70),Proventos!$J:$J,"="&amp;$H$2),
AND($H$2=Data!$A$9,$K$2=Data!$A$2),SUMIFS(Proventos!$H:$H,Proventos!$D:$D,"&gt;="&amp;CONCATENATE($M$6,"/",B70),Proventos!$D:$D,"&lt;"&amp;CONCATENATE($N$6,"/",B70),Proventos!$J:$J,"="&amp;$H$2),
AND($H$2=Data!$A$10,$K$2=Data!$A$2),SUMIFS(Proventos!$H:$H,Proventos!$D:$D,"&gt;="&amp;CONCATENATE($M$6,"/",B70),Proventos!$D:$D,"&lt;"&amp;CONCATENATE($N$6,"/",B70),Proventos!$J:$J,"="&amp;$H$2),
AND($H$2=Data!$A$11,$K$2=Data!$A$2),SUMIFS(Proventos!$H:$H,Proventos!$D:$D,"&gt;="&amp;CONCATENATE($M$6,"/",B70),Proventos!$D:$D,"&lt;"&amp;CONCATENATE($N$6,"/",B70),Proventos!$J:$J,"="&amp;$H$2),
$K$2=Data!$A$2,SUMIFS(Proventos!$H:$H,Proventos!$D:$D,"&gt;="&amp;CONCATENATE($M$6,"/",B70),Proventos!$D:$D,"&lt;"&amp;CONCATENATE($N$6,"/",B70)),
$K$2&lt;&gt;Data!$A$2,SUMIFS(Proventos!$H:$H,Proventos!$D:$D,"&gt;="&amp;CONCATENATE($M$6,"/",B70),Proventos!$D:$D,"&lt;"&amp;CONCATENATE($N$6,"/",B70),Proventos!$A:$A,"="&amp;$K$2))</f>
        <v>0</v>
      </c>
      <c r="N70" s="245">
        <f>IFS(
AND($H$2=Data!$A$3,$K$2=Data!$A$2),SUMIFS(Proventos!$H:$H,Proventos!$D:$D,"&gt;="&amp;CONCATENATE($N$6,"/",B70),Proventos!$D:$D,"&lt;"&amp;CONCATENATE($C$6,"/",B71),Proventos!$J:$J,"="&amp;$H$2),
AND($H$2=Data!$A$4,$K$2=Data!$A$2),SUMIFS(Proventos!$H:$H,Proventos!$D:$D,"&gt;="&amp;CONCATENATE($N$6,"/",B70),Proventos!$D:$D,"&lt;"&amp;CONCATENATE($C$6,"/",B71),Proventos!$J:$J,"="&amp;$H$2),
AND($H$2=Data!$A$5,$K$2=Data!$A$2),SUMIFS(Proventos!$H:$H,Proventos!$D:$D,"&gt;="&amp;CONCATENATE($N$6,"/",B70),Proventos!$D:$D,"&lt;"&amp;CONCATENATE($C$6,"/",B71),Proventos!$J:$J,"="&amp;$H$2),
AND($H$2=Data!$A$6,$K$2=Data!$A$2),SUMIFS(Proventos!$H:$H,Proventos!$D:$D,"&gt;="&amp;CONCATENATE($N$6,"/",B70),Proventos!$D:$D,"&lt;"&amp;CONCATENATE($C$6,"/",B71),Proventos!$J:$J,"="&amp;$H$2),
AND($H$2=Data!$A$7,$K$2=Data!$A$2),SUMIFS(Proventos!$H:$H,Proventos!$D:$D,"&gt;="&amp;CONCATENATE($N$6,"/",B70),Proventos!$D:$D,"&lt;"&amp;CONCATENATE($C$6,"/",B71),Proventos!$J:$J,"="&amp;$H$2),
AND($H$2=Data!$A$8,$K$2=Data!$A$2),SUMIFS(Proventos!$H:$H,Proventos!$D:$D,"&gt;="&amp;CONCATENATE($N$6,"/",B70),Proventos!$D:$D,"&lt;"&amp;CONCATENATE($C$6,"/",B71),Proventos!$J:$J,"="&amp;$H$2),
AND($H$2=Data!$A$9,$K$2=Data!$A$2),SUMIFS(Proventos!$H:$H,Proventos!$D:$D,"&gt;="&amp;CONCATENATE($N$6,"/",B70),Proventos!$D:$D,"&lt;"&amp;CONCATENATE($C$6,"/",B71),Proventos!$J:$J,"="&amp;$H$2),
AND($H$2=Data!$A$10,$K$2=Data!$A$2),SUMIFS(Proventos!$H:$H,Proventos!$D:$D,"&gt;="&amp;CONCATENATE($N$6,"/",B70),Proventos!$D:$D,"&lt;"&amp;CONCATENATE($C$6,"/",B71),Proventos!$J:$J,"="&amp;$H$2),
AND($H$2=Data!$A$11,$K$2=Data!$A$2),SUMIFS(Proventos!$H:$H,Proventos!$D:$D,"&gt;="&amp;CONCATENATE($N$6,"/",B70),Proventos!$D:$D,"&lt;"&amp;CONCATENATE($C$6,"/",B71),Proventos!$J:$J,"="&amp;$H$2),
$K$2=Data!$A$2,SUMIFS(Proventos!$H:$H,Proventos!$D:$D,"&gt;="&amp;CONCATENATE($N$6,"/",B70),Proventos!$D:$D,"&lt;"&amp;CONCATENATE($C$6,"/",B71)),
$K$2&lt;&gt;Data!$A$2,SUMIFS(Proventos!$H:$H,Proventos!$D:$D,"&gt;="&amp;CONCATENATE($N$6,"/",B70),Proventos!$D:$D,"&lt;"&amp;CONCATENATE($C$6,"/",B71),Proventos!$A:$A,"="&amp;$K$2))</f>
        <v>0</v>
      </c>
      <c r="O70" s="245"/>
      <c r="P70" s="245">
        <f t="shared" si="1"/>
        <v>0</v>
      </c>
      <c r="Q70" s="245">
        <f t="shared" si="2"/>
        <v>0</v>
      </c>
    </row>
    <row r="71" ht="32.25" customHeight="1">
      <c r="A71" s="230"/>
      <c r="B71" s="244"/>
      <c r="C71" s="245">
        <f>IFS(
AND($H$2=Data!$A$3,$K$2=Data!$A$2),SUMIFS(Proventos!$H:$H,Proventos!$D:$D,"&gt;="&amp;CONCATENATE($C$6,"/",B71),Proventos!$D:$D,"&lt;"&amp;CONCATENATE($D$6,"/",B71),Proventos!$J:$J,"="&amp;$H$2),
AND($H$2=Data!$A$4,$K$2=Data!$A$2),SUMIFS(Proventos!$H:$H,Proventos!$D:$D,"&gt;="&amp;CONCATENATE($C$6,"/",B71),Proventos!$D:$D,"&lt;"&amp;CONCATENATE($D$6,"/",B71),Proventos!$J:$J,"="&amp;$H$2),
AND($H$2=Data!$A$5,$K$2=Data!$A$2),SUMIFS(Proventos!$H:$H,Proventos!$D:$D,"&gt;="&amp;CONCATENATE($C$6,"/",B71),Proventos!$D:$D,"&lt;"&amp;CONCATENATE($D$6,"/",B71),Proventos!$J:$J,"="&amp;$H$2),
AND($H$2=Data!$A$6,$K$2=Data!$A$2),SUMIFS(Proventos!$H:$H,Proventos!$D:$D,"&gt;="&amp;CONCATENATE($C$6,"/",B71),Proventos!$D:$D,"&lt;"&amp;CONCATENATE($D$6,"/",B71),Proventos!$J:$J,"="&amp;$H$2),
AND($H$2=Data!$A$7,$K$2=Data!$A$2),SUMIFS(Proventos!$H:$H,Proventos!$D:$D,"&gt;="&amp;CONCATENATE($C$6,"/",B71),Proventos!$D:$D,"&lt;"&amp;CONCATENATE($D$6,"/",B71),Proventos!$J:$J,"="&amp;$H$2),
AND($H$2=Data!$A$8,$K$2=Data!$A$2),SUMIFS(Proventos!$H:$H,Proventos!$D:$D,"&gt;="&amp;CONCATENATE($C$6,"/",B71),Proventos!$D:$D,"&lt;"&amp;CONCATENATE($D$6,"/",B71),Proventos!$J:$J,"="&amp;$H$2),
AND($H$2=Data!$A$9,$K$2=Data!$A$2),SUMIFS(Proventos!$H:$H,Proventos!$D:$D,"&gt;="&amp;CONCATENATE($C$6,"/",B71),Proventos!$D:$D,"&lt;"&amp;CONCATENATE($D$6,"/",B71),Proventos!$J:$J,"="&amp;$H$2),
AND($H$2=Data!$A$10,$K$2=Data!$A$2),SUMIFS(Proventos!$H:$H,Proventos!$D:$D,"&gt;="&amp;CONCATENATE($C$6,"/",B71),Proventos!$D:$D,"&lt;"&amp;CONCATENATE($D$6,"/",B71),Proventos!$J:$J,"="&amp;$H$2),
AND($H$2=Data!$A$11,$K$2=Data!$A$2),SUMIFS(Proventos!$H:$H,Proventos!$D:$D,"&gt;="&amp;CONCATENATE($C$6,"/",B71),Proventos!$D:$D,"&lt;"&amp;CONCATENATE($D$6,"/",B71),Proventos!$J:$J,"="&amp;$H$2),
$K$2=Data!$A$2,SUMIFS(Proventos!$H:$H,Proventos!$D:$D,"&gt;="&amp;CONCATENATE($C$6,"/",B71),Proventos!$D:$D,"&lt;"&amp;CONCATENATE($D$6,"/",B71)),
$K$2&lt;&gt;Data!$A$2,SUMIFS(Proventos!$H:$H,Proventos!$D:$D,"&gt;="&amp;CONCATENATE($C$6,"/",B71),Proventos!$D:$D,"&lt;"&amp;CONCATENATE($D$6,"/",B71),Proventos!$A:$A,"="&amp;$K$2))</f>
        <v>0</v>
      </c>
      <c r="D71" s="245">
        <f>IFS(
AND($H$2=Data!$A$3,$K$2=Data!$A$2),SUMIFS(Proventos!$H:$H,Proventos!$D:$D,"&gt;="&amp;CONCATENATE($D$6,"/",B71),Proventos!$D:$D,"&lt;"&amp;CONCATENATE($E$6,"/",B71),Proventos!$J:$J,"="&amp;$H$2),
AND($H$2=Data!$A$4,$K$2=Data!$A$2),SUMIFS(Proventos!$H:$H,Proventos!$D:$D,"&gt;="&amp;CONCATENATE($D$6,"/",B71),Proventos!$D:$D,"&lt;"&amp;CONCATENATE($E$6,"/",B71),Proventos!$J:$J,"="&amp;$H$2),
AND($H$2=Data!$A$5,$K$2=Data!$A$2),SUMIFS(Proventos!$H:$H,Proventos!$D:$D,"&gt;="&amp;CONCATENATE($D$6,"/",B71),Proventos!$D:$D,"&lt;"&amp;CONCATENATE($E$6,"/",B71),Proventos!$J:$J,"="&amp;$H$2),
AND($H$2=Data!$A$6,$K$2=Data!$A$2),SUMIFS(Proventos!$H:$H,Proventos!$D:$D,"&gt;="&amp;CONCATENATE($D$6,"/",B71),Proventos!$D:$D,"&lt;"&amp;CONCATENATE($E$6,"/",B71),Proventos!$J:$J,"="&amp;$H$2),
AND($H$2=Data!$A$7,$K$2=Data!$A$2),SUMIFS(Proventos!$H:$H,Proventos!$D:$D,"&gt;="&amp;CONCATENATE($D$6,"/",B71),Proventos!$D:$D,"&lt;"&amp;CONCATENATE($E$6,"/",B71),Proventos!$J:$J,"="&amp;$H$2),
AND($H$2=Data!$A$8,$K$2=Data!$A$2),SUMIFS(Proventos!$H:$H,Proventos!$D:$D,"&gt;="&amp;CONCATENATE($D$6,"/",B71),Proventos!$D:$D,"&lt;"&amp;CONCATENATE($E$6,"/",B71),Proventos!$J:$J,"="&amp;$H$2),
AND($H$2=Data!$A$9,$K$2=Data!$A$2),SUMIFS(Proventos!$H:$H,Proventos!$D:$D,"&gt;="&amp;CONCATENATE($D$6,"/",B71),Proventos!$D:$D,"&lt;"&amp;CONCATENATE($E$6,"/",B71),Proventos!$J:$J,"="&amp;$H$2),
AND($H$2=Data!$A$10,$K$2=Data!$A$2),SUMIFS(Proventos!$H:$H,Proventos!$D:$D,"&gt;="&amp;CONCATENATE($D$6,"/",B71),Proventos!$D:$D,"&lt;"&amp;CONCATENATE($E$6,"/",B71),Proventos!$J:$J,"="&amp;$H$2),
AND($H$2=Data!$A$11,$K$2=Data!$A$2),SUMIFS(Proventos!$H:$H,Proventos!$D:$D,"&gt;="&amp;CONCATENATE($D$6,"/",B71),Proventos!$D:$D,"&lt;"&amp;CONCATENATE($E$6,"/",B71),Proventos!$J:$J,"="&amp;$H$2),
$K$2=Data!$A$2,SUMIFS(Proventos!$H:$H,Proventos!$D:$D,"&gt;="&amp;CONCATENATE($D$6,"/",B71),Proventos!$D:$D,"&lt;"&amp;CONCATENATE($E$6,"/",B71)),
$K$2&lt;&gt;Data!$A$2,SUMIFS(Proventos!$H:$H,Proventos!$D:$D,"&gt;="&amp;CONCATENATE($D$6,"/",B71),Proventos!$D:$D,"&lt;"&amp;CONCATENATE($E$6,"/",B71),Proventos!$A:$A,"="&amp;$K$2))</f>
        <v>0</v>
      </c>
      <c r="E71" s="245">
        <f>IFS(
AND($H$2=Data!$A$3,$K$2=Data!$A$2),SUMIFS(Proventos!$H:$H,Proventos!$D:$D,"&gt;="&amp;CONCATENATE($E$6,"/",B71),Proventos!$D:$D,"&lt;"&amp;CONCATENATE($F$6,"/",B71),Proventos!$J:$J,"="&amp;$H$2),
AND($H$2=Data!$A$4,$K$2=Data!$A$2),SUMIFS(Proventos!$H:$H,Proventos!$D:$D,"&gt;="&amp;CONCATENATE($E$6,"/",B71),Proventos!$D:$D,"&lt;"&amp;CONCATENATE($F$6,"/",B71),Proventos!$J:$J,"="&amp;$H$2),
AND($H$2=Data!$A$5,$K$2=Data!$A$2),SUMIFS(Proventos!$H:$H,Proventos!$D:$D,"&gt;="&amp;CONCATENATE($E$6,"/",B71),Proventos!$D:$D,"&lt;"&amp;CONCATENATE($F$6,"/",B71),Proventos!$J:$J,"="&amp;$H$2),
AND($H$2=Data!$A$6,$K$2=Data!$A$2),SUMIFS(Proventos!$H:$H,Proventos!$D:$D,"&gt;="&amp;CONCATENATE($E$6,"/",B71),Proventos!$D:$D,"&lt;"&amp;CONCATENATE($F$6,"/",B71),Proventos!$J:$J,"="&amp;$H$2),
AND($H$2=Data!$A$7,$K$2=Data!$A$2),SUMIFS(Proventos!$H:$H,Proventos!$D:$D,"&gt;="&amp;CONCATENATE($E$6,"/",B71),Proventos!$D:$D,"&lt;"&amp;CONCATENATE($F$6,"/",B71),Proventos!$J:$J,"="&amp;$H$2),
AND($H$2=Data!$A$8,$K$2=Data!$A$2),SUMIFS(Proventos!$H:$H,Proventos!$D:$D,"&gt;="&amp;CONCATENATE($E$6,"/",B71),Proventos!$D:$D,"&lt;"&amp;CONCATENATE($F$6,"/",B71),Proventos!$J:$J,"="&amp;$H$2),
AND($H$2=Data!$A$9,$K$2=Data!$A$2),SUMIFS(Proventos!$H:$H,Proventos!$D:$D,"&gt;="&amp;CONCATENATE($E$6,"/",B71),Proventos!$D:$D,"&lt;"&amp;CONCATENATE($F$6,"/",B71),Proventos!$J:$J,"="&amp;$H$2),
AND($H$2=Data!$A$10,$K$2=Data!$A$2),SUMIFS(Proventos!$H:$H,Proventos!$D:$D,"&gt;="&amp;CONCATENATE($E$6,"/",B71),Proventos!$D:$D,"&lt;"&amp;CONCATENATE($F$6,"/",B71),Proventos!$J:$J,"="&amp;$H$2),
AND($H$2=Data!$A$11,$K$2=Data!$A$2),SUMIFS(Proventos!$H:$H,Proventos!$D:$D,"&gt;="&amp;CONCATENATE($E$6,"/",B71),Proventos!$D:$D,"&lt;"&amp;CONCATENATE($F$6,"/",B71),Proventos!$J:$J,"="&amp;$H$2),
$K$2=Data!$A$2,SUMIFS(Proventos!$H:$H,Proventos!$D:$D,"&gt;="&amp;CONCATENATE($E$6,"/",B71),Proventos!$D:$D,"&lt;"&amp;CONCATENATE($F$6,"/",B71)),
$K$2&lt;&gt;Data!$A$2,SUMIFS(Proventos!$H:$H,Proventos!$D:$D,"&gt;="&amp;CONCATENATE($E$6,"/",B71),Proventos!$D:$D,"&lt;"&amp;CONCATENATE($F$6,"/",B71),Proventos!$A:$A,"="&amp;$K$2))</f>
        <v>0</v>
      </c>
      <c r="F71" s="245">
        <f>IFS(
AND($H$2=Data!$A$3,$K$2=Data!$A$2),SUMIFS(Proventos!$H:$H,Proventos!$D:$D,"&gt;="&amp;CONCATENATE($F$6,"/",B71),Proventos!$D:$D,"&lt;"&amp;CONCATENATE($G$6,"/",B71),Proventos!$J:$J,"="&amp;$H$2),
AND($H$2=Data!$A$4,$K$2=Data!$A$2),SUMIFS(Proventos!$H:$H,Proventos!$D:$D,"&gt;="&amp;CONCATENATE($F$6,"/",B71),Proventos!$D:$D,"&lt;"&amp;CONCATENATE($G$6,"/",B71),Proventos!$J:$J,"="&amp;$H$2),
AND($H$2=Data!$A$5,$K$2=Data!$A$2),SUMIFS(Proventos!$H:$H,Proventos!$D:$D,"&gt;="&amp;CONCATENATE($F$6,"/",B71),Proventos!$D:$D,"&lt;"&amp;CONCATENATE($G$6,"/",B71),Proventos!$J:$J,"="&amp;$H$2),
AND($H$2=Data!$A$6,$K$2=Data!$A$2),SUMIFS(Proventos!$H:$H,Proventos!$D:$D,"&gt;="&amp;CONCATENATE($F$6,"/",B71),Proventos!$D:$D,"&lt;"&amp;CONCATENATE($G$6,"/",B71),Proventos!$J:$J,"="&amp;$H$2),
AND($H$2=Data!$A$7,$K$2=Data!$A$2),SUMIFS(Proventos!$H:$H,Proventos!$D:$D,"&gt;="&amp;CONCATENATE($F$6,"/",B71),Proventos!$D:$D,"&lt;"&amp;CONCATENATE($G$6,"/",B71),Proventos!$J:$J,"="&amp;$H$2),
AND($H$2=Data!$A$8,$K$2=Data!$A$2),SUMIFS(Proventos!$H:$H,Proventos!$D:$D,"&gt;="&amp;CONCATENATE($F$6,"/",B71),Proventos!$D:$D,"&lt;"&amp;CONCATENATE($G$6,"/",B71),Proventos!$J:$J,"="&amp;$H$2),
AND($H$2=Data!$A$9,$K$2=Data!$A$2),SUMIFS(Proventos!$H:$H,Proventos!$D:$D,"&gt;="&amp;CONCATENATE($F$6,"/",B71),Proventos!$D:$D,"&lt;"&amp;CONCATENATE($G$6,"/",B71),Proventos!$J:$J,"="&amp;$H$2),
AND($H$2=Data!$A$10,$K$2=Data!$A$2),SUMIFS(Proventos!$H:$H,Proventos!$D:$D,"&gt;="&amp;CONCATENATE($F$6,"/",B71),Proventos!$D:$D,"&lt;"&amp;CONCATENATE($G$6,"/",B71),Proventos!$J:$J,"="&amp;$H$2),
AND($H$2=Data!$A$11,$K$2=Data!$A$2),SUMIFS(Proventos!$H:$H,Proventos!$D:$D,"&gt;="&amp;CONCATENATE($F$6,"/",B71),Proventos!$D:$D,"&lt;"&amp;CONCATENATE($G$6,"/",B71),Proventos!$J:$J,"="&amp;$H$2),
$K$2=Data!$A$2,SUMIFS(Proventos!$H:$H,Proventos!$D:$D,"&gt;="&amp;CONCATENATE($F$6,"/",B71),Proventos!$D:$D,"&lt;"&amp;CONCATENATE($G$6,"/",B71)),
$K$2&lt;&gt;Data!$A$2,SUMIFS(Proventos!$H:$H,Proventos!$D:$D,"&gt;="&amp;CONCATENATE($F$6,"/",B71),Proventos!$D:$D,"&lt;"&amp;CONCATENATE($G$6,"/",B71),Proventos!$A:$A,"="&amp;$K$2))</f>
        <v>0</v>
      </c>
      <c r="G71" s="245">
        <f>IFS(
AND($H$2=Data!$A$3,$K$2=Data!$A$2),SUMIFS(Proventos!$H:$H,Proventos!$D:$D,"&gt;="&amp;CONCATENATE($G$6,"/",B71),Proventos!$D:$D,"&lt;"&amp;CONCATENATE($H$6,"/",B71),Proventos!$J:$J,"="&amp;$H$2),
AND($H$2=Data!$A$4,$K$2=Data!$A$2),SUMIFS(Proventos!$H:$H,Proventos!$D:$D,"&gt;="&amp;CONCATENATE($G$6,"/",B71),Proventos!$D:$D,"&lt;"&amp;CONCATENATE($H$6,"/",B71),Proventos!$J:$J,"="&amp;$H$2),
AND($H$2=Data!$A$5,$K$2=Data!$A$2),SUMIFS(Proventos!$H:$H,Proventos!$D:$D,"&gt;="&amp;CONCATENATE($G$6,"/",B71),Proventos!$D:$D,"&lt;"&amp;CONCATENATE($H$6,"/",B71),Proventos!$J:$J,"="&amp;$H$2),
AND($H$2=Data!$A$6,$K$2=Data!$A$2),SUMIFS(Proventos!$H:$H,Proventos!$D:$D,"&gt;="&amp;CONCATENATE($G$6,"/",B71),Proventos!$D:$D,"&lt;"&amp;CONCATENATE($H$6,"/",B71),Proventos!$J:$J,"="&amp;$H$2),
AND($H$2=Data!$A$7,$K$2=Data!$A$2),SUMIFS(Proventos!$H:$H,Proventos!$D:$D,"&gt;="&amp;CONCATENATE($G$6,"/",B71),Proventos!$D:$D,"&lt;"&amp;CONCATENATE($H$6,"/",B71),Proventos!$J:$J,"="&amp;$H$2),
AND($H$2=Data!$A$8,$K$2=Data!$A$2),SUMIFS(Proventos!$H:$H,Proventos!$D:$D,"&gt;="&amp;CONCATENATE($G$6,"/",B71),Proventos!$D:$D,"&lt;"&amp;CONCATENATE($H$6,"/",B71),Proventos!$J:$J,"="&amp;$H$2),
AND($H$2=Data!$A$9,$K$2=Data!$A$2),SUMIFS(Proventos!$H:$H,Proventos!$D:$D,"&gt;="&amp;CONCATENATE($G$6,"/",B71),Proventos!$D:$D,"&lt;"&amp;CONCATENATE($H$6,"/",B71),Proventos!$J:$J,"="&amp;$H$2),
AND($H$2=Data!$A$10,$K$2=Data!$A$2),SUMIFS(Proventos!$H:$H,Proventos!$D:$D,"&gt;="&amp;CONCATENATE($G$6,"/",B71),Proventos!$D:$D,"&lt;"&amp;CONCATENATE($H$6,"/",B71),Proventos!$J:$J,"="&amp;$H$2),
AND($H$2=Data!$A$11,$K$2=Data!$A$2),SUMIFS(Proventos!$H:$H,Proventos!$D:$D,"&gt;="&amp;CONCATENATE($G$6,"/",B71),Proventos!$D:$D,"&lt;"&amp;CONCATENATE($H$6,"/",B71),Proventos!$J:$J,"="&amp;$H$2),
$K$2=Data!$A$2,SUMIFS(Proventos!$H:$H,Proventos!$D:$D,"&gt;="&amp;CONCATENATE($G$6,"/",B71),Proventos!$D:$D,"&lt;"&amp;CONCATENATE($H$6,"/",B71)),
$K$2&lt;&gt;Data!$A$2,SUMIFS(Proventos!$H:$H,Proventos!$D:$D,"&gt;="&amp;CONCATENATE($G$6,"/",B71),Proventos!$D:$D,"&lt;"&amp;CONCATENATE($H$6,"/",B71),Proventos!$A:$A,"="&amp;$K$2))</f>
        <v>0</v>
      </c>
      <c r="H71" s="245">
        <f>IFS(
AND($H$2=Data!$A$3,$K$2=Data!$A$2),SUMIFS(Proventos!$H:$H,Proventos!$D:$D,"&gt;="&amp;CONCATENATE($H$6,"/",B71),Proventos!$D:$D,"&lt;"&amp;CONCATENATE($I$6,"/",B71),Proventos!$J:$J,"="&amp;$H$2),
AND($H$2=Data!$A$4,$K$2=Data!$A$2),SUMIFS(Proventos!$H:$H,Proventos!$D:$D,"&gt;="&amp;CONCATENATE($H$6,"/",B71),Proventos!$D:$D,"&lt;"&amp;CONCATENATE($I$6,"/",B71),Proventos!$J:$J,"="&amp;$H$2),
AND($H$2=Data!$A$5,$K$2=Data!$A$2),SUMIFS(Proventos!$H:$H,Proventos!$D:$D,"&gt;="&amp;CONCATENATE($H$6,"/",B71),Proventos!$D:$D,"&lt;"&amp;CONCATENATE($I$6,"/",B71),Proventos!$J:$J,"="&amp;$H$2),
AND($H$2=Data!$A$6,$K$2=Data!$A$2),SUMIFS(Proventos!$H:$H,Proventos!$D:$D,"&gt;="&amp;CONCATENATE($H$6,"/",B71),Proventos!$D:$D,"&lt;"&amp;CONCATENATE($I$6,"/",B71),Proventos!$J:$J,"="&amp;$H$2),
AND($H$2=Data!$A$7,$K$2=Data!$A$2),SUMIFS(Proventos!$H:$H,Proventos!$D:$D,"&gt;="&amp;CONCATENATE($H$6,"/",B71),Proventos!$D:$D,"&lt;"&amp;CONCATENATE($I$6,"/",B71),Proventos!$J:$J,"="&amp;$H$2),
AND($H$2=Data!$A$8,$K$2=Data!$A$2),SUMIFS(Proventos!$H:$H,Proventos!$D:$D,"&gt;="&amp;CONCATENATE($H$6,"/",B71),Proventos!$D:$D,"&lt;"&amp;CONCATENATE($I$6,"/",B71),Proventos!$J:$J,"="&amp;$H$2),
AND($H$2=Data!$A$9,$K$2=Data!$A$2),SUMIFS(Proventos!$H:$H,Proventos!$D:$D,"&gt;="&amp;CONCATENATE($H$6,"/",B71),Proventos!$D:$D,"&lt;"&amp;CONCATENATE($I$6,"/",B71),Proventos!$J:$J,"="&amp;$H$2),
AND($H$2=Data!$A$10,$K$2=Data!$A$2),SUMIFS(Proventos!$H:$H,Proventos!$D:$D,"&gt;="&amp;CONCATENATE($H$6,"/",B71),Proventos!$D:$D,"&lt;"&amp;CONCATENATE($I$6,"/",B71),Proventos!$J:$J,"="&amp;$H$2),
AND($H$2=Data!$A$11,$K$2=Data!$A$2),SUMIFS(Proventos!$H:$H,Proventos!$D:$D,"&gt;="&amp;CONCATENATE($H$6,"/",B71),Proventos!$D:$D,"&lt;"&amp;CONCATENATE($I$6,"/",B71),Proventos!$J:$J,"="&amp;$H$2),
$K$2=Data!$A$2,SUMIFS(Proventos!$H:$H,Proventos!$D:$D,"&gt;="&amp;CONCATENATE($H$6,"/",B71),Proventos!$D:$D,"&lt;"&amp;CONCATENATE($I$6,"/",B71)),
$K$2&lt;&gt;Data!$A$2,SUMIFS(Proventos!$H:$H,Proventos!$D:$D,"&gt;="&amp;CONCATENATE($H$6,"/",B71),Proventos!$D:$D,"&lt;"&amp;CONCATENATE($I$6,"/",B71),Proventos!$A:$A,"="&amp;$K$2))</f>
        <v>0</v>
      </c>
      <c r="I71" s="245">
        <f>IFS(
AND($H$2=Data!$A$3,$K$2=Data!$A$2),SUMIFS(Proventos!$H:$H,Proventos!$D:$D,"&gt;="&amp;CONCATENATE($I$6,"/",B71),Proventos!$D:$D,"&lt;"&amp;CONCATENATE($J$6,"/",B71),Proventos!$J:$J,"="&amp;$H$2),
AND($H$2=Data!$A$4,$K$2=Data!$A$2),SUMIFS(Proventos!$H:$H,Proventos!$D:$D,"&gt;="&amp;CONCATENATE($I$6,"/",B71),Proventos!$D:$D,"&lt;"&amp;CONCATENATE($J$6,"/",B71),Proventos!$J:$J,"="&amp;$H$2),
AND($H$2=Data!$A$5,$K$2=Data!$A$2),SUMIFS(Proventos!$H:$H,Proventos!$D:$D,"&gt;="&amp;CONCATENATE($I$6,"/",B71),Proventos!$D:$D,"&lt;"&amp;CONCATENATE($J$6,"/",B71),Proventos!$J:$J,"="&amp;$H$2),
AND($H$2=Data!$A$6,$K$2=Data!$A$2),SUMIFS(Proventos!$H:$H,Proventos!$D:$D,"&gt;="&amp;CONCATENATE($I$6,"/",B71),Proventos!$D:$D,"&lt;"&amp;CONCATENATE($J$6,"/",B71),Proventos!$J:$J,"="&amp;$H$2),
AND($H$2=Data!$A$7,$K$2=Data!$A$2),SUMIFS(Proventos!$H:$H,Proventos!$D:$D,"&gt;="&amp;CONCATENATE($I$6,"/",B71),Proventos!$D:$D,"&lt;"&amp;CONCATENATE($J$6,"/",B71),Proventos!$J:$J,"="&amp;$H$2),
AND($H$2=Data!$A$8,$K$2=Data!$A$2),SUMIFS(Proventos!$H:$H,Proventos!$D:$D,"&gt;="&amp;CONCATENATE($I$6,"/",B71),Proventos!$D:$D,"&lt;"&amp;CONCATENATE($J$6,"/",B71),Proventos!$J:$J,"="&amp;$H$2),
AND($H$2=Data!$A$9,$K$2=Data!$A$2),SUMIFS(Proventos!$H:$H,Proventos!$D:$D,"&gt;="&amp;CONCATENATE($I$6,"/",B71),Proventos!$D:$D,"&lt;"&amp;CONCATENATE($J$6,"/",B71),Proventos!$J:$J,"="&amp;$H$2),
AND($H$2=Data!$A$10,$K$2=Data!$A$2),SUMIFS(Proventos!$H:$H,Proventos!$D:$D,"&gt;="&amp;CONCATENATE($I$6,"/",B71),Proventos!$D:$D,"&lt;"&amp;CONCATENATE($J$6,"/",B71),Proventos!$J:$J,"="&amp;$H$2),
AND($H$2=Data!$A$11,$K$2=Data!$A$2),SUMIFS(Proventos!$H:$H,Proventos!$D:$D,"&gt;="&amp;CONCATENATE($I$6,"/",B71),Proventos!$D:$D,"&lt;"&amp;CONCATENATE($J$6,"/",B71),Proventos!$J:$J,"="&amp;$H$2),
$K$2=Data!$A$2,SUMIFS(Proventos!$H:$H,Proventos!$D:$D,"&gt;="&amp;CONCATENATE($I$6,"/",B71),Proventos!$D:$D,"&lt;"&amp;CONCATENATE($J$6,"/",B71)),
$K$2&lt;&gt;Data!$A$2,SUMIFS(Proventos!$H:$H,Proventos!$D:$D,"&gt;="&amp;CONCATENATE($I$6,"/",B71),Proventos!$D:$D,"&lt;"&amp;CONCATENATE($J$6,"/",B71),Proventos!$A:$A,"="&amp;$K$2))</f>
        <v>0</v>
      </c>
      <c r="J71" s="245">
        <f>IFS(
AND($H$2=Data!$A$3,$K$2=Data!$A$2),SUMIFS(Proventos!$H:$H,Proventos!$D:$D,"&gt;="&amp;CONCATENATE($J$6,"/",B71),Proventos!$D:$D,"&lt;"&amp;CONCATENATE($K$6,"/",B71),Proventos!$J:$J,"="&amp;$H$2),
AND($H$2=Data!$A$4,$K$2=Data!$A$2),SUMIFS(Proventos!$H:$H,Proventos!$D:$D,"&gt;="&amp;CONCATENATE($J$6,"/",B71),Proventos!$D:$D,"&lt;"&amp;CONCATENATE($K$6,"/",B71),Proventos!$J:$J,"="&amp;$H$2),
AND($H$2=Data!$A$5,$K$2=Data!$A$2),SUMIFS(Proventos!$H:$H,Proventos!$D:$D,"&gt;="&amp;CONCATENATE($J$6,"/",B71),Proventos!$D:$D,"&lt;"&amp;CONCATENATE($K$6,"/",B71),Proventos!$J:$J,"="&amp;$H$2),
AND($H$2=Data!$A$6,$K$2=Data!$A$2),SUMIFS(Proventos!$H:$H,Proventos!$D:$D,"&gt;="&amp;CONCATENATE($J$6,"/",B71),Proventos!$D:$D,"&lt;"&amp;CONCATENATE($K$6,"/",B71),Proventos!$J:$J,"="&amp;$H$2),
AND($H$2=Data!$A$7,$K$2=Data!$A$2),SUMIFS(Proventos!$H:$H,Proventos!$D:$D,"&gt;="&amp;CONCATENATE($J$6,"/",B71),Proventos!$D:$D,"&lt;"&amp;CONCATENATE($K$6,"/",B71),Proventos!$J:$J,"="&amp;$H$2),
AND($H$2=Data!$A$8,$K$2=Data!$A$2),SUMIFS(Proventos!$H:$H,Proventos!$D:$D,"&gt;="&amp;CONCATENATE($J$6,"/",B71),Proventos!$D:$D,"&lt;"&amp;CONCATENATE($K$6,"/",B71),Proventos!$J:$J,"="&amp;$H$2),
AND($H$2=Data!$A$9,$K$2=Data!$A$2),SUMIFS(Proventos!$H:$H,Proventos!$D:$D,"&gt;="&amp;CONCATENATE($J$6,"/",B71),Proventos!$D:$D,"&lt;"&amp;CONCATENATE($K$6,"/",B71),Proventos!$J:$J,"="&amp;$H$2),
AND($H$2=Data!$A$10,$K$2=Data!$A$2),SUMIFS(Proventos!$H:$H,Proventos!$D:$D,"&gt;="&amp;CONCATENATE($J$6,"/",B71),Proventos!$D:$D,"&lt;"&amp;CONCATENATE($K$6,"/",B71),Proventos!$J:$J,"="&amp;$H$2),
AND($H$2=Data!$A$11,$K$2=Data!$A$2),SUMIFS(Proventos!$H:$H,Proventos!$D:$D,"&gt;="&amp;CONCATENATE($J$6,"/",B71),Proventos!$D:$D,"&lt;"&amp;CONCATENATE($K$6,"/",B71),Proventos!$J:$J,"="&amp;$H$2),
$K$2=Data!$A$2,SUMIFS(Proventos!$H:$H,Proventos!$D:$D,"&gt;="&amp;CONCATENATE($J$6,"/",B71),Proventos!$D:$D,"&lt;"&amp;CONCATENATE($K$6,"/",B71)),
$K$2&lt;&gt;Data!$A$2,SUMIFS(Proventos!$H:$H,Proventos!$D:$D,"&gt;="&amp;CONCATENATE($J$6,"/",B71),Proventos!$D:$D,"&lt;"&amp;CONCATENATE($K$6,"/",B71),Proventos!$A:$A,"="&amp;$K$2))</f>
        <v>0</v>
      </c>
      <c r="K71" s="245">
        <f>IFS(
AND($H$2=Data!$A$3,$K$2=Data!$A$2),SUMIFS(Proventos!$H:$H,Proventos!$D:$D,"&gt;="&amp;CONCATENATE($K$6,"/",B71),Proventos!$D:$D,"&lt;"&amp;CONCATENATE($L$6,"/",B71),Proventos!$J:$J,"="&amp;$H$2),
AND($H$2=Data!$A$4,$K$2=Data!$A$2),SUMIFS(Proventos!$H:$H,Proventos!$D:$D,"&gt;="&amp;CONCATENATE($K$6,"/",B71),Proventos!$D:$D,"&lt;"&amp;CONCATENATE($L$6,"/",B71),Proventos!$J:$J,"="&amp;$H$2),
AND($H$2=Data!$A$5,$K$2=Data!$A$2),SUMIFS(Proventos!$H:$H,Proventos!$D:$D,"&gt;="&amp;CONCATENATE($K$6,"/",B71),Proventos!$D:$D,"&lt;"&amp;CONCATENATE($L$6,"/",B71),Proventos!$J:$J,"="&amp;$H$2),
AND($H$2=Data!$A$6,$K$2=Data!$A$2),SUMIFS(Proventos!$H:$H,Proventos!$D:$D,"&gt;="&amp;CONCATENATE($K$6,"/",B71),Proventos!$D:$D,"&lt;"&amp;CONCATENATE($L$6,"/",B71),Proventos!$J:$J,"="&amp;$H$2),
AND($H$2=Data!$A$7,$K$2=Data!$A$2),SUMIFS(Proventos!$H:$H,Proventos!$D:$D,"&gt;="&amp;CONCATENATE($K$6,"/",B71),Proventos!$D:$D,"&lt;"&amp;CONCATENATE($L$6,"/",B71),Proventos!$J:$J,"="&amp;$H$2),
AND($H$2=Data!$A$8,$K$2=Data!$A$2),SUMIFS(Proventos!$H:$H,Proventos!$D:$D,"&gt;="&amp;CONCATENATE($K$6,"/",B71),Proventos!$D:$D,"&lt;"&amp;CONCATENATE($L$6,"/",B71),Proventos!$J:$J,"="&amp;$H$2),
AND($H$2=Data!$A$9,$K$2=Data!$A$2),SUMIFS(Proventos!$H:$H,Proventos!$D:$D,"&gt;="&amp;CONCATENATE($K$6,"/",B71),Proventos!$D:$D,"&lt;"&amp;CONCATENATE($L$6,"/",B71),Proventos!$J:$J,"="&amp;$H$2),
AND($H$2=Data!$A$10,$K$2=Data!$A$2),SUMIFS(Proventos!$H:$H,Proventos!$D:$D,"&gt;="&amp;CONCATENATE($K$6,"/",B71),Proventos!$D:$D,"&lt;"&amp;CONCATENATE($L$6,"/",B71),Proventos!$J:$J,"="&amp;$H$2),
AND($H$2=Data!$A$11,$K$2=Data!$A$2),SUMIFS(Proventos!$H:$H,Proventos!$D:$D,"&gt;="&amp;CONCATENATE($K$6,"/",B71),Proventos!$D:$D,"&lt;"&amp;CONCATENATE($L$6,"/",B71),Proventos!$J:$J,"="&amp;$H$2),
$K$2=Data!$A$2,SUMIFS(Proventos!$H:$H,Proventos!$D:$D,"&gt;="&amp;CONCATENATE($K$6,"/",B71),Proventos!$D:$D,"&lt;"&amp;CONCATENATE($L$6,"/",B71)),
$K$2&lt;&gt;Data!$A$2,SUMIFS(Proventos!$H:$H,Proventos!$D:$D,"&gt;="&amp;CONCATENATE($K$6,"/",B71),Proventos!$D:$D,"&lt;"&amp;CONCATENATE($L$6,"/",B71),Proventos!$A:$A,"="&amp;$K$2))</f>
        <v>0</v>
      </c>
      <c r="L71" s="245">
        <f>IFS(
AND($H$2=Data!$A$3,$K$2=Data!$A$2),SUMIFS(Proventos!$H:$H,Proventos!$D:$D,"&gt;="&amp;CONCATENATE($L$6,"/",B71),Proventos!$D:$D,"&lt;"&amp;CONCATENATE($M$6,"/",B71),Proventos!$J:$J,"="&amp;$H$2),
AND($H$2=Data!$A$4,$K$2=Data!$A$2),SUMIFS(Proventos!$H:$H,Proventos!$D:$D,"&gt;="&amp;CONCATENATE($L$6,"/",B71),Proventos!$D:$D,"&lt;"&amp;CONCATENATE($M$6,"/",B71),Proventos!$J:$J,"="&amp;$H$2),
AND($H$2=Data!$A$5,$K$2=Data!$A$2),SUMIFS(Proventos!$H:$H,Proventos!$D:$D,"&gt;="&amp;CONCATENATE($L$6,"/",B71),Proventos!$D:$D,"&lt;"&amp;CONCATENATE($M$6,"/",B71),Proventos!$J:$J,"="&amp;$H$2),
AND($H$2=Data!$A$6,$K$2=Data!$A$2),SUMIFS(Proventos!$H:$H,Proventos!$D:$D,"&gt;="&amp;CONCATENATE($L$6,"/",B71),Proventos!$D:$D,"&lt;"&amp;CONCATENATE($M$6,"/",B71),Proventos!$J:$J,"="&amp;$H$2),
AND($H$2=Data!$A$7,$K$2=Data!$A$2),SUMIFS(Proventos!$H:$H,Proventos!$D:$D,"&gt;="&amp;CONCATENATE($L$6,"/",B71),Proventos!$D:$D,"&lt;"&amp;CONCATENATE($M$6,"/",B71),Proventos!$J:$J,"="&amp;$H$2),
AND($H$2=Data!$A$8,$K$2=Data!$A$2),SUMIFS(Proventos!$H:$H,Proventos!$D:$D,"&gt;="&amp;CONCATENATE($L$6,"/",B71),Proventos!$D:$D,"&lt;"&amp;CONCATENATE($M$6,"/",B71),Proventos!$J:$J,"="&amp;$H$2),
AND($H$2=Data!$A$9,$K$2=Data!$A$2),SUMIFS(Proventos!$H:$H,Proventos!$D:$D,"&gt;="&amp;CONCATENATE($L$6,"/",B71),Proventos!$D:$D,"&lt;"&amp;CONCATENATE($M$6,"/",B71),Proventos!$J:$J,"="&amp;$H$2),
AND($H$2=Data!$A$10,$K$2=Data!$A$2),SUMIFS(Proventos!$H:$H,Proventos!$D:$D,"&gt;="&amp;CONCATENATE($L$6,"/",B71),Proventos!$D:$D,"&lt;"&amp;CONCATENATE($M$6,"/",B71),Proventos!$J:$J,"="&amp;$H$2),
AND($H$2=Data!$A$11,$K$2=Data!$A$2),SUMIFS(Proventos!$H:$H,Proventos!$D:$D,"&gt;="&amp;CONCATENATE($L$6,"/",B71),Proventos!$D:$D,"&lt;"&amp;CONCATENATE($M$6,"/",B71),Proventos!$J:$J,"="&amp;$H$2),
$K$2=Data!$A$2,SUMIFS(Proventos!$H:$H,Proventos!$D:$D,"&gt;="&amp;CONCATENATE($L$6,"/",B71),Proventos!$D:$D,"&lt;"&amp;CONCATENATE($M$6,"/",B71)),
$K$2&lt;&gt;Data!$A$2,SUMIFS(Proventos!$H:$H,Proventos!$D:$D,"&gt;="&amp;CONCATENATE($L$6,"/",B71),Proventos!$D:$D,"&lt;"&amp;CONCATENATE($M$6,"/",B71),Proventos!$A:$A,"="&amp;$K$2))</f>
        <v>0</v>
      </c>
      <c r="M71" s="245">
        <f>IFS(
AND($H$2=Data!$A$3,$K$2=Data!$A$2),SUMIFS(Proventos!$H:$H,Proventos!$D:$D,"&gt;="&amp;CONCATENATE($M$6,"/",B71),Proventos!$D:$D,"&lt;"&amp;CONCATENATE($N$6,"/",B71),Proventos!$J:$J,"="&amp;$H$2),
AND($H$2=Data!$A$4,$K$2=Data!$A$2),SUMIFS(Proventos!$H:$H,Proventos!$D:$D,"&gt;="&amp;CONCATENATE($M$6,"/",B71),Proventos!$D:$D,"&lt;"&amp;CONCATENATE($N$6,"/",B71),Proventos!$J:$J,"="&amp;$H$2),
AND($H$2=Data!$A$5,$K$2=Data!$A$2),SUMIFS(Proventos!$H:$H,Proventos!$D:$D,"&gt;="&amp;CONCATENATE($M$6,"/",B71),Proventos!$D:$D,"&lt;"&amp;CONCATENATE($N$6,"/",B71),Proventos!$J:$J,"="&amp;$H$2),
AND($H$2=Data!$A$6,$K$2=Data!$A$2),SUMIFS(Proventos!$H:$H,Proventos!$D:$D,"&gt;="&amp;CONCATENATE($M$6,"/",B71),Proventos!$D:$D,"&lt;"&amp;CONCATENATE($N$6,"/",B71),Proventos!$J:$J,"="&amp;$H$2),
AND($H$2=Data!$A$7,$K$2=Data!$A$2),SUMIFS(Proventos!$H:$H,Proventos!$D:$D,"&gt;="&amp;CONCATENATE($M$6,"/",B71),Proventos!$D:$D,"&lt;"&amp;CONCATENATE($N$6,"/",B71),Proventos!$J:$J,"="&amp;$H$2),
AND($H$2=Data!$A$8,$K$2=Data!$A$2),SUMIFS(Proventos!$H:$H,Proventos!$D:$D,"&gt;="&amp;CONCATENATE($M$6,"/",B71),Proventos!$D:$D,"&lt;"&amp;CONCATENATE($N$6,"/",B71),Proventos!$J:$J,"="&amp;$H$2),
AND($H$2=Data!$A$9,$K$2=Data!$A$2),SUMIFS(Proventos!$H:$H,Proventos!$D:$D,"&gt;="&amp;CONCATENATE($M$6,"/",B71),Proventos!$D:$D,"&lt;"&amp;CONCATENATE($N$6,"/",B71),Proventos!$J:$J,"="&amp;$H$2),
AND($H$2=Data!$A$10,$K$2=Data!$A$2),SUMIFS(Proventos!$H:$H,Proventos!$D:$D,"&gt;="&amp;CONCATENATE($M$6,"/",B71),Proventos!$D:$D,"&lt;"&amp;CONCATENATE($N$6,"/",B71),Proventos!$J:$J,"="&amp;$H$2),
AND($H$2=Data!$A$11,$K$2=Data!$A$2),SUMIFS(Proventos!$H:$H,Proventos!$D:$D,"&gt;="&amp;CONCATENATE($M$6,"/",B71),Proventos!$D:$D,"&lt;"&amp;CONCATENATE($N$6,"/",B71),Proventos!$J:$J,"="&amp;$H$2),
$K$2=Data!$A$2,SUMIFS(Proventos!$H:$H,Proventos!$D:$D,"&gt;="&amp;CONCATENATE($M$6,"/",B71),Proventos!$D:$D,"&lt;"&amp;CONCATENATE($N$6,"/",B71)),
$K$2&lt;&gt;Data!$A$2,SUMIFS(Proventos!$H:$H,Proventos!$D:$D,"&gt;="&amp;CONCATENATE($M$6,"/",B71),Proventos!$D:$D,"&lt;"&amp;CONCATENATE($N$6,"/",B71),Proventos!$A:$A,"="&amp;$K$2))</f>
        <v>0</v>
      </c>
      <c r="N71" s="245">
        <f>IFS(
AND($H$2=Data!$A$3,$K$2=Data!$A$2),SUMIFS(Proventos!$H:$H,Proventos!$D:$D,"&gt;="&amp;CONCATENATE($N$6,"/",B71),Proventos!$D:$D,"&lt;"&amp;CONCATENATE($C$6,"/",B72),Proventos!$J:$J,"="&amp;$H$2),
AND($H$2=Data!$A$4,$K$2=Data!$A$2),SUMIFS(Proventos!$H:$H,Proventos!$D:$D,"&gt;="&amp;CONCATENATE($N$6,"/",B71),Proventos!$D:$D,"&lt;"&amp;CONCATENATE($C$6,"/",B72),Proventos!$J:$J,"="&amp;$H$2),
AND($H$2=Data!$A$5,$K$2=Data!$A$2),SUMIFS(Proventos!$H:$H,Proventos!$D:$D,"&gt;="&amp;CONCATENATE($N$6,"/",B71),Proventos!$D:$D,"&lt;"&amp;CONCATENATE($C$6,"/",B72),Proventos!$J:$J,"="&amp;$H$2),
AND($H$2=Data!$A$6,$K$2=Data!$A$2),SUMIFS(Proventos!$H:$H,Proventos!$D:$D,"&gt;="&amp;CONCATENATE($N$6,"/",B71),Proventos!$D:$D,"&lt;"&amp;CONCATENATE($C$6,"/",B72),Proventos!$J:$J,"="&amp;$H$2),
AND($H$2=Data!$A$7,$K$2=Data!$A$2),SUMIFS(Proventos!$H:$H,Proventos!$D:$D,"&gt;="&amp;CONCATENATE($N$6,"/",B71),Proventos!$D:$D,"&lt;"&amp;CONCATENATE($C$6,"/",B72),Proventos!$J:$J,"="&amp;$H$2),
AND($H$2=Data!$A$8,$K$2=Data!$A$2),SUMIFS(Proventos!$H:$H,Proventos!$D:$D,"&gt;="&amp;CONCATENATE($N$6,"/",B71),Proventos!$D:$D,"&lt;"&amp;CONCATENATE($C$6,"/",B72),Proventos!$J:$J,"="&amp;$H$2),
AND($H$2=Data!$A$9,$K$2=Data!$A$2),SUMIFS(Proventos!$H:$H,Proventos!$D:$D,"&gt;="&amp;CONCATENATE($N$6,"/",B71),Proventos!$D:$D,"&lt;"&amp;CONCATENATE($C$6,"/",B72),Proventos!$J:$J,"="&amp;$H$2),
AND($H$2=Data!$A$10,$K$2=Data!$A$2),SUMIFS(Proventos!$H:$H,Proventos!$D:$D,"&gt;="&amp;CONCATENATE($N$6,"/",B71),Proventos!$D:$D,"&lt;"&amp;CONCATENATE($C$6,"/",B72),Proventos!$J:$J,"="&amp;$H$2),
AND($H$2=Data!$A$11,$K$2=Data!$A$2),SUMIFS(Proventos!$H:$H,Proventos!$D:$D,"&gt;="&amp;CONCATENATE($N$6,"/",B71),Proventos!$D:$D,"&lt;"&amp;CONCATENATE($C$6,"/",B72),Proventos!$J:$J,"="&amp;$H$2),
$K$2=Data!$A$2,SUMIFS(Proventos!$H:$H,Proventos!$D:$D,"&gt;="&amp;CONCATENATE($N$6,"/",B71),Proventos!$D:$D,"&lt;"&amp;CONCATENATE($C$6,"/",B72)),
$K$2&lt;&gt;Data!$A$2,SUMIFS(Proventos!$H:$H,Proventos!$D:$D,"&gt;="&amp;CONCATENATE($N$6,"/",B71),Proventos!$D:$D,"&lt;"&amp;CONCATENATE($C$6,"/",B72),Proventos!$A:$A,"="&amp;$K$2))</f>
        <v>0</v>
      </c>
      <c r="O71" s="245"/>
      <c r="P71" s="245">
        <f t="shared" si="1"/>
        <v>0</v>
      </c>
      <c r="Q71" s="245">
        <f t="shared" si="2"/>
        <v>0</v>
      </c>
    </row>
    <row r="72" ht="32.25" customHeight="1">
      <c r="A72" s="230"/>
      <c r="B72" s="244"/>
      <c r="C72" s="245">
        <f>IFS(
AND($H$2=Data!$A$3,$K$2=Data!$A$2),SUMIFS(Proventos!$H:$H,Proventos!$D:$D,"&gt;="&amp;CONCATENATE($C$6,"/",B72),Proventos!$D:$D,"&lt;"&amp;CONCATENATE($D$6,"/",B72),Proventos!$J:$J,"="&amp;$H$2),
AND($H$2=Data!$A$4,$K$2=Data!$A$2),SUMIFS(Proventos!$H:$H,Proventos!$D:$D,"&gt;="&amp;CONCATENATE($C$6,"/",B72),Proventos!$D:$D,"&lt;"&amp;CONCATENATE($D$6,"/",B72),Proventos!$J:$J,"="&amp;$H$2),
AND($H$2=Data!$A$5,$K$2=Data!$A$2),SUMIFS(Proventos!$H:$H,Proventos!$D:$D,"&gt;="&amp;CONCATENATE($C$6,"/",B72),Proventos!$D:$D,"&lt;"&amp;CONCATENATE($D$6,"/",B72),Proventos!$J:$J,"="&amp;$H$2),
AND($H$2=Data!$A$6,$K$2=Data!$A$2),SUMIFS(Proventos!$H:$H,Proventos!$D:$D,"&gt;="&amp;CONCATENATE($C$6,"/",B72),Proventos!$D:$D,"&lt;"&amp;CONCATENATE($D$6,"/",B72),Proventos!$J:$J,"="&amp;$H$2),
AND($H$2=Data!$A$7,$K$2=Data!$A$2),SUMIFS(Proventos!$H:$H,Proventos!$D:$D,"&gt;="&amp;CONCATENATE($C$6,"/",B72),Proventos!$D:$D,"&lt;"&amp;CONCATENATE($D$6,"/",B72),Proventos!$J:$J,"="&amp;$H$2),
AND($H$2=Data!$A$8,$K$2=Data!$A$2),SUMIFS(Proventos!$H:$H,Proventos!$D:$D,"&gt;="&amp;CONCATENATE($C$6,"/",B72),Proventos!$D:$D,"&lt;"&amp;CONCATENATE($D$6,"/",B72),Proventos!$J:$J,"="&amp;$H$2),
AND($H$2=Data!$A$9,$K$2=Data!$A$2),SUMIFS(Proventos!$H:$H,Proventos!$D:$D,"&gt;="&amp;CONCATENATE($C$6,"/",B72),Proventos!$D:$D,"&lt;"&amp;CONCATENATE($D$6,"/",B72),Proventos!$J:$J,"="&amp;$H$2),
AND($H$2=Data!$A$10,$K$2=Data!$A$2),SUMIFS(Proventos!$H:$H,Proventos!$D:$D,"&gt;="&amp;CONCATENATE($C$6,"/",B72),Proventos!$D:$D,"&lt;"&amp;CONCATENATE($D$6,"/",B72),Proventos!$J:$J,"="&amp;$H$2),
AND($H$2=Data!$A$11,$K$2=Data!$A$2),SUMIFS(Proventos!$H:$H,Proventos!$D:$D,"&gt;="&amp;CONCATENATE($C$6,"/",B72),Proventos!$D:$D,"&lt;"&amp;CONCATENATE($D$6,"/",B72),Proventos!$J:$J,"="&amp;$H$2),
$K$2=Data!$A$2,SUMIFS(Proventos!$H:$H,Proventos!$D:$D,"&gt;="&amp;CONCATENATE($C$6,"/",B72),Proventos!$D:$D,"&lt;"&amp;CONCATENATE($D$6,"/",B72)),
$K$2&lt;&gt;Data!$A$2,SUMIFS(Proventos!$H:$H,Proventos!$D:$D,"&gt;="&amp;CONCATENATE($C$6,"/",B72),Proventos!$D:$D,"&lt;"&amp;CONCATENATE($D$6,"/",B72),Proventos!$A:$A,"="&amp;$K$2))</f>
        <v>0</v>
      </c>
      <c r="D72" s="245">
        <f>IFS(
AND($H$2=Data!$A$3,$K$2=Data!$A$2),SUMIFS(Proventos!$H:$H,Proventos!$D:$D,"&gt;="&amp;CONCATENATE($D$6,"/",B72),Proventos!$D:$D,"&lt;"&amp;CONCATENATE($E$6,"/",B72),Proventos!$J:$J,"="&amp;$H$2),
AND($H$2=Data!$A$4,$K$2=Data!$A$2),SUMIFS(Proventos!$H:$H,Proventos!$D:$D,"&gt;="&amp;CONCATENATE($D$6,"/",B72),Proventos!$D:$D,"&lt;"&amp;CONCATENATE($E$6,"/",B72),Proventos!$J:$J,"="&amp;$H$2),
AND($H$2=Data!$A$5,$K$2=Data!$A$2),SUMIFS(Proventos!$H:$H,Proventos!$D:$D,"&gt;="&amp;CONCATENATE($D$6,"/",B72),Proventos!$D:$D,"&lt;"&amp;CONCATENATE($E$6,"/",B72),Proventos!$J:$J,"="&amp;$H$2),
AND($H$2=Data!$A$6,$K$2=Data!$A$2),SUMIFS(Proventos!$H:$H,Proventos!$D:$D,"&gt;="&amp;CONCATENATE($D$6,"/",B72),Proventos!$D:$D,"&lt;"&amp;CONCATENATE($E$6,"/",B72),Proventos!$J:$J,"="&amp;$H$2),
AND($H$2=Data!$A$7,$K$2=Data!$A$2),SUMIFS(Proventos!$H:$H,Proventos!$D:$D,"&gt;="&amp;CONCATENATE($D$6,"/",B72),Proventos!$D:$D,"&lt;"&amp;CONCATENATE($E$6,"/",B72),Proventos!$J:$J,"="&amp;$H$2),
AND($H$2=Data!$A$8,$K$2=Data!$A$2),SUMIFS(Proventos!$H:$H,Proventos!$D:$D,"&gt;="&amp;CONCATENATE($D$6,"/",B72),Proventos!$D:$D,"&lt;"&amp;CONCATENATE($E$6,"/",B72),Proventos!$J:$J,"="&amp;$H$2),
AND($H$2=Data!$A$9,$K$2=Data!$A$2),SUMIFS(Proventos!$H:$H,Proventos!$D:$D,"&gt;="&amp;CONCATENATE($D$6,"/",B72),Proventos!$D:$D,"&lt;"&amp;CONCATENATE($E$6,"/",B72),Proventos!$J:$J,"="&amp;$H$2),
AND($H$2=Data!$A$10,$K$2=Data!$A$2),SUMIFS(Proventos!$H:$H,Proventos!$D:$D,"&gt;="&amp;CONCATENATE($D$6,"/",B72),Proventos!$D:$D,"&lt;"&amp;CONCATENATE($E$6,"/",B72),Proventos!$J:$J,"="&amp;$H$2),
AND($H$2=Data!$A$11,$K$2=Data!$A$2),SUMIFS(Proventos!$H:$H,Proventos!$D:$D,"&gt;="&amp;CONCATENATE($D$6,"/",B72),Proventos!$D:$D,"&lt;"&amp;CONCATENATE($E$6,"/",B72),Proventos!$J:$J,"="&amp;$H$2),
$K$2=Data!$A$2,SUMIFS(Proventos!$H:$H,Proventos!$D:$D,"&gt;="&amp;CONCATENATE($D$6,"/",B72),Proventos!$D:$D,"&lt;"&amp;CONCATENATE($E$6,"/",B72)),
$K$2&lt;&gt;Data!$A$2,SUMIFS(Proventos!$H:$H,Proventos!$D:$D,"&gt;="&amp;CONCATENATE($D$6,"/",B72),Proventos!$D:$D,"&lt;"&amp;CONCATENATE($E$6,"/",B72),Proventos!$A:$A,"="&amp;$K$2))</f>
        <v>0</v>
      </c>
      <c r="E72" s="245">
        <f>IFS(
AND($H$2=Data!$A$3,$K$2=Data!$A$2),SUMIFS(Proventos!$H:$H,Proventos!$D:$D,"&gt;="&amp;CONCATENATE($E$6,"/",B72),Proventos!$D:$D,"&lt;"&amp;CONCATENATE($F$6,"/",B72),Proventos!$J:$J,"="&amp;$H$2),
AND($H$2=Data!$A$4,$K$2=Data!$A$2),SUMIFS(Proventos!$H:$H,Proventos!$D:$D,"&gt;="&amp;CONCATENATE($E$6,"/",B72),Proventos!$D:$D,"&lt;"&amp;CONCATENATE($F$6,"/",B72),Proventos!$J:$J,"="&amp;$H$2),
AND($H$2=Data!$A$5,$K$2=Data!$A$2),SUMIFS(Proventos!$H:$H,Proventos!$D:$D,"&gt;="&amp;CONCATENATE($E$6,"/",B72),Proventos!$D:$D,"&lt;"&amp;CONCATENATE($F$6,"/",B72),Proventos!$J:$J,"="&amp;$H$2),
AND($H$2=Data!$A$6,$K$2=Data!$A$2),SUMIFS(Proventos!$H:$H,Proventos!$D:$D,"&gt;="&amp;CONCATENATE($E$6,"/",B72),Proventos!$D:$D,"&lt;"&amp;CONCATENATE($F$6,"/",B72),Proventos!$J:$J,"="&amp;$H$2),
AND($H$2=Data!$A$7,$K$2=Data!$A$2),SUMIFS(Proventos!$H:$H,Proventos!$D:$D,"&gt;="&amp;CONCATENATE($E$6,"/",B72),Proventos!$D:$D,"&lt;"&amp;CONCATENATE($F$6,"/",B72),Proventos!$J:$J,"="&amp;$H$2),
AND($H$2=Data!$A$8,$K$2=Data!$A$2),SUMIFS(Proventos!$H:$H,Proventos!$D:$D,"&gt;="&amp;CONCATENATE($E$6,"/",B72),Proventos!$D:$D,"&lt;"&amp;CONCATENATE($F$6,"/",B72),Proventos!$J:$J,"="&amp;$H$2),
AND($H$2=Data!$A$9,$K$2=Data!$A$2),SUMIFS(Proventos!$H:$H,Proventos!$D:$D,"&gt;="&amp;CONCATENATE($E$6,"/",B72),Proventos!$D:$D,"&lt;"&amp;CONCATENATE($F$6,"/",B72),Proventos!$J:$J,"="&amp;$H$2),
AND($H$2=Data!$A$10,$K$2=Data!$A$2),SUMIFS(Proventos!$H:$H,Proventos!$D:$D,"&gt;="&amp;CONCATENATE($E$6,"/",B72),Proventos!$D:$D,"&lt;"&amp;CONCATENATE($F$6,"/",B72),Proventos!$J:$J,"="&amp;$H$2),
AND($H$2=Data!$A$11,$K$2=Data!$A$2),SUMIFS(Proventos!$H:$H,Proventos!$D:$D,"&gt;="&amp;CONCATENATE($E$6,"/",B72),Proventos!$D:$D,"&lt;"&amp;CONCATENATE($F$6,"/",B72),Proventos!$J:$J,"="&amp;$H$2),
$K$2=Data!$A$2,SUMIFS(Proventos!$H:$H,Proventos!$D:$D,"&gt;="&amp;CONCATENATE($E$6,"/",B72),Proventos!$D:$D,"&lt;"&amp;CONCATENATE($F$6,"/",B72)),
$K$2&lt;&gt;Data!$A$2,SUMIFS(Proventos!$H:$H,Proventos!$D:$D,"&gt;="&amp;CONCATENATE($E$6,"/",B72),Proventos!$D:$D,"&lt;"&amp;CONCATENATE($F$6,"/",B72),Proventos!$A:$A,"="&amp;$K$2))</f>
        <v>0</v>
      </c>
      <c r="F72" s="245">
        <f>IFS(
AND($H$2=Data!$A$3,$K$2=Data!$A$2),SUMIFS(Proventos!$H:$H,Proventos!$D:$D,"&gt;="&amp;CONCATENATE($F$6,"/",B72),Proventos!$D:$D,"&lt;"&amp;CONCATENATE($G$6,"/",B72),Proventos!$J:$J,"="&amp;$H$2),
AND($H$2=Data!$A$4,$K$2=Data!$A$2),SUMIFS(Proventos!$H:$H,Proventos!$D:$D,"&gt;="&amp;CONCATENATE($F$6,"/",B72),Proventos!$D:$D,"&lt;"&amp;CONCATENATE($G$6,"/",B72),Proventos!$J:$J,"="&amp;$H$2),
AND($H$2=Data!$A$5,$K$2=Data!$A$2),SUMIFS(Proventos!$H:$H,Proventos!$D:$D,"&gt;="&amp;CONCATENATE($F$6,"/",B72),Proventos!$D:$D,"&lt;"&amp;CONCATENATE($G$6,"/",B72),Proventos!$J:$J,"="&amp;$H$2),
AND($H$2=Data!$A$6,$K$2=Data!$A$2),SUMIFS(Proventos!$H:$H,Proventos!$D:$D,"&gt;="&amp;CONCATENATE($F$6,"/",B72),Proventos!$D:$D,"&lt;"&amp;CONCATENATE($G$6,"/",B72),Proventos!$J:$J,"="&amp;$H$2),
AND($H$2=Data!$A$7,$K$2=Data!$A$2),SUMIFS(Proventos!$H:$H,Proventos!$D:$D,"&gt;="&amp;CONCATENATE($F$6,"/",B72),Proventos!$D:$D,"&lt;"&amp;CONCATENATE($G$6,"/",B72),Proventos!$J:$J,"="&amp;$H$2),
AND($H$2=Data!$A$8,$K$2=Data!$A$2),SUMIFS(Proventos!$H:$H,Proventos!$D:$D,"&gt;="&amp;CONCATENATE($F$6,"/",B72),Proventos!$D:$D,"&lt;"&amp;CONCATENATE($G$6,"/",B72),Proventos!$J:$J,"="&amp;$H$2),
AND($H$2=Data!$A$9,$K$2=Data!$A$2),SUMIFS(Proventos!$H:$H,Proventos!$D:$D,"&gt;="&amp;CONCATENATE($F$6,"/",B72),Proventos!$D:$D,"&lt;"&amp;CONCATENATE($G$6,"/",B72),Proventos!$J:$J,"="&amp;$H$2),
AND($H$2=Data!$A$10,$K$2=Data!$A$2),SUMIFS(Proventos!$H:$H,Proventos!$D:$D,"&gt;="&amp;CONCATENATE($F$6,"/",B72),Proventos!$D:$D,"&lt;"&amp;CONCATENATE($G$6,"/",B72),Proventos!$J:$J,"="&amp;$H$2),
AND($H$2=Data!$A$11,$K$2=Data!$A$2),SUMIFS(Proventos!$H:$H,Proventos!$D:$D,"&gt;="&amp;CONCATENATE($F$6,"/",B72),Proventos!$D:$D,"&lt;"&amp;CONCATENATE($G$6,"/",B72),Proventos!$J:$J,"="&amp;$H$2),
$K$2=Data!$A$2,SUMIFS(Proventos!$H:$H,Proventos!$D:$D,"&gt;="&amp;CONCATENATE($F$6,"/",B72),Proventos!$D:$D,"&lt;"&amp;CONCATENATE($G$6,"/",B72)),
$K$2&lt;&gt;Data!$A$2,SUMIFS(Proventos!$H:$H,Proventos!$D:$D,"&gt;="&amp;CONCATENATE($F$6,"/",B72),Proventos!$D:$D,"&lt;"&amp;CONCATENATE($G$6,"/",B72),Proventos!$A:$A,"="&amp;$K$2))</f>
        <v>0</v>
      </c>
      <c r="G72" s="245">
        <f>IFS(
AND($H$2=Data!$A$3,$K$2=Data!$A$2),SUMIFS(Proventos!$H:$H,Proventos!$D:$D,"&gt;="&amp;CONCATENATE($G$6,"/",B72),Proventos!$D:$D,"&lt;"&amp;CONCATENATE($H$6,"/",B72),Proventos!$J:$J,"="&amp;$H$2),
AND($H$2=Data!$A$4,$K$2=Data!$A$2),SUMIFS(Proventos!$H:$H,Proventos!$D:$D,"&gt;="&amp;CONCATENATE($G$6,"/",B72),Proventos!$D:$D,"&lt;"&amp;CONCATENATE($H$6,"/",B72),Proventos!$J:$J,"="&amp;$H$2),
AND($H$2=Data!$A$5,$K$2=Data!$A$2),SUMIFS(Proventos!$H:$H,Proventos!$D:$D,"&gt;="&amp;CONCATENATE($G$6,"/",B72),Proventos!$D:$D,"&lt;"&amp;CONCATENATE($H$6,"/",B72),Proventos!$J:$J,"="&amp;$H$2),
AND($H$2=Data!$A$6,$K$2=Data!$A$2),SUMIFS(Proventos!$H:$H,Proventos!$D:$D,"&gt;="&amp;CONCATENATE($G$6,"/",B72),Proventos!$D:$D,"&lt;"&amp;CONCATENATE($H$6,"/",B72),Proventos!$J:$J,"="&amp;$H$2),
AND($H$2=Data!$A$7,$K$2=Data!$A$2),SUMIFS(Proventos!$H:$H,Proventos!$D:$D,"&gt;="&amp;CONCATENATE($G$6,"/",B72),Proventos!$D:$D,"&lt;"&amp;CONCATENATE($H$6,"/",B72),Proventos!$J:$J,"="&amp;$H$2),
AND($H$2=Data!$A$8,$K$2=Data!$A$2),SUMIFS(Proventos!$H:$H,Proventos!$D:$D,"&gt;="&amp;CONCATENATE($G$6,"/",B72),Proventos!$D:$D,"&lt;"&amp;CONCATENATE($H$6,"/",B72),Proventos!$J:$J,"="&amp;$H$2),
AND($H$2=Data!$A$9,$K$2=Data!$A$2),SUMIFS(Proventos!$H:$H,Proventos!$D:$D,"&gt;="&amp;CONCATENATE($G$6,"/",B72),Proventos!$D:$D,"&lt;"&amp;CONCATENATE($H$6,"/",B72),Proventos!$J:$J,"="&amp;$H$2),
AND($H$2=Data!$A$10,$K$2=Data!$A$2),SUMIFS(Proventos!$H:$H,Proventos!$D:$D,"&gt;="&amp;CONCATENATE($G$6,"/",B72),Proventos!$D:$D,"&lt;"&amp;CONCATENATE($H$6,"/",B72),Proventos!$J:$J,"="&amp;$H$2),
AND($H$2=Data!$A$11,$K$2=Data!$A$2),SUMIFS(Proventos!$H:$H,Proventos!$D:$D,"&gt;="&amp;CONCATENATE($G$6,"/",B72),Proventos!$D:$D,"&lt;"&amp;CONCATENATE($H$6,"/",B72),Proventos!$J:$J,"="&amp;$H$2),
$K$2=Data!$A$2,SUMIFS(Proventos!$H:$H,Proventos!$D:$D,"&gt;="&amp;CONCATENATE($G$6,"/",B72),Proventos!$D:$D,"&lt;"&amp;CONCATENATE($H$6,"/",B72)),
$K$2&lt;&gt;Data!$A$2,SUMIFS(Proventos!$H:$H,Proventos!$D:$D,"&gt;="&amp;CONCATENATE($G$6,"/",B72),Proventos!$D:$D,"&lt;"&amp;CONCATENATE($H$6,"/",B72),Proventos!$A:$A,"="&amp;$K$2))</f>
        <v>0</v>
      </c>
      <c r="H72" s="245">
        <f>IFS(
AND($H$2=Data!$A$3,$K$2=Data!$A$2),SUMIFS(Proventos!$H:$H,Proventos!$D:$D,"&gt;="&amp;CONCATENATE($H$6,"/",B72),Proventos!$D:$D,"&lt;"&amp;CONCATENATE($I$6,"/",B72),Proventos!$J:$J,"="&amp;$H$2),
AND($H$2=Data!$A$4,$K$2=Data!$A$2),SUMIFS(Proventos!$H:$H,Proventos!$D:$D,"&gt;="&amp;CONCATENATE($H$6,"/",B72),Proventos!$D:$D,"&lt;"&amp;CONCATENATE($I$6,"/",B72),Proventos!$J:$J,"="&amp;$H$2),
AND($H$2=Data!$A$5,$K$2=Data!$A$2),SUMIFS(Proventos!$H:$H,Proventos!$D:$D,"&gt;="&amp;CONCATENATE($H$6,"/",B72),Proventos!$D:$D,"&lt;"&amp;CONCATENATE($I$6,"/",B72),Proventos!$J:$J,"="&amp;$H$2),
AND($H$2=Data!$A$6,$K$2=Data!$A$2),SUMIFS(Proventos!$H:$H,Proventos!$D:$D,"&gt;="&amp;CONCATENATE($H$6,"/",B72),Proventos!$D:$D,"&lt;"&amp;CONCATENATE($I$6,"/",B72),Proventos!$J:$J,"="&amp;$H$2),
AND($H$2=Data!$A$7,$K$2=Data!$A$2),SUMIFS(Proventos!$H:$H,Proventos!$D:$D,"&gt;="&amp;CONCATENATE($H$6,"/",B72),Proventos!$D:$D,"&lt;"&amp;CONCATENATE($I$6,"/",B72),Proventos!$J:$J,"="&amp;$H$2),
AND($H$2=Data!$A$8,$K$2=Data!$A$2),SUMIFS(Proventos!$H:$H,Proventos!$D:$D,"&gt;="&amp;CONCATENATE($H$6,"/",B72),Proventos!$D:$D,"&lt;"&amp;CONCATENATE($I$6,"/",B72),Proventos!$J:$J,"="&amp;$H$2),
AND($H$2=Data!$A$9,$K$2=Data!$A$2),SUMIFS(Proventos!$H:$H,Proventos!$D:$D,"&gt;="&amp;CONCATENATE($H$6,"/",B72),Proventos!$D:$D,"&lt;"&amp;CONCATENATE($I$6,"/",B72),Proventos!$J:$J,"="&amp;$H$2),
AND($H$2=Data!$A$10,$K$2=Data!$A$2),SUMIFS(Proventos!$H:$H,Proventos!$D:$D,"&gt;="&amp;CONCATENATE($H$6,"/",B72),Proventos!$D:$D,"&lt;"&amp;CONCATENATE($I$6,"/",B72),Proventos!$J:$J,"="&amp;$H$2),
AND($H$2=Data!$A$11,$K$2=Data!$A$2),SUMIFS(Proventos!$H:$H,Proventos!$D:$D,"&gt;="&amp;CONCATENATE($H$6,"/",B72),Proventos!$D:$D,"&lt;"&amp;CONCATENATE($I$6,"/",B72),Proventos!$J:$J,"="&amp;$H$2),
$K$2=Data!$A$2,SUMIFS(Proventos!$H:$H,Proventos!$D:$D,"&gt;="&amp;CONCATENATE($H$6,"/",B72),Proventos!$D:$D,"&lt;"&amp;CONCATENATE($I$6,"/",B72)),
$K$2&lt;&gt;Data!$A$2,SUMIFS(Proventos!$H:$H,Proventos!$D:$D,"&gt;="&amp;CONCATENATE($H$6,"/",B72),Proventos!$D:$D,"&lt;"&amp;CONCATENATE($I$6,"/",B72),Proventos!$A:$A,"="&amp;$K$2))</f>
        <v>0</v>
      </c>
      <c r="I72" s="245">
        <f>IFS(
AND($H$2=Data!$A$3,$K$2=Data!$A$2),SUMIFS(Proventos!$H:$H,Proventos!$D:$D,"&gt;="&amp;CONCATENATE($I$6,"/",B72),Proventos!$D:$D,"&lt;"&amp;CONCATENATE($J$6,"/",B72),Proventos!$J:$J,"="&amp;$H$2),
AND($H$2=Data!$A$4,$K$2=Data!$A$2),SUMIFS(Proventos!$H:$H,Proventos!$D:$D,"&gt;="&amp;CONCATENATE($I$6,"/",B72),Proventos!$D:$D,"&lt;"&amp;CONCATENATE($J$6,"/",B72),Proventos!$J:$J,"="&amp;$H$2),
AND($H$2=Data!$A$5,$K$2=Data!$A$2),SUMIFS(Proventos!$H:$H,Proventos!$D:$D,"&gt;="&amp;CONCATENATE($I$6,"/",B72),Proventos!$D:$D,"&lt;"&amp;CONCATENATE($J$6,"/",B72),Proventos!$J:$J,"="&amp;$H$2),
AND($H$2=Data!$A$6,$K$2=Data!$A$2),SUMIFS(Proventos!$H:$H,Proventos!$D:$D,"&gt;="&amp;CONCATENATE($I$6,"/",B72),Proventos!$D:$D,"&lt;"&amp;CONCATENATE($J$6,"/",B72),Proventos!$J:$J,"="&amp;$H$2),
AND($H$2=Data!$A$7,$K$2=Data!$A$2),SUMIFS(Proventos!$H:$H,Proventos!$D:$D,"&gt;="&amp;CONCATENATE($I$6,"/",B72),Proventos!$D:$D,"&lt;"&amp;CONCATENATE($J$6,"/",B72),Proventos!$J:$J,"="&amp;$H$2),
AND($H$2=Data!$A$8,$K$2=Data!$A$2),SUMIFS(Proventos!$H:$H,Proventos!$D:$D,"&gt;="&amp;CONCATENATE($I$6,"/",B72),Proventos!$D:$D,"&lt;"&amp;CONCATENATE($J$6,"/",B72),Proventos!$J:$J,"="&amp;$H$2),
AND($H$2=Data!$A$9,$K$2=Data!$A$2),SUMIFS(Proventos!$H:$H,Proventos!$D:$D,"&gt;="&amp;CONCATENATE($I$6,"/",B72),Proventos!$D:$D,"&lt;"&amp;CONCATENATE($J$6,"/",B72),Proventos!$J:$J,"="&amp;$H$2),
AND($H$2=Data!$A$10,$K$2=Data!$A$2),SUMIFS(Proventos!$H:$H,Proventos!$D:$D,"&gt;="&amp;CONCATENATE($I$6,"/",B72),Proventos!$D:$D,"&lt;"&amp;CONCATENATE($J$6,"/",B72),Proventos!$J:$J,"="&amp;$H$2),
AND($H$2=Data!$A$11,$K$2=Data!$A$2),SUMIFS(Proventos!$H:$H,Proventos!$D:$D,"&gt;="&amp;CONCATENATE($I$6,"/",B72),Proventos!$D:$D,"&lt;"&amp;CONCATENATE($J$6,"/",B72),Proventos!$J:$J,"="&amp;$H$2),
$K$2=Data!$A$2,SUMIFS(Proventos!$H:$H,Proventos!$D:$D,"&gt;="&amp;CONCATENATE($I$6,"/",B72),Proventos!$D:$D,"&lt;"&amp;CONCATENATE($J$6,"/",B72)),
$K$2&lt;&gt;Data!$A$2,SUMIFS(Proventos!$H:$H,Proventos!$D:$D,"&gt;="&amp;CONCATENATE($I$6,"/",B72),Proventos!$D:$D,"&lt;"&amp;CONCATENATE($J$6,"/",B72),Proventos!$A:$A,"="&amp;$K$2))</f>
        <v>0</v>
      </c>
      <c r="J72" s="245">
        <f>IFS(
AND($H$2=Data!$A$3,$K$2=Data!$A$2),SUMIFS(Proventos!$H:$H,Proventos!$D:$D,"&gt;="&amp;CONCATENATE($J$6,"/",B72),Proventos!$D:$D,"&lt;"&amp;CONCATENATE($K$6,"/",B72),Proventos!$J:$J,"="&amp;$H$2),
AND($H$2=Data!$A$4,$K$2=Data!$A$2),SUMIFS(Proventos!$H:$H,Proventos!$D:$D,"&gt;="&amp;CONCATENATE($J$6,"/",B72),Proventos!$D:$D,"&lt;"&amp;CONCATENATE($K$6,"/",B72),Proventos!$J:$J,"="&amp;$H$2),
AND($H$2=Data!$A$5,$K$2=Data!$A$2),SUMIFS(Proventos!$H:$H,Proventos!$D:$D,"&gt;="&amp;CONCATENATE($J$6,"/",B72),Proventos!$D:$D,"&lt;"&amp;CONCATENATE($K$6,"/",B72),Proventos!$J:$J,"="&amp;$H$2),
AND($H$2=Data!$A$6,$K$2=Data!$A$2),SUMIFS(Proventos!$H:$H,Proventos!$D:$D,"&gt;="&amp;CONCATENATE($J$6,"/",B72),Proventos!$D:$D,"&lt;"&amp;CONCATENATE($K$6,"/",B72),Proventos!$J:$J,"="&amp;$H$2),
AND($H$2=Data!$A$7,$K$2=Data!$A$2),SUMIFS(Proventos!$H:$H,Proventos!$D:$D,"&gt;="&amp;CONCATENATE($J$6,"/",B72),Proventos!$D:$D,"&lt;"&amp;CONCATENATE($K$6,"/",B72),Proventos!$J:$J,"="&amp;$H$2),
AND($H$2=Data!$A$8,$K$2=Data!$A$2),SUMIFS(Proventos!$H:$H,Proventos!$D:$D,"&gt;="&amp;CONCATENATE($J$6,"/",B72),Proventos!$D:$D,"&lt;"&amp;CONCATENATE($K$6,"/",B72),Proventos!$J:$J,"="&amp;$H$2),
AND($H$2=Data!$A$9,$K$2=Data!$A$2),SUMIFS(Proventos!$H:$H,Proventos!$D:$D,"&gt;="&amp;CONCATENATE($J$6,"/",B72),Proventos!$D:$D,"&lt;"&amp;CONCATENATE($K$6,"/",B72),Proventos!$J:$J,"="&amp;$H$2),
AND($H$2=Data!$A$10,$K$2=Data!$A$2),SUMIFS(Proventos!$H:$H,Proventos!$D:$D,"&gt;="&amp;CONCATENATE($J$6,"/",B72),Proventos!$D:$D,"&lt;"&amp;CONCATENATE($K$6,"/",B72),Proventos!$J:$J,"="&amp;$H$2),
AND($H$2=Data!$A$11,$K$2=Data!$A$2),SUMIFS(Proventos!$H:$H,Proventos!$D:$D,"&gt;="&amp;CONCATENATE($J$6,"/",B72),Proventos!$D:$D,"&lt;"&amp;CONCATENATE($K$6,"/",B72),Proventos!$J:$J,"="&amp;$H$2),
$K$2=Data!$A$2,SUMIFS(Proventos!$H:$H,Proventos!$D:$D,"&gt;="&amp;CONCATENATE($J$6,"/",B72),Proventos!$D:$D,"&lt;"&amp;CONCATENATE($K$6,"/",B72)),
$K$2&lt;&gt;Data!$A$2,SUMIFS(Proventos!$H:$H,Proventos!$D:$D,"&gt;="&amp;CONCATENATE($J$6,"/",B72),Proventos!$D:$D,"&lt;"&amp;CONCATENATE($K$6,"/",B72),Proventos!$A:$A,"="&amp;$K$2))</f>
        <v>0</v>
      </c>
      <c r="K72" s="245">
        <f>IFS(
AND($H$2=Data!$A$3,$K$2=Data!$A$2),SUMIFS(Proventos!$H:$H,Proventos!$D:$D,"&gt;="&amp;CONCATENATE($K$6,"/",B72),Proventos!$D:$D,"&lt;"&amp;CONCATENATE($L$6,"/",B72),Proventos!$J:$J,"="&amp;$H$2),
AND($H$2=Data!$A$4,$K$2=Data!$A$2),SUMIFS(Proventos!$H:$H,Proventos!$D:$D,"&gt;="&amp;CONCATENATE($K$6,"/",B72),Proventos!$D:$D,"&lt;"&amp;CONCATENATE($L$6,"/",B72),Proventos!$J:$J,"="&amp;$H$2),
AND($H$2=Data!$A$5,$K$2=Data!$A$2),SUMIFS(Proventos!$H:$H,Proventos!$D:$D,"&gt;="&amp;CONCATENATE($K$6,"/",B72),Proventos!$D:$D,"&lt;"&amp;CONCATENATE($L$6,"/",B72),Proventos!$J:$J,"="&amp;$H$2),
AND($H$2=Data!$A$6,$K$2=Data!$A$2),SUMIFS(Proventos!$H:$H,Proventos!$D:$D,"&gt;="&amp;CONCATENATE($K$6,"/",B72),Proventos!$D:$D,"&lt;"&amp;CONCATENATE($L$6,"/",B72),Proventos!$J:$J,"="&amp;$H$2),
AND($H$2=Data!$A$7,$K$2=Data!$A$2),SUMIFS(Proventos!$H:$H,Proventos!$D:$D,"&gt;="&amp;CONCATENATE($K$6,"/",B72),Proventos!$D:$D,"&lt;"&amp;CONCATENATE($L$6,"/",B72),Proventos!$J:$J,"="&amp;$H$2),
AND($H$2=Data!$A$8,$K$2=Data!$A$2),SUMIFS(Proventos!$H:$H,Proventos!$D:$D,"&gt;="&amp;CONCATENATE($K$6,"/",B72),Proventos!$D:$D,"&lt;"&amp;CONCATENATE($L$6,"/",B72),Proventos!$J:$J,"="&amp;$H$2),
AND($H$2=Data!$A$9,$K$2=Data!$A$2),SUMIFS(Proventos!$H:$H,Proventos!$D:$D,"&gt;="&amp;CONCATENATE($K$6,"/",B72),Proventos!$D:$D,"&lt;"&amp;CONCATENATE($L$6,"/",B72),Proventos!$J:$J,"="&amp;$H$2),
AND($H$2=Data!$A$10,$K$2=Data!$A$2),SUMIFS(Proventos!$H:$H,Proventos!$D:$D,"&gt;="&amp;CONCATENATE($K$6,"/",B72),Proventos!$D:$D,"&lt;"&amp;CONCATENATE($L$6,"/",B72),Proventos!$J:$J,"="&amp;$H$2),
AND($H$2=Data!$A$11,$K$2=Data!$A$2),SUMIFS(Proventos!$H:$H,Proventos!$D:$D,"&gt;="&amp;CONCATENATE($K$6,"/",B72),Proventos!$D:$D,"&lt;"&amp;CONCATENATE($L$6,"/",B72),Proventos!$J:$J,"="&amp;$H$2),
$K$2=Data!$A$2,SUMIFS(Proventos!$H:$H,Proventos!$D:$D,"&gt;="&amp;CONCATENATE($K$6,"/",B72),Proventos!$D:$D,"&lt;"&amp;CONCATENATE($L$6,"/",B72)),
$K$2&lt;&gt;Data!$A$2,SUMIFS(Proventos!$H:$H,Proventos!$D:$D,"&gt;="&amp;CONCATENATE($K$6,"/",B72),Proventos!$D:$D,"&lt;"&amp;CONCATENATE($L$6,"/",B72),Proventos!$A:$A,"="&amp;$K$2))</f>
        <v>0</v>
      </c>
      <c r="L72" s="245">
        <f>IFS(
AND($H$2=Data!$A$3,$K$2=Data!$A$2),SUMIFS(Proventos!$H:$H,Proventos!$D:$D,"&gt;="&amp;CONCATENATE($L$6,"/",B72),Proventos!$D:$D,"&lt;"&amp;CONCATENATE($M$6,"/",B72),Proventos!$J:$J,"="&amp;$H$2),
AND($H$2=Data!$A$4,$K$2=Data!$A$2),SUMIFS(Proventos!$H:$H,Proventos!$D:$D,"&gt;="&amp;CONCATENATE($L$6,"/",B72),Proventos!$D:$D,"&lt;"&amp;CONCATENATE($M$6,"/",B72),Proventos!$J:$J,"="&amp;$H$2),
AND($H$2=Data!$A$5,$K$2=Data!$A$2),SUMIFS(Proventos!$H:$H,Proventos!$D:$D,"&gt;="&amp;CONCATENATE($L$6,"/",B72),Proventos!$D:$D,"&lt;"&amp;CONCATENATE($M$6,"/",B72),Proventos!$J:$J,"="&amp;$H$2),
AND($H$2=Data!$A$6,$K$2=Data!$A$2),SUMIFS(Proventos!$H:$H,Proventos!$D:$D,"&gt;="&amp;CONCATENATE($L$6,"/",B72),Proventos!$D:$D,"&lt;"&amp;CONCATENATE($M$6,"/",B72),Proventos!$J:$J,"="&amp;$H$2),
AND($H$2=Data!$A$7,$K$2=Data!$A$2),SUMIFS(Proventos!$H:$H,Proventos!$D:$D,"&gt;="&amp;CONCATENATE($L$6,"/",B72),Proventos!$D:$D,"&lt;"&amp;CONCATENATE($M$6,"/",B72),Proventos!$J:$J,"="&amp;$H$2),
AND($H$2=Data!$A$8,$K$2=Data!$A$2),SUMIFS(Proventos!$H:$H,Proventos!$D:$D,"&gt;="&amp;CONCATENATE($L$6,"/",B72),Proventos!$D:$D,"&lt;"&amp;CONCATENATE($M$6,"/",B72),Proventos!$J:$J,"="&amp;$H$2),
AND($H$2=Data!$A$9,$K$2=Data!$A$2),SUMIFS(Proventos!$H:$H,Proventos!$D:$D,"&gt;="&amp;CONCATENATE($L$6,"/",B72),Proventos!$D:$D,"&lt;"&amp;CONCATENATE($M$6,"/",B72),Proventos!$J:$J,"="&amp;$H$2),
AND($H$2=Data!$A$10,$K$2=Data!$A$2),SUMIFS(Proventos!$H:$H,Proventos!$D:$D,"&gt;="&amp;CONCATENATE($L$6,"/",B72),Proventos!$D:$D,"&lt;"&amp;CONCATENATE($M$6,"/",B72),Proventos!$J:$J,"="&amp;$H$2),
AND($H$2=Data!$A$11,$K$2=Data!$A$2),SUMIFS(Proventos!$H:$H,Proventos!$D:$D,"&gt;="&amp;CONCATENATE($L$6,"/",B72),Proventos!$D:$D,"&lt;"&amp;CONCATENATE($M$6,"/",B72),Proventos!$J:$J,"="&amp;$H$2),
$K$2=Data!$A$2,SUMIFS(Proventos!$H:$H,Proventos!$D:$D,"&gt;="&amp;CONCATENATE($L$6,"/",B72),Proventos!$D:$D,"&lt;"&amp;CONCATENATE($M$6,"/",B72)),
$K$2&lt;&gt;Data!$A$2,SUMIFS(Proventos!$H:$H,Proventos!$D:$D,"&gt;="&amp;CONCATENATE($L$6,"/",B72),Proventos!$D:$D,"&lt;"&amp;CONCATENATE($M$6,"/",B72),Proventos!$A:$A,"="&amp;$K$2))</f>
        <v>0</v>
      </c>
      <c r="M72" s="245">
        <f>IFS(
AND($H$2=Data!$A$3,$K$2=Data!$A$2),SUMIFS(Proventos!$H:$H,Proventos!$D:$D,"&gt;="&amp;CONCATENATE($M$6,"/",B72),Proventos!$D:$D,"&lt;"&amp;CONCATENATE($N$6,"/",B72),Proventos!$J:$J,"="&amp;$H$2),
AND($H$2=Data!$A$4,$K$2=Data!$A$2),SUMIFS(Proventos!$H:$H,Proventos!$D:$D,"&gt;="&amp;CONCATENATE($M$6,"/",B72),Proventos!$D:$D,"&lt;"&amp;CONCATENATE($N$6,"/",B72),Proventos!$J:$J,"="&amp;$H$2),
AND($H$2=Data!$A$5,$K$2=Data!$A$2),SUMIFS(Proventos!$H:$H,Proventos!$D:$D,"&gt;="&amp;CONCATENATE($M$6,"/",B72),Proventos!$D:$D,"&lt;"&amp;CONCATENATE($N$6,"/",B72),Proventos!$J:$J,"="&amp;$H$2),
AND($H$2=Data!$A$6,$K$2=Data!$A$2),SUMIFS(Proventos!$H:$H,Proventos!$D:$D,"&gt;="&amp;CONCATENATE($M$6,"/",B72),Proventos!$D:$D,"&lt;"&amp;CONCATENATE($N$6,"/",B72),Proventos!$J:$J,"="&amp;$H$2),
AND($H$2=Data!$A$7,$K$2=Data!$A$2),SUMIFS(Proventos!$H:$H,Proventos!$D:$D,"&gt;="&amp;CONCATENATE($M$6,"/",B72),Proventos!$D:$D,"&lt;"&amp;CONCATENATE($N$6,"/",B72),Proventos!$J:$J,"="&amp;$H$2),
AND($H$2=Data!$A$8,$K$2=Data!$A$2),SUMIFS(Proventos!$H:$H,Proventos!$D:$D,"&gt;="&amp;CONCATENATE($M$6,"/",B72),Proventos!$D:$D,"&lt;"&amp;CONCATENATE($N$6,"/",B72),Proventos!$J:$J,"="&amp;$H$2),
AND($H$2=Data!$A$9,$K$2=Data!$A$2),SUMIFS(Proventos!$H:$H,Proventos!$D:$D,"&gt;="&amp;CONCATENATE($M$6,"/",B72),Proventos!$D:$D,"&lt;"&amp;CONCATENATE($N$6,"/",B72),Proventos!$J:$J,"="&amp;$H$2),
AND($H$2=Data!$A$10,$K$2=Data!$A$2),SUMIFS(Proventos!$H:$H,Proventos!$D:$D,"&gt;="&amp;CONCATENATE($M$6,"/",B72),Proventos!$D:$D,"&lt;"&amp;CONCATENATE($N$6,"/",B72),Proventos!$J:$J,"="&amp;$H$2),
AND($H$2=Data!$A$11,$K$2=Data!$A$2),SUMIFS(Proventos!$H:$H,Proventos!$D:$D,"&gt;="&amp;CONCATENATE($M$6,"/",B72),Proventos!$D:$D,"&lt;"&amp;CONCATENATE($N$6,"/",B72),Proventos!$J:$J,"="&amp;$H$2),
$K$2=Data!$A$2,SUMIFS(Proventos!$H:$H,Proventos!$D:$D,"&gt;="&amp;CONCATENATE($M$6,"/",B72),Proventos!$D:$D,"&lt;"&amp;CONCATENATE($N$6,"/",B72)),
$K$2&lt;&gt;Data!$A$2,SUMIFS(Proventos!$H:$H,Proventos!$D:$D,"&gt;="&amp;CONCATENATE($M$6,"/",B72),Proventos!$D:$D,"&lt;"&amp;CONCATENATE($N$6,"/",B72),Proventos!$A:$A,"="&amp;$K$2))</f>
        <v>0</v>
      </c>
      <c r="N72" s="245">
        <f>IFS(
AND($H$2=Data!$A$3,$K$2=Data!$A$2),SUMIFS(Proventos!$H:$H,Proventos!$D:$D,"&gt;="&amp;CONCATENATE($N$6,"/",B72),Proventos!$D:$D,"&lt;"&amp;CONCATENATE($C$6,"/",B73),Proventos!$J:$J,"="&amp;$H$2),
AND($H$2=Data!$A$4,$K$2=Data!$A$2),SUMIFS(Proventos!$H:$H,Proventos!$D:$D,"&gt;="&amp;CONCATENATE($N$6,"/",B72),Proventos!$D:$D,"&lt;"&amp;CONCATENATE($C$6,"/",B73),Proventos!$J:$J,"="&amp;$H$2),
AND($H$2=Data!$A$5,$K$2=Data!$A$2),SUMIFS(Proventos!$H:$H,Proventos!$D:$D,"&gt;="&amp;CONCATENATE($N$6,"/",B72),Proventos!$D:$D,"&lt;"&amp;CONCATENATE($C$6,"/",B73),Proventos!$J:$J,"="&amp;$H$2),
AND($H$2=Data!$A$6,$K$2=Data!$A$2),SUMIFS(Proventos!$H:$H,Proventos!$D:$D,"&gt;="&amp;CONCATENATE($N$6,"/",B72),Proventos!$D:$D,"&lt;"&amp;CONCATENATE($C$6,"/",B73),Proventos!$J:$J,"="&amp;$H$2),
AND($H$2=Data!$A$7,$K$2=Data!$A$2),SUMIFS(Proventos!$H:$H,Proventos!$D:$D,"&gt;="&amp;CONCATENATE($N$6,"/",B72),Proventos!$D:$D,"&lt;"&amp;CONCATENATE($C$6,"/",B73),Proventos!$J:$J,"="&amp;$H$2),
AND($H$2=Data!$A$8,$K$2=Data!$A$2),SUMIFS(Proventos!$H:$H,Proventos!$D:$D,"&gt;="&amp;CONCATENATE($N$6,"/",B72),Proventos!$D:$D,"&lt;"&amp;CONCATENATE($C$6,"/",B73),Proventos!$J:$J,"="&amp;$H$2),
AND($H$2=Data!$A$9,$K$2=Data!$A$2),SUMIFS(Proventos!$H:$H,Proventos!$D:$D,"&gt;="&amp;CONCATENATE($N$6,"/",B72),Proventos!$D:$D,"&lt;"&amp;CONCATENATE($C$6,"/",B73),Proventos!$J:$J,"="&amp;$H$2),
AND($H$2=Data!$A$10,$K$2=Data!$A$2),SUMIFS(Proventos!$H:$H,Proventos!$D:$D,"&gt;="&amp;CONCATENATE($N$6,"/",B72),Proventos!$D:$D,"&lt;"&amp;CONCATENATE($C$6,"/",B73),Proventos!$J:$J,"="&amp;$H$2),
AND($H$2=Data!$A$11,$K$2=Data!$A$2),SUMIFS(Proventos!$H:$H,Proventos!$D:$D,"&gt;="&amp;CONCATENATE($N$6,"/",B72),Proventos!$D:$D,"&lt;"&amp;CONCATENATE($C$6,"/",B73),Proventos!$J:$J,"="&amp;$H$2),
$K$2=Data!$A$2,SUMIFS(Proventos!$H:$H,Proventos!$D:$D,"&gt;="&amp;CONCATENATE($N$6,"/",B72),Proventos!$D:$D,"&lt;"&amp;CONCATENATE($C$6,"/",B73)),
$K$2&lt;&gt;Data!$A$2,SUMIFS(Proventos!$H:$H,Proventos!$D:$D,"&gt;="&amp;CONCATENATE($N$6,"/",B72),Proventos!$D:$D,"&lt;"&amp;CONCATENATE($C$6,"/",B73),Proventos!$A:$A,"="&amp;$K$2))</f>
        <v>0</v>
      </c>
      <c r="O72" s="245"/>
      <c r="P72" s="245">
        <f t="shared" si="1"/>
        <v>0</v>
      </c>
      <c r="Q72" s="245">
        <f t="shared" si="2"/>
        <v>0</v>
      </c>
    </row>
    <row r="73" ht="32.25" customHeight="1">
      <c r="A73" s="230"/>
      <c r="B73" s="244"/>
      <c r="C73" s="245">
        <f>IFS(
AND($H$2=Data!$A$3,$K$2=Data!$A$2),SUMIFS(Proventos!$H:$H,Proventos!$D:$D,"&gt;="&amp;CONCATENATE($C$6,"/",B73),Proventos!$D:$D,"&lt;"&amp;CONCATENATE($D$6,"/",B73),Proventos!$J:$J,"="&amp;$H$2),
AND($H$2=Data!$A$4,$K$2=Data!$A$2),SUMIFS(Proventos!$H:$H,Proventos!$D:$D,"&gt;="&amp;CONCATENATE($C$6,"/",B73),Proventos!$D:$D,"&lt;"&amp;CONCATENATE($D$6,"/",B73),Proventos!$J:$J,"="&amp;$H$2),
AND($H$2=Data!$A$5,$K$2=Data!$A$2),SUMIFS(Proventos!$H:$H,Proventos!$D:$D,"&gt;="&amp;CONCATENATE($C$6,"/",B73),Proventos!$D:$D,"&lt;"&amp;CONCATENATE($D$6,"/",B73),Proventos!$J:$J,"="&amp;$H$2),
AND($H$2=Data!$A$6,$K$2=Data!$A$2),SUMIFS(Proventos!$H:$H,Proventos!$D:$D,"&gt;="&amp;CONCATENATE($C$6,"/",B73),Proventos!$D:$D,"&lt;"&amp;CONCATENATE($D$6,"/",B73),Proventos!$J:$J,"="&amp;$H$2),
AND($H$2=Data!$A$7,$K$2=Data!$A$2),SUMIFS(Proventos!$H:$H,Proventos!$D:$D,"&gt;="&amp;CONCATENATE($C$6,"/",B73),Proventos!$D:$D,"&lt;"&amp;CONCATENATE($D$6,"/",B73),Proventos!$J:$J,"="&amp;$H$2),
AND($H$2=Data!$A$8,$K$2=Data!$A$2),SUMIFS(Proventos!$H:$H,Proventos!$D:$D,"&gt;="&amp;CONCATENATE($C$6,"/",B73),Proventos!$D:$D,"&lt;"&amp;CONCATENATE($D$6,"/",B73),Proventos!$J:$J,"="&amp;$H$2),
AND($H$2=Data!$A$9,$K$2=Data!$A$2),SUMIFS(Proventos!$H:$H,Proventos!$D:$D,"&gt;="&amp;CONCATENATE($C$6,"/",B73),Proventos!$D:$D,"&lt;"&amp;CONCATENATE($D$6,"/",B73),Proventos!$J:$J,"="&amp;$H$2),
AND($H$2=Data!$A$10,$K$2=Data!$A$2),SUMIFS(Proventos!$H:$H,Proventos!$D:$D,"&gt;="&amp;CONCATENATE($C$6,"/",B73),Proventos!$D:$D,"&lt;"&amp;CONCATENATE($D$6,"/",B73),Proventos!$J:$J,"="&amp;$H$2),
AND($H$2=Data!$A$11,$K$2=Data!$A$2),SUMIFS(Proventos!$H:$H,Proventos!$D:$D,"&gt;="&amp;CONCATENATE($C$6,"/",B73),Proventos!$D:$D,"&lt;"&amp;CONCATENATE($D$6,"/",B73),Proventos!$J:$J,"="&amp;$H$2),
$K$2=Data!$A$2,SUMIFS(Proventos!$H:$H,Proventos!$D:$D,"&gt;="&amp;CONCATENATE($C$6,"/",B73),Proventos!$D:$D,"&lt;"&amp;CONCATENATE($D$6,"/",B73)),
$K$2&lt;&gt;Data!$A$2,SUMIFS(Proventos!$H:$H,Proventos!$D:$D,"&gt;="&amp;CONCATENATE($C$6,"/",B73),Proventos!$D:$D,"&lt;"&amp;CONCATENATE($D$6,"/",B73),Proventos!$A:$A,"="&amp;$K$2))</f>
        <v>0</v>
      </c>
      <c r="D73" s="245">
        <f>IFS(
AND($H$2=Data!$A$3,$K$2=Data!$A$2),SUMIFS(Proventos!$H:$H,Proventos!$D:$D,"&gt;="&amp;CONCATENATE($D$6,"/",B73),Proventos!$D:$D,"&lt;"&amp;CONCATENATE($E$6,"/",B73),Proventos!$J:$J,"="&amp;$H$2),
AND($H$2=Data!$A$4,$K$2=Data!$A$2),SUMIFS(Proventos!$H:$H,Proventos!$D:$D,"&gt;="&amp;CONCATENATE($D$6,"/",B73),Proventos!$D:$D,"&lt;"&amp;CONCATENATE($E$6,"/",B73),Proventos!$J:$J,"="&amp;$H$2),
AND($H$2=Data!$A$5,$K$2=Data!$A$2),SUMIFS(Proventos!$H:$H,Proventos!$D:$D,"&gt;="&amp;CONCATENATE($D$6,"/",B73),Proventos!$D:$D,"&lt;"&amp;CONCATENATE($E$6,"/",B73),Proventos!$J:$J,"="&amp;$H$2),
AND($H$2=Data!$A$6,$K$2=Data!$A$2),SUMIFS(Proventos!$H:$H,Proventos!$D:$D,"&gt;="&amp;CONCATENATE($D$6,"/",B73),Proventos!$D:$D,"&lt;"&amp;CONCATENATE($E$6,"/",B73),Proventos!$J:$J,"="&amp;$H$2),
AND($H$2=Data!$A$7,$K$2=Data!$A$2),SUMIFS(Proventos!$H:$H,Proventos!$D:$D,"&gt;="&amp;CONCATENATE($D$6,"/",B73),Proventos!$D:$D,"&lt;"&amp;CONCATENATE($E$6,"/",B73),Proventos!$J:$J,"="&amp;$H$2),
AND($H$2=Data!$A$8,$K$2=Data!$A$2),SUMIFS(Proventos!$H:$H,Proventos!$D:$D,"&gt;="&amp;CONCATENATE($D$6,"/",B73),Proventos!$D:$D,"&lt;"&amp;CONCATENATE($E$6,"/",B73),Proventos!$J:$J,"="&amp;$H$2),
AND($H$2=Data!$A$9,$K$2=Data!$A$2),SUMIFS(Proventos!$H:$H,Proventos!$D:$D,"&gt;="&amp;CONCATENATE($D$6,"/",B73),Proventos!$D:$D,"&lt;"&amp;CONCATENATE($E$6,"/",B73),Proventos!$J:$J,"="&amp;$H$2),
AND($H$2=Data!$A$10,$K$2=Data!$A$2),SUMIFS(Proventos!$H:$H,Proventos!$D:$D,"&gt;="&amp;CONCATENATE($D$6,"/",B73),Proventos!$D:$D,"&lt;"&amp;CONCATENATE($E$6,"/",B73),Proventos!$J:$J,"="&amp;$H$2),
AND($H$2=Data!$A$11,$K$2=Data!$A$2),SUMIFS(Proventos!$H:$H,Proventos!$D:$D,"&gt;="&amp;CONCATENATE($D$6,"/",B73),Proventos!$D:$D,"&lt;"&amp;CONCATENATE($E$6,"/",B73),Proventos!$J:$J,"="&amp;$H$2),
$K$2=Data!$A$2,SUMIFS(Proventos!$H:$H,Proventos!$D:$D,"&gt;="&amp;CONCATENATE($D$6,"/",B73),Proventos!$D:$D,"&lt;"&amp;CONCATENATE($E$6,"/",B73)),
$K$2&lt;&gt;Data!$A$2,SUMIFS(Proventos!$H:$H,Proventos!$D:$D,"&gt;="&amp;CONCATENATE($D$6,"/",B73),Proventos!$D:$D,"&lt;"&amp;CONCATENATE($E$6,"/",B73),Proventos!$A:$A,"="&amp;$K$2))</f>
        <v>0</v>
      </c>
      <c r="E73" s="245">
        <f>IFS(
AND($H$2=Data!$A$3,$K$2=Data!$A$2),SUMIFS(Proventos!$H:$H,Proventos!$D:$D,"&gt;="&amp;CONCATENATE($E$6,"/",B73),Proventos!$D:$D,"&lt;"&amp;CONCATENATE($F$6,"/",B73),Proventos!$J:$J,"="&amp;$H$2),
AND($H$2=Data!$A$4,$K$2=Data!$A$2),SUMIFS(Proventos!$H:$H,Proventos!$D:$D,"&gt;="&amp;CONCATENATE($E$6,"/",B73),Proventos!$D:$D,"&lt;"&amp;CONCATENATE($F$6,"/",B73),Proventos!$J:$J,"="&amp;$H$2),
AND($H$2=Data!$A$5,$K$2=Data!$A$2),SUMIFS(Proventos!$H:$H,Proventos!$D:$D,"&gt;="&amp;CONCATENATE($E$6,"/",B73),Proventos!$D:$D,"&lt;"&amp;CONCATENATE($F$6,"/",B73),Proventos!$J:$J,"="&amp;$H$2),
AND($H$2=Data!$A$6,$K$2=Data!$A$2),SUMIFS(Proventos!$H:$H,Proventos!$D:$D,"&gt;="&amp;CONCATENATE($E$6,"/",B73),Proventos!$D:$D,"&lt;"&amp;CONCATENATE($F$6,"/",B73),Proventos!$J:$J,"="&amp;$H$2),
AND($H$2=Data!$A$7,$K$2=Data!$A$2),SUMIFS(Proventos!$H:$H,Proventos!$D:$D,"&gt;="&amp;CONCATENATE($E$6,"/",B73),Proventos!$D:$D,"&lt;"&amp;CONCATENATE($F$6,"/",B73),Proventos!$J:$J,"="&amp;$H$2),
AND($H$2=Data!$A$8,$K$2=Data!$A$2),SUMIFS(Proventos!$H:$H,Proventos!$D:$D,"&gt;="&amp;CONCATENATE($E$6,"/",B73),Proventos!$D:$D,"&lt;"&amp;CONCATENATE($F$6,"/",B73),Proventos!$J:$J,"="&amp;$H$2),
AND($H$2=Data!$A$9,$K$2=Data!$A$2),SUMIFS(Proventos!$H:$H,Proventos!$D:$D,"&gt;="&amp;CONCATENATE($E$6,"/",B73),Proventos!$D:$D,"&lt;"&amp;CONCATENATE($F$6,"/",B73),Proventos!$J:$J,"="&amp;$H$2),
AND($H$2=Data!$A$10,$K$2=Data!$A$2),SUMIFS(Proventos!$H:$H,Proventos!$D:$D,"&gt;="&amp;CONCATENATE($E$6,"/",B73),Proventos!$D:$D,"&lt;"&amp;CONCATENATE($F$6,"/",B73),Proventos!$J:$J,"="&amp;$H$2),
AND($H$2=Data!$A$11,$K$2=Data!$A$2),SUMIFS(Proventos!$H:$H,Proventos!$D:$D,"&gt;="&amp;CONCATENATE($E$6,"/",B73),Proventos!$D:$D,"&lt;"&amp;CONCATENATE($F$6,"/",B73),Proventos!$J:$J,"="&amp;$H$2),
$K$2=Data!$A$2,SUMIFS(Proventos!$H:$H,Proventos!$D:$D,"&gt;="&amp;CONCATENATE($E$6,"/",B73),Proventos!$D:$D,"&lt;"&amp;CONCATENATE($F$6,"/",B73)),
$K$2&lt;&gt;Data!$A$2,SUMIFS(Proventos!$H:$H,Proventos!$D:$D,"&gt;="&amp;CONCATENATE($E$6,"/",B73),Proventos!$D:$D,"&lt;"&amp;CONCATENATE($F$6,"/",B73),Proventos!$A:$A,"="&amp;$K$2))</f>
        <v>0</v>
      </c>
      <c r="F73" s="245">
        <f>IFS(
AND($H$2=Data!$A$3,$K$2=Data!$A$2),SUMIFS(Proventos!$H:$H,Proventos!$D:$D,"&gt;="&amp;CONCATENATE($F$6,"/",B73),Proventos!$D:$D,"&lt;"&amp;CONCATENATE($G$6,"/",B73),Proventos!$J:$J,"="&amp;$H$2),
AND($H$2=Data!$A$4,$K$2=Data!$A$2),SUMIFS(Proventos!$H:$H,Proventos!$D:$D,"&gt;="&amp;CONCATENATE($F$6,"/",B73),Proventos!$D:$D,"&lt;"&amp;CONCATENATE($G$6,"/",B73),Proventos!$J:$J,"="&amp;$H$2),
AND($H$2=Data!$A$5,$K$2=Data!$A$2),SUMIFS(Proventos!$H:$H,Proventos!$D:$D,"&gt;="&amp;CONCATENATE($F$6,"/",B73),Proventos!$D:$D,"&lt;"&amp;CONCATENATE($G$6,"/",B73),Proventos!$J:$J,"="&amp;$H$2),
AND($H$2=Data!$A$6,$K$2=Data!$A$2),SUMIFS(Proventos!$H:$H,Proventos!$D:$D,"&gt;="&amp;CONCATENATE($F$6,"/",B73),Proventos!$D:$D,"&lt;"&amp;CONCATENATE($G$6,"/",B73),Proventos!$J:$J,"="&amp;$H$2),
AND($H$2=Data!$A$7,$K$2=Data!$A$2),SUMIFS(Proventos!$H:$H,Proventos!$D:$D,"&gt;="&amp;CONCATENATE($F$6,"/",B73),Proventos!$D:$D,"&lt;"&amp;CONCATENATE($G$6,"/",B73),Proventos!$J:$J,"="&amp;$H$2),
AND($H$2=Data!$A$8,$K$2=Data!$A$2),SUMIFS(Proventos!$H:$H,Proventos!$D:$D,"&gt;="&amp;CONCATENATE($F$6,"/",B73),Proventos!$D:$D,"&lt;"&amp;CONCATENATE($G$6,"/",B73),Proventos!$J:$J,"="&amp;$H$2),
AND($H$2=Data!$A$9,$K$2=Data!$A$2),SUMIFS(Proventos!$H:$H,Proventos!$D:$D,"&gt;="&amp;CONCATENATE($F$6,"/",B73),Proventos!$D:$D,"&lt;"&amp;CONCATENATE($G$6,"/",B73),Proventos!$J:$J,"="&amp;$H$2),
AND($H$2=Data!$A$10,$K$2=Data!$A$2),SUMIFS(Proventos!$H:$H,Proventos!$D:$D,"&gt;="&amp;CONCATENATE($F$6,"/",B73),Proventos!$D:$D,"&lt;"&amp;CONCATENATE($G$6,"/",B73),Proventos!$J:$J,"="&amp;$H$2),
AND($H$2=Data!$A$11,$K$2=Data!$A$2),SUMIFS(Proventos!$H:$H,Proventos!$D:$D,"&gt;="&amp;CONCATENATE($F$6,"/",B73),Proventos!$D:$D,"&lt;"&amp;CONCATENATE($G$6,"/",B73),Proventos!$J:$J,"="&amp;$H$2),
$K$2=Data!$A$2,SUMIFS(Proventos!$H:$H,Proventos!$D:$D,"&gt;="&amp;CONCATENATE($F$6,"/",B73),Proventos!$D:$D,"&lt;"&amp;CONCATENATE($G$6,"/",B73)),
$K$2&lt;&gt;Data!$A$2,SUMIFS(Proventos!$H:$H,Proventos!$D:$D,"&gt;="&amp;CONCATENATE($F$6,"/",B73),Proventos!$D:$D,"&lt;"&amp;CONCATENATE($G$6,"/",B73),Proventos!$A:$A,"="&amp;$K$2))</f>
        <v>0</v>
      </c>
      <c r="G73" s="245">
        <f>IFS(
AND($H$2=Data!$A$3,$K$2=Data!$A$2),SUMIFS(Proventos!$H:$H,Proventos!$D:$D,"&gt;="&amp;CONCATENATE($G$6,"/",B73),Proventos!$D:$D,"&lt;"&amp;CONCATENATE($H$6,"/",B73),Proventos!$J:$J,"="&amp;$H$2),
AND($H$2=Data!$A$4,$K$2=Data!$A$2),SUMIFS(Proventos!$H:$H,Proventos!$D:$D,"&gt;="&amp;CONCATENATE($G$6,"/",B73),Proventos!$D:$D,"&lt;"&amp;CONCATENATE($H$6,"/",B73),Proventos!$J:$J,"="&amp;$H$2),
AND($H$2=Data!$A$5,$K$2=Data!$A$2),SUMIFS(Proventos!$H:$H,Proventos!$D:$D,"&gt;="&amp;CONCATENATE($G$6,"/",B73),Proventos!$D:$D,"&lt;"&amp;CONCATENATE($H$6,"/",B73),Proventos!$J:$J,"="&amp;$H$2),
AND($H$2=Data!$A$6,$K$2=Data!$A$2),SUMIFS(Proventos!$H:$H,Proventos!$D:$D,"&gt;="&amp;CONCATENATE($G$6,"/",B73),Proventos!$D:$D,"&lt;"&amp;CONCATENATE($H$6,"/",B73),Proventos!$J:$J,"="&amp;$H$2),
AND($H$2=Data!$A$7,$K$2=Data!$A$2),SUMIFS(Proventos!$H:$H,Proventos!$D:$D,"&gt;="&amp;CONCATENATE($G$6,"/",B73),Proventos!$D:$D,"&lt;"&amp;CONCATENATE($H$6,"/",B73),Proventos!$J:$J,"="&amp;$H$2),
AND($H$2=Data!$A$8,$K$2=Data!$A$2),SUMIFS(Proventos!$H:$H,Proventos!$D:$D,"&gt;="&amp;CONCATENATE($G$6,"/",B73),Proventos!$D:$D,"&lt;"&amp;CONCATENATE($H$6,"/",B73),Proventos!$J:$J,"="&amp;$H$2),
AND($H$2=Data!$A$9,$K$2=Data!$A$2),SUMIFS(Proventos!$H:$H,Proventos!$D:$D,"&gt;="&amp;CONCATENATE($G$6,"/",B73),Proventos!$D:$D,"&lt;"&amp;CONCATENATE($H$6,"/",B73),Proventos!$J:$J,"="&amp;$H$2),
AND($H$2=Data!$A$10,$K$2=Data!$A$2),SUMIFS(Proventos!$H:$H,Proventos!$D:$D,"&gt;="&amp;CONCATENATE($G$6,"/",B73),Proventos!$D:$D,"&lt;"&amp;CONCATENATE($H$6,"/",B73),Proventos!$J:$J,"="&amp;$H$2),
AND($H$2=Data!$A$11,$K$2=Data!$A$2),SUMIFS(Proventos!$H:$H,Proventos!$D:$D,"&gt;="&amp;CONCATENATE($G$6,"/",B73),Proventos!$D:$D,"&lt;"&amp;CONCATENATE($H$6,"/",B73),Proventos!$J:$J,"="&amp;$H$2),
$K$2=Data!$A$2,SUMIFS(Proventos!$H:$H,Proventos!$D:$D,"&gt;="&amp;CONCATENATE($G$6,"/",B73),Proventos!$D:$D,"&lt;"&amp;CONCATENATE($H$6,"/",B73)),
$K$2&lt;&gt;Data!$A$2,SUMIFS(Proventos!$H:$H,Proventos!$D:$D,"&gt;="&amp;CONCATENATE($G$6,"/",B73),Proventos!$D:$D,"&lt;"&amp;CONCATENATE($H$6,"/",B73),Proventos!$A:$A,"="&amp;$K$2))</f>
        <v>0</v>
      </c>
      <c r="H73" s="245">
        <f>IFS(
AND($H$2=Data!$A$3,$K$2=Data!$A$2),SUMIFS(Proventos!$H:$H,Proventos!$D:$D,"&gt;="&amp;CONCATENATE($H$6,"/",B73),Proventos!$D:$D,"&lt;"&amp;CONCATENATE($I$6,"/",B73),Proventos!$J:$J,"="&amp;$H$2),
AND($H$2=Data!$A$4,$K$2=Data!$A$2),SUMIFS(Proventos!$H:$H,Proventos!$D:$D,"&gt;="&amp;CONCATENATE($H$6,"/",B73),Proventos!$D:$D,"&lt;"&amp;CONCATENATE($I$6,"/",B73),Proventos!$J:$J,"="&amp;$H$2),
AND($H$2=Data!$A$5,$K$2=Data!$A$2),SUMIFS(Proventos!$H:$H,Proventos!$D:$D,"&gt;="&amp;CONCATENATE($H$6,"/",B73),Proventos!$D:$D,"&lt;"&amp;CONCATENATE($I$6,"/",B73),Proventos!$J:$J,"="&amp;$H$2),
AND($H$2=Data!$A$6,$K$2=Data!$A$2),SUMIFS(Proventos!$H:$H,Proventos!$D:$D,"&gt;="&amp;CONCATENATE($H$6,"/",B73),Proventos!$D:$D,"&lt;"&amp;CONCATENATE($I$6,"/",B73),Proventos!$J:$J,"="&amp;$H$2),
AND($H$2=Data!$A$7,$K$2=Data!$A$2),SUMIFS(Proventos!$H:$H,Proventos!$D:$D,"&gt;="&amp;CONCATENATE($H$6,"/",B73),Proventos!$D:$D,"&lt;"&amp;CONCATENATE($I$6,"/",B73),Proventos!$J:$J,"="&amp;$H$2),
AND($H$2=Data!$A$8,$K$2=Data!$A$2),SUMIFS(Proventos!$H:$H,Proventos!$D:$D,"&gt;="&amp;CONCATENATE($H$6,"/",B73),Proventos!$D:$D,"&lt;"&amp;CONCATENATE($I$6,"/",B73),Proventos!$J:$J,"="&amp;$H$2),
AND($H$2=Data!$A$9,$K$2=Data!$A$2),SUMIFS(Proventos!$H:$H,Proventos!$D:$D,"&gt;="&amp;CONCATENATE($H$6,"/",B73),Proventos!$D:$D,"&lt;"&amp;CONCATENATE($I$6,"/",B73),Proventos!$J:$J,"="&amp;$H$2),
AND($H$2=Data!$A$10,$K$2=Data!$A$2),SUMIFS(Proventos!$H:$H,Proventos!$D:$D,"&gt;="&amp;CONCATENATE($H$6,"/",B73),Proventos!$D:$D,"&lt;"&amp;CONCATENATE($I$6,"/",B73),Proventos!$J:$J,"="&amp;$H$2),
AND($H$2=Data!$A$11,$K$2=Data!$A$2),SUMIFS(Proventos!$H:$H,Proventos!$D:$D,"&gt;="&amp;CONCATENATE($H$6,"/",B73),Proventos!$D:$D,"&lt;"&amp;CONCATENATE($I$6,"/",B73),Proventos!$J:$J,"="&amp;$H$2),
$K$2=Data!$A$2,SUMIFS(Proventos!$H:$H,Proventos!$D:$D,"&gt;="&amp;CONCATENATE($H$6,"/",B73),Proventos!$D:$D,"&lt;"&amp;CONCATENATE($I$6,"/",B73)),
$K$2&lt;&gt;Data!$A$2,SUMIFS(Proventos!$H:$H,Proventos!$D:$D,"&gt;="&amp;CONCATENATE($H$6,"/",B73),Proventos!$D:$D,"&lt;"&amp;CONCATENATE($I$6,"/",B73),Proventos!$A:$A,"="&amp;$K$2))</f>
        <v>0</v>
      </c>
      <c r="I73" s="245">
        <f>IFS(
AND($H$2=Data!$A$3,$K$2=Data!$A$2),SUMIFS(Proventos!$H:$H,Proventos!$D:$D,"&gt;="&amp;CONCATENATE($I$6,"/",B73),Proventos!$D:$D,"&lt;"&amp;CONCATENATE($J$6,"/",B73),Proventos!$J:$J,"="&amp;$H$2),
AND($H$2=Data!$A$4,$K$2=Data!$A$2),SUMIFS(Proventos!$H:$H,Proventos!$D:$D,"&gt;="&amp;CONCATENATE($I$6,"/",B73),Proventos!$D:$D,"&lt;"&amp;CONCATENATE($J$6,"/",B73),Proventos!$J:$J,"="&amp;$H$2),
AND($H$2=Data!$A$5,$K$2=Data!$A$2),SUMIFS(Proventos!$H:$H,Proventos!$D:$D,"&gt;="&amp;CONCATENATE($I$6,"/",B73),Proventos!$D:$D,"&lt;"&amp;CONCATENATE($J$6,"/",B73),Proventos!$J:$J,"="&amp;$H$2),
AND($H$2=Data!$A$6,$K$2=Data!$A$2),SUMIFS(Proventos!$H:$H,Proventos!$D:$D,"&gt;="&amp;CONCATENATE($I$6,"/",B73),Proventos!$D:$D,"&lt;"&amp;CONCATENATE($J$6,"/",B73),Proventos!$J:$J,"="&amp;$H$2),
AND($H$2=Data!$A$7,$K$2=Data!$A$2),SUMIFS(Proventos!$H:$H,Proventos!$D:$D,"&gt;="&amp;CONCATENATE($I$6,"/",B73),Proventos!$D:$D,"&lt;"&amp;CONCATENATE($J$6,"/",B73),Proventos!$J:$J,"="&amp;$H$2),
AND($H$2=Data!$A$8,$K$2=Data!$A$2),SUMIFS(Proventos!$H:$H,Proventos!$D:$D,"&gt;="&amp;CONCATENATE($I$6,"/",B73),Proventos!$D:$D,"&lt;"&amp;CONCATENATE($J$6,"/",B73),Proventos!$J:$J,"="&amp;$H$2),
AND($H$2=Data!$A$9,$K$2=Data!$A$2),SUMIFS(Proventos!$H:$H,Proventos!$D:$D,"&gt;="&amp;CONCATENATE($I$6,"/",B73),Proventos!$D:$D,"&lt;"&amp;CONCATENATE($J$6,"/",B73),Proventos!$J:$J,"="&amp;$H$2),
AND($H$2=Data!$A$10,$K$2=Data!$A$2),SUMIFS(Proventos!$H:$H,Proventos!$D:$D,"&gt;="&amp;CONCATENATE($I$6,"/",B73),Proventos!$D:$D,"&lt;"&amp;CONCATENATE($J$6,"/",B73),Proventos!$J:$J,"="&amp;$H$2),
AND($H$2=Data!$A$11,$K$2=Data!$A$2),SUMIFS(Proventos!$H:$H,Proventos!$D:$D,"&gt;="&amp;CONCATENATE($I$6,"/",B73),Proventos!$D:$D,"&lt;"&amp;CONCATENATE($J$6,"/",B73),Proventos!$J:$J,"="&amp;$H$2),
$K$2=Data!$A$2,SUMIFS(Proventos!$H:$H,Proventos!$D:$D,"&gt;="&amp;CONCATENATE($I$6,"/",B73),Proventos!$D:$D,"&lt;"&amp;CONCATENATE($J$6,"/",B73)),
$K$2&lt;&gt;Data!$A$2,SUMIFS(Proventos!$H:$H,Proventos!$D:$D,"&gt;="&amp;CONCATENATE($I$6,"/",B73),Proventos!$D:$D,"&lt;"&amp;CONCATENATE($J$6,"/",B73),Proventos!$A:$A,"="&amp;$K$2))</f>
        <v>0</v>
      </c>
      <c r="J73" s="245">
        <f>IFS(
AND($H$2=Data!$A$3,$K$2=Data!$A$2),SUMIFS(Proventos!$H:$H,Proventos!$D:$D,"&gt;="&amp;CONCATENATE($J$6,"/",B73),Proventos!$D:$D,"&lt;"&amp;CONCATENATE($K$6,"/",B73),Proventos!$J:$J,"="&amp;$H$2),
AND($H$2=Data!$A$4,$K$2=Data!$A$2),SUMIFS(Proventos!$H:$H,Proventos!$D:$D,"&gt;="&amp;CONCATENATE($J$6,"/",B73),Proventos!$D:$D,"&lt;"&amp;CONCATENATE($K$6,"/",B73),Proventos!$J:$J,"="&amp;$H$2),
AND($H$2=Data!$A$5,$K$2=Data!$A$2),SUMIFS(Proventos!$H:$H,Proventos!$D:$D,"&gt;="&amp;CONCATENATE($J$6,"/",B73),Proventos!$D:$D,"&lt;"&amp;CONCATENATE($K$6,"/",B73),Proventos!$J:$J,"="&amp;$H$2),
AND($H$2=Data!$A$6,$K$2=Data!$A$2),SUMIFS(Proventos!$H:$H,Proventos!$D:$D,"&gt;="&amp;CONCATENATE($J$6,"/",B73),Proventos!$D:$D,"&lt;"&amp;CONCATENATE($K$6,"/",B73),Proventos!$J:$J,"="&amp;$H$2),
AND($H$2=Data!$A$7,$K$2=Data!$A$2),SUMIFS(Proventos!$H:$H,Proventos!$D:$D,"&gt;="&amp;CONCATENATE($J$6,"/",B73),Proventos!$D:$D,"&lt;"&amp;CONCATENATE($K$6,"/",B73),Proventos!$J:$J,"="&amp;$H$2),
AND($H$2=Data!$A$8,$K$2=Data!$A$2),SUMIFS(Proventos!$H:$H,Proventos!$D:$D,"&gt;="&amp;CONCATENATE($J$6,"/",B73),Proventos!$D:$D,"&lt;"&amp;CONCATENATE($K$6,"/",B73),Proventos!$J:$J,"="&amp;$H$2),
AND($H$2=Data!$A$9,$K$2=Data!$A$2),SUMIFS(Proventos!$H:$H,Proventos!$D:$D,"&gt;="&amp;CONCATENATE($J$6,"/",B73),Proventos!$D:$D,"&lt;"&amp;CONCATENATE($K$6,"/",B73),Proventos!$J:$J,"="&amp;$H$2),
AND($H$2=Data!$A$10,$K$2=Data!$A$2),SUMIFS(Proventos!$H:$H,Proventos!$D:$D,"&gt;="&amp;CONCATENATE($J$6,"/",B73),Proventos!$D:$D,"&lt;"&amp;CONCATENATE($K$6,"/",B73),Proventos!$J:$J,"="&amp;$H$2),
AND($H$2=Data!$A$11,$K$2=Data!$A$2),SUMIFS(Proventos!$H:$H,Proventos!$D:$D,"&gt;="&amp;CONCATENATE($J$6,"/",B73),Proventos!$D:$D,"&lt;"&amp;CONCATENATE($K$6,"/",B73),Proventos!$J:$J,"="&amp;$H$2),
$K$2=Data!$A$2,SUMIFS(Proventos!$H:$H,Proventos!$D:$D,"&gt;="&amp;CONCATENATE($J$6,"/",B73),Proventos!$D:$D,"&lt;"&amp;CONCATENATE($K$6,"/",B73)),
$K$2&lt;&gt;Data!$A$2,SUMIFS(Proventos!$H:$H,Proventos!$D:$D,"&gt;="&amp;CONCATENATE($J$6,"/",B73),Proventos!$D:$D,"&lt;"&amp;CONCATENATE($K$6,"/",B73),Proventos!$A:$A,"="&amp;$K$2))</f>
        <v>0</v>
      </c>
      <c r="K73" s="245">
        <f>IFS(
AND($H$2=Data!$A$3,$K$2=Data!$A$2),SUMIFS(Proventos!$H:$H,Proventos!$D:$D,"&gt;="&amp;CONCATENATE($K$6,"/",B73),Proventos!$D:$D,"&lt;"&amp;CONCATENATE($L$6,"/",B73),Proventos!$J:$J,"="&amp;$H$2),
AND($H$2=Data!$A$4,$K$2=Data!$A$2),SUMIFS(Proventos!$H:$H,Proventos!$D:$D,"&gt;="&amp;CONCATENATE($K$6,"/",B73),Proventos!$D:$D,"&lt;"&amp;CONCATENATE($L$6,"/",B73),Proventos!$J:$J,"="&amp;$H$2),
AND($H$2=Data!$A$5,$K$2=Data!$A$2),SUMIFS(Proventos!$H:$H,Proventos!$D:$D,"&gt;="&amp;CONCATENATE($K$6,"/",B73),Proventos!$D:$D,"&lt;"&amp;CONCATENATE($L$6,"/",B73),Proventos!$J:$J,"="&amp;$H$2),
AND($H$2=Data!$A$6,$K$2=Data!$A$2),SUMIFS(Proventos!$H:$H,Proventos!$D:$D,"&gt;="&amp;CONCATENATE($K$6,"/",B73),Proventos!$D:$D,"&lt;"&amp;CONCATENATE($L$6,"/",B73),Proventos!$J:$J,"="&amp;$H$2),
AND($H$2=Data!$A$7,$K$2=Data!$A$2),SUMIFS(Proventos!$H:$H,Proventos!$D:$D,"&gt;="&amp;CONCATENATE($K$6,"/",B73),Proventos!$D:$D,"&lt;"&amp;CONCATENATE($L$6,"/",B73),Proventos!$J:$J,"="&amp;$H$2),
AND($H$2=Data!$A$8,$K$2=Data!$A$2),SUMIFS(Proventos!$H:$H,Proventos!$D:$D,"&gt;="&amp;CONCATENATE($K$6,"/",B73),Proventos!$D:$D,"&lt;"&amp;CONCATENATE($L$6,"/",B73),Proventos!$J:$J,"="&amp;$H$2),
AND($H$2=Data!$A$9,$K$2=Data!$A$2),SUMIFS(Proventos!$H:$H,Proventos!$D:$D,"&gt;="&amp;CONCATENATE($K$6,"/",B73),Proventos!$D:$D,"&lt;"&amp;CONCATENATE($L$6,"/",B73),Proventos!$J:$J,"="&amp;$H$2),
AND($H$2=Data!$A$10,$K$2=Data!$A$2),SUMIFS(Proventos!$H:$H,Proventos!$D:$D,"&gt;="&amp;CONCATENATE($K$6,"/",B73),Proventos!$D:$D,"&lt;"&amp;CONCATENATE($L$6,"/",B73),Proventos!$J:$J,"="&amp;$H$2),
AND($H$2=Data!$A$11,$K$2=Data!$A$2),SUMIFS(Proventos!$H:$H,Proventos!$D:$D,"&gt;="&amp;CONCATENATE($K$6,"/",B73),Proventos!$D:$D,"&lt;"&amp;CONCATENATE($L$6,"/",B73),Proventos!$J:$J,"="&amp;$H$2),
$K$2=Data!$A$2,SUMIFS(Proventos!$H:$H,Proventos!$D:$D,"&gt;="&amp;CONCATENATE($K$6,"/",B73),Proventos!$D:$D,"&lt;"&amp;CONCATENATE($L$6,"/",B73)),
$K$2&lt;&gt;Data!$A$2,SUMIFS(Proventos!$H:$H,Proventos!$D:$D,"&gt;="&amp;CONCATENATE($K$6,"/",B73),Proventos!$D:$D,"&lt;"&amp;CONCATENATE($L$6,"/",B73),Proventos!$A:$A,"="&amp;$K$2))</f>
        <v>0</v>
      </c>
      <c r="L73" s="245">
        <f>IFS(
AND($H$2=Data!$A$3,$K$2=Data!$A$2),SUMIFS(Proventos!$H:$H,Proventos!$D:$D,"&gt;="&amp;CONCATENATE($L$6,"/",B73),Proventos!$D:$D,"&lt;"&amp;CONCATENATE($M$6,"/",B73),Proventos!$J:$J,"="&amp;$H$2),
AND($H$2=Data!$A$4,$K$2=Data!$A$2),SUMIFS(Proventos!$H:$H,Proventos!$D:$D,"&gt;="&amp;CONCATENATE($L$6,"/",B73),Proventos!$D:$D,"&lt;"&amp;CONCATENATE($M$6,"/",B73),Proventos!$J:$J,"="&amp;$H$2),
AND($H$2=Data!$A$5,$K$2=Data!$A$2),SUMIFS(Proventos!$H:$H,Proventos!$D:$D,"&gt;="&amp;CONCATENATE($L$6,"/",B73),Proventos!$D:$D,"&lt;"&amp;CONCATENATE($M$6,"/",B73),Proventos!$J:$J,"="&amp;$H$2),
AND($H$2=Data!$A$6,$K$2=Data!$A$2),SUMIFS(Proventos!$H:$H,Proventos!$D:$D,"&gt;="&amp;CONCATENATE($L$6,"/",B73),Proventos!$D:$D,"&lt;"&amp;CONCATENATE($M$6,"/",B73),Proventos!$J:$J,"="&amp;$H$2),
AND($H$2=Data!$A$7,$K$2=Data!$A$2),SUMIFS(Proventos!$H:$H,Proventos!$D:$D,"&gt;="&amp;CONCATENATE($L$6,"/",B73),Proventos!$D:$D,"&lt;"&amp;CONCATENATE($M$6,"/",B73),Proventos!$J:$J,"="&amp;$H$2),
AND($H$2=Data!$A$8,$K$2=Data!$A$2),SUMIFS(Proventos!$H:$H,Proventos!$D:$D,"&gt;="&amp;CONCATENATE($L$6,"/",B73),Proventos!$D:$D,"&lt;"&amp;CONCATENATE($M$6,"/",B73),Proventos!$J:$J,"="&amp;$H$2),
AND($H$2=Data!$A$9,$K$2=Data!$A$2),SUMIFS(Proventos!$H:$H,Proventos!$D:$D,"&gt;="&amp;CONCATENATE($L$6,"/",B73),Proventos!$D:$D,"&lt;"&amp;CONCATENATE($M$6,"/",B73),Proventos!$J:$J,"="&amp;$H$2),
AND($H$2=Data!$A$10,$K$2=Data!$A$2),SUMIFS(Proventos!$H:$H,Proventos!$D:$D,"&gt;="&amp;CONCATENATE($L$6,"/",B73),Proventos!$D:$D,"&lt;"&amp;CONCATENATE($M$6,"/",B73),Proventos!$J:$J,"="&amp;$H$2),
AND($H$2=Data!$A$11,$K$2=Data!$A$2),SUMIFS(Proventos!$H:$H,Proventos!$D:$D,"&gt;="&amp;CONCATENATE($L$6,"/",B73),Proventos!$D:$D,"&lt;"&amp;CONCATENATE($M$6,"/",B73),Proventos!$J:$J,"="&amp;$H$2),
$K$2=Data!$A$2,SUMIFS(Proventos!$H:$H,Proventos!$D:$D,"&gt;="&amp;CONCATENATE($L$6,"/",B73),Proventos!$D:$D,"&lt;"&amp;CONCATENATE($M$6,"/",B73)),
$K$2&lt;&gt;Data!$A$2,SUMIFS(Proventos!$H:$H,Proventos!$D:$D,"&gt;="&amp;CONCATENATE($L$6,"/",B73),Proventos!$D:$D,"&lt;"&amp;CONCATENATE($M$6,"/",B73),Proventos!$A:$A,"="&amp;$K$2))</f>
        <v>0</v>
      </c>
      <c r="M73" s="245">
        <f>IFS(
AND($H$2=Data!$A$3,$K$2=Data!$A$2),SUMIFS(Proventos!$H:$H,Proventos!$D:$D,"&gt;="&amp;CONCATENATE($M$6,"/",B73),Proventos!$D:$D,"&lt;"&amp;CONCATENATE($N$6,"/",B73),Proventos!$J:$J,"="&amp;$H$2),
AND($H$2=Data!$A$4,$K$2=Data!$A$2),SUMIFS(Proventos!$H:$H,Proventos!$D:$D,"&gt;="&amp;CONCATENATE($M$6,"/",B73),Proventos!$D:$D,"&lt;"&amp;CONCATENATE($N$6,"/",B73),Proventos!$J:$J,"="&amp;$H$2),
AND($H$2=Data!$A$5,$K$2=Data!$A$2),SUMIFS(Proventos!$H:$H,Proventos!$D:$D,"&gt;="&amp;CONCATENATE($M$6,"/",B73),Proventos!$D:$D,"&lt;"&amp;CONCATENATE($N$6,"/",B73),Proventos!$J:$J,"="&amp;$H$2),
AND($H$2=Data!$A$6,$K$2=Data!$A$2),SUMIFS(Proventos!$H:$H,Proventos!$D:$D,"&gt;="&amp;CONCATENATE($M$6,"/",B73),Proventos!$D:$D,"&lt;"&amp;CONCATENATE($N$6,"/",B73),Proventos!$J:$J,"="&amp;$H$2),
AND($H$2=Data!$A$7,$K$2=Data!$A$2),SUMIFS(Proventos!$H:$H,Proventos!$D:$D,"&gt;="&amp;CONCATENATE($M$6,"/",B73),Proventos!$D:$D,"&lt;"&amp;CONCATENATE($N$6,"/",B73),Proventos!$J:$J,"="&amp;$H$2),
AND($H$2=Data!$A$8,$K$2=Data!$A$2),SUMIFS(Proventos!$H:$H,Proventos!$D:$D,"&gt;="&amp;CONCATENATE($M$6,"/",B73),Proventos!$D:$D,"&lt;"&amp;CONCATENATE($N$6,"/",B73),Proventos!$J:$J,"="&amp;$H$2),
AND($H$2=Data!$A$9,$K$2=Data!$A$2),SUMIFS(Proventos!$H:$H,Proventos!$D:$D,"&gt;="&amp;CONCATENATE($M$6,"/",B73),Proventos!$D:$D,"&lt;"&amp;CONCATENATE($N$6,"/",B73),Proventos!$J:$J,"="&amp;$H$2),
AND($H$2=Data!$A$10,$K$2=Data!$A$2),SUMIFS(Proventos!$H:$H,Proventos!$D:$D,"&gt;="&amp;CONCATENATE($M$6,"/",B73),Proventos!$D:$D,"&lt;"&amp;CONCATENATE($N$6,"/",B73),Proventos!$J:$J,"="&amp;$H$2),
AND($H$2=Data!$A$11,$K$2=Data!$A$2),SUMIFS(Proventos!$H:$H,Proventos!$D:$D,"&gt;="&amp;CONCATENATE($M$6,"/",B73),Proventos!$D:$D,"&lt;"&amp;CONCATENATE($N$6,"/",B73),Proventos!$J:$J,"="&amp;$H$2),
$K$2=Data!$A$2,SUMIFS(Proventos!$H:$H,Proventos!$D:$D,"&gt;="&amp;CONCATENATE($M$6,"/",B73),Proventos!$D:$D,"&lt;"&amp;CONCATENATE($N$6,"/",B73)),
$K$2&lt;&gt;Data!$A$2,SUMIFS(Proventos!$H:$H,Proventos!$D:$D,"&gt;="&amp;CONCATENATE($M$6,"/",B73),Proventos!$D:$D,"&lt;"&amp;CONCATENATE($N$6,"/",B73),Proventos!$A:$A,"="&amp;$K$2))</f>
        <v>0</v>
      </c>
      <c r="N73" s="245">
        <f>IFS(
AND($H$2=Data!$A$3,$K$2=Data!$A$2),SUMIFS(Proventos!$H:$H,Proventos!$D:$D,"&gt;="&amp;CONCATENATE($N$6,"/",B73),Proventos!$D:$D,"&lt;"&amp;CONCATENATE($C$6,"/",B74),Proventos!$J:$J,"="&amp;$H$2),
AND($H$2=Data!$A$4,$K$2=Data!$A$2),SUMIFS(Proventos!$H:$H,Proventos!$D:$D,"&gt;="&amp;CONCATENATE($N$6,"/",B73),Proventos!$D:$D,"&lt;"&amp;CONCATENATE($C$6,"/",B74),Proventos!$J:$J,"="&amp;$H$2),
AND($H$2=Data!$A$5,$K$2=Data!$A$2),SUMIFS(Proventos!$H:$H,Proventos!$D:$D,"&gt;="&amp;CONCATENATE($N$6,"/",B73),Proventos!$D:$D,"&lt;"&amp;CONCATENATE($C$6,"/",B74),Proventos!$J:$J,"="&amp;$H$2),
AND($H$2=Data!$A$6,$K$2=Data!$A$2),SUMIFS(Proventos!$H:$H,Proventos!$D:$D,"&gt;="&amp;CONCATENATE($N$6,"/",B73),Proventos!$D:$D,"&lt;"&amp;CONCATENATE($C$6,"/",B74),Proventos!$J:$J,"="&amp;$H$2),
AND($H$2=Data!$A$7,$K$2=Data!$A$2),SUMIFS(Proventos!$H:$H,Proventos!$D:$D,"&gt;="&amp;CONCATENATE($N$6,"/",B73),Proventos!$D:$D,"&lt;"&amp;CONCATENATE($C$6,"/",B74),Proventos!$J:$J,"="&amp;$H$2),
AND($H$2=Data!$A$8,$K$2=Data!$A$2),SUMIFS(Proventos!$H:$H,Proventos!$D:$D,"&gt;="&amp;CONCATENATE($N$6,"/",B73),Proventos!$D:$D,"&lt;"&amp;CONCATENATE($C$6,"/",B74),Proventos!$J:$J,"="&amp;$H$2),
AND($H$2=Data!$A$9,$K$2=Data!$A$2),SUMIFS(Proventos!$H:$H,Proventos!$D:$D,"&gt;="&amp;CONCATENATE($N$6,"/",B73),Proventos!$D:$D,"&lt;"&amp;CONCATENATE($C$6,"/",B74),Proventos!$J:$J,"="&amp;$H$2),
AND($H$2=Data!$A$10,$K$2=Data!$A$2),SUMIFS(Proventos!$H:$H,Proventos!$D:$D,"&gt;="&amp;CONCATENATE($N$6,"/",B73),Proventos!$D:$D,"&lt;"&amp;CONCATENATE($C$6,"/",B74),Proventos!$J:$J,"="&amp;$H$2),
AND($H$2=Data!$A$11,$K$2=Data!$A$2),SUMIFS(Proventos!$H:$H,Proventos!$D:$D,"&gt;="&amp;CONCATENATE($N$6,"/",B73),Proventos!$D:$D,"&lt;"&amp;CONCATENATE($C$6,"/",B74),Proventos!$J:$J,"="&amp;$H$2),
$K$2=Data!$A$2,SUMIFS(Proventos!$H:$H,Proventos!$D:$D,"&gt;="&amp;CONCATENATE($N$6,"/",B73),Proventos!$D:$D,"&lt;"&amp;CONCATENATE($C$6,"/",B74)),
$K$2&lt;&gt;Data!$A$2,SUMIFS(Proventos!$H:$H,Proventos!$D:$D,"&gt;="&amp;CONCATENATE($N$6,"/",B73),Proventos!$D:$D,"&lt;"&amp;CONCATENATE($C$6,"/",B74),Proventos!$A:$A,"="&amp;$K$2))</f>
        <v>0</v>
      </c>
      <c r="O73" s="245"/>
      <c r="P73" s="245">
        <f t="shared" si="1"/>
        <v>0</v>
      </c>
      <c r="Q73" s="245">
        <f t="shared" si="2"/>
        <v>0</v>
      </c>
    </row>
    <row r="74" ht="32.25" customHeight="1">
      <c r="A74" s="230"/>
      <c r="B74" s="244"/>
      <c r="C74" s="245">
        <f>IFS(
AND($H$2=Data!$A$3,$K$2=Data!$A$2),SUMIFS(Proventos!$H:$H,Proventos!$D:$D,"&gt;="&amp;CONCATENATE($C$6,"/",B74),Proventos!$D:$D,"&lt;"&amp;CONCATENATE($D$6,"/",B74),Proventos!$J:$J,"="&amp;$H$2),
AND($H$2=Data!$A$4,$K$2=Data!$A$2),SUMIFS(Proventos!$H:$H,Proventos!$D:$D,"&gt;="&amp;CONCATENATE($C$6,"/",B74),Proventos!$D:$D,"&lt;"&amp;CONCATENATE($D$6,"/",B74),Proventos!$J:$J,"="&amp;$H$2),
AND($H$2=Data!$A$5,$K$2=Data!$A$2),SUMIFS(Proventos!$H:$H,Proventos!$D:$D,"&gt;="&amp;CONCATENATE($C$6,"/",B74),Proventos!$D:$D,"&lt;"&amp;CONCATENATE($D$6,"/",B74),Proventos!$J:$J,"="&amp;$H$2),
AND($H$2=Data!$A$6,$K$2=Data!$A$2),SUMIFS(Proventos!$H:$H,Proventos!$D:$D,"&gt;="&amp;CONCATENATE($C$6,"/",B74),Proventos!$D:$D,"&lt;"&amp;CONCATENATE($D$6,"/",B74),Proventos!$J:$J,"="&amp;$H$2),
AND($H$2=Data!$A$7,$K$2=Data!$A$2),SUMIFS(Proventos!$H:$H,Proventos!$D:$D,"&gt;="&amp;CONCATENATE($C$6,"/",B74),Proventos!$D:$D,"&lt;"&amp;CONCATENATE($D$6,"/",B74),Proventos!$J:$J,"="&amp;$H$2),
AND($H$2=Data!$A$8,$K$2=Data!$A$2),SUMIFS(Proventos!$H:$H,Proventos!$D:$D,"&gt;="&amp;CONCATENATE($C$6,"/",B74),Proventos!$D:$D,"&lt;"&amp;CONCATENATE($D$6,"/",B74),Proventos!$J:$J,"="&amp;$H$2),
AND($H$2=Data!$A$9,$K$2=Data!$A$2),SUMIFS(Proventos!$H:$H,Proventos!$D:$D,"&gt;="&amp;CONCATENATE($C$6,"/",B74),Proventos!$D:$D,"&lt;"&amp;CONCATENATE($D$6,"/",B74),Proventos!$J:$J,"="&amp;$H$2),
AND($H$2=Data!$A$10,$K$2=Data!$A$2),SUMIFS(Proventos!$H:$H,Proventos!$D:$D,"&gt;="&amp;CONCATENATE($C$6,"/",B74),Proventos!$D:$D,"&lt;"&amp;CONCATENATE($D$6,"/",B74),Proventos!$J:$J,"="&amp;$H$2),
AND($H$2=Data!$A$11,$K$2=Data!$A$2),SUMIFS(Proventos!$H:$H,Proventos!$D:$D,"&gt;="&amp;CONCATENATE($C$6,"/",B74),Proventos!$D:$D,"&lt;"&amp;CONCATENATE($D$6,"/",B74),Proventos!$J:$J,"="&amp;$H$2),
$K$2=Data!$A$2,SUMIFS(Proventos!$H:$H,Proventos!$D:$D,"&gt;="&amp;CONCATENATE($C$6,"/",B74),Proventos!$D:$D,"&lt;"&amp;CONCATENATE($D$6,"/",B74)),
$K$2&lt;&gt;Data!$A$2,SUMIFS(Proventos!$H:$H,Proventos!$D:$D,"&gt;="&amp;CONCATENATE($C$6,"/",B74),Proventos!$D:$D,"&lt;"&amp;CONCATENATE($D$6,"/",B74),Proventos!$A:$A,"="&amp;$K$2))</f>
        <v>0</v>
      </c>
      <c r="D74" s="245">
        <f>IFS(
AND($H$2=Data!$A$3,$K$2=Data!$A$2),SUMIFS(Proventos!$H:$H,Proventos!$D:$D,"&gt;="&amp;CONCATENATE($D$6,"/",B74),Proventos!$D:$D,"&lt;"&amp;CONCATENATE($E$6,"/",B74),Proventos!$J:$J,"="&amp;$H$2),
AND($H$2=Data!$A$4,$K$2=Data!$A$2),SUMIFS(Proventos!$H:$H,Proventos!$D:$D,"&gt;="&amp;CONCATENATE($D$6,"/",B74),Proventos!$D:$D,"&lt;"&amp;CONCATENATE($E$6,"/",B74),Proventos!$J:$J,"="&amp;$H$2),
AND($H$2=Data!$A$5,$K$2=Data!$A$2),SUMIFS(Proventos!$H:$H,Proventos!$D:$D,"&gt;="&amp;CONCATENATE($D$6,"/",B74),Proventos!$D:$D,"&lt;"&amp;CONCATENATE($E$6,"/",B74),Proventos!$J:$J,"="&amp;$H$2),
AND($H$2=Data!$A$6,$K$2=Data!$A$2),SUMIFS(Proventos!$H:$H,Proventos!$D:$D,"&gt;="&amp;CONCATENATE($D$6,"/",B74),Proventos!$D:$D,"&lt;"&amp;CONCATENATE($E$6,"/",B74),Proventos!$J:$J,"="&amp;$H$2),
AND($H$2=Data!$A$7,$K$2=Data!$A$2),SUMIFS(Proventos!$H:$H,Proventos!$D:$D,"&gt;="&amp;CONCATENATE($D$6,"/",B74),Proventos!$D:$D,"&lt;"&amp;CONCATENATE($E$6,"/",B74),Proventos!$J:$J,"="&amp;$H$2),
AND($H$2=Data!$A$8,$K$2=Data!$A$2),SUMIFS(Proventos!$H:$H,Proventos!$D:$D,"&gt;="&amp;CONCATENATE($D$6,"/",B74),Proventos!$D:$D,"&lt;"&amp;CONCATENATE($E$6,"/",B74),Proventos!$J:$J,"="&amp;$H$2),
AND($H$2=Data!$A$9,$K$2=Data!$A$2),SUMIFS(Proventos!$H:$H,Proventos!$D:$D,"&gt;="&amp;CONCATENATE($D$6,"/",B74),Proventos!$D:$D,"&lt;"&amp;CONCATENATE($E$6,"/",B74),Proventos!$J:$J,"="&amp;$H$2),
AND($H$2=Data!$A$10,$K$2=Data!$A$2),SUMIFS(Proventos!$H:$H,Proventos!$D:$D,"&gt;="&amp;CONCATENATE($D$6,"/",B74),Proventos!$D:$D,"&lt;"&amp;CONCATENATE($E$6,"/",B74),Proventos!$J:$J,"="&amp;$H$2),
AND($H$2=Data!$A$11,$K$2=Data!$A$2),SUMIFS(Proventos!$H:$H,Proventos!$D:$D,"&gt;="&amp;CONCATENATE($D$6,"/",B74),Proventos!$D:$D,"&lt;"&amp;CONCATENATE($E$6,"/",B74),Proventos!$J:$J,"="&amp;$H$2),
$K$2=Data!$A$2,SUMIFS(Proventos!$H:$H,Proventos!$D:$D,"&gt;="&amp;CONCATENATE($D$6,"/",B74),Proventos!$D:$D,"&lt;"&amp;CONCATENATE($E$6,"/",B74)),
$K$2&lt;&gt;Data!$A$2,SUMIFS(Proventos!$H:$H,Proventos!$D:$D,"&gt;="&amp;CONCATENATE($D$6,"/",B74),Proventos!$D:$D,"&lt;"&amp;CONCATENATE($E$6,"/",B74),Proventos!$A:$A,"="&amp;$K$2))</f>
        <v>0</v>
      </c>
      <c r="E74" s="245">
        <f>IFS(
AND($H$2=Data!$A$3,$K$2=Data!$A$2),SUMIFS(Proventos!$H:$H,Proventos!$D:$D,"&gt;="&amp;CONCATENATE($E$6,"/",B74),Proventos!$D:$D,"&lt;"&amp;CONCATENATE($F$6,"/",B74),Proventos!$J:$J,"="&amp;$H$2),
AND($H$2=Data!$A$4,$K$2=Data!$A$2),SUMIFS(Proventos!$H:$H,Proventos!$D:$D,"&gt;="&amp;CONCATENATE($E$6,"/",B74),Proventos!$D:$D,"&lt;"&amp;CONCATENATE($F$6,"/",B74),Proventos!$J:$J,"="&amp;$H$2),
AND($H$2=Data!$A$5,$K$2=Data!$A$2),SUMIFS(Proventos!$H:$H,Proventos!$D:$D,"&gt;="&amp;CONCATENATE($E$6,"/",B74),Proventos!$D:$D,"&lt;"&amp;CONCATENATE($F$6,"/",B74),Proventos!$J:$J,"="&amp;$H$2),
AND($H$2=Data!$A$6,$K$2=Data!$A$2),SUMIFS(Proventos!$H:$H,Proventos!$D:$D,"&gt;="&amp;CONCATENATE($E$6,"/",B74),Proventos!$D:$D,"&lt;"&amp;CONCATENATE($F$6,"/",B74),Proventos!$J:$J,"="&amp;$H$2),
AND($H$2=Data!$A$7,$K$2=Data!$A$2),SUMIFS(Proventos!$H:$H,Proventos!$D:$D,"&gt;="&amp;CONCATENATE($E$6,"/",B74),Proventos!$D:$D,"&lt;"&amp;CONCATENATE($F$6,"/",B74),Proventos!$J:$J,"="&amp;$H$2),
AND($H$2=Data!$A$8,$K$2=Data!$A$2),SUMIFS(Proventos!$H:$H,Proventos!$D:$D,"&gt;="&amp;CONCATENATE($E$6,"/",B74),Proventos!$D:$D,"&lt;"&amp;CONCATENATE($F$6,"/",B74),Proventos!$J:$J,"="&amp;$H$2),
AND($H$2=Data!$A$9,$K$2=Data!$A$2),SUMIFS(Proventos!$H:$H,Proventos!$D:$D,"&gt;="&amp;CONCATENATE($E$6,"/",B74),Proventos!$D:$D,"&lt;"&amp;CONCATENATE($F$6,"/",B74),Proventos!$J:$J,"="&amp;$H$2),
AND($H$2=Data!$A$10,$K$2=Data!$A$2),SUMIFS(Proventos!$H:$H,Proventos!$D:$D,"&gt;="&amp;CONCATENATE($E$6,"/",B74),Proventos!$D:$D,"&lt;"&amp;CONCATENATE($F$6,"/",B74),Proventos!$J:$J,"="&amp;$H$2),
AND($H$2=Data!$A$11,$K$2=Data!$A$2),SUMIFS(Proventos!$H:$H,Proventos!$D:$D,"&gt;="&amp;CONCATENATE($E$6,"/",B74),Proventos!$D:$D,"&lt;"&amp;CONCATENATE($F$6,"/",B74),Proventos!$J:$J,"="&amp;$H$2),
$K$2=Data!$A$2,SUMIFS(Proventos!$H:$H,Proventos!$D:$D,"&gt;="&amp;CONCATENATE($E$6,"/",B74),Proventos!$D:$D,"&lt;"&amp;CONCATENATE($F$6,"/",B74)),
$K$2&lt;&gt;Data!$A$2,SUMIFS(Proventos!$H:$H,Proventos!$D:$D,"&gt;="&amp;CONCATENATE($E$6,"/",B74),Proventos!$D:$D,"&lt;"&amp;CONCATENATE($F$6,"/",B74),Proventos!$A:$A,"="&amp;$K$2))</f>
        <v>0</v>
      </c>
      <c r="F74" s="245">
        <f>IFS(
AND($H$2=Data!$A$3,$K$2=Data!$A$2),SUMIFS(Proventos!$H:$H,Proventos!$D:$D,"&gt;="&amp;CONCATENATE($F$6,"/",B74),Proventos!$D:$D,"&lt;"&amp;CONCATENATE($G$6,"/",B74),Proventos!$J:$J,"="&amp;$H$2),
AND($H$2=Data!$A$4,$K$2=Data!$A$2),SUMIFS(Proventos!$H:$H,Proventos!$D:$D,"&gt;="&amp;CONCATENATE($F$6,"/",B74),Proventos!$D:$D,"&lt;"&amp;CONCATENATE($G$6,"/",B74),Proventos!$J:$J,"="&amp;$H$2),
AND($H$2=Data!$A$5,$K$2=Data!$A$2),SUMIFS(Proventos!$H:$H,Proventos!$D:$D,"&gt;="&amp;CONCATENATE($F$6,"/",B74),Proventos!$D:$D,"&lt;"&amp;CONCATENATE($G$6,"/",B74),Proventos!$J:$J,"="&amp;$H$2),
AND($H$2=Data!$A$6,$K$2=Data!$A$2),SUMIFS(Proventos!$H:$H,Proventos!$D:$D,"&gt;="&amp;CONCATENATE($F$6,"/",B74),Proventos!$D:$D,"&lt;"&amp;CONCATENATE($G$6,"/",B74),Proventos!$J:$J,"="&amp;$H$2),
AND($H$2=Data!$A$7,$K$2=Data!$A$2),SUMIFS(Proventos!$H:$H,Proventos!$D:$D,"&gt;="&amp;CONCATENATE($F$6,"/",B74),Proventos!$D:$D,"&lt;"&amp;CONCATENATE($G$6,"/",B74),Proventos!$J:$J,"="&amp;$H$2),
AND($H$2=Data!$A$8,$K$2=Data!$A$2),SUMIFS(Proventos!$H:$H,Proventos!$D:$D,"&gt;="&amp;CONCATENATE($F$6,"/",B74),Proventos!$D:$D,"&lt;"&amp;CONCATENATE($G$6,"/",B74),Proventos!$J:$J,"="&amp;$H$2),
AND($H$2=Data!$A$9,$K$2=Data!$A$2),SUMIFS(Proventos!$H:$H,Proventos!$D:$D,"&gt;="&amp;CONCATENATE($F$6,"/",B74),Proventos!$D:$D,"&lt;"&amp;CONCATENATE($G$6,"/",B74),Proventos!$J:$J,"="&amp;$H$2),
AND($H$2=Data!$A$10,$K$2=Data!$A$2),SUMIFS(Proventos!$H:$H,Proventos!$D:$D,"&gt;="&amp;CONCATENATE($F$6,"/",B74),Proventos!$D:$D,"&lt;"&amp;CONCATENATE($G$6,"/",B74),Proventos!$J:$J,"="&amp;$H$2),
AND($H$2=Data!$A$11,$K$2=Data!$A$2),SUMIFS(Proventos!$H:$H,Proventos!$D:$D,"&gt;="&amp;CONCATENATE($F$6,"/",B74),Proventos!$D:$D,"&lt;"&amp;CONCATENATE($G$6,"/",B74),Proventos!$J:$J,"="&amp;$H$2),
$K$2=Data!$A$2,SUMIFS(Proventos!$H:$H,Proventos!$D:$D,"&gt;="&amp;CONCATENATE($F$6,"/",B74),Proventos!$D:$D,"&lt;"&amp;CONCATENATE($G$6,"/",B74)),
$K$2&lt;&gt;Data!$A$2,SUMIFS(Proventos!$H:$H,Proventos!$D:$D,"&gt;="&amp;CONCATENATE($F$6,"/",B74),Proventos!$D:$D,"&lt;"&amp;CONCATENATE($G$6,"/",B74),Proventos!$A:$A,"="&amp;$K$2))</f>
        <v>0</v>
      </c>
      <c r="G74" s="245">
        <f>IFS(
AND($H$2=Data!$A$3,$K$2=Data!$A$2),SUMIFS(Proventos!$H:$H,Proventos!$D:$D,"&gt;="&amp;CONCATENATE($G$6,"/",B74),Proventos!$D:$D,"&lt;"&amp;CONCATENATE($H$6,"/",B74),Proventos!$J:$J,"="&amp;$H$2),
AND($H$2=Data!$A$4,$K$2=Data!$A$2),SUMIFS(Proventos!$H:$H,Proventos!$D:$D,"&gt;="&amp;CONCATENATE($G$6,"/",B74),Proventos!$D:$D,"&lt;"&amp;CONCATENATE($H$6,"/",B74),Proventos!$J:$J,"="&amp;$H$2),
AND($H$2=Data!$A$5,$K$2=Data!$A$2),SUMIFS(Proventos!$H:$H,Proventos!$D:$D,"&gt;="&amp;CONCATENATE($G$6,"/",B74),Proventos!$D:$D,"&lt;"&amp;CONCATENATE($H$6,"/",B74),Proventos!$J:$J,"="&amp;$H$2),
AND($H$2=Data!$A$6,$K$2=Data!$A$2),SUMIFS(Proventos!$H:$H,Proventos!$D:$D,"&gt;="&amp;CONCATENATE($G$6,"/",B74),Proventos!$D:$D,"&lt;"&amp;CONCATENATE($H$6,"/",B74),Proventos!$J:$J,"="&amp;$H$2),
AND($H$2=Data!$A$7,$K$2=Data!$A$2),SUMIFS(Proventos!$H:$H,Proventos!$D:$D,"&gt;="&amp;CONCATENATE($G$6,"/",B74),Proventos!$D:$D,"&lt;"&amp;CONCATENATE($H$6,"/",B74),Proventos!$J:$J,"="&amp;$H$2),
AND($H$2=Data!$A$8,$K$2=Data!$A$2),SUMIFS(Proventos!$H:$H,Proventos!$D:$D,"&gt;="&amp;CONCATENATE($G$6,"/",B74),Proventos!$D:$D,"&lt;"&amp;CONCATENATE($H$6,"/",B74),Proventos!$J:$J,"="&amp;$H$2),
AND($H$2=Data!$A$9,$K$2=Data!$A$2),SUMIFS(Proventos!$H:$H,Proventos!$D:$D,"&gt;="&amp;CONCATENATE($G$6,"/",B74),Proventos!$D:$D,"&lt;"&amp;CONCATENATE($H$6,"/",B74),Proventos!$J:$J,"="&amp;$H$2),
AND($H$2=Data!$A$10,$K$2=Data!$A$2),SUMIFS(Proventos!$H:$H,Proventos!$D:$D,"&gt;="&amp;CONCATENATE($G$6,"/",B74),Proventos!$D:$D,"&lt;"&amp;CONCATENATE($H$6,"/",B74),Proventos!$J:$J,"="&amp;$H$2),
AND($H$2=Data!$A$11,$K$2=Data!$A$2),SUMIFS(Proventos!$H:$H,Proventos!$D:$D,"&gt;="&amp;CONCATENATE($G$6,"/",B74),Proventos!$D:$D,"&lt;"&amp;CONCATENATE($H$6,"/",B74),Proventos!$J:$J,"="&amp;$H$2),
$K$2=Data!$A$2,SUMIFS(Proventos!$H:$H,Proventos!$D:$D,"&gt;="&amp;CONCATENATE($G$6,"/",B74),Proventos!$D:$D,"&lt;"&amp;CONCATENATE($H$6,"/",B74)),
$K$2&lt;&gt;Data!$A$2,SUMIFS(Proventos!$H:$H,Proventos!$D:$D,"&gt;="&amp;CONCATENATE($G$6,"/",B74),Proventos!$D:$D,"&lt;"&amp;CONCATENATE($H$6,"/",B74),Proventos!$A:$A,"="&amp;$K$2))</f>
        <v>0</v>
      </c>
      <c r="H74" s="245">
        <f>IFS(
AND($H$2=Data!$A$3,$K$2=Data!$A$2),SUMIFS(Proventos!$H:$H,Proventos!$D:$D,"&gt;="&amp;CONCATENATE($H$6,"/",B74),Proventos!$D:$D,"&lt;"&amp;CONCATENATE($I$6,"/",B74),Proventos!$J:$J,"="&amp;$H$2),
AND($H$2=Data!$A$4,$K$2=Data!$A$2),SUMIFS(Proventos!$H:$H,Proventos!$D:$D,"&gt;="&amp;CONCATENATE($H$6,"/",B74),Proventos!$D:$D,"&lt;"&amp;CONCATENATE($I$6,"/",B74),Proventos!$J:$J,"="&amp;$H$2),
AND($H$2=Data!$A$5,$K$2=Data!$A$2),SUMIFS(Proventos!$H:$H,Proventos!$D:$D,"&gt;="&amp;CONCATENATE($H$6,"/",B74),Proventos!$D:$D,"&lt;"&amp;CONCATENATE($I$6,"/",B74),Proventos!$J:$J,"="&amp;$H$2),
AND($H$2=Data!$A$6,$K$2=Data!$A$2),SUMIFS(Proventos!$H:$H,Proventos!$D:$D,"&gt;="&amp;CONCATENATE($H$6,"/",B74),Proventos!$D:$D,"&lt;"&amp;CONCATENATE($I$6,"/",B74),Proventos!$J:$J,"="&amp;$H$2),
AND($H$2=Data!$A$7,$K$2=Data!$A$2),SUMIFS(Proventos!$H:$H,Proventos!$D:$D,"&gt;="&amp;CONCATENATE($H$6,"/",B74),Proventos!$D:$D,"&lt;"&amp;CONCATENATE($I$6,"/",B74),Proventos!$J:$J,"="&amp;$H$2),
AND($H$2=Data!$A$8,$K$2=Data!$A$2),SUMIFS(Proventos!$H:$H,Proventos!$D:$D,"&gt;="&amp;CONCATENATE($H$6,"/",B74),Proventos!$D:$D,"&lt;"&amp;CONCATENATE($I$6,"/",B74),Proventos!$J:$J,"="&amp;$H$2),
AND($H$2=Data!$A$9,$K$2=Data!$A$2),SUMIFS(Proventos!$H:$H,Proventos!$D:$D,"&gt;="&amp;CONCATENATE($H$6,"/",B74),Proventos!$D:$D,"&lt;"&amp;CONCATENATE($I$6,"/",B74),Proventos!$J:$J,"="&amp;$H$2),
AND($H$2=Data!$A$10,$K$2=Data!$A$2),SUMIFS(Proventos!$H:$H,Proventos!$D:$D,"&gt;="&amp;CONCATENATE($H$6,"/",B74),Proventos!$D:$D,"&lt;"&amp;CONCATENATE($I$6,"/",B74),Proventos!$J:$J,"="&amp;$H$2),
AND($H$2=Data!$A$11,$K$2=Data!$A$2),SUMIFS(Proventos!$H:$H,Proventos!$D:$D,"&gt;="&amp;CONCATENATE($H$6,"/",B74),Proventos!$D:$D,"&lt;"&amp;CONCATENATE($I$6,"/",B74),Proventos!$J:$J,"="&amp;$H$2),
$K$2=Data!$A$2,SUMIFS(Proventos!$H:$H,Proventos!$D:$D,"&gt;="&amp;CONCATENATE($H$6,"/",B74),Proventos!$D:$D,"&lt;"&amp;CONCATENATE($I$6,"/",B74)),
$K$2&lt;&gt;Data!$A$2,SUMIFS(Proventos!$H:$H,Proventos!$D:$D,"&gt;="&amp;CONCATENATE($H$6,"/",B74),Proventos!$D:$D,"&lt;"&amp;CONCATENATE($I$6,"/",B74),Proventos!$A:$A,"="&amp;$K$2))</f>
        <v>0</v>
      </c>
      <c r="I74" s="245">
        <f>IFS(
AND($H$2=Data!$A$3,$K$2=Data!$A$2),SUMIFS(Proventos!$H:$H,Proventos!$D:$D,"&gt;="&amp;CONCATENATE($I$6,"/",B74),Proventos!$D:$D,"&lt;"&amp;CONCATENATE($J$6,"/",B74),Proventos!$J:$J,"="&amp;$H$2),
AND($H$2=Data!$A$4,$K$2=Data!$A$2),SUMIFS(Proventos!$H:$H,Proventos!$D:$D,"&gt;="&amp;CONCATENATE($I$6,"/",B74),Proventos!$D:$D,"&lt;"&amp;CONCATENATE($J$6,"/",B74),Proventos!$J:$J,"="&amp;$H$2),
AND($H$2=Data!$A$5,$K$2=Data!$A$2),SUMIFS(Proventos!$H:$H,Proventos!$D:$D,"&gt;="&amp;CONCATENATE($I$6,"/",B74),Proventos!$D:$D,"&lt;"&amp;CONCATENATE($J$6,"/",B74),Proventos!$J:$J,"="&amp;$H$2),
AND($H$2=Data!$A$6,$K$2=Data!$A$2),SUMIFS(Proventos!$H:$H,Proventos!$D:$D,"&gt;="&amp;CONCATENATE($I$6,"/",B74),Proventos!$D:$D,"&lt;"&amp;CONCATENATE($J$6,"/",B74),Proventos!$J:$J,"="&amp;$H$2),
AND($H$2=Data!$A$7,$K$2=Data!$A$2),SUMIFS(Proventos!$H:$H,Proventos!$D:$D,"&gt;="&amp;CONCATENATE($I$6,"/",B74),Proventos!$D:$D,"&lt;"&amp;CONCATENATE($J$6,"/",B74),Proventos!$J:$J,"="&amp;$H$2),
AND($H$2=Data!$A$8,$K$2=Data!$A$2),SUMIFS(Proventos!$H:$H,Proventos!$D:$D,"&gt;="&amp;CONCATENATE($I$6,"/",B74),Proventos!$D:$D,"&lt;"&amp;CONCATENATE($J$6,"/",B74),Proventos!$J:$J,"="&amp;$H$2),
AND($H$2=Data!$A$9,$K$2=Data!$A$2),SUMIFS(Proventos!$H:$H,Proventos!$D:$D,"&gt;="&amp;CONCATENATE($I$6,"/",B74),Proventos!$D:$D,"&lt;"&amp;CONCATENATE($J$6,"/",B74),Proventos!$J:$J,"="&amp;$H$2),
AND($H$2=Data!$A$10,$K$2=Data!$A$2),SUMIFS(Proventos!$H:$H,Proventos!$D:$D,"&gt;="&amp;CONCATENATE($I$6,"/",B74),Proventos!$D:$D,"&lt;"&amp;CONCATENATE($J$6,"/",B74),Proventos!$J:$J,"="&amp;$H$2),
AND($H$2=Data!$A$11,$K$2=Data!$A$2),SUMIFS(Proventos!$H:$H,Proventos!$D:$D,"&gt;="&amp;CONCATENATE($I$6,"/",B74),Proventos!$D:$D,"&lt;"&amp;CONCATENATE($J$6,"/",B74),Proventos!$J:$J,"="&amp;$H$2),
$K$2=Data!$A$2,SUMIFS(Proventos!$H:$H,Proventos!$D:$D,"&gt;="&amp;CONCATENATE($I$6,"/",B74),Proventos!$D:$D,"&lt;"&amp;CONCATENATE($J$6,"/",B74)),
$K$2&lt;&gt;Data!$A$2,SUMIFS(Proventos!$H:$H,Proventos!$D:$D,"&gt;="&amp;CONCATENATE($I$6,"/",B74),Proventos!$D:$D,"&lt;"&amp;CONCATENATE($J$6,"/",B74),Proventos!$A:$A,"="&amp;$K$2))</f>
        <v>0</v>
      </c>
      <c r="J74" s="245">
        <f>IFS(
AND($H$2=Data!$A$3,$K$2=Data!$A$2),SUMIFS(Proventos!$H:$H,Proventos!$D:$D,"&gt;="&amp;CONCATENATE($J$6,"/",B74),Proventos!$D:$D,"&lt;"&amp;CONCATENATE($K$6,"/",B74),Proventos!$J:$J,"="&amp;$H$2),
AND($H$2=Data!$A$4,$K$2=Data!$A$2),SUMIFS(Proventos!$H:$H,Proventos!$D:$D,"&gt;="&amp;CONCATENATE($J$6,"/",B74),Proventos!$D:$D,"&lt;"&amp;CONCATENATE($K$6,"/",B74),Proventos!$J:$J,"="&amp;$H$2),
AND($H$2=Data!$A$5,$K$2=Data!$A$2),SUMIFS(Proventos!$H:$H,Proventos!$D:$D,"&gt;="&amp;CONCATENATE($J$6,"/",B74),Proventos!$D:$D,"&lt;"&amp;CONCATENATE($K$6,"/",B74),Proventos!$J:$J,"="&amp;$H$2),
AND($H$2=Data!$A$6,$K$2=Data!$A$2),SUMIFS(Proventos!$H:$H,Proventos!$D:$D,"&gt;="&amp;CONCATENATE($J$6,"/",B74),Proventos!$D:$D,"&lt;"&amp;CONCATENATE($K$6,"/",B74),Proventos!$J:$J,"="&amp;$H$2),
AND($H$2=Data!$A$7,$K$2=Data!$A$2),SUMIFS(Proventos!$H:$H,Proventos!$D:$D,"&gt;="&amp;CONCATENATE($J$6,"/",B74),Proventos!$D:$D,"&lt;"&amp;CONCATENATE($K$6,"/",B74),Proventos!$J:$J,"="&amp;$H$2),
AND($H$2=Data!$A$8,$K$2=Data!$A$2),SUMIFS(Proventos!$H:$H,Proventos!$D:$D,"&gt;="&amp;CONCATENATE($J$6,"/",B74),Proventos!$D:$D,"&lt;"&amp;CONCATENATE($K$6,"/",B74),Proventos!$J:$J,"="&amp;$H$2),
AND($H$2=Data!$A$9,$K$2=Data!$A$2),SUMIFS(Proventos!$H:$H,Proventos!$D:$D,"&gt;="&amp;CONCATENATE($J$6,"/",B74),Proventos!$D:$D,"&lt;"&amp;CONCATENATE($K$6,"/",B74),Proventos!$J:$J,"="&amp;$H$2),
AND($H$2=Data!$A$10,$K$2=Data!$A$2),SUMIFS(Proventos!$H:$H,Proventos!$D:$D,"&gt;="&amp;CONCATENATE($J$6,"/",B74),Proventos!$D:$D,"&lt;"&amp;CONCATENATE($K$6,"/",B74),Proventos!$J:$J,"="&amp;$H$2),
AND($H$2=Data!$A$11,$K$2=Data!$A$2),SUMIFS(Proventos!$H:$H,Proventos!$D:$D,"&gt;="&amp;CONCATENATE($J$6,"/",B74),Proventos!$D:$D,"&lt;"&amp;CONCATENATE($K$6,"/",B74),Proventos!$J:$J,"="&amp;$H$2),
$K$2=Data!$A$2,SUMIFS(Proventos!$H:$H,Proventos!$D:$D,"&gt;="&amp;CONCATENATE($J$6,"/",B74),Proventos!$D:$D,"&lt;"&amp;CONCATENATE($K$6,"/",B74)),
$K$2&lt;&gt;Data!$A$2,SUMIFS(Proventos!$H:$H,Proventos!$D:$D,"&gt;="&amp;CONCATENATE($J$6,"/",B74),Proventos!$D:$D,"&lt;"&amp;CONCATENATE($K$6,"/",B74),Proventos!$A:$A,"="&amp;$K$2))</f>
        <v>0</v>
      </c>
      <c r="K74" s="245">
        <f>IFS(
AND($H$2=Data!$A$3,$K$2=Data!$A$2),SUMIFS(Proventos!$H:$H,Proventos!$D:$D,"&gt;="&amp;CONCATENATE($K$6,"/",B74),Proventos!$D:$D,"&lt;"&amp;CONCATENATE($L$6,"/",B74),Proventos!$J:$J,"="&amp;$H$2),
AND($H$2=Data!$A$4,$K$2=Data!$A$2),SUMIFS(Proventos!$H:$H,Proventos!$D:$D,"&gt;="&amp;CONCATENATE($K$6,"/",B74),Proventos!$D:$D,"&lt;"&amp;CONCATENATE($L$6,"/",B74),Proventos!$J:$J,"="&amp;$H$2),
AND($H$2=Data!$A$5,$K$2=Data!$A$2),SUMIFS(Proventos!$H:$H,Proventos!$D:$D,"&gt;="&amp;CONCATENATE($K$6,"/",B74),Proventos!$D:$D,"&lt;"&amp;CONCATENATE($L$6,"/",B74),Proventos!$J:$J,"="&amp;$H$2),
AND($H$2=Data!$A$6,$K$2=Data!$A$2),SUMIFS(Proventos!$H:$H,Proventos!$D:$D,"&gt;="&amp;CONCATENATE($K$6,"/",B74),Proventos!$D:$D,"&lt;"&amp;CONCATENATE($L$6,"/",B74),Proventos!$J:$J,"="&amp;$H$2),
AND($H$2=Data!$A$7,$K$2=Data!$A$2),SUMIFS(Proventos!$H:$H,Proventos!$D:$D,"&gt;="&amp;CONCATENATE($K$6,"/",B74),Proventos!$D:$D,"&lt;"&amp;CONCATENATE($L$6,"/",B74),Proventos!$J:$J,"="&amp;$H$2),
AND($H$2=Data!$A$8,$K$2=Data!$A$2),SUMIFS(Proventos!$H:$H,Proventos!$D:$D,"&gt;="&amp;CONCATENATE($K$6,"/",B74),Proventos!$D:$D,"&lt;"&amp;CONCATENATE($L$6,"/",B74),Proventos!$J:$J,"="&amp;$H$2),
AND($H$2=Data!$A$9,$K$2=Data!$A$2),SUMIFS(Proventos!$H:$H,Proventos!$D:$D,"&gt;="&amp;CONCATENATE($K$6,"/",B74),Proventos!$D:$D,"&lt;"&amp;CONCATENATE($L$6,"/",B74),Proventos!$J:$J,"="&amp;$H$2),
AND($H$2=Data!$A$10,$K$2=Data!$A$2),SUMIFS(Proventos!$H:$H,Proventos!$D:$D,"&gt;="&amp;CONCATENATE($K$6,"/",B74),Proventos!$D:$D,"&lt;"&amp;CONCATENATE($L$6,"/",B74),Proventos!$J:$J,"="&amp;$H$2),
AND($H$2=Data!$A$11,$K$2=Data!$A$2),SUMIFS(Proventos!$H:$H,Proventos!$D:$D,"&gt;="&amp;CONCATENATE($K$6,"/",B74),Proventos!$D:$D,"&lt;"&amp;CONCATENATE($L$6,"/",B74),Proventos!$J:$J,"="&amp;$H$2),
$K$2=Data!$A$2,SUMIFS(Proventos!$H:$H,Proventos!$D:$D,"&gt;="&amp;CONCATENATE($K$6,"/",B74),Proventos!$D:$D,"&lt;"&amp;CONCATENATE($L$6,"/",B74)),
$K$2&lt;&gt;Data!$A$2,SUMIFS(Proventos!$H:$H,Proventos!$D:$D,"&gt;="&amp;CONCATENATE($K$6,"/",B74),Proventos!$D:$D,"&lt;"&amp;CONCATENATE($L$6,"/",B74),Proventos!$A:$A,"="&amp;$K$2))</f>
        <v>0</v>
      </c>
      <c r="L74" s="245">
        <f>IFS(
AND($H$2=Data!$A$3,$K$2=Data!$A$2),SUMIFS(Proventos!$H:$H,Proventos!$D:$D,"&gt;="&amp;CONCATENATE($L$6,"/",B74),Proventos!$D:$D,"&lt;"&amp;CONCATENATE($M$6,"/",B74),Proventos!$J:$J,"="&amp;$H$2),
AND($H$2=Data!$A$4,$K$2=Data!$A$2),SUMIFS(Proventos!$H:$H,Proventos!$D:$D,"&gt;="&amp;CONCATENATE($L$6,"/",B74),Proventos!$D:$D,"&lt;"&amp;CONCATENATE($M$6,"/",B74),Proventos!$J:$J,"="&amp;$H$2),
AND($H$2=Data!$A$5,$K$2=Data!$A$2),SUMIFS(Proventos!$H:$H,Proventos!$D:$D,"&gt;="&amp;CONCATENATE($L$6,"/",B74),Proventos!$D:$D,"&lt;"&amp;CONCATENATE($M$6,"/",B74),Proventos!$J:$J,"="&amp;$H$2),
AND($H$2=Data!$A$6,$K$2=Data!$A$2),SUMIFS(Proventos!$H:$H,Proventos!$D:$D,"&gt;="&amp;CONCATENATE($L$6,"/",B74),Proventos!$D:$D,"&lt;"&amp;CONCATENATE($M$6,"/",B74),Proventos!$J:$J,"="&amp;$H$2),
AND($H$2=Data!$A$7,$K$2=Data!$A$2),SUMIFS(Proventos!$H:$H,Proventos!$D:$D,"&gt;="&amp;CONCATENATE($L$6,"/",B74),Proventos!$D:$D,"&lt;"&amp;CONCATENATE($M$6,"/",B74),Proventos!$J:$J,"="&amp;$H$2),
AND($H$2=Data!$A$8,$K$2=Data!$A$2),SUMIFS(Proventos!$H:$H,Proventos!$D:$D,"&gt;="&amp;CONCATENATE($L$6,"/",B74),Proventos!$D:$D,"&lt;"&amp;CONCATENATE($M$6,"/",B74),Proventos!$J:$J,"="&amp;$H$2),
AND($H$2=Data!$A$9,$K$2=Data!$A$2),SUMIFS(Proventos!$H:$H,Proventos!$D:$D,"&gt;="&amp;CONCATENATE($L$6,"/",B74),Proventos!$D:$D,"&lt;"&amp;CONCATENATE($M$6,"/",B74),Proventos!$J:$J,"="&amp;$H$2),
AND($H$2=Data!$A$10,$K$2=Data!$A$2),SUMIFS(Proventos!$H:$H,Proventos!$D:$D,"&gt;="&amp;CONCATENATE($L$6,"/",B74),Proventos!$D:$D,"&lt;"&amp;CONCATENATE($M$6,"/",B74),Proventos!$J:$J,"="&amp;$H$2),
AND($H$2=Data!$A$11,$K$2=Data!$A$2),SUMIFS(Proventos!$H:$H,Proventos!$D:$D,"&gt;="&amp;CONCATENATE($L$6,"/",B74),Proventos!$D:$D,"&lt;"&amp;CONCATENATE($M$6,"/",B74),Proventos!$J:$J,"="&amp;$H$2),
$K$2=Data!$A$2,SUMIFS(Proventos!$H:$H,Proventos!$D:$D,"&gt;="&amp;CONCATENATE($L$6,"/",B74),Proventos!$D:$D,"&lt;"&amp;CONCATENATE($M$6,"/",B74)),
$K$2&lt;&gt;Data!$A$2,SUMIFS(Proventos!$H:$H,Proventos!$D:$D,"&gt;="&amp;CONCATENATE($L$6,"/",B74),Proventos!$D:$D,"&lt;"&amp;CONCATENATE($M$6,"/",B74),Proventos!$A:$A,"="&amp;$K$2))</f>
        <v>0</v>
      </c>
      <c r="M74" s="245">
        <f>IFS(
AND($H$2=Data!$A$3,$K$2=Data!$A$2),SUMIFS(Proventos!$H:$H,Proventos!$D:$D,"&gt;="&amp;CONCATENATE($M$6,"/",B74),Proventos!$D:$D,"&lt;"&amp;CONCATENATE($N$6,"/",B74),Proventos!$J:$J,"="&amp;$H$2),
AND($H$2=Data!$A$4,$K$2=Data!$A$2),SUMIFS(Proventos!$H:$H,Proventos!$D:$D,"&gt;="&amp;CONCATENATE($M$6,"/",B74),Proventos!$D:$D,"&lt;"&amp;CONCATENATE($N$6,"/",B74),Proventos!$J:$J,"="&amp;$H$2),
AND($H$2=Data!$A$5,$K$2=Data!$A$2),SUMIFS(Proventos!$H:$H,Proventos!$D:$D,"&gt;="&amp;CONCATENATE($M$6,"/",B74),Proventos!$D:$D,"&lt;"&amp;CONCATENATE($N$6,"/",B74),Proventos!$J:$J,"="&amp;$H$2),
AND($H$2=Data!$A$6,$K$2=Data!$A$2),SUMIFS(Proventos!$H:$H,Proventos!$D:$D,"&gt;="&amp;CONCATENATE($M$6,"/",B74),Proventos!$D:$D,"&lt;"&amp;CONCATENATE($N$6,"/",B74),Proventos!$J:$J,"="&amp;$H$2),
AND($H$2=Data!$A$7,$K$2=Data!$A$2),SUMIFS(Proventos!$H:$H,Proventos!$D:$D,"&gt;="&amp;CONCATENATE($M$6,"/",B74),Proventos!$D:$D,"&lt;"&amp;CONCATENATE($N$6,"/",B74),Proventos!$J:$J,"="&amp;$H$2),
AND($H$2=Data!$A$8,$K$2=Data!$A$2),SUMIFS(Proventos!$H:$H,Proventos!$D:$D,"&gt;="&amp;CONCATENATE($M$6,"/",B74),Proventos!$D:$D,"&lt;"&amp;CONCATENATE($N$6,"/",B74),Proventos!$J:$J,"="&amp;$H$2),
AND($H$2=Data!$A$9,$K$2=Data!$A$2),SUMIFS(Proventos!$H:$H,Proventos!$D:$D,"&gt;="&amp;CONCATENATE($M$6,"/",B74),Proventos!$D:$D,"&lt;"&amp;CONCATENATE($N$6,"/",B74),Proventos!$J:$J,"="&amp;$H$2),
AND($H$2=Data!$A$10,$K$2=Data!$A$2),SUMIFS(Proventos!$H:$H,Proventos!$D:$D,"&gt;="&amp;CONCATENATE($M$6,"/",B74),Proventos!$D:$D,"&lt;"&amp;CONCATENATE($N$6,"/",B74),Proventos!$J:$J,"="&amp;$H$2),
AND($H$2=Data!$A$11,$K$2=Data!$A$2),SUMIFS(Proventos!$H:$H,Proventos!$D:$D,"&gt;="&amp;CONCATENATE($M$6,"/",B74),Proventos!$D:$D,"&lt;"&amp;CONCATENATE($N$6,"/",B74),Proventos!$J:$J,"="&amp;$H$2),
$K$2=Data!$A$2,SUMIFS(Proventos!$H:$H,Proventos!$D:$D,"&gt;="&amp;CONCATENATE($M$6,"/",B74),Proventos!$D:$D,"&lt;"&amp;CONCATENATE($N$6,"/",B74)),
$K$2&lt;&gt;Data!$A$2,SUMIFS(Proventos!$H:$H,Proventos!$D:$D,"&gt;="&amp;CONCATENATE($M$6,"/",B74),Proventos!$D:$D,"&lt;"&amp;CONCATENATE($N$6,"/",B74),Proventos!$A:$A,"="&amp;$K$2))</f>
        <v>0</v>
      </c>
      <c r="N74" s="245">
        <f>IFS(
AND($H$2=Data!$A$3,$K$2=Data!$A$2),SUMIFS(Proventos!$H:$H,Proventos!$D:$D,"&gt;="&amp;CONCATENATE($N$6,"/",B74),Proventos!$D:$D,"&lt;"&amp;CONCATENATE($C$6,"/",B75),Proventos!$J:$J,"="&amp;$H$2),
AND($H$2=Data!$A$4,$K$2=Data!$A$2),SUMIFS(Proventos!$H:$H,Proventos!$D:$D,"&gt;="&amp;CONCATENATE($N$6,"/",B74),Proventos!$D:$D,"&lt;"&amp;CONCATENATE($C$6,"/",B75),Proventos!$J:$J,"="&amp;$H$2),
AND($H$2=Data!$A$5,$K$2=Data!$A$2),SUMIFS(Proventos!$H:$H,Proventos!$D:$D,"&gt;="&amp;CONCATENATE($N$6,"/",B74),Proventos!$D:$D,"&lt;"&amp;CONCATENATE($C$6,"/",B75),Proventos!$J:$J,"="&amp;$H$2),
AND($H$2=Data!$A$6,$K$2=Data!$A$2),SUMIFS(Proventos!$H:$H,Proventos!$D:$D,"&gt;="&amp;CONCATENATE($N$6,"/",B74),Proventos!$D:$D,"&lt;"&amp;CONCATENATE($C$6,"/",B75),Proventos!$J:$J,"="&amp;$H$2),
AND($H$2=Data!$A$7,$K$2=Data!$A$2),SUMIFS(Proventos!$H:$H,Proventos!$D:$D,"&gt;="&amp;CONCATENATE($N$6,"/",B74),Proventos!$D:$D,"&lt;"&amp;CONCATENATE($C$6,"/",B75),Proventos!$J:$J,"="&amp;$H$2),
AND($H$2=Data!$A$8,$K$2=Data!$A$2),SUMIFS(Proventos!$H:$H,Proventos!$D:$D,"&gt;="&amp;CONCATENATE($N$6,"/",B74),Proventos!$D:$D,"&lt;"&amp;CONCATENATE($C$6,"/",B75),Proventos!$J:$J,"="&amp;$H$2),
AND($H$2=Data!$A$9,$K$2=Data!$A$2),SUMIFS(Proventos!$H:$H,Proventos!$D:$D,"&gt;="&amp;CONCATENATE($N$6,"/",B74),Proventos!$D:$D,"&lt;"&amp;CONCATENATE($C$6,"/",B75),Proventos!$J:$J,"="&amp;$H$2),
AND($H$2=Data!$A$10,$K$2=Data!$A$2),SUMIFS(Proventos!$H:$H,Proventos!$D:$D,"&gt;="&amp;CONCATENATE($N$6,"/",B74),Proventos!$D:$D,"&lt;"&amp;CONCATENATE($C$6,"/",B75),Proventos!$J:$J,"="&amp;$H$2),
AND($H$2=Data!$A$11,$K$2=Data!$A$2),SUMIFS(Proventos!$H:$H,Proventos!$D:$D,"&gt;="&amp;CONCATENATE($N$6,"/",B74),Proventos!$D:$D,"&lt;"&amp;CONCATENATE($C$6,"/",B75),Proventos!$J:$J,"="&amp;$H$2),
$K$2=Data!$A$2,SUMIFS(Proventos!$H:$H,Proventos!$D:$D,"&gt;="&amp;CONCATENATE($N$6,"/",B74),Proventos!$D:$D,"&lt;"&amp;CONCATENATE($C$6,"/",B75)),
$K$2&lt;&gt;Data!$A$2,SUMIFS(Proventos!$H:$H,Proventos!$D:$D,"&gt;="&amp;CONCATENATE($N$6,"/",B74),Proventos!$D:$D,"&lt;"&amp;CONCATENATE($C$6,"/",B75),Proventos!$A:$A,"="&amp;$K$2))</f>
        <v>0</v>
      </c>
      <c r="O74" s="245"/>
      <c r="P74" s="245">
        <f t="shared" si="1"/>
        <v>0</v>
      </c>
      <c r="Q74" s="245">
        <f t="shared" si="2"/>
        <v>0</v>
      </c>
    </row>
    <row r="75" ht="32.25" customHeight="1">
      <c r="A75" s="230"/>
      <c r="B75" s="244"/>
      <c r="C75" s="245">
        <f>IFS(
AND($H$2=Data!$A$3,$K$2=Data!$A$2),SUMIFS(Proventos!$H:$H,Proventos!$D:$D,"&gt;="&amp;CONCATENATE($C$6,"/",B75),Proventos!$D:$D,"&lt;"&amp;CONCATENATE($D$6,"/",B75),Proventos!$J:$J,"="&amp;$H$2),
AND($H$2=Data!$A$4,$K$2=Data!$A$2),SUMIFS(Proventos!$H:$H,Proventos!$D:$D,"&gt;="&amp;CONCATENATE($C$6,"/",B75),Proventos!$D:$D,"&lt;"&amp;CONCATENATE($D$6,"/",B75),Proventos!$J:$J,"="&amp;$H$2),
AND($H$2=Data!$A$5,$K$2=Data!$A$2),SUMIFS(Proventos!$H:$H,Proventos!$D:$D,"&gt;="&amp;CONCATENATE($C$6,"/",B75),Proventos!$D:$D,"&lt;"&amp;CONCATENATE($D$6,"/",B75),Proventos!$J:$J,"="&amp;$H$2),
AND($H$2=Data!$A$6,$K$2=Data!$A$2),SUMIFS(Proventos!$H:$H,Proventos!$D:$D,"&gt;="&amp;CONCATENATE($C$6,"/",B75),Proventos!$D:$D,"&lt;"&amp;CONCATENATE($D$6,"/",B75),Proventos!$J:$J,"="&amp;$H$2),
AND($H$2=Data!$A$7,$K$2=Data!$A$2),SUMIFS(Proventos!$H:$H,Proventos!$D:$D,"&gt;="&amp;CONCATENATE($C$6,"/",B75),Proventos!$D:$D,"&lt;"&amp;CONCATENATE($D$6,"/",B75),Proventos!$J:$J,"="&amp;$H$2),
AND($H$2=Data!$A$8,$K$2=Data!$A$2),SUMIFS(Proventos!$H:$H,Proventos!$D:$D,"&gt;="&amp;CONCATENATE($C$6,"/",B75),Proventos!$D:$D,"&lt;"&amp;CONCATENATE($D$6,"/",B75),Proventos!$J:$J,"="&amp;$H$2),
AND($H$2=Data!$A$9,$K$2=Data!$A$2),SUMIFS(Proventos!$H:$H,Proventos!$D:$D,"&gt;="&amp;CONCATENATE($C$6,"/",B75),Proventos!$D:$D,"&lt;"&amp;CONCATENATE($D$6,"/",B75),Proventos!$J:$J,"="&amp;$H$2),
AND($H$2=Data!$A$10,$K$2=Data!$A$2),SUMIFS(Proventos!$H:$H,Proventos!$D:$D,"&gt;="&amp;CONCATENATE($C$6,"/",B75),Proventos!$D:$D,"&lt;"&amp;CONCATENATE($D$6,"/",B75),Proventos!$J:$J,"="&amp;$H$2),
AND($H$2=Data!$A$11,$K$2=Data!$A$2),SUMIFS(Proventos!$H:$H,Proventos!$D:$D,"&gt;="&amp;CONCATENATE($C$6,"/",B75),Proventos!$D:$D,"&lt;"&amp;CONCATENATE($D$6,"/",B75),Proventos!$J:$J,"="&amp;$H$2),
$K$2=Data!$A$2,SUMIFS(Proventos!$H:$H,Proventos!$D:$D,"&gt;="&amp;CONCATENATE($C$6,"/",B75),Proventos!$D:$D,"&lt;"&amp;CONCATENATE($D$6,"/",B75)),
$K$2&lt;&gt;Data!$A$2,SUMIFS(Proventos!$H:$H,Proventos!$D:$D,"&gt;="&amp;CONCATENATE($C$6,"/",B75),Proventos!$D:$D,"&lt;"&amp;CONCATENATE($D$6,"/",B75),Proventos!$A:$A,"="&amp;$K$2))</f>
        <v>0</v>
      </c>
      <c r="D75" s="245">
        <f>IFS(
AND($H$2=Data!$A$3,$K$2=Data!$A$2),SUMIFS(Proventos!$H:$H,Proventos!$D:$D,"&gt;="&amp;CONCATENATE($D$6,"/",B75),Proventos!$D:$D,"&lt;"&amp;CONCATENATE($E$6,"/",B75),Proventos!$J:$J,"="&amp;$H$2),
AND($H$2=Data!$A$4,$K$2=Data!$A$2),SUMIFS(Proventos!$H:$H,Proventos!$D:$D,"&gt;="&amp;CONCATENATE($D$6,"/",B75),Proventos!$D:$D,"&lt;"&amp;CONCATENATE($E$6,"/",B75),Proventos!$J:$J,"="&amp;$H$2),
AND($H$2=Data!$A$5,$K$2=Data!$A$2),SUMIFS(Proventos!$H:$H,Proventos!$D:$D,"&gt;="&amp;CONCATENATE($D$6,"/",B75),Proventos!$D:$D,"&lt;"&amp;CONCATENATE($E$6,"/",B75),Proventos!$J:$J,"="&amp;$H$2),
AND($H$2=Data!$A$6,$K$2=Data!$A$2),SUMIFS(Proventos!$H:$H,Proventos!$D:$D,"&gt;="&amp;CONCATENATE($D$6,"/",B75),Proventos!$D:$D,"&lt;"&amp;CONCATENATE($E$6,"/",B75),Proventos!$J:$J,"="&amp;$H$2),
AND($H$2=Data!$A$7,$K$2=Data!$A$2),SUMIFS(Proventos!$H:$H,Proventos!$D:$D,"&gt;="&amp;CONCATENATE($D$6,"/",B75),Proventos!$D:$D,"&lt;"&amp;CONCATENATE($E$6,"/",B75),Proventos!$J:$J,"="&amp;$H$2),
AND($H$2=Data!$A$8,$K$2=Data!$A$2),SUMIFS(Proventos!$H:$H,Proventos!$D:$D,"&gt;="&amp;CONCATENATE($D$6,"/",B75),Proventos!$D:$D,"&lt;"&amp;CONCATENATE($E$6,"/",B75),Proventos!$J:$J,"="&amp;$H$2),
AND($H$2=Data!$A$9,$K$2=Data!$A$2),SUMIFS(Proventos!$H:$H,Proventos!$D:$D,"&gt;="&amp;CONCATENATE($D$6,"/",B75),Proventos!$D:$D,"&lt;"&amp;CONCATENATE($E$6,"/",B75),Proventos!$J:$J,"="&amp;$H$2),
AND($H$2=Data!$A$10,$K$2=Data!$A$2),SUMIFS(Proventos!$H:$H,Proventos!$D:$D,"&gt;="&amp;CONCATENATE($D$6,"/",B75),Proventos!$D:$D,"&lt;"&amp;CONCATENATE($E$6,"/",B75),Proventos!$J:$J,"="&amp;$H$2),
AND($H$2=Data!$A$11,$K$2=Data!$A$2),SUMIFS(Proventos!$H:$H,Proventos!$D:$D,"&gt;="&amp;CONCATENATE($D$6,"/",B75),Proventos!$D:$D,"&lt;"&amp;CONCATENATE($E$6,"/",B75),Proventos!$J:$J,"="&amp;$H$2),
$K$2=Data!$A$2,SUMIFS(Proventos!$H:$H,Proventos!$D:$D,"&gt;="&amp;CONCATENATE($D$6,"/",B75),Proventos!$D:$D,"&lt;"&amp;CONCATENATE($E$6,"/",B75)),
$K$2&lt;&gt;Data!$A$2,SUMIFS(Proventos!$H:$H,Proventos!$D:$D,"&gt;="&amp;CONCATENATE($D$6,"/",B75),Proventos!$D:$D,"&lt;"&amp;CONCATENATE($E$6,"/",B75),Proventos!$A:$A,"="&amp;$K$2))</f>
        <v>0</v>
      </c>
      <c r="E75" s="245">
        <f>IFS(
AND($H$2=Data!$A$3,$K$2=Data!$A$2),SUMIFS(Proventos!$H:$H,Proventos!$D:$D,"&gt;="&amp;CONCATENATE($E$6,"/",B75),Proventos!$D:$D,"&lt;"&amp;CONCATENATE($F$6,"/",B75),Proventos!$J:$J,"="&amp;$H$2),
AND($H$2=Data!$A$4,$K$2=Data!$A$2),SUMIFS(Proventos!$H:$H,Proventos!$D:$D,"&gt;="&amp;CONCATENATE($E$6,"/",B75),Proventos!$D:$D,"&lt;"&amp;CONCATENATE($F$6,"/",B75),Proventos!$J:$J,"="&amp;$H$2),
AND($H$2=Data!$A$5,$K$2=Data!$A$2),SUMIFS(Proventos!$H:$H,Proventos!$D:$D,"&gt;="&amp;CONCATENATE($E$6,"/",B75),Proventos!$D:$D,"&lt;"&amp;CONCATENATE($F$6,"/",B75),Proventos!$J:$J,"="&amp;$H$2),
AND($H$2=Data!$A$6,$K$2=Data!$A$2),SUMIFS(Proventos!$H:$H,Proventos!$D:$D,"&gt;="&amp;CONCATENATE($E$6,"/",B75),Proventos!$D:$D,"&lt;"&amp;CONCATENATE($F$6,"/",B75),Proventos!$J:$J,"="&amp;$H$2),
AND($H$2=Data!$A$7,$K$2=Data!$A$2),SUMIFS(Proventos!$H:$H,Proventos!$D:$D,"&gt;="&amp;CONCATENATE($E$6,"/",B75),Proventos!$D:$D,"&lt;"&amp;CONCATENATE($F$6,"/",B75),Proventos!$J:$J,"="&amp;$H$2),
AND($H$2=Data!$A$8,$K$2=Data!$A$2),SUMIFS(Proventos!$H:$H,Proventos!$D:$D,"&gt;="&amp;CONCATENATE($E$6,"/",B75),Proventos!$D:$D,"&lt;"&amp;CONCATENATE($F$6,"/",B75),Proventos!$J:$J,"="&amp;$H$2),
AND($H$2=Data!$A$9,$K$2=Data!$A$2),SUMIFS(Proventos!$H:$H,Proventos!$D:$D,"&gt;="&amp;CONCATENATE($E$6,"/",B75),Proventos!$D:$D,"&lt;"&amp;CONCATENATE($F$6,"/",B75),Proventos!$J:$J,"="&amp;$H$2),
AND($H$2=Data!$A$10,$K$2=Data!$A$2),SUMIFS(Proventos!$H:$H,Proventos!$D:$D,"&gt;="&amp;CONCATENATE($E$6,"/",B75),Proventos!$D:$D,"&lt;"&amp;CONCATENATE($F$6,"/",B75),Proventos!$J:$J,"="&amp;$H$2),
AND($H$2=Data!$A$11,$K$2=Data!$A$2),SUMIFS(Proventos!$H:$H,Proventos!$D:$D,"&gt;="&amp;CONCATENATE($E$6,"/",B75),Proventos!$D:$D,"&lt;"&amp;CONCATENATE($F$6,"/",B75),Proventos!$J:$J,"="&amp;$H$2),
$K$2=Data!$A$2,SUMIFS(Proventos!$H:$H,Proventos!$D:$D,"&gt;="&amp;CONCATENATE($E$6,"/",B75),Proventos!$D:$D,"&lt;"&amp;CONCATENATE($F$6,"/",B75)),
$K$2&lt;&gt;Data!$A$2,SUMIFS(Proventos!$H:$H,Proventos!$D:$D,"&gt;="&amp;CONCATENATE($E$6,"/",B75),Proventos!$D:$D,"&lt;"&amp;CONCATENATE($F$6,"/",B75),Proventos!$A:$A,"="&amp;$K$2))</f>
        <v>0</v>
      </c>
      <c r="F75" s="245">
        <f>IFS(
AND($H$2=Data!$A$3,$K$2=Data!$A$2),SUMIFS(Proventos!$H:$H,Proventos!$D:$D,"&gt;="&amp;CONCATENATE($F$6,"/",B75),Proventos!$D:$D,"&lt;"&amp;CONCATENATE($G$6,"/",B75),Proventos!$J:$J,"="&amp;$H$2),
AND($H$2=Data!$A$4,$K$2=Data!$A$2),SUMIFS(Proventos!$H:$H,Proventos!$D:$D,"&gt;="&amp;CONCATENATE($F$6,"/",B75),Proventos!$D:$D,"&lt;"&amp;CONCATENATE($G$6,"/",B75),Proventos!$J:$J,"="&amp;$H$2),
AND($H$2=Data!$A$5,$K$2=Data!$A$2),SUMIFS(Proventos!$H:$H,Proventos!$D:$D,"&gt;="&amp;CONCATENATE($F$6,"/",B75),Proventos!$D:$D,"&lt;"&amp;CONCATENATE($G$6,"/",B75),Proventos!$J:$J,"="&amp;$H$2),
AND($H$2=Data!$A$6,$K$2=Data!$A$2),SUMIFS(Proventos!$H:$H,Proventos!$D:$D,"&gt;="&amp;CONCATENATE($F$6,"/",B75),Proventos!$D:$D,"&lt;"&amp;CONCATENATE($G$6,"/",B75),Proventos!$J:$J,"="&amp;$H$2),
AND($H$2=Data!$A$7,$K$2=Data!$A$2),SUMIFS(Proventos!$H:$H,Proventos!$D:$D,"&gt;="&amp;CONCATENATE($F$6,"/",B75),Proventos!$D:$D,"&lt;"&amp;CONCATENATE($G$6,"/",B75),Proventos!$J:$J,"="&amp;$H$2),
AND($H$2=Data!$A$8,$K$2=Data!$A$2),SUMIFS(Proventos!$H:$H,Proventos!$D:$D,"&gt;="&amp;CONCATENATE($F$6,"/",B75),Proventos!$D:$D,"&lt;"&amp;CONCATENATE($G$6,"/",B75),Proventos!$J:$J,"="&amp;$H$2),
AND($H$2=Data!$A$9,$K$2=Data!$A$2),SUMIFS(Proventos!$H:$H,Proventos!$D:$D,"&gt;="&amp;CONCATENATE($F$6,"/",B75),Proventos!$D:$D,"&lt;"&amp;CONCATENATE($G$6,"/",B75),Proventos!$J:$J,"="&amp;$H$2),
AND($H$2=Data!$A$10,$K$2=Data!$A$2),SUMIFS(Proventos!$H:$H,Proventos!$D:$D,"&gt;="&amp;CONCATENATE($F$6,"/",B75),Proventos!$D:$D,"&lt;"&amp;CONCATENATE($G$6,"/",B75),Proventos!$J:$J,"="&amp;$H$2),
AND($H$2=Data!$A$11,$K$2=Data!$A$2),SUMIFS(Proventos!$H:$H,Proventos!$D:$D,"&gt;="&amp;CONCATENATE($F$6,"/",B75),Proventos!$D:$D,"&lt;"&amp;CONCATENATE($G$6,"/",B75),Proventos!$J:$J,"="&amp;$H$2),
$K$2=Data!$A$2,SUMIFS(Proventos!$H:$H,Proventos!$D:$D,"&gt;="&amp;CONCATENATE($F$6,"/",B75),Proventos!$D:$D,"&lt;"&amp;CONCATENATE($G$6,"/",B75)),
$K$2&lt;&gt;Data!$A$2,SUMIFS(Proventos!$H:$H,Proventos!$D:$D,"&gt;="&amp;CONCATENATE($F$6,"/",B75),Proventos!$D:$D,"&lt;"&amp;CONCATENATE($G$6,"/",B75),Proventos!$A:$A,"="&amp;$K$2))</f>
        <v>0</v>
      </c>
      <c r="G75" s="245">
        <f>IFS(
AND($H$2=Data!$A$3,$K$2=Data!$A$2),SUMIFS(Proventos!$H:$H,Proventos!$D:$D,"&gt;="&amp;CONCATENATE($G$6,"/",B75),Proventos!$D:$D,"&lt;"&amp;CONCATENATE($H$6,"/",B75),Proventos!$J:$J,"="&amp;$H$2),
AND($H$2=Data!$A$4,$K$2=Data!$A$2),SUMIFS(Proventos!$H:$H,Proventos!$D:$D,"&gt;="&amp;CONCATENATE($G$6,"/",B75),Proventos!$D:$D,"&lt;"&amp;CONCATENATE($H$6,"/",B75),Proventos!$J:$J,"="&amp;$H$2),
AND($H$2=Data!$A$5,$K$2=Data!$A$2),SUMIFS(Proventos!$H:$H,Proventos!$D:$D,"&gt;="&amp;CONCATENATE($G$6,"/",B75),Proventos!$D:$D,"&lt;"&amp;CONCATENATE($H$6,"/",B75),Proventos!$J:$J,"="&amp;$H$2),
AND($H$2=Data!$A$6,$K$2=Data!$A$2),SUMIFS(Proventos!$H:$H,Proventos!$D:$D,"&gt;="&amp;CONCATENATE($G$6,"/",B75),Proventos!$D:$D,"&lt;"&amp;CONCATENATE($H$6,"/",B75),Proventos!$J:$J,"="&amp;$H$2),
AND($H$2=Data!$A$7,$K$2=Data!$A$2),SUMIFS(Proventos!$H:$H,Proventos!$D:$D,"&gt;="&amp;CONCATENATE($G$6,"/",B75),Proventos!$D:$D,"&lt;"&amp;CONCATENATE($H$6,"/",B75),Proventos!$J:$J,"="&amp;$H$2),
AND($H$2=Data!$A$8,$K$2=Data!$A$2),SUMIFS(Proventos!$H:$H,Proventos!$D:$D,"&gt;="&amp;CONCATENATE($G$6,"/",B75),Proventos!$D:$D,"&lt;"&amp;CONCATENATE($H$6,"/",B75),Proventos!$J:$J,"="&amp;$H$2),
AND($H$2=Data!$A$9,$K$2=Data!$A$2),SUMIFS(Proventos!$H:$H,Proventos!$D:$D,"&gt;="&amp;CONCATENATE($G$6,"/",B75),Proventos!$D:$D,"&lt;"&amp;CONCATENATE($H$6,"/",B75),Proventos!$J:$J,"="&amp;$H$2),
AND($H$2=Data!$A$10,$K$2=Data!$A$2),SUMIFS(Proventos!$H:$H,Proventos!$D:$D,"&gt;="&amp;CONCATENATE($G$6,"/",B75),Proventos!$D:$D,"&lt;"&amp;CONCATENATE($H$6,"/",B75),Proventos!$J:$J,"="&amp;$H$2),
AND($H$2=Data!$A$11,$K$2=Data!$A$2),SUMIFS(Proventos!$H:$H,Proventos!$D:$D,"&gt;="&amp;CONCATENATE($G$6,"/",B75),Proventos!$D:$D,"&lt;"&amp;CONCATENATE($H$6,"/",B75),Proventos!$J:$J,"="&amp;$H$2),
$K$2=Data!$A$2,SUMIFS(Proventos!$H:$H,Proventos!$D:$D,"&gt;="&amp;CONCATENATE($G$6,"/",B75),Proventos!$D:$D,"&lt;"&amp;CONCATENATE($H$6,"/",B75)),
$K$2&lt;&gt;Data!$A$2,SUMIFS(Proventos!$H:$H,Proventos!$D:$D,"&gt;="&amp;CONCATENATE($G$6,"/",B75),Proventos!$D:$D,"&lt;"&amp;CONCATENATE($H$6,"/",B75),Proventos!$A:$A,"="&amp;$K$2))</f>
        <v>0</v>
      </c>
      <c r="H75" s="245">
        <f>IFS(
AND($H$2=Data!$A$3,$K$2=Data!$A$2),SUMIFS(Proventos!$H:$H,Proventos!$D:$D,"&gt;="&amp;CONCATENATE($H$6,"/",B75),Proventos!$D:$D,"&lt;"&amp;CONCATENATE($I$6,"/",B75),Proventos!$J:$J,"="&amp;$H$2),
AND($H$2=Data!$A$4,$K$2=Data!$A$2),SUMIFS(Proventos!$H:$H,Proventos!$D:$D,"&gt;="&amp;CONCATENATE($H$6,"/",B75),Proventos!$D:$D,"&lt;"&amp;CONCATENATE($I$6,"/",B75),Proventos!$J:$J,"="&amp;$H$2),
AND($H$2=Data!$A$5,$K$2=Data!$A$2),SUMIFS(Proventos!$H:$H,Proventos!$D:$D,"&gt;="&amp;CONCATENATE($H$6,"/",B75),Proventos!$D:$D,"&lt;"&amp;CONCATENATE($I$6,"/",B75),Proventos!$J:$J,"="&amp;$H$2),
AND($H$2=Data!$A$6,$K$2=Data!$A$2),SUMIFS(Proventos!$H:$H,Proventos!$D:$D,"&gt;="&amp;CONCATENATE($H$6,"/",B75),Proventos!$D:$D,"&lt;"&amp;CONCATENATE($I$6,"/",B75),Proventos!$J:$J,"="&amp;$H$2),
AND($H$2=Data!$A$7,$K$2=Data!$A$2),SUMIFS(Proventos!$H:$H,Proventos!$D:$D,"&gt;="&amp;CONCATENATE($H$6,"/",B75),Proventos!$D:$D,"&lt;"&amp;CONCATENATE($I$6,"/",B75),Proventos!$J:$J,"="&amp;$H$2),
AND($H$2=Data!$A$8,$K$2=Data!$A$2),SUMIFS(Proventos!$H:$H,Proventos!$D:$D,"&gt;="&amp;CONCATENATE($H$6,"/",B75),Proventos!$D:$D,"&lt;"&amp;CONCATENATE($I$6,"/",B75),Proventos!$J:$J,"="&amp;$H$2),
AND($H$2=Data!$A$9,$K$2=Data!$A$2),SUMIFS(Proventos!$H:$H,Proventos!$D:$D,"&gt;="&amp;CONCATENATE($H$6,"/",B75),Proventos!$D:$D,"&lt;"&amp;CONCATENATE($I$6,"/",B75),Proventos!$J:$J,"="&amp;$H$2),
AND($H$2=Data!$A$10,$K$2=Data!$A$2),SUMIFS(Proventos!$H:$H,Proventos!$D:$D,"&gt;="&amp;CONCATENATE($H$6,"/",B75),Proventos!$D:$D,"&lt;"&amp;CONCATENATE($I$6,"/",B75),Proventos!$J:$J,"="&amp;$H$2),
AND($H$2=Data!$A$11,$K$2=Data!$A$2),SUMIFS(Proventos!$H:$H,Proventos!$D:$D,"&gt;="&amp;CONCATENATE($H$6,"/",B75),Proventos!$D:$D,"&lt;"&amp;CONCATENATE($I$6,"/",B75),Proventos!$J:$J,"="&amp;$H$2),
$K$2=Data!$A$2,SUMIFS(Proventos!$H:$H,Proventos!$D:$D,"&gt;="&amp;CONCATENATE($H$6,"/",B75),Proventos!$D:$D,"&lt;"&amp;CONCATENATE($I$6,"/",B75)),
$K$2&lt;&gt;Data!$A$2,SUMIFS(Proventos!$H:$H,Proventos!$D:$D,"&gt;="&amp;CONCATENATE($H$6,"/",B75),Proventos!$D:$D,"&lt;"&amp;CONCATENATE($I$6,"/",B75),Proventos!$A:$A,"="&amp;$K$2))</f>
        <v>0</v>
      </c>
      <c r="I75" s="245">
        <f>IFS(
AND($H$2=Data!$A$3,$K$2=Data!$A$2),SUMIFS(Proventos!$H:$H,Proventos!$D:$D,"&gt;="&amp;CONCATENATE($I$6,"/",B75),Proventos!$D:$D,"&lt;"&amp;CONCATENATE($J$6,"/",B75),Proventos!$J:$J,"="&amp;$H$2),
AND($H$2=Data!$A$4,$K$2=Data!$A$2),SUMIFS(Proventos!$H:$H,Proventos!$D:$D,"&gt;="&amp;CONCATENATE($I$6,"/",B75),Proventos!$D:$D,"&lt;"&amp;CONCATENATE($J$6,"/",B75),Proventos!$J:$J,"="&amp;$H$2),
AND($H$2=Data!$A$5,$K$2=Data!$A$2),SUMIFS(Proventos!$H:$H,Proventos!$D:$D,"&gt;="&amp;CONCATENATE($I$6,"/",B75),Proventos!$D:$D,"&lt;"&amp;CONCATENATE($J$6,"/",B75),Proventos!$J:$J,"="&amp;$H$2),
AND($H$2=Data!$A$6,$K$2=Data!$A$2),SUMIFS(Proventos!$H:$H,Proventos!$D:$D,"&gt;="&amp;CONCATENATE($I$6,"/",B75),Proventos!$D:$D,"&lt;"&amp;CONCATENATE($J$6,"/",B75),Proventos!$J:$J,"="&amp;$H$2),
AND($H$2=Data!$A$7,$K$2=Data!$A$2),SUMIFS(Proventos!$H:$H,Proventos!$D:$D,"&gt;="&amp;CONCATENATE($I$6,"/",B75),Proventos!$D:$D,"&lt;"&amp;CONCATENATE($J$6,"/",B75),Proventos!$J:$J,"="&amp;$H$2),
AND($H$2=Data!$A$8,$K$2=Data!$A$2),SUMIFS(Proventos!$H:$H,Proventos!$D:$D,"&gt;="&amp;CONCATENATE($I$6,"/",B75),Proventos!$D:$D,"&lt;"&amp;CONCATENATE($J$6,"/",B75),Proventos!$J:$J,"="&amp;$H$2),
AND($H$2=Data!$A$9,$K$2=Data!$A$2),SUMIFS(Proventos!$H:$H,Proventos!$D:$D,"&gt;="&amp;CONCATENATE($I$6,"/",B75),Proventos!$D:$D,"&lt;"&amp;CONCATENATE($J$6,"/",B75),Proventos!$J:$J,"="&amp;$H$2),
AND($H$2=Data!$A$10,$K$2=Data!$A$2),SUMIFS(Proventos!$H:$H,Proventos!$D:$D,"&gt;="&amp;CONCATENATE($I$6,"/",B75),Proventos!$D:$D,"&lt;"&amp;CONCATENATE($J$6,"/",B75),Proventos!$J:$J,"="&amp;$H$2),
AND($H$2=Data!$A$11,$K$2=Data!$A$2),SUMIFS(Proventos!$H:$H,Proventos!$D:$D,"&gt;="&amp;CONCATENATE($I$6,"/",B75),Proventos!$D:$D,"&lt;"&amp;CONCATENATE($J$6,"/",B75),Proventos!$J:$J,"="&amp;$H$2),
$K$2=Data!$A$2,SUMIFS(Proventos!$H:$H,Proventos!$D:$D,"&gt;="&amp;CONCATENATE($I$6,"/",B75),Proventos!$D:$D,"&lt;"&amp;CONCATENATE($J$6,"/",B75)),
$K$2&lt;&gt;Data!$A$2,SUMIFS(Proventos!$H:$H,Proventos!$D:$D,"&gt;="&amp;CONCATENATE($I$6,"/",B75),Proventos!$D:$D,"&lt;"&amp;CONCATENATE($J$6,"/",B75),Proventos!$A:$A,"="&amp;$K$2))</f>
        <v>0</v>
      </c>
      <c r="J75" s="245">
        <f>IFS(
AND($H$2=Data!$A$3,$K$2=Data!$A$2),SUMIFS(Proventos!$H:$H,Proventos!$D:$D,"&gt;="&amp;CONCATENATE($J$6,"/",B75),Proventos!$D:$D,"&lt;"&amp;CONCATENATE($K$6,"/",B75),Proventos!$J:$J,"="&amp;$H$2),
AND($H$2=Data!$A$4,$K$2=Data!$A$2),SUMIFS(Proventos!$H:$H,Proventos!$D:$D,"&gt;="&amp;CONCATENATE($J$6,"/",B75),Proventos!$D:$D,"&lt;"&amp;CONCATENATE($K$6,"/",B75),Proventos!$J:$J,"="&amp;$H$2),
AND($H$2=Data!$A$5,$K$2=Data!$A$2),SUMIFS(Proventos!$H:$H,Proventos!$D:$D,"&gt;="&amp;CONCATENATE($J$6,"/",B75),Proventos!$D:$D,"&lt;"&amp;CONCATENATE($K$6,"/",B75),Proventos!$J:$J,"="&amp;$H$2),
AND($H$2=Data!$A$6,$K$2=Data!$A$2),SUMIFS(Proventos!$H:$H,Proventos!$D:$D,"&gt;="&amp;CONCATENATE($J$6,"/",B75),Proventos!$D:$D,"&lt;"&amp;CONCATENATE($K$6,"/",B75),Proventos!$J:$J,"="&amp;$H$2),
AND($H$2=Data!$A$7,$K$2=Data!$A$2),SUMIFS(Proventos!$H:$H,Proventos!$D:$D,"&gt;="&amp;CONCATENATE($J$6,"/",B75),Proventos!$D:$D,"&lt;"&amp;CONCATENATE($K$6,"/",B75),Proventos!$J:$J,"="&amp;$H$2),
AND($H$2=Data!$A$8,$K$2=Data!$A$2),SUMIFS(Proventos!$H:$H,Proventos!$D:$D,"&gt;="&amp;CONCATENATE($J$6,"/",B75),Proventos!$D:$D,"&lt;"&amp;CONCATENATE($K$6,"/",B75),Proventos!$J:$J,"="&amp;$H$2),
AND($H$2=Data!$A$9,$K$2=Data!$A$2),SUMIFS(Proventos!$H:$H,Proventos!$D:$D,"&gt;="&amp;CONCATENATE($J$6,"/",B75),Proventos!$D:$D,"&lt;"&amp;CONCATENATE($K$6,"/",B75),Proventos!$J:$J,"="&amp;$H$2),
AND($H$2=Data!$A$10,$K$2=Data!$A$2),SUMIFS(Proventos!$H:$H,Proventos!$D:$D,"&gt;="&amp;CONCATENATE($J$6,"/",B75),Proventos!$D:$D,"&lt;"&amp;CONCATENATE($K$6,"/",B75),Proventos!$J:$J,"="&amp;$H$2),
AND($H$2=Data!$A$11,$K$2=Data!$A$2),SUMIFS(Proventos!$H:$H,Proventos!$D:$D,"&gt;="&amp;CONCATENATE($J$6,"/",B75),Proventos!$D:$D,"&lt;"&amp;CONCATENATE($K$6,"/",B75),Proventos!$J:$J,"="&amp;$H$2),
$K$2=Data!$A$2,SUMIFS(Proventos!$H:$H,Proventos!$D:$D,"&gt;="&amp;CONCATENATE($J$6,"/",B75),Proventos!$D:$D,"&lt;"&amp;CONCATENATE($K$6,"/",B75)),
$K$2&lt;&gt;Data!$A$2,SUMIFS(Proventos!$H:$H,Proventos!$D:$D,"&gt;="&amp;CONCATENATE($J$6,"/",B75),Proventos!$D:$D,"&lt;"&amp;CONCATENATE($K$6,"/",B75),Proventos!$A:$A,"="&amp;$K$2))</f>
        <v>0</v>
      </c>
      <c r="K75" s="245">
        <f>IFS(
AND($H$2=Data!$A$3,$K$2=Data!$A$2),SUMIFS(Proventos!$H:$H,Proventos!$D:$D,"&gt;="&amp;CONCATENATE($K$6,"/",B75),Proventos!$D:$D,"&lt;"&amp;CONCATENATE($L$6,"/",B75),Proventos!$J:$J,"="&amp;$H$2),
AND($H$2=Data!$A$4,$K$2=Data!$A$2),SUMIFS(Proventos!$H:$H,Proventos!$D:$D,"&gt;="&amp;CONCATENATE($K$6,"/",B75),Proventos!$D:$D,"&lt;"&amp;CONCATENATE($L$6,"/",B75),Proventos!$J:$J,"="&amp;$H$2),
AND($H$2=Data!$A$5,$K$2=Data!$A$2),SUMIFS(Proventos!$H:$H,Proventos!$D:$D,"&gt;="&amp;CONCATENATE($K$6,"/",B75),Proventos!$D:$D,"&lt;"&amp;CONCATENATE($L$6,"/",B75),Proventos!$J:$J,"="&amp;$H$2),
AND($H$2=Data!$A$6,$K$2=Data!$A$2),SUMIFS(Proventos!$H:$H,Proventos!$D:$D,"&gt;="&amp;CONCATENATE($K$6,"/",B75),Proventos!$D:$D,"&lt;"&amp;CONCATENATE($L$6,"/",B75),Proventos!$J:$J,"="&amp;$H$2),
AND($H$2=Data!$A$7,$K$2=Data!$A$2),SUMIFS(Proventos!$H:$H,Proventos!$D:$D,"&gt;="&amp;CONCATENATE($K$6,"/",B75),Proventos!$D:$D,"&lt;"&amp;CONCATENATE($L$6,"/",B75),Proventos!$J:$J,"="&amp;$H$2),
AND($H$2=Data!$A$8,$K$2=Data!$A$2),SUMIFS(Proventos!$H:$H,Proventos!$D:$D,"&gt;="&amp;CONCATENATE($K$6,"/",B75),Proventos!$D:$D,"&lt;"&amp;CONCATENATE($L$6,"/",B75),Proventos!$J:$J,"="&amp;$H$2),
AND($H$2=Data!$A$9,$K$2=Data!$A$2),SUMIFS(Proventos!$H:$H,Proventos!$D:$D,"&gt;="&amp;CONCATENATE($K$6,"/",B75),Proventos!$D:$D,"&lt;"&amp;CONCATENATE($L$6,"/",B75),Proventos!$J:$J,"="&amp;$H$2),
AND($H$2=Data!$A$10,$K$2=Data!$A$2),SUMIFS(Proventos!$H:$H,Proventos!$D:$D,"&gt;="&amp;CONCATENATE($K$6,"/",B75),Proventos!$D:$D,"&lt;"&amp;CONCATENATE($L$6,"/",B75),Proventos!$J:$J,"="&amp;$H$2),
AND($H$2=Data!$A$11,$K$2=Data!$A$2),SUMIFS(Proventos!$H:$H,Proventos!$D:$D,"&gt;="&amp;CONCATENATE($K$6,"/",B75),Proventos!$D:$D,"&lt;"&amp;CONCATENATE($L$6,"/",B75),Proventos!$J:$J,"="&amp;$H$2),
$K$2=Data!$A$2,SUMIFS(Proventos!$H:$H,Proventos!$D:$D,"&gt;="&amp;CONCATENATE($K$6,"/",B75),Proventos!$D:$D,"&lt;"&amp;CONCATENATE($L$6,"/",B75)),
$K$2&lt;&gt;Data!$A$2,SUMIFS(Proventos!$H:$H,Proventos!$D:$D,"&gt;="&amp;CONCATENATE($K$6,"/",B75),Proventos!$D:$D,"&lt;"&amp;CONCATENATE($L$6,"/",B75),Proventos!$A:$A,"="&amp;$K$2))</f>
        <v>0</v>
      </c>
      <c r="L75" s="245">
        <f>IFS(
AND($H$2=Data!$A$3,$K$2=Data!$A$2),SUMIFS(Proventos!$H:$H,Proventos!$D:$D,"&gt;="&amp;CONCATENATE($L$6,"/",B75),Proventos!$D:$D,"&lt;"&amp;CONCATENATE($M$6,"/",B75),Proventos!$J:$J,"="&amp;$H$2),
AND($H$2=Data!$A$4,$K$2=Data!$A$2),SUMIFS(Proventos!$H:$H,Proventos!$D:$D,"&gt;="&amp;CONCATENATE($L$6,"/",B75),Proventos!$D:$D,"&lt;"&amp;CONCATENATE($M$6,"/",B75),Proventos!$J:$J,"="&amp;$H$2),
AND($H$2=Data!$A$5,$K$2=Data!$A$2),SUMIFS(Proventos!$H:$H,Proventos!$D:$D,"&gt;="&amp;CONCATENATE($L$6,"/",B75),Proventos!$D:$D,"&lt;"&amp;CONCATENATE($M$6,"/",B75),Proventos!$J:$J,"="&amp;$H$2),
AND($H$2=Data!$A$6,$K$2=Data!$A$2),SUMIFS(Proventos!$H:$H,Proventos!$D:$D,"&gt;="&amp;CONCATENATE($L$6,"/",B75),Proventos!$D:$D,"&lt;"&amp;CONCATENATE($M$6,"/",B75),Proventos!$J:$J,"="&amp;$H$2),
AND($H$2=Data!$A$7,$K$2=Data!$A$2),SUMIFS(Proventos!$H:$H,Proventos!$D:$D,"&gt;="&amp;CONCATENATE($L$6,"/",B75),Proventos!$D:$D,"&lt;"&amp;CONCATENATE($M$6,"/",B75),Proventos!$J:$J,"="&amp;$H$2),
AND($H$2=Data!$A$8,$K$2=Data!$A$2),SUMIFS(Proventos!$H:$H,Proventos!$D:$D,"&gt;="&amp;CONCATENATE($L$6,"/",B75),Proventos!$D:$D,"&lt;"&amp;CONCATENATE($M$6,"/",B75),Proventos!$J:$J,"="&amp;$H$2),
AND($H$2=Data!$A$9,$K$2=Data!$A$2),SUMIFS(Proventos!$H:$H,Proventos!$D:$D,"&gt;="&amp;CONCATENATE($L$6,"/",B75),Proventos!$D:$D,"&lt;"&amp;CONCATENATE($M$6,"/",B75),Proventos!$J:$J,"="&amp;$H$2),
AND($H$2=Data!$A$10,$K$2=Data!$A$2),SUMIFS(Proventos!$H:$H,Proventos!$D:$D,"&gt;="&amp;CONCATENATE($L$6,"/",B75),Proventos!$D:$D,"&lt;"&amp;CONCATENATE($M$6,"/",B75),Proventos!$J:$J,"="&amp;$H$2),
AND($H$2=Data!$A$11,$K$2=Data!$A$2),SUMIFS(Proventos!$H:$H,Proventos!$D:$D,"&gt;="&amp;CONCATENATE($L$6,"/",B75),Proventos!$D:$D,"&lt;"&amp;CONCATENATE($M$6,"/",B75),Proventos!$J:$J,"="&amp;$H$2),
$K$2=Data!$A$2,SUMIFS(Proventos!$H:$H,Proventos!$D:$D,"&gt;="&amp;CONCATENATE($L$6,"/",B75),Proventos!$D:$D,"&lt;"&amp;CONCATENATE($M$6,"/",B75)),
$K$2&lt;&gt;Data!$A$2,SUMIFS(Proventos!$H:$H,Proventos!$D:$D,"&gt;="&amp;CONCATENATE($L$6,"/",B75),Proventos!$D:$D,"&lt;"&amp;CONCATENATE($M$6,"/",B75),Proventos!$A:$A,"="&amp;$K$2))</f>
        <v>0</v>
      </c>
      <c r="M75" s="245">
        <f>IFS(
AND($H$2=Data!$A$3,$K$2=Data!$A$2),SUMIFS(Proventos!$H:$H,Proventos!$D:$D,"&gt;="&amp;CONCATENATE($M$6,"/",B75),Proventos!$D:$D,"&lt;"&amp;CONCATENATE($N$6,"/",B75),Proventos!$J:$J,"="&amp;$H$2),
AND($H$2=Data!$A$4,$K$2=Data!$A$2),SUMIFS(Proventos!$H:$H,Proventos!$D:$D,"&gt;="&amp;CONCATENATE($M$6,"/",B75),Proventos!$D:$D,"&lt;"&amp;CONCATENATE($N$6,"/",B75),Proventos!$J:$J,"="&amp;$H$2),
AND($H$2=Data!$A$5,$K$2=Data!$A$2),SUMIFS(Proventos!$H:$H,Proventos!$D:$D,"&gt;="&amp;CONCATENATE($M$6,"/",B75),Proventos!$D:$D,"&lt;"&amp;CONCATENATE($N$6,"/",B75),Proventos!$J:$J,"="&amp;$H$2),
AND($H$2=Data!$A$6,$K$2=Data!$A$2),SUMIFS(Proventos!$H:$H,Proventos!$D:$D,"&gt;="&amp;CONCATENATE($M$6,"/",B75),Proventos!$D:$D,"&lt;"&amp;CONCATENATE($N$6,"/",B75),Proventos!$J:$J,"="&amp;$H$2),
AND($H$2=Data!$A$7,$K$2=Data!$A$2),SUMIFS(Proventos!$H:$H,Proventos!$D:$D,"&gt;="&amp;CONCATENATE($M$6,"/",B75),Proventos!$D:$D,"&lt;"&amp;CONCATENATE($N$6,"/",B75),Proventos!$J:$J,"="&amp;$H$2),
AND($H$2=Data!$A$8,$K$2=Data!$A$2),SUMIFS(Proventos!$H:$H,Proventos!$D:$D,"&gt;="&amp;CONCATENATE($M$6,"/",B75),Proventos!$D:$D,"&lt;"&amp;CONCATENATE($N$6,"/",B75),Proventos!$J:$J,"="&amp;$H$2),
AND($H$2=Data!$A$9,$K$2=Data!$A$2),SUMIFS(Proventos!$H:$H,Proventos!$D:$D,"&gt;="&amp;CONCATENATE($M$6,"/",B75),Proventos!$D:$D,"&lt;"&amp;CONCATENATE($N$6,"/",B75),Proventos!$J:$J,"="&amp;$H$2),
AND($H$2=Data!$A$10,$K$2=Data!$A$2),SUMIFS(Proventos!$H:$H,Proventos!$D:$D,"&gt;="&amp;CONCATENATE($M$6,"/",B75),Proventos!$D:$D,"&lt;"&amp;CONCATENATE($N$6,"/",B75),Proventos!$J:$J,"="&amp;$H$2),
AND($H$2=Data!$A$11,$K$2=Data!$A$2),SUMIFS(Proventos!$H:$H,Proventos!$D:$D,"&gt;="&amp;CONCATENATE($M$6,"/",B75),Proventos!$D:$D,"&lt;"&amp;CONCATENATE($N$6,"/",B75),Proventos!$J:$J,"="&amp;$H$2),
$K$2=Data!$A$2,SUMIFS(Proventos!$H:$H,Proventos!$D:$D,"&gt;="&amp;CONCATENATE($M$6,"/",B75),Proventos!$D:$D,"&lt;"&amp;CONCATENATE($N$6,"/",B75)),
$K$2&lt;&gt;Data!$A$2,SUMIFS(Proventos!$H:$H,Proventos!$D:$D,"&gt;="&amp;CONCATENATE($M$6,"/",B75),Proventos!$D:$D,"&lt;"&amp;CONCATENATE($N$6,"/",B75),Proventos!$A:$A,"="&amp;$K$2))</f>
        <v>0</v>
      </c>
      <c r="N75" s="245">
        <f>IFS(
AND($H$2=Data!$A$3,$K$2=Data!$A$2),SUMIFS(Proventos!$H:$H,Proventos!$D:$D,"&gt;="&amp;CONCATENATE($N$6,"/",B75),Proventos!$D:$D,"&lt;"&amp;CONCATENATE($C$6,"/",B76),Proventos!$J:$J,"="&amp;$H$2),
AND($H$2=Data!$A$4,$K$2=Data!$A$2),SUMIFS(Proventos!$H:$H,Proventos!$D:$D,"&gt;="&amp;CONCATENATE($N$6,"/",B75),Proventos!$D:$D,"&lt;"&amp;CONCATENATE($C$6,"/",B76),Proventos!$J:$J,"="&amp;$H$2),
AND($H$2=Data!$A$5,$K$2=Data!$A$2),SUMIFS(Proventos!$H:$H,Proventos!$D:$D,"&gt;="&amp;CONCATENATE($N$6,"/",B75),Proventos!$D:$D,"&lt;"&amp;CONCATENATE($C$6,"/",B76),Proventos!$J:$J,"="&amp;$H$2),
AND($H$2=Data!$A$6,$K$2=Data!$A$2),SUMIFS(Proventos!$H:$H,Proventos!$D:$D,"&gt;="&amp;CONCATENATE($N$6,"/",B75),Proventos!$D:$D,"&lt;"&amp;CONCATENATE($C$6,"/",B76),Proventos!$J:$J,"="&amp;$H$2),
AND($H$2=Data!$A$7,$K$2=Data!$A$2),SUMIFS(Proventos!$H:$H,Proventos!$D:$D,"&gt;="&amp;CONCATENATE($N$6,"/",B75),Proventos!$D:$D,"&lt;"&amp;CONCATENATE($C$6,"/",B76),Proventos!$J:$J,"="&amp;$H$2),
AND($H$2=Data!$A$8,$K$2=Data!$A$2),SUMIFS(Proventos!$H:$H,Proventos!$D:$D,"&gt;="&amp;CONCATENATE($N$6,"/",B75),Proventos!$D:$D,"&lt;"&amp;CONCATENATE($C$6,"/",B76),Proventos!$J:$J,"="&amp;$H$2),
AND($H$2=Data!$A$9,$K$2=Data!$A$2),SUMIFS(Proventos!$H:$H,Proventos!$D:$D,"&gt;="&amp;CONCATENATE($N$6,"/",B75),Proventos!$D:$D,"&lt;"&amp;CONCATENATE($C$6,"/",B76),Proventos!$J:$J,"="&amp;$H$2),
AND($H$2=Data!$A$10,$K$2=Data!$A$2),SUMIFS(Proventos!$H:$H,Proventos!$D:$D,"&gt;="&amp;CONCATENATE($N$6,"/",B75),Proventos!$D:$D,"&lt;"&amp;CONCATENATE($C$6,"/",B76),Proventos!$J:$J,"="&amp;$H$2),
AND($H$2=Data!$A$11,$K$2=Data!$A$2),SUMIFS(Proventos!$H:$H,Proventos!$D:$D,"&gt;="&amp;CONCATENATE($N$6,"/",B75),Proventos!$D:$D,"&lt;"&amp;CONCATENATE($C$6,"/",B76),Proventos!$J:$J,"="&amp;$H$2),
$K$2=Data!$A$2,SUMIFS(Proventos!$H:$H,Proventos!$D:$D,"&gt;="&amp;CONCATENATE($N$6,"/",B75),Proventos!$D:$D,"&lt;"&amp;CONCATENATE($C$6,"/",B76)),
$K$2&lt;&gt;Data!$A$2,SUMIFS(Proventos!$H:$H,Proventos!$D:$D,"&gt;="&amp;CONCATENATE($N$6,"/",B75),Proventos!$D:$D,"&lt;"&amp;CONCATENATE($C$6,"/",B76),Proventos!$A:$A,"="&amp;$K$2))</f>
        <v>0</v>
      </c>
      <c r="O75" s="245"/>
      <c r="P75" s="245">
        <f t="shared" si="1"/>
        <v>0</v>
      </c>
      <c r="Q75" s="245">
        <f t="shared" si="2"/>
        <v>0</v>
      </c>
    </row>
    <row r="76" ht="32.25" customHeight="1">
      <c r="A76" s="230"/>
      <c r="B76" s="244"/>
      <c r="C76" s="245">
        <f>IFS(
AND($H$2=Data!$A$3,$K$2=Data!$A$2),SUMIFS(Proventos!$H:$H,Proventos!$D:$D,"&gt;="&amp;CONCATENATE($C$6,"/",B76),Proventos!$D:$D,"&lt;"&amp;CONCATENATE($D$6,"/",B76),Proventos!$J:$J,"="&amp;$H$2),
AND($H$2=Data!$A$4,$K$2=Data!$A$2),SUMIFS(Proventos!$H:$H,Proventos!$D:$D,"&gt;="&amp;CONCATENATE($C$6,"/",B76),Proventos!$D:$D,"&lt;"&amp;CONCATENATE($D$6,"/",B76),Proventos!$J:$J,"="&amp;$H$2),
AND($H$2=Data!$A$5,$K$2=Data!$A$2),SUMIFS(Proventos!$H:$H,Proventos!$D:$D,"&gt;="&amp;CONCATENATE($C$6,"/",B76),Proventos!$D:$D,"&lt;"&amp;CONCATENATE($D$6,"/",B76),Proventos!$J:$J,"="&amp;$H$2),
AND($H$2=Data!$A$6,$K$2=Data!$A$2),SUMIFS(Proventos!$H:$H,Proventos!$D:$D,"&gt;="&amp;CONCATENATE($C$6,"/",B76),Proventos!$D:$D,"&lt;"&amp;CONCATENATE($D$6,"/",B76),Proventos!$J:$J,"="&amp;$H$2),
AND($H$2=Data!$A$7,$K$2=Data!$A$2),SUMIFS(Proventos!$H:$H,Proventos!$D:$D,"&gt;="&amp;CONCATENATE($C$6,"/",B76),Proventos!$D:$D,"&lt;"&amp;CONCATENATE($D$6,"/",B76),Proventos!$J:$J,"="&amp;$H$2),
AND($H$2=Data!$A$8,$K$2=Data!$A$2),SUMIFS(Proventos!$H:$H,Proventos!$D:$D,"&gt;="&amp;CONCATENATE($C$6,"/",B76),Proventos!$D:$D,"&lt;"&amp;CONCATENATE($D$6,"/",B76),Proventos!$J:$J,"="&amp;$H$2),
AND($H$2=Data!$A$9,$K$2=Data!$A$2),SUMIFS(Proventos!$H:$H,Proventos!$D:$D,"&gt;="&amp;CONCATENATE($C$6,"/",B76),Proventos!$D:$D,"&lt;"&amp;CONCATENATE($D$6,"/",B76),Proventos!$J:$J,"="&amp;$H$2),
AND($H$2=Data!$A$10,$K$2=Data!$A$2),SUMIFS(Proventos!$H:$H,Proventos!$D:$D,"&gt;="&amp;CONCATENATE($C$6,"/",B76),Proventos!$D:$D,"&lt;"&amp;CONCATENATE($D$6,"/",B76),Proventos!$J:$J,"="&amp;$H$2),
AND($H$2=Data!$A$11,$K$2=Data!$A$2),SUMIFS(Proventos!$H:$H,Proventos!$D:$D,"&gt;="&amp;CONCATENATE($C$6,"/",B76),Proventos!$D:$D,"&lt;"&amp;CONCATENATE($D$6,"/",B76),Proventos!$J:$J,"="&amp;$H$2),
$K$2=Data!$A$2,SUMIFS(Proventos!$H:$H,Proventos!$D:$D,"&gt;="&amp;CONCATENATE($C$6,"/",B76),Proventos!$D:$D,"&lt;"&amp;CONCATENATE($D$6,"/",B76)),
$K$2&lt;&gt;Data!$A$2,SUMIFS(Proventos!$H:$H,Proventos!$D:$D,"&gt;="&amp;CONCATENATE($C$6,"/",B76),Proventos!$D:$D,"&lt;"&amp;CONCATENATE($D$6,"/",B76),Proventos!$A:$A,"="&amp;$K$2))</f>
        <v>0</v>
      </c>
      <c r="D76" s="245">
        <f>IFS(
AND($H$2=Data!$A$3,$K$2=Data!$A$2),SUMIFS(Proventos!$H:$H,Proventos!$D:$D,"&gt;="&amp;CONCATENATE($D$6,"/",B76),Proventos!$D:$D,"&lt;"&amp;CONCATENATE($E$6,"/",B76),Proventos!$J:$J,"="&amp;$H$2),
AND($H$2=Data!$A$4,$K$2=Data!$A$2),SUMIFS(Proventos!$H:$H,Proventos!$D:$D,"&gt;="&amp;CONCATENATE($D$6,"/",B76),Proventos!$D:$D,"&lt;"&amp;CONCATENATE($E$6,"/",B76),Proventos!$J:$J,"="&amp;$H$2),
AND($H$2=Data!$A$5,$K$2=Data!$A$2),SUMIFS(Proventos!$H:$H,Proventos!$D:$D,"&gt;="&amp;CONCATENATE($D$6,"/",B76),Proventos!$D:$D,"&lt;"&amp;CONCATENATE($E$6,"/",B76),Proventos!$J:$J,"="&amp;$H$2),
AND($H$2=Data!$A$6,$K$2=Data!$A$2),SUMIFS(Proventos!$H:$H,Proventos!$D:$D,"&gt;="&amp;CONCATENATE($D$6,"/",B76),Proventos!$D:$D,"&lt;"&amp;CONCATENATE($E$6,"/",B76),Proventos!$J:$J,"="&amp;$H$2),
AND($H$2=Data!$A$7,$K$2=Data!$A$2),SUMIFS(Proventos!$H:$H,Proventos!$D:$D,"&gt;="&amp;CONCATENATE($D$6,"/",B76),Proventos!$D:$D,"&lt;"&amp;CONCATENATE($E$6,"/",B76),Proventos!$J:$J,"="&amp;$H$2),
AND($H$2=Data!$A$8,$K$2=Data!$A$2),SUMIFS(Proventos!$H:$H,Proventos!$D:$D,"&gt;="&amp;CONCATENATE($D$6,"/",B76),Proventos!$D:$D,"&lt;"&amp;CONCATENATE($E$6,"/",B76),Proventos!$J:$J,"="&amp;$H$2),
AND($H$2=Data!$A$9,$K$2=Data!$A$2),SUMIFS(Proventos!$H:$H,Proventos!$D:$D,"&gt;="&amp;CONCATENATE($D$6,"/",B76),Proventos!$D:$D,"&lt;"&amp;CONCATENATE($E$6,"/",B76),Proventos!$J:$J,"="&amp;$H$2),
AND($H$2=Data!$A$10,$K$2=Data!$A$2),SUMIFS(Proventos!$H:$H,Proventos!$D:$D,"&gt;="&amp;CONCATENATE($D$6,"/",B76),Proventos!$D:$D,"&lt;"&amp;CONCATENATE($E$6,"/",B76),Proventos!$J:$J,"="&amp;$H$2),
AND($H$2=Data!$A$11,$K$2=Data!$A$2),SUMIFS(Proventos!$H:$H,Proventos!$D:$D,"&gt;="&amp;CONCATENATE($D$6,"/",B76),Proventos!$D:$D,"&lt;"&amp;CONCATENATE($E$6,"/",B76),Proventos!$J:$J,"="&amp;$H$2),
$K$2=Data!$A$2,SUMIFS(Proventos!$H:$H,Proventos!$D:$D,"&gt;="&amp;CONCATENATE($D$6,"/",B76),Proventos!$D:$D,"&lt;"&amp;CONCATENATE($E$6,"/",B76)),
$K$2&lt;&gt;Data!$A$2,SUMIFS(Proventos!$H:$H,Proventos!$D:$D,"&gt;="&amp;CONCATENATE($D$6,"/",B76),Proventos!$D:$D,"&lt;"&amp;CONCATENATE($E$6,"/",B76),Proventos!$A:$A,"="&amp;$K$2))</f>
        <v>0</v>
      </c>
      <c r="E76" s="245">
        <f>IFS(
AND($H$2=Data!$A$3,$K$2=Data!$A$2),SUMIFS(Proventos!$H:$H,Proventos!$D:$D,"&gt;="&amp;CONCATENATE($E$6,"/",B76),Proventos!$D:$D,"&lt;"&amp;CONCATENATE($F$6,"/",B76),Proventos!$J:$J,"="&amp;$H$2),
AND($H$2=Data!$A$4,$K$2=Data!$A$2),SUMIFS(Proventos!$H:$H,Proventos!$D:$D,"&gt;="&amp;CONCATENATE($E$6,"/",B76),Proventos!$D:$D,"&lt;"&amp;CONCATENATE($F$6,"/",B76),Proventos!$J:$J,"="&amp;$H$2),
AND($H$2=Data!$A$5,$K$2=Data!$A$2),SUMIFS(Proventos!$H:$H,Proventos!$D:$D,"&gt;="&amp;CONCATENATE($E$6,"/",B76),Proventos!$D:$D,"&lt;"&amp;CONCATENATE($F$6,"/",B76),Proventos!$J:$J,"="&amp;$H$2),
AND($H$2=Data!$A$6,$K$2=Data!$A$2),SUMIFS(Proventos!$H:$H,Proventos!$D:$D,"&gt;="&amp;CONCATENATE($E$6,"/",B76),Proventos!$D:$D,"&lt;"&amp;CONCATENATE($F$6,"/",B76),Proventos!$J:$J,"="&amp;$H$2),
AND($H$2=Data!$A$7,$K$2=Data!$A$2),SUMIFS(Proventos!$H:$H,Proventos!$D:$D,"&gt;="&amp;CONCATENATE($E$6,"/",B76),Proventos!$D:$D,"&lt;"&amp;CONCATENATE($F$6,"/",B76),Proventos!$J:$J,"="&amp;$H$2),
AND($H$2=Data!$A$8,$K$2=Data!$A$2),SUMIFS(Proventos!$H:$H,Proventos!$D:$D,"&gt;="&amp;CONCATENATE($E$6,"/",B76),Proventos!$D:$D,"&lt;"&amp;CONCATENATE($F$6,"/",B76),Proventos!$J:$J,"="&amp;$H$2),
AND($H$2=Data!$A$9,$K$2=Data!$A$2),SUMIFS(Proventos!$H:$H,Proventos!$D:$D,"&gt;="&amp;CONCATENATE($E$6,"/",B76),Proventos!$D:$D,"&lt;"&amp;CONCATENATE($F$6,"/",B76),Proventos!$J:$J,"="&amp;$H$2),
AND($H$2=Data!$A$10,$K$2=Data!$A$2),SUMIFS(Proventos!$H:$H,Proventos!$D:$D,"&gt;="&amp;CONCATENATE($E$6,"/",B76),Proventos!$D:$D,"&lt;"&amp;CONCATENATE($F$6,"/",B76),Proventos!$J:$J,"="&amp;$H$2),
AND($H$2=Data!$A$11,$K$2=Data!$A$2),SUMIFS(Proventos!$H:$H,Proventos!$D:$D,"&gt;="&amp;CONCATENATE($E$6,"/",B76),Proventos!$D:$D,"&lt;"&amp;CONCATENATE($F$6,"/",B76),Proventos!$J:$J,"="&amp;$H$2),
$K$2=Data!$A$2,SUMIFS(Proventos!$H:$H,Proventos!$D:$D,"&gt;="&amp;CONCATENATE($E$6,"/",B76),Proventos!$D:$D,"&lt;"&amp;CONCATENATE($F$6,"/",B76)),
$K$2&lt;&gt;Data!$A$2,SUMIFS(Proventos!$H:$H,Proventos!$D:$D,"&gt;="&amp;CONCATENATE($E$6,"/",B76),Proventos!$D:$D,"&lt;"&amp;CONCATENATE($F$6,"/",B76),Proventos!$A:$A,"="&amp;$K$2))</f>
        <v>0</v>
      </c>
      <c r="F76" s="245">
        <f>IFS(
AND($H$2=Data!$A$3,$K$2=Data!$A$2),SUMIFS(Proventos!$H:$H,Proventos!$D:$D,"&gt;="&amp;CONCATENATE($F$6,"/",B76),Proventos!$D:$D,"&lt;"&amp;CONCATENATE($G$6,"/",B76),Proventos!$J:$J,"="&amp;$H$2),
AND($H$2=Data!$A$4,$K$2=Data!$A$2),SUMIFS(Proventos!$H:$H,Proventos!$D:$D,"&gt;="&amp;CONCATENATE($F$6,"/",B76),Proventos!$D:$D,"&lt;"&amp;CONCATENATE($G$6,"/",B76),Proventos!$J:$J,"="&amp;$H$2),
AND($H$2=Data!$A$5,$K$2=Data!$A$2),SUMIFS(Proventos!$H:$H,Proventos!$D:$D,"&gt;="&amp;CONCATENATE($F$6,"/",B76),Proventos!$D:$D,"&lt;"&amp;CONCATENATE($G$6,"/",B76),Proventos!$J:$J,"="&amp;$H$2),
AND($H$2=Data!$A$6,$K$2=Data!$A$2),SUMIFS(Proventos!$H:$H,Proventos!$D:$D,"&gt;="&amp;CONCATENATE($F$6,"/",B76),Proventos!$D:$D,"&lt;"&amp;CONCATENATE($G$6,"/",B76),Proventos!$J:$J,"="&amp;$H$2),
AND($H$2=Data!$A$7,$K$2=Data!$A$2),SUMIFS(Proventos!$H:$H,Proventos!$D:$D,"&gt;="&amp;CONCATENATE($F$6,"/",B76),Proventos!$D:$D,"&lt;"&amp;CONCATENATE($G$6,"/",B76),Proventos!$J:$J,"="&amp;$H$2),
AND($H$2=Data!$A$8,$K$2=Data!$A$2),SUMIFS(Proventos!$H:$H,Proventos!$D:$D,"&gt;="&amp;CONCATENATE($F$6,"/",B76),Proventos!$D:$D,"&lt;"&amp;CONCATENATE($G$6,"/",B76),Proventos!$J:$J,"="&amp;$H$2),
AND($H$2=Data!$A$9,$K$2=Data!$A$2),SUMIFS(Proventos!$H:$H,Proventos!$D:$D,"&gt;="&amp;CONCATENATE($F$6,"/",B76),Proventos!$D:$D,"&lt;"&amp;CONCATENATE($G$6,"/",B76),Proventos!$J:$J,"="&amp;$H$2),
AND($H$2=Data!$A$10,$K$2=Data!$A$2),SUMIFS(Proventos!$H:$H,Proventos!$D:$D,"&gt;="&amp;CONCATENATE($F$6,"/",B76),Proventos!$D:$D,"&lt;"&amp;CONCATENATE($G$6,"/",B76),Proventos!$J:$J,"="&amp;$H$2),
AND($H$2=Data!$A$11,$K$2=Data!$A$2),SUMIFS(Proventos!$H:$H,Proventos!$D:$D,"&gt;="&amp;CONCATENATE($F$6,"/",B76),Proventos!$D:$D,"&lt;"&amp;CONCATENATE($G$6,"/",B76),Proventos!$J:$J,"="&amp;$H$2),
$K$2=Data!$A$2,SUMIFS(Proventos!$H:$H,Proventos!$D:$D,"&gt;="&amp;CONCATENATE($F$6,"/",B76),Proventos!$D:$D,"&lt;"&amp;CONCATENATE($G$6,"/",B76)),
$K$2&lt;&gt;Data!$A$2,SUMIFS(Proventos!$H:$H,Proventos!$D:$D,"&gt;="&amp;CONCATENATE($F$6,"/",B76),Proventos!$D:$D,"&lt;"&amp;CONCATENATE($G$6,"/",B76),Proventos!$A:$A,"="&amp;$K$2))</f>
        <v>0</v>
      </c>
      <c r="G76" s="245">
        <f>IFS(
AND($H$2=Data!$A$3,$K$2=Data!$A$2),SUMIFS(Proventos!$H:$H,Proventos!$D:$D,"&gt;="&amp;CONCATENATE($G$6,"/",B76),Proventos!$D:$D,"&lt;"&amp;CONCATENATE($H$6,"/",B76),Proventos!$J:$J,"="&amp;$H$2),
AND($H$2=Data!$A$4,$K$2=Data!$A$2),SUMIFS(Proventos!$H:$H,Proventos!$D:$D,"&gt;="&amp;CONCATENATE($G$6,"/",B76),Proventos!$D:$D,"&lt;"&amp;CONCATENATE($H$6,"/",B76),Proventos!$J:$J,"="&amp;$H$2),
AND($H$2=Data!$A$5,$K$2=Data!$A$2),SUMIFS(Proventos!$H:$H,Proventos!$D:$D,"&gt;="&amp;CONCATENATE($G$6,"/",B76),Proventos!$D:$D,"&lt;"&amp;CONCATENATE($H$6,"/",B76),Proventos!$J:$J,"="&amp;$H$2),
AND($H$2=Data!$A$6,$K$2=Data!$A$2),SUMIFS(Proventos!$H:$H,Proventos!$D:$D,"&gt;="&amp;CONCATENATE($G$6,"/",B76),Proventos!$D:$D,"&lt;"&amp;CONCATENATE($H$6,"/",B76),Proventos!$J:$J,"="&amp;$H$2),
AND($H$2=Data!$A$7,$K$2=Data!$A$2),SUMIFS(Proventos!$H:$H,Proventos!$D:$D,"&gt;="&amp;CONCATENATE($G$6,"/",B76),Proventos!$D:$D,"&lt;"&amp;CONCATENATE($H$6,"/",B76),Proventos!$J:$J,"="&amp;$H$2),
AND($H$2=Data!$A$8,$K$2=Data!$A$2),SUMIFS(Proventos!$H:$H,Proventos!$D:$D,"&gt;="&amp;CONCATENATE($G$6,"/",B76),Proventos!$D:$D,"&lt;"&amp;CONCATENATE($H$6,"/",B76),Proventos!$J:$J,"="&amp;$H$2),
AND($H$2=Data!$A$9,$K$2=Data!$A$2),SUMIFS(Proventos!$H:$H,Proventos!$D:$D,"&gt;="&amp;CONCATENATE($G$6,"/",B76),Proventos!$D:$D,"&lt;"&amp;CONCATENATE($H$6,"/",B76),Proventos!$J:$J,"="&amp;$H$2),
AND($H$2=Data!$A$10,$K$2=Data!$A$2),SUMIFS(Proventos!$H:$H,Proventos!$D:$D,"&gt;="&amp;CONCATENATE($G$6,"/",B76),Proventos!$D:$D,"&lt;"&amp;CONCATENATE($H$6,"/",B76),Proventos!$J:$J,"="&amp;$H$2),
AND($H$2=Data!$A$11,$K$2=Data!$A$2),SUMIFS(Proventos!$H:$H,Proventos!$D:$D,"&gt;="&amp;CONCATENATE($G$6,"/",B76),Proventos!$D:$D,"&lt;"&amp;CONCATENATE($H$6,"/",B76),Proventos!$J:$J,"="&amp;$H$2),
$K$2=Data!$A$2,SUMIFS(Proventos!$H:$H,Proventos!$D:$D,"&gt;="&amp;CONCATENATE($G$6,"/",B76),Proventos!$D:$D,"&lt;"&amp;CONCATENATE($H$6,"/",B76)),
$K$2&lt;&gt;Data!$A$2,SUMIFS(Proventos!$H:$H,Proventos!$D:$D,"&gt;="&amp;CONCATENATE($G$6,"/",B76),Proventos!$D:$D,"&lt;"&amp;CONCATENATE($H$6,"/",B76),Proventos!$A:$A,"="&amp;$K$2))</f>
        <v>0</v>
      </c>
      <c r="H76" s="245">
        <f>IFS(
AND($H$2=Data!$A$3,$K$2=Data!$A$2),SUMIFS(Proventos!$H:$H,Proventos!$D:$D,"&gt;="&amp;CONCATENATE($H$6,"/",B76),Proventos!$D:$D,"&lt;"&amp;CONCATENATE($I$6,"/",B76),Proventos!$J:$J,"="&amp;$H$2),
AND($H$2=Data!$A$4,$K$2=Data!$A$2),SUMIFS(Proventos!$H:$H,Proventos!$D:$D,"&gt;="&amp;CONCATENATE($H$6,"/",B76),Proventos!$D:$D,"&lt;"&amp;CONCATENATE($I$6,"/",B76),Proventos!$J:$J,"="&amp;$H$2),
AND($H$2=Data!$A$5,$K$2=Data!$A$2),SUMIFS(Proventos!$H:$H,Proventos!$D:$D,"&gt;="&amp;CONCATENATE($H$6,"/",B76),Proventos!$D:$D,"&lt;"&amp;CONCATENATE($I$6,"/",B76),Proventos!$J:$J,"="&amp;$H$2),
AND($H$2=Data!$A$6,$K$2=Data!$A$2),SUMIFS(Proventos!$H:$H,Proventos!$D:$D,"&gt;="&amp;CONCATENATE($H$6,"/",B76),Proventos!$D:$D,"&lt;"&amp;CONCATENATE($I$6,"/",B76),Proventos!$J:$J,"="&amp;$H$2),
AND($H$2=Data!$A$7,$K$2=Data!$A$2),SUMIFS(Proventos!$H:$H,Proventos!$D:$D,"&gt;="&amp;CONCATENATE($H$6,"/",B76),Proventos!$D:$D,"&lt;"&amp;CONCATENATE($I$6,"/",B76),Proventos!$J:$J,"="&amp;$H$2),
AND($H$2=Data!$A$8,$K$2=Data!$A$2),SUMIFS(Proventos!$H:$H,Proventos!$D:$D,"&gt;="&amp;CONCATENATE($H$6,"/",B76),Proventos!$D:$D,"&lt;"&amp;CONCATENATE($I$6,"/",B76),Proventos!$J:$J,"="&amp;$H$2),
AND($H$2=Data!$A$9,$K$2=Data!$A$2),SUMIFS(Proventos!$H:$H,Proventos!$D:$D,"&gt;="&amp;CONCATENATE($H$6,"/",B76),Proventos!$D:$D,"&lt;"&amp;CONCATENATE($I$6,"/",B76),Proventos!$J:$J,"="&amp;$H$2),
AND($H$2=Data!$A$10,$K$2=Data!$A$2),SUMIFS(Proventos!$H:$H,Proventos!$D:$D,"&gt;="&amp;CONCATENATE($H$6,"/",B76),Proventos!$D:$D,"&lt;"&amp;CONCATENATE($I$6,"/",B76),Proventos!$J:$J,"="&amp;$H$2),
AND($H$2=Data!$A$11,$K$2=Data!$A$2),SUMIFS(Proventos!$H:$H,Proventos!$D:$D,"&gt;="&amp;CONCATENATE($H$6,"/",B76),Proventos!$D:$D,"&lt;"&amp;CONCATENATE($I$6,"/",B76),Proventos!$J:$J,"="&amp;$H$2),
$K$2=Data!$A$2,SUMIFS(Proventos!$H:$H,Proventos!$D:$D,"&gt;="&amp;CONCATENATE($H$6,"/",B76),Proventos!$D:$D,"&lt;"&amp;CONCATENATE($I$6,"/",B76)),
$K$2&lt;&gt;Data!$A$2,SUMIFS(Proventos!$H:$H,Proventos!$D:$D,"&gt;="&amp;CONCATENATE($H$6,"/",B76),Proventos!$D:$D,"&lt;"&amp;CONCATENATE($I$6,"/",B76),Proventos!$A:$A,"="&amp;$K$2))</f>
        <v>0</v>
      </c>
      <c r="I76" s="245">
        <f>IFS(
AND($H$2=Data!$A$3,$K$2=Data!$A$2),SUMIFS(Proventos!$H:$H,Proventos!$D:$D,"&gt;="&amp;CONCATENATE($I$6,"/",B76),Proventos!$D:$D,"&lt;"&amp;CONCATENATE($J$6,"/",B76),Proventos!$J:$J,"="&amp;$H$2),
AND($H$2=Data!$A$4,$K$2=Data!$A$2),SUMIFS(Proventos!$H:$H,Proventos!$D:$D,"&gt;="&amp;CONCATENATE($I$6,"/",B76),Proventos!$D:$D,"&lt;"&amp;CONCATENATE($J$6,"/",B76),Proventos!$J:$J,"="&amp;$H$2),
AND($H$2=Data!$A$5,$K$2=Data!$A$2),SUMIFS(Proventos!$H:$H,Proventos!$D:$D,"&gt;="&amp;CONCATENATE($I$6,"/",B76),Proventos!$D:$D,"&lt;"&amp;CONCATENATE($J$6,"/",B76),Proventos!$J:$J,"="&amp;$H$2),
AND($H$2=Data!$A$6,$K$2=Data!$A$2),SUMIFS(Proventos!$H:$H,Proventos!$D:$D,"&gt;="&amp;CONCATENATE($I$6,"/",B76),Proventos!$D:$D,"&lt;"&amp;CONCATENATE($J$6,"/",B76),Proventos!$J:$J,"="&amp;$H$2),
AND($H$2=Data!$A$7,$K$2=Data!$A$2),SUMIFS(Proventos!$H:$H,Proventos!$D:$D,"&gt;="&amp;CONCATENATE($I$6,"/",B76),Proventos!$D:$D,"&lt;"&amp;CONCATENATE($J$6,"/",B76),Proventos!$J:$J,"="&amp;$H$2),
AND($H$2=Data!$A$8,$K$2=Data!$A$2),SUMIFS(Proventos!$H:$H,Proventos!$D:$D,"&gt;="&amp;CONCATENATE($I$6,"/",B76),Proventos!$D:$D,"&lt;"&amp;CONCATENATE($J$6,"/",B76),Proventos!$J:$J,"="&amp;$H$2),
AND($H$2=Data!$A$9,$K$2=Data!$A$2),SUMIFS(Proventos!$H:$H,Proventos!$D:$D,"&gt;="&amp;CONCATENATE($I$6,"/",B76),Proventos!$D:$D,"&lt;"&amp;CONCATENATE($J$6,"/",B76),Proventos!$J:$J,"="&amp;$H$2),
AND($H$2=Data!$A$10,$K$2=Data!$A$2),SUMIFS(Proventos!$H:$H,Proventos!$D:$D,"&gt;="&amp;CONCATENATE($I$6,"/",B76),Proventos!$D:$D,"&lt;"&amp;CONCATENATE($J$6,"/",B76),Proventos!$J:$J,"="&amp;$H$2),
AND($H$2=Data!$A$11,$K$2=Data!$A$2),SUMIFS(Proventos!$H:$H,Proventos!$D:$D,"&gt;="&amp;CONCATENATE($I$6,"/",B76),Proventos!$D:$D,"&lt;"&amp;CONCATENATE($J$6,"/",B76),Proventos!$J:$J,"="&amp;$H$2),
$K$2=Data!$A$2,SUMIFS(Proventos!$H:$H,Proventos!$D:$D,"&gt;="&amp;CONCATENATE($I$6,"/",B76),Proventos!$D:$D,"&lt;"&amp;CONCATENATE($J$6,"/",B76)),
$K$2&lt;&gt;Data!$A$2,SUMIFS(Proventos!$H:$H,Proventos!$D:$D,"&gt;="&amp;CONCATENATE($I$6,"/",B76),Proventos!$D:$D,"&lt;"&amp;CONCATENATE($J$6,"/",B76),Proventos!$A:$A,"="&amp;$K$2))</f>
        <v>0</v>
      </c>
      <c r="J76" s="245">
        <f>IFS(
AND($H$2=Data!$A$3,$K$2=Data!$A$2),SUMIFS(Proventos!$H:$H,Proventos!$D:$D,"&gt;="&amp;CONCATENATE($J$6,"/",B76),Proventos!$D:$D,"&lt;"&amp;CONCATENATE($K$6,"/",B76),Proventos!$J:$J,"="&amp;$H$2),
AND($H$2=Data!$A$4,$K$2=Data!$A$2),SUMIFS(Proventos!$H:$H,Proventos!$D:$D,"&gt;="&amp;CONCATENATE($J$6,"/",B76),Proventos!$D:$D,"&lt;"&amp;CONCATENATE($K$6,"/",B76),Proventos!$J:$J,"="&amp;$H$2),
AND($H$2=Data!$A$5,$K$2=Data!$A$2),SUMIFS(Proventos!$H:$H,Proventos!$D:$D,"&gt;="&amp;CONCATENATE($J$6,"/",B76),Proventos!$D:$D,"&lt;"&amp;CONCATENATE($K$6,"/",B76),Proventos!$J:$J,"="&amp;$H$2),
AND($H$2=Data!$A$6,$K$2=Data!$A$2),SUMIFS(Proventos!$H:$H,Proventos!$D:$D,"&gt;="&amp;CONCATENATE($J$6,"/",B76),Proventos!$D:$D,"&lt;"&amp;CONCATENATE($K$6,"/",B76),Proventos!$J:$J,"="&amp;$H$2),
AND($H$2=Data!$A$7,$K$2=Data!$A$2),SUMIFS(Proventos!$H:$H,Proventos!$D:$D,"&gt;="&amp;CONCATENATE($J$6,"/",B76),Proventos!$D:$D,"&lt;"&amp;CONCATENATE($K$6,"/",B76),Proventos!$J:$J,"="&amp;$H$2),
AND($H$2=Data!$A$8,$K$2=Data!$A$2),SUMIFS(Proventos!$H:$H,Proventos!$D:$D,"&gt;="&amp;CONCATENATE($J$6,"/",B76),Proventos!$D:$D,"&lt;"&amp;CONCATENATE($K$6,"/",B76),Proventos!$J:$J,"="&amp;$H$2),
AND($H$2=Data!$A$9,$K$2=Data!$A$2),SUMIFS(Proventos!$H:$H,Proventos!$D:$D,"&gt;="&amp;CONCATENATE($J$6,"/",B76),Proventos!$D:$D,"&lt;"&amp;CONCATENATE($K$6,"/",B76),Proventos!$J:$J,"="&amp;$H$2),
AND($H$2=Data!$A$10,$K$2=Data!$A$2),SUMIFS(Proventos!$H:$H,Proventos!$D:$D,"&gt;="&amp;CONCATENATE($J$6,"/",B76),Proventos!$D:$D,"&lt;"&amp;CONCATENATE($K$6,"/",B76),Proventos!$J:$J,"="&amp;$H$2),
AND($H$2=Data!$A$11,$K$2=Data!$A$2),SUMIFS(Proventos!$H:$H,Proventos!$D:$D,"&gt;="&amp;CONCATENATE($J$6,"/",B76),Proventos!$D:$D,"&lt;"&amp;CONCATENATE($K$6,"/",B76),Proventos!$J:$J,"="&amp;$H$2),
$K$2=Data!$A$2,SUMIFS(Proventos!$H:$H,Proventos!$D:$D,"&gt;="&amp;CONCATENATE($J$6,"/",B76),Proventos!$D:$D,"&lt;"&amp;CONCATENATE($K$6,"/",B76)),
$K$2&lt;&gt;Data!$A$2,SUMIFS(Proventos!$H:$H,Proventos!$D:$D,"&gt;="&amp;CONCATENATE($J$6,"/",B76),Proventos!$D:$D,"&lt;"&amp;CONCATENATE($K$6,"/",B76),Proventos!$A:$A,"="&amp;$K$2))</f>
        <v>0</v>
      </c>
      <c r="K76" s="245">
        <f>IFS(
AND($H$2=Data!$A$3,$K$2=Data!$A$2),SUMIFS(Proventos!$H:$H,Proventos!$D:$D,"&gt;="&amp;CONCATENATE($K$6,"/",B76),Proventos!$D:$D,"&lt;"&amp;CONCATENATE($L$6,"/",B76),Proventos!$J:$J,"="&amp;$H$2),
AND($H$2=Data!$A$4,$K$2=Data!$A$2),SUMIFS(Proventos!$H:$H,Proventos!$D:$D,"&gt;="&amp;CONCATENATE($K$6,"/",B76),Proventos!$D:$D,"&lt;"&amp;CONCATENATE($L$6,"/",B76),Proventos!$J:$J,"="&amp;$H$2),
AND($H$2=Data!$A$5,$K$2=Data!$A$2),SUMIFS(Proventos!$H:$H,Proventos!$D:$D,"&gt;="&amp;CONCATENATE($K$6,"/",B76),Proventos!$D:$D,"&lt;"&amp;CONCATENATE($L$6,"/",B76),Proventos!$J:$J,"="&amp;$H$2),
AND($H$2=Data!$A$6,$K$2=Data!$A$2),SUMIFS(Proventos!$H:$H,Proventos!$D:$D,"&gt;="&amp;CONCATENATE($K$6,"/",B76),Proventos!$D:$D,"&lt;"&amp;CONCATENATE($L$6,"/",B76),Proventos!$J:$J,"="&amp;$H$2),
AND($H$2=Data!$A$7,$K$2=Data!$A$2),SUMIFS(Proventos!$H:$H,Proventos!$D:$D,"&gt;="&amp;CONCATENATE($K$6,"/",B76),Proventos!$D:$D,"&lt;"&amp;CONCATENATE($L$6,"/",B76),Proventos!$J:$J,"="&amp;$H$2),
AND($H$2=Data!$A$8,$K$2=Data!$A$2),SUMIFS(Proventos!$H:$H,Proventos!$D:$D,"&gt;="&amp;CONCATENATE($K$6,"/",B76),Proventos!$D:$D,"&lt;"&amp;CONCATENATE($L$6,"/",B76),Proventos!$J:$J,"="&amp;$H$2),
AND($H$2=Data!$A$9,$K$2=Data!$A$2),SUMIFS(Proventos!$H:$H,Proventos!$D:$D,"&gt;="&amp;CONCATENATE($K$6,"/",B76),Proventos!$D:$D,"&lt;"&amp;CONCATENATE($L$6,"/",B76),Proventos!$J:$J,"="&amp;$H$2),
AND($H$2=Data!$A$10,$K$2=Data!$A$2),SUMIFS(Proventos!$H:$H,Proventos!$D:$D,"&gt;="&amp;CONCATENATE($K$6,"/",B76),Proventos!$D:$D,"&lt;"&amp;CONCATENATE($L$6,"/",B76),Proventos!$J:$J,"="&amp;$H$2),
AND($H$2=Data!$A$11,$K$2=Data!$A$2),SUMIFS(Proventos!$H:$H,Proventos!$D:$D,"&gt;="&amp;CONCATENATE($K$6,"/",B76),Proventos!$D:$D,"&lt;"&amp;CONCATENATE($L$6,"/",B76),Proventos!$J:$J,"="&amp;$H$2),
$K$2=Data!$A$2,SUMIFS(Proventos!$H:$H,Proventos!$D:$D,"&gt;="&amp;CONCATENATE($K$6,"/",B76),Proventos!$D:$D,"&lt;"&amp;CONCATENATE($L$6,"/",B76)),
$K$2&lt;&gt;Data!$A$2,SUMIFS(Proventos!$H:$H,Proventos!$D:$D,"&gt;="&amp;CONCATENATE($K$6,"/",B76),Proventos!$D:$D,"&lt;"&amp;CONCATENATE($L$6,"/",B76),Proventos!$A:$A,"="&amp;$K$2))</f>
        <v>0</v>
      </c>
      <c r="L76" s="245">
        <f>IFS(
AND($H$2=Data!$A$3,$K$2=Data!$A$2),SUMIFS(Proventos!$H:$H,Proventos!$D:$D,"&gt;="&amp;CONCATENATE($L$6,"/",B76),Proventos!$D:$D,"&lt;"&amp;CONCATENATE($M$6,"/",B76),Proventos!$J:$J,"="&amp;$H$2),
AND($H$2=Data!$A$4,$K$2=Data!$A$2),SUMIFS(Proventos!$H:$H,Proventos!$D:$D,"&gt;="&amp;CONCATENATE($L$6,"/",B76),Proventos!$D:$D,"&lt;"&amp;CONCATENATE($M$6,"/",B76),Proventos!$J:$J,"="&amp;$H$2),
AND($H$2=Data!$A$5,$K$2=Data!$A$2),SUMIFS(Proventos!$H:$H,Proventos!$D:$D,"&gt;="&amp;CONCATENATE($L$6,"/",B76),Proventos!$D:$D,"&lt;"&amp;CONCATENATE($M$6,"/",B76),Proventos!$J:$J,"="&amp;$H$2),
AND($H$2=Data!$A$6,$K$2=Data!$A$2),SUMIFS(Proventos!$H:$H,Proventos!$D:$D,"&gt;="&amp;CONCATENATE($L$6,"/",B76),Proventos!$D:$D,"&lt;"&amp;CONCATENATE($M$6,"/",B76),Proventos!$J:$J,"="&amp;$H$2),
AND($H$2=Data!$A$7,$K$2=Data!$A$2),SUMIFS(Proventos!$H:$H,Proventos!$D:$D,"&gt;="&amp;CONCATENATE($L$6,"/",B76),Proventos!$D:$D,"&lt;"&amp;CONCATENATE($M$6,"/",B76),Proventos!$J:$J,"="&amp;$H$2),
AND($H$2=Data!$A$8,$K$2=Data!$A$2),SUMIFS(Proventos!$H:$H,Proventos!$D:$D,"&gt;="&amp;CONCATENATE($L$6,"/",B76),Proventos!$D:$D,"&lt;"&amp;CONCATENATE($M$6,"/",B76),Proventos!$J:$J,"="&amp;$H$2),
AND($H$2=Data!$A$9,$K$2=Data!$A$2),SUMIFS(Proventos!$H:$H,Proventos!$D:$D,"&gt;="&amp;CONCATENATE($L$6,"/",B76),Proventos!$D:$D,"&lt;"&amp;CONCATENATE($M$6,"/",B76),Proventos!$J:$J,"="&amp;$H$2),
AND($H$2=Data!$A$10,$K$2=Data!$A$2),SUMIFS(Proventos!$H:$H,Proventos!$D:$D,"&gt;="&amp;CONCATENATE($L$6,"/",B76),Proventos!$D:$D,"&lt;"&amp;CONCATENATE($M$6,"/",B76),Proventos!$J:$J,"="&amp;$H$2),
AND($H$2=Data!$A$11,$K$2=Data!$A$2),SUMIFS(Proventos!$H:$H,Proventos!$D:$D,"&gt;="&amp;CONCATENATE($L$6,"/",B76),Proventos!$D:$D,"&lt;"&amp;CONCATENATE($M$6,"/",B76),Proventos!$J:$J,"="&amp;$H$2),
$K$2=Data!$A$2,SUMIFS(Proventos!$H:$H,Proventos!$D:$D,"&gt;="&amp;CONCATENATE($L$6,"/",B76),Proventos!$D:$D,"&lt;"&amp;CONCATENATE($M$6,"/",B76)),
$K$2&lt;&gt;Data!$A$2,SUMIFS(Proventos!$H:$H,Proventos!$D:$D,"&gt;="&amp;CONCATENATE($L$6,"/",B76),Proventos!$D:$D,"&lt;"&amp;CONCATENATE($M$6,"/",B76),Proventos!$A:$A,"="&amp;$K$2))</f>
        <v>0</v>
      </c>
      <c r="M76" s="245">
        <f>IFS(
AND($H$2=Data!$A$3,$K$2=Data!$A$2),SUMIFS(Proventos!$H:$H,Proventos!$D:$D,"&gt;="&amp;CONCATENATE($M$6,"/",B76),Proventos!$D:$D,"&lt;"&amp;CONCATENATE($N$6,"/",B76),Proventos!$J:$J,"="&amp;$H$2),
AND($H$2=Data!$A$4,$K$2=Data!$A$2),SUMIFS(Proventos!$H:$H,Proventos!$D:$D,"&gt;="&amp;CONCATENATE($M$6,"/",B76),Proventos!$D:$D,"&lt;"&amp;CONCATENATE($N$6,"/",B76),Proventos!$J:$J,"="&amp;$H$2),
AND($H$2=Data!$A$5,$K$2=Data!$A$2),SUMIFS(Proventos!$H:$H,Proventos!$D:$D,"&gt;="&amp;CONCATENATE($M$6,"/",B76),Proventos!$D:$D,"&lt;"&amp;CONCATENATE($N$6,"/",B76),Proventos!$J:$J,"="&amp;$H$2),
AND($H$2=Data!$A$6,$K$2=Data!$A$2),SUMIFS(Proventos!$H:$H,Proventos!$D:$D,"&gt;="&amp;CONCATENATE($M$6,"/",B76),Proventos!$D:$D,"&lt;"&amp;CONCATENATE($N$6,"/",B76),Proventos!$J:$J,"="&amp;$H$2),
AND($H$2=Data!$A$7,$K$2=Data!$A$2),SUMIFS(Proventos!$H:$H,Proventos!$D:$D,"&gt;="&amp;CONCATENATE($M$6,"/",B76),Proventos!$D:$D,"&lt;"&amp;CONCATENATE($N$6,"/",B76),Proventos!$J:$J,"="&amp;$H$2),
AND($H$2=Data!$A$8,$K$2=Data!$A$2),SUMIFS(Proventos!$H:$H,Proventos!$D:$D,"&gt;="&amp;CONCATENATE($M$6,"/",B76),Proventos!$D:$D,"&lt;"&amp;CONCATENATE($N$6,"/",B76),Proventos!$J:$J,"="&amp;$H$2),
AND($H$2=Data!$A$9,$K$2=Data!$A$2),SUMIFS(Proventos!$H:$H,Proventos!$D:$D,"&gt;="&amp;CONCATENATE($M$6,"/",B76),Proventos!$D:$D,"&lt;"&amp;CONCATENATE($N$6,"/",B76),Proventos!$J:$J,"="&amp;$H$2),
AND($H$2=Data!$A$10,$K$2=Data!$A$2),SUMIFS(Proventos!$H:$H,Proventos!$D:$D,"&gt;="&amp;CONCATENATE($M$6,"/",B76),Proventos!$D:$D,"&lt;"&amp;CONCATENATE($N$6,"/",B76),Proventos!$J:$J,"="&amp;$H$2),
AND($H$2=Data!$A$11,$K$2=Data!$A$2),SUMIFS(Proventos!$H:$H,Proventos!$D:$D,"&gt;="&amp;CONCATENATE($M$6,"/",B76),Proventos!$D:$D,"&lt;"&amp;CONCATENATE($N$6,"/",B76),Proventos!$J:$J,"="&amp;$H$2),
$K$2=Data!$A$2,SUMIFS(Proventos!$H:$H,Proventos!$D:$D,"&gt;="&amp;CONCATENATE($M$6,"/",B76),Proventos!$D:$D,"&lt;"&amp;CONCATENATE($N$6,"/",B76)),
$K$2&lt;&gt;Data!$A$2,SUMIFS(Proventos!$H:$H,Proventos!$D:$D,"&gt;="&amp;CONCATENATE($M$6,"/",B76),Proventos!$D:$D,"&lt;"&amp;CONCATENATE($N$6,"/",B76),Proventos!$A:$A,"="&amp;$K$2))</f>
        <v>0</v>
      </c>
      <c r="N76" s="245">
        <f>IFS(
AND($H$2=Data!$A$3,$K$2=Data!$A$2),SUMIFS(Proventos!$H:$H,Proventos!$D:$D,"&gt;="&amp;CONCATENATE($N$6,"/",B76),Proventos!$D:$D,"&lt;"&amp;CONCATENATE($C$6,"/",B77),Proventos!$J:$J,"="&amp;$H$2),
AND($H$2=Data!$A$4,$K$2=Data!$A$2),SUMIFS(Proventos!$H:$H,Proventos!$D:$D,"&gt;="&amp;CONCATENATE($N$6,"/",B76),Proventos!$D:$D,"&lt;"&amp;CONCATENATE($C$6,"/",B77),Proventos!$J:$J,"="&amp;$H$2),
AND($H$2=Data!$A$5,$K$2=Data!$A$2),SUMIFS(Proventos!$H:$H,Proventos!$D:$D,"&gt;="&amp;CONCATENATE($N$6,"/",B76),Proventos!$D:$D,"&lt;"&amp;CONCATENATE($C$6,"/",B77),Proventos!$J:$J,"="&amp;$H$2),
AND($H$2=Data!$A$6,$K$2=Data!$A$2),SUMIFS(Proventos!$H:$H,Proventos!$D:$D,"&gt;="&amp;CONCATENATE($N$6,"/",B76),Proventos!$D:$D,"&lt;"&amp;CONCATENATE($C$6,"/",B77),Proventos!$J:$J,"="&amp;$H$2),
AND($H$2=Data!$A$7,$K$2=Data!$A$2),SUMIFS(Proventos!$H:$H,Proventos!$D:$D,"&gt;="&amp;CONCATENATE($N$6,"/",B76),Proventos!$D:$D,"&lt;"&amp;CONCATENATE($C$6,"/",B77),Proventos!$J:$J,"="&amp;$H$2),
AND($H$2=Data!$A$8,$K$2=Data!$A$2),SUMIFS(Proventos!$H:$H,Proventos!$D:$D,"&gt;="&amp;CONCATENATE($N$6,"/",B76),Proventos!$D:$D,"&lt;"&amp;CONCATENATE($C$6,"/",B77),Proventos!$J:$J,"="&amp;$H$2),
AND($H$2=Data!$A$9,$K$2=Data!$A$2),SUMIFS(Proventos!$H:$H,Proventos!$D:$D,"&gt;="&amp;CONCATENATE($N$6,"/",B76),Proventos!$D:$D,"&lt;"&amp;CONCATENATE($C$6,"/",B77),Proventos!$J:$J,"="&amp;$H$2),
AND($H$2=Data!$A$10,$K$2=Data!$A$2),SUMIFS(Proventos!$H:$H,Proventos!$D:$D,"&gt;="&amp;CONCATENATE($N$6,"/",B76),Proventos!$D:$D,"&lt;"&amp;CONCATENATE($C$6,"/",B77),Proventos!$J:$J,"="&amp;$H$2),
AND($H$2=Data!$A$11,$K$2=Data!$A$2),SUMIFS(Proventos!$H:$H,Proventos!$D:$D,"&gt;="&amp;CONCATENATE($N$6,"/",B76),Proventos!$D:$D,"&lt;"&amp;CONCATENATE($C$6,"/",B77),Proventos!$J:$J,"="&amp;$H$2),
$K$2=Data!$A$2,SUMIFS(Proventos!$H:$H,Proventos!$D:$D,"&gt;="&amp;CONCATENATE($N$6,"/",B76),Proventos!$D:$D,"&lt;"&amp;CONCATENATE($C$6,"/",B77)),
$K$2&lt;&gt;Data!$A$2,SUMIFS(Proventos!$H:$H,Proventos!$D:$D,"&gt;="&amp;CONCATENATE($N$6,"/",B76),Proventos!$D:$D,"&lt;"&amp;CONCATENATE($C$6,"/",B77),Proventos!$A:$A,"="&amp;$K$2))</f>
        <v>0</v>
      </c>
      <c r="O76" s="245"/>
      <c r="P76" s="245">
        <f t="shared" si="1"/>
        <v>0</v>
      </c>
      <c r="Q76" s="245">
        <f t="shared" si="2"/>
        <v>0</v>
      </c>
    </row>
    <row r="77" ht="32.25" customHeight="1">
      <c r="A77" s="230"/>
      <c r="B77" s="244"/>
      <c r="C77" s="245">
        <f>IFS(
AND($H$2=Data!$A$3,$K$2=Data!$A$2),SUMIFS(Proventos!$H:$H,Proventos!$D:$D,"&gt;="&amp;CONCATENATE($C$6,"/",B77),Proventos!$D:$D,"&lt;"&amp;CONCATENATE($D$6,"/",B77),Proventos!$J:$J,"="&amp;$H$2),
AND($H$2=Data!$A$4,$K$2=Data!$A$2),SUMIFS(Proventos!$H:$H,Proventos!$D:$D,"&gt;="&amp;CONCATENATE($C$6,"/",B77),Proventos!$D:$D,"&lt;"&amp;CONCATENATE($D$6,"/",B77),Proventos!$J:$J,"="&amp;$H$2),
AND($H$2=Data!$A$5,$K$2=Data!$A$2),SUMIFS(Proventos!$H:$H,Proventos!$D:$D,"&gt;="&amp;CONCATENATE($C$6,"/",B77),Proventos!$D:$D,"&lt;"&amp;CONCATENATE($D$6,"/",B77),Proventos!$J:$J,"="&amp;$H$2),
AND($H$2=Data!$A$6,$K$2=Data!$A$2),SUMIFS(Proventos!$H:$H,Proventos!$D:$D,"&gt;="&amp;CONCATENATE($C$6,"/",B77),Proventos!$D:$D,"&lt;"&amp;CONCATENATE($D$6,"/",B77),Proventos!$J:$J,"="&amp;$H$2),
AND($H$2=Data!$A$7,$K$2=Data!$A$2),SUMIFS(Proventos!$H:$H,Proventos!$D:$D,"&gt;="&amp;CONCATENATE($C$6,"/",B77),Proventos!$D:$D,"&lt;"&amp;CONCATENATE($D$6,"/",B77),Proventos!$J:$J,"="&amp;$H$2),
AND($H$2=Data!$A$8,$K$2=Data!$A$2),SUMIFS(Proventos!$H:$H,Proventos!$D:$D,"&gt;="&amp;CONCATENATE($C$6,"/",B77),Proventos!$D:$D,"&lt;"&amp;CONCATENATE($D$6,"/",B77),Proventos!$J:$J,"="&amp;$H$2),
AND($H$2=Data!$A$9,$K$2=Data!$A$2),SUMIFS(Proventos!$H:$H,Proventos!$D:$D,"&gt;="&amp;CONCATENATE($C$6,"/",B77),Proventos!$D:$D,"&lt;"&amp;CONCATENATE($D$6,"/",B77),Proventos!$J:$J,"="&amp;$H$2),
AND($H$2=Data!$A$10,$K$2=Data!$A$2),SUMIFS(Proventos!$H:$H,Proventos!$D:$D,"&gt;="&amp;CONCATENATE($C$6,"/",B77),Proventos!$D:$D,"&lt;"&amp;CONCATENATE($D$6,"/",B77),Proventos!$J:$J,"="&amp;$H$2),
AND($H$2=Data!$A$11,$K$2=Data!$A$2),SUMIFS(Proventos!$H:$H,Proventos!$D:$D,"&gt;="&amp;CONCATENATE($C$6,"/",B77),Proventos!$D:$D,"&lt;"&amp;CONCATENATE($D$6,"/",B77),Proventos!$J:$J,"="&amp;$H$2),
$K$2=Data!$A$2,SUMIFS(Proventos!$H:$H,Proventos!$D:$D,"&gt;="&amp;CONCATENATE($C$6,"/",B77),Proventos!$D:$D,"&lt;"&amp;CONCATENATE($D$6,"/",B77)),
$K$2&lt;&gt;Data!$A$2,SUMIFS(Proventos!$H:$H,Proventos!$D:$D,"&gt;="&amp;CONCATENATE($C$6,"/",B77),Proventos!$D:$D,"&lt;"&amp;CONCATENATE($D$6,"/",B77),Proventos!$A:$A,"="&amp;$K$2))</f>
        <v>0</v>
      </c>
      <c r="D77" s="245">
        <f>IFS(
AND($H$2=Data!$A$3,$K$2=Data!$A$2),SUMIFS(Proventos!$H:$H,Proventos!$D:$D,"&gt;="&amp;CONCATENATE($D$6,"/",B77),Proventos!$D:$D,"&lt;"&amp;CONCATENATE($E$6,"/",B77),Proventos!$J:$J,"="&amp;$H$2),
AND($H$2=Data!$A$4,$K$2=Data!$A$2),SUMIFS(Proventos!$H:$H,Proventos!$D:$D,"&gt;="&amp;CONCATENATE($D$6,"/",B77),Proventos!$D:$D,"&lt;"&amp;CONCATENATE($E$6,"/",B77),Proventos!$J:$J,"="&amp;$H$2),
AND($H$2=Data!$A$5,$K$2=Data!$A$2),SUMIFS(Proventos!$H:$H,Proventos!$D:$D,"&gt;="&amp;CONCATENATE($D$6,"/",B77),Proventos!$D:$D,"&lt;"&amp;CONCATENATE($E$6,"/",B77),Proventos!$J:$J,"="&amp;$H$2),
AND($H$2=Data!$A$6,$K$2=Data!$A$2),SUMIFS(Proventos!$H:$H,Proventos!$D:$D,"&gt;="&amp;CONCATENATE($D$6,"/",B77),Proventos!$D:$D,"&lt;"&amp;CONCATENATE($E$6,"/",B77),Proventos!$J:$J,"="&amp;$H$2),
AND($H$2=Data!$A$7,$K$2=Data!$A$2),SUMIFS(Proventos!$H:$H,Proventos!$D:$D,"&gt;="&amp;CONCATENATE($D$6,"/",B77),Proventos!$D:$D,"&lt;"&amp;CONCATENATE($E$6,"/",B77),Proventos!$J:$J,"="&amp;$H$2),
AND($H$2=Data!$A$8,$K$2=Data!$A$2),SUMIFS(Proventos!$H:$H,Proventos!$D:$D,"&gt;="&amp;CONCATENATE($D$6,"/",B77),Proventos!$D:$D,"&lt;"&amp;CONCATENATE($E$6,"/",B77),Proventos!$J:$J,"="&amp;$H$2),
AND($H$2=Data!$A$9,$K$2=Data!$A$2),SUMIFS(Proventos!$H:$H,Proventos!$D:$D,"&gt;="&amp;CONCATENATE($D$6,"/",B77),Proventos!$D:$D,"&lt;"&amp;CONCATENATE($E$6,"/",B77),Proventos!$J:$J,"="&amp;$H$2),
AND($H$2=Data!$A$10,$K$2=Data!$A$2),SUMIFS(Proventos!$H:$H,Proventos!$D:$D,"&gt;="&amp;CONCATENATE($D$6,"/",B77),Proventos!$D:$D,"&lt;"&amp;CONCATENATE($E$6,"/",B77),Proventos!$J:$J,"="&amp;$H$2),
AND($H$2=Data!$A$11,$K$2=Data!$A$2),SUMIFS(Proventos!$H:$H,Proventos!$D:$D,"&gt;="&amp;CONCATENATE($D$6,"/",B77),Proventos!$D:$D,"&lt;"&amp;CONCATENATE($E$6,"/",B77),Proventos!$J:$J,"="&amp;$H$2),
$K$2=Data!$A$2,SUMIFS(Proventos!$H:$H,Proventos!$D:$D,"&gt;="&amp;CONCATENATE($D$6,"/",B77),Proventos!$D:$D,"&lt;"&amp;CONCATENATE($E$6,"/",B77)),
$K$2&lt;&gt;Data!$A$2,SUMIFS(Proventos!$H:$H,Proventos!$D:$D,"&gt;="&amp;CONCATENATE($D$6,"/",B77),Proventos!$D:$D,"&lt;"&amp;CONCATENATE($E$6,"/",B77),Proventos!$A:$A,"="&amp;$K$2))</f>
        <v>0</v>
      </c>
      <c r="E77" s="245">
        <f>IFS(
AND($H$2=Data!$A$3,$K$2=Data!$A$2),SUMIFS(Proventos!$H:$H,Proventos!$D:$D,"&gt;="&amp;CONCATENATE($E$6,"/",B77),Proventos!$D:$D,"&lt;"&amp;CONCATENATE($F$6,"/",B77),Proventos!$J:$J,"="&amp;$H$2),
AND($H$2=Data!$A$4,$K$2=Data!$A$2),SUMIFS(Proventos!$H:$H,Proventos!$D:$D,"&gt;="&amp;CONCATENATE($E$6,"/",B77),Proventos!$D:$D,"&lt;"&amp;CONCATENATE($F$6,"/",B77),Proventos!$J:$J,"="&amp;$H$2),
AND($H$2=Data!$A$5,$K$2=Data!$A$2),SUMIFS(Proventos!$H:$H,Proventos!$D:$D,"&gt;="&amp;CONCATENATE($E$6,"/",B77),Proventos!$D:$D,"&lt;"&amp;CONCATENATE($F$6,"/",B77),Proventos!$J:$J,"="&amp;$H$2),
AND($H$2=Data!$A$6,$K$2=Data!$A$2),SUMIFS(Proventos!$H:$H,Proventos!$D:$D,"&gt;="&amp;CONCATENATE($E$6,"/",B77),Proventos!$D:$D,"&lt;"&amp;CONCATENATE($F$6,"/",B77),Proventos!$J:$J,"="&amp;$H$2),
AND($H$2=Data!$A$7,$K$2=Data!$A$2),SUMIFS(Proventos!$H:$H,Proventos!$D:$D,"&gt;="&amp;CONCATENATE($E$6,"/",B77),Proventos!$D:$D,"&lt;"&amp;CONCATENATE($F$6,"/",B77),Proventos!$J:$J,"="&amp;$H$2),
AND($H$2=Data!$A$8,$K$2=Data!$A$2),SUMIFS(Proventos!$H:$H,Proventos!$D:$D,"&gt;="&amp;CONCATENATE($E$6,"/",B77),Proventos!$D:$D,"&lt;"&amp;CONCATENATE($F$6,"/",B77),Proventos!$J:$J,"="&amp;$H$2),
AND($H$2=Data!$A$9,$K$2=Data!$A$2),SUMIFS(Proventos!$H:$H,Proventos!$D:$D,"&gt;="&amp;CONCATENATE($E$6,"/",B77),Proventos!$D:$D,"&lt;"&amp;CONCATENATE($F$6,"/",B77),Proventos!$J:$J,"="&amp;$H$2),
AND($H$2=Data!$A$10,$K$2=Data!$A$2),SUMIFS(Proventos!$H:$H,Proventos!$D:$D,"&gt;="&amp;CONCATENATE($E$6,"/",B77),Proventos!$D:$D,"&lt;"&amp;CONCATENATE($F$6,"/",B77),Proventos!$J:$J,"="&amp;$H$2),
AND($H$2=Data!$A$11,$K$2=Data!$A$2),SUMIFS(Proventos!$H:$H,Proventos!$D:$D,"&gt;="&amp;CONCATENATE($E$6,"/",B77),Proventos!$D:$D,"&lt;"&amp;CONCATENATE($F$6,"/",B77),Proventos!$J:$J,"="&amp;$H$2),
$K$2=Data!$A$2,SUMIFS(Proventos!$H:$H,Proventos!$D:$D,"&gt;="&amp;CONCATENATE($E$6,"/",B77),Proventos!$D:$D,"&lt;"&amp;CONCATENATE($F$6,"/",B77)),
$K$2&lt;&gt;Data!$A$2,SUMIFS(Proventos!$H:$H,Proventos!$D:$D,"&gt;="&amp;CONCATENATE($E$6,"/",B77),Proventos!$D:$D,"&lt;"&amp;CONCATENATE($F$6,"/",B77),Proventos!$A:$A,"="&amp;$K$2))</f>
        <v>0</v>
      </c>
      <c r="F77" s="245">
        <f>IFS(
AND($H$2=Data!$A$3,$K$2=Data!$A$2),SUMIFS(Proventos!$H:$H,Proventos!$D:$D,"&gt;="&amp;CONCATENATE($F$6,"/",B77),Proventos!$D:$D,"&lt;"&amp;CONCATENATE($G$6,"/",B77),Proventos!$J:$J,"="&amp;$H$2),
AND($H$2=Data!$A$4,$K$2=Data!$A$2),SUMIFS(Proventos!$H:$H,Proventos!$D:$D,"&gt;="&amp;CONCATENATE($F$6,"/",B77),Proventos!$D:$D,"&lt;"&amp;CONCATENATE($G$6,"/",B77),Proventos!$J:$J,"="&amp;$H$2),
AND($H$2=Data!$A$5,$K$2=Data!$A$2),SUMIFS(Proventos!$H:$H,Proventos!$D:$D,"&gt;="&amp;CONCATENATE($F$6,"/",B77),Proventos!$D:$D,"&lt;"&amp;CONCATENATE($G$6,"/",B77),Proventos!$J:$J,"="&amp;$H$2),
AND($H$2=Data!$A$6,$K$2=Data!$A$2),SUMIFS(Proventos!$H:$H,Proventos!$D:$D,"&gt;="&amp;CONCATENATE($F$6,"/",B77),Proventos!$D:$D,"&lt;"&amp;CONCATENATE($G$6,"/",B77),Proventos!$J:$J,"="&amp;$H$2),
AND($H$2=Data!$A$7,$K$2=Data!$A$2),SUMIFS(Proventos!$H:$H,Proventos!$D:$D,"&gt;="&amp;CONCATENATE($F$6,"/",B77),Proventos!$D:$D,"&lt;"&amp;CONCATENATE($G$6,"/",B77),Proventos!$J:$J,"="&amp;$H$2),
AND($H$2=Data!$A$8,$K$2=Data!$A$2),SUMIFS(Proventos!$H:$H,Proventos!$D:$D,"&gt;="&amp;CONCATENATE($F$6,"/",B77),Proventos!$D:$D,"&lt;"&amp;CONCATENATE($G$6,"/",B77),Proventos!$J:$J,"="&amp;$H$2),
AND($H$2=Data!$A$9,$K$2=Data!$A$2),SUMIFS(Proventos!$H:$H,Proventos!$D:$D,"&gt;="&amp;CONCATENATE($F$6,"/",B77),Proventos!$D:$D,"&lt;"&amp;CONCATENATE($G$6,"/",B77),Proventos!$J:$J,"="&amp;$H$2),
AND($H$2=Data!$A$10,$K$2=Data!$A$2),SUMIFS(Proventos!$H:$H,Proventos!$D:$D,"&gt;="&amp;CONCATENATE($F$6,"/",B77),Proventos!$D:$D,"&lt;"&amp;CONCATENATE($G$6,"/",B77),Proventos!$J:$J,"="&amp;$H$2),
AND($H$2=Data!$A$11,$K$2=Data!$A$2),SUMIFS(Proventos!$H:$H,Proventos!$D:$D,"&gt;="&amp;CONCATENATE($F$6,"/",B77),Proventos!$D:$D,"&lt;"&amp;CONCATENATE($G$6,"/",B77),Proventos!$J:$J,"="&amp;$H$2),
$K$2=Data!$A$2,SUMIFS(Proventos!$H:$H,Proventos!$D:$D,"&gt;="&amp;CONCATENATE($F$6,"/",B77),Proventos!$D:$D,"&lt;"&amp;CONCATENATE($G$6,"/",B77)),
$K$2&lt;&gt;Data!$A$2,SUMIFS(Proventos!$H:$H,Proventos!$D:$D,"&gt;="&amp;CONCATENATE($F$6,"/",B77),Proventos!$D:$D,"&lt;"&amp;CONCATENATE($G$6,"/",B77),Proventos!$A:$A,"="&amp;$K$2))</f>
        <v>0</v>
      </c>
      <c r="G77" s="245">
        <f>IFS(
AND($H$2=Data!$A$3,$K$2=Data!$A$2),SUMIFS(Proventos!$H:$H,Proventos!$D:$D,"&gt;="&amp;CONCATENATE($G$6,"/",B77),Proventos!$D:$D,"&lt;"&amp;CONCATENATE($H$6,"/",B77),Proventos!$J:$J,"="&amp;$H$2),
AND($H$2=Data!$A$4,$K$2=Data!$A$2),SUMIFS(Proventos!$H:$H,Proventos!$D:$D,"&gt;="&amp;CONCATENATE($G$6,"/",B77),Proventos!$D:$D,"&lt;"&amp;CONCATENATE($H$6,"/",B77),Proventos!$J:$J,"="&amp;$H$2),
AND($H$2=Data!$A$5,$K$2=Data!$A$2),SUMIFS(Proventos!$H:$H,Proventos!$D:$D,"&gt;="&amp;CONCATENATE($G$6,"/",B77),Proventos!$D:$D,"&lt;"&amp;CONCATENATE($H$6,"/",B77),Proventos!$J:$J,"="&amp;$H$2),
AND($H$2=Data!$A$6,$K$2=Data!$A$2),SUMIFS(Proventos!$H:$H,Proventos!$D:$D,"&gt;="&amp;CONCATENATE($G$6,"/",B77),Proventos!$D:$D,"&lt;"&amp;CONCATENATE($H$6,"/",B77),Proventos!$J:$J,"="&amp;$H$2),
AND($H$2=Data!$A$7,$K$2=Data!$A$2),SUMIFS(Proventos!$H:$H,Proventos!$D:$D,"&gt;="&amp;CONCATENATE($G$6,"/",B77),Proventos!$D:$D,"&lt;"&amp;CONCATENATE($H$6,"/",B77),Proventos!$J:$J,"="&amp;$H$2),
AND($H$2=Data!$A$8,$K$2=Data!$A$2),SUMIFS(Proventos!$H:$H,Proventos!$D:$D,"&gt;="&amp;CONCATENATE($G$6,"/",B77),Proventos!$D:$D,"&lt;"&amp;CONCATENATE($H$6,"/",B77),Proventos!$J:$J,"="&amp;$H$2),
AND($H$2=Data!$A$9,$K$2=Data!$A$2),SUMIFS(Proventos!$H:$H,Proventos!$D:$D,"&gt;="&amp;CONCATENATE($G$6,"/",B77),Proventos!$D:$D,"&lt;"&amp;CONCATENATE($H$6,"/",B77),Proventos!$J:$J,"="&amp;$H$2),
AND($H$2=Data!$A$10,$K$2=Data!$A$2),SUMIFS(Proventos!$H:$H,Proventos!$D:$D,"&gt;="&amp;CONCATENATE($G$6,"/",B77),Proventos!$D:$D,"&lt;"&amp;CONCATENATE($H$6,"/",B77),Proventos!$J:$J,"="&amp;$H$2),
AND($H$2=Data!$A$11,$K$2=Data!$A$2),SUMIFS(Proventos!$H:$H,Proventos!$D:$D,"&gt;="&amp;CONCATENATE($G$6,"/",B77),Proventos!$D:$D,"&lt;"&amp;CONCATENATE($H$6,"/",B77),Proventos!$J:$J,"="&amp;$H$2),
$K$2=Data!$A$2,SUMIFS(Proventos!$H:$H,Proventos!$D:$D,"&gt;="&amp;CONCATENATE($G$6,"/",B77),Proventos!$D:$D,"&lt;"&amp;CONCATENATE($H$6,"/",B77)),
$K$2&lt;&gt;Data!$A$2,SUMIFS(Proventos!$H:$H,Proventos!$D:$D,"&gt;="&amp;CONCATENATE($G$6,"/",B77),Proventos!$D:$D,"&lt;"&amp;CONCATENATE($H$6,"/",B77),Proventos!$A:$A,"="&amp;$K$2))</f>
        <v>0</v>
      </c>
      <c r="H77" s="245">
        <f>IFS(
AND($H$2=Data!$A$3,$K$2=Data!$A$2),SUMIFS(Proventos!$H:$H,Proventos!$D:$D,"&gt;="&amp;CONCATENATE($H$6,"/",B77),Proventos!$D:$D,"&lt;"&amp;CONCATENATE($I$6,"/",B77),Proventos!$J:$J,"="&amp;$H$2),
AND($H$2=Data!$A$4,$K$2=Data!$A$2),SUMIFS(Proventos!$H:$H,Proventos!$D:$D,"&gt;="&amp;CONCATENATE($H$6,"/",B77),Proventos!$D:$D,"&lt;"&amp;CONCATENATE($I$6,"/",B77),Proventos!$J:$J,"="&amp;$H$2),
AND($H$2=Data!$A$5,$K$2=Data!$A$2),SUMIFS(Proventos!$H:$H,Proventos!$D:$D,"&gt;="&amp;CONCATENATE($H$6,"/",B77),Proventos!$D:$D,"&lt;"&amp;CONCATENATE($I$6,"/",B77),Proventos!$J:$J,"="&amp;$H$2),
AND($H$2=Data!$A$6,$K$2=Data!$A$2),SUMIFS(Proventos!$H:$H,Proventos!$D:$D,"&gt;="&amp;CONCATENATE($H$6,"/",B77),Proventos!$D:$D,"&lt;"&amp;CONCATENATE($I$6,"/",B77),Proventos!$J:$J,"="&amp;$H$2),
AND($H$2=Data!$A$7,$K$2=Data!$A$2),SUMIFS(Proventos!$H:$H,Proventos!$D:$D,"&gt;="&amp;CONCATENATE($H$6,"/",B77),Proventos!$D:$D,"&lt;"&amp;CONCATENATE($I$6,"/",B77),Proventos!$J:$J,"="&amp;$H$2),
AND($H$2=Data!$A$8,$K$2=Data!$A$2),SUMIFS(Proventos!$H:$H,Proventos!$D:$D,"&gt;="&amp;CONCATENATE($H$6,"/",B77),Proventos!$D:$D,"&lt;"&amp;CONCATENATE($I$6,"/",B77),Proventos!$J:$J,"="&amp;$H$2),
AND($H$2=Data!$A$9,$K$2=Data!$A$2),SUMIFS(Proventos!$H:$H,Proventos!$D:$D,"&gt;="&amp;CONCATENATE($H$6,"/",B77),Proventos!$D:$D,"&lt;"&amp;CONCATENATE($I$6,"/",B77),Proventos!$J:$J,"="&amp;$H$2),
AND($H$2=Data!$A$10,$K$2=Data!$A$2),SUMIFS(Proventos!$H:$H,Proventos!$D:$D,"&gt;="&amp;CONCATENATE($H$6,"/",B77),Proventos!$D:$D,"&lt;"&amp;CONCATENATE($I$6,"/",B77),Proventos!$J:$J,"="&amp;$H$2),
AND($H$2=Data!$A$11,$K$2=Data!$A$2),SUMIFS(Proventos!$H:$H,Proventos!$D:$D,"&gt;="&amp;CONCATENATE($H$6,"/",B77),Proventos!$D:$D,"&lt;"&amp;CONCATENATE($I$6,"/",B77),Proventos!$J:$J,"="&amp;$H$2),
$K$2=Data!$A$2,SUMIFS(Proventos!$H:$H,Proventos!$D:$D,"&gt;="&amp;CONCATENATE($H$6,"/",B77),Proventos!$D:$D,"&lt;"&amp;CONCATENATE($I$6,"/",B77)),
$K$2&lt;&gt;Data!$A$2,SUMIFS(Proventos!$H:$H,Proventos!$D:$D,"&gt;="&amp;CONCATENATE($H$6,"/",B77),Proventos!$D:$D,"&lt;"&amp;CONCATENATE($I$6,"/",B77),Proventos!$A:$A,"="&amp;$K$2))</f>
        <v>0</v>
      </c>
      <c r="I77" s="245">
        <f>IFS(
AND($H$2=Data!$A$3,$K$2=Data!$A$2),SUMIFS(Proventos!$H:$H,Proventos!$D:$D,"&gt;="&amp;CONCATENATE($I$6,"/",B77),Proventos!$D:$D,"&lt;"&amp;CONCATENATE($J$6,"/",B77),Proventos!$J:$J,"="&amp;$H$2),
AND($H$2=Data!$A$4,$K$2=Data!$A$2),SUMIFS(Proventos!$H:$H,Proventos!$D:$D,"&gt;="&amp;CONCATENATE($I$6,"/",B77),Proventos!$D:$D,"&lt;"&amp;CONCATENATE($J$6,"/",B77),Proventos!$J:$J,"="&amp;$H$2),
AND($H$2=Data!$A$5,$K$2=Data!$A$2),SUMIFS(Proventos!$H:$H,Proventos!$D:$D,"&gt;="&amp;CONCATENATE($I$6,"/",B77),Proventos!$D:$D,"&lt;"&amp;CONCATENATE($J$6,"/",B77),Proventos!$J:$J,"="&amp;$H$2),
AND($H$2=Data!$A$6,$K$2=Data!$A$2),SUMIFS(Proventos!$H:$H,Proventos!$D:$D,"&gt;="&amp;CONCATENATE($I$6,"/",B77),Proventos!$D:$D,"&lt;"&amp;CONCATENATE($J$6,"/",B77),Proventos!$J:$J,"="&amp;$H$2),
AND($H$2=Data!$A$7,$K$2=Data!$A$2),SUMIFS(Proventos!$H:$H,Proventos!$D:$D,"&gt;="&amp;CONCATENATE($I$6,"/",B77),Proventos!$D:$D,"&lt;"&amp;CONCATENATE($J$6,"/",B77),Proventos!$J:$J,"="&amp;$H$2),
AND($H$2=Data!$A$8,$K$2=Data!$A$2),SUMIFS(Proventos!$H:$H,Proventos!$D:$D,"&gt;="&amp;CONCATENATE($I$6,"/",B77),Proventos!$D:$D,"&lt;"&amp;CONCATENATE($J$6,"/",B77),Proventos!$J:$J,"="&amp;$H$2),
AND($H$2=Data!$A$9,$K$2=Data!$A$2),SUMIFS(Proventos!$H:$H,Proventos!$D:$D,"&gt;="&amp;CONCATENATE($I$6,"/",B77),Proventos!$D:$D,"&lt;"&amp;CONCATENATE($J$6,"/",B77),Proventos!$J:$J,"="&amp;$H$2),
AND($H$2=Data!$A$10,$K$2=Data!$A$2),SUMIFS(Proventos!$H:$H,Proventos!$D:$D,"&gt;="&amp;CONCATENATE($I$6,"/",B77),Proventos!$D:$D,"&lt;"&amp;CONCATENATE($J$6,"/",B77),Proventos!$J:$J,"="&amp;$H$2),
AND($H$2=Data!$A$11,$K$2=Data!$A$2),SUMIFS(Proventos!$H:$H,Proventos!$D:$D,"&gt;="&amp;CONCATENATE($I$6,"/",B77),Proventos!$D:$D,"&lt;"&amp;CONCATENATE($J$6,"/",B77),Proventos!$J:$J,"="&amp;$H$2),
$K$2=Data!$A$2,SUMIFS(Proventos!$H:$H,Proventos!$D:$D,"&gt;="&amp;CONCATENATE($I$6,"/",B77),Proventos!$D:$D,"&lt;"&amp;CONCATENATE($J$6,"/",B77)),
$K$2&lt;&gt;Data!$A$2,SUMIFS(Proventos!$H:$H,Proventos!$D:$D,"&gt;="&amp;CONCATENATE($I$6,"/",B77),Proventos!$D:$D,"&lt;"&amp;CONCATENATE($J$6,"/",B77),Proventos!$A:$A,"="&amp;$K$2))</f>
        <v>0</v>
      </c>
      <c r="J77" s="245">
        <f>IFS(
AND($H$2=Data!$A$3,$K$2=Data!$A$2),SUMIFS(Proventos!$H:$H,Proventos!$D:$D,"&gt;="&amp;CONCATENATE($J$6,"/",B77),Proventos!$D:$D,"&lt;"&amp;CONCATENATE($K$6,"/",B77),Proventos!$J:$J,"="&amp;$H$2),
AND($H$2=Data!$A$4,$K$2=Data!$A$2),SUMIFS(Proventos!$H:$H,Proventos!$D:$D,"&gt;="&amp;CONCATENATE($J$6,"/",B77),Proventos!$D:$D,"&lt;"&amp;CONCATENATE($K$6,"/",B77),Proventos!$J:$J,"="&amp;$H$2),
AND($H$2=Data!$A$5,$K$2=Data!$A$2),SUMIFS(Proventos!$H:$H,Proventos!$D:$D,"&gt;="&amp;CONCATENATE($J$6,"/",B77),Proventos!$D:$D,"&lt;"&amp;CONCATENATE($K$6,"/",B77),Proventos!$J:$J,"="&amp;$H$2),
AND($H$2=Data!$A$6,$K$2=Data!$A$2),SUMIFS(Proventos!$H:$H,Proventos!$D:$D,"&gt;="&amp;CONCATENATE($J$6,"/",B77),Proventos!$D:$D,"&lt;"&amp;CONCATENATE($K$6,"/",B77),Proventos!$J:$J,"="&amp;$H$2),
AND($H$2=Data!$A$7,$K$2=Data!$A$2),SUMIFS(Proventos!$H:$H,Proventos!$D:$D,"&gt;="&amp;CONCATENATE($J$6,"/",B77),Proventos!$D:$D,"&lt;"&amp;CONCATENATE($K$6,"/",B77),Proventos!$J:$J,"="&amp;$H$2),
AND($H$2=Data!$A$8,$K$2=Data!$A$2),SUMIFS(Proventos!$H:$H,Proventos!$D:$D,"&gt;="&amp;CONCATENATE($J$6,"/",B77),Proventos!$D:$D,"&lt;"&amp;CONCATENATE($K$6,"/",B77),Proventos!$J:$J,"="&amp;$H$2),
AND($H$2=Data!$A$9,$K$2=Data!$A$2),SUMIFS(Proventos!$H:$H,Proventos!$D:$D,"&gt;="&amp;CONCATENATE($J$6,"/",B77),Proventos!$D:$D,"&lt;"&amp;CONCATENATE($K$6,"/",B77),Proventos!$J:$J,"="&amp;$H$2),
AND($H$2=Data!$A$10,$K$2=Data!$A$2),SUMIFS(Proventos!$H:$H,Proventos!$D:$D,"&gt;="&amp;CONCATENATE($J$6,"/",B77),Proventos!$D:$D,"&lt;"&amp;CONCATENATE($K$6,"/",B77),Proventos!$J:$J,"="&amp;$H$2),
AND($H$2=Data!$A$11,$K$2=Data!$A$2),SUMIFS(Proventos!$H:$H,Proventos!$D:$D,"&gt;="&amp;CONCATENATE($J$6,"/",B77),Proventos!$D:$D,"&lt;"&amp;CONCATENATE($K$6,"/",B77),Proventos!$J:$J,"="&amp;$H$2),
$K$2=Data!$A$2,SUMIFS(Proventos!$H:$H,Proventos!$D:$D,"&gt;="&amp;CONCATENATE($J$6,"/",B77),Proventos!$D:$D,"&lt;"&amp;CONCATENATE($K$6,"/",B77)),
$K$2&lt;&gt;Data!$A$2,SUMIFS(Proventos!$H:$H,Proventos!$D:$D,"&gt;="&amp;CONCATENATE($J$6,"/",B77),Proventos!$D:$D,"&lt;"&amp;CONCATENATE($K$6,"/",B77),Proventos!$A:$A,"="&amp;$K$2))</f>
        <v>0</v>
      </c>
      <c r="K77" s="245">
        <f>IFS(
AND($H$2=Data!$A$3,$K$2=Data!$A$2),SUMIFS(Proventos!$H:$H,Proventos!$D:$D,"&gt;="&amp;CONCATENATE($K$6,"/",B77),Proventos!$D:$D,"&lt;"&amp;CONCATENATE($L$6,"/",B77),Proventos!$J:$J,"="&amp;$H$2),
AND($H$2=Data!$A$4,$K$2=Data!$A$2),SUMIFS(Proventos!$H:$H,Proventos!$D:$D,"&gt;="&amp;CONCATENATE($K$6,"/",B77),Proventos!$D:$D,"&lt;"&amp;CONCATENATE($L$6,"/",B77),Proventos!$J:$J,"="&amp;$H$2),
AND($H$2=Data!$A$5,$K$2=Data!$A$2),SUMIFS(Proventos!$H:$H,Proventos!$D:$D,"&gt;="&amp;CONCATENATE($K$6,"/",B77),Proventos!$D:$D,"&lt;"&amp;CONCATENATE($L$6,"/",B77),Proventos!$J:$J,"="&amp;$H$2),
AND($H$2=Data!$A$6,$K$2=Data!$A$2),SUMIFS(Proventos!$H:$H,Proventos!$D:$D,"&gt;="&amp;CONCATENATE($K$6,"/",B77),Proventos!$D:$D,"&lt;"&amp;CONCATENATE($L$6,"/",B77),Proventos!$J:$J,"="&amp;$H$2),
AND($H$2=Data!$A$7,$K$2=Data!$A$2),SUMIFS(Proventos!$H:$H,Proventos!$D:$D,"&gt;="&amp;CONCATENATE($K$6,"/",B77),Proventos!$D:$D,"&lt;"&amp;CONCATENATE($L$6,"/",B77),Proventos!$J:$J,"="&amp;$H$2),
AND($H$2=Data!$A$8,$K$2=Data!$A$2),SUMIFS(Proventos!$H:$H,Proventos!$D:$D,"&gt;="&amp;CONCATENATE($K$6,"/",B77),Proventos!$D:$D,"&lt;"&amp;CONCATENATE($L$6,"/",B77),Proventos!$J:$J,"="&amp;$H$2),
AND($H$2=Data!$A$9,$K$2=Data!$A$2),SUMIFS(Proventos!$H:$H,Proventos!$D:$D,"&gt;="&amp;CONCATENATE($K$6,"/",B77),Proventos!$D:$D,"&lt;"&amp;CONCATENATE($L$6,"/",B77),Proventos!$J:$J,"="&amp;$H$2),
AND($H$2=Data!$A$10,$K$2=Data!$A$2),SUMIFS(Proventos!$H:$H,Proventos!$D:$D,"&gt;="&amp;CONCATENATE($K$6,"/",B77),Proventos!$D:$D,"&lt;"&amp;CONCATENATE($L$6,"/",B77),Proventos!$J:$J,"="&amp;$H$2),
AND($H$2=Data!$A$11,$K$2=Data!$A$2),SUMIFS(Proventos!$H:$H,Proventos!$D:$D,"&gt;="&amp;CONCATENATE($K$6,"/",B77),Proventos!$D:$D,"&lt;"&amp;CONCATENATE($L$6,"/",B77),Proventos!$J:$J,"="&amp;$H$2),
$K$2=Data!$A$2,SUMIFS(Proventos!$H:$H,Proventos!$D:$D,"&gt;="&amp;CONCATENATE($K$6,"/",B77),Proventos!$D:$D,"&lt;"&amp;CONCATENATE($L$6,"/",B77)),
$K$2&lt;&gt;Data!$A$2,SUMIFS(Proventos!$H:$H,Proventos!$D:$D,"&gt;="&amp;CONCATENATE($K$6,"/",B77),Proventos!$D:$D,"&lt;"&amp;CONCATENATE($L$6,"/",B77),Proventos!$A:$A,"="&amp;$K$2))</f>
        <v>0</v>
      </c>
      <c r="L77" s="245">
        <f>IFS(
AND($H$2=Data!$A$3,$K$2=Data!$A$2),SUMIFS(Proventos!$H:$H,Proventos!$D:$D,"&gt;="&amp;CONCATENATE($L$6,"/",B77),Proventos!$D:$D,"&lt;"&amp;CONCATENATE($M$6,"/",B77),Proventos!$J:$J,"="&amp;$H$2),
AND($H$2=Data!$A$4,$K$2=Data!$A$2),SUMIFS(Proventos!$H:$H,Proventos!$D:$D,"&gt;="&amp;CONCATENATE($L$6,"/",B77),Proventos!$D:$D,"&lt;"&amp;CONCATENATE($M$6,"/",B77),Proventos!$J:$J,"="&amp;$H$2),
AND($H$2=Data!$A$5,$K$2=Data!$A$2),SUMIFS(Proventos!$H:$H,Proventos!$D:$D,"&gt;="&amp;CONCATENATE($L$6,"/",B77),Proventos!$D:$D,"&lt;"&amp;CONCATENATE($M$6,"/",B77),Proventos!$J:$J,"="&amp;$H$2),
AND($H$2=Data!$A$6,$K$2=Data!$A$2),SUMIFS(Proventos!$H:$H,Proventos!$D:$D,"&gt;="&amp;CONCATENATE($L$6,"/",B77),Proventos!$D:$D,"&lt;"&amp;CONCATENATE($M$6,"/",B77),Proventos!$J:$J,"="&amp;$H$2),
AND($H$2=Data!$A$7,$K$2=Data!$A$2),SUMIFS(Proventos!$H:$H,Proventos!$D:$D,"&gt;="&amp;CONCATENATE($L$6,"/",B77),Proventos!$D:$D,"&lt;"&amp;CONCATENATE($M$6,"/",B77),Proventos!$J:$J,"="&amp;$H$2),
AND($H$2=Data!$A$8,$K$2=Data!$A$2),SUMIFS(Proventos!$H:$H,Proventos!$D:$D,"&gt;="&amp;CONCATENATE($L$6,"/",B77),Proventos!$D:$D,"&lt;"&amp;CONCATENATE($M$6,"/",B77),Proventos!$J:$J,"="&amp;$H$2),
AND($H$2=Data!$A$9,$K$2=Data!$A$2),SUMIFS(Proventos!$H:$H,Proventos!$D:$D,"&gt;="&amp;CONCATENATE($L$6,"/",B77),Proventos!$D:$D,"&lt;"&amp;CONCATENATE($M$6,"/",B77),Proventos!$J:$J,"="&amp;$H$2),
AND($H$2=Data!$A$10,$K$2=Data!$A$2),SUMIFS(Proventos!$H:$H,Proventos!$D:$D,"&gt;="&amp;CONCATENATE($L$6,"/",B77),Proventos!$D:$D,"&lt;"&amp;CONCATENATE($M$6,"/",B77),Proventos!$J:$J,"="&amp;$H$2),
AND($H$2=Data!$A$11,$K$2=Data!$A$2),SUMIFS(Proventos!$H:$H,Proventos!$D:$D,"&gt;="&amp;CONCATENATE($L$6,"/",B77),Proventos!$D:$D,"&lt;"&amp;CONCATENATE($M$6,"/",B77),Proventos!$J:$J,"="&amp;$H$2),
$K$2=Data!$A$2,SUMIFS(Proventos!$H:$H,Proventos!$D:$D,"&gt;="&amp;CONCATENATE($L$6,"/",B77),Proventos!$D:$D,"&lt;"&amp;CONCATENATE($M$6,"/",B77)),
$K$2&lt;&gt;Data!$A$2,SUMIFS(Proventos!$H:$H,Proventos!$D:$D,"&gt;="&amp;CONCATENATE($L$6,"/",B77),Proventos!$D:$D,"&lt;"&amp;CONCATENATE($M$6,"/",B77),Proventos!$A:$A,"="&amp;$K$2))</f>
        <v>0</v>
      </c>
      <c r="M77" s="245">
        <f>IFS(
AND($H$2=Data!$A$3,$K$2=Data!$A$2),SUMIFS(Proventos!$H:$H,Proventos!$D:$D,"&gt;="&amp;CONCATENATE($M$6,"/",B77),Proventos!$D:$D,"&lt;"&amp;CONCATENATE($N$6,"/",B77),Proventos!$J:$J,"="&amp;$H$2),
AND($H$2=Data!$A$4,$K$2=Data!$A$2),SUMIFS(Proventos!$H:$H,Proventos!$D:$D,"&gt;="&amp;CONCATENATE($M$6,"/",B77),Proventos!$D:$D,"&lt;"&amp;CONCATENATE($N$6,"/",B77),Proventos!$J:$J,"="&amp;$H$2),
AND($H$2=Data!$A$5,$K$2=Data!$A$2),SUMIFS(Proventos!$H:$H,Proventos!$D:$D,"&gt;="&amp;CONCATENATE($M$6,"/",B77),Proventos!$D:$D,"&lt;"&amp;CONCATENATE($N$6,"/",B77),Proventos!$J:$J,"="&amp;$H$2),
AND($H$2=Data!$A$6,$K$2=Data!$A$2),SUMIFS(Proventos!$H:$H,Proventos!$D:$D,"&gt;="&amp;CONCATENATE($M$6,"/",B77),Proventos!$D:$D,"&lt;"&amp;CONCATENATE($N$6,"/",B77),Proventos!$J:$J,"="&amp;$H$2),
AND($H$2=Data!$A$7,$K$2=Data!$A$2),SUMIFS(Proventos!$H:$H,Proventos!$D:$D,"&gt;="&amp;CONCATENATE($M$6,"/",B77),Proventos!$D:$D,"&lt;"&amp;CONCATENATE($N$6,"/",B77),Proventos!$J:$J,"="&amp;$H$2),
AND($H$2=Data!$A$8,$K$2=Data!$A$2),SUMIFS(Proventos!$H:$H,Proventos!$D:$D,"&gt;="&amp;CONCATENATE($M$6,"/",B77),Proventos!$D:$D,"&lt;"&amp;CONCATENATE($N$6,"/",B77),Proventos!$J:$J,"="&amp;$H$2),
AND($H$2=Data!$A$9,$K$2=Data!$A$2),SUMIFS(Proventos!$H:$H,Proventos!$D:$D,"&gt;="&amp;CONCATENATE($M$6,"/",B77),Proventos!$D:$D,"&lt;"&amp;CONCATENATE($N$6,"/",B77),Proventos!$J:$J,"="&amp;$H$2),
AND($H$2=Data!$A$10,$K$2=Data!$A$2),SUMIFS(Proventos!$H:$H,Proventos!$D:$D,"&gt;="&amp;CONCATENATE($M$6,"/",B77),Proventos!$D:$D,"&lt;"&amp;CONCATENATE($N$6,"/",B77),Proventos!$J:$J,"="&amp;$H$2),
AND($H$2=Data!$A$11,$K$2=Data!$A$2),SUMIFS(Proventos!$H:$H,Proventos!$D:$D,"&gt;="&amp;CONCATENATE($M$6,"/",B77),Proventos!$D:$D,"&lt;"&amp;CONCATENATE($N$6,"/",B77),Proventos!$J:$J,"="&amp;$H$2),
$K$2=Data!$A$2,SUMIFS(Proventos!$H:$H,Proventos!$D:$D,"&gt;="&amp;CONCATENATE($M$6,"/",B77),Proventos!$D:$D,"&lt;"&amp;CONCATENATE($N$6,"/",B77)),
$K$2&lt;&gt;Data!$A$2,SUMIFS(Proventos!$H:$H,Proventos!$D:$D,"&gt;="&amp;CONCATENATE($M$6,"/",B77),Proventos!$D:$D,"&lt;"&amp;CONCATENATE($N$6,"/",B77),Proventos!$A:$A,"="&amp;$K$2))</f>
        <v>0</v>
      </c>
      <c r="N77" s="245">
        <f>IFS(
AND($H$2=Data!$A$3,$K$2=Data!$A$2),SUMIFS(Proventos!$H:$H,Proventos!$D:$D,"&gt;="&amp;CONCATENATE($N$6,"/",B77),Proventos!$D:$D,"&lt;"&amp;CONCATENATE($C$6,"/",B78),Proventos!$J:$J,"="&amp;$H$2),
AND($H$2=Data!$A$4,$K$2=Data!$A$2),SUMIFS(Proventos!$H:$H,Proventos!$D:$D,"&gt;="&amp;CONCATENATE($N$6,"/",B77),Proventos!$D:$D,"&lt;"&amp;CONCATENATE($C$6,"/",B78),Proventos!$J:$J,"="&amp;$H$2),
AND($H$2=Data!$A$5,$K$2=Data!$A$2),SUMIFS(Proventos!$H:$H,Proventos!$D:$D,"&gt;="&amp;CONCATENATE($N$6,"/",B77),Proventos!$D:$D,"&lt;"&amp;CONCATENATE($C$6,"/",B78),Proventos!$J:$J,"="&amp;$H$2),
AND($H$2=Data!$A$6,$K$2=Data!$A$2),SUMIFS(Proventos!$H:$H,Proventos!$D:$D,"&gt;="&amp;CONCATENATE($N$6,"/",B77),Proventos!$D:$D,"&lt;"&amp;CONCATENATE($C$6,"/",B78),Proventos!$J:$J,"="&amp;$H$2),
AND($H$2=Data!$A$7,$K$2=Data!$A$2),SUMIFS(Proventos!$H:$H,Proventos!$D:$D,"&gt;="&amp;CONCATENATE($N$6,"/",B77),Proventos!$D:$D,"&lt;"&amp;CONCATENATE($C$6,"/",B78),Proventos!$J:$J,"="&amp;$H$2),
AND($H$2=Data!$A$8,$K$2=Data!$A$2),SUMIFS(Proventos!$H:$H,Proventos!$D:$D,"&gt;="&amp;CONCATENATE($N$6,"/",B77),Proventos!$D:$D,"&lt;"&amp;CONCATENATE($C$6,"/",B78),Proventos!$J:$J,"="&amp;$H$2),
AND($H$2=Data!$A$9,$K$2=Data!$A$2),SUMIFS(Proventos!$H:$H,Proventos!$D:$D,"&gt;="&amp;CONCATENATE($N$6,"/",B77),Proventos!$D:$D,"&lt;"&amp;CONCATENATE($C$6,"/",B78),Proventos!$J:$J,"="&amp;$H$2),
AND($H$2=Data!$A$10,$K$2=Data!$A$2),SUMIFS(Proventos!$H:$H,Proventos!$D:$D,"&gt;="&amp;CONCATENATE($N$6,"/",B77),Proventos!$D:$D,"&lt;"&amp;CONCATENATE($C$6,"/",B78),Proventos!$J:$J,"="&amp;$H$2),
AND($H$2=Data!$A$11,$K$2=Data!$A$2),SUMIFS(Proventos!$H:$H,Proventos!$D:$D,"&gt;="&amp;CONCATENATE($N$6,"/",B77),Proventos!$D:$D,"&lt;"&amp;CONCATENATE($C$6,"/",B78),Proventos!$J:$J,"="&amp;$H$2),
$K$2=Data!$A$2,SUMIFS(Proventos!$H:$H,Proventos!$D:$D,"&gt;="&amp;CONCATENATE($N$6,"/",B77),Proventos!$D:$D,"&lt;"&amp;CONCATENATE($C$6,"/",B78)),
$K$2&lt;&gt;Data!$A$2,SUMIFS(Proventos!$H:$H,Proventos!$D:$D,"&gt;="&amp;CONCATENATE($N$6,"/",B77),Proventos!$D:$D,"&lt;"&amp;CONCATENATE($C$6,"/",B78),Proventos!$A:$A,"="&amp;$K$2))</f>
        <v>0</v>
      </c>
      <c r="O77" s="245"/>
      <c r="P77" s="245">
        <f t="shared" si="1"/>
        <v>0</v>
      </c>
      <c r="Q77" s="245">
        <f t="shared" si="2"/>
        <v>0</v>
      </c>
    </row>
    <row r="78" ht="32.25" customHeight="1">
      <c r="A78" s="230"/>
      <c r="B78" s="244"/>
      <c r="C78" s="245">
        <f>IFS(
AND($H$2=Data!$A$3,$K$2=Data!$A$2),SUMIFS(Proventos!$H:$H,Proventos!$D:$D,"&gt;="&amp;CONCATENATE($C$6,"/",B78),Proventos!$D:$D,"&lt;"&amp;CONCATENATE($D$6,"/",B78),Proventos!$J:$J,"="&amp;$H$2),
AND($H$2=Data!$A$4,$K$2=Data!$A$2),SUMIFS(Proventos!$H:$H,Proventos!$D:$D,"&gt;="&amp;CONCATENATE($C$6,"/",B78),Proventos!$D:$D,"&lt;"&amp;CONCATENATE($D$6,"/",B78),Proventos!$J:$J,"="&amp;$H$2),
AND($H$2=Data!$A$5,$K$2=Data!$A$2),SUMIFS(Proventos!$H:$H,Proventos!$D:$D,"&gt;="&amp;CONCATENATE($C$6,"/",B78),Proventos!$D:$D,"&lt;"&amp;CONCATENATE($D$6,"/",B78),Proventos!$J:$J,"="&amp;$H$2),
AND($H$2=Data!$A$6,$K$2=Data!$A$2),SUMIFS(Proventos!$H:$H,Proventos!$D:$D,"&gt;="&amp;CONCATENATE($C$6,"/",B78),Proventos!$D:$D,"&lt;"&amp;CONCATENATE($D$6,"/",B78),Proventos!$J:$J,"="&amp;$H$2),
AND($H$2=Data!$A$7,$K$2=Data!$A$2),SUMIFS(Proventos!$H:$H,Proventos!$D:$D,"&gt;="&amp;CONCATENATE($C$6,"/",B78),Proventos!$D:$D,"&lt;"&amp;CONCATENATE($D$6,"/",B78),Proventos!$J:$J,"="&amp;$H$2),
AND($H$2=Data!$A$8,$K$2=Data!$A$2),SUMIFS(Proventos!$H:$H,Proventos!$D:$D,"&gt;="&amp;CONCATENATE($C$6,"/",B78),Proventos!$D:$D,"&lt;"&amp;CONCATENATE($D$6,"/",B78),Proventos!$J:$J,"="&amp;$H$2),
AND($H$2=Data!$A$9,$K$2=Data!$A$2),SUMIFS(Proventos!$H:$H,Proventos!$D:$D,"&gt;="&amp;CONCATENATE($C$6,"/",B78),Proventos!$D:$D,"&lt;"&amp;CONCATENATE($D$6,"/",B78),Proventos!$J:$J,"="&amp;$H$2),
AND($H$2=Data!$A$10,$K$2=Data!$A$2),SUMIFS(Proventos!$H:$H,Proventos!$D:$D,"&gt;="&amp;CONCATENATE($C$6,"/",B78),Proventos!$D:$D,"&lt;"&amp;CONCATENATE($D$6,"/",B78),Proventos!$J:$J,"="&amp;$H$2),
AND($H$2=Data!$A$11,$K$2=Data!$A$2),SUMIFS(Proventos!$H:$H,Proventos!$D:$D,"&gt;="&amp;CONCATENATE($C$6,"/",B78),Proventos!$D:$D,"&lt;"&amp;CONCATENATE($D$6,"/",B78),Proventos!$J:$J,"="&amp;$H$2),
$K$2=Data!$A$2,SUMIFS(Proventos!$H:$H,Proventos!$D:$D,"&gt;="&amp;CONCATENATE($C$6,"/",B78),Proventos!$D:$D,"&lt;"&amp;CONCATENATE($D$6,"/",B78)),
$K$2&lt;&gt;Data!$A$2,SUMIFS(Proventos!$H:$H,Proventos!$D:$D,"&gt;="&amp;CONCATENATE($C$6,"/",B78),Proventos!$D:$D,"&lt;"&amp;CONCATENATE($D$6,"/",B78),Proventos!$A:$A,"="&amp;$K$2))</f>
        <v>0</v>
      </c>
      <c r="D78" s="245">
        <f>IFS(
AND($H$2=Data!$A$3,$K$2=Data!$A$2),SUMIFS(Proventos!$H:$H,Proventos!$D:$D,"&gt;="&amp;CONCATENATE($D$6,"/",B78),Proventos!$D:$D,"&lt;"&amp;CONCATENATE($E$6,"/",B78),Proventos!$J:$J,"="&amp;$H$2),
AND($H$2=Data!$A$4,$K$2=Data!$A$2),SUMIFS(Proventos!$H:$H,Proventos!$D:$D,"&gt;="&amp;CONCATENATE($D$6,"/",B78),Proventos!$D:$D,"&lt;"&amp;CONCATENATE($E$6,"/",B78),Proventos!$J:$J,"="&amp;$H$2),
AND($H$2=Data!$A$5,$K$2=Data!$A$2),SUMIFS(Proventos!$H:$H,Proventos!$D:$D,"&gt;="&amp;CONCATENATE($D$6,"/",B78),Proventos!$D:$D,"&lt;"&amp;CONCATENATE($E$6,"/",B78),Proventos!$J:$J,"="&amp;$H$2),
AND($H$2=Data!$A$6,$K$2=Data!$A$2),SUMIFS(Proventos!$H:$H,Proventos!$D:$D,"&gt;="&amp;CONCATENATE($D$6,"/",B78),Proventos!$D:$D,"&lt;"&amp;CONCATENATE($E$6,"/",B78),Proventos!$J:$J,"="&amp;$H$2),
AND($H$2=Data!$A$7,$K$2=Data!$A$2),SUMIFS(Proventos!$H:$H,Proventos!$D:$D,"&gt;="&amp;CONCATENATE($D$6,"/",B78),Proventos!$D:$D,"&lt;"&amp;CONCATENATE($E$6,"/",B78),Proventos!$J:$J,"="&amp;$H$2),
AND($H$2=Data!$A$8,$K$2=Data!$A$2),SUMIFS(Proventos!$H:$H,Proventos!$D:$D,"&gt;="&amp;CONCATENATE($D$6,"/",B78),Proventos!$D:$D,"&lt;"&amp;CONCATENATE($E$6,"/",B78),Proventos!$J:$J,"="&amp;$H$2),
AND($H$2=Data!$A$9,$K$2=Data!$A$2),SUMIFS(Proventos!$H:$H,Proventos!$D:$D,"&gt;="&amp;CONCATENATE($D$6,"/",B78),Proventos!$D:$D,"&lt;"&amp;CONCATENATE($E$6,"/",B78),Proventos!$J:$J,"="&amp;$H$2),
AND($H$2=Data!$A$10,$K$2=Data!$A$2),SUMIFS(Proventos!$H:$H,Proventos!$D:$D,"&gt;="&amp;CONCATENATE($D$6,"/",B78),Proventos!$D:$D,"&lt;"&amp;CONCATENATE($E$6,"/",B78),Proventos!$J:$J,"="&amp;$H$2),
AND($H$2=Data!$A$11,$K$2=Data!$A$2),SUMIFS(Proventos!$H:$H,Proventos!$D:$D,"&gt;="&amp;CONCATENATE($D$6,"/",B78),Proventos!$D:$D,"&lt;"&amp;CONCATENATE($E$6,"/",B78),Proventos!$J:$J,"="&amp;$H$2),
$K$2=Data!$A$2,SUMIFS(Proventos!$H:$H,Proventos!$D:$D,"&gt;="&amp;CONCATENATE($D$6,"/",B78),Proventos!$D:$D,"&lt;"&amp;CONCATENATE($E$6,"/",B78)),
$K$2&lt;&gt;Data!$A$2,SUMIFS(Proventos!$H:$H,Proventos!$D:$D,"&gt;="&amp;CONCATENATE($D$6,"/",B78),Proventos!$D:$D,"&lt;"&amp;CONCATENATE($E$6,"/",B78),Proventos!$A:$A,"="&amp;$K$2))</f>
        <v>0</v>
      </c>
      <c r="E78" s="245">
        <f>IFS(
AND($H$2=Data!$A$3,$K$2=Data!$A$2),SUMIFS(Proventos!$H:$H,Proventos!$D:$D,"&gt;="&amp;CONCATENATE($E$6,"/",B78),Proventos!$D:$D,"&lt;"&amp;CONCATENATE($F$6,"/",B78),Proventos!$J:$J,"="&amp;$H$2),
AND($H$2=Data!$A$4,$K$2=Data!$A$2),SUMIFS(Proventos!$H:$H,Proventos!$D:$D,"&gt;="&amp;CONCATENATE($E$6,"/",B78),Proventos!$D:$D,"&lt;"&amp;CONCATENATE($F$6,"/",B78),Proventos!$J:$J,"="&amp;$H$2),
AND($H$2=Data!$A$5,$K$2=Data!$A$2),SUMIFS(Proventos!$H:$H,Proventos!$D:$D,"&gt;="&amp;CONCATENATE($E$6,"/",B78),Proventos!$D:$D,"&lt;"&amp;CONCATENATE($F$6,"/",B78),Proventos!$J:$J,"="&amp;$H$2),
AND($H$2=Data!$A$6,$K$2=Data!$A$2),SUMIFS(Proventos!$H:$H,Proventos!$D:$D,"&gt;="&amp;CONCATENATE($E$6,"/",B78),Proventos!$D:$D,"&lt;"&amp;CONCATENATE($F$6,"/",B78),Proventos!$J:$J,"="&amp;$H$2),
AND($H$2=Data!$A$7,$K$2=Data!$A$2),SUMIFS(Proventos!$H:$H,Proventos!$D:$D,"&gt;="&amp;CONCATENATE($E$6,"/",B78),Proventos!$D:$D,"&lt;"&amp;CONCATENATE($F$6,"/",B78),Proventos!$J:$J,"="&amp;$H$2),
AND($H$2=Data!$A$8,$K$2=Data!$A$2),SUMIFS(Proventos!$H:$H,Proventos!$D:$D,"&gt;="&amp;CONCATENATE($E$6,"/",B78),Proventos!$D:$D,"&lt;"&amp;CONCATENATE($F$6,"/",B78),Proventos!$J:$J,"="&amp;$H$2),
AND($H$2=Data!$A$9,$K$2=Data!$A$2),SUMIFS(Proventos!$H:$H,Proventos!$D:$D,"&gt;="&amp;CONCATENATE($E$6,"/",B78),Proventos!$D:$D,"&lt;"&amp;CONCATENATE($F$6,"/",B78),Proventos!$J:$J,"="&amp;$H$2),
AND($H$2=Data!$A$10,$K$2=Data!$A$2),SUMIFS(Proventos!$H:$H,Proventos!$D:$D,"&gt;="&amp;CONCATENATE($E$6,"/",B78),Proventos!$D:$D,"&lt;"&amp;CONCATENATE($F$6,"/",B78),Proventos!$J:$J,"="&amp;$H$2),
AND($H$2=Data!$A$11,$K$2=Data!$A$2),SUMIFS(Proventos!$H:$H,Proventos!$D:$D,"&gt;="&amp;CONCATENATE($E$6,"/",B78),Proventos!$D:$D,"&lt;"&amp;CONCATENATE($F$6,"/",B78),Proventos!$J:$J,"="&amp;$H$2),
$K$2=Data!$A$2,SUMIFS(Proventos!$H:$H,Proventos!$D:$D,"&gt;="&amp;CONCATENATE($E$6,"/",B78),Proventos!$D:$D,"&lt;"&amp;CONCATENATE($F$6,"/",B78)),
$K$2&lt;&gt;Data!$A$2,SUMIFS(Proventos!$H:$H,Proventos!$D:$D,"&gt;="&amp;CONCATENATE($E$6,"/",B78),Proventos!$D:$D,"&lt;"&amp;CONCATENATE($F$6,"/",B78),Proventos!$A:$A,"="&amp;$K$2))</f>
        <v>0</v>
      </c>
      <c r="F78" s="245">
        <f>IFS(
AND($H$2=Data!$A$3,$K$2=Data!$A$2),SUMIFS(Proventos!$H:$H,Proventos!$D:$D,"&gt;="&amp;CONCATENATE($F$6,"/",B78),Proventos!$D:$D,"&lt;"&amp;CONCATENATE($G$6,"/",B78),Proventos!$J:$J,"="&amp;$H$2),
AND($H$2=Data!$A$4,$K$2=Data!$A$2),SUMIFS(Proventos!$H:$H,Proventos!$D:$D,"&gt;="&amp;CONCATENATE($F$6,"/",B78),Proventos!$D:$D,"&lt;"&amp;CONCATENATE($G$6,"/",B78),Proventos!$J:$J,"="&amp;$H$2),
AND($H$2=Data!$A$5,$K$2=Data!$A$2),SUMIFS(Proventos!$H:$H,Proventos!$D:$D,"&gt;="&amp;CONCATENATE($F$6,"/",B78),Proventos!$D:$D,"&lt;"&amp;CONCATENATE($G$6,"/",B78),Proventos!$J:$J,"="&amp;$H$2),
AND($H$2=Data!$A$6,$K$2=Data!$A$2),SUMIFS(Proventos!$H:$H,Proventos!$D:$D,"&gt;="&amp;CONCATENATE($F$6,"/",B78),Proventos!$D:$D,"&lt;"&amp;CONCATENATE($G$6,"/",B78),Proventos!$J:$J,"="&amp;$H$2),
AND($H$2=Data!$A$7,$K$2=Data!$A$2),SUMIFS(Proventos!$H:$H,Proventos!$D:$D,"&gt;="&amp;CONCATENATE($F$6,"/",B78),Proventos!$D:$D,"&lt;"&amp;CONCATENATE($G$6,"/",B78),Proventos!$J:$J,"="&amp;$H$2),
AND($H$2=Data!$A$8,$K$2=Data!$A$2),SUMIFS(Proventos!$H:$H,Proventos!$D:$D,"&gt;="&amp;CONCATENATE($F$6,"/",B78),Proventos!$D:$D,"&lt;"&amp;CONCATENATE($G$6,"/",B78),Proventos!$J:$J,"="&amp;$H$2),
AND($H$2=Data!$A$9,$K$2=Data!$A$2),SUMIFS(Proventos!$H:$H,Proventos!$D:$D,"&gt;="&amp;CONCATENATE($F$6,"/",B78),Proventos!$D:$D,"&lt;"&amp;CONCATENATE($G$6,"/",B78),Proventos!$J:$J,"="&amp;$H$2),
AND($H$2=Data!$A$10,$K$2=Data!$A$2),SUMIFS(Proventos!$H:$H,Proventos!$D:$D,"&gt;="&amp;CONCATENATE($F$6,"/",B78),Proventos!$D:$D,"&lt;"&amp;CONCATENATE($G$6,"/",B78),Proventos!$J:$J,"="&amp;$H$2),
AND($H$2=Data!$A$11,$K$2=Data!$A$2),SUMIFS(Proventos!$H:$H,Proventos!$D:$D,"&gt;="&amp;CONCATENATE($F$6,"/",B78),Proventos!$D:$D,"&lt;"&amp;CONCATENATE($G$6,"/",B78),Proventos!$J:$J,"="&amp;$H$2),
$K$2=Data!$A$2,SUMIFS(Proventos!$H:$H,Proventos!$D:$D,"&gt;="&amp;CONCATENATE($F$6,"/",B78),Proventos!$D:$D,"&lt;"&amp;CONCATENATE($G$6,"/",B78)),
$K$2&lt;&gt;Data!$A$2,SUMIFS(Proventos!$H:$H,Proventos!$D:$D,"&gt;="&amp;CONCATENATE($F$6,"/",B78),Proventos!$D:$D,"&lt;"&amp;CONCATENATE($G$6,"/",B78),Proventos!$A:$A,"="&amp;$K$2))</f>
        <v>0</v>
      </c>
      <c r="G78" s="245">
        <f>IFS(
AND($H$2=Data!$A$3,$K$2=Data!$A$2),SUMIFS(Proventos!$H:$H,Proventos!$D:$D,"&gt;="&amp;CONCATENATE($G$6,"/",B78),Proventos!$D:$D,"&lt;"&amp;CONCATENATE($H$6,"/",B78),Proventos!$J:$J,"="&amp;$H$2),
AND($H$2=Data!$A$4,$K$2=Data!$A$2),SUMIFS(Proventos!$H:$H,Proventos!$D:$D,"&gt;="&amp;CONCATENATE($G$6,"/",B78),Proventos!$D:$D,"&lt;"&amp;CONCATENATE($H$6,"/",B78),Proventos!$J:$J,"="&amp;$H$2),
AND($H$2=Data!$A$5,$K$2=Data!$A$2),SUMIFS(Proventos!$H:$H,Proventos!$D:$D,"&gt;="&amp;CONCATENATE($G$6,"/",B78),Proventos!$D:$D,"&lt;"&amp;CONCATENATE($H$6,"/",B78),Proventos!$J:$J,"="&amp;$H$2),
AND($H$2=Data!$A$6,$K$2=Data!$A$2),SUMIFS(Proventos!$H:$H,Proventos!$D:$D,"&gt;="&amp;CONCATENATE($G$6,"/",B78),Proventos!$D:$D,"&lt;"&amp;CONCATENATE($H$6,"/",B78),Proventos!$J:$J,"="&amp;$H$2),
AND($H$2=Data!$A$7,$K$2=Data!$A$2),SUMIFS(Proventos!$H:$H,Proventos!$D:$D,"&gt;="&amp;CONCATENATE($G$6,"/",B78),Proventos!$D:$D,"&lt;"&amp;CONCATENATE($H$6,"/",B78),Proventos!$J:$J,"="&amp;$H$2),
AND($H$2=Data!$A$8,$K$2=Data!$A$2),SUMIFS(Proventos!$H:$H,Proventos!$D:$D,"&gt;="&amp;CONCATENATE($G$6,"/",B78),Proventos!$D:$D,"&lt;"&amp;CONCATENATE($H$6,"/",B78),Proventos!$J:$J,"="&amp;$H$2),
AND($H$2=Data!$A$9,$K$2=Data!$A$2),SUMIFS(Proventos!$H:$H,Proventos!$D:$D,"&gt;="&amp;CONCATENATE($G$6,"/",B78),Proventos!$D:$D,"&lt;"&amp;CONCATENATE($H$6,"/",B78),Proventos!$J:$J,"="&amp;$H$2),
AND($H$2=Data!$A$10,$K$2=Data!$A$2),SUMIFS(Proventos!$H:$H,Proventos!$D:$D,"&gt;="&amp;CONCATENATE($G$6,"/",B78),Proventos!$D:$D,"&lt;"&amp;CONCATENATE($H$6,"/",B78),Proventos!$J:$J,"="&amp;$H$2),
AND($H$2=Data!$A$11,$K$2=Data!$A$2),SUMIFS(Proventos!$H:$H,Proventos!$D:$D,"&gt;="&amp;CONCATENATE($G$6,"/",B78),Proventos!$D:$D,"&lt;"&amp;CONCATENATE($H$6,"/",B78),Proventos!$J:$J,"="&amp;$H$2),
$K$2=Data!$A$2,SUMIFS(Proventos!$H:$H,Proventos!$D:$D,"&gt;="&amp;CONCATENATE($G$6,"/",B78),Proventos!$D:$D,"&lt;"&amp;CONCATENATE($H$6,"/",B78)),
$K$2&lt;&gt;Data!$A$2,SUMIFS(Proventos!$H:$H,Proventos!$D:$D,"&gt;="&amp;CONCATENATE($G$6,"/",B78),Proventos!$D:$D,"&lt;"&amp;CONCATENATE($H$6,"/",B78),Proventos!$A:$A,"="&amp;$K$2))</f>
        <v>0</v>
      </c>
      <c r="H78" s="245">
        <f>IFS(
AND($H$2=Data!$A$3,$K$2=Data!$A$2),SUMIFS(Proventos!$H:$H,Proventos!$D:$D,"&gt;="&amp;CONCATENATE($H$6,"/",B78),Proventos!$D:$D,"&lt;"&amp;CONCATENATE($I$6,"/",B78),Proventos!$J:$J,"="&amp;$H$2),
AND($H$2=Data!$A$4,$K$2=Data!$A$2),SUMIFS(Proventos!$H:$H,Proventos!$D:$D,"&gt;="&amp;CONCATENATE($H$6,"/",B78),Proventos!$D:$D,"&lt;"&amp;CONCATENATE($I$6,"/",B78),Proventos!$J:$J,"="&amp;$H$2),
AND($H$2=Data!$A$5,$K$2=Data!$A$2),SUMIFS(Proventos!$H:$H,Proventos!$D:$D,"&gt;="&amp;CONCATENATE($H$6,"/",B78),Proventos!$D:$D,"&lt;"&amp;CONCATENATE($I$6,"/",B78),Proventos!$J:$J,"="&amp;$H$2),
AND($H$2=Data!$A$6,$K$2=Data!$A$2),SUMIFS(Proventos!$H:$H,Proventos!$D:$D,"&gt;="&amp;CONCATENATE($H$6,"/",B78),Proventos!$D:$D,"&lt;"&amp;CONCATENATE($I$6,"/",B78),Proventos!$J:$J,"="&amp;$H$2),
AND($H$2=Data!$A$7,$K$2=Data!$A$2),SUMIFS(Proventos!$H:$H,Proventos!$D:$D,"&gt;="&amp;CONCATENATE($H$6,"/",B78),Proventos!$D:$D,"&lt;"&amp;CONCATENATE($I$6,"/",B78),Proventos!$J:$J,"="&amp;$H$2),
AND($H$2=Data!$A$8,$K$2=Data!$A$2),SUMIFS(Proventos!$H:$H,Proventos!$D:$D,"&gt;="&amp;CONCATENATE($H$6,"/",B78),Proventos!$D:$D,"&lt;"&amp;CONCATENATE($I$6,"/",B78),Proventos!$J:$J,"="&amp;$H$2),
AND($H$2=Data!$A$9,$K$2=Data!$A$2),SUMIFS(Proventos!$H:$H,Proventos!$D:$D,"&gt;="&amp;CONCATENATE($H$6,"/",B78),Proventos!$D:$D,"&lt;"&amp;CONCATENATE($I$6,"/",B78),Proventos!$J:$J,"="&amp;$H$2),
AND($H$2=Data!$A$10,$K$2=Data!$A$2),SUMIFS(Proventos!$H:$H,Proventos!$D:$D,"&gt;="&amp;CONCATENATE($H$6,"/",B78),Proventos!$D:$D,"&lt;"&amp;CONCATENATE($I$6,"/",B78),Proventos!$J:$J,"="&amp;$H$2),
AND($H$2=Data!$A$11,$K$2=Data!$A$2),SUMIFS(Proventos!$H:$H,Proventos!$D:$D,"&gt;="&amp;CONCATENATE($H$6,"/",B78),Proventos!$D:$D,"&lt;"&amp;CONCATENATE($I$6,"/",B78),Proventos!$J:$J,"="&amp;$H$2),
$K$2=Data!$A$2,SUMIFS(Proventos!$H:$H,Proventos!$D:$D,"&gt;="&amp;CONCATENATE($H$6,"/",B78),Proventos!$D:$D,"&lt;"&amp;CONCATENATE($I$6,"/",B78)),
$K$2&lt;&gt;Data!$A$2,SUMIFS(Proventos!$H:$H,Proventos!$D:$D,"&gt;="&amp;CONCATENATE($H$6,"/",B78),Proventos!$D:$D,"&lt;"&amp;CONCATENATE($I$6,"/",B78),Proventos!$A:$A,"="&amp;$K$2))</f>
        <v>0</v>
      </c>
      <c r="I78" s="245">
        <f>IFS(
AND($H$2=Data!$A$3,$K$2=Data!$A$2),SUMIFS(Proventos!$H:$H,Proventos!$D:$D,"&gt;="&amp;CONCATENATE($I$6,"/",B78),Proventos!$D:$D,"&lt;"&amp;CONCATENATE($J$6,"/",B78),Proventos!$J:$J,"="&amp;$H$2),
AND($H$2=Data!$A$4,$K$2=Data!$A$2),SUMIFS(Proventos!$H:$H,Proventos!$D:$D,"&gt;="&amp;CONCATENATE($I$6,"/",B78),Proventos!$D:$D,"&lt;"&amp;CONCATENATE($J$6,"/",B78),Proventos!$J:$J,"="&amp;$H$2),
AND($H$2=Data!$A$5,$K$2=Data!$A$2),SUMIFS(Proventos!$H:$H,Proventos!$D:$D,"&gt;="&amp;CONCATENATE($I$6,"/",B78),Proventos!$D:$D,"&lt;"&amp;CONCATENATE($J$6,"/",B78),Proventos!$J:$J,"="&amp;$H$2),
AND($H$2=Data!$A$6,$K$2=Data!$A$2),SUMIFS(Proventos!$H:$H,Proventos!$D:$D,"&gt;="&amp;CONCATENATE($I$6,"/",B78),Proventos!$D:$D,"&lt;"&amp;CONCATENATE($J$6,"/",B78),Proventos!$J:$J,"="&amp;$H$2),
AND($H$2=Data!$A$7,$K$2=Data!$A$2),SUMIFS(Proventos!$H:$H,Proventos!$D:$D,"&gt;="&amp;CONCATENATE($I$6,"/",B78),Proventos!$D:$D,"&lt;"&amp;CONCATENATE($J$6,"/",B78),Proventos!$J:$J,"="&amp;$H$2),
AND($H$2=Data!$A$8,$K$2=Data!$A$2),SUMIFS(Proventos!$H:$H,Proventos!$D:$D,"&gt;="&amp;CONCATENATE($I$6,"/",B78),Proventos!$D:$D,"&lt;"&amp;CONCATENATE($J$6,"/",B78),Proventos!$J:$J,"="&amp;$H$2),
AND($H$2=Data!$A$9,$K$2=Data!$A$2),SUMIFS(Proventos!$H:$H,Proventos!$D:$D,"&gt;="&amp;CONCATENATE($I$6,"/",B78),Proventos!$D:$D,"&lt;"&amp;CONCATENATE($J$6,"/",B78),Proventos!$J:$J,"="&amp;$H$2),
AND($H$2=Data!$A$10,$K$2=Data!$A$2),SUMIFS(Proventos!$H:$H,Proventos!$D:$D,"&gt;="&amp;CONCATENATE($I$6,"/",B78),Proventos!$D:$D,"&lt;"&amp;CONCATENATE($J$6,"/",B78),Proventos!$J:$J,"="&amp;$H$2),
AND($H$2=Data!$A$11,$K$2=Data!$A$2),SUMIFS(Proventos!$H:$H,Proventos!$D:$D,"&gt;="&amp;CONCATENATE($I$6,"/",B78),Proventos!$D:$D,"&lt;"&amp;CONCATENATE($J$6,"/",B78),Proventos!$J:$J,"="&amp;$H$2),
$K$2=Data!$A$2,SUMIFS(Proventos!$H:$H,Proventos!$D:$D,"&gt;="&amp;CONCATENATE($I$6,"/",B78),Proventos!$D:$D,"&lt;"&amp;CONCATENATE($J$6,"/",B78)),
$K$2&lt;&gt;Data!$A$2,SUMIFS(Proventos!$H:$H,Proventos!$D:$D,"&gt;="&amp;CONCATENATE($I$6,"/",B78),Proventos!$D:$D,"&lt;"&amp;CONCATENATE($J$6,"/",B78),Proventos!$A:$A,"="&amp;$K$2))</f>
        <v>0</v>
      </c>
      <c r="J78" s="245">
        <f>IFS(
AND($H$2=Data!$A$3,$K$2=Data!$A$2),SUMIFS(Proventos!$H:$H,Proventos!$D:$D,"&gt;="&amp;CONCATENATE($J$6,"/",B78),Proventos!$D:$D,"&lt;"&amp;CONCATENATE($K$6,"/",B78),Proventos!$J:$J,"="&amp;$H$2),
AND($H$2=Data!$A$4,$K$2=Data!$A$2),SUMIFS(Proventos!$H:$H,Proventos!$D:$D,"&gt;="&amp;CONCATENATE($J$6,"/",B78),Proventos!$D:$D,"&lt;"&amp;CONCATENATE($K$6,"/",B78),Proventos!$J:$J,"="&amp;$H$2),
AND($H$2=Data!$A$5,$K$2=Data!$A$2),SUMIFS(Proventos!$H:$H,Proventos!$D:$D,"&gt;="&amp;CONCATENATE($J$6,"/",B78),Proventos!$D:$D,"&lt;"&amp;CONCATENATE($K$6,"/",B78),Proventos!$J:$J,"="&amp;$H$2),
AND($H$2=Data!$A$6,$K$2=Data!$A$2),SUMIFS(Proventos!$H:$H,Proventos!$D:$D,"&gt;="&amp;CONCATENATE($J$6,"/",B78),Proventos!$D:$D,"&lt;"&amp;CONCATENATE($K$6,"/",B78),Proventos!$J:$J,"="&amp;$H$2),
AND($H$2=Data!$A$7,$K$2=Data!$A$2),SUMIFS(Proventos!$H:$H,Proventos!$D:$D,"&gt;="&amp;CONCATENATE($J$6,"/",B78),Proventos!$D:$D,"&lt;"&amp;CONCATENATE($K$6,"/",B78),Proventos!$J:$J,"="&amp;$H$2),
AND($H$2=Data!$A$8,$K$2=Data!$A$2),SUMIFS(Proventos!$H:$H,Proventos!$D:$D,"&gt;="&amp;CONCATENATE($J$6,"/",B78),Proventos!$D:$D,"&lt;"&amp;CONCATENATE($K$6,"/",B78),Proventos!$J:$J,"="&amp;$H$2),
AND($H$2=Data!$A$9,$K$2=Data!$A$2),SUMIFS(Proventos!$H:$H,Proventos!$D:$D,"&gt;="&amp;CONCATENATE($J$6,"/",B78),Proventos!$D:$D,"&lt;"&amp;CONCATENATE($K$6,"/",B78),Proventos!$J:$J,"="&amp;$H$2),
AND($H$2=Data!$A$10,$K$2=Data!$A$2),SUMIFS(Proventos!$H:$H,Proventos!$D:$D,"&gt;="&amp;CONCATENATE($J$6,"/",B78),Proventos!$D:$D,"&lt;"&amp;CONCATENATE($K$6,"/",B78),Proventos!$J:$J,"="&amp;$H$2),
AND($H$2=Data!$A$11,$K$2=Data!$A$2),SUMIFS(Proventos!$H:$H,Proventos!$D:$D,"&gt;="&amp;CONCATENATE($J$6,"/",B78),Proventos!$D:$D,"&lt;"&amp;CONCATENATE($K$6,"/",B78),Proventos!$J:$J,"="&amp;$H$2),
$K$2=Data!$A$2,SUMIFS(Proventos!$H:$H,Proventos!$D:$D,"&gt;="&amp;CONCATENATE($J$6,"/",B78),Proventos!$D:$D,"&lt;"&amp;CONCATENATE($K$6,"/",B78)),
$K$2&lt;&gt;Data!$A$2,SUMIFS(Proventos!$H:$H,Proventos!$D:$D,"&gt;="&amp;CONCATENATE($J$6,"/",B78),Proventos!$D:$D,"&lt;"&amp;CONCATENATE($K$6,"/",B78),Proventos!$A:$A,"="&amp;$K$2))</f>
        <v>0</v>
      </c>
      <c r="K78" s="245">
        <f>IFS(
AND($H$2=Data!$A$3,$K$2=Data!$A$2),SUMIFS(Proventos!$H:$H,Proventos!$D:$D,"&gt;="&amp;CONCATENATE($K$6,"/",B78),Proventos!$D:$D,"&lt;"&amp;CONCATENATE($L$6,"/",B78),Proventos!$J:$J,"="&amp;$H$2),
AND($H$2=Data!$A$4,$K$2=Data!$A$2),SUMIFS(Proventos!$H:$H,Proventos!$D:$D,"&gt;="&amp;CONCATENATE($K$6,"/",B78),Proventos!$D:$D,"&lt;"&amp;CONCATENATE($L$6,"/",B78),Proventos!$J:$J,"="&amp;$H$2),
AND($H$2=Data!$A$5,$K$2=Data!$A$2),SUMIFS(Proventos!$H:$H,Proventos!$D:$D,"&gt;="&amp;CONCATENATE($K$6,"/",B78),Proventos!$D:$D,"&lt;"&amp;CONCATENATE($L$6,"/",B78),Proventos!$J:$J,"="&amp;$H$2),
AND($H$2=Data!$A$6,$K$2=Data!$A$2),SUMIFS(Proventos!$H:$H,Proventos!$D:$D,"&gt;="&amp;CONCATENATE($K$6,"/",B78),Proventos!$D:$D,"&lt;"&amp;CONCATENATE($L$6,"/",B78),Proventos!$J:$J,"="&amp;$H$2),
AND($H$2=Data!$A$7,$K$2=Data!$A$2),SUMIFS(Proventos!$H:$H,Proventos!$D:$D,"&gt;="&amp;CONCATENATE($K$6,"/",B78),Proventos!$D:$D,"&lt;"&amp;CONCATENATE($L$6,"/",B78),Proventos!$J:$J,"="&amp;$H$2),
AND($H$2=Data!$A$8,$K$2=Data!$A$2),SUMIFS(Proventos!$H:$H,Proventos!$D:$D,"&gt;="&amp;CONCATENATE($K$6,"/",B78),Proventos!$D:$D,"&lt;"&amp;CONCATENATE($L$6,"/",B78),Proventos!$J:$J,"="&amp;$H$2),
AND($H$2=Data!$A$9,$K$2=Data!$A$2),SUMIFS(Proventos!$H:$H,Proventos!$D:$D,"&gt;="&amp;CONCATENATE($K$6,"/",B78),Proventos!$D:$D,"&lt;"&amp;CONCATENATE($L$6,"/",B78),Proventos!$J:$J,"="&amp;$H$2),
AND($H$2=Data!$A$10,$K$2=Data!$A$2),SUMIFS(Proventos!$H:$H,Proventos!$D:$D,"&gt;="&amp;CONCATENATE($K$6,"/",B78),Proventos!$D:$D,"&lt;"&amp;CONCATENATE($L$6,"/",B78),Proventos!$J:$J,"="&amp;$H$2),
AND($H$2=Data!$A$11,$K$2=Data!$A$2),SUMIFS(Proventos!$H:$H,Proventos!$D:$D,"&gt;="&amp;CONCATENATE($K$6,"/",B78),Proventos!$D:$D,"&lt;"&amp;CONCATENATE($L$6,"/",B78),Proventos!$J:$J,"="&amp;$H$2),
$K$2=Data!$A$2,SUMIFS(Proventos!$H:$H,Proventos!$D:$D,"&gt;="&amp;CONCATENATE($K$6,"/",B78),Proventos!$D:$D,"&lt;"&amp;CONCATENATE($L$6,"/",B78)),
$K$2&lt;&gt;Data!$A$2,SUMIFS(Proventos!$H:$H,Proventos!$D:$D,"&gt;="&amp;CONCATENATE($K$6,"/",B78),Proventos!$D:$D,"&lt;"&amp;CONCATENATE($L$6,"/",B78),Proventos!$A:$A,"="&amp;$K$2))</f>
        <v>0</v>
      </c>
      <c r="L78" s="245">
        <f>IFS(
AND($H$2=Data!$A$3,$K$2=Data!$A$2),SUMIFS(Proventos!$H:$H,Proventos!$D:$D,"&gt;="&amp;CONCATENATE($L$6,"/",B78),Proventos!$D:$D,"&lt;"&amp;CONCATENATE($M$6,"/",B78),Proventos!$J:$J,"="&amp;$H$2),
AND($H$2=Data!$A$4,$K$2=Data!$A$2),SUMIFS(Proventos!$H:$H,Proventos!$D:$D,"&gt;="&amp;CONCATENATE($L$6,"/",B78),Proventos!$D:$D,"&lt;"&amp;CONCATENATE($M$6,"/",B78),Proventos!$J:$J,"="&amp;$H$2),
AND($H$2=Data!$A$5,$K$2=Data!$A$2),SUMIFS(Proventos!$H:$H,Proventos!$D:$D,"&gt;="&amp;CONCATENATE($L$6,"/",B78),Proventos!$D:$D,"&lt;"&amp;CONCATENATE($M$6,"/",B78),Proventos!$J:$J,"="&amp;$H$2),
AND($H$2=Data!$A$6,$K$2=Data!$A$2),SUMIFS(Proventos!$H:$H,Proventos!$D:$D,"&gt;="&amp;CONCATENATE($L$6,"/",B78),Proventos!$D:$D,"&lt;"&amp;CONCATENATE($M$6,"/",B78),Proventos!$J:$J,"="&amp;$H$2),
AND($H$2=Data!$A$7,$K$2=Data!$A$2),SUMIFS(Proventos!$H:$H,Proventos!$D:$D,"&gt;="&amp;CONCATENATE($L$6,"/",B78),Proventos!$D:$D,"&lt;"&amp;CONCATENATE($M$6,"/",B78),Proventos!$J:$J,"="&amp;$H$2),
AND($H$2=Data!$A$8,$K$2=Data!$A$2),SUMIFS(Proventos!$H:$H,Proventos!$D:$D,"&gt;="&amp;CONCATENATE($L$6,"/",B78),Proventos!$D:$D,"&lt;"&amp;CONCATENATE($M$6,"/",B78),Proventos!$J:$J,"="&amp;$H$2),
AND($H$2=Data!$A$9,$K$2=Data!$A$2),SUMIFS(Proventos!$H:$H,Proventos!$D:$D,"&gt;="&amp;CONCATENATE($L$6,"/",B78),Proventos!$D:$D,"&lt;"&amp;CONCATENATE($M$6,"/",B78),Proventos!$J:$J,"="&amp;$H$2),
AND($H$2=Data!$A$10,$K$2=Data!$A$2),SUMIFS(Proventos!$H:$H,Proventos!$D:$D,"&gt;="&amp;CONCATENATE($L$6,"/",B78),Proventos!$D:$D,"&lt;"&amp;CONCATENATE($M$6,"/",B78),Proventos!$J:$J,"="&amp;$H$2),
AND($H$2=Data!$A$11,$K$2=Data!$A$2),SUMIFS(Proventos!$H:$H,Proventos!$D:$D,"&gt;="&amp;CONCATENATE($L$6,"/",B78),Proventos!$D:$D,"&lt;"&amp;CONCATENATE($M$6,"/",B78),Proventos!$J:$J,"="&amp;$H$2),
$K$2=Data!$A$2,SUMIFS(Proventos!$H:$H,Proventos!$D:$D,"&gt;="&amp;CONCATENATE($L$6,"/",B78),Proventos!$D:$D,"&lt;"&amp;CONCATENATE($M$6,"/",B78)),
$K$2&lt;&gt;Data!$A$2,SUMIFS(Proventos!$H:$H,Proventos!$D:$D,"&gt;="&amp;CONCATENATE($L$6,"/",B78),Proventos!$D:$D,"&lt;"&amp;CONCATENATE($M$6,"/",B78),Proventos!$A:$A,"="&amp;$K$2))</f>
        <v>0</v>
      </c>
      <c r="M78" s="245">
        <f>IFS(
AND($H$2=Data!$A$3,$K$2=Data!$A$2),SUMIFS(Proventos!$H:$H,Proventos!$D:$D,"&gt;="&amp;CONCATENATE($M$6,"/",B78),Proventos!$D:$D,"&lt;"&amp;CONCATENATE($N$6,"/",B78),Proventos!$J:$J,"="&amp;$H$2),
AND($H$2=Data!$A$4,$K$2=Data!$A$2),SUMIFS(Proventos!$H:$H,Proventos!$D:$D,"&gt;="&amp;CONCATENATE($M$6,"/",B78),Proventos!$D:$D,"&lt;"&amp;CONCATENATE($N$6,"/",B78),Proventos!$J:$J,"="&amp;$H$2),
AND($H$2=Data!$A$5,$K$2=Data!$A$2),SUMIFS(Proventos!$H:$H,Proventos!$D:$D,"&gt;="&amp;CONCATENATE($M$6,"/",B78),Proventos!$D:$D,"&lt;"&amp;CONCATENATE($N$6,"/",B78),Proventos!$J:$J,"="&amp;$H$2),
AND($H$2=Data!$A$6,$K$2=Data!$A$2),SUMIFS(Proventos!$H:$H,Proventos!$D:$D,"&gt;="&amp;CONCATENATE($M$6,"/",B78),Proventos!$D:$D,"&lt;"&amp;CONCATENATE($N$6,"/",B78),Proventos!$J:$J,"="&amp;$H$2),
AND($H$2=Data!$A$7,$K$2=Data!$A$2),SUMIFS(Proventos!$H:$H,Proventos!$D:$D,"&gt;="&amp;CONCATENATE($M$6,"/",B78),Proventos!$D:$D,"&lt;"&amp;CONCATENATE($N$6,"/",B78),Proventos!$J:$J,"="&amp;$H$2),
AND($H$2=Data!$A$8,$K$2=Data!$A$2),SUMIFS(Proventos!$H:$H,Proventos!$D:$D,"&gt;="&amp;CONCATENATE($M$6,"/",B78),Proventos!$D:$D,"&lt;"&amp;CONCATENATE($N$6,"/",B78),Proventos!$J:$J,"="&amp;$H$2),
AND($H$2=Data!$A$9,$K$2=Data!$A$2),SUMIFS(Proventos!$H:$H,Proventos!$D:$D,"&gt;="&amp;CONCATENATE($M$6,"/",B78),Proventos!$D:$D,"&lt;"&amp;CONCATENATE($N$6,"/",B78),Proventos!$J:$J,"="&amp;$H$2),
AND($H$2=Data!$A$10,$K$2=Data!$A$2),SUMIFS(Proventos!$H:$H,Proventos!$D:$D,"&gt;="&amp;CONCATENATE($M$6,"/",B78),Proventos!$D:$D,"&lt;"&amp;CONCATENATE($N$6,"/",B78),Proventos!$J:$J,"="&amp;$H$2),
AND($H$2=Data!$A$11,$K$2=Data!$A$2),SUMIFS(Proventos!$H:$H,Proventos!$D:$D,"&gt;="&amp;CONCATENATE($M$6,"/",B78),Proventos!$D:$D,"&lt;"&amp;CONCATENATE($N$6,"/",B78),Proventos!$J:$J,"="&amp;$H$2),
$K$2=Data!$A$2,SUMIFS(Proventos!$H:$H,Proventos!$D:$D,"&gt;="&amp;CONCATENATE($M$6,"/",B78),Proventos!$D:$D,"&lt;"&amp;CONCATENATE($N$6,"/",B78)),
$K$2&lt;&gt;Data!$A$2,SUMIFS(Proventos!$H:$H,Proventos!$D:$D,"&gt;="&amp;CONCATENATE($M$6,"/",B78),Proventos!$D:$D,"&lt;"&amp;CONCATENATE($N$6,"/",B78),Proventos!$A:$A,"="&amp;$K$2))</f>
        <v>0</v>
      </c>
      <c r="N78" s="245">
        <f>IFS(
AND($H$2=Data!$A$3,$K$2=Data!$A$2),SUMIFS(Proventos!$H:$H,Proventos!$D:$D,"&gt;="&amp;CONCATENATE($N$6,"/",B78),Proventos!$D:$D,"&lt;"&amp;CONCATENATE($C$6,"/",B79),Proventos!$J:$J,"="&amp;$H$2),
AND($H$2=Data!$A$4,$K$2=Data!$A$2),SUMIFS(Proventos!$H:$H,Proventos!$D:$D,"&gt;="&amp;CONCATENATE($N$6,"/",B78),Proventos!$D:$D,"&lt;"&amp;CONCATENATE($C$6,"/",B79),Proventos!$J:$J,"="&amp;$H$2),
AND($H$2=Data!$A$5,$K$2=Data!$A$2),SUMIFS(Proventos!$H:$H,Proventos!$D:$D,"&gt;="&amp;CONCATENATE($N$6,"/",B78),Proventos!$D:$D,"&lt;"&amp;CONCATENATE($C$6,"/",B79),Proventos!$J:$J,"="&amp;$H$2),
AND($H$2=Data!$A$6,$K$2=Data!$A$2),SUMIFS(Proventos!$H:$H,Proventos!$D:$D,"&gt;="&amp;CONCATENATE($N$6,"/",B78),Proventos!$D:$D,"&lt;"&amp;CONCATENATE($C$6,"/",B79),Proventos!$J:$J,"="&amp;$H$2),
AND($H$2=Data!$A$7,$K$2=Data!$A$2),SUMIFS(Proventos!$H:$H,Proventos!$D:$D,"&gt;="&amp;CONCATENATE($N$6,"/",B78),Proventos!$D:$D,"&lt;"&amp;CONCATENATE($C$6,"/",B79),Proventos!$J:$J,"="&amp;$H$2),
AND($H$2=Data!$A$8,$K$2=Data!$A$2),SUMIFS(Proventos!$H:$H,Proventos!$D:$D,"&gt;="&amp;CONCATENATE($N$6,"/",B78),Proventos!$D:$D,"&lt;"&amp;CONCATENATE($C$6,"/",B79),Proventos!$J:$J,"="&amp;$H$2),
AND($H$2=Data!$A$9,$K$2=Data!$A$2),SUMIFS(Proventos!$H:$H,Proventos!$D:$D,"&gt;="&amp;CONCATENATE($N$6,"/",B78),Proventos!$D:$D,"&lt;"&amp;CONCATENATE($C$6,"/",B79),Proventos!$J:$J,"="&amp;$H$2),
AND($H$2=Data!$A$10,$K$2=Data!$A$2),SUMIFS(Proventos!$H:$H,Proventos!$D:$D,"&gt;="&amp;CONCATENATE($N$6,"/",B78),Proventos!$D:$D,"&lt;"&amp;CONCATENATE($C$6,"/",B79),Proventos!$J:$J,"="&amp;$H$2),
AND($H$2=Data!$A$11,$K$2=Data!$A$2),SUMIFS(Proventos!$H:$H,Proventos!$D:$D,"&gt;="&amp;CONCATENATE($N$6,"/",B78),Proventos!$D:$D,"&lt;"&amp;CONCATENATE($C$6,"/",B79),Proventos!$J:$J,"="&amp;$H$2),
$K$2=Data!$A$2,SUMIFS(Proventos!$H:$H,Proventos!$D:$D,"&gt;="&amp;CONCATENATE($N$6,"/",B78),Proventos!$D:$D,"&lt;"&amp;CONCATENATE($C$6,"/",B79)),
$K$2&lt;&gt;Data!$A$2,SUMIFS(Proventos!$H:$H,Proventos!$D:$D,"&gt;="&amp;CONCATENATE($N$6,"/",B78),Proventos!$D:$D,"&lt;"&amp;CONCATENATE($C$6,"/",B79),Proventos!$A:$A,"="&amp;$K$2))</f>
        <v>0</v>
      </c>
      <c r="O78" s="245"/>
      <c r="P78" s="245">
        <f t="shared" si="1"/>
        <v>0</v>
      </c>
      <c r="Q78" s="245">
        <f t="shared" si="2"/>
        <v>0</v>
      </c>
    </row>
    <row r="79" ht="32.25" customHeight="1">
      <c r="A79" s="230"/>
      <c r="B79" s="244"/>
      <c r="C79" s="245">
        <f>IFS(
AND($H$2=Data!$A$3,$K$2=Data!$A$2),SUMIFS(Proventos!$H:$H,Proventos!$D:$D,"&gt;="&amp;CONCATENATE($C$6,"/",B79),Proventos!$D:$D,"&lt;"&amp;CONCATENATE($D$6,"/",B79),Proventos!$J:$J,"="&amp;$H$2),
AND($H$2=Data!$A$4,$K$2=Data!$A$2),SUMIFS(Proventos!$H:$H,Proventos!$D:$D,"&gt;="&amp;CONCATENATE($C$6,"/",B79),Proventos!$D:$D,"&lt;"&amp;CONCATENATE($D$6,"/",B79),Proventos!$J:$J,"="&amp;$H$2),
AND($H$2=Data!$A$5,$K$2=Data!$A$2),SUMIFS(Proventos!$H:$H,Proventos!$D:$D,"&gt;="&amp;CONCATENATE($C$6,"/",B79),Proventos!$D:$D,"&lt;"&amp;CONCATENATE($D$6,"/",B79),Proventos!$J:$J,"="&amp;$H$2),
AND($H$2=Data!$A$6,$K$2=Data!$A$2),SUMIFS(Proventos!$H:$H,Proventos!$D:$D,"&gt;="&amp;CONCATENATE($C$6,"/",B79),Proventos!$D:$D,"&lt;"&amp;CONCATENATE($D$6,"/",B79),Proventos!$J:$J,"="&amp;$H$2),
AND($H$2=Data!$A$7,$K$2=Data!$A$2),SUMIFS(Proventos!$H:$H,Proventos!$D:$D,"&gt;="&amp;CONCATENATE($C$6,"/",B79),Proventos!$D:$D,"&lt;"&amp;CONCATENATE($D$6,"/",B79),Proventos!$J:$J,"="&amp;$H$2),
AND($H$2=Data!$A$8,$K$2=Data!$A$2),SUMIFS(Proventos!$H:$H,Proventos!$D:$D,"&gt;="&amp;CONCATENATE($C$6,"/",B79),Proventos!$D:$D,"&lt;"&amp;CONCATENATE($D$6,"/",B79),Proventos!$J:$J,"="&amp;$H$2),
AND($H$2=Data!$A$9,$K$2=Data!$A$2),SUMIFS(Proventos!$H:$H,Proventos!$D:$D,"&gt;="&amp;CONCATENATE($C$6,"/",B79),Proventos!$D:$D,"&lt;"&amp;CONCATENATE($D$6,"/",B79),Proventos!$J:$J,"="&amp;$H$2),
AND($H$2=Data!$A$10,$K$2=Data!$A$2),SUMIFS(Proventos!$H:$H,Proventos!$D:$D,"&gt;="&amp;CONCATENATE($C$6,"/",B79),Proventos!$D:$D,"&lt;"&amp;CONCATENATE($D$6,"/",B79),Proventos!$J:$J,"="&amp;$H$2),
AND($H$2=Data!$A$11,$K$2=Data!$A$2),SUMIFS(Proventos!$H:$H,Proventos!$D:$D,"&gt;="&amp;CONCATENATE($C$6,"/",B79),Proventos!$D:$D,"&lt;"&amp;CONCATENATE($D$6,"/",B79),Proventos!$J:$J,"="&amp;$H$2),
$K$2=Data!$A$2,SUMIFS(Proventos!$H:$H,Proventos!$D:$D,"&gt;="&amp;CONCATENATE($C$6,"/",B79),Proventos!$D:$D,"&lt;"&amp;CONCATENATE($D$6,"/",B79)),
$K$2&lt;&gt;Data!$A$2,SUMIFS(Proventos!$H:$H,Proventos!$D:$D,"&gt;="&amp;CONCATENATE($C$6,"/",B79),Proventos!$D:$D,"&lt;"&amp;CONCATENATE($D$6,"/",B79),Proventos!$A:$A,"="&amp;$K$2))</f>
        <v>0</v>
      </c>
      <c r="D79" s="245">
        <f>IFS(
AND($H$2=Data!$A$3,$K$2=Data!$A$2),SUMIFS(Proventos!$H:$H,Proventos!$D:$D,"&gt;="&amp;CONCATENATE($D$6,"/",B79),Proventos!$D:$D,"&lt;"&amp;CONCATENATE($E$6,"/",B79),Proventos!$J:$J,"="&amp;$H$2),
AND($H$2=Data!$A$4,$K$2=Data!$A$2),SUMIFS(Proventos!$H:$H,Proventos!$D:$D,"&gt;="&amp;CONCATENATE($D$6,"/",B79),Proventos!$D:$D,"&lt;"&amp;CONCATENATE($E$6,"/",B79),Proventos!$J:$J,"="&amp;$H$2),
AND($H$2=Data!$A$5,$K$2=Data!$A$2),SUMIFS(Proventos!$H:$H,Proventos!$D:$D,"&gt;="&amp;CONCATENATE($D$6,"/",B79),Proventos!$D:$D,"&lt;"&amp;CONCATENATE($E$6,"/",B79),Proventos!$J:$J,"="&amp;$H$2),
AND($H$2=Data!$A$6,$K$2=Data!$A$2),SUMIFS(Proventos!$H:$H,Proventos!$D:$D,"&gt;="&amp;CONCATENATE($D$6,"/",B79),Proventos!$D:$D,"&lt;"&amp;CONCATENATE($E$6,"/",B79),Proventos!$J:$J,"="&amp;$H$2),
AND($H$2=Data!$A$7,$K$2=Data!$A$2),SUMIFS(Proventos!$H:$H,Proventos!$D:$D,"&gt;="&amp;CONCATENATE($D$6,"/",B79),Proventos!$D:$D,"&lt;"&amp;CONCATENATE($E$6,"/",B79),Proventos!$J:$J,"="&amp;$H$2),
AND($H$2=Data!$A$8,$K$2=Data!$A$2),SUMIFS(Proventos!$H:$H,Proventos!$D:$D,"&gt;="&amp;CONCATENATE($D$6,"/",B79),Proventos!$D:$D,"&lt;"&amp;CONCATENATE($E$6,"/",B79),Proventos!$J:$J,"="&amp;$H$2),
AND($H$2=Data!$A$9,$K$2=Data!$A$2),SUMIFS(Proventos!$H:$H,Proventos!$D:$D,"&gt;="&amp;CONCATENATE($D$6,"/",B79),Proventos!$D:$D,"&lt;"&amp;CONCATENATE($E$6,"/",B79),Proventos!$J:$J,"="&amp;$H$2),
AND($H$2=Data!$A$10,$K$2=Data!$A$2),SUMIFS(Proventos!$H:$H,Proventos!$D:$D,"&gt;="&amp;CONCATENATE($D$6,"/",B79),Proventos!$D:$D,"&lt;"&amp;CONCATENATE($E$6,"/",B79),Proventos!$J:$J,"="&amp;$H$2),
AND($H$2=Data!$A$11,$K$2=Data!$A$2),SUMIFS(Proventos!$H:$H,Proventos!$D:$D,"&gt;="&amp;CONCATENATE($D$6,"/",B79),Proventos!$D:$D,"&lt;"&amp;CONCATENATE($E$6,"/",B79),Proventos!$J:$J,"="&amp;$H$2),
$K$2=Data!$A$2,SUMIFS(Proventos!$H:$H,Proventos!$D:$D,"&gt;="&amp;CONCATENATE($D$6,"/",B79),Proventos!$D:$D,"&lt;"&amp;CONCATENATE($E$6,"/",B79)),
$K$2&lt;&gt;Data!$A$2,SUMIFS(Proventos!$H:$H,Proventos!$D:$D,"&gt;="&amp;CONCATENATE($D$6,"/",B79),Proventos!$D:$D,"&lt;"&amp;CONCATENATE($E$6,"/",B79),Proventos!$A:$A,"="&amp;$K$2))</f>
        <v>0</v>
      </c>
      <c r="E79" s="245">
        <f>IFS(
AND($H$2=Data!$A$3,$K$2=Data!$A$2),SUMIFS(Proventos!$H:$H,Proventos!$D:$D,"&gt;="&amp;CONCATENATE($E$6,"/",B79),Proventos!$D:$D,"&lt;"&amp;CONCATENATE($F$6,"/",B79),Proventos!$J:$J,"="&amp;$H$2),
AND($H$2=Data!$A$4,$K$2=Data!$A$2),SUMIFS(Proventos!$H:$H,Proventos!$D:$D,"&gt;="&amp;CONCATENATE($E$6,"/",B79),Proventos!$D:$D,"&lt;"&amp;CONCATENATE($F$6,"/",B79),Proventos!$J:$J,"="&amp;$H$2),
AND($H$2=Data!$A$5,$K$2=Data!$A$2),SUMIFS(Proventos!$H:$H,Proventos!$D:$D,"&gt;="&amp;CONCATENATE($E$6,"/",B79),Proventos!$D:$D,"&lt;"&amp;CONCATENATE($F$6,"/",B79),Proventos!$J:$J,"="&amp;$H$2),
AND($H$2=Data!$A$6,$K$2=Data!$A$2),SUMIFS(Proventos!$H:$H,Proventos!$D:$D,"&gt;="&amp;CONCATENATE($E$6,"/",B79),Proventos!$D:$D,"&lt;"&amp;CONCATENATE($F$6,"/",B79),Proventos!$J:$J,"="&amp;$H$2),
AND($H$2=Data!$A$7,$K$2=Data!$A$2),SUMIFS(Proventos!$H:$H,Proventos!$D:$D,"&gt;="&amp;CONCATENATE($E$6,"/",B79),Proventos!$D:$D,"&lt;"&amp;CONCATENATE($F$6,"/",B79),Proventos!$J:$J,"="&amp;$H$2),
AND($H$2=Data!$A$8,$K$2=Data!$A$2),SUMIFS(Proventos!$H:$H,Proventos!$D:$D,"&gt;="&amp;CONCATENATE($E$6,"/",B79),Proventos!$D:$D,"&lt;"&amp;CONCATENATE($F$6,"/",B79),Proventos!$J:$J,"="&amp;$H$2),
AND($H$2=Data!$A$9,$K$2=Data!$A$2),SUMIFS(Proventos!$H:$H,Proventos!$D:$D,"&gt;="&amp;CONCATENATE($E$6,"/",B79),Proventos!$D:$D,"&lt;"&amp;CONCATENATE($F$6,"/",B79),Proventos!$J:$J,"="&amp;$H$2),
AND($H$2=Data!$A$10,$K$2=Data!$A$2),SUMIFS(Proventos!$H:$H,Proventos!$D:$D,"&gt;="&amp;CONCATENATE($E$6,"/",B79),Proventos!$D:$D,"&lt;"&amp;CONCATENATE($F$6,"/",B79),Proventos!$J:$J,"="&amp;$H$2),
AND($H$2=Data!$A$11,$K$2=Data!$A$2),SUMIFS(Proventos!$H:$H,Proventos!$D:$D,"&gt;="&amp;CONCATENATE($E$6,"/",B79),Proventos!$D:$D,"&lt;"&amp;CONCATENATE($F$6,"/",B79),Proventos!$J:$J,"="&amp;$H$2),
$K$2=Data!$A$2,SUMIFS(Proventos!$H:$H,Proventos!$D:$D,"&gt;="&amp;CONCATENATE($E$6,"/",B79),Proventos!$D:$D,"&lt;"&amp;CONCATENATE($F$6,"/",B79)),
$K$2&lt;&gt;Data!$A$2,SUMIFS(Proventos!$H:$H,Proventos!$D:$D,"&gt;="&amp;CONCATENATE($E$6,"/",B79),Proventos!$D:$D,"&lt;"&amp;CONCATENATE($F$6,"/",B79),Proventos!$A:$A,"="&amp;$K$2))</f>
        <v>0</v>
      </c>
      <c r="F79" s="245">
        <f>IFS(
AND($H$2=Data!$A$3,$K$2=Data!$A$2),SUMIFS(Proventos!$H:$H,Proventos!$D:$D,"&gt;="&amp;CONCATENATE($F$6,"/",B79),Proventos!$D:$D,"&lt;"&amp;CONCATENATE($G$6,"/",B79),Proventos!$J:$J,"="&amp;$H$2),
AND($H$2=Data!$A$4,$K$2=Data!$A$2),SUMIFS(Proventos!$H:$H,Proventos!$D:$D,"&gt;="&amp;CONCATENATE($F$6,"/",B79),Proventos!$D:$D,"&lt;"&amp;CONCATENATE($G$6,"/",B79),Proventos!$J:$J,"="&amp;$H$2),
AND($H$2=Data!$A$5,$K$2=Data!$A$2),SUMIFS(Proventos!$H:$H,Proventos!$D:$D,"&gt;="&amp;CONCATENATE($F$6,"/",B79),Proventos!$D:$D,"&lt;"&amp;CONCATENATE($G$6,"/",B79),Proventos!$J:$J,"="&amp;$H$2),
AND($H$2=Data!$A$6,$K$2=Data!$A$2),SUMIFS(Proventos!$H:$H,Proventos!$D:$D,"&gt;="&amp;CONCATENATE($F$6,"/",B79),Proventos!$D:$D,"&lt;"&amp;CONCATENATE($G$6,"/",B79),Proventos!$J:$J,"="&amp;$H$2),
AND($H$2=Data!$A$7,$K$2=Data!$A$2),SUMIFS(Proventos!$H:$H,Proventos!$D:$D,"&gt;="&amp;CONCATENATE($F$6,"/",B79),Proventos!$D:$D,"&lt;"&amp;CONCATENATE($G$6,"/",B79),Proventos!$J:$J,"="&amp;$H$2),
AND($H$2=Data!$A$8,$K$2=Data!$A$2),SUMIFS(Proventos!$H:$H,Proventos!$D:$D,"&gt;="&amp;CONCATENATE($F$6,"/",B79),Proventos!$D:$D,"&lt;"&amp;CONCATENATE($G$6,"/",B79),Proventos!$J:$J,"="&amp;$H$2),
AND($H$2=Data!$A$9,$K$2=Data!$A$2),SUMIFS(Proventos!$H:$H,Proventos!$D:$D,"&gt;="&amp;CONCATENATE($F$6,"/",B79),Proventos!$D:$D,"&lt;"&amp;CONCATENATE($G$6,"/",B79),Proventos!$J:$J,"="&amp;$H$2),
AND($H$2=Data!$A$10,$K$2=Data!$A$2),SUMIFS(Proventos!$H:$H,Proventos!$D:$D,"&gt;="&amp;CONCATENATE($F$6,"/",B79),Proventos!$D:$D,"&lt;"&amp;CONCATENATE($G$6,"/",B79),Proventos!$J:$J,"="&amp;$H$2),
AND($H$2=Data!$A$11,$K$2=Data!$A$2),SUMIFS(Proventos!$H:$H,Proventos!$D:$D,"&gt;="&amp;CONCATENATE($F$6,"/",B79),Proventos!$D:$D,"&lt;"&amp;CONCATENATE($G$6,"/",B79),Proventos!$J:$J,"="&amp;$H$2),
$K$2=Data!$A$2,SUMIFS(Proventos!$H:$H,Proventos!$D:$D,"&gt;="&amp;CONCATENATE($F$6,"/",B79),Proventos!$D:$D,"&lt;"&amp;CONCATENATE($G$6,"/",B79)),
$K$2&lt;&gt;Data!$A$2,SUMIFS(Proventos!$H:$H,Proventos!$D:$D,"&gt;="&amp;CONCATENATE($F$6,"/",B79),Proventos!$D:$D,"&lt;"&amp;CONCATENATE($G$6,"/",B79),Proventos!$A:$A,"="&amp;$K$2))</f>
        <v>0</v>
      </c>
      <c r="G79" s="245">
        <f>IFS(
AND($H$2=Data!$A$3,$K$2=Data!$A$2),SUMIFS(Proventos!$H:$H,Proventos!$D:$D,"&gt;="&amp;CONCATENATE($G$6,"/",B79),Proventos!$D:$D,"&lt;"&amp;CONCATENATE($H$6,"/",B79),Proventos!$J:$J,"="&amp;$H$2),
AND($H$2=Data!$A$4,$K$2=Data!$A$2),SUMIFS(Proventos!$H:$H,Proventos!$D:$D,"&gt;="&amp;CONCATENATE($G$6,"/",B79),Proventos!$D:$D,"&lt;"&amp;CONCATENATE($H$6,"/",B79),Proventos!$J:$J,"="&amp;$H$2),
AND($H$2=Data!$A$5,$K$2=Data!$A$2),SUMIFS(Proventos!$H:$H,Proventos!$D:$D,"&gt;="&amp;CONCATENATE($G$6,"/",B79),Proventos!$D:$D,"&lt;"&amp;CONCATENATE($H$6,"/",B79),Proventos!$J:$J,"="&amp;$H$2),
AND($H$2=Data!$A$6,$K$2=Data!$A$2),SUMIFS(Proventos!$H:$H,Proventos!$D:$D,"&gt;="&amp;CONCATENATE($G$6,"/",B79),Proventos!$D:$D,"&lt;"&amp;CONCATENATE($H$6,"/",B79),Proventos!$J:$J,"="&amp;$H$2),
AND($H$2=Data!$A$7,$K$2=Data!$A$2),SUMIFS(Proventos!$H:$H,Proventos!$D:$D,"&gt;="&amp;CONCATENATE($G$6,"/",B79),Proventos!$D:$D,"&lt;"&amp;CONCATENATE($H$6,"/",B79),Proventos!$J:$J,"="&amp;$H$2),
AND($H$2=Data!$A$8,$K$2=Data!$A$2),SUMIFS(Proventos!$H:$H,Proventos!$D:$D,"&gt;="&amp;CONCATENATE($G$6,"/",B79),Proventos!$D:$D,"&lt;"&amp;CONCATENATE($H$6,"/",B79),Proventos!$J:$J,"="&amp;$H$2),
AND($H$2=Data!$A$9,$K$2=Data!$A$2),SUMIFS(Proventos!$H:$H,Proventos!$D:$D,"&gt;="&amp;CONCATENATE($G$6,"/",B79),Proventos!$D:$D,"&lt;"&amp;CONCATENATE($H$6,"/",B79),Proventos!$J:$J,"="&amp;$H$2),
AND($H$2=Data!$A$10,$K$2=Data!$A$2),SUMIFS(Proventos!$H:$H,Proventos!$D:$D,"&gt;="&amp;CONCATENATE($G$6,"/",B79),Proventos!$D:$D,"&lt;"&amp;CONCATENATE($H$6,"/",B79),Proventos!$J:$J,"="&amp;$H$2),
AND($H$2=Data!$A$11,$K$2=Data!$A$2),SUMIFS(Proventos!$H:$H,Proventos!$D:$D,"&gt;="&amp;CONCATENATE($G$6,"/",B79),Proventos!$D:$D,"&lt;"&amp;CONCATENATE($H$6,"/",B79),Proventos!$J:$J,"="&amp;$H$2),
$K$2=Data!$A$2,SUMIFS(Proventos!$H:$H,Proventos!$D:$D,"&gt;="&amp;CONCATENATE($G$6,"/",B79),Proventos!$D:$D,"&lt;"&amp;CONCATENATE($H$6,"/",B79)),
$K$2&lt;&gt;Data!$A$2,SUMIFS(Proventos!$H:$H,Proventos!$D:$D,"&gt;="&amp;CONCATENATE($G$6,"/",B79),Proventos!$D:$D,"&lt;"&amp;CONCATENATE($H$6,"/",B79),Proventos!$A:$A,"="&amp;$K$2))</f>
        <v>0</v>
      </c>
      <c r="H79" s="245">
        <f>IFS(
AND($H$2=Data!$A$3,$K$2=Data!$A$2),SUMIFS(Proventos!$H:$H,Proventos!$D:$D,"&gt;="&amp;CONCATENATE($H$6,"/",B79),Proventos!$D:$D,"&lt;"&amp;CONCATENATE($I$6,"/",B79),Proventos!$J:$J,"="&amp;$H$2),
AND($H$2=Data!$A$4,$K$2=Data!$A$2),SUMIFS(Proventos!$H:$H,Proventos!$D:$D,"&gt;="&amp;CONCATENATE($H$6,"/",B79),Proventos!$D:$D,"&lt;"&amp;CONCATENATE($I$6,"/",B79),Proventos!$J:$J,"="&amp;$H$2),
AND($H$2=Data!$A$5,$K$2=Data!$A$2),SUMIFS(Proventos!$H:$H,Proventos!$D:$D,"&gt;="&amp;CONCATENATE($H$6,"/",B79),Proventos!$D:$D,"&lt;"&amp;CONCATENATE($I$6,"/",B79),Proventos!$J:$J,"="&amp;$H$2),
AND($H$2=Data!$A$6,$K$2=Data!$A$2),SUMIFS(Proventos!$H:$H,Proventos!$D:$D,"&gt;="&amp;CONCATENATE($H$6,"/",B79),Proventos!$D:$D,"&lt;"&amp;CONCATENATE($I$6,"/",B79),Proventos!$J:$J,"="&amp;$H$2),
AND($H$2=Data!$A$7,$K$2=Data!$A$2),SUMIFS(Proventos!$H:$H,Proventos!$D:$D,"&gt;="&amp;CONCATENATE($H$6,"/",B79),Proventos!$D:$D,"&lt;"&amp;CONCATENATE($I$6,"/",B79),Proventos!$J:$J,"="&amp;$H$2),
AND($H$2=Data!$A$8,$K$2=Data!$A$2),SUMIFS(Proventos!$H:$H,Proventos!$D:$D,"&gt;="&amp;CONCATENATE($H$6,"/",B79),Proventos!$D:$D,"&lt;"&amp;CONCATENATE($I$6,"/",B79),Proventos!$J:$J,"="&amp;$H$2),
AND($H$2=Data!$A$9,$K$2=Data!$A$2),SUMIFS(Proventos!$H:$H,Proventos!$D:$D,"&gt;="&amp;CONCATENATE($H$6,"/",B79),Proventos!$D:$D,"&lt;"&amp;CONCATENATE($I$6,"/",B79),Proventos!$J:$J,"="&amp;$H$2),
AND($H$2=Data!$A$10,$K$2=Data!$A$2),SUMIFS(Proventos!$H:$H,Proventos!$D:$D,"&gt;="&amp;CONCATENATE($H$6,"/",B79),Proventos!$D:$D,"&lt;"&amp;CONCATENATE($I$6,"/",B79),Proventos!$J:$J,"="&amp;$H$2),
AND($H$2=Data!$A$11,$K$2=Data!$A$2),SUMIFS(Proventos!$H:$H,Proventos!$D:$D,"&gt;="&amp;CONCATENATE($H$6,"/",B79),Proventos!$D:$D,"&lt;"&amp;CONCATENATE($I$6,"/",B79),Proventos!$J:$J,"="&amp;$H$2),
$K$2=Data!$A$2,SUMIFS(Proventos!$H:$H,Proventos!$D:$D,"&gt;="&amp;CONCATENATE($H$6,"/",B79),Proventos!$D:$D,"&lt;"&amp;CONCATENATE($I$6,"/",B79)),
$K$2&lt;&gt;Data!$A$2,SUMIFS(Proventos!$H:$H,Proventos!$D:$D,"&gt;="&amp;CONCATENATE($H$6,"/",B79),Proventos!$D:$D,"&lt;"&amp;CONCATENATE($I$6,"/",B79),Proventos!$A:$A,"="&amp;$K$2))</f>
        <v>0</v>
      </c>
      <c r="I79" s="245">
        <f>IFS(
AND($H$2=Data!$A$3,$K$2=Data!$A$2),SUMIFS(Proventos!$H:$H,Proventos!$D:$D,"&gt;="&amp;CONCATENATE($I$6,"/",B79),Proventos!$D:$D,"&lt;"&amp;CONCATENATE($J$6,"/",B79),Proventos!$J:$J,"="&amp;$H$2),
AND($H$2=Data!$A$4,$K$2=Data!$A$2),SUMIFS(Proventos!$H:$H,Proventos!$D:$D,"&gt;="&amp;CONCATENATE($I$6,"/",B79),Proventos!$D:$D,"&lt;"&amp;CONCATENATE($J$6,"/",B79),Proventos!$J:$J,"="&amp;$H$2),
AND($H$2=Data!$A$5,$K$2=Data!$A$2),SUMIFS(Proventos!$H:$H,Proventos!$D:$D,"&gt;="&amp;CONCATENATE($I$6,"/",B79),Proventos!$D:$D,"&lt;"&amp;CONCATENATE($J$6,"/",B79),Proventos!$J:$J,"="&amp;$H$2),
AND($H$2=Data!$A$6,$K$2=Data!$A$2),SUMIFS(Proventos!$H:$H,Proventos!$D:$D,"&gt;="&amp;CONCATENATE($I$6,"/",B79),Proventos!$D:$D,"&lt;"&amp;CONCATENATE($J$6,"/",B79),Proventos!$J:$J,"="&amp;$H$2),
AND($H$2=Data!$A$7,$K$2=Data!$A$2),SUMIFS(Proventos!$H:$H,Proventos!$D:$D,"&gt;="&amp;CONCATENATE($I$6,"/",B79),Proventos!$D:$D,"&lt;"&amp;CONCATENATE($J$6,"/",B79),Proventos!$J:$J,"="&amp;$H$2),
AND($H$2=Data!$A$8,$K$2=Data!$A$2),SUMIFS(Proventos!$H:$H,Proventos!$D:$D,"&gt;="&amp;CONCATENATE($I$6,"/",B79),Proventos!$D:$D,"&lt;"&amp;CONCATENATE($J$6,"/",B79),Proventos!$J:$J,"="&amp;$H$2),
AND($H$2=Data!$A$9,$K$2=Data!$A$2),SUMIFS(Proventos!$H:$H,Proventos!$D:$D,"&gt;="&amp;CONCATENATE($I$6,"/",B79),Proventos!$D:$D,"&lt;"&amp;CONCATENATE($J$6,"/",B79),Proventos!$J:$J,"="&amp;$H$2),
AND($H$2=Data!$A$10,$K$2=Data!$A$2),SUMIFS(Proventos!$H:$H,Proventos!$D:$D,"&gt;="&amp;CONCATENATE($I$6,"/",B79),Proventos!$D:$D,"&lt;"&amp;CONCATENATE($J$6,"/",B79),Proventos!$J:$J,"="&amp;$H$2),
AND($H$2=Data!$A$11,$K$2=Data!$A$2),SUMIFS(Proventos!$H:$H,Proventos!$D:$D,"&gt;="&amp;CONCATENATE($I$6,"/",B79),Proventos!$D:$D,"&lt;"&amp;CONCATENATE($J$6,"/",B79),Proventos!$J:$J,"="&amp;$H$2),
$K$2=Data!$A$2,SUMIFS(Proventos!$H:$H,Proventos!$D:$D,"&gt;="&amp;CONCATENATE($I$6,"/",B79),Proventos!$D:$D,"&lt;"&amp;CONCATENATE($J$6,"/",B79)),
$K$2&lt;&gt;Data!$A$2,SUMIFS(Proventos!$H:$H,Proventos!$D:$D,"&gt;="&amp;CONCATENATE($I$6,"/",B79),Proventos!$D:$D,"&lt;"&amp;CONCATENATE($J$6,"/",B79),Proventos!$A:$A,"="&amp;$K$2))</f>
        <v>0</v>
      </c>
      <c r="J79" s="245">
        <f>IFS(
AND($H$2=Data!$A$3,$K$2=Data!$A$2),SUMIFS(Proventos!$H:$H,Proventos!$D:$D,"&gt;="&amp;CONCATENATE($J$6,"/",B79),Proventos!$D:$D,"&lt;"&amp;CONCATENATE($K$6,"/",B79),Proventos!$J:$J,"="&amp;$H$2),
AND($H$2=Data!$A$4,$K$2=Data!$A$2),SUMIFS(Proventos!$H:$H,Proventos!$D:$D,"&gt;="&amp;CONCATENATE($J$6,"/",B79),Proventos!$D:$D,"&lt;"&amp;CONCATENATE($K$6,"/",B79),Proventos!$J:$J,"="&amp;$H$2),
AND($H$2=Data!$A$5,$K$2=Data!$A$2),SUMIFS(Proventos!$H:$H,Proventos!$D:$D,"&gt;="&amp;CONCATENATE($J$6,"/",B79),Proventos!$D:$D,"&lt;"&amp;CONCATENATE($K$6,"/",B79),Proventos!$J:$J,"="&amp;$H$2),
AND($H$2=Data!$A$6,$K$2=Data!$A$2),SUMIFS(Proventos!$H:$H,Proventos!$D:$D,"&gt;="&amp;CONCATENATE($J$6,"/",B79),Proventos!$D:$D,"&lt;"&amp;CONCATENATE($K$6,"/",B79),Proventos!$J:$J,"="&amp;$H$2),
AND($H$2=Data!$A$7,$K$2=Data!$A$2),SUMIFS(Proventos!$H:$H,Proventos!$D:$D,"&gt;="&amp;CONCATENATE($J$6,"/",B79),Proventos!$D:$D,"&lt;"&amp;CONCATENATE($K$6,"/",B79),Proventos!$J:$J,"="&amp;$H$2),
AND($H$2=Data!$A$8,$K$2=Data!$A$2),SUMIFS(Proventos!$H:$H,Proventos!$D:$D,"&gt;="&amp;CONCATENATE($J$6,"/",B79),Proventos!$D:$D,"&lt;"&amp;CONCATENATE($K$6,"/",B79),Proventos!$J:$J,"="&amp;$H$2),
AND($H$2=Data!$A$9,$K$2=Data!$A$2),SUMIFS(Proventos!$H:$H,Proventos!$D:$D,"&gt;="&amp;CONCATENATE($J$6,"/",B79),Proventos!$D:$D,"&lt;"&amp;CONCATENATE($K$6,"/",B79),Proventos!$J:$J,"="&amp;$H$2),
AND($H$2=Data!$A$10,$K$2=Data!$A$2),SUMIFS(Proventos!$H:$H,Proventos!$D:$D,"&gt;="&amp;CONCATENATE($J$6,"/",B79),Proventos!$D:$D,"&lt;"&amp;CONCATENATE($K$6,"/",B79),Proventos!$J:$J,"="&amp;$H$2),
AND($H$2=Data!$A$11,$K$2=Data!$A$2),SUMIFS(Proventos!$H:$H,Proventos!$D:$D,"&gt;="&amp;CONCATENATE($J$6,"/",B79),Proventos!$D:$D,"&lt;"&amp;CONCATENATE($K$6,"/",B79),Proventos!$J:$J,"="&amp;$H$2),
$K$2=Data!$A$2,SUMIFS(Proventos!$H:$H,Proventos!$D:$D,"&gt;="&amp;CONCATENATE($J$6,"/",B79),Proventos!$D:$D,"&lt;"&amp;CONCATENATE($K$6,"/",B79)),
$K$2&lt;&gt;Data!$A$2,SUMIFS(Proventos!$H:$H,Proventos!$D:$D,"&gt;="&amp;CONCATENATE($J$6,"/",B79),Proventos!$D:$D,"&lt;"&amp;CONCATENATE($K$6,"/",B79),Proventos!$A:$A,"="&amp;$K$2))</f>
        <v>0</v>
      </c>
      <c r="K79" s="245">
        <f>IFS(
AND($H$2=Data!$A$3,$K$2=Data!$A$2),SUMIFS(Proventos!$H:$H,Proventos!$D:$D,"&gt;="&amp;CONCATENATE($K$6,"/",B79),Proventos!$D:$D,"&lt;"&amp;CONCATENATE($L$6,"/",B79),Proventos!$J:$J,"="&amp;$H$2),
AND($H$2=Data!$A$4,$K$2=Data!$A$2),SUMIFS(Proventos!$H:$H,Proventos!$D:$D,"&gt;="&amp;CONCATENATE($K$6,"/",B79),Proventos!$D:$D,"&lt;"&amp;CONCATENATE($L$6,"/",B79),Proventos!$J:$J,"="&amp;$H$2),
AND($H$2=Data!$A$5,$K$2=Data!$A$2),SUMIFS(Proventos!$H:$H,Proventos!$D:$D,"&gt;="&amp;CONCATENATE($K$6,"/",B79),Proventos!$D:$D,"&lt;"&amp;CONCATENATE($L$6,"/",B79),Proventos!$J:$J,"="&amp;$H$2),
AND($H$2=Data!$A$6,$K$2=Data!$A$2),SUMIFS(Proventos!$H:$H,Proventos!$D:$D,"&gt;="&amp;CONCATENATE($K$6,"/",B79),Proventos!$D:$D,"&lt;"&amp;CONCATENATE($L$6,"/",B79),Proventos!$J:$J,"="&amp;$H$2),
AND($H$2=Data!$A$7,$K$2=Data!$A$2),SUMIFS(Proventos!$H:$H,Proventos!$D:$D,"&gt;="&amp;CONCATENATE($K$6,"/",B79),Proventos!$D:$D,"&lt;"&amp;CONCATENATE($L$6,"/",B79),Proventos!$J:$J,"="&amp;$H$2),
AND($H$2=Data!$A$8,$K$2=Data!$A$2),SUMIFS(Proventos!$H:$H,Proventos!$D:$D,"&gt;="&amp;CONCATENATE($K$6,"/",B79),Proventos!$D:$D,"&lt;"&amp;CONCATENATE($L$6,"/",B79),Proventos!$J:$J,"="&amp;$H$2),
AND($H$2=Data!$A$9,$K$2=Data!$A$2),SUMIFS(Proventos!$H:$H,Proventos!$D:$D,"&gt;="&amp;CONCATENATE($K$6,"/",B79),Proventos!$D:$D,"&lt;"&amp;CONCATENATE($L$6,"/",B79),Proventos!$J:$J,"="&amp;$H$2),
AND($H$2=Data!$A$10,$K$2=Data!$A$2),SUMIFS(Proventos!$H:$H,Proventos!$D:$D,"&gt;="&amp;CONCATENATE($K$6,"/",B79),Proventos!$D:$D,"&lt;"&amp;CONCATENATE($L$6,"/",B79),Proventos!$J:$J,"="&amp;$H$2),
AND($H$2=Data!$A$11,$K$2=Data!$A$2),SUMIFS(Proventos!$H:$H,Proventos!$D:$D,"&gt;="&amp;CONCATENATE($K$6,"/",B79),Proventos!$D:$D,"&lt;"&amp;CONCATENATE($L$6,"/",B79),Proventos!$J:$J,"="&amp;$H$2),
$K$2=Data!$A$2,SUMIFS(Proventos!$H:$H,Proventos!$D:$D,"&gt;="&amp;CONCATENATE($K$6,"/",B79),Proventos!$D:$D,"&lt;"&amp;CONCATENATE($L$6,"/",B79)),
$K$2&lt;&gt;Data!$A$2,SUMIFS(Proventos!$H:$H,Proventos!$D:$D,"&gt;="&amp;CONCATENATE($K$6,"/",B79),Proventos!$D:$D,"&lt;"&amp;CONCATENATE($L$6,"/",B79),Proventos!$A:$A,"="&amp;$K$2))</f>
        <v>0</v>
      </c>
      <c r="L79" s="245">
        <f>IFS(
AND($H$2=Data!$A$3,$K$2=Data!$A$2),SUMIFS(Proventos!$H:$H,Proventos!$D:$D,"&gt;="&amp;CONCATENATE($L$6,"/",B79),Proventos!$D:$D,"&lt;"&amp;CONCATENATE($M$6,"/",B79),Proventos!$J:$J,"="&amp;$H$2),
AND($H$2=Data!$A$4,$K$2=Data!$A$2),SUMIFS(Proventos!$H:$H,Proventos!$D:$D,"&gt;="&amp;CONCATENATE($L$6,"/",B79),Proventos!$D:$D,"&lt;"&amp;CONCATENATE($M$6,"/",B79),Proventos!$J:$J,"="&amp;$H$2),
AND($H$2=Data!$A$5,$K$2=Data!$A$2),SUMIFS(Proventos!$H:$H,Proventos!$D:$D,"&gt;="&amp;CONCATENATE($L$6,"/",B79),Proventos!$D:$D,"&lt;"&amp;CONCATENATE($M$6,"/",B79),Proventos!$J:$J,"="&amp;$H$2),
AND($H$2=Data!$A$6,$K$2=Data!$A$2),SUMIFS(Proventos!$H:$H,Proventos!$D:$D,"&gt;="&amp;CONCATENATE($L$6,"/",B79),Proventos!$D:$D,"&lt;"&amp;CONCATENATE($M$6,"/",B79),Proventos!$J:$J,"="&amp;$H$2),
AND($H$2=Data!$A$7,$K$2=Data!$A$2),SUMIFS(Proventos!$H:$H,Proventos!$D:$D,"&gt;="&amp;CONCATENATE($L$6,"/",B79),Proventos!$D:$D,"&lt;"&amp;CONCATENATE($M$6,"/",B79),Proventos!$J:$J,"="&amp;$H$2),
AND($H$2=Data!$A$8,$K$2=Data!$A$2),SUMIFS(Proventos!$H:$H,Proventos!$D:$D,"&gt;="&amp;CONCATENATE($L$6,"/",B79),Proventos!$D:$D,"&lt;"&amp;CONCATENATE($M$6,"/",B79),Proventos!$J:$J,"="&amp;$H$2),
AND($H$2=Data!$A$9,$K$2=Data!$A$2),SUMIFS(Proventos!$H:$H,Proventos!$D:$D,"&gt;="&amp;CONCATENATE($L$6,"/",B79),Proventos!$D:$D,"&lt;"&amp;CONCATENATE($M$6,"/",B79),Proventos!$J:$J,"="&amp;$H$2),
AND($H$2=Data!$A$10,$K$2=Data!$A$2),SUMIFS(Proventos!$H:$H,Proventos!$D:$D,"&gt;="&amp;CONCATENATE($L$6,"/",B79),Proventos!$D:$D,"&lt;"&amp;CONCATENATE($M$6,"/",B79),Proventos!$J:$J,"="&amp;$H$2),
AND($H$2=Data!$A$11,$K$2=Data!$A$2),SUMIFS(Proventos!$H:$H,Proventos!$D:$D,"&gt;="&amp;CONCATENATE($L$6,"/",B79),Proventos!$D:$D,"&lt;"&amp;CONCATENATE($M$6,"/",B79),Proventos!$J:$J,"="&amp;$H$2),
$K$2=Data!$A$2,SUMIFS(Proventos!$H:$H,Proventos!$D:$D,"&gt;="&amp;CONCATENATE($L$6,"/",B79),Proventos!$D:$D,"&lt;"&amp;CONCATENATE($M$6,"/",B79)),
$K$2&lt;&gt;Data!$A$2,SUMIFS(Proventos!$H:$H,Proventos!$D:$D,"&gt;="&amp;CONCATENATE($L$6,"/",B79),Proventos!$D:$D,"&lt;"&amp;CONCATENATE($M$6,"/",B79),Proventos!$A:$A,"="&amp;$K$2))</f>
        <v>0</v>
      </c>
      <c r="M79" s="245">
        <f>IFS(
AND($H$2=Data!$A$3,$K$2=Data!$A$2),SUMIFS(Proventos!$H:$H,Proventos!$D:$D,"&gt;="&amp;CONCATENATE($M$6,"/",B79),Proventos!$D:$D,"&lt;"&amp;CONCATENATE($N$6,"/",B79),Proventos!$J:$J,"="&amp;$H$2),
AND($H$2=Data!$A$4,$K$2=Data!$A$2),SUMIFS(Proventos!$H:$H,Proventos!$D:$D,"&gt;="&amp;CONCATENATE($M$6,"/",B79),Proventos!$D:$D,"&lt;"&amp;CONCATENATE($N$6,"/",B79),Proventos!$J:$J,"="&amp;$H$2),
AND($H$2=Data!$A$5,$K$2=Data!$A$2),SUMIFS(Proventos!$H:$H,Proventos!$D:$D,"&gt;="&amp;CONCATENATE($M$6,"/",B79),Proventos!$D:$D,"&lt;"&amp;CONCATENATE($N$6,"/",B79),Proventos!$J:$J,"="&amp;$H$2),
AND($H$2=Data!$A$6,$K$2=Data!$A$2),SUMIFS(Proventos!$H:$H,Proventos!$D:$D,"&gt;="&amp;CONCATENATE($M$6,"/",B79),Proventos!$D:$D,"&lt;"&amp;CONCATENATE($N$6,"/",B79),Proventos!$J:$J,"="&amp;$H$2),
AND($H$2=Data!$A$7,$K$2=Data!$A$2),SUMIFS(Proventos!$H:$H,Proventos!$D:$D,"&gt;="&amp;CONCATENATE($M$6,"/",B79),Proventos!$D:$D,"&lt;"&amp;CONCATENATE($N$6,"/",B79),Proventos!$J:$J,"="&amp;$H$2),
AND($H$2=Data!$A$8,$K$2=Data!$A$2),SUMIFS(Proventos!$H:$H,Proventos!$D:$D,"&gt;="&amp;CONCATENATE($M$6,"/",B79),Proventos!$D:$D,"&lt;"&amp;CONCATENATE($N$6,"/",B79),Proventos!$J:$J,"="&amp;$H$2),
AND($H$2=Data!$A$9,$K$2=Data!$A$2),SUMIFS(Proventos!$H:$H,Proventos!$D:$D,"&gt;="&amp;CONCATENATE($M$6,"/",B79),Proventos!$D:$D,"&lt;"&amp;CONCATENATE($N$6,"/",B79),Proventos!$J:$J,"="&amp;$H$2),
AND($H$2=Data!$A$10,$K$2=Data!$A$2),SUMIFS(Proventos!$H:$H,Proventos!$D:$D,"&gt;="&amp;CONCATENATE($M$6,"/",B79),Proventos!$D:$D,"&lt;"&amp;CONCATENATE($N$6,"/",B79),Proventos!$J:$J,"="&amp;$H$2),
AND($H$2=Data!$A$11,$K$2=Data!$A$2),SUMIFS(Proventos!$H:$H,Proventos!$D:$D,"&gt;="&amp;CONCATENATE($M$6,"/",B79),Proventos!$D:$D,"&lt;"&amp;CONCATENATE($N$6,"/",B79),Proventos!$J:$J,"="&amp;$H$2),
$K$2=Data!$A$2,SUMIFS(Proventos!$H:$H,Proventos!$D:$D,"&gt;="&amp;CONCATENATE($M$6,"/",B79),Proventos!$D:$D,"&lt;"&amp;CONCATENATE($N$6,"/",B79)),
$K$2&lt;&gt;Data!$A$2,SUMIFS(Proventos!$H:$H,Proventos!$D:$D,"&gt;="&amp;CONCATENATE($M$6,"/",B79),Proventos!$D:$D,"&lt;"&amp;CONCATENATE($N$6,"/",B79),Proventos!$A:$A,"="&amp;$K$2))</f>
        <v>0</v>
      </c>
      <c r="N79" s="245">
        <f>IFS(
AND($H$2=Data!$A$3,$K$2=Data!$A$2),SUMIFS(Proventos!$H:$H,Proventos!$D:$D,"&gt;="&amp;CONCATENATE($N$6,"/",B79),Proventos!$D:$D,"&lt;"&amp;CONCATENATE($C$6,"/",B80),Proventos!$J:$J,"="&amp;$H$2),
AND($H$2=Data!$A$4,$K$2=Data!$A$2),SUMIFS(Proventos!$H:$H,Proventos!$D:$D,"&gt;="&amp;CONCATENATE($N$6,"/",B79),Proventos!$D:$D,"&lt;"&amp;CONCATENATE($C$6,"/",B80),Proventos!$J:$J,"="&amp;$H$2),
AND($H$2=Data!$A$5,$K$2=Data!$A$2),SUMIFS(Proventos!$H:$H,Proventos!$D:$D,"&gt;="&amp;CONCATENATE($N$6,"/",B79),Proventos!$D:$D,"&lt;"&amp;CONCATENATE($C$6,"/",B80),Proventos!$J:$J,"="&amp;$H$2),
AND($H$2=Data!$A$6,$K$2=Data!$A$2),SUMIFS(Proventos!$H:$H,Proventos!$D:$D,"&gt;="&amp;CONCATENATE($N$6,"/",B79),Proventos!$D:$D,"&lt;"&amp;CONCATENATE($C$6,"/",B80),Proventos!$J:$J,"="&amp;$H$2),
AND($H$2=Data!$A$7,$K$2=Data!$A$2),SUMIFS(Proventos!$H:$H,Proventos!$D:$D,"&gt;="&amp;CONCATENATE($N$6,"/",B79),Proventos!$D:$D,"&lt;"&amp;CONCATENATE($C$6,"/",B80),Proventos!$J:$J,"="&amp;$H$2),
AND($H$2=Data!$A$8,$K$2=Data!$A$2),SUMIFS(Proventos!$H:$H,Proventos!$D:$D,"&gt;="&amp;CONCATENATE($N$6,"/",B79),Proventos!$D:$D,"&lt;"&amp;CONCATENATE($C$6,"/",B80),Proventos!$J:$J,"="&amp;$H$2),
AND($H$2=Data!$A$9,$K$2=Data!$A$2),SUMIFS(Proventos!$H:$H,Proventos!$D:$D,"&gt;="&amp;CONCATENATE($N$6,"/",B79),Proventos!$D:$D,"&lt;"&amp;CONCATENATE($C$6,"/",B80),Proventos!$J:$J,"="&amp;$H$2),
AND($H$2=Data!$A$10,$K$2=Data!$A$2),SUMIFS(Proventos!$H:$H,Proventos!$D:$D,"&gt;="&amp;CONCATENATE($N$6,"/",B79),Proventos!$D:$D,"&lt;"&amp;CONCATENATE($C$6,"/",B80),Proventos!$J:$J,"="&amp;$H$2),
AND($H$2=Data!$A$11,$K$2=Data!$A$2),SUMIFS(Proventos!$H:$H,Proventos!$D:$D,"&gt;="&amp;CONCATENATE($N$6,"/",B79),Proventos!$D:$D,"&lt;"&amp;CONCATENATE($C$6,"/",B80),Proventos!$J:$J,"="&amp;$H$2),
$K$2=Data!$A$2,SUMIFS(Proventos!$H:$H,Proventos!$D:$D,"&gt;="&amp;CONCATENATE($N$6,"/",B79),Proventos!$D:$D,"&lt;"&amp;CONCATENATE($C$6,"/",B80)),
$K$2&lt;&gt;Data!$A$2,SUMIFS(Proventos!$H:$H,Proventos!$D:$D,"&gt;="&amp;CONCATENATE($N$6,"/",B79),Proventos!$D:$D,"&lt;"&amp;CONCATENATE($C$6,"/",B80),Proventos!$A:$A,"="&amp;$K$2))</f>
        <v>0</v>
      </c>
      <c r="O79" s="245"/>
      <c r="P79" s="245">
        <f t="shared" si="1"/>
        <v>0</v>
      </c>
      <c r="Q79" s="245">
        <f t="shared" si="2"/>
        <v>0</v>
      </c>
    </row>
    <row r="80" ht="32.25" customHeight="1">
      <c r="A80" s="230"/>
      <c r="B80" s="244"/>
      <c r="C80" s="245">
        <f>IFS(
AND($H$2=Data!$A$3,$K$2=Data!$A$2),SUMIFS(Proventos!$H:$H,Proventos!$D:$D,"&gt;="&amp;CONCATENATE($C$6,"/",B80),Proventos!$D:$D,"&lt;"&amp;CONCATENATE($D$6,"/",B80),Proventos!$J:$J,"="&amp;$H$2),
AND($H$2=Data!$A$4,$K$2=Data!$A$2),SUMIFS(Proventos!$H:$H,Proventos!$D:$D,"&gt;="&amp;CONCATENATE($C$6,"/",B80),Proventos!$D:$D,"&lt;"&amp;CONCATENATE($D$6,"/",B80),Proventos!$J:$J,"="&amp;$H$2),
AND($H$2=Data!$A$5,$K$2=Data!$A$2),SUMIFS(Proventos!$H:$H,Proventos!$D:$D,"&gt;="&amp;CONCATENATE($C$6,"/",B80),Proventos!$D:$D,"&lt;"&amp;CONCATENATE($D$6,"/",B80),Proventos!$J:$J,"="&amp;$H$2),
AND($H$2=Data!$A$6,$K$2=Data!$A$2),SUMIFS(Proventos!$H:$H,Proventos!$D:$D,"&gt;="&amp;CONCATENATE($C$6,"/",B80),Proventos!$D:$D,"&lt;"&amp;CONCATENATE($D$6,"/",B80),Proventos!$J:$J,"="&amp;$H$2),
AND($H$2=Data!$A$7,$K$2=Data!$A$2),SUMIFS(Proventos!$H:$H,Proventos!$D:$D,"&gt;="&amp;CONCATENATE($C$6,"/",B80),Proventos!$D:$D,"&lt;"&amp;CONCATENATE($D$6,"/",B80),Proventos!$J:$J,"="&amp;$H$2),
AND($H$2=Data!$A$8,$K$2=Data!$A$2),SUMIFS(Proventos!$H:$H,Proventos!$D:$D,"&gt;="&amp;CONCATENATE($C$6,"/",B80),Proventos!$D:$D,"&lt;"&amp;CONCATENATE($D$6,"/",B80),Proventos!$J:$J,"="&amp;$H$2),
AND($H$2=Data!$A$9,$K$2=Data!$A$2),SUMIFS(Proventos!$H:$H,Proventos!$D:$D,"&gt;="&amp;CONCATENATE($C$6,"/",B80),Proventos!$D:$D,"&lt;"&amp;CONCATENATE($D$6,"/",B80),Proventos!$J:$J,"="&amp;$H$2),
AND($H$2=Data!$A$10,$K$2=Data!$A$2),SUMIFS(Proventos!$H:$H,Proventos!$D:$D,"&gt;="&amp;CONCATENATE($C$6,"/",B80),Proventos!$D:$D,"&lt;"&amp;CONCATENATE($D$6,"/",B80),Proventos!$J:$J,"="&amp;$H$2),
AND($H$2=Data!$A$11,$K$2=Data!$A$2),SUMIFS(Proventos!$H:$H,Proventos!$D:$D,"&gt;="&amp;CONCATENATE($C$6,"/",B80),Proventos!$D:$D,"&lt;"&amp;CONCATENATE($D$6,"/",B80),Proventos!$J:$J,"="&amp;$H$2),
$K$2=Data!$A$2,SUMIFS(Proventos!$H:$H,Proventos!$D:$D,"&gt;="&amp;CONCATENATE($C$6,"/",B80),Proventos!$D:$D,"&lt;"&amp;CONCATENATE($D$6,"/",B80)),
$K$2&lt;&gt;Data!$A$2,SUMIFS(Proventos!$H:$H,Proventos!$D:$D,"&gt;="&amp;CONCATENATE($C$6,"/",B80),Proventos!$D:$D,"&lt;"&amp;CONCATENATE($D$6,"/",B80),Proventos!$A:$A,"="&amp;$K$2))</f>
        <v>0</v>
      </c>
      <c r="D80" s="245">
        <f>IFS(
AND($H$2=Data!$A$3,$K$2=Data!$A$2),SUMIFS(Proventos!$H:$H,Proventos!$D:$D,"&gt;="&amp;CONCATENATE($D$6,"/",B80),Proventos!$D:$D,"&lt;"&amp;CONCATENATE($E$6,"/",B80),Proventos!$J:$J,"="&amp;$H$2),
AND($H$2=Data!$A$4,$K$2=Data!$A$2),SUMIFS(Proventos!$H:$H,Proventos!$D:$D,"&gt;="&amp;CONCATENATE($D$6,"/",B80),Proventos!$D:$D,"&lt;"&amp;CONCATENATE($E$6,"/",B80),Proventos!$J:$J,"="&amp;$H$2),
AND($H$2=Data!$A$5,$K$2=Data!$A$2),SUMIFS(Proventos!$H:$H,Proventos!$D:$D,"&gt;="&amp;CONCATENATE($D$6,"/",B80),Proventos!$D:$D,"&lt;"&amp;CONCATENATE($E$6,"/",B80),Proventos!$J:$J,"="&amp;$H$2),
AND($H$2=Data!$A$6,$K$2=Data!$A$2),SUMIFS(Proventos!$H:$H,Proventos!$D:$D,"&gt;="&amp;CONCATENATE($D$6,"/",B80),Proventos!$D:$D,"&lt;"&amp;CONCATENATE($E$6,"/",B80),Proventos!$J:$J,"="&amp;$H$2),
AND($H$2=Data!$A$7,$K$2=Data!$A$2),SUMIFS(Proventos!$H:$H,Proventos!$D:$D,"&gt;="&amp;CONCATENATE($D$6,"/",B80),Proventos!$D:$D,"&lt;"&amp;CONCATENATE($E$6,"/",B80),Proventos!$J:$J,"="&amp;$H$2),
AND($H$2=Data!$A$8,$K$2=Data!$A$2),SUMIFS(Proventos!$H:$H,Proventos!$D:$D,"&gt;="&amp;CONCATENATE($D$6,"/",B80),Proventos!$D:$D,"&lt;"&amp;CONCATENATE($E$6,"/",B80),Proventos!$J:$J,"="&amp;$H$2),
AND($H$2=Data!$A$9,$K$2=Data!$A$2),SUMIFS(Proventos!$H:$H,Proventos!$D:$D,"&gt;="&amp;CONCATENATE($D$6,"/",B80),Proventos!$D:$D,"&lt;"&amp;CONCATENATE($E$6,"/",B80),Proventos!$J:$J,"="&amp;$H$2),
AND($H$2=Data!$A$10,$K$2=Data!$A$2),SUMIFS(Proventos!$H:$H,Proventos!$D:$D,"&gt;="&amp;CONCATENATE($D$6,"/",B80),Proventos!$D:$D,"&lt;"&amp;CONCATENATE($E$6,"/",B80),Proventos!$J:$J,"="&amp;$H$2),
AND($H$2=Data!$A$11,$K$2=Data!$A$2),SUMIFS(Proventos!$H:$H,Proventos!$D:$D,"&gt;="&amp;CONCATENATE($D$6,"/",B80),Proventos!$D:$D,"&lt;"&amp;CONCATENATE($E$6,"/",B80),Proventos!$J:$J,"="&amp;$H$2),
$K$2=Data!$A$2,SUMIFS(Proventos!$H:$H,Proventos!$D:$D,"&gt;="&amp;CONCATENATE($D$6,"/",B80),Proventos!$D:$D,"&lt;"&amp;CONCATENATE($E$6,"/",B80)),
$K$2&lt;&gt;Data!$A$2,SUMIFS(Proventos!$H:$H,Proventos!$D:$D,"&gt;="&amp;CONCATENATE($D$6,"/",B80),Proventos!$D:$D,"&lt;"&amp;CONCATENATE($E$6,"/",B80),Proventos!$A:$A,"="&amp;$K$2))</f>
        <v>0</v>
      </c>
      <c r="E80" s="245">
        <f>IFS(
AND($H$2=Data!$A$3,$K$2=Data!$A$2),SUMIFS(Proventos!$H:$H,Proventos!$D:$D,"&gt;="&amp;CONCATENATE($E$6,"/",B80),Proventos!$D:$D,"&lt;"&amp;CONCATENATE($F$6,"/",B80),Proventos!$J:$J,"="&amp;$H$2),
AND($H$2=Data!$A$4,$K$2=Data!$A$2),SUMIFS(Proventos!$H:$H,Proventos!$D:$D,"&gt;="&amp;CONCATENATE($E$6,"/",B80),Proventos!$D:$D,"&lt;"&amp;CONCATENATE($F$6,"/",B80),Proventos!$J:$J,"="&amp;$H$2),
AND($H$2=Data!$A$5,$K$2=Data!$A$2),SUMIFS(Proventos!$H:$H,Proventos!$D:$D,"&gt;="&amp;CONCATENATE($E$6,"/",B80),Proventos!$D:$D,"&lt;"&amp;CONCATENATE($F$6,"/",B80),Proventos!$J:$J,"="&amp;$H$2),
AND($H$2=Data!$A$6,$K$2=Data!$A$2),SUMIFS(Proventos!$H:$H,Proventos!$D:$D,"&gt;="&amp;CONCATENATE($E$6,"/",B80),Proventos!$D:$D,"&lt;"&amp;CONCATENATE($F$6,"/",B80),Proventos!$J:$J,"="&amp;$H$2),
AND($H$2=Data!$A$7,$K$2=Data!$A$2),SUMIFS(Proventos!$H:$H,Proventos!$D:$D,"&gt;="&amp;CONCATENATE($E$6,"/",B80),Proventos!$D:$D,"&lt;"&amp;CONCATENATE($F$6,"/",B80),Proventos!$J:$J,"="&amp;$H$2),
AND($H$2=Data!$A$8,$K$2=Data!$A$2),SUMIFS(Proventos!$H:$H,Proventos!$D:$D,"&gt;="&amp;CONCATENATE($E$6,"/",B80),Proventos!$D:$D,"&lt;"&amp;CONCATENATE($F$6,"/",B80),Proventos!$J:$J,"="&amp;$H$2),
AND($H$2=Data!$A$9,$K$2=Data!$A$2),SUMIFS(Proventos!$H:$H,Proventos!$D:$D,"&gt;="&amp;CONCATENATE($E$6,"/",B80),Proventos!$D:$D,"&lt;"&amp;CONCATENATE($F$6,"/",B80),Proventos!$J:$J,"="&amp;$H$2),
AND($H$2=Data!$A$10,$K$2=Data!$A$2),SUMIFS(Proventos!$H:$H,Proventos!$D:$D,"&gt;="&amp;CONCATENATE($E$6,"/",B80),Proventos!$D:$D,"&lt;"&amp;CONCATENATE($F$6,"/",B80),Proventos!$J:$J,"="&amp;$H$2),
AND($H$2=Data!$A$11,$K$2=Data!$A$2),SUMIFS(Proventos!$H:$H,Proventos!$D:$D,"&gt;="&amp;CONCATENATE($E$6,"/",B80),Proventos!$D:$D,"&lt;"&amp;CONCATENATE($F$6,"/",B80),Proventos!$J:$J,"="&amp;$H$2),
$K$2=Data!$A$2,SUMIFS(Proventos!$H:$H,Proventos!$D:$D,"&gt;="&amp;CONCATENATE($E$6,"/",B80),Proventos!$D:$D,"&lt;"&amp;CONCATENATE($F$6,"/",B80)),
$K$2&lt;&gt;Data!$A$2,SUMIFS(Proventos!$H:$H,Proventos!$D:$D,"&gt;="&amp;CONCATENATE($E$6,"/",B80),Proventos!$D:$D,"&lt;"&amp;CONCATENATE($F$6,"/",B80),Proventos!$A:$A,"="&amp;$K$2))</f>
        <v>0</v>
      </c>
      <c r="F80" s="245">
        <f>IFS(
AND($H$2=Data!$A$3,$K$2=Data!$A$2),SUMIFS(Proventos!$H:$H,Proventos!$D:$D,"&gt;="&amp;CONCATENATE($F$6,"/",B80),Proventos!$D:$D,"&lt;"&amp;CONCATENATE($G$6,"/",B80),Proventos!$J:$J,"="&amp;$H$2),
AND($H$2=Data!$A$4,$K$2=Data!$A$2),SUMIFS(Proventos!$H:$H,Proventos!$D:$D,"&gt;="&amp;CONCATENATE($F$6,"/",B80),Proventos!$D:$D,"&lt;"&amp;CONCATENATE($G$6,"/",B80),Proventos!$J:$J,"="&amp;$H$2),
AND($H$2=Data!$A$5,$K$2=Data!$A$2),SUMIFS(Proventos!$H:$H,Proventos!$D:$D,"&gt;="&amp;CONCATENATE($F$6,"/",B80),Proventos!$D:$D,"&lt;"&amp;CONCATENATE($G$6,"/",B80),Proventos!$J:$J,"="&amp;$H$2),
AND($H$2=Data!$A$6,$K$2=Data!$A$2),SUMIFS(Proventos!$H:$H,Proventos!$D:$D,"&gt;="&amp;CONCATENATE($F$6,"/",B80),Proventos!$D:$D,"&lt;"&amp;CONCATENATE($G$6,"/",B80),Proventos!$J:$J,"="&amp;$H$2),
AND($H$2=Data!$A$7,$K$2=Data!$A$2),SUMIFS(Proventos!$H:$H,Proventos!$D:$D,"&gt;="&amp;CONCATENATE($F$6,"/",B80),Proventos!$D:$D,"&lt;"&amp;CONCATENATE($G$6,"/",B80),Proventos!$J:$J,"="&amp;$H$2),
AND($H$2=Data!$A$8,$K$2=Data!$A$2),SUMIFS(Proventos!$H:$H,Proventos!$D:$D,"&gt;="&amp;CONCATENATE($F$6,"/",B80),Proventos!$D:$D,"&lt;"&amp;CONCATENATE($G$6,"/",B80),Proventos!$J:$J,"="&amp;$H$2),
AND($H$2=Data!$A$9,$K$2=Data!$A$2),SUMIFS(Proventos!$H:$H,Proventos!$D:$D,"&gt;="&amp;CONCATENATE($F$6,"/",B80),Proventos!$D:$D,"&lt;"&amp;CONCATENATE($G$6,"/",B80),Proventos!$J:$J,"="&amp;$H$2),
AND($H$2=Data!$A$10,$K$2=Data!$A$2),SUMIFS(Proventos!$H:$H,Proventos!$D:$D,"&gt;="&amp;CONCATENATE($F$6,"/",B80),Proventos!$D:$D,"&lt;"&amp;CONCATENATE($G$6,"/",B80),Proventos!$J:$J,"="&amp;$H$2),
AND($H$2=Data!$A$11,$K$2=Data!$A$2),SUMIFS(Proventos!$H:$H,Proventos!$D:$D,"&gt;="&amp;CONCATENATE($F$6,"/",B80),Proventos!$D:$D,"&lt;"&amp;CONCATENATE($G$6,"/",B80),Proventos!$J:$J,"="&amp;$H$2),
$K$2=Data!$A$2,SUMIFS(Proventos!$H:$H,Proventos!$D:$D,"&gt;="&amp;CONCATENATE($F$6,"/",B80),Proventos!$D:$D,"&lt;"&amp;CONCATENATE($G$6,"/",B80)),
$K$2&lt;&gt;Data!$A$2,SUMIFS(Proventos!$H:$H,Proventos!$D:$D,"&gt;="&amp;CONCATENATE($F$6,"/",B80),Proventos!$D:$D,"&lt;"&amp;CONCATENATE($G$6,"/",B80),Proventos!$A:$A,"="&amp;$K$2))</f>
        <v>0</v>
      </c>
      <c r="G80" s="245">
        <f>IFS(
AND($H$2=Data!$A$3,$K$2=Data!$A$2),SUMIFS(Proventos!$H:$H,Proventos!$D:$D,"&gt;="&amp;CONCATENATE($G$6,"/",B80),Proventos!$D:$D,"&lt;"&amp;CONCATENATE($H$6,"/",B80),Proventos!$J:$J,"="&amp;$H$2),
AND($H$2=Data!$A$4,$K$2=Data!$A$2),SUMIFS(Proventos!$H:$H,Proventos!$D:$D,"&gt;="&amp;CONCATENATE($G$6,"/",B80),Proventos!$D:$D,"&lt;"&amp;CONCATENATE($H$6,"/",B80),Proventos!$J:$J,"="&amp;$H$2),
AND($H$2=Data!$A$5,$K$2=Data!$A$2),SUMIFS(Proventos!$H:$H,Proventos!$D:$D,"&gt;="&amp;CONCATENATE($G$6,"/",B80),Proventos!$D:$D,"&lt;"&amp;CONCATENATE($H$6,"/",B80),Proventos!$J:$J,"="&amp;$H$2),
AND($H$2=Data!$A$6,$K$2=Data!$A$2),SUMIFS(Proventos!$H:$H,Proventos!$D:$D,"&gt;="&amp;CONCATENATE($G$6,"/",B80),Proventos!$D:$D,"&lt;"&amp;CONCATENATE($H$6,"/",B80),Proventos!$J:$J,"="&amp;$H$2),
AND($H$2=Data!$A$7,$K$2=Data!$A$2),SUMIFS(Proventos!$H:$H,Proventos!$D:$D,"&gt;="&amp;CONCATENATE($G$6,"/",B80),Proventos!$D:$D,"&lt;"&amp;CONCATENATE($H$6,"/",B80),Proventos!$J:$J,"="&amp;$H$2),
AND($H$2=Data!$A$8,$K$2=Data!$A$2),SUMIFS(Proventos!$H:$H,Proventos!$D:$D,"&gt;="&amp;CONCATENATE($G$6,"/",B80),Proventos!$D:$D,"&lt;"&amp;CONCATENATE($H$6,"/",B80),Proventos!$J:$J,"="&amp;$H$2),
AND($H$2=Data!$A$9,$K$2=Data!$A$2),SUMIFS(Proventos!$H:$H,Proventos!$D:$D,"&gt;="&amp;CONCATENATE($G$6,"/",B80),Proventos!$D:$D,"&lt;"&amp;CONCATENATE($H$6,"/",B80),Proventos!$J:$J,"="&amp;$H$2),
AND($H$2=Data!$A$10,$K$2=Data!$A$2),SUMIFS(Proventos!$H:$H,Proventos!$D:$D,"&gt;="&amp;CONCATENATE($G$6,"/",B80),Proventos!$D:$D,"&lt;"&amp;CONCATENATE($H$6,"/",B80),Proventos!$J:$J,"="&amp;$H$2),
AND($H$2=Data!$A$11,$K$2=Data!$A$2),SUMIFS(Proventos!$H:$H,Proventos!$D:$D,"&gt;="&amp;CONCATENATE($G$6,"/",B80),Proventos!$D:$D,"&lt;"&amp;CONCATENATE($H$6,"/",B80),Proventos!$J:$J,"="&amp;$H$2),
$K$2=Data!$A$2,SUMIFS(Proventos!$H:$H,Proventos!$D:$D,"&gt;="&amp;CONCATENATE($G$6,"/",B80),Proventos!$D:$D,"&lt;"&amp;CONCATENATE($H$6,"/",B80)),
$K$2&lt;&gt;Data!$A$2,SUMIFS(Proventos!$H:$H,Proventos!$D:$D,"&gt;="&amp;CONCATENATE($G$6,"/",B80),Proventos!$D:$D,"&lt;"&amp;CONCATENATE($H$6,"/",B80),Proventos!$A:$A,"="&amp;$K$2))</f>
        <v>0</v>
      </c>
      <c r="H80" s="245">
        <f>IFS(
AND($H$2=Data!$A$3,$K$2=Data!$A$2),SUMIFS(Proventos!$H:$H,Proventos!$D:$D,"&gt;="&amp;CONCATENATE($H$6,"/",B80),Proventos!$D:$D,"&lt;"&amp;CONCATENATE($I$6,"/",B80),Proventos!$J:$J,"="&amp;$H$2),
AND($H$2=Data!$A$4,$K$2=Data!$A$2),SUMIFS(Proventos!$H:$H,Proventos!$D:$D,"&gt;="&amp;CONCATENATE($H$6,"/",B80),Proventos!$D:$D,"&lt;"&amp;CONCATENATE($I$6,"/",B80),Proventos!$J:$J,"="&amp;$H$2),
AND($H$2=Data!$A$5,$K$2=Data!$A$2),SUMIFS(Proventos!$H:$H,Proventos!$D:$D,"&gt;="&amp;CONCATENATE($H$6,"/",B80),Proventos!$D:$D,"&lt;"&amp;CONCATENATE($I$6,"/",B80),Proventos!$J:$J,"="&amp;$H$2),
AND($H$2=Data!$A$6,$K$2=Data!$A$2),SUMIFS(Proventos!$H:$H,Proventos!$D:$D,"&gt;="&amp;CONCATENATE($H$6,"/",B80),Proventos!$D:$D,"&lt;"&amp;CONCATENATE($I$6,"/",B80),Proventos!$J:$J,"="&amp;$H$2),
AND($H$2=Data!$A$7,$K$2=Data!$A$2),SUMIFS(Proventos!$H:$H,Proventos!$D:$D,"&gt;="&amp;CONCATENATE($H$6,"/",B80),Proventos!$D:$D,"&lt;"&amp;CONCATENATE($I$6,"/",B80),Proventos!$J:$J,"="&amp;$H$2),
AND($H$2=Data!$A$8,$K$2=Data!$A$2),SUMIFS(Proventos!$H:$H,Proventos!$D:$D,"&gt;="&amp;CONCATENATE($H$6,"/",B80),Proventos!$D:$D,"&lt;"&amp;CONCATENATE($I$6,"/",B80),Proventos!$J:$J,"="&amp;$H$2),
AND($H$2=Data!$A$9,$K$2=Data!$A$2),SUMIFS(Proventos!$H:$H,Proventos!$D:$D,"&gt;="&amp;CONCATENATE($H$6,"/",B80),Proventos!$D:$D,"&lt;"&amp;CONCATENATE($I$6,"/",B80),Proventos!$J:$J,"="&amp;$H$2),
AND($H$2=Data!$A$10,$K$2=Data!$A$2),SUMIFS(Proventos!$H:$H,Proventos!$D:$D,"&gt;="&amp;CONCATENATE($H$6,"/",B80),Proventos!$D:$D,"&lt;"&amp;CONCATENATE($I$6,"/",B80),Proventos!$J:$J,"="&amp;$H$2),
AND($H$2=Data!$A$11,$K$2=Data!$A$2),SUMIFS(Proventos!$H:$H,Proventos!$D:$D,"&gt;="&amp;CONCATENATE($H$6,"/",B80),Proventos!$D:$D,"&lt;"&amp;CONCATENATE($I$6,"/",B80),Proventos!$J:$J,"="&amp;$H$2),
$K$2=Data!$A$2,SUMIFS(Proventos!$H:$H,Proventos!$D:$D,"&gt;="&amp;CONCATENATE($H$6,"/",B80),Proventos!$D:$D,"&lt;"&amp;CONCATENATE($I$6,"/",B80)),
$K$2&lt;&gt;Data!$A$2,SUMIFS(Proventos!$H:$H,Proventos!$D:$D,"&gt;="&amp;CONCATENATE($H$6,"/",B80),Proventos!$D:$D,"&lt;"&amp;CONCATENATE($I$6,"/",B80),Proventos!$A:$A,"="&amp;$K$2))</f>
        <v>0</v>
      </c>
      <c r="I80" s="245">
        <f>IFS(
AND($H$2=Data!$A$3,$K$2=Data!$A$2),SUMIFS(Proventos!$H:$H,Proventos!$D:$D,"&gt;="&amp;CONCATENATE($I$6,"/",B80),Proventos!$D:$D,"&lt;"&amp;CONCATENATE($J$6,"/",B80),Proventos!$J:$J,"="&amp;$H$2),
AND($H$2=Data!$A$4,$K$2=Data!$A$2),SUMIFS(Proventos!$H:$H,Proventos!$D:$D,"&gt;="&amp;CONCATENATE($I$6,"/",B80),Proventos!$D:$D,"&lt;"&amp;CONCATENATE($J$6,"/",B80),Proventos!$J:$J,"="&amp;$H$2),
AND($H$2=Data!$A$5,$K$2=Data!$A$2),SUMIFS(Proventos!$H:$H,Proventos!$D:$D,"&gt;="&amp;CONCATENATE($I$6,"/",B80),Proventos!$D:$D,"&lt;"&amp;CONCATENATE($J$6,"/",B80),Proventos!$J:$J,"="&amp;$H$2),
AND($H$2=Data!$A$6,$K$2=Data!$A$2),SUMIFS(Proventos!$H:$H,Proventos!$D:$D,"&gt;="&amp;CONCATENATE($I$6,"/",B80),Proventos!$D:$D,"&lt;"&amp;CONCATENATE($J$6,"/",B80),Proventos!$J:$J,"="&amp;$H$2),
AND($H$2=Data!$A$7,$K$2=Data!$A$2),SUMIFS(Proventos!$H:$H,Proventos!$D:$D,"&gt;="&amp;CONCATENATE($I$6,"/",B80),Proventos!$D:$D,"&lt;"&amp;CONCATENATE($J$6,"/",B80),Proventos!$J:$J,"="&amp;$H$2),
AND($H$2=Data!$A$8,$K$2=Data!$A$2),SUMIFS(Proventos!$H:$H,Proventos!$D:$D,"&gt;="&amp;CONCATENATE($I$6,"/",B80),Proventos!$D:$D,"&lt;"&amp;CONCATENATE($J$6,"/",B80),Proventos!$J:$J,"="&amp;$H$2),
AND($H$2=Data!$A$9,$K$2=Data!$A$2),SUMIFS(Proventos!$H:$H,Proventos!$D:$D,"&gt;="&amp;CONCATENATE($I$6,"/",B80),Proventos!$D:$D,"&lt;"&amp;CONCATENATE($J$6,"/",B80),Proventos!$J:$J,"="&amp;$H$2),
AND($H$2=Data!$A$10,$K$2=Data!$A$2),SUMIFS(Proventos!$H:$H,Proventos!$D:$D,"&gt;="&amp;CONCATENATE($I$6,"/",B80),Proventos!$D:$D,"&lt;"&amp;CONCATENATE($J$6,"/",B80),Proventos!$J:$J,"="&amp;$H$2),
AND($H$2=Data!$A$11,$K$2=Data!$A$2),SUMIFS(Proventos!$H:$H,Proventos!$D:$D,"&gt;="&amp;CONCATENATE($I$6,"/",B80),Proventos!$D:$D,"&lt;"&amp;CONCATENATE($J$6,"/",B80),Proventos!$J:$J,"="&amp;$H$2),
$K$2=Data!$A$2,SUMIFS(Proventos!$H:$H,Proventos!$D:$D,"&gt;="&amp;CONCATENATE($I$6,"/",B80),Proventos!$D:$D,"&lt;"&amp;CONCATENATE($J$6,"/",B80)),
$K$2&lt;&gt;Data!$A$2,SUMIFS(Proventos!$H:$H,Proventos!$D:$D,"&gt;="&amp;CONCATENATE($I$6,"/",B80),Proventos!$D:$D,"&lt;"&amp;CONCATENATE($J$6,"/",B80),Proventos!$A:$A,"="&amp;$K$2))</f>
        <v>0</v>
      </c>
      <c r="J80" s="245">
        <f>IFS(
AND($H$2=Data!$A$3,$K$2=Data!$A$2),SUMIFS(Proventos!$H:$H,Proventos!$D:$D,"&gt;="&amp;CONCATENATE($J$6,"/",B80),Proventos!$D:$D,"&lt;"&amp;CONCATENATE($K$6,"/",B80),Proventos!$J:$J,"="&amp;$H$2),
AND($H$2=Data!$A$4,$K$2=Data!$A$2),SUMIFS(Proventos!$H:$H,Proventos!$D:$D,"&gt;="&amp;CONCATENATE($J$6,"/",B80),Proventos!$D:$D,"&lt;"&amp;CONCATENATE($K$6,"/",B80),Proventos!$J:$J,"="&amp;$H$2),
AND($H$2=Data!$A$5,$K$2=Data!$A$2),SUMIFS(Proventos!$H:$H,Proventos!$D:$D,"&gt;="&amp;CONCATENATE($J$6,"/",B80),Proventos!$D:$D,"&lt;"&amp;CONCATENATE($K$6,"/",B80),Proventos!$J:$J,"="&amp;$H$2),
AND($H$2=Data!$A$6,$K$2=Data!$A$2),SUMIFS(Proventos!$H:$H,Proventos!$D:$D,"&gt;="&amp;CONCATENATE($J$6,"/",B80),Proventos!$D:$D,"&lt;"&amp;CONCATENATE($K$6,"/",B80),Proventos!$J:$J,"="&amp;$H$2),
AND($H$2=Data!$A$7,$K$2=Data!$A$2),SUMIFS(Proventos!$H:$H,Proventos!$D:$D,"&gt;="&amp;CONCATENATE($J$6,"/",B80),Proventos!$D:$D,"&lt;"&amp;CONCATENATE($K$6,"/",B80),Proventos!$J:$J,"="&amp;$H$2),
AND($H$2=Data!$A$8,$K$2=Data!$A$2),SUMIFS(Proventos!$H:$H,Proventos!$D:$D,"&gt;="&amp;CONCATENATE($J$6,"/",B80),Proventos!$D:$D,"&lt;"&amp;CONCATENATE($K$6,"/",B80),Proventos!$J:$J,"="&amp;$H$2),
AND($H$2=Data!$A$9,$K$2=Data!$A$2),SUMIFS(Proventos!$H:$H,Proventos!$D:$D,"&gt;="&amp;CONCATENATE($J$6,"/",B80),Proventos!$D:$D,"&lt;"&amp;CONCATENATE($K$6,"/",B80),Proventos!$J:$J,"="&amp;$H$2),
AND($H$2=Data!$A$10,$K$2=Data!$A$2),SUMIFS(Proventos!$H:$H,Proventos!$D:$D,"&gt;="&amp;CONCATENATE($J$6,"/",B80),Proventos!$D:$D,"&lt;"&amp;CONCATENATE($K$6,"/",B80),Proventos!$J:$J,"="&amp;$H$2),
AND($H$2=Data!$A$11,$K$2=Data!$A$2),SUMIFS(Proventos!$H:$H,Proventos!$D:$D,"&gt;="&amp;CONCATENATE($J$6,"/",B80),Proventos!$D:$D,"&lt;"&amp;CONCATENATE($K$6,"/",B80),Proventos!$J:$J,"="&amp;$H$2),
$K$2=Data!$A$2,SUMIFS(Proventos!$H:$H,Proventos!$D:$D,"&gt;="&amp;CONCATENATE($J$6,"/",B80),Proventos!$D:$D,"&lt;"&amp;CONCATENATE($K$6,"/",B80)),
$K$2&lt;&gt;Data!$A$2,SUMIFS(Proventos!$H:$H,Proventos!$D:$D,"&gt;="&amp;CONCATENATE($J$6,"/",B80),Proventos!$D:$D,"&lt;"&amp;CONCATENATE($K$6,"/",B80),Proventos!$A:$A,"="&amp;$K$2))</f>
        <v>0</v>
      </c>
      <c r="K80" s="245">
        <f>IFS(
AND($H$2=Data!$A$3,$K$2=Data!$A$2),SUMIFS(Proventos!$H:$H,Proventos!$D:$D,"&gt;="&amp;CONCATENATE($K$6,"/",B80),Proventos!$D:$D,"&lt;"&amp;CONCATENATE($L$6,"/",B80),Proventos!$J:$J,"="&amp;$H$2),
AND($H$2=Data!$A$4,$K$2=Data!$A$2),SUMIFS(Proventos!$H:$H,Proventos!$D:$D,"&gt;="&amp;CONCATENATE($K$6,"/",B80),Proventos!$D:$D,"&lt;"&amp;CONCATENATE($L$6,"/",B80),Proventos!$J:$J,"="&amp;$H$2),
AND($H$2=Data!$A$5,$K$2=Data!$A$2),SUMIFS(Proventos!$H:$H,Proventos!$D:$D,"&gt;="&amp;CONCATENATE($K$6,"/",B80),Proventos!$D:$D,"&lt;"&amp;CONCATENATE($L$6,"/",B80),Proventos!$J:$J,"="&amp;$H$2),
AND($H$2=Data!$A$6,$K$2=Data!$A$2),SUMIFS(Proventos!$H:$H,Proventos!$D:$D,"&gt;="&amp;CONCATENATE($K$6,"/",B80),Proventos!$D:$D,"&lt;"&amp;CONCATENATE($L$6,"/",B80),Proventos!$J:$J,"="&amp;$H$2),
AND($H$2=Data!$A$7,$K$2=Data!$A$2),SUMIFS(Proventos!$H:$H,Proventos!$D:$D,"&gt;="&amp;CONCATENATE($K$6,"/",B80),Proventos!$D:$D,"&lt;"&amp;CONCATENATE($L$6,"/",B80),Proventos!$J:$J,"="&amp;$H$2),
AND($H$2=Data!$A$8,$K$2=Data!$A$2),SUMIFS(Proventos!$H:$H,Proventos!$D:$D,"&gt;="&amp;CONCATENATE($K$6,"/",B80),Proventos!$D:$D,"&lt;"&amp;CONCATENATE($L$6,"/",B80),Proventos!$J:$J,"="&amp;$H$2),
AND($H$2=Data!$A$9,$K$2=Data!$A$2),SUMIFS(Proventos!$H:$H,Proventos!$D:$D,"&gt;="&amp;CONCATENATE($K$6,"/",B80),Proventos!$D:$D,"&lt;"&amp;CONCATENATE($L$6,"/",B80),Proventos!$J:$J,"="&amp;$H$2),
AND($H$2=Data!$A$10,$K$2=Data!$A$2),SUMIFS(Proventos!$H:$H,Proventos!$D:$D,"&gt;="&amp;CONCATENATE($K$6,"/",B80),Proventos!$D:$D,"&lt;"&amp;CONCATENATE($L$6,"/",B80),Proventos!$J:$J,"="&amp;$H$2),
AND($H$2=Data!$A$11,$K$2=Data!$A$2),SUMIFS(Proventos!$H:$H,Proventos!$D:$D,"&gt;="&amp;CONCATENATE($K$6,"/",B80),Proventos!$D:$D,"&lt;"&amp;CONCATENATE($L$6,"/",B80),Proventos!$J:$J,"="&amp;$H$2),
$K$2=Data!$A$2,SUMIFS(Proventos!$H:$H,Proventos!$D:$D,"&gt;="&amp;CONCATENATE($K$6,"/",B80),Proventos!$D:$D,"&lt;"&amp;CONCATENATE($L$6,"/",B80)),
$K$2&lt;&gt;Data!$A$2,SUMIFS(Proventos!$H:$H,Proventos!$D:$D,"&gt;="&amp;CONCATENATE($K$6,"/",B80),Proventos!$D:$D,"&lt;"&amp;CONCATENATE($L$6,"/",B80),Proventos!$A:$A,"="&amp;$K$2))</f>
        <v>0</v>
      </c>
      <c r="L80" s="245">
        <f>IFS(
AND($H$2=Data!$A$3,$K$2=Data!$A$2),SUMIFS(Proventos!$H:$H,Proventos!$D:$D,"&gt;="&amp;CONCATENATE($L$6,"/",B80),Proventos!$D:$D,"&lt;"&amp;CONCATENATE($M$6,"/",B80),Proventos!$J:$J,"="&amp;$H$2),
AND($H$2=Data!$A$4,$K$2=Data!$A$2),SUMIFS(Proventos!$H:$H,Proventos!$D:$D,"&gt;="&amp;CONCATENATE($L$6,"/",B80),Proventos!$D:$D,"&lt;"&amp;CONCATENATE($M$6,"/",B80),Proventos!$J:$J,"="&amp;$H$2),
AND($H$2=Data!$A$5,$K$2=Data!$A$2),SUMIFS(Proventos!$H:$H,Proventos!$D:$D,"&gt;="&amp;CONCATENATE($L$6,"/",B80),Proventos!$D:$D,"&lt;"&amp;CONCATENATE($M$6,"/",B80),Proventos!$J:$J,"="&amp;$H$2),
AND($H$2=Data!$A$6,$K$2=Data!$A$2),SUMIFS(Proventos!$H:$H,Proventos!$D:$D,"&gt;="&amp;CONCATENATE($L$6,"/",B80),Proventos!$D:$D,"&lt;"&amp;CONCATENATE($M$6,"/",B80),Proventos!$J:$J,"="&amp;$H$2),
AND($H$2=Data!$A$7,$K$2=Data!$A$2),SUMIFS(Proventos!$H:$H,Proventos!$D:$D,"&gt;="&amp;CONCATENATE($L$6,"/",B80),Proventos!$D:$D,"&lt;"&amp;CONCATENATE($M$6,"/",B80),Proventos!$J:$J,"="&amp;$H$2),
AND($H$2=Data!$A$8,$K$2=Data!$A$2),SUMIFS(Proventos!$H:$H,Proventos!$D:$D,"&gt;="&amp;CONCATENATE($L$6,"/",B80),Proventos!$D:$D,"&lt;"&amp;CONCATENATE($M$6,"/",B80),Proventos!$J:$J,"="&amp;$H$2),
AND($H$2=Data!$A$9,$K$2=Data!$A$2),SUMIFS(Proventos!$H:$H,Proventos!$D:$D,"&gt;="&amp;CONCATENATE($L$6,"/",B80),Proventos!$D:$D,"&lt;"&amp;CONCATENATE($M$6,"/",B80),Proventos!$J:$J,"="&amp;$H$2),
AND($H$2=Data!$A$10,$K$2=Data!$A$2),SUMIFS(Proventos!$H:$H,Proventos!$D:$D,"&gt;="&amp;CONCATENATE($L$6,"/",B80),Proventos!$D:$D,"&lt;"&amp;CONCATENATE($M$6,"/",B80),Proventos!$J:$J,"="&amp;$H$2),
AND($H$2=Data!$A$11,$K$2=Data!$A$2),SUMIFS(Proventos!$H:$H,Proventos!$D:$D,"&gt;="&amp;CONCATENATE($L$6,"/",B80),Proventos!$D:$D,"&lt;"&amp;CONCATENATE($M$6,"/",B80),Proventos!$J:$J,"="&amp;$H$2),
$K$2=Data!$A$2,SUMIFS(Proventos!$H:$H,Proventos!$D:$D,"&gt;="&amp;CONCATENATE($L$6,"/",B80),Proventos!$D:$D,"&lt;"&amp;CONCATENATE($M$6,"/",B80)),
$K$2&lt;&gt;Data!$A$2,SUMIFS(Proventos!$H:$H,Proventos!$D:$D,"&gt;="&amp;CONCATENATE($L$6,"/",B80),Proventos!$D:$D,"&lt;"&amp;CONCATENATE($M$6,"/",B80),Proventos!$A:$A,"="&amp;$K$2))</f>
        <v>0</v>
      </c>
      <c r="M80" s="245">
        <f>IFS(
AND($H$2=Data!$A$3,$K$2=Data!$A$2),SUMIFS(Proventos!$H:$H,Proventos!$D:$D,"&gt;="&amp;CONCATENATE($M$6,"/",B80),Proventos!$D:$D,"&lt;"&amp;CONCATENATE($N$6,"/",B80),Proventos!$J:$J,"="&amp;$H$2),
AND($H$2=Data!$A$4,$K$2=Data!$A$2),SUMIFS(Proventos!$H:$H,Proventos!$D:$D,"&gt;="&amp;CONCATENATE($M$6,"/",B80),Proventos!$D:$D,"&lt;"&amp;CONCATENATE($N$6,"/",B80),Proventos!$J:$J,"="&amp;$H$2),
AND($H$2=Data!$A$5,$K$2=Data!$A$2),SUMIFS(Proventos!$H:$H,Proventos!$D:$D,"&gt;="&amp;CONCATENATE($M$6,"/",B80),Proventos!$D:$D,"&lt;"&amp;CONCATENATE($N$6,"/",B80),Proventos!$J:$J,"="&amp;$H$2),
AND($H$2=Data!$A$6,$K$2=Data!$A$2),SUMIFS(Proventos!$H:$H,Proventos!$D:$D,"&gt;="&amp;CONCATENATE($M$6,"/",B80),Proventos!$D:$D,"&lt;"&amp;CONCATENATE($N$6,"/",B80),Proventos!$J:$J,"="&amp;$H$2),
AND($H$2=Data!$A$7,$K$2=Data!$A$2),SUMIFS(Proventos!$H:$H,Proventos!$D:$D,"&gt;="&amp;CONCATENATE($M$6,"/",B80),Proventos!$D:$D,"&lt;"&amp;CONCATENATE($N$6,"/",B80),Proventos!$J:$J,"="&amp;$H$2),
AND($H$2=Data!$A$8,$K$2=Data!$A$2),SUMIFS(Proventos!$H:$H,Proventos!$D:$D,"&gt;="&amp;CONCATENATE($M$6,"/",B80),Proventos!$D:$D,"&lt;"&amp;CONCATENATE($N$6,"/",B80),Proventos!$J:$J,"="&amp;$H$2),
AND($H$2=Data!$A$9,$K$2=Data!$A$2),SUMIFS(Proventos!$H:$H,Proventos!$D:$D,"&gt;="&amp;CONCATENATE($M$6,"/",B80),Proventos!$D:$D,"&lt;"&amp;CONCATENATE($N$6,"/",B80),Proventos!$J:$J,"="&amp;$H$2),
AND($H$2=Data!$A$10,$K$2=Data!$A$2),SUMIFS(Proventos!$H:$H,Proventos!$D:$D,"&gt;="&amp;CONCATENATE($M$6,"/",B80),Proventos!$D:$D,"&lt;"&amp;CONCATENATE($N$6,"/",B80),Proventos!$J:$J,"="&amp;$H$2),
AND($H$2=Data!$A$11,$K$2=Data!$A$2),SUMIFS(Proventos!$H:$H,Proventos!$D:$D,"&gt;="&amp;CONCATENATE($M$6,"/",B80),Proventos!$D:$D,"&lt;"&amp;CONCATENATE($N$6,"/",B80),Proventos!$J:$J,"="&amp;$H$2),
$K$2=Data!$A$2,SUMIFS(Proventos!$H:$H,Proventos!$D:$D,"&gt;="&amp;CONCATENATE($M$6,"/",B80),Proventos!$D:$D,"&lt;"&amp;CONCATENATE($N$6,"/",B80)),
$K$2&lt;&gt;Data!$A$2,SUMIFS(Proventos!$H:$H,Proventos!$D:$D,"&gt;="&amp;CONCATENATE($M$6,"/",B80),Proventos!$D:$D,"&lt;"&amp;CONCATENATE($N$6,"/",B80),Proventos!$A:$A,"="&amp;$K$2))</f>
        <v>0</v>
      </c>
      <c r="N80" s="245">
        <f>IFS(
AND($H$2=Data!$A$3,$K$2=Data!$A$2),SUMIFS(Proventos!$H:$H,Proventos!$D:$D,"&gt;="&amp;CONCATENATE($N$6,"/",B80),Proventos!$D:$D,"&lt;"&amp;CONCATENATE($C$6,"/",B81),Proventos!$J:$J,"="&amp;$H$2),
AND($H$2=Data!$A$4,$K$2=Data!$A$2),SUMIFS(Proventos!$H:$H,Proventos!$D:$D,"&gt;="&amp;CONCATENATE($N$6,"/",B80),Proventos!$D:$D,"&lt;"&amp;CONCATENATE($C$6,"/",B81),Proventos!$J:$J,"="&amp;$H$2),
AND($H$2=Data!$A$5,$K$2=Data!$A$2),SUMIFS(Proventos!$H:$H,Proventos!$D:$D,"&gt;="&amp;CONCATENATE($N$6,"/",B80),Proventos!$D:$D,"&lt;"&amp;CONCATENATE($C$6,"/",B81),Proventos!$J:$J,"="&amp;$H$2),
AND($H$2=Data!$A$6,$K$2=Data!$A$2),SUMIFS(Proventos!$H:$H,Proventos!$D:$D,"&gt;="&amp;CONCATENATE($N$6,"/",B80),Proventos!$D:$D,"&lt;"&amp;CONCATENATE($C$6,"/",B81),Proventos!$J:$J,"="&amp;$H$2),
AND($H$2=Data!$A$7,$K$2=Data!$A$2),SUMIFS(Proventos!$H:$H,Proventos!$D:$D,"&gt;="&amp;CONCATENATE($N$6,"/",B80),Proventos!$D:$D,"&lt;"&amp;CONCATENATE($C$6,"/",B81),Proventos!$J:$J,"="&amp;$H$2),
AND($H$2=Data!$A$8,$K$2=Data!$A$2),SUMIFS(Proventos!$H:$H,Proventos!$D:$D,"&gt;="&amp;CONCATENATE($N$6,"/",B80),Proventos!$D:$D,"&lt;"&amp;CONCATENATE($C$6,"/",B81),Proventos!$J:$J,"="&amp;$H$2),
AND($H$2=Data!$A$9,$K$2=Data!$A$2),SUMIFS(Proventos!$H:$H,Proventos!$D:$D,"&gt;="&amp;CONCATENATE($N$6,"/",B80),Proventos!$D:$D,"&lt;"&amp;CONCATENATE($C$6,"/",B81),Proventos!$J:$J,"="&amp;$H$2),
AND($H$2=Data!$A$10,$K$2=Data!$A$2),SUMIFS(Proventos!$H:$H,Proventos!$D:$D,"&gt;="&amp;CONCATENATE($N$6,"/",B80),Proventos!$D:$D,"&lt;"&amp;CONCATENATE($C$6,"/",B81),Proventos!$J:$J,"="&amp;$H$2),
AND($H$2=Data!$A$11,$K$2=Data!$A$2),SUMIFS(Proventos!$H:$H,Proventos!$D:$D,"&gt;="&amp;CONCATENATE($N$6,"/",B80),Proventos!$D:$D,"&lt;"&amp;CONCATENATE($C$6,"/",B81),Proventos!$J:$J,"="&amp;$H$2),
$K$2=Data!$A$2,SUMIFS(Proventos!$H:$H,Proventos!$D:$D,"&gt;="&amp;CONCATENATE($N$6,"/",B80),Proventos!$D:$D,"&lt;"&amp;CONCATENATE($C$6,"/",B81)),
$K$2&lt;&gt;Data!$A$2,SUMIFS(Proventos!$H:$H,Proventos!$D:$D,"&gt;="&amp;CONCATENATE($N$6,"/",B80),Proventos!$D:$D,"&lt;"&amp;CONCATENATE($C$6,"/",B81),Proventos!$A:$A,"="&amp;$K$2))</f>
        <v>0</v>
      </c>
      <c r="O80" s="245"/>
      <c r="P80" s="245">
        <f t="shared" si="1"/>
        <v>0</v>
      </c>
      <c r="Q80" s="245">
        <f t="shared" si="2"/>
        <v>0</v>
      </c>
    </row>
    <row r="81" ht="32.25" customHeight="1">
      <c r="A81" s="230"/>
      <c r="B81" s="244"/>
      <c r="C81" s="245">
        <f>IFS(
AND($H$2=Data!$A$3,$K$2=Data!$A$2),SUMIFS(Proventos!$H:$H,Proventos!$D:$D,"&gt;="&amp;CONCATENATE($C$6,"/",B81),Proventos!$D:$D,"&lt;"&amp;CONCATENATE($D$6,"/",B81),Proventos!$J:$J,"="&amp;$H$2),
AND($H$2=Data!$A$4,$K$2=Data!$A$2),SUMIFS(Proventos!$H:$H,Proventos!$D:$D,"&gt;="&amp;CONCATENATE($C$6,"/",B81),Proventos!$D:$D,"&lt;"&amp;CONCATENATE($D$6,"/",B81),Proventos!$J:$J,"="&amp;$H$2),
AND($H$2=Data!$A$5,$K$2=Data!$A$2),SUMIFS(Proventos!$H:$H,Proventos!$D:$D,"&gt;="&amp;CONCATENATE($C$6,"/",B81),Proventos!$D:$D,"&lt;"&amp;CONCATENATE($D$6,"/",B81),Proventos!$J:$J,"="&amp;$H$2),
AND($H$2=Data!$A$6,$K$2=Data!$A$2),SUMIFS(Proventos!$H:$H,Proventos!$D:$D,"&gt;="&amp;CONCATENATE($C$6,"/",B81),Proventos!$D:$D,"&lt;"&amp;CONCATENATE($D$6,"/",B81),Proventos!$J:$J,"="&amp;$H$2),
AND($H$2=Data!$A$7,$K$2=Data!$A$2),SUMIFS(Proventos!$H:$H,Proventos!$D:$D,"&gt;="&amp;CONCATENATE($C$6,"/",B81),Proventos!$D:$D,"&lt;"&amp;CONCATENATE($D$6,"/",B81),Proventos!$J:$J,"="&amp;$H$2),
AND($H$2=Data!$A$8,$K$2=Data!$A$2),SUMIFS(Proventos!$H:$H,Proventos!$D:$D,"&gt;="&amp;CONCATENATE($C$6,"/",B81),Proventos!$D:$D,"&lt;"&amp;CONCATENATE($D$6,"/",B81),Proventos!$J:$J,"="&amp;$H$2),
AND($H$2=Data!$A$9,$K$2=Data!$A$2),SUMIFS(Proventos!$H:$H,Proventos!$D:$D,"&gt;="&amp;CONCATENATE($C$6,"/",B81),Proventos!$D:$D,"&lt;"&amp;CONCATENATE($D$6,"/",B81),Proventos!$J:$J,"="&amp;$H$2),
AND($H$2=Data!$A$10,$K$2=Data!$A$2),SUMIFS(Proventos!$H:$H,Proventos!$D:$D,"&gt;="&amp;CONCATENATE($C$6,"/",B81),Proventos!$D:$D,"&lt;"&amp;CONCATENATE($D$6,"/",B81),Proventos!$J:$J,"="&amp;$H$2),
AND($H$2=Data!$A$11,$K$2=Data!$A$2),SUMIFS(Proventos!$H:$H,Proventos!$D:$D,"&gt;="&amp;CONCATENATE($C$6,"/",B81),Proventos!$D:$D,"&lt;"&amp;CONCATENATE($D$6,"/",B81),Proventos!$J:$J,"="&amp;$H$2),
$K$2=Data!$A$2,SUMIFS(Proventos!$H:$H,Proventos!$D:$D,"&gt;="&amp;CONCATENATE($C$6,"/",B81),Proventos!$D:$D,"&lt;"&amp;CONCATENATE($D$6,"/",B81)),
$K$2&lt;&gt;Data!$A$2,SUMIFS(Proventos!$H:$H,Proventos!$D:$D,"&gt;="&amp;CONCATENATE($C$6,"/",B81),Proventos!$D:$D,"&lt;"&amp;CONCATENATE($D$6,"/",B81),Proventos!$A:$A,"="&amp;$K$2))</f>
        <v>0</v>
      </c>
      <c r="D81" s="245">
        <f>IFS(
AND($H$2=Data!$A$3,$K$2=Data!$A$2),SUMIFS(Proventos!$H:$H,Proventos!$D:$D,"&gt;="&amp;CONCATENATE($D$6,"/",B81),Proventos!$D:$D,"&lt;"&amp;CONCATENATE($E$6,"/",B81),Proventos!$J:$J,"="&amp;$H$2),
AND($H$2=Data!$A$4,$K$2=Data!$A$2),SUMIFS(Proventos!$H:$H,Proventos!$D:$D,"&gt;="&amp;CONCATENATE($D$6,"/",B81),Proventos!$D:$D,"&lt;"&amp;CONCATENATE($E$6,"/",B81),Proventos!$J:$J,"="&amp;$H$2),
AND($H$2=Data!$A$5,$K$2=Data!$A$2),SUMIFS(Proventos!$H:$H,Proventos!$D:$D,"&gt;="&amp;CONCATENATE($D$6,"/",B81),Proventos!$D:$D,"&lt;"&amp;CONCATENATE($E$6,"/",B81),Proventos!$J:$J,"="&amp;$H$2),
AND($H$2=Data!$A$6,$K$2=Data!$A$2),SUMIFS(Proventos!$H:$H,Proventos!$D:$D,"&gt;="&amp;CONCATENATE($D$6,"/",B81),Proventos!$D:$D,"&lt;"&amp;CONCATENATE($E$6,"/",B81),Proventos!$J:$J,"="&amp;$H$2),
AND($H$2=Data!$A$7,$K$2=Data!$A$2),SUMIFS(Proventos!$H:$H,Proventos!$D:$D,"&gt;="&amp;CONCATENATE($D$6,"/",B81),Proventos!$D:$D,"&lt;"&amp;CONCATENATE($E$6,"/",B81),Proventos!$J:$J,"="&amp;$H$2),
AND($H$2=Data!$A$8,$K$2=Data!$A$2),SUMIFS(Proventos!$H:$H,Proventos!$D:$D,"&gt;="&amp;CONCATENATE($D$6,"/",B81),Proventos!$D:$D,"&lt;"&amp;CONCATENATE($E$6,"/",B81),Proventos!$J:$J,"="&amp;$H$2),
AND($H$2=Data!$A$9,$K$2=Data!$A$2),SUMIFS(Proventos!$H:$H,Proventos!$D:$D,"&gt;="&amp;CONCATENATE($D$6,"/",B81),Proventos!$D:$D,"&lt;"&amp;CONCATENATE($E$6,"/",B81),Proventos!$J:$J,"="&amp;$H$2),
AND($H$2=Data!$A$10,$K$2=Data!$A$2),SUMIFS(Proventos!$H:$H,Proventos!$D:$D,"&gt;="&amp;CONCATENATE($D$6,"/",B81),Proventos!$D:$D,"&lt;"&amp;CONCATENATE($E$6,"/",B81),Proventos!$J:$J,"="&amp;$H$2),
AND($H$2=Data!$A$11,$K$2=Data!$A$2),SUMIFS(Proventos!$H:$H,Proventos!$D:$D,"&gt;="&amp;CONCATENATE($D$6,"/",B81),Proventos!$D:$D,"&lt;"&amp;CONCATENATE($E$6,"/",B81),Proventos!$J:$J,"="&amp;$H$2),
$K$2=Data!$A$2,SUMIFS(Proventos!$H:$H,Proventos!$D:$D,"&gt;="&amp;CONCATENATE($D$6,"/",B81),Proventos!$D:$D,"&lt;"&amp;CONCATENATE($E$6,"/",B81)),
$K$2&lt;&gt;Data!$A$2,SUMIFS(Proventos!$H:$H,Proventos!$D:$D,"&gt;="&amp;CONCATENATE($D$6,"/",B81),Proventos!$D:$D,"&lt;"&amp;CONCATENATE($E$6,"/",B81),Proventos!$A:$A,"="&amp;$K$2))</f>
        <v>0</v>
      </c>
      <c r="E81" s="245">
        <f>IFS(
AND($H$2=Data!$A$3,$K$2=Data!$A$2),SUMIFS(Proventos!$H:$H,Proventos!$D:$D,"&gt;="&amp;CONCATENATE($E$6,"/",B81),Proventos!$D:$D,"&lt;"&amp;CONCATENATE($F$6,"/",B81),Proventos!$J:$J,"="&amp;$H$2),
AND($H$2=Data!$A$4,$K$2=Data!$A$2),SUMIFS(Proventos!$H:$H,Proventos!$D:$D,"&gt;="&amp;CONCATENATE($E$6,"/",B81),Proventos!$D:$D,"&lt;"&amp;CONCATENATE($F$6,"/",B81),Proventos!$J:$J,"="&amp;$H$2),
AND($H$2=Data!$A$5,$K$2=Data!$A$2),SUMIFS(Proventos!$H:$H,Proventos!$D:$D,"&gt;="&amp;CONCATENATE($E$6,"/",B81),Proventos!$D:$D,"&lt;"&amp;CONCATENATE($F$6,"/",B81),Proventos!$J:$J,"="&amp;$H$2),
AND($H$2=Data!$A$6,$K$2=Data!$A$2),SUMIFS(Proventos!$H:$H,Proventos!$D:$D,"&gt;="&amp;CONCATENATE($E$6,"/",B81),Proventos!$D:$D,"&lt;"&amp;CONCATENATE($F$6,"/",B81),Proventos!$J:$J,"="&amp;$H$2),
AND($H$2=Data!$A$7,$K$2=Data!$A$2),SUMIFS(Proventos!$H:$H,Proventos!$D:$D,"&gt;="&amp;CONCATENATE($E$6,"/",B81),Proventos!$D:$D,"&lt;"&amp;CONCATENATE($F$6,"/",B81),Proventos!$J:$J,"="&amp;$H$2),
AND($H$2=Data!$A$8,$K$2=Data!$A$2),SUMIFS(Proventos!$H:$H,Proventos!$D:$D,"&gt;="&amp;CONCATENATE($E$6,"/",B81),Proventos!$D:$D,"&lt;"&amp;CONCATENATE($F$6,"/",B81),Proventos!$J:$J,"="&amp;$H$2),
AND($H$2=Data!$A$9,$K$2=Data!$A$2),SUMIFS(Proventos!$H:$H,Proventos!$D:$D,"&gt;="&amp;CONCATENATE($E$6,"/",B81),Proventos!$D:$D,"&lt;"&amp;CONCATENATE($F$6,"/",B81),Proventos!$J:$J,"="&amp;$H$2),
AND($H$2=Data!$A$10,$K$2=Data!$A$2),SUMIFS(Proventos!$H:$H,Proventos!$D:$D,"&gt;="&amp;CONCATENATE($E$6,"/",B81),Proventos!$D:$D,"&lt;"&amp;CONCATENATE($F$6,"/",B81),Proventos!$J:$J,"="&amp;$H$2),
AND($H$2=Data!$A$11,$K$2=Data!$A$2),SUMIFS(Proventos!$H:$H,Proventos!$D:$D,"&gt;="&amp;CONCATENATE($E$6,"/",B81),Proventos!$D:$D,"&lt;"&amp;CONCATENATE($F$6,"/",B81),Proventos!$J:$J,"="&amp;$H$2),
$K$2=Data!$A$2,SUMIFS(Proventos!$H:$H,Proventos!$D:$D,"&gt;="&amp;CONCATENATE($E$6,"/",B81),Proventos!$D:$D,"&lt;"&amp;CONCATENATE($F$6,"/",B81)),
$K$2&lt;&gt;Data!$A$2,SUMIFS(Proventos!$H:$H,Proventos!$D:$D,"&gt;="&amp;CONCATENATE($E$6,"/",B81),Proventos!$D:$D,"&lt;"&amp;CONCATENATE($F$6,"/",B81),Proventos!$A:$A,"="&amp;$K$2))</f>
        <v>0</v>
      </c>
      <c r="F81" s="245">
        <f>IFS(
AND($H$2=Data!$A$3,$K$2=Data!$A$2),SUMIFS(Proventos!$H:$H,Proventos!$D:$D,"&gt;="&amp;CONCATENATE($F$6,"/",B81),Proventos!$D:$D,"&lt;"&amp;CONCATENATE($G$6,"/",B81),Proventos!$J:$J,"="&amp;$H$2),
AND($H$2=Data!$A$4,$K$2=Data!$A$2),SUMIFS(Proventos!$H:$H,Proventos!$D:$D,"&gt;="&amp;CONCATENATE($F$6,"/",B81),Proventos!$D:$D,"&lt;"&amp;CONCATENATE($G$6,"/",B81),Proventos!$J:$J,"="&amp;$H$2),
AND($H$2=Data!$A$5,$K$2=Data!$A$2),SUMIFS(Proventos!$H:$H,Proventos!$D:$D,"&gt;="&amp;CONCATENATE($F$6,"/",B81),Proventos!$D:$D,"&lt;"&amp;CONCATENATE($G$6,"/",B81),Proventos!$J:$J,"="&amp;$H$2),
AND($H$2=Data!$A$6,$K$2=Data!$A$2),SUMIFS(Proventos!$H:$H,Proventos!$D:$D,"&gt;="&amp;CONCATENATE($F$6,"/",B81),Proventos!$D:$D,"&lt;"&amp;CONCATENATE($G$6,"/",B81),Proventos!$J:$J,"="&amp;$H$2),
AND($H$2=Data!$A$7,$K$2=Data!$A$2),SUMIFS(Proventos!$H:$H,Proventos!$D:$D,"&gt;="&amp;CONCATENATE($F$6,"/",B81),Proventos!$D:$D,"&lt;"&amp;CONCATENATE($G$6,"/",B81),Proventos!$J:$J,"="&amp;$H$2),
AND($H$2=Data!$A$8,$K$2=Data!$A$2),SUMIFS(Proventos!$H:$H,Proventos!$D:$D,"&gt;="&amp;CONCATENATE($F$6,"/",B81),Proventos!$D:$D,"&lt;"&amp;CONCATENATE($G$6,"/",B81),Proventos!$J:$J,"="&amp;$H$2),
AND($H$2=Data!$A$9,$K$2=Data!$A$2),SUMIFS(Proventos!$H:$H,Proventos!$D:$D,"&gt;="&amp;CONCATENATE($F$6,"/",B81),Proventos!$D:$D,"&lt;"&amp;CONCATENATE($G$6,"/",B81),Proventos!$J:$J,"="&amp;$H$2),
AND($H$2=Data!$A$10,$K$2=Data!$A$2),SUMIFS(Proventos!$H:$H,Proventos!$D:$D,"&gt;="&amp;CONCATENATE($F$6,"/",B81),Proventos!$D:$D,"&lt;"&amp;CONCATENATE($G$6,"/",B81),Proventos!$J:$J,"="&amp;$H$2),
AND($H$2=Data!$A$11,$K$2=Data!$A$2),SUMIFS(Proventos!$H:$H,Proventos!$D:$D,"&gt;="&amp;CONCATENATE($F$6,"/",B81),Proventos!$D:$D,"&lt;"&amp;CONCATENATE($G$6,"/",B81),Proventos!$J:$J,"="&amp;$H$2),
$K$2=Data!$A$2,SUMIFS(Proventos!$H:$H,Proventos!$D:$D,"&gt;="&amp;CONCATENATE($F$6,"/",B81),Proventos!$D:$D,"&lt;"&amp;CONCATENATE($G$6,"/",B81)),
$K$2&lt;&gt;Data!$A$2,SUMIFS(Proventos!$H:$H,Proventos!$D:$D,"&gt;="&amp;CONCATENATE($F$6,"/",B81),Proventos!$D:$D,"&lt;"&amp;CONCATENATE($G$6,"/",B81),Proventos!$A:$A,"="&amp;$K$2))</f>
        <v>0</v>
      </c>
      <c r="G81" s="245">
        <f>IFS(
AND($H$2=Data!$A$3,$K$2=Data!$A$2),SUMIFS(Proventos!$H:$H,Proventos!$D:$D,"&gt;="&amp;CONCATENATE($G$6,"/",B81),Proventos!$D:$D,"&lt;"&amp;CONCATENATE($H$6,"/",B81),Proventos!$J:$J,"="&amp;$H$2),
AND($H$2=Data!$A$4,$K$2=Data!$A$2),SUMIFS(Proventos!$H:$H,Proventos!$D:$D,"&gt;="&amp;CONCATENATE($G$6,"/",B81),Proventos!$D:$D,"&lt;"&amp;CONCATENATE($H$6,"/",B81),Proventos!$J:$J,"="&amp;$H$2),
AND($H$2=Data!$A$5,$K$2=Data!$A$2),SUMIFS(Proventos!$H:$H,Proventos!$D:$D,"&gt;="&amp;CONCATENATE($G$6,"/",B81),Proventos!$D:$D,"&lt;"&amp;CONCATENATE($H$6,"/",B81),Proventos!$J:$J,"="&amp;$H$2),
AND($H$2=Data!$A$6,$K$2=Data!$A$2),SUMIFS(Proventos!$H:$H,Proventos!$D:$D,"&gt;="&amp;CONCATENATE($G$6,"/",B81),Proventos!$D:$D,"&lt;"&amp;CONCATENATE($H$6,"/",B81),Proventos!$J:$J,"="&amp;$H$2),
AND($H$2=Data!$A$7,$K$2=Data!$A$2),SUMIFS(Proventos!$H:$H,Proventos!$D:$D,"&gt;="&amp;CONCATENATE($G$6,"/",B81),Proventos!$D:$D,"&lt;"&amp;CONCATENATE($H$6,"/",B81),Proventos!$J:$J,"="&amp;$H$2),
AND($H$2=Data!$A$8,$K$2=Data!$A$2),SUMIFS(Proventos!$H:$H,Proventos!$D:$D,"&gt;="&amp;CONCATENATE($G$6,"/",B81),Proventos!$D:$D,"&lt;"&amp;CONCATENATE($H$6,"/",B81),Proventos!$J:$J,"="&amp;$H$2),
AND($H$2=Data!$A$9,$K$2=Data!$A$2),SUMIFS(Proventos!$H:$H,Proventos!$D:$D,"&gt;="&amp;CONCATENATE($G$6,"/",B81),Proventos!$D:$D,"&lt;"&amp;CONCATENATE($H$6,"/",B81),Proventos!$J:$J,"="&amp;$H$2),
AND($H$2=Data!$A$10,$K$2=Data!$A$2),SUMIFS(Proventos!$H:$H,Proventos!$D:$D,"&gt;="&amp;CONCATENATE($G$6,"/",B81),Proventos!$D:$D,"&lt;"&amp;CONCATENATE($H$6,"/",B81),Proventos!$J:$J,"="&amp;$H$2),
AND($H$2=Data!$A$11,$K$2=Data!$A$2),SUMIFS(Proventos!$H:$H,Proventos!$D:$D,"&gt;="&amp;CONCATENATE($G$6,"/",B81),Proventos!$D:$D,"&lt;"&amp;CONCATENATE($H$6,"/",B81),Proventos!$J:$J,"="&amp;$H$2),
$K$2=Data!$A$2,SUMIFS(Proventos!$H:$H,Proventos!$D:$D,"&gt;="&amp;CONCATENATE($G$6,"/",B81),Proventos!$D:$D,"&lt;"&amp;CONCATENATE($H$6,"/",B81)),
$K$2&lt;&gt;Data!$A$2,SUMIFS(Proventos!$H:$H,Proventos!$D:$D,"&gt;="&amp;CONCATENATE($G$6,"/",B81),Proventos!$D:$D,"&lt;"&amp;CONCATENATE($H$6,"/",B81),Proventos!$A:$A,"="&amp;$K$2))</f>
        <v>0</v>
      </c>
      <c r="H81" s="245">
        <f>IFS(
AND($H$2=Data!$A$3,$K$2=Data!$A$2),SUMIFS(Proventos!$H:$H,Proventos!$D:$D,"&gt;="&amp;CONCATENATE($H$6,"/",B81),Proventos!$D:$D,"&lt;"&amp;CONCATENATE($I$6,"/",B81),Proventos!$J:$J,"="&amp;$H$2),
AND($H$2=Data!$A$4,$K$2=Data!$A$2),SUMIFS(Proventos!$H:$H,Proventos!$D:$D,"&gt;="&amp;CONCATENATE($H$6,"/",B81),Proventos!$D:$D,"&lt;"&amp;CONCATENATE($I$6,"/",B81),Proventos!$J:$J,"="&amp;$H$2),
AND($H$2=Data!$A$5,$K$2=Data!$A$2),SUMIFS(Proventos!$H:$H,Proventos!$D:$D,"&gt;="&amp;CONCATENATE($H$6,"/",B81),Proventos!$D:$D,"&lt;"&amp;CONCATENATE($I$6,"/",B81),Proventos!$J:$J,"="&amp;$H$2),
AND($H$2=Data!$A$6,$K$2=Data!$A$2),SUMIFS(Proventos!$H:$H,Proventos!$D:$D,"&gt;="&amp;CONCATENATE($H$6,"/",B81),Proventos!$D:$D,"&lt;"&amp;CONCATENATE($I$6,"/",B81),Proventos!$J:$J,"="&amp;$H$2),
AND($H$2=Data!$A$7,$K$2=Data!$A$2),SUMIFS(Proventos!$H:$H,Proventos!$D:$D,"&gt;="&amp;CONCATENATE($H$6,"/",B81),Proventos!$D:$D,"&lt;"&amp;CONCATENATE($I$6,"/",B81),Proventos!$J:$J,"="&amp;$H$2),
AND($H$2=Data!$A$8,$K$2=Data!$A$2),SUMIFS(Proventos!$H:$H,Proventos!$D:$D,"&gt;="&amp;CONCATENATE($H$6,"/",B81),Proventos!$D:$D,"&lt;"&amp;CONCATENATE($I$6,"/",B81),Proventos!$J:$J,"="&amp;$H$2),
AND($H$2=Data!$A$9,$K$2=Data!$A$2),SUMIFS(Proventos!$H:$H,Proventos!$D:$D,"&gt;="&amp;CONCATENATE($H$6,"/",B81),Proventos!$D:$D,"&lt;"&amp;CONCATENATE($I$6,"/",B81),Proventos!$J:$J,"="&amp;$H$2),
AND($H$2=Data!$A$10,$K$2=Data!$A$2),SUMIFS(Proventos!$H:$H,Proventos!$D:$D,"&gt;="&amp;CONCATENATE($H$6,"/",B81),Proventos!$D:$D,"&lt;"&amp;CONCATENATE($I$6,"/",B81),Proventos!$J:$J,"="&amp;$H$2),
AND($H$2=Data!$A$11,$K$2=Data!$A$2),SUMIFS(Proventos!$H:$H,Proventos!$D:$D,"&gt;="&amp;CONCATENATE($H$6,"/",B81),Proventos!$D:$D,"&lt;"&amp;CONCATENATE($I$6,"/",B81),Proventos!$J:$J,"="&amp;$H$2),
$K$2=Data!$A$2,SUMIFS(Proventos!$H:$H,Proventos!$D:$D,"&gt;="&amp;CONCATENATE($H$6,"/",B81),Proventos!$D:$D,"&lt;"&amp;CONCATENATE($I$6,"/",B81)),
$K$2&lt;&gt;Data!$A$2,SUMIFS(Proventos!$H:$H,Proventos!$D:$D,"&gt;="&amp;CONCATENATE($H$6,"/",B81),Proventos!$D:$D,"&lt;"&amp;CONCATENATE($I$6,"/",B81),Proventos!$A:$A,"="&amp;$K$2))</f>
        <v>0</v>
      </c>
      <c r="I81" s="245">
        <f>IFS(
AND($H$2=Data!$A$3,$K$2=Data!$A$2),SUMIFS(Proventos!$H:$H,Proventos!$D:$D,"&gt;="&amp;CONCATENATE($I$6,"/",B81),Proventos!$D:$D,"&lt;"&amp;CONCATENATE($J$6,"/",B81),Proventos!$J:$J,"="&amp;$H$2),
AND($H$2=Data!$A$4,$K$2=Data!$A$2),SUMIFS(Proventos!$H:$H,Proventos!$D:$D,"&gt;="&amp;CONCATENATE($I$6,"/",B81),Proventos!$D:$D,"&lt;"&amp;CONCATENATE($J$6,"/",B81),Proventos!$J:$J,"="&amp;$H$2),
AND($H$2=Data!$A$5,$K$2=Data!$A$2),SUMIFS(Proventos!$H:$H,Proventos!$D:$D,"&gt;="&amp;CONCATENATE($I$6,"/",B81),Proventos!$D:$D,"&lt;"&amp;CONCATENATE($J$6,"/",B81),Proventos!$J:$J,"="&amp;$H$2),
AND($H$2=Data!$A$6,$K$2=Data!$A$2),SUMIFS(Proventos!$H:$H,Proventos!$D:$D,"&gt;="&amp;CONCATENATE($I$6,"/",B81),Proventos!$D:$D,"&lt;"&amp;CONCATENATE($J$6,"/",B81),Proventos!$J:$J,"="&amp;$H$2),
AND($H$2=Data!$A$7,$K$2=Data!$A$2),SUMIFS(Proventos!$H:$H,Proventos!$D:$D,"&gt;="&amp;CONCATENATE($I$6,"/",B81),Proventos!$D:$D,"&lt;"&amp;CONCATENATE($J$6,"/",B81),Proventos!$J:$J,"="&amp;$H$2),
AND($H$2=Data!$A$8,$K$2=Data!$A$2),SUMIFS(Proventos!$H:$H,Proventos!$D:$D,"&gt;="&amp;CONCATENATE($I$6,"/",B81),Proventos!$D:$D,"&lt;"&amp;CONCATENATE($J$6,"/",B81),Proventos!$J:$J,"="&amp;$H$2),
AND($H$2=Data!$A$9,$K$2=Data!$A$2),SUMIFS(Proventos!$H:$H,Proventos!$D:$D,"&gt;="&amp;CONCATENATE($I$6,"/",B81),Proventos!$D:$D,"&lt;"&amp;CONCATENATE($J$6,"/",B81),Proventos!$J:$J,"="&amp;$H$2),
AND($H$2=Data!$A$10,$K$2=Data!$A$2),SUMIFS(Proventos!$H:$H,Proventos!$D:$D,"&gt;="&amp;CONCATENATE($I$6,"/",B81),Proventos!$D:$D,"&lt;"&amp;CONCATENATE($J$6,"/",B81),Proventos!$J:$J,"="&amp;$H$2),
AND($H$2=Data!$A$11,$K$2=Data!$A$2),SUMIFS(Proventos!$H:$H,Proventos!$D:$D,"&gt;="&amp;CONCATENATE($I$6,"/",B81),Proventos!$D:$D,"&lt;"&amp;CONCATENATE($J$6,"/",B81),Proventos!$J:$J,"="&amp;$H$2),
$K$2=Data!$A$2,SUMIFS(Proventos!$H:$H,Proventos!$D:$D,"&gt;="&amp;CONCATENATE($I$6,"/",B81),Proventos!$D:$D,"&lt;"&amp;CONCATENATE($J$6,"/",B81)),
$K$2&lt;&gt;Data!$A$2,SUMIFS(Proventos!$H:$H,Proventos!$D:$D,"&gt;="&amp;CONCATENATE($I$6,"/",B81),Proventos!$D:$D,"&lt;"&amp;CONCATENATE($J$6,"/",B81),Proventos!$A:$A,"="&amp;$K$2))</f>
        <v>0</v>
      </c>
      <c r="J81" s="245">
        <f>IFS(
AND($H$2=Data!$A$3,$K$2=Data!$A$2),SUMIFS(Proventos!$H:$H,Proventos!$D:$D,"&gt;="&amp;CONCATENATE($J$6,"/",B81),Proventos!$D:$D,"&lt;"&amp;CONCATENATE($K$6,"/",B81),Proventos!$J:$J,"="&amp;$H$2),
AND($H$2=Data!$A$4,$K$2=Data!$A$2),SUMIFS(Proventos!$H:$H,Proventos!$D:$D,"&gt;="&amp;CONCATENATE($J$6,"/",B81),Proventos!$D:$D,"&lt;"&amp;CONCATENATE($K$6,"/",B81),Proventos!$J:$J,"="&amp;$H$2),
AND($H$2=Data!$A$5,$K$2=Data!$A$2),SUMIFS(Proventos!$H:$H,Proventos!$D:$D,"&gt;="&amp;CONCATENATE($J$6,"/",B81),Proventos!$D:$D,"&lt;"&amp;CONCATENATE($K$6,"/",B81),Proventos!$J:$J,"="&amp;$H$2),
AND($H$2=Data!$A$6,$K$2=Data!$A$2),SUMIFS(Proventos!$H:$H,Proventos!$D:$D,"&gt;="&amp;CONCATENATE($J$6,"/",B81),Proventos!$D:$D,"&lt;"&amp;CONCATENATE($K$6,"/",B81),Proventos!$J:$J,"="&amp;$H$2),
AND($H$2=Data!$A$7,$K$2=Data!$A$2),SUMIFS(Proventos!$H:$H,Proventos!$D:$D,"&gt;="&amp;CONCATENATE($J$6,"/",B81),Proventos!$D:$D,"&lt;"&amp;CONCATENATE($K$6,"/",B81),Proventos!$J:$J,"="&amp;$H$2),
AND($H$2=Data!$A$8,$K$2=Data!$A$2),SUMIFS(Proventos!$H:$H,Proventos!$D:$D,"&gt;="&amp;CONCATENATE($J$6,"/",B81),Proventos!$D:$D,"&lt;"&amp;CONCATENATE($K$6,"/",B81),Proventos!$J:$J,"="&amp;$H$2),
AND($H$2=Data!$A$9,$K$2=Data!$A$2),SUMIFS(Proventos!$H:$H,Proventos!$D:$D,"&gt;="&amp;CONCATENATE($J$6,"/",B81),Proventos!$D:$D,"&lt;"&amp;CONCATENATE($K$6,"/",B81),Proventos!$J:$J,"="&amp;$H$2),
AND($H$2=Data!$A$10,$K$2=Data!$A$2),SUMIFS(Proventos!$H:$H,Proventos!$D:$D,"&gt;="&amp;CONCATENATE($J$6,"/",B81),Proventos!$D:$D,"&lt;"&amp;CONCATENATE($K$6,"/",B81),Proventos!$J:$J,"="&amp;$H$2),
AND($H$2=Data!$A$11,$K$2=Data!$A$2),SUMIFS(Proventos!$H:$H,Proventos!$D:$D,"&gt;="&amp;CONCATENATE($J$6,"/",B81),Proventos!$D:$D,"&lt;"&amp;CONCATENATE($K$6,"/",B81),Proventos!$J:$J,"="&amp;$H$2),
$K$2=Data!$A$2,SUMIFS(Proventos!$H:$H,Proventos!$D:$D,"&gt;="&amp;CONCATENATE($J$6,"/",B81),Proventos!$D:$D,"&lt;"&amp;CONCATENATE($K$6,"/",B81)),
$K$2&lt;&gt;Data!$A$2,SUMIFS(Proventos!$H:$H,Proventos!$D:$D,"&gt;="&amp;CONCATENATE($J$6,"/",B81),Proventos!$D:$D,"&lt;"&amp;CONCATENATE($K$6,"/",B81),Proventos!$A:$A,"="&amp;$K$2))</f>
        <v>0</v>
      </c>
      <c r="K81" s="245">
        <f>IFS(
AND($H$2=Data!$A$3,$K$2=Data!$A$2),SUMIFS(Proventos!$H:$H,Proventos!$D:$D,"&gt;="&amp;CONCATENATE($K$6,"/",B81),Proventos!$D:$D,"&lt;"&amp;CONCATENATE($L$6,"/",B81),Proventos!$J:$J,"="&amp;$H$2),
AND($H$2=Data!$A$4,$K$2=Data!$A$2),SUMIFS(Proventos!$H:$H,Proventos!$D:$D,"&gt;="&amp;CONCATENATE($K$6,"/",B81),Proventos!$D:$D,"&lt;"&amp;CONCATENATE($L$6,"/",B81),Proventos!$J:$J,"="&amp;$H$2),
AND($H$2=Data!$A$5,$K$2=Data!$A$2),SUMIFS(Proventos!$H:$H,Proventos!$D:$D,"&gt;="&amp;CONCATENATE($K$6,"/",B81),Proventos!$D:$D,"&lt;"&amp;CONCATENATE($L$6,"/",B81),Proventos!$J:$J,"="&amp;$H$2),
AND($H$2=Data!$A$6,$K$2=Data!$A$2),SUMIFS(Proventos!$H:$H,Proventos!$D:$D,"&gt;="&amp;CONCATENATE($K$6,"/",B81),Proventos!$D:$D,"&lt;"&amp;CONCATENATE($L$6,"/",B81),Proventos!$J:$J,"="&amp;$H$2),
AND($H$2=Data!$A$7,$K$2=Data!$A$2),SUMIFS(Proventos!$H:$H,Proventos!$D:$D,"&gt;="&amp;CONCATENATE($K$6,"/",B81),Proventos!$D:$D,"&lt;"&amp;CONCATENATE($L$6,"/",B81),Proventos!$J:$J,"="&amp;$H$2),
AND($H$2=Data!$A$8,$K$2=Data!$A$2),SUMIFS(Proventos!$H:$H,Proventos!$D:$D,"&gt;="&amp;CONCATENATE($K$6,"/",B81),Proventos!$D:$D,"&lt;"&amp;CONCATENATE($L$6,"/",B81),Proventos!$J:$J,"="&amp;$H$2),
AND($H$2=Data!$A$9,$K$2=Data!$A$2),SUMIFS(Proventos!$H:$H,Proventos!$D:$D,"&gt;="&amp;CONCATENATE($K$6,"/",B81),Proventos!$D:$D,"&lt;"&amp;CONCATENATE($L$6,"/",B81),Proventos!$J:$J,"="&amp;$H$2),
AND($H$2=Data!$A$10,$K$2=Data!$A$2),SUMIFS(Proventos!$H:$H,Proventos!$D:$D,"&gt;="&amp;CONCATENATE($K$6,"/",B81),Proventos!$D:$D,"&lt;"&amp;CONCATENATE($L$6,"/",B81),Proventos!$J:$J,"="&amp;$H$2),
AND($H$2=Data!$A$11,$K$2=Data!$A$2),SUMIFS(Proventos!$H:$H,Proventos!$D:$D,"&gt;="&amp;CONCATENATE($K$6,"/",B81),Proventos!$D:$D,"&lt;"&amp;CONCATENATE($L$6,"/",B81),Proventos!$J:$J,"="&amp;$H$2),
$K$2=Data!$A$2,SUMIFS(Proventos!$H:$H,Proventos!$D:$D,"&gt;="&amp;CONCATENATE($K$6,"/",B81),Proventos!$D:$D,"&lt;"&amp;CONCATENATE($L$6,"/",B81)),
$K$2&lt;&gt;Data!$A$2,SUMIFS(Proventos!$H:$H,Proventos!$D:$D,"&gt;="&amp;CONCATENATE($K$6,"/",B81),Proventos!$D:$D,"&lt;"&amp;CONCATENATE($L$6,"/",B81),Proventos!$A:$A,"="&amp;$K$2))</f>
        <v>0</v>
      </c>
      <c r="L81" s="245">
        <f>IFS(
AND($H$2=Data!$A$3,$K$2=Data!$A$2),SUMIFS(Proventos!$H:$H,Proventos!$D:$D,"&gt;="&amp;CONCATENATE($L$6,"/",B81),Proventos!$D:$D,"&lt;"&amp;CONCATENATE($M$6,"/",B81),Proventos!$J:$J,"="&amp;$H$2),
AND($H$2=Data!$A$4,$K$2=Data!$A$2),SUMIFS(Proventos!$H:$H,Proventos!$D:$D,"&gt;="&amp;CONCATENATE($L$6,"/",B81),Proventos!$D:$D,"&lt;"&amp;CONCATENATE($M$6,"/",B81),Proventos!$J:$J,"="&amp;$H$2),
AND($H$2=Data!$A$5,$K$2=Data!$A$2),SUMIFS(Proventos!$H:$H,Proventos!$D:$D,"&gt;="&amp;CONCATENATE($L$6,"/",B81),Proventos!$D:$D,"&lt;"&amp;CONCATENATE($M$6,"/",B81),Proventos!$J:$J,"="&amp;$H$2),
AND($H$2=Data!$A$6,$K$2=Data!$A$2),SUMIFS(Proventos!$H:$H,Proventos!$D:$D,"&gt;="&amp;CONCATENATE($L$6,"/",B81),Proventos!$D:$D,"&lt;"&amp;CONCATENATE($M$6,"/",B81),Proventos!$J:$J,"="&amp;$H$2),
AND($H$2=Data!$A$7,$K$2=Data!$A$2),SUMIFS(Proventos!$H:$H,Proventos!$D:$D,"&gt;="&amp;CONCATENATE($L$6,"/",B81),Proventos!$D:$D,"&lt;"&amp;CONCATENATE($M$6,"/",B81),Proventos!$J:$J,"="&amp;$H$2),
AND($H$2=Data!$A$8,$K$2=Data!$A$2),SUMIFS(Proventos!$H:$H,Proventos!$D:$D,"&gt;="&amp;CONCATENATE($L$6,"/",B81),Proventos!$D:$D,"&lt;"&amp;CONCATENATE($M$6,"/",B81),Proventos!$J:$J,"="&amp;$H$2),
AND($H$2=Data!$A$9,$K$2=Data!$A$2),SUMIFS(Proventos!$H:$H,Proventos!$D:$D,"&gt;="&amp;CONCATENATE($L$6,"/",B81),Proventos!$D:$D,"&lt;"&amp;CONCATENATE($M$6,"/",B81),Proventos!$J:$J,"="&amp;$H$2),
AND($H$2=Data!$A$10,$K$2=Data!$A$2),SUMIFS(Proventos!$H:$H,Proventos!$D:$D,"&gt;="&amp;CONCATENATE($L$6,"/",B81),Proventos!$D:$D,"&lt;"&amp;CONCATENATE($M$6,"/",B81),Proventos!$J:$J,"="&amp;$H$2),
AND($H$2=Data!$A$11,$K$2=Data!$A$2),SUMIFS(Proventos!$H:$H,Proventos!$D:$D,"&gt;="&amp;CONCATENATE($L$6,"/",B81),Proventos!$D:$D,"&lt;"&amp;CONCATENATE($M$6,"/",B81),Proventos!$J:$J,"="&amp;$H$2),
$K$2=Data!$A$2,SUMIFS(Proventos!$H:$H,Proventos!$D:$D,"&gt;="&amp;CONCATENATE($L$6,"/",B81),Proventos!$D:$D,"&lt;"&amp;CONCATENATE($M$6,"/",B81)),
$K$2&lt;&gt;Data!$A$2,SUMIFS(Proventos!$H:$H,Proventos!$D:$D,"&gt;="&amp;CONCATENATE($L$6,"/",B81),Proventos!$D:$D,"&lt;"&amp;CONCATENATE($M$6,"/",B81),Proventos!$A:$A,"="&amp;$K$2))</f>
        <v>0</v>
      </c>
      <c r="M81" s="245">
        <f>IFS(
AND($H$2=Data!$A$3,$K$2=Data!$A$2),SUMIFS(Proventos!$H:$H,Proventos!$D:$D,"&gt;="&amp;CONCATENATE($M$6,"/",B81),Proventos!$D:$D,"&lt;"&amp;CONCATENATE($N$6,"/",B81),Proventos!$J:$J,"="&amp;$H$2),
AND($H$2=Data!$A$4,$K$2=Data!$A$2),SUMIFS(Proventos!$H:$H,Proventos!$D:$D,"&gt;="&amp;CONCATENATE($M$6,"/",B81),Proventos!$D:$D,"&lt;"&amp;CONCATENATE($N$6,"/",B81),Proventos!$J:$J,"="&amp;$H$2),
AND($H$2=Data!$A$5,$K$2=Data!$A$2),SUMIFS(Proventos!$H:$H,Proventos!$D:$D,"&gt;="&amp;CONCATENATE($M$6,"/",B81),Proventos!$D:$D,"&lt;"&amp;CONCATENATE($N$6,"/",B81),Proventos!$J:$J,"="&amp;$H$2),
AND($H$2=Data!$A$6,$K$2=Data!$A$2),SUMIFS(Proventos!$H:$H,Proventos!$D:$D,"&gt;="&amp;CONCATENATE($M$6,"/",B81),Proventos!$D:$D,"&lt;"&amp;CONCATENATE($N$6,"/",B81),Proventos!$J:$J,"="&amp;$H$2),
AND($H$2=Data!$A$7,$K$2=Data!$A$2),SUMIFS(Proventos!$H:$H,Proventos!$D:$D,"&gt;="&amp;CONCATENATE($M$6,"/",B81),Proventos!$D:$D,"&lt;"&amp;CONCATENATE($N$6,"/",B81),Proventos!$J:$J,"="&amp;$H$2),
AND($H$2=Data!$A$8,$K$2=Data!$A$2),SUMIFS(Proventos!$H:$H,Proventos!$D:$D,"&gt;="&amp;CONCATENATE($M$6,"/",B81),Proventos!$D:$D,"&lt;"&amp;CONCATENATE($N$6,"/",B81),Proventos!$J:$J,"="&amp;$H$2),
AND($H$2=Data!$A$9,$K$2=Data!$A$2),SUMIFS(Proventos!$H:$H,Proventos!$D:$D,"&gt;="&amp;CONCATENATE($M$6,"/",B81),Proventos!$D:$D,"&lt;"&amp;CONCATENATE($N$6,"/",B81),Proventos!$J:$J,"="&amp;$H$2),
AND($H$2=Data!$A$10,$K$2=Data!$A$2),SUMIFS(Proventos!$H:$H,Proventos!$D:$D,"&gt;="&amp;CONCATENATE($M$6,"/",B81),Proventos!$D:$D,"&lt;"&amp;CONCATENATE($N$6,"/",B81),Proventos!$J:$J,"="&amp;$H$2),
AND($H$2=Data!$A$11,$K$2=Data!$A$2),SUMIFS(Proventos!$H:$H,Proventos!$D:$D,"&gt;="&amp;CONCATENATE($M$6,"/",B81),Proventos!$D:$D,"&lt;"&amp;CONCATENATE($N$6,"/",B81),Proventos!$J:$J,"="&amp;$H$2),
$K$2=Data!$A$2,SUMIFS(Proventos!$H:$H,Proventos!$D:$D,"&gt;="&amp;CONCATENATE($M$6,"/",B81),Proventos!$D:$D,"&lt;"&amp;CONCATENATE($N$6,"/",B81)),
$K$2&lt;&gt;Data!$A$2,SUMIFS(Proventos!$H:$H,Proventos!$D:$D,"&gt;="&amp;CONCATENATE($M$6,"/",B81),Proventos!$D:$D,"&lt;"&amp;CONCATENATE($N$6,"/",B81),Proventos!$A:$A,"="&amp;$K$2))</f>
        <v>0</v>
      </c>
      <c r="N81" s="245">
        <f>IFS(
AND($H$2=Data!$A$3,$K$2=Data!$A$2),SUMIFS(Proventos!$H:$H,Proventos!$D:$D,"&gt;="&amp;CONCATENATE($N$6,"/",B81),Proventos!$D:$D,"&lt;"&amp;CONCATENATE($C$6,"/",B82),Proventos!$J:$J,"="&amp;$H$2),
AND($H$2=Data!$A$4,$K$2=Data!$A$2),SUMIFS(Proventos!$H:$H,Proventos!$D:$D,"&gt;="&amp;CONCATENATE($N$6,"/",B81),Proventos!$D:$D,"&lt;"&amp;CONCATENATE($C$6,"/",B82),Proventos!$J:$J,"="&amp;$H$2),
AND($H$2=Data!$A$5,$K$2=Data!$A$2),SUMIFS(Proventos!$H:$H,Proventos!$D:$D,"&gt;="&amp;CONCATENATE($N$6,"/",B81),Proventos!$D:$D,"&lt;"&amp;CONCATENATE($C$6,"/",B82),Proventos!$J:$J,"="&amp;$H$2),
AND($H$2=Data!$A$6,$K$2=Data!$A$2),SUMIFS(Proventos!$H:$H,Proventos!$D:$D,"&gt;="&amp;CONCATENATE($N$6,"/",B81),Proventos!$D:$D,"&lt;"&amp;CONCATENATE($C$6,"/",B82),Proventos!$J:$J,"="&amp;$H$2),
AND($H$2=Data!$A$7,$K$2=Data!$A$2),SUMIFS(Proventos!$H:$H,Proventos!$D:$D,"&gt;="&amp;CONCATENATE($N$6,"/",B81),Proventos!$D:$D,"&lt;"&amp;CONCATENATE($C$6,"/",B82),Proventos!$J:$J,"="&amp;$H$2),
AND($H$2=Data!$A$8,$K$2=Data!$A$2),SUMIFS(Proventos!$H:$H,Proventos!$D:$D,"&gt;="&amp;CONCATENATE($N$6,"/",B81),Proventos!$D:$D,"&lt;"&amp;CONCATENATE($C$6,"/",B82),Proventos!$J:$J,"="&amp;$H$2),
AND($H$2=Data!$A$9,$K$2=Data!$A$2),SUMIFS(Proventos!$H:$H,Proventos!$D:$D,"&gt;="&amp;CONCATENATE($N$6,"/",B81),Proventos!$D:$D,"&lt;"&amp;CONCATENATE($C$6,"/",B82),Proventos!$J:$J,"="&amp;$H$2),
AND($H$2=Data!$A$10,$K$2=Data!$A$2),SUMIFS(Proventos!$H:$H,Proventos!$D:$D,"&gt;="&amp;CONCATENATE($N$6,"/",B81),Proventos!$D:$D,"&lt;"&amp;CONCATENATE($C$6,"/",B82),Proventos!$J:$J,"="&amp;$H$2),
AND($H$2=Data!$A$11,$K$2=Data!$A$2),SUMIFS(Proventos!$H:$H,Proventos!$D:$D,"&gt;="&amp;CONCATENATE($N$6,"/",B81),Proventos!$D:$D,"&lt;"&amp;CONCATENATE($C$6,"/",B82),Proventos!$J:$J,"="&amp;$H$2),
$K$2=Data!$A$2,SUMIFS(Proventos!$H:$H,Proventos!$D:$D,"&gt;="&amp;CONCATENATE($N$6,"/",B81),Proventos!$D:$D,"&lt;"&amp;CONCATENATE($C$6,"/",B82)),
$K$2&lt;&gt;Data!$A$2,SUMIFS(Proventos!$H:$H,Proventos!$D:$D,"&gt;="&amp;CONCATENATE($N$6,"/",B81),Proventos!$D:$D,"&lt;"&amp;CONCATENATE($C$6,"/",B82),Proventos!$A:$A,"="&amp;$K$2))</f>
        <v>0</v>
      </c>
      <c r="O81" s="245"/>
      <c r="P81" s="245">
        <f t="shared" si="1"/>
        <v>0</v>
      </c>
      <c r="Q81" s="245">
        <f t="shared" si="2"/>
        <v>0</v>
      </c>
    </row>
    <row r="82" ht="32.25" customHeight="1">
      <c r="A82" s="230"/>
      <c r="B82" s="244"/>
      <c r="C82" s="245">
        <f>IFS(
AND($H$2=Data!$A$3,$K$2=Data!$A$2),SUMIFS(Proventos!$H:$H,Proventos!$D:$D,"&gt;="&amp;CONCATENATE($C$6,"/",B82),Proventos!$D:$D,"&lt;"&amp;CONCATENATE($D$6,"/",B82),Proventos!$J:$J,"="&amp;$H$2),
AND($H$2=Data!$A$4,$K$2=Data!$A$2),SUMIFS(Proventos!$H:$H,Proventos!$D:$D,"&gt;="&amp;CONCATENATE($C$6,"/",B82),Proventos!$D:$D,"&lt;"&amp;CONCATENATE($D$6,"/",B82),Proventos!$J:$J,"="&amp;$H$2),
AND($H$2=Data!$A$5,$K$2=Data!$A$2),SUMIFS(Proventos!$H:$H,Proventos!$D:$D,"&gt;="&amp;CONCATENATE($C$6,"/",B82),Proventos!$D:$D,"&lt;"&amp;CONCATENATE($D$6,"/",B82),Proventos!$J:$J,"="&amp;$H$2),
AND($H$2=Data!$A$6,$K$2=Data!$A$2),SUMIFS(Proventos!$H:$H,Proventos!$D:$D,"&gt;="&amp;CONCATENATE($C$6,"/",B82),Proventos!$D:$D,"&lt;"&amp;CONCATENATE($D$6,"/",B82),Proventos!$J:$J,"="&amp;$H$2),
AND($H$2=Data!$A$7,$K$2=Data!$A$2),SUMIFS(Proventos!$H:$H,Proventos!$D:$D,"&gt;="&amp;CONCATENATE($C$6,"/",B82),Proventos!$D:$D,"&lt;"&amp;CONCATENATE($D$6,"/",B82),Proventos!$J:$J,"="&amp;$H$2),
AND($H$2=Data!$A$8,$K$2=Data!$A$2),SUMIFS(Proventos!$H:$H,Proventos!$D:$D,"&gt;="&amp;CONCATENATE($C$6,"/",B82),Proventos!$D:$D,"&lt;"&amp;CONCATENATE($D$6,"/",B82),Proventos!$J:$J,"="&amp;$H$2),
AND($H$2=Data!$A$9,$K$2=Data!$A$2),SUMIFS(Proventos!$H:$H,Proventos!$D:$D,"&gt;="&amp;CONCATENATE($C$6,"/",B82),Proventos!$D:$D,"&lt;"&amp;CONCATENATE($D$6,"/",B82),Proventos!$J:$J,"="&amp;$H$2),
AND($H$2=Data!$A$10,$K$2=Data!$A$2),SUMIFS(Proventos!$H:$H,Proventos!$D:$D,"&gt;="&amp;CONCATENATE($C$6,"/",B82),Proventos!$D:$D,"&lt;"&amp;CONCATENATE($D$6,"/",B82),Proventos!$J:$J,"="&amp;$H$2),
AND($H$2=Data!$A$11,$K$2=Data!$A$2),SUMIFS(Proventos!$H:$H,Proventos!$D:$D,"&gt;="&amp;CONCATENATE($C$6,"/",B82),Proventos!$D:$D,"&lt;"&amp;CONCATENATE($D$6,"/",B82),Proventos!$J:$J,"="&amp;$H$2),
$K$2=Data!$A$2,SUMIFS(Proventos!$H:$H,Proventos!$D:$D,"&gt;="&amp;CONCATENATE($C$6,"/",B82),Proventos!$D:$D,"&lt;"&amp;CONCATENATE($D$6,"/",B82)),
$K$2&lt;&gt;Data!$A$2,SUMIFS(Proventos!$H:$H,Proventos!$D:$D,"&gt;="&amp;CONCATENATE($C$6,"/",B82),Proventos!$D:$D,"&lt;"&amp;CONCATENATE($D$6,"/",B82),Proventos!$A:$A,"="&amp;$K$2))</f>
        <v>0</v>
      </c>
      <c r="D82" s="245">
        <f>IFS(
AND($H$2=Data!$A$3,$K$2=Data!$A$2),SUMIFS(Proventos!$H:$H,Proventos!$D:$D,"&gt;="&amp;CONCATENATE($D$6,"/",B82),Proventos!$D:$D,"&lt;"&amp;CONCATENATE($E$6,"/",B82),Proventos!$J:$J,"="&amp;$H$2),
AND($H$2=Data!$A$4,$K$2=Data!$A$2),SUMIFS(Proventos!$H:$H,Proventos!$D:$D,"&gt;="&amp;CONCATENATE($D$6,"/",B82),Proventos!$D:$D,"&lt;"&amp;CONCATENATE($E$6,"/",B82),Proventos!$J:$J,"="&amp;$H$2),
AND($H$2=Data!$A$5,$K$2=Data!$A$2),SUMIFS(Proventos!$H:$H,Proventos!$D:$D,"&gt;="&amp;CONCATENATE($D$6,"/",B82),Proventos!$D:$D,"&lt;"&amp;CONCATENATE($E$6,"/",B82),Proventos!$J:$J,"="&amp;$H$2),
AND($H$2=Data!$A$6,$K$2=Data!$A$2),SUMIFS(Proventos!$H:$H,Proventos!$D:$D,"&gt;="&amp;CONCATENATE($D$6,"/",B82),Proventos!$D:$D,"&lt;"&amp;CONCATENATE($E$6,"/",B82),Proventos!$J:$J,"="&amp;$H$2),
AND($H$2=Data!$A$7,$K$2=Data!$A$2),SUMIFS(Proventos!$H:$H,Proventos!$D:$D,"&gt;="&amp;CONCATENATE($D$6,"/",B82),Proventos!$D:$D,"&lt;"&amp;CONCATENATE($E$6,"/",B82),Proventos!$J:$J,"="&amp;$H$2),
AND($H$2=Data!$A$8,$K$2=Data!$A$2),SUMIFS(Proventos!$H:$H,Proventos!$D:$D,"&gt;="&amp;CONCATENATE($D$6,"/",B82),Proventos!$D:$D,"&lt;"&amp;CONCATENATE($E$6,"/",B82),Proventos!$J:$J,"="&amp;$H$2),
AND($H$2=Data!$A$9,$K$2=Data!$A$2),SUMIFS(Proventos!$H:$H,Proventos!$D:$D,"&gt;="&amp;CONCATENATE($D$6,"/",B82),Proventos!$D:$D,"&lt;"&amp;CONCATENATE($E$6,"/",B82),Proventos!$J:$J,"="&amp;$H$2),
AND($H$2=Data!$A$10,$K$2=Data!$A$2),SUMIFS(Proventos!$H:$H,Proventos!$D:$D,"&gt;="&amp;CONCATENATE($D$6,"/",B82),Proventos!$D:$D,"&lt;"&amp;CONCATENATE($E$6,"/",B82),Proventos!$J:$J,"="&amp;$H$2),
AND($H$2=Data!$A$11,$K$2=Data!$A$2),SUMIFS(Proventos!$H:$H,Proventos!$D:$D,"&gt;="&amp;CONCATENATE($D$6,"/",B82),Proventos!$D:$D,"&lt;"&amp;CONCATENATE($E$6,"/",B82),Proventos!$J:$J,"="&amp;$H$2),
$K$2=Data!$A$2,SUMIFS(Proventos!$H:$H,Proventos!$D:$D,"&gt;="&amp;CONCATENATE($D$6,"/",B82),Proventos!$D:$D,"&lt;"&amp;CONCATENATE($E$6,"/",B82)),
$K$2&lt;&gt;Data!$A$2,SUMIFS(Proventos!$H:$H,Proventos!$D:$D,"&gt;="&amp;CONCATENATE($D$6,"/",B82),Proventos!$D:$D,"&lt;"&amp;CONCATENATE($E$6,"/",B82),Proventos!$A:$A,"="&amp;$K$2))</f>
        <v>0</v>
      </c>
      <c r="E82" s="245">
        <f>IFS(
AND($H$2=Data!$A$3,$K$2=Data!$A$2),SUMIFS(Proventos!$H:$H,Proventos!$D:$D,"&gt;="&amp;CONCATENATE($E$6,"/",B82),Proventos!$D:$D,"&lt;"&amp;CONCATENATE($F$6,"/",B82),Proventos!$J:$J,"="&amp;$H$2),
AND($H$2=Data!$A$4,$K$2=Data!$A$2),SUMIFS(Proventos!$H:$H,Proventos!$D:$D,"&gt;="&amp;CONCATENATE($E$6,"/",B82),Proventos!$D:$D,"&lt;"&amp;CONCATENATE($F$6,"/",B82),Proventos!$J:$J,"="&amp;$H$2),
AND($H$2=Data!$A$5,$K$2=Data!$A$2),SUMIFS(Proventos!$H:$H,Proventos!$D:$D,"&gt;="&amp;CONCATENATE($E$6,"/",B82),Proventos!$D:$D,"&lt;"&amp;CONCATENATE($F$6,"/",B82),Proventos!$J:$J,"="&amp;$H$2),
AND($H$2=Data!$A$6,$K$2=Data!$A$2),SUMIFS(Proventos!$H:$H,Proventos!$D:$D,"&gt;="&amp;CONCATENATE($E$6,"/",B82),Proventos!$D:$D,"&lt;"&amp;CONCATENATE($F$6,"/",B82),Proventos!$J:$J,"="&amp;$H$2),
AND($H$2=Data!$A$7,$K$2=Data!$A$2),SUMIFS(Proventos!$H:$H,Proventos!$D:$D,"&gt;="&amp;CONCATENATE($E$6,"/",B82),Proventos!$D:$D,"&lt;"&amp;CONCATENATE($F$6,"/",B82),Proventos!$J:$J,"="&amp;$H$2),
AND($H$2=Data!$A$8,$K$2=Data!$A$2),SUMIFS(Proventos!$H:$H,Proventos!$D:$D,"&gt;="&amp;CONCATENATE($E$6,"/",B82),Proventos!$D:$D,"&lt;"&amp;CONCATENATE($F$6,"/",B82),Proventos!$J:$J,"="&amp;$H$2),
AND($H$2=Data!$A$9,$K$2=Data!$A$2),SUMIFS(Proventos!$H:$H,Proventos!$D:$D,"&gt;="&amp;CONCATENATE($E$6,"/",B82),Proventos!$D:$D,"&lt;"&amp;CONCATENATE($F$6,"/",B82),Proventos!$J:$J,"="&amp;$H$2),
AND($H$2=Data!$A$10,$K$2=Data!$A$2),SUMIFS(Proventos!$H:$H,Proventos!$D:$D,"&gt;="&amp;CONCATENATE($E$6,"/",B82),Proventos!$D:$D,"&lt;"&amp;CONCATENATE($F$6,"/",B82),Proventos!$J:$J,"="&amp;$H$2),
AND($H$2=Data!$A$11,$K$2=Data!$A$2),SUMIFS(Proventos!$H:$H,Proventos!$D:$D,"&gt;="&amp;CONCATENATE($E$6,"/",B82),Proventos!$D:$D,"&lt;"&amp;CONCATENATE($F$6,"/",B82),Proventos!$J:$J,"="&amp;$H$2),
$K$2=Data!$A$2,SUMIFS(Proventos!$H:$H,Proventos!$D:$D,"&gt;="&amp;CONCATENATE($E$6,"/",B82),Proventos!$D:$D,"&lt;"&amp;CONCATENATE($F$6,"/",B82)),
$K$2&lt;&gt;Data!$A$2,SUMIFS(Proventos!$H:$H,Proventos!$D:$D,"&gt;="&amp;CONCATENATE($E$6,"/",B82),Proventos!$D:$D,"&lt;"&amp;CONCATENATE($F$6,"/",B82),Proventos!$A:$A,"="&amp;$K$2))</f>
        <v>0</v>
      </c>
      <c r="F82" s="245">
        <f>IFS(
AND($H$2=Data!$A$3,$K$2=Data!$A$2),SUMIFS(Proventos!$H:$H,Proventos!$D:$D,"&gt;="&amp;CONCATENATE($F$6,"/",B82),Proventos!$D:$D,"&lt;"&amp;CONCATENATE($G$6,"/",B82),Proventos!$J:$J,"="&amp;$H$2),
AND($H$2=Data!$A$4,$K$2=Data!$A$2),SUMIFS(Proventos!$H:$H,Proventos!$D:$D,"&gt;="&amp;CONCATENATE($F$6,"/",B82),Proventos!$D:$D,"&lt;"&amp;CONCATENATE($G$6,"/",B82),Proventos!$J:$J,"="&amp;$H$2),
AND($H$2=Data!$A$5,$K$2=Data!$A$2),SUMIFS(Proventos!$H:$H,Proventos!$D:$D,"&gt;="&amp;CONCATENATE($F$6,"/",B82),Proventos!$D:$D,"&lt;"&amp;CONCATENATE($G$6,"/",B82),Proventos!$J:$J,"="&amp;$H$2),
AND($H$2=Data!$A$6,$K$2=Data!$A$2),SUMIFS(Proventos!$H:$H,Proventos!$D:$D,"&gt;="&amp;CONCATENATE($F$6,"/",B82),Proventos!$D:$D,"&lt;"&amp;CONCATENATE($G$6,"/",B82),Proventos!$J:$J,"="&amp;$H$2),
AND($H$2=Data!$A$7,$K$2=Data!$A$2),SUMIFS(Proventos!$H:$H,Proventos!$D:$D,"&gt;="&amp;CONCATENATE($F$6,"/",B82),Proventos!$D:$D,"&lt;"&amp;CONCATENATE($G$6,"/",B82),Proventos!$J:$J,"="&amp;$H$2),
AND($H$2=Data!$A$8,$K$2=Data!$A$2),SUMIFS(Proventos!$H:$H,Proventos!$D:$D,"&gt;="&amp;CONCATENATE($F$6,"/",B82),Proventos!$D:$D,"&lt;"&amp;CONCATENATE($G$6,"/",B82),Proventos!$J:$J,"="&amp;$H$2),
AND($H$2=Data!$A$9,$K$2=Data!$A$2),SUMIFS(Proventos!$H:$H,Proventos!$D:$D,"&gt;="&amp;CONCATENATE($F$6,"/",B82),Proventos!$D:$D,"&lt;"&amp;CONCATENATE($G$6,"/",B82),Proventos!$J:$J,"="&amp;$H$2),
AND($H$2=Data!$A$10,$K$2=Data!$A$2),SUMIFS(Proventos!$H:$H,Proventos!$D:$D,"&gt;="&amp;CONCATENATE($F$6,"/",B82),Proventos!$D:$D,"&lt;"&amp;CONCATENATE($G$6,"/",B82),Proventos!$J:$J,"="&amp;$H$2),
AND($H$2=Data!$A$11,$K$2=Data!$A$2),SUMIFS(Proventos!$H:$H,Proventos!$D:$D,"&gt;="&amp;CONCATENATE($F$6,"/",B82),Proventos!$D:$D,"&lt;"&amp;CONCATENATE($G$6,"/",B82),Proventos!$J:$J,"="&amp;$H$2),
$K$2=Data!$A$2,SUMIFS(Proventos!$H:$H,Proventos!$D:$D,"&gt;="&amp;CONCATENATE($F$6,"/",B82),Proventos!$D:$D,"&lt;"&amp;CONCATENATE($G$6,"/",B82)),
$K$2&lt;&gt;Data!$A$2,SUMIFS(Proventos!$H:$H,Proventos!$D:$D,"&gt;="&amp;CONCATENATE($F$6,"/",B82),Proventos!$D:$D,"&lt;"&amp;CONCATENATE($G$6,"/",B82),Proventos!$A:$A,"="&amp;$K$2))</f>
        <v>0</v>
      </c>
      <c r="G82" s="245">
        <f>IFS(
AND($H$2=Data!$A$3,$K$2=Data!$A$2),SUMIFS(Proventos!$H:$H,Proventos!$D:$D,"&gt;="&amp;CONCATENATE($G$6,"/",B82),Proventos!$D:$D,"&lt;"&amp;CONCATENATE($H$6,"/",B82),Proventos!$J:$J,"="&amp;$H$2),
AND($H$2=Data!$A$4,$K$2=Data!$A$2),SUMIFS(Proventos!$H:$H,Proventos!$D:$D,"&gt;="&amp;CONCATENATE($G$6,"/",B82),Proventos!$D:$D,"&lt;"&amp;CONCATENATE($H$6,"/",B82),Proventos!$J:$J,"="&amp;$H$2),
AND($H$2=Data!$A$5,$K$2=Data!$A$2),SUMIFS(Proventos!$H:$H,Proventos!$D:$D,"&gt;="&amp;CONCATENATE($G$6,"/",B82),Proventos!$D:$D,"&lt;"&amp;CONCATENATE($H$6,"/",B82),Proventos!$J:$J,"="&amp;$H$2),
AND($H$2=Data!$A$6,$K$2=Data!$A$2),SUMIFS(Proventos!$H:$H,Proventos!$D:$D,"&gt;="&amp;CONCATENATE($G$6,"/",B82),Proventos!$D:$D,"&lt;"&amp;CONCATENATE($H$6,"/",B82),Proventos!$J:$J,"="&amp;$H$2),
AND($H$2=Data!$A$7,$K$2=Data!$A$2),SUMIFS(Proventos!$H:$H,Proventos!$D:$D,"&gt;="&amp;CONCATENATE($G$6,"/",B82),Proventos!$D:$D,"&lt;"&amp;CONCATENATE($H$6,"/",B82),Proventos!$J:$J,"="&amp;$H$2),
AND($H$2=Data!$A$8,$K$2=Data!$A$2),SUMIFS(Proventos!$H:$H,Proventos!$D:$D,"&gt;="&amp;CONCATENATE($G$6,"/",B82),Proventos!$D:$D,"&lt;"&amp;CONCATENATE($H$6,"/",B82),Proventos!$J:$J,"="&amp;$H$2),
AND($H$2=Data!$A$9,$K$2=Data!$A$2),SUMIFS(Proventos!$H:$H,Proventos!$D:$D,"&gt;="&amp;CONCATENATE($G$6,"/",B82),Proventos!$D:$D,"&lt;"&amp;CONCATENATE($H$6,"/",B82),Proventos!$J:$J,"="&amp;$H$2),
AND($H$2=Data!$A$10,$K$2=Data!$A$2),SUMIFS(Proventos!$H:$H,Proventos!$D:$D,"&gt;="&amp;CONCATENATE($G$6,"/",B82),Proventos!$D:$D,"&lt;"&amp;CONCATENATE($H$6,"/",B82),Proventos!$J:$J,"="&amp;$H$2),
AND($H$2=Data!$A$11,$K$2=Data!$A$2),SUMIFS(Proventos!$H:$H,Proventos!$D:$D,"&gt;="&amp;CONCATENATE($G$6,"/",B82),Proventos!$D:$D,"&lt;"&amp;CONCATENATE($H$6,"/",B82),Proventos!$J:$J,"="&amp;$H$2),
$K$2=Data!$A$2,SUMIFS(Proventos!$H:$H,Proventos!$D:$D,"&gt;="&amp;CONCATENATE($G$6,"/",B82),Proventos!$D:$D,"&lt;"&amp;CONCATENATE($H$6,"/",B82)),
$K$2&lt;&gt;Data!$A$2,SUMIFS(Proventos!$H:$H,Proventos!$D:$D,"&gt;="&amp;CONCATENATE($G$6,"/",B82),Proventos!$D:$D,"&lt;"&amp;CONCATENATE($H$6,"/",B82),Proventos!$A:$A,"="&amp;$K$2))</f>
        <v>0</v>
      </c>
      <c r="H82" s="245">
        <f>IFS(
AND($H$2=Data!$A$3,$K$2=Data!$A$2),SUMIFS(Proventos!$H:$H,Proventos!$D:$D,"&gt;="&amp;CONCATENATE($H$6,"/",B82),Proventos!$D:$D,"&lt;"&amp;CONCATENATE($I$6,"/",B82),Proventos!$J:$J,"="&amp;$H$2),
AND($H$2=Data!$A$4,$K$2=Data!$A$2),SUMIFS(Proventos!$H:$H,Proventos!$D:$D,"&gt;="&amp;CONCATENATE($H$6,"/",B82),Proventos!$D:$D,"&lt;"&amp;CONCATENATE($I$6,"/",B82),Proventos!$J:$J,"="&amp;$H$2),
AND($H$2=Data!$A$5,$K$2=Data!$A$2),SUMIFS(Proventos!$H:$H,Proventos!$D:$D,"&gt;="&amp;CONCATENATE($H$6,"/",B82),Proventos!$D:$D,"&lt;"&amp;CONCATENATE($I$6,"/",B82),Proventos!$J:$J,"="&amp;$H$2),
AND($H$2=Data!$A$6,$K$2=Data!$A$2),SUMIFS(Proventos!$H:$H,Proventos!$D:$D,"&gt;="&amp;CONCATENATE($H$6,"/",B82),Proventos!$D:$D,"&lt;"&amp;CONCATENATE($I$6,"/",B82),Proventos!$J:$J,"="&amp;$H$2),
AND($H$2=Data!$A$7,$K$2=Data!$A$2),SUMIFS(Proventos!$H:$H,Proventos!$D:$D,"&gt;="&amp;CONCATENATE($H$6,"/",B82),Proventos!$D:$D,"&lt;"&amp;CONCATENATE($I$6,"/",B82),Proventos!$J:$J,"="&amp;$H$2),
AND($H$2=Data!$A$8,$K$2=Data!$A$2),SUMIFS(Proventos!$H:$H,Proventos!$D:$D,"&gt;="&amp;CONCATENATE($H$6,"/",B82),Proventos!$D:$D,"&lt;"&amp;CONCATENATE($I$6,"/",B82),Proventos!$J:$J,"="&amp;$H$2),
AND($H$2=Data!$A$9,$K$2=Data!$A$2),SUMIFS(Proventos!$H:$H,Proventos!$D:$D,"&gt;="&amp;CONCATENATE($H$6,"/",B82),Proventos!$D:$D,"&lt;"&amp;CONCATENATE($I$6,"/",B82),Proventos!$J:$J,"="&amp;$H$2),
AND($H$2=Data!$A$10,$K$2=Data!$A$2),SUMIFS(Proventos!$H:$H,Proventos!$D:$D,"&gt;="&amp;CONCATENATE($H$6,"/",B82),Proventos!$D:$D,"&lt;"&amp;CONCATENATE($I$6,"/",B82),Proventos!$J:$J,"="&amp;$H$2),
AND($H$2=Data!$A$11,$K$2=Data!$A$2),SUMIFS(Proventos!$H:$H,Proventos!$D:$D,"&gt;="&amp;CONCATENATE($H$6,"/",B82),Proventos!$D:$D,"&lt;"&amp;CONCATENATE($I$6,"/",B82),Proventos!$J:$J,"="&amp;$H$2),
$K$2=Data!$A$2,SUMIFS(Proventos!$H:$H,Proventos!$D:$D,"&gt;="&amp;CONCATENATE($H$6,"/",B82),Proventos!$D:$D,"&lt;"&amp;CONCATENATE($I$6,"/",B82)),
$K$2&lt;&gt;Data!$A$2,SUMIFS(Proventos!$H:$H,Proventos!$D:$D,"&gt;="&amp;CONCATENATE($H$6,"/",B82),Proventos!$D:$D,"&lt;"&amp;CONCATENATE($I$6,"/",B82),Proventos!$A:$A,"="&amp;$K$2))</f>
        <v>0</v>
      </c>
      <c r="I82" s="245">
        <f>IFS(
AND($H$2=Data!$A$3,$K$2=Data!$A$2),SUMIFS(Proventos!$H:$H,Proventos!$D:$D,"&gt;="&amp;CONCATENATE($I$6,"/",B82),Proventos!$D:$D,"&lt;"&amp;CONCATENATE($J$6,"/",B82),Proventos!$J:$J,"="&amp;$H$2),
AND($H$2=Data!$A$4,$K$2=Data!$A$2),SUMIFS(Proventos!$H:$H,Proventos!$D:$D,"&gt;="&amp;CONCATENATE($I$6,"/",B82),Proventos!$D:$D,"&lt;"&amp;CONCATENATE($J$6,"/",B82),Proventos!$J:$J,"="&amp;$H$2),
AND($H$2=Data!$A$5,$K$2=Data!$A$2),SUMIFS(Proventos!$H:$H,Proventos!$D:$D,"&gt;="&amp;CONCATENATE($I$6,"/",B82),Proventos!$D:$D,"&lt;"&amp;CONCATENATE($J$6,"/",B82),Proventos!$J:$J,"="&amp;$H$2),
AND($H$2=Data!$A$6,$K$2=Data!$A$2),SUMIFS(Proventos!$H:$H,Proventos!$D:$D,"&gt;="&amp;CONCATENATE($I$6,"/",B82),Proventos!$D:$D,"&lt;"&amp;CONCATENATE($J$6,"/",B82),Proventos!$J:$J,"="&amp;$H$2),
AND($H$2=Data!$A$7,$K$2=Data!$A$2),SUMIFS(Proventos!$H:$H,Proventos!$D:$D,"&gt;="&amp;CONCATENATE($I$6,"/",B82),Proventos!$D:$D,"&lt;"&amp;CONCATENATE($J$6,"/",B82),Proventos!$J:$J,"="&amp;$H$2),
AND($H$2=Data!$A$8,$K$2=Data!$A$2),SUMIFS(Proventos!$H:$H,Proventos!$D:$D,"&gt;="&amp;CONCATENATE($I$6,"/",B82),Proventos!$D:$D,"&lt;"&amp;CONCATENATE($J$6,"/",B82),Proventos!$J:$J,"="&amp;$H$2),
AND($H$2=Data!$A$9,$K$2=Data!$A$2),SUMIFS(Proventos!$H:$H,Proventos!$D:$D,"&gt;="&amp;CONCATENATE($I$6,"/",B82),Proventos!$D:$D,"&lt;"&amp;CONCATENATE($J$6,"/",B82),Proventos!$J:$J,"="&amp;$H$2),
AND($H$2=Data!$A$10,$K$2=Data!$A$2),SUMIFS(Proventos!$H:$H,Proventos!$D:$D,"&gt;="&amp;CONCATENATE($I$6,"/",B82),Proventos!$D:$D,"&lt;"&amp;CONCATENATE($J$6,"/",B82),Proventos!$J:$J,"="&amp;$H$2),
AND($H$2=Data!$A$11,$K$2=Data!$A$2),SUMIFS(Proventos!$H:$H,Proventos!$D:$D,"&gt;="&amp;CONCATENATE($I$6,"/",B82),Proventos!$D:$D,"&lt;"&amp;CONCATENATE($J$6,"/",B82),Proventos!$J:$J,"="&amp;$H$2),
$K$2=Data!$A$2,SUMIFS(Proventos!$H:$H,Proventos!$D:$D,"&gt;="&amp;CONCATENATE($I$6,"/",B82),Proventos!$D:$D,"&lt;"&amp;CONCATENATE($J$6,"/",B82)),
$K$2&lt;&gt;Data!$A$2,SUMIFS(Proventos!$H:$H,Proventos!$D:$D,"&gt;="&amp;CONCATENATE($I$6,"/",B82),Proventos!$D:$D,"&lt;"&amp;CONCATENATE($J$6,"/",B82),Proventos!$A:$A,"="&amp;$K$2))</f>
        <v>0</v>
      </c>
      <c r="J82" s="245">
        <f>IFS(
AND($H$2=Data!$A$3,$K$2=Data!$A$2),SUMIFS(Proventos!$H:$H,Proventos!$D:$D,"&gt;="&amp;CONCATENATE($J$6,"/",B82),Proventos!$D:$D,"&lt;"&amp;CONCATENATE($K$6,"/",B82),Proventos!$J:$J,"="&amp;$H$2),
AND($H$2=Data!$A$4,$K$2=Data!$A$2),SUMIFS(Proventos!$H:$H,Proventos!$D:$D,"&gt;="&amp;CONCATENATE($J$6,"/",B82),Proventos!$D:$D,"&lt;"&amp;CONCATENATE($K$6,"/",B82),Proventos!$J:$J,"="&amp;$H$2),
AND($H$2=Data!$A$5,$K$2=Data!$A$2),SUMIFS(Proventos!$H:$H,Proventos!$D:$D,"&gt;="&amp;CONCATENATE($J$6,"/",B82),Proventos!$D:$D,"&lt;"&amp;CONCATENATE($K$6,"/",B82),Proventos!$J:$J,"="&amp;$H$2),
AND($H$2=Data!$A$6,$K$2=Data!$A$2),SUMIFS(Proventos!$H:$H,Proventos!$D:$D,"&gt;="&amp;CONCATENATE($J$6,"/",B82),Proventos!$D:$D,"&lt;"&amp;CONCATENATE($K$6,"/",B82),Proventos!$J:$J,"="&amp;$H$2),
AND($H$2=Data!$A$7,$K$2=Data!$A$2),SUMIFS(Proventos!$H:$H,Proventos!$D:$D,"&gt;="&amp;CONCATENATE($J$6,"/",B82),Proventos!$D:$D,"&lt;"&amp;CONCATENATE($K$6,"/",B82),Proventos!$J:$J,"="&amp;$H$2),
AND($H$2=Data!$A$8,$K$2=Data!$A$2),SUMIFS(Proventos!$H:$H,Proventos!$D:$D,"&gt;="&amp;CONCATENATE($J$6,"/",B82),Proventos!$D:$D,"&lt;"&amp;CONCATENATE($K$6,"/",B82),Proventos!$J:$J,"="&amp;$H$2),
AND($H$2=Data!$A$9,$K$2=Data!$A$2),SUMIFS(Proventos!$H:$H,Proventos!$D:$D,"&gt;="&amp;CONCATENATE($J$6,"/",B82),Proventos!$D:$D,"&lt;"&amp;CONCATENATE($K$6,"/",B82),Proventos!$J:$J,"="&amp;$H$2),
AND($H$2=Data!$A$10,$K$2=Data!$A$2),SUMIFS(Proventos!$H:$H,Proventos!$D:$D,"&gt;="&amp;CONCATENATE($J$6,"/",B82),Proventos!$D:$D,"&lt;"&amp;CONCATENATE($K$6,"/",B82),Proventos!$J:$J,"="&amp;$H$2),
AND($H$2=Data!$A$11,$K$2=Data!$A$2),SUMIFS(Proventos!$H:$H,Proventos!$D:$D,"&gt;="&amp;CONCATENATE($J$6,"/",B82),Proventos!$D:$D,"&lt;"&amp;CONCATENATE($K$6,"/",B82),Proventos!$J:$J,"="&amp;$H$2),
$K$2=Data!$A$2,SUMIFS(Proventos!$H:$H,Proventos!$D:$D,"&gt;="&amp;CONCATENATE($J$6,"/",B82),Proventos!$D:$D,"&lt;"&amp;CONCATENATE($K$6,"/",B82)),
$K$2&lt;&gt;Data!$A$2,SUMIFS(Proventos!$H:$H,Proventos!$D:$D,"&gt;="&amp;CONCATENATE($J$6,"/",B82),Proventos!$D:$D,"&lt;"&amp;CONCATENATE($K$6,"/",B82),Proventos!$A:$A,"="&amp;$K$2))</f>
        <v>0</v>
      </c>
      <c r="K82" s="245">
        <f>IFS(
AND($H$2=Data!$A$3,$K$2=Data!$A$2),SUMIFS(Proventos!$H:$H,Proventos!$D:$D,"&gt;="&amp;CONCATENATE($K$6,"/",B82),Proventos!$D:$D,"&lt;"&amp;CONCATENATE($L$6,"/",B82),Proventos!$J:$J,"="&amp;$H$2),
AND($H$2=Data!$A$4,$K$2=Data!$A$2),SUMIFS(Proventos!$H:$H,Proventos!$D:$D,"&gt;="&amp;CONCATENATE($K$6,"/",B82),Proventos!$D:$D,"&lt;"&amp;CONCATENATE($L$6,"/",B82),Proventos!$J:$J,"="&amp;$H$2),
AND($H$2=Data!$A$5,$K$2=Data!$A$2),SUMIFS(Proventos!$H:$H,Proventos!$D:$D,"&gt;="&amp;CONCATENATE($K$6,"/",B82),Proventos!$D:$D,"&lt;"&amp;CONCATENATE($L$6,"/",B82),Proventos!$J:$J,"="&amp;$H$2),
AND($H$2=Data!$A$6,$K$2=Data!$A$2),SUMIFS(Proventos!$H:$H,Proventos!$D:$D,"&gt;="&amp;CONCATENATE($K$6,"/",B82),Proventos!$D:$D,"&lt;"&amp;CONCATENATE($L$6,"/",B82),Proventos!$J:$J,"="&amp;$H$2),
AND($H$2=Data!$A$7,$K$2=Data!$A$2),SUMIFS(Proventos!$H:$H,Proventos!$D:$D,"&gt;="&amp;CONCATENATE($K$6,"/",B82),Proventos!$D:$D,"&lt;"&amp;CONCATENATE($L$6,"/",B82),Proventos!$J:$J,"="&amp;$H$2),
AND($H$2=Data!$A$8,$K$2=Data!$A$2),SUMIFS(Proventos!$H:$H,Proventos!$D:$D,"&gt;="&amp;CONCATENATE($K$6,"/",B82),Proventos!$D:$D,"&lt;"&amp;CONCATENATE($L$6,"/",B82),Proventos!$J:$J,"="&amp;$H$2),
AND($H$2=Data!$A$9,$K$2=Data!$A$2),SUMIFS(Proventos!$H:$H,Proventos!$D:$D,"&gt;="&amp;CONCATENATE($K$6,"/",B82),Proventos!$D:$D,"&lt;"&amp;CONCATENATE($L$6,"/",B82),Proventos!$J:$J,"="&amp;$H$2),
AND($H$2=Data!$A$10,$K$2=Data!$A$2),SUMIFS(Proventos!$H:$H,Proventos!$D:$D,"&gt;="&amp;CONCATENATE($K$6,"/",B82),Proventos!$D:$D,"&lt;"&amp;CONCATENATE($L$6,"/",B82),Proventos!$J:$J,"="&amp;$H$2),
AND($H$2=Data!$A$11,$K$2=Data!$A$2),SUMIFS(Proventos!$H:$H,Proventos!$D:$D,"&gt;="&amp;CONCATENATE($K$6,"/",B82),Proventos!$D:$D,"&lt;"&amp;CONCATENATE($L$6,"/",B82),Proventos!$J:$J,"="&amp;$H$2),
$K$2=Data!$A$2,SUMIFS(Proventos!$H:$H,Proventos!$D:$D,"&gt;="&amp;CONCATENATE($K$6,"/",B82),Proventos!$D:$D,"&lt;"&amp;CONCATENATE($L$6,"/",B82)),
$K$2&lt;&gt;Data!$A$2,SUMIFS(Proventos!$H:$H,Proventos!$D:$D,"&gt;="&amp;CONCATENATE($K$6,"/",B82),Proventos!$D:$D,"&lt;"&amp;CONCATENATE($L$6,"/",B82),Proventos!$A:$A,"="&amp;$K$2))</f>
        <v>0</v>
      </c>
      <c r="L82" s="245">
        <f>IFS(
AND($H$2=Data!$A$3,$K$2=Data!$A$2),SUMIFS(Proventos!$H:$H,Proventos!$D:$D,"&gt;="&amp;CONCATENATE($L$6,"/",B82),Proventos!$D:$D,"&lt;"&amp;CONCATENATE($M$6,"/",B82),Proventos!$J:$J,"="&amp;$H$2),
AND($H$2=Data!$A$4,$K$2=Data!$A$2),SUMIFS(Proventos!$H:$H,Proventos!$D:$D,"&gt;="&amp;CONCATENATE($L$6,"/",B82),Proventos!$D:$D,"&lt;"&amp;CONCATENATE($M$6,"/",B82),Proventos!$J:$J,"="&amp;$H$2),
AND($H$2=Data!$A$5,$K$2=Data!$A$2),SUMIFS(Proventos!$H:$H,Proventos!$D:$D,"&gt;="&amp;CONCATENATE($L$6,"/",B82),Proventos!$D:$D,"&lt;"&amp;CONCATENATE($M$6,"/",B82),Proventos!$J:$J,"="&amp;$H$2),
AND($H$2=Data!$A$6,$K$2=Data!$A$2),SUMIFS(Proventos!$H:$H,Proventos!$D:$D,"&gt;="&amp;CONCATENATE($L$6,"/",B82),Proventos!$D:$D,"&lt;"&amp;CONCATENATE($M$6,"/",B82),Proventos!$J:$J,"="&amp;$H$2),
AND($H$2=Data!$A$7,$K$2=Data!$A$2),SUMIFS(Proventos!$H:$H,Proventos!$D:$D,"&gt;="&amp;CONCATENATE($L$6,"/",B82),Proventos!$D:$D,"&lt;"&amp;CONCATENATE($M$6,"/",B82),Proventos!$J:$J,"="&amp;$H$2),
AND($H$2=Data!$A$8,$K$2=Data!$A$2),SUMIFS(Proventos!$H:$H,Proventos!$D:$D,"&gt;="&amp;CONCATENATE($L$6,"/",B82),Proventos!$D:$D,"&lt;"&amp;CONCATENATE($M$6,"/",B82),Proventos!$J:$J,"="&amp;$H$2),
AND($H$2=Data!$A$9,$K$2=Data!$A$2),SUMIFS(Proventos!$H:$H,Proventos!$D:$D,"&gt;="&amp;CONCATENATE($L$6,"/",B82),Proventos!$D:$D,"&lt;"&amp;CONCATENATE($M$6,"/",B82),Proventos!$J:$J,"="&amp;$H$2),
AND($H$2=Data!$A$10,$K$2=Data!$A$2),SUMIFS(Proventos!$H:$H,Proventos!$D:$D,"&gt;="&amp;CONCATENATE($L$6,"/",B82),Proventos!$D:$D,"&lt;"&amp;CONCATENATE($M$6,"/",B82),Proventos!$J:$J,"="&amp;$H$2),
AND($H$2=Data!$A$11,$K$2=Data!$A$2),SUMIFS(Proventos!$H:$H,Proventos!$D:$D,"&gt;="&amp;CONCATENATE($L$6,"/",B82),Proventos!$D:$D,"&lt;"&amp;CONCATENATE($M$6,"/",B82),Proventos!$J:$J,"="&amp;$H$2),
$K$2=Data!$A$2,SUMIFS(Proventos!$H:$H,Proventos!$D:$D,"&gt;="&amp;CONCATENATE($L$6,"/",B82),Proventos!$D:$D,"&lt;"&amp;CONCATENATE($M$6,"/",B82)),
$K$2&lt;&gt;Data!$A$2,SUMIFS(Proventos!$H:$H,Proventos!$D:$D,"&gt;="&amp;CONCATENATE($L$6,"/",B82),Proventos!$D:$D,"&lt;"&amp;CONCATENATE($M$6,"/",B82),Proventos!$A:$A,"="&amp;$K$2))</f>
        <v>0</v>
      </c>
      <c r="M82" s="245">
        <f>IFS(
AND($H$2=Data!$A$3,$K$2=Data!$A$2),SUMIFS(Proventos!$H:$H,Proventos!$D:$D,"&gt;="&amp;CONCATENATE($M$6,"/",B82),Proventos!$D:$D,"&lt;"&amp;CONCATENATE($N$6,"/",B82),Proventos!$J:$J,"="&amp;$H$2),
AND($H$2=Data!$A$4,$K$2=Data!$A$2),SUMIFS(Proventos!$H:$H,Proventos!$D:$D,"&gt;="&amp;CONCATENATE($M$6,"/",B82),Proventos!$D:$D,"&lt;"&amp;CONCATENATE($N$6,"/",B82),Proventos!$J:$J,"="&amp;$H$2),
AND($H$2=Data!$A$5,$K$2=Data!$A$2),SUMIFS(Proventos!$H:$H,Proventos!$D:$D,"&gt;="&amp;CONCATENATE($M$6,"/",B82),Proventos!$D:$D,"&lt;"&amp;CONCATENATE($N$6,"/",B82),Proventos!$J:$J,"="&amp;$H$2),
AND($H$2=Data!$A$6,$K$2=Data!$A$2),SUMIFS(Proventos!$H:$H,Proventos!$D:$D,"&gt;="&amp;CONCATENATE($M$6,"/",B82),Proventos!$D:$D,"&lt;"&amp;CONCATENATE($N$6,"/",B82),Proventos!$J:$J,"="&amp;$H$2),
AND($H$2=Data!$A$7,$K$2=Data!$A$2),SUMIFS(Proventos!$H:$H,Proventos!$D:$D,"&gt;="&amp;CONCATENATE($M$6,"/",B82),Proventos!$D:$D,"&lt;"&amp;CONCATENATE($N$6,"/",B82),Proventos!$J:$J,"="&amp;$H$2),
AND($H$2=Data!$A$8,$K$2=Data!$A$2),SUMIFS(Proventos!$H:$H,Proventos!$D:$D,"&gt;="&amp;CONCATENATE($M$6,"/",B82),Proventos!$D:$D,"&lt;"&amp;CONCATENATE($N$6,"/",B82),Proventos!$J:$J,"="&amp;$H$2),
AND($H$2=Data!$A$9,$K$2=Data!$A$2),SUMIFS(Proventos!$H:$H,Proventos!$D:$D,"&gt;="&amp;CONCATENATE($M$6,"/",B82),Proventos!$D:$D,"&lt;"&amp;CONCATENATE($N$6,"/",B82),Proventos!$J:$J,"="&amp;$H$2),
AND($H$2=Data!$A$10,$K$2=Data!$A$2),SUMIFS(Proventos!$H:$H,Proventos!$D:$D,"&gt;="&amp;CONCATENATE($M$6,"/",B82),Proventos!$D:$D,"&lt;"&amp;CONCATENATE($N$6,"/",B82),Proventos!$J:$J,"="&amp;$H$2),
AND($H$2=Data!$A$11,$K$2=Data!$A$2),SUMIFS(Proventos!$H:$H,Proventos!$D:$D,"&gt;="&amp;CONCATENATE($M$6,"/",B82),Proventos!$D:$D,"&lt;"&amp;CONCATENATE($N$6,"/",B82),Proventos!$J:$J,"="&amp;$H$2),
$K$2=Data!$A$2,SUMIFS(Proventos!$H:$H,Proventos!$D:$D,"&gt;="&amp;CONCATENATE($M$6,"/",B82),Proventos!$D:$D,"&lt;"&amp;CONCATENATE($N$6,"/",B82)),
$K$2&lt;&gt;Data!$A$2,SUMIFS(Proventos!$H:$H,Proventos!$D:$D,"&gt;="&amp;CONCATENATE($M$6,"/",B82),Proventos!$D:$D,"&lt;"&amp;CONCATENATE($N$6,"/",B82),Proventos!$A:$A,"="&amp;$K$2))</f>
        <v>0</v>
      </c>
      <c r="N82" s="245">
        <f>IFS(
AND($H$2=Data!$A$3,$K$2=Data!$A$2),SUMIFS(Proventos!$H:$H,Proventos!$D:$D,"&gt;="&amp;CONCATENATE($N$6,"/",B82),Proventos!$D:$D,"&lt;"&amp;CONCATENATE($C$6,"/",B83),Proventos!$J:$J,"="&amp;$H$2),
AND($H$2=Data!$A$4,$K$2=Data!$A$2),SUMIFS(Proventos!$H:$H,Proventos!$D:$D,"&gt;="&amp;CONCATENATE($N$6,"/",B82),Proventos!$D:$D,"&lt;"&amp;CONCATENATE($C$6,"/",B83),Proventos!$J:$J,"="&amp;$H$2),
AND($H$2=Data!$A$5,$K$2=Data!$A$2),SUMIFS(Proventos!$H:$H,Proventos!$D:$D,"&gt;="&amp;CONCATENATE($N$6,"/",B82),Proventos!$D:$D,"&lt;"&amp;CONCATENATE($C$6,"/",B83),Proventos!$J:$J,"="&amp;$H$2),
AND($H$2=Data!$A$6,$K$2=Data!$A$2),SUMIFS(Proventos!$H:$H,Proventos!$D:$D,"&gt;="&amp;CONCATENATE($N$6,"/",B82),Proventos!$D:$D,"&lt;"&amp;CONCATENATE($C$6,"/",B83),Proventos!$J:$J,"="&amp;$H$2),
AND($H$2=Data!$A$7,$K$2=Data!$A$2),SUMIFS(Proventos!$H:$H,Proventos!$D:$D,"&gt;="&amp;CONCATENATE($N$6,"/",B82),Proventos!$D:$D,"&lt;"&amp;CONCATENATE($C$6,"/",B83),Proventos!$J:$J,"="&amp;$H$2),
AND($H$2=Data!$A$8,$K$2=Data!$A$2),SUMIFS(Proventos!$H:$H,Proventos!$D:$D,"&gt;="&amp;CONCATENATE($N$6,"/",B82),Proventos!$D:$D,"&lt;"&amp;CONCATENATE($C$6,"/",B83),Proventos!$J:$J,"="&amp;$H$2),
AND($H$2=Data!$A$9,$K$2=Data!$A$2),SUMIFS(Proventos!$H:$H,Proventos!$D:$D,"&gt;="&amp;CONCATENATE($N$6,"/",B82),Proventos!$D:$D,"&lt;"&amp;CONCATENATE($C$6,"/",B83),Proventos!$J:$J,"="&amp;$H$2),
AND($H$2=Data!$A$10,$K$2=Data!$A$2),SUMIFS(Proventos!$H:$H,Proventos!$D:$D,"&gt;="&amp;CONCATENATE($N$6,"/",B82),Proventos!$D:$D,"&lt;"&amp;CONCATENATE($C$6,"/",B83),Proventos!$J:$J,"="&amp;$H$2),
AND($H$2=Data!$A$11,$K$2=Data!$A$2),SUMIFS(Proventos!$H:$H,Proventos!$D:$D,"&gt;="&amp;CONCATENATE($N$6,"/",B82),Proventos!$D:$D,"&lt;"&amp;CONCATENATE($C$6,"/",B83),Proventos!$J:$J,"="&amp;$H$2),
$K$2=Data!$A$2,SUMIFS(Proventos!$H:$H,Proventos!$D:$D,"&gt;="&amp;CONCATENATE($N$6,"/",B82),Proventos!$D:$D,"&lt;"&amp;CONCATENATE($C$6,"/",B83)),
$K$2&lt;&gt;Data!$A$2,SUMIFS(Proventos!$H:$H,Proventos!$D:$D,"&gt;="&amp;CONCATENATE($N$6,"/",B82),Proventos!$D:$D,"&lt;"&amp;CONCATENATE($C$6,"/",B83),Proventos!$A:$A,"="&amp;$K$2))</f>
        <v>0</v>
      </c>
      <c r="O82" s="245"/>
      <c r="P82" s="245">
        <f t="shared" si="1"/>
        <v>0</v>
      </c>
      <c r="Q82" s="245">
        <f t="shared" si="2"/>
        <v>0</v>
      </c>
    </row>
    <row r="83" ht="32.25" customHeight="1">
      <c r="A83" s="230"/>
      <c r="B83" s="244"/>
      <c r="C83" s="245">
        <f>IFS(
AND($H$2=Data!$A$3,$K$2=Data!$A$2),SUMIFS(Proventos!$H:$H,Proventos!$D:$D,"&gt;="&amp;CONCATENATE($C$6,"/",B83),Proventos!$D:$D,"&lt;"&amp;CONCATENATE($D$6,"/",B83),Proventos!$J:$J,"="&amp;$H$2),
AND($H$2=Data!$A$4,$K$2=Data!$A$2),SUMIFS(Proventos!$H:$H,Proventos!$D:$D,"&gt;="&amp;CONCATENATE($C$6,"/",B83),Proventos!$D:$D,"&lt;"&amp;CONCATENATE($D$6,"/",B83),Proventos!$J:$J,"="&amp;$H$2),
AND($H$2=Data!$A$5,$K$2=Data!$A$2),SUMIFS(Proventos!$H:$H,Proventos!$D:$D,"&gt;="&amp;CONCATENATE($C$6,"/",B83),Proventos!$D:$D,"&lt;"&amp;CONCATENATE($D$6,"/",B83),Proventos!$J:$J,"="&amp;$H$2),
AND($H$2=Data!$A$6,$K$2=Data!$A$2),SUMIFS(Proventos!$H:$H,Proventos!$D:$D,"&gt;="&amp;CONCATENATE($C$6,"/",B83),Proventos!$D:$D,"&lt;"&amp;CONCATENATE($D$6,"/",B83),Proventos!$J:$J,"="&amp;$H$2),
AND($H$2=Data!$A$7,$K$2=Data!$A$2),SUMIFS(Proventos!$H:$H,Proventos!$D:$D,"&gt;="&amp;CONCATENATE($C$6,"/",B83),Proventos!$D:$D,"&lt;"&amp;CONCATENATE($D$6,"/",B83),Proventos!$J:$J,"="&amp;$H$2),
AND($H$2=Data!$A$8,$K$2=Data!$A$2),SUMIFS(Proventos!$H:$H,Proventos!$D:$D,"&gt;="&amp;CONCATENATE($C$6,"/",B83),Proventos!$D:$D,"&lt;"&amp;CONCATENATE($D$6,"/",B83),Proventos!$J:$J,"="&amp;$H$2),
AND($H$2=Data!$A$9,$K$2=Data!$A$2),SUMIFS(Proventos!$H:$H,Proventos!$D:$D,"&gt;="&amp;CONCATENATE($C$6,"/",B83),Proventos!$D:$D,"&lt;"&amp;CONCATENATE($D$6,"/",B83),Proventos!$J:$J,"="&amp;$H$2),
AND($H$2=Data!$A$10,$K$2=Data!$A$2),SUMIFS(Proventos!$H:$H,Proventos!$D:$D,"&gt;="&amp;CONCATENATE($C$6,"/",B83),Proventos!$D:$D,"&lt;"&amp;CONCATENATE($D$6,"/",B83),Proventos!$J:$J,"="&amp;$H$2),
AND($H$2=Data!$A$11,$K$2=Data!$A$2),SUMIFS(Proventos!$H:$H,Proventos!$D:$D,"&gt;="&amp;CONCATENATE($C$6,"/",B83),Proventos!$D:$D,"&lt;"&amp;CONCATENATE($D$6,"/",B83),Proventos!$J:$J,"="&amp;$H$2),
$K$2=Data!$A$2,SUMIFS(Proventos!$H:$H,Proventos!$D:$D,"&gt;="&amp;CONCATENATE($C$6,"/",B83),Proventos!$D:$D,"&lt;"&amp;CONCATENATE($D$6,"/",B83)),
$K$2&lt;&gt;Data!$A$2,SUMIFS(Proventos!$H:$H,Proventos!$D:$D,"&gt;="&amp;CONCATENATE($C$6,"/",B83),Proventos!$D:$D,"&lt;"&amp;CONCATENATE($D$6,"/",B83),Proventos!$A:$A,"="&amp;$K$2))</f>
        <v>0</v>
      </c>
      <c r="D83" s="245">
        <f>IFS(
AND($H$2=Data!$A$3,$K$2=Data!$A$2),SUMIFS(Proventos!$H:$H,Proventos!$D:$D,"&gt;="&amp;CONCATENATE($D$6,"/",B83),Proventos!$D:$D,"&lt;"&amp;CONCATENATE($E$6,"/",B83),Proventos!$J:$J,"="&amp;$H$2),
AND($H$2=Data!$A$4,$K$2=Data!$A$2),SUMIFS(Proventos!$H:$H,Proventos!$D:$D,"&gt;="&amp;CONCATENATE($D$6,"/",B83),Proventos!$D:$D,"&lt;"&amp;CONCATENATE($E$6,"/",B83),Proventos!$J:$J,"="&amp;$H$2),
AND($H$2=Data!$A$5,$K$2=Data!$A$2),SUMIFS(Proventos!$H:$H,Proventos!$D:$D,"&gt;="&amp;CONCATENATE($D$6,"/",B83),Proventos!$D:$D,"&lt;"&amp;CONCATENATE($E$6,"/",B83),Proventos!$J:$J,"="&amp;$H$2),
AND($H$2=Data!$A$6,$K$2=Data!$A$2),SUMIFS(Proventos!$H:$H,Proventos!$D:$D,"&gt;="&amp;CONCATENATE($D$6,"/",B83),Proventos!$D:$D,"&lt;"&amp;CONCATENATE($E$6,"/",B83),Proventos!$J:$J,"="&amp;$H$2),
AND($H$2=Data!$A$7,$K$2=Data!$A$2),SUMIFS(Proventos!$H:$H,Proventos!$D:$D,"&gt;="&amp;CONCATENATE($D$6,"/",B83),Proventos!$D:$D,"&lt;"&amp;CONCATENATE($E$6,"/",B83),Proventos!$J:$J,"="&amp;$H$2),
AND($H$2=Data!$A$8,$K$2=Data!$A$2),SUMIFS(Proventos!$H:$H,Proventos!$D:$D,"&gt;="&amp;CONCATENATE($D$6,"/",B83),Proventos!$D:$D,"&lt;"&amp;CONCATENATE($E$6,"/",B83),Proventos!$J:$J,"="&amp;$H$2),
AND($H$2=Data!$A$9,$K$2=Data!$A$2),SUMIFS(Proventos!$H:$H,Proventos!$D:$D,"&gt;="&amp;CONCATENATE($D$6,"/",B83),Proventos!$D:$D,"&lt;"&amp;CONCATENATE($E$6,"/",B83),Proventos!$J:$J,"="&amp;$H$2),
AND($H$2=Data!$A$10,$K$2=Data!$A$2),SUMIFS(Proventos!$H:$H,Proventos!$D:$D,"&gt;="&amp;CONCATENATE($D$6,"/",B83),Proventos!$D:$D,"&lt;"&amp;CONCATENATE($E$6,"/",B83),Proventos!$J:$J,"="&amp;$H$2),
AND($H$2=Data!$A$11,$K$2=Data!$A$2),SUMIFS(Proventos!$H:$H,Proventos!$D:$D,"&gt;="&amp;CONCATENATE($D$6,"/",B83),Proventos!$D:$D,"&lt;"&amp;CONCATENATE($E$6,"/",B83),Proventos!$J:$J,"="&amp;$H$2),
$K$2=Data!$A$2,SUMIFS(Proventos!$H:$H,Proventos!$D:$D,"&gt;="&amp;CONCATENATE($D$6,"/",B83),Proventos!$D:$D,"&lt;"&amp;CONCATENATE($E$6,"/",B83)),
$K$2&lt;&gt;Data!$A$2,SUMIFS(Proventos!$H:$H,Proventos!$D:$D,"&gt;="&amp;CONCATENATE($D$6,"/",B83),Proventos!$D:$D,"&lt;"&amp;CONCATENATE($E$6,"/",B83),Proventos!$A:$A,"="&amp;$K$2))</f>
        <v>0</v>
      </c>
      <c r="E83" s="245">
        <f>IFS(
AND($H$2=Data!$A$3,$K$2=Data!$A$2),SUMIFS(Proventos!$H:$H,Proventos!$D:$D,"&gt;="&amp;CONCATENATE($E$6,"/",B83),Proventos!$D:$D,"&lt;"&amp;CONCATENATE($F$6,"/",B83),Proventos!$J:$J,"="&amp;$H$2),
AND($H$2=Data!$A$4,$K$2=Data!$A$2),SUMIFS(Proventos!$H:$H,Proventos!$D:$D,"&gt;="&amp;CONCATENATE($E$6,"/",B83),Proventos!$D:$D,"&lt;"&amp;CONCATENATE($F$6,"/",B83),Proventos!$J:$J,"="&amp;$H$2),
AND($H$2=Data!$A$5,$K$2=Data!$A$2),SUMIFS(Proventos!$H:$H,Proventos!$D:$D,"&gt;="&amp;CONCATENATE($E$6,"/",B83),Proventos!$D:$D,"&lt;"&amp;CONCATENATE($F$6,"/",B83),Proventos!$J:$J,"="&amp;$H$2),
AND($H$2=Data!$A$6,$K$2=Data!$A$2),SUMIFS(Proventos!$H:$H,Proventos!$D:$D,"&gt;="&amp;CONCATENATE($E$6,"/",B83),Proventos!$D:$D,"&lt;"&amp;CONCATENATE($F$6,"/",B83),Proventos!$J:$J,"="&amp;$H$2),
AND($H$2=Data!$A$7,$K$2=Data!$A$2),SUMIFS(Proventos!$H:$H,Proventos!$D:$D,"&gt;="&amp;CONCATENATE($E$6,"/",B83),Proventos!$D:$D,"&lt;"&amp;CONCATENATE($F$6,"/",B83),Proventos!$J:$J,"="&amp;$H$2),
AND($H$2=Data!$A$8,$K$2=Data!$A$2),SUMIFS(Proventos!$H:$H,Proventos!$D:$D,"&gt;="&amp;CONCATENATE($E$6,"/",B83),Proventos!$D:$D,"&lt;"&amp;CONCATENATE($F$6,"/",B83),Proventos!$J:$J,"="&amp;$H$2),
AND($H$2=Data!$A$9,$K$2=Data!$A$2),SUMIFS(Proventos!$H:$H,Proventos!$D:$D,"&gt;="&amp;CONCATENATE($E$6,"/",B83),Proventos!$D:$D,"&lt;"&amp;CONCATENATE($F$6,"/",B83),Proventos!$J:$J,"="&amp;$H$2),
AND($H$2=Data!$A$10,$K$2=Data!$A$2),SUMIFS(Proventos!$H:$H,Proventos!$D:$D,"&gt;="&amp;CONCATENATE($E$6,"/",B83),Proventos!$D:$D,"&lt;"&amp;CONCATENATE($F$6,"/",B83),Proventos!$J:$J,"="&amp;$H$2),
AND($H$2=Data!$A$11,$K$2=Data!$A$2),SUMIFS(Proventos!$H:$H,Proventos!$D:$D,"&gt;="&amp;CONCATENATE($E$6,"/",B83),Proventos!$D:$D,"&lt;"&amp;CONCATENATE($F$6,"/",B83),Proventos!$J:$J,"="&amp;$H$2),
$K$2=Data!$A$2,SUMIFS(Proventos!$H:$H,Proventos!$D:$D,"&gt;="&amp;CONCATENATE($E$6,"/",B83),Proventos!$D:$D,"&lt;"&amp;CONCATENATE($F$6,"/",B83)),
$K$2&lt;&gt;Data!$A$2,SUMIFS(Proventos!$H:$H,Proventos!$D:$D,"&gt;="&amp;CONCATENATE($E$6,"/",B83),Proventos!$D:$D,"&lt;"&amp;CONCATENATE($F$6,"/",B83),Proventos!$A:$A,"="&amp;$K$2))</f>
        <v>0</v>
      </c>
      <c r="F83" s="245">
        <f>IFS(
AND($H$2=Data!$A$3,$K$2=Data!$A$2),SUMIFS(Proventos!$H:$H,Proventos!$D:$D,"&gt;="&amp;CONCATENATE($F$6,"/",B83),Proventos!$D:$D,"&lt;"&amp;CONCATENATE($G$6,"/",B83),Proventos!$J:$J,"="&amp;$H$2),
AND($H$2=Data!$A$4,$K$2=Data!$A$2),SUMIFS(Proventos!$H:$H,Proventos!$D:$D,"&gt;="&amp;CONCATENATE($F$6,"/",B83),Proventos!$D:$D,"&lt;"&amp;CONCATENATE($G$6,"/",B83),Proventos!$J:$J,"="&amp;$H$2),
AND($H$2=Data!$A$5,$K$2=Data!$A$2),SUMIFS(Proventos!$H:$H,Proventos!$D:$D,"&gt;="&amp;CONCATENATE($F$6,"/",B83),Proventos!$D:$D,"&lt;"&amp;CONCATENATE($G$6,"/",B83),Proventos!$J:$J,"="&amp;$H$2),
AND($H$2=Data!$A$6,$K$2=Data!$A$2),SUMIFS(Proventos!$H:$H,Proventos!$D:$D,"&gt;="&amp;CONCATENATE($F$6,"/",B83),Proventos!$D:$D,"&lt;"&amp;CONCATENATE($G$6,"/",B83),Proventos!$J:$J,"="&amp;$H$2),
AND($H$2=Data!$A$7,$K$2=Data!$A$2),SUMIFS(Proventos!$H:$H,Proventos!$D:$D,"&gt;="&amp;CONCATENATE($F$6,"/",B83),Proventos!$D:$D,"&lt;"&amp;CONCATENATE($G$6,"/",B83),Proventos!$J:$J,"="&amp;$H$2),
AND($H$2=Data!$A$8,$K$2=Data!$A$2),SUMIFS(Proventos!$H:$H,Proventos!$D:$D,"&gt;="&amp;CONCATENATE($F$6,"/",B83),Proventos!$D:$D,"&lt;"&amp;CONCATENATE($G$6,"/",B83),Proventos!$J:$J,"="&amp;$H$2),
AND($H$2=Data!$A$9,$K$2=Data!$A$2),SUMIFS(Proventos!$H:$H,Proventos!$D:$D,"&gt;="&amp;CONCATENATE($F$6,"/",B83),Proventos!$D:$D,"&lt;"&amp;CONCATENATE($G$6,"/",B83),Proventos!$J:$J,"="&amp;$H$2),
AND($H$2=Data!$A$10,$K$2=Data!$A$2),SUMIFS(Proventos!$H:$H,Proventos!$D:$D,"&gt;="&amp;CONCATENATE($F$6,"/",B83),Proventos!$D:$D,"&lt;"&amp;CONCATENATE($G$6,"/",B83),Proventos!$J:$J,"="&amp;$H$2),
AND($H$2=Data!$A$11,$K$2=Data!$A$2),SUMIFS(Proventos!$H:$H,Proventos!$D:$D,"&gt;="&amp;CONCATENATE($F$6,"/",B83),Proventos!$D:$D,"&lt;"&amp;CONCATENATE($G$6,"/",B83),Proventos!$J:$J,"="&amp;$H$2),
$K$2=Data!$A$2,SUMIFS(Proventos!$H:$H,Proventos!$D:$D,"&gt;="&amp;CONCATENATE($F$6,"/",B83),Proventos!$D:$D,"&lt;"&amp;CONCATENATE($G$6,"/",B83)),
$K$2&lt;&gt;Data!$A$2,SUMIFS(Proventos!$H:$H,Proventos!$D:$D,"&gt;="&amp;CONCATENATE($F$6,"/",B83),Proventos!$D:$D,"&lt;"&amp;CONCATENATE($G$6,"/",B83),Proventos!$A:$A,"="&amp;$K$2))</f>
        <v>0</v>
      </c>
      <c r="G83" s="245">
        <f>IFS(
AND($H$2=Data!$A$3,$K$2=Data!$A$2),SUMIFS(Proventos!$H:$H,Proventos!$D:$D,"&gt;="&amp;CONCATENATE($G$6,"/",B83),Proventos!$D:$D,"&lt;"&amp;CONCATENATE($H$6,"/",B83),Proventos!$J:$J,"="&amp;$H$2),
AND($H$2=Data!$A$4,$K$2=Data!$A$2),SUMIFS(Proventos!$H:$H,Proventos!$D:$D,"&gt;="&amp;CONCATENATE($G$6,"/",B83),Proventos!$D:$D,"&lt;"&amp;CONCATENATE($H$6,"/",B83),Proventos!$J:$J,"="&amp;$H$2),
AND($H$2=Data!$A$5,$K$2=Data!$A$2),SUMIFS(Proventos!$H:$H,Proventos!$D:$D,"&gt;="&amp;CONCATENATE($G$6,"/",B83),Proventos!$D:$D,"&lt;"&amp;CONCATENATE($H$6,"/",B83),Proventos!$J:$J,"="&amp;$H$2),
AND($H$2=Data!$A$6,$K$2=Data!$A$2),SUMIFS(Proventos!$H:$H,Proventos!$D:$D,"&gt;="&amp;CONCATENATE($G$6,"/",B83),Proventos!$D:$D,"&lt;"&amp;CONCATENATE($H$6,"/",B83),Proventos!$J:$J,"="&amp;$H$2),
AND($H$2=Data!$A$7,$K$2=Data!$A$2),SUMIFS(Proventos!$H:$H,Proventos!$D:$D,"&gt;="&amp;CONCATENATE($G$6,"/",B83),Proventos!$D:$D,"&lt;"&amp;CONCATENATE($H$6,"/",B83),Proventos!$J:$J,"="&amp;$H$2),
AND($H$2=Data!$A$8,$K$2=Data!$A$2),SUMIFS(Proventos!$H:$H,Proventos!$D:$D,"&gt;="&amp;CONCATENATE($G$6,"/",B83),Proventos!$D:$D,"&lt;"&amp;CONCATENATE($H$6,"/",B83),Proventos!$J:$J,"="&amp;$H$2),
AND($H$2=Data!$A$9,$K$2=Data!$A$2),SUMIFS(Proventos!$H:$H,Proventos!$D:$D,"&gt;="&amp;CONCATENATE($G$6,"/",B83),Proventos!$D:$D,"&lt;"&amp;CONCATENATE($H$6,"/",B83),Proventos!$J:$J,"="&amp;$H$2),
AND($H$2=Data!$A$10,$K$2=Data!$A$2),SUMIFS(Proventos!$H:$H,Proventos!$D:$D,"&gt;="&amp;CONCATENATE($G$6,"/",B83),Proventos!$D:$D,"&lt;"&amp;CONCATENATE($H$6,"/",B83),Proventos!$J:$J,"="&amp;$H$2),
AND($H$2=Data!$A$11,$K$2=Data!$A$2),SUMIFS(Proventos!$H:$H,Proventos!$D:$D,"&gt;="&amp;CONCATENATE($G$6,"/",B83),Proventos!$D:$D,"&lt;"&amp;CONCATENATE($H$6,"/",B83),Proventos!$J:$J,"="&amp;$H$2),
$K$2=Data!$A$2,SUMIFS(Proventos!$H:$H,Proventos!$D:$D,"&gt;="&amp;CONCATENATE($G$6,"/",B83),Proventos!$D:$D,"&lt;"&amp;CONCATENATE($H$6,"/",B83)),
$K$2&lt;&gt;Data!$A$2,SUMIFS(Proventos!$H:$H,Proventos!$D:$D,"&gt;="&amp;CONCATENATE($G$6,"/",B83),Proventos!$D:$D,"&lt;"&amp;CONCATENATE($H$6,"/",B83),Proventos!$A:$A,"="&amp;$K$2))</f>
        <v>0</v>
      </c>
      <c r="H83" s="245">
        <f>IFS(
AND($H$2=Data!$A$3,$K$2=Data!$A$2),SUMIFS(Proventos!$H:$H,Proventos!$D:$D,"&gt;="&amp;CONCATENATE($H$6,"/",B83),Proventos!$D:$D,"&lt;"&amp;CONCATENATE($I$6,"/",B83),Proventos!$J:$J,"="&amp;$H$2),
AND($H$2=Data!$A$4,$K$2=Data!$A$2),SUMIFS(Proventos!$H:$H,Proventos!$D:$D,"&gt;="&amp;CONCATENATE($H$6,"/",B83),Proventos!$D:$D,"&lt;"&amp;CONCATENATE($I$6,"/",B83),Proventos!$J:$J,"="&amp;$H$2),
AND($H$2=Data!$A$5,$K$2=Data!$A$2),SUMIFS(Proventos!$H:$H,Proventos!$D:$D,"&gt;="&amp;CONCATENATE($H$6,"/",B83),Proventos!$D:$D,"&lt;"&amp;CONCATENATE($I$6,"/",B83),Proventos!$J:$J,"="&amp;$H$2),
AND($H$2=Data!$A$6,$K$2=Data!$A$2),SUMIFS(Proventos!$H:$H,Proventos!$D:$D,"&gt;="&amp;CONCATENATE($H$6,"/",B83),Proventos!$D:$D,"&lt;"&amp;CONCATENATE($I$6,"/",B83),Proventos!$J:$J,"="&amp;$H$2),
AND($H$2=Data!$A$7,$K$2=Data!$A$2),SUMIFS(Proventos!$H:$H,Proventos!$D:$D,"&gt;="&amp;CONCATENATE($H$6,"/",B83),Proventos!$D:$D,"&lt;"&amp;CONCATENATE($I$6,"/",B83),Proventos!$J:$J,"="&amp;$H$2),
AND($H$2=Data!$A$8,$K$2=Data!$A$2),SUMIFS(Proventos!$H:$H,Proventos!$D:$D,"&gt;="&amp;CONCATENATE($H$6,"/",B83),Proventos!$D:$D,"&lt;"&amp;CONCATENATE($I$6,"/",B83),Proventos!$J:$J,"="&amp;$H$2),
AND($H$2=Data!$A$9,$K$2=Data!$A$2),SUMIFS(Proventos!$H:$H,Proventos!$D:$D,"&gt;="&amp;CONCATENATE($H$6,"/",B83),Proventos!$D:$D,"&lt;"&amp;CONCATENATE($I$6,"/",B83),Proventos!$J:$J,"="&amp;$H$2),
AND($H$2=Data!$A$10,$K$2=Data!$A$2),SUMIFS(Proventos!$H:$H,Proventos!$D:$D,"&gt;="&amp;CONCATENATE($H$6,"/",B83),Proventos!$D:$D,"&lt;"&amp;CONCATENATE($I$6,"/",B83),Proventos!$J:$J,"="&amp;$H$2),
AND($H$2=Data!$A$11,$K$2=Data!$A$2),SUMIFS(Proventos!$H:$H,Proventos!$D:$D,"&gt;="&amp;CONCATENATE($H$6,"/",B83),Proventos!$D:$D,"&lt;"&amp;CONCATENATE($I$6,"/",B83),Proventos!$J:$J,"="&amp;$H$2),
$K$2=Data!$A$2,SUMIFS(Proventos!$H:$H,Proventos!$D:$D,"&gt;="&amp;CONCATENATE($H$6,"/",B83),Proventos!$D:$D,"&lt;"&amp;CONCATENATE($I$6,"/",B83)),
$K$2&lt;&gt;Data!$A$2,SUMIFS(Proventos!$H:$H,Proventos!$D:$D,"&gt;="&amp;CONCATENATE($H$6,"/",B83),Proventos!$D:$D,"&lt;"&amp;CONCATENATE($I$6,"/",B83),Proventos!$A:$A,"="&amp;$K$2))</f>
        <v>0</v>
      </c>
      <c r="I83" s="245">
        <f>IFS(
AND($H$2=Data!$A$3,$K$2=Data!$A$2),SUMIFS(Proventos!$H:$H,Proventos!$D:$D,"&gt;="&amp;CONCATENATE($I$6,"/",B83),Proventos!$D:$D,"&lt;"&amp;CONCATENATE($J$6,"/",B83),Proventos!$J:$J,"="&amp;$H$2),
AND($H$2=Data!$A$4,$K$2=Data!$A$2),SUMIFS(Proventos!$H:$H,Proventos!$D:$D,"&gt;="&amp;CONCATENATE($I$6,"/",B83),Proventos!$D:$D,"&lt;"&amp;CONCATENATE($J$6,"/",B83),Proventos!$J:$J,"="&amp;$H$2),
AND($H$2=Data!$A$5,$K$2=Data!$A$2),SUMIFS(Proventos!$H:$H,Proventos!$D:$D,"&gt;="&amp;CONCATENATE($I$6,"/",B83),Proventos!$D:$D,"&lt;"&amp;CONCATENATE($J$6,"/",B83),Proventos!$J:$J,"="&amp;$H$2),
AND($H$2=Data!$A$6,$K$2=Data!$A$2),SUMIFS(Proventos!$H:$H,Proventos!$D:$D,"&gt;="&amp;CONCATENATE($I$6,"/",B83),Proventos!$D:$D,"&lt;"&amp;CONCATENATE($J$6,"/",B83),Proventos!$J:$J,"="&amp;$H$2),
AND($H$2=Data!$A$7,$K$2=Data!$A$2),SUMIFS(Proventos!$H:$H,Proventos!$D:$D,"&gt;="&amp;CONCATENATE($I$6,"/",B83),Proventos!$D:$D,"&lt;"&amp;CONCATENATE($J$6,"/",B83),Proventos!$J:$J,"="&amp;$H$2),
AND($H$2=Data!$A$8,$K$2=Data!$A$2),SUMIFS(Proventos!$H:$H,Proventos!$D:$D,"&gt;="&amp;CONCATENATE($I$6,"/",B83),Proventos!$D:$D,"&lt;"&amp;CONCATENATE($J$6,"/",B83),Proventos!$J:$J,"="&amp;$H$2),
AND($H$2=Data!$A$9,$K$2=Data!$A$2),SUMIFS(Proventos!$H:$H,Proventos!$D:$D,"&gt;="&amp;CONCATENATE($I$6,"/",B83),Proventos!$D:$D,"&lt;"&amp;CONCATENATE($J$6,"/",B83),Proventos!$J:$J,"="&amp;$H$2),
AND($H$2=Data!$A$10,$K$2=Data!$A$2),SUMIFS(Proventos!$H:$H,Proventos!$D:$D,"&gt;="&amp;CONCATENATE($I$6,"/",B83),Proventos!$D:$D,"&lt;"&amp;CONCATENATE($J$6,"/",B83),Proventos!$J:$J,"="&amp;$H$2),
AND($H$2=Data!$A$11,$K$2=Data!$A$2),SUMIFS(Proventos!$H:$H,Proventos!$D:$D,"&gt;="&amp;CONCATENATE($I$6,"/",B83),Proventos!$D:$D,"&lt;"&amp;CONCATENATE($J$6,"/",B83),Proventos!$J:$J,"="&amp;$H$2),
$K$2=Data!$A$2,SUMIFS(Proventos!$H:$H,Proventos!$D:$D,"&gt;="&amp;CONCATENATE($I$6,"/",B83),Proventos!$D:$D,"&lt;"&amp;CONCATENATE($J$6,"/",B83)),
$K$2&lt;&gt;Data!$A$2,SUMIFS(Proventos!$H:$H,Proventos!$D:$D,"&gt;="&amp;CONCATENATE($I$6,"/",B83),Proventos!$D:$D,"&lt;"&amp;CONCATENATE($J$6,"/",B83),Proventos!$A:$A,"="&amp;$K$2))</f>
        <v>0</v>
      </c>
      <c r="J83" s="245">
        <f>IFS(
AND($H$2=Data!$A$3,$K$2=Data!$A$2),SUMIFS(Proventos!$H:$H,Proventos!$D:$D,"&gt;="&amp;CONCATENATE($J$6,"/",B83),Proventos!$D:$D,"&lt;"&amp;CONCATENATE($K$6,"/",B83),Proventos!$J:$J,"="&amp;$H$2),
AND($H$2=Data!$A$4,$K$2=Data!$A$2),SUMIFS(Proventos!$H:$H,Proventos!$D:$D,"&gt;="&amp;CONCATENATE($J$6,"/",B83),Proventos!$D:$D,"&lt;"&amp;CONCATENATE($K$6,"/",B83),Proventos!$J:$J,"="&amp;$H$2),
AND($H$2=Data!$A$5,$K$2=Data!$A$2),SUMIFS(Proventos!$H:$H,Proventos!$D:$D,"&gt;="&amp;CONCATENATE($J$6,"/",B83),Proventos!$D:$D,"&lt;"&amp;CONCATENATE($K$6,"/",B83),Proventos!$J:$J,"="&amp;$H$2),
AND($H$2=Data!$A$6,$K$2=Data!$A$2),SUMIFS(Proventos!$H:$H,Proventos!$D:$D,"&gt;="&amp;CONCATENATE($J$6,"/",B83),Proventos!$D:$D,"&lt;"&amp;CONCATENATE($K$6,"/",B83),Proventos!$J:$J,"="&amp;$H$2),
AND($H$2=Data!$A$7,$K$2=Data!$A$2),SUMIFS(Proventos!$H:$H,Proventos!$D:$D,"&gt;="&amp;CONCATENATE($J$6,"/",B83),Proventos!$D:$D,"&lt;"&amp;CONCATENATE($K$6,"/",B83),Proventos!$J:$J,"="&amp;$H$2),
AND($H$2=Data!$A$8,$K$2=Data!$A$2),SUMIFS(Proventos!$H:$H,Proventos!$D:$D,"&gt;="&amp;CONCATENATE($J$6,"/",B83),Proventos!$D:$D,"&lt;"&amp;CONCATENATE($K$6,"/",B83),Proventos!$J:$J,"="&amp;$H$2),
AND($H$2=Data!$A$9,$K$2=Data!$A$2),SUMIFS(Proventos!$H:$H,Proventos!$D:$D,"&gt;="&amp;CONCATENATE($J$6,"/",B83),Proventos!$D:$D,"&lt;"&amp;CONCATENATE($K$6,"/",B83),Proventos!$J:$J,"="&amp;$H$2),
AND($H$2=Data!$A$10,$K$2=Data!$A$2),SUMIFS(Proventos!$H:$H,Proventos!$D:$D,"&gt;="&amp;CONCATENATE($J$6,"/",B83),Proventos!$D:$D,"&lt;"&amp;CONCATENATE($K$6,"/",B83),Proventos!$J:$J,"="&amp;$H$2),
AND($H$2=Data!$A$11,$K$2=Data!$A$2),SUMIFS(Proventos!$H:$H,Proventos!$D:$D,"&gt;="&amp;CONCATENATE($J$6,"/",B83),Proventos!$D:$D,"&lt;"&amp;CONCATENATE($K$6,"/",B83),Proventos!$J:$J,"="&amp;$H$2),
$K$2=Data!$A$2,SUMIFS(Proventos!$H:$H,Proventos!$D:$D,"&gt;="&amp;CONCATENATE($J$6,"/",B83),Proventos!$D:$D,"&lt;"&amp;CONCATENATE($K$6,"/",B83)),
$K$2&lt;&gt;Data!$A$2,SUMIFS(Proventos!$H:$H,Proventos!$D:$D,"&gt;="&amp;CONCATENATE($J$6,"/",B83),Proventos!$D:$D,"&lt;"&amp;CONCATENATE($K$6,"/",B83),Proventos!$A:$A,"="&amp;$K$2))</f>
        <v>0</v>
      </c>
      <c r="K83" s="245">
        <f>IFS(
AND($H$2=Data!$A$3,$K$2=Data!$A$2),SUMIFS(Proventos!$H:$H,Proventos!$D:$D,"&gt;="&amp;CONCATENATE($K$6,"/",B83),Proventos!$D:$D,"&lt;"&amp;CONCATENATE($L$6,"/",B83),Proventos!$J:$J,"="&amp;$H$2),
AND($H$2=Data!$A$4,$K$2=Data!$A$2),SUMIFS(Proventos!$H:$H,Proventos!$D:$D,"&gt;="&amp;CONCATENATE($K$6,"/",B83),Proventos!$D:$D,"&lt;"&amp;CONCATENATE($L$6,"/",B83),Proventos!$J:$J,"="&amp;$H$2),
AND($H$2=Data!$A$5,$K$2=Data!$A$2),SUMIFS(Proventos!$H:$H,Proventos!$D:$D,"&gt;="&amp;CONCATENATE($K$6,"/",B83),Proventos!$D:$D,"&lt;"&amp;CONCATENATE($L$6,"/",B83),Proventos!$J:$J,"="&amp;$H$2),
AND($H$2=Data!$A$6,$K$2=Data!$A$2),SUMIFS(Proventos!$H:$H,Proventos!$D:$D,"&gt;="&amp;CONCATENATE($K$6,"/",B83),Proventos!$D:$D,"&lt;"&amp;CONCATENATE($L$6,"/",B83),Proventos!$J:$J,"="&amp;$H$2),
AND($H$2=Data!$A$7,$K$2=Data!$A$2),SUMIFS(Proventos!$H:$H,Proventos!$D:$D,"&gt;="&amp;CONCATENATE($K$6,"/",B83),Proventos!$D:$D,"&lt;"&amp;CONCATENATE($L$6,"/",B83),Proventos!$J:$J,"="&amp;$H$2),
AND($H$2=Data!$A$8,$K$2=Data!$A$2),SUMIFS(Proventos!$H:$H,Proventos!$D:$D,"&gt;="&amp;CONCATENATE($K$6,"/",B83),Proventos!$D:$D,"&lt;"&amp;CONCATENATE($L$6,"/",B83),Proventos!$J:$J,"="&amp;$H$2),
AND($H$2=Data!$A$9,$K$2=Data!$A$2),SUMIFS(Proventos!$H:$H,Proventos!$D:$D,"&gt;="&amp;CONCATENATE($K$6,"/",B83),Proventos!$D:$D,"&lt;"&amp;CONCATENATE($L$6,"/",B83),Proventos!$J:$J,"="&amp;$H$2),
AND($H$2=Data!$A$10,$K$2=Data!$A$2),SUMIFS(Proventos!$H:$H,Proventos!$D:$D,"&gt;="&amp;CONCATENATE($K$6,"/",B83),Proventos!$D:$D,"&lt;"&amp;CONCATENATE($L$6,"/",B83),Proventos!$J:$J,"="&amp;$H$2),
AND($H$2=Data!$A$11,$K$2=Data!$A$2),SUMIFS(Proventos!$H:$H,Proventos!$D:$D,"&gt;="&amp;CONCATENATE($K$6,"/",B83),Proventos!$D:$D,"&lt;"&amp;CONCATENATE($L$6,"/",B83),Proventos!$J:$J,"="&amp;$H$2),
$K$2=Data!$A$2,SUMIFS(Proventos!$H:$H,Proventos!$D:$D,"&gt;="&amp;CONCATENATE($K$6,"/",B83),Proventos!$D:$D,"&lt;"&amp;CONCATENATE($L$6,"/",B83)),
$K$2&lt;&gt;Data!$A$2,SUMIFS(Proventos!$H:$H,Proventos!$D:$D,"&gt;="&amp;CONCATENATE($K$6,"/",B83),Proventos!$D:$D,"&lt;"&amp;CONCATENATE($L$6,"/",B83),Proventos!$A:$A,"="&amp;$K$2))</f>
        <v>0</v>
      </c>
      <c r="L83" s="245">
        <f>IFS(
AND($H$2=Data!$A$3,$K$2=Data!$A$2),SUMIFS(Proventos!$H:$H,Proventos!$D:$D,"&gt;="&amp;CONCATENATE($L$6,"/",B83),Proventos!$D:$D,"&lt;"&amp;CONCATENATE($M$6,"/",B83),Proventos!$J:$J,"="&amp;$H$2),
AND($H$2=Data!$A$4,$K$2=Data!$A$2),SUMIFS(Proventos!$H:$H,Proventos!$D:$D,"&gt;="&amp;CONCATENATE($L$6,"/",B83),Proventos!$D:$D,"&lt;"&amp;CONCATENATE($M$6,"/",B83),Proventos!$J:$J,"="&amp;$H$2),
AND($H$2=Data!$A$5,$K$2=Data!$A$2),SUMIFS(Proventos!$H:$H,Proventos!$D:$D,"&gt;="&amp;CONCATENATE($L$6,"/",B83),Proventos!$D:$D,"&lt;"&amp;CONCATENATE($M$6,"/",B83),Proventos!$J:$J,"="&amp;$H$2),
AND($H$2=Data!$A$6,$K$2=Data!$A$2),SUMIFS(Proventos!$H:$H,Proventos!$D:$D,"&gt;="&amp;CONCATENATE($L$6,"/",B83),Proventos!$D:$D,"&lt;"&amp;CONCATENATE($M$6,"/",B83),Proventos!$J:$J,"="&amp;$H$2),
AND($H$2=Data!$A$7,$K$2=Data!$A$2),SUMIFS(Proventos!$H:$H,Proventos!$D:$D,"&gt;="&amp;CONCATENATE($L$6,"/",B83),Proventos!$D:$D,"&lt;"&amp;CONCATENATE($M$6,"/",B83),Proventos!$J:$J,"="&amp;$H$2),
AND($H$2=Data!$A$8,$K$2=Data!$A$2),SUMIFS(Proventos!$H:$H,Proventos!$D:$D,"&gt;="&amp;CONCATENATE($L$6,"/",B83),Proventos!$D:$D,"&lt;"&amp;CONCATENATE($M$6,"/",B83),Proventos!$J:$J,"="&amp;$H$2),
AND($H$2=Data!$A$9,$K$2=Data!$A$2),SUMIFS(Proventos!$H:$H,Proventos!$D:$D,"&gt;="&amp;CONCATENATE($L$6,"/",B83),Proventos!$D:$D,"&lt;"&amp;CONCATENATE($M$6,"/",B83),Proventos!$J:$J,"="&amp;$H$2),
AND($H$2=Data!$A$10,$K$2=Data!$A$2),SUMIFS(Proventos!$H:$H,Proventos!$D:$D,"&gt;="&amp;CONCATENATE($L$6,"/",B83),Proventos!$D:$D,"&lt;"&amp;CONCATENATE($M$6,"/",B83),Proventos!$J:$J,"="&amp;$H$2),
AND($H$2=Data!$A$11,$K$2=Data!$A$2),SUMIFS(Proventos!$H:$H,Proventos!$D:$D,"&gt;="&amp;CONCATENATE($L$6,"/",B83),Proventos!$D:$D,"&lt;"&amp;CONCATENATE($M$6,"/",B83),Proventos!$J:$J,"="&amp;$H$2),
$K$2=Data!$A$2,SUMIFS(Proventos!$H:$H,Proventos!$D:$D,"&gt;="&amp;CONCATENATE($L$6,"/",B83),Proventos!$D:$D,"&lt;"&amp;CONCATENATE($M$6,"/",B83)),
$K$2&lt;&gt;Data!$A$2,SUMIFS(Proventos!$H:$H,Proventos!$D:$D,"&gt;="&amp;CONCATENATE($L$6,"/",B83),Proventos!$D:$D,"&lt;"&amp;CONCATENATE($M$6,"/",B83),Proventos!$A:$A,"="&amp;$K$2))</f>
        <v>0</v>
      </c>
      <c r="M83" s="245">
        <f>IFS(
AND($H$2=Data!$A$3,$K$2=Data!$A$2),SUMIFS(Proventos!$H:$H,Proventos!$D:$D,"&gt;="&amp;CONCATENATE($M$6,"/",B83),Proventos!$D:$D,"&lt;"&amp;CONCATENATE($N$6,"/",B83),Proventos!$J:$J,"="&amp;$H$2),
AND($H$2=Data!$A$4,$K$2=Data!$A$2),SUMIFS(Proventos!$H:$H,Proventos!$D:$D,"&gt;="&amp;CONCATENATE($M$6,"/",B83),Proventos!$D:$D,"&lt;"&amp;CONCATENATE($N$6,"/",B83),Proventos!$J:$J,"="&amp;$H$2),
AND($H$2=Data!$A$5,$K$2=Data!$A$2),SUMIFS(Proventos!$H:$H,Proventos!$D:$D,"&gt;="&amp;CONCATENATE($M$6,"/",B83),Proventos!$D:$D,"&lt;"&amp;CONCATENATE($N$6,"/",B83),Proventos!$J:$J,"="&amp;$H$2),
AND($H$2=Data!$A$6,$K$2=Data!$A$2),SUMIFS(Proventos!$H:$H,Proventos!$D:$D,"&gt;="&amp;CONCATENATE($M$6,"/",B83),Proventos!$D:$D,"&lt;"&amp;CONCATENATE($N$6,"/",B83),Proventos!$J:$J,"="&amp;$H$2),
AND($H$2=Data!$A$7,$K$2=Data!$A$2),SUMIFS(Proventos!$H:$H,Proventos!$D:$D,"&gt;="&amp;CONCATENATE($M$6,"/",B83),Proventos!$D:$D,"&lt;"&amp;CONCATENATE($N$6,"/",B83),Proventos!$J:$J,"="&amp;$H$2),
AND($H$2=Data!$A$8,$K$2=Data!$A$2),SUMIFS(Proventos!$H:$H,Proventos!$D:$D,"&gt;="&amp;CONCATENATE($M$6,"/",B83),Proventos!$D:$D,"&lt;"&amp;CONCATENATE($N$6,"/",B83),Proventos!$J:$J,"="&amp;$H$2),
AND($H$2=Data!$A$9,$K$2=Data!$A$2),SUMIFS(Proventos!$H:$H,Proventos!$D:$D,"&gt;="&amp;CONCATENATE($M$6,"/",B83),Proventos!$D:$D,"&lt;"&amp;CONCATENATE($N$6,"/",B83),Proventos!$J:$J,"="&amp;$H$2),
AND($H$2=Data!$A$10,$K$2=Data!$A$2),SUMIFS(Proventos!$H:$H,Proventos!$D:$D,"&gt;="&amp;CONCATENATE($M$6,"/",B83),Proventos!$D:$D,"&lt;"&amp;CONCATENATE($N$6,"/",B83),Proventos!$J:$J,"="&amp;$H$2),
AND($H$2=Data!$A$11,$K$2=Data!$A$2),SUMIFS(Proventos!$H:$H,Proventos!$D:$D,"&gt;="&amp;CONCATENATE($M$6,"/",B83),Proventos!$D:$D,"&lt;"&amp;CONCATENATE($N$6,"/",B83),Proventos!$J:$J,"="&amp;$H$2),
$K$2=Data!$A$2,SUMIFS(Proventos!$H:$H,Proventos!$D:$D,"&gt;="&amp;CONCATENATE($M$6,"/",B83),Proventos!$D:$D,"&lt;"&amp;CONCATENATE($N$6,"/",B83)),
$K$2&lt;&gt;Data!$A$2,SUMIFS(Proventos!$H:$H,Proventos!$D:$D,"&gt;="&amp;CONCATENATE($M$6,"/",B83),Proventos!$D:$D,"&lt;"&amp;CONCATENATE($N$6,"/",B83),Proventos!$A:$A,"="&amp;$K$2))</f>
        <v>0</v>
      </c>
      <c r="N83" s="245">
        <f>IFS(
AND($H$2=Data!$A$3,$K$2=Data!$A$2),SUMIFS(Proventos!$H:$H,Proventos!$D:$D,"&gt;="&amp;CONCATENATE($N$6,"/",B83),Proventos!$D:$D,"&lt;"&amp;CONCATENATE($C$6,"/",B84),Proventos!$J:$J,"="&amp;$H$2),
AND($H$2=Data!$A$4,$K$2=Data!$A$2),SUMIFS(Proventos!$H:$H,Proventos!$D:$D,"&gt;="&amp;CONCATENATE($N$6,"/",B83),Proventos!$D:$D,"&lt;"&amp;CONCATENATE($C$6,"/",B84),Proventos!$J:$J,"="&amp;$H$2),
AND($H$2=Data!$A$5,$K$2=Data!$A$2),SUMIFS(Proventos!$H:$H,Proventos!$D:$D,"&gt;="&amp;CONCATENATE($N$6,"/",B83),Proventos!$D:$D,"&lt;"&amp;CONCATENATE($C$6,"/",B84),Proventos!$J:$J,"="&amp;$H$2),
AND($H$2=Data!$A$6,$K$2=Data!$A$2),SUMIFS(Proventos!$H:$H,Proventos!$D:$D,"&gt;="&amp;CONCATENATE($N$6,"/",B83),Proventos!$D:$D,"&lt;"&amp;CONCATENATE($C$6,"/",B84),Proventos!$J:$J,"="&amp;$H$2),
AND($H$2=Data!$A$7,$K$2=Data!$A$2),SUMIFS(Proventos!$H:$H,Proventos!$D:$D,"&gt;="&amp;CONCATENATE($N$6,"/",B83),Proventos!$D:$D,"&lt;"&amp;CONCATENATE($C$6,"/",B84),Proventos!$J:$J,"="&amp;$H$2),
AND($H$2=Data!$A$8,$K$2=Data!$A$2),SUMIFS(Proventos!$H:$H,Proventos!$D:$D,"&gt;="&amp;CONCATENATE($N$6,"/",B83),Proventos!$D:$D,"&lt;"&amp;CONCATENATE($C$6,"/",B84),Proventos!$J:$J,"="&amp;$H$2),
AND($H$2=Data!$A$9,$K$2=Data!$A$2),SUMIFS(Proventos!$H:$H,Proventos!$D:$D,"&gt;="&amp;CONCATENATE($N$6,"/",B83),Proventos!$D:$D,"&lt;"&amp;CONCATENATE($C$6,"/",B84),Proventos!$J:$J,"="&amp;$H$2),
AND($H$2=Data!$A$10,$K$2=Data!$A$2),SUMIFS(Proventos!$H:$H,Proventos!$D:$D,"&gt;="&amp;CONCATENATE($N$6,"/",B83),Proventos!$D:$D,"&lt;"&amp;CONCATENATE($C$6,"/",B84),Proventos!$J:$J,"="&amp;$H$2),
AND($H$2=Data!$A$11,$K$2=Data!$A$2),SUMIFS(Proventos!$H:$H,Proventos!$D:$D,"&gt;="&amp;CONCATENATE($N$6,"/",B83),Proventos!$D:$D,"&lt;"&amp;CONCATENATE($C$6,"/",B84),Proventos!$J:$J,"="&amp;$H$2),
$K$2=Data!$A$2,SUMIFS(Proventos!$H:$H,Proventos!$D:$D,"&gt;="&amp;CONCATENATE($N$6,"/",B83),Proventos!$D:$D,"&lt;"&amp;CONCATENATE($C$6,"/",B84)),
$K$2&lt;&gt;Data!$A$2,SUMIFS(Proventos!$H:$H,Proventos!$D:$D,"&gt;="&amp;CONCATENATE($N$6,"/",B83),Proventos!$D:$D,"&lt;"&amp;CONCATENATE($C$6,"/",B84),Proventos!$A:$A,"="&amp;$K$2))</f>
        <v>0</v>
      </c>
      <c r="O83" s="245"/>
      <c r="P83" s="245">
        <f t="shared" si="1"/>
        <v>0</v>
      </c>
      <c r="Q83" s="245">
        <f t="shared" si="2"/>
        <v>0</v>
      </c>
    </row>
    <row r="84" ht="32.25" customHeight="1">
      <c r="A84" s="230"/>
      <c r="B84" s="244"/>
      <c r="C84" s="245">
        <f>IFS(
AND($H$2=Data!$A$3,$K$2=Data!$A$2),SUMIFS(Proventos!$H:$H,Proventos!$D:$D,"&gt;="&amp;CONCATENATE($C$6,"/",B84),Proventos!$D:$D,"&lt;"&amp;CONCATENATE($D$6,"/",B84),Proventos!$J:$J,"="&amp;$H$2),
AND($H$2=Data!$A$4,$K$2=Data!$A$2),SUMIFS(Proventos!$H:$H,Proventos!$D:$D,"&gt;="&amp;CONCATENATE($C$6,"/",B84),Proventos!$D:$D,"&lt;"&amp;CONCATENATE($D$6,"/",B84),Proventos!$J:$J,"="&amp;$H$2),
AND($H$2=Data!$A$5,$K$2=Data!$A$2),SUMIFS(Proventos!$H:$H,Proventos!$D:$D,"&gt;="&amp;CONCATENATE($C$6,"/",B84),Proventos!$D:$D,"&lt;"&amp;CONCATENATE($D$6,"/",B84),Proventos!$J:$J,"="&amp;$H$2),
AND($H$2=Data!$A$6,$K$2=Data!$A$2),SUMIFS(Proventos!$H:$H,Proventos!$D:$D,"&gt;="&amp;CONCATENATE($C$6,"/",B84),Proventos!$D:$D,"&lt;"&amp;CONCATENATE($D$6,"/",B84),Proventos!$J:$J,"="&amp;$H$2),
AND($H$2=Data!$A$7,$K$2=Data!$A$2),SUMIFS(Proventos!$H:$H,Proventos!$D:$D,"&gt;="&amp;CONCATENATE($C$6,"/",B84),Proventos!$D:$D,"&lt;"&amp;CONCATENATE($D$6,"/",B84),Proventos!$J:$J,"="&amp;$H$2),
AND($H$2=Data!$A$8,$K$2=Data!$A$2),SUMIFS(Proventos!$H:$H,Proventos!$D:$D,"&gt;="&amp;CONCATENATE($C$6,"/",B84),Proventos!$D:$D,"&lt;"&amp;CONCATENATE($D$6,"/",B84),Proventos!$J:$J,"="&amp;$H$2),
AND($H$2=Data!$A$9,$K$2=Data!$A$2),SUMIFS(Proventos!$H:$H,Proventos!$D:$D,"&gt;="&amp;CONCATENATE($C$6,"/",B84),Proventos!$D:$D,"&lt;"&amp;CONCATENATE($D$6,"/",B84),Proventos!$J:$J,"="&amp;$H$2),
AND($H$2=Data!$A$10,$K$2=Data!$A$2),SUMIFS(Proventos!$H:$H,Proventos!$D:$D,"&gt;="&amp;CONCATENATE($C$6,"/",B84),Proventos!$D:$D,"&lt;"&amp;CONCATENATE($D$6,"/",B84),Proventos!$J:$J,"="&amp;$H$2),
AND($H$2=Data!$A$11,$K$2=Data!$A$2),SUMIFS(Proventos!$H:$H,Proventos!$D:$D,"&gt;="&amp;CONCATENATE($C$6,"/",B84),Proventos!$D:$D,"&lt;"&amp;CONCATENATE($D$6,"/",B84),Proventos!$J:$J,"="&amp;$H$2),
$K$2=Data!$A$2,SUMIFS(Proventos!$H:$H,Proventos!$D:$D,"&gt;="&amp;CONCATENATE($C$6,"/",B84),Proventos!$D:$D,"&lt;"&amp;CONCATENATE($D$6,"/",B84)),
$K$2&lt;&gt;Data!$A$2,SUMIFS(Proventos!$H:$H,Proventos!$D:$D,"&gt;="&amp;CONCATENATE($C$6,"/",B84),Proventos!$D:$D,"&lt;"&amp;CONCATENATE($D$6,"/",B84),Proventos!$A:$A,"="&amp;$K$2))</f>
        <v>0</v>
      </c>
      <c r="D84" s="245">
        <f>IFS(
AND($H$2=Data!$A$3,$K$2=Data!$A$2),SUMIFS(Proventos!$H:$H,Proventos!$D:$D,"&gt;="&amp;CONCATENATE($D$6,"/",B84),Proventos!$D:$D,"&lt;"&amp;CONCATENATE($E$6,"/",B84),Proventos!$J:$J,"="&amp;$H$2),
AND($H$2=Data!$A$4,$K$2=Data!$A$2),SUMIFS(Proventos!$H:$H,Proventos!$D:$D,"&gt;="&amp;CONCATENATE($D$6,"/",B84),Proventos!$D:$D,"&lt;"&amp;CONCATENATE($E$6,"/",B84),Proventos!$J:$J,"="&amp;$H$2),
AND($H$2=Data!$A$5,$K$2=Data!$A$2),SUMIFS(Proventos!$H:$H,Proventos!$D:$D,"&gt;="&amp;CONCATENATE($D$6,"/",B84),Proventos!$D:$D,"&lt;"&amp;CONCATENATE($E$6,"/",B84),Proventos!$J:$J,"="&amp;$H$2),
AND($H$2=Data!$A$6,$K$2=Data!$A$2),SUMIFS(Proventos!$H:$H,Proventos!$D:$D,"&gt;="&amp;CONCATENATE($D$6,"/",B84),Proventos!$D:$D,"&lt;"&amp;CONCATENATE($E$6,"/",B84),Proventos!$J:$J,"="&amp;$H$2),
AND($H$2=Data!$A$7,$K$2=Data!$A$2),SUMIFS(Proventos!$H:$H,Proventos!$D:$D,"&gt;="&amp;CONCATENATE($D$6,"/",B84),Proventos!$D:$D,"&lt;"&amp;CONCATENATE($E$6,"/",B84),Proventos!$J:$J,"="&amp;$H$2),
AND($H$2=Data!$A$8,$K$2=Data!$A$2),SUMIFS(Proventos!$H:$H,Proventos!$D:$D,"&gt;="&amp;CONCATENATE($D$6,"/",B84),Proventos!$D:$D,"&lt;"&amp;CONCATENATE($E$6,"/",B84),Proventos!$J:$J,"="&amp;$H$2),
AND($H$2=Data!$A$9,$K$2=Data!$A$2),SUMIFS(Proventos!$H:$H,Proventos!$D:$D,"&gt;="&amp;CONCATENATE($D$6,"/",B84),Proventos!$D:$D,"&lt;"&amp;CONCATENATE($E$6,"/",B84),Proventos!$J:$J,"="&amp;$H$2),
AND($H$2=Data!$A$10,$K$2=Data!$A$2),SUMIFS(Proventos!$H:$H,Proventos!$D:$D,"&gt;="&amp;CONCATENATE($D$6,"/",B84),Proventos!$D:$D,"&lt;"&amp;CONCATENATE($E$6,"/",B84),Proventos!$J:$J,"="&amp;$H$2),
AND($H$2=Data!$A$11,$K$2=Data!$A$2),SUMIFS(Proventos!$H:$H,Proventos!$D:$D,"&gt;="&amp;CONCATENATE($D$6,"/",B84),Proventos!$D:$D,"&lt;"&amp;CONCATENATE($E$6,"/",B84),Proventos!$J:$J,"="&amp;$H$2),
$K$2=Data!$A$2,SUMIFS(Proventos!$H:$H,Proventos!$D:$D,"&gt;="&amp;CONCATENATE($D$6,"/",B84),Proventos!$D:$D,"&lt;"&amp;CONCATENATE($E$6,"/",B84)),
$K$2&lt;&gt;Data!$A$2,SUMIFS(Proventos!$H:$H,Proventos!$D:$D,"&gt;="&amp;CONCATENATE($D$6,"/",B84),Proventos!$D:$D,"&lt;"&amp;CONCATENATE($E$6,"/",B84),Proventos!$A:$A,"="&amp;$K$2))</f>
        <v>0</v>
      </c>
      <c r="E84" s="245">
        <f>IFS(
AND($H$2=Data!$A$3,$K$2=Data!$A$2),SUMIFS(Proventos!$H:$H,Proventos!$D:$D,"&gt;="&amp;CONCATENATE($E$6,"/",B84),Proventos!$D:$D,"&lt;"&amp;CONCATENATE($F$6,"/",B84),Proventos!$J:$J,"="&amp;$H$2),
AND($H$2=Data!$A$4,$K$2=Data!$A$2),SUMIFS(Proventos!$H:$H,Proventos!$D:$D,"&gt;="&amp;CONCATENATE($E$6,"/",B84),Proventos!$D:$D,"&lt;"&amp;CONCATENATE($F$6,"/",B84),Proventos!$J:$J,"="&amp;$H$2),
AND($H$2=Data!$A$5,$K$2=Data!$A$2),SUMIFS(Proventos!$H:$H,Proventos!$D:$D,"&gt;="&amp;CONCATENATE($E$6,"/",B84),Proventos!$D:$D,"&lt;"&amp;CONCATENATE($F$6,"/",B84),Proventos!$J:$J,"="&amp;$H$2),
AND($H$2=Data!$A$6,$K$2=Data!$A$2),SUMIFS(Proventos!$H:$H,Proventos!$D:$D,"&gt;="&amp;CONCATENATE($E$6,"/",B84),Proventos!$D:$D,"&lt;"&amp;CONCATENATE($F$6,"/",B84),Proventos!$J:$J,"="&amp;$H$2),
AND($H$2=Data!$A$7,$K$2=Data!$A$2),SUMIFS(Proventos!$H:$H,Proventos!$D:$D,"&gt;="&amp;CONCATENATE($E$6,"/",B84),Proventos!$D:$D,"&lt;"&amp;CONCATENATE($F$6,"/",B84),Proventos!$J:$J,"="&amp;$H$2),
AND($H$2=Data!$A$8,$K$2=Data!$A$2),SUMIFS(Proventos!$H:$H,Proventos!$D:$D,"&gt;="&amp;CONCATENATE($E$6,"/",B84),Proventos!$D:$D,"&lt;"&amp;CONCATENATE($F$6,"/",B84),Proventos!$J:$J,"="&amp;$H$2),
AND($H$2=Data!$A$9,$K$2=Data!$A$2),SUMIFS(Proventos!$H:$H,Proventos!$D:$D,"&gt;="&amp;CONCATENATE($E$6,"/",B84),Proventos!$D:$D,"&lt;"&amp;CONCATENATE($F$6,"/",B84),Proventos!$J:$J,"="&amp;$H$2),
AND($H$2=Data!$A$10,$K$2=Data!$A$2),SUMIFS(Proventos!$H:$H,Proventos!$D:$D,"&gt;="&amp;CONCATENATE($E$6,"/",B84),Proventos!$D:$D,"&lt;"&amp;CONCATENATE($F$6,"/",B84),Proventos!$J:$J,"="&amp;$H$2),
AND($H$2=Data!$A$11,$K$2=Data!$A$2),SUMIFS(Proventos!$H:$H,Proventos!$D:$D,"&gt;="&amp;CONCATENATE($E$6,"/",B84),Proventos!$D:$D,"&lt;"&amp;CONCATENATE($F$6,"/",B84),Proventos!$J:$J,"="&amp;$H$2),
$K$2=Data!$A$2,SUMIFS(Proventos!$H:$H,Proventos!$D:$D,"&gt;="&amp;CONCATENATE($E$6,"/",B84),Proventos!$D:$D,"&lt;"&amp;CONCATENATE($F$6,"/",B84)),
$K$2&lt;&gt;Data!$A$2,SUMIFS(Proventos!$H:$H,Proventos!$D:$D,"&gt;="&amp;CONCATENATE($E$6,"/",B84),Proventos!$D:$D,"&lt;"&amp;CONCATENATE($F$6,"/",B84),Proventos!$A:$A,"="&amp;$K$2))</f>
        <v>0</v>
      </c>
      <c r="F84" s="245">
        <f>IFS(
AND($H$2=Data!$A$3,$K$2=Data!$A$2),SUMIFS(Proventos!$H:$H,Proventos!$D:$D,"&gt;="&amp;CONCATENATE($F$6,"/",B84),Proventos!$D:$D,"&lt;"&amp;CONCATENATE($G$6,"/",B84),Proventos!$J:$J,"="&amp;$H$2),
AND($H$2=Data!$A$4,$K$2=Data!$A$2),SUMIFS(Proventos!$H:$H,Proventos!$D:$D,"&gt;="&amp;CONCATENATE($F$6,"/",B84),Proventos!$D:$D,"&lt;"&amp;CONCATENATE($G$6,"/",B84),Proventos!$J:$J,"="&amp;$H$2),
AND($H$2=Data!$A$5,$K$2=Data!$A$2),SUMIFS(Proventos!$H:$H,Proventos!$D:$D,"&gt;="&amp;CONCATENATE($F$6,"/",B84),Proventos!$D:$D,"&lt;"&amp;CONCATENATE($G$6,"/",B84),Proventos!$J:$J,"="&amp;$H$2),
AND($H$2=Data!$A$6,$K$2=Data!$A$2),SUMIFS(Proventos!$H:$H,Proventos!$D:$D,"&gt;="&amp;CONCATENATE($F$6,"/",B84),Proventos!$D:$D,"&lt;"&amp;CONCATENATE($G$6,"/",B84),Proventos!$J:$J,"="&amp;$H$2),
AND($H$2=Data!$A$7,$K$2=Data!$A$2),SUMIFS(Proventos!$H:$H,Proventos!$D:$D,"&gt;="&amp;CONCATENATE($F$6,"/",B84),Proventos!$D:$D,"&lt;"&amp;CONCATENATE($G$6,"/",B84),Proventos!$J:$J,"="&amp;$H$2),
AND($H$2=Data!$A$8,$K$2=Data!$A$2),SUMIFS(Proventos!$H:$H,Proventos!$D:$D,"&gt;="&amp;CONCATENATE($F$6,"/",B84),Proventos!$D:$D,"&lt;"&amp;CONCATENATE($G$6,"/",B84),Proventos!$J:$J,"="&amp;$H$2),
AND($H$2=Data!$A$9,$K$2=Data!$A$2),SUMIFS(Proventos!$H:$H,Proventos!$D:$D,"&gt;="&amp;CONCATENATE($F$6,"/",B84),Proventos!$D:$D,"&lt;"&amp;CONCATENATE($G$6,"/",B84),Proventos!$J:$J,"="&amp;$H$2),
AND($H$2=Data!$A$10,$K$2=Data!$A$2),SUMIFS(Proventos!$H:$H,Proventos!$D:$D,"&gt;="&amp;CONCATENATE($F$6,"/",B84),Proventos!$D:$D,"&lt;"&amp;CONCATENATE($G$6,"/",B84),Proventos!$J:$J,"="&amp;$H$2),
AND($H$2=Data!$A$11,$K$2=Data!$A$2),SUMIFS(Proventos!$H:$H,Proventos!$D:$D,"&gt;="&amp;CONCATENATE($F$6,"/",B84),Proventos!$D:$D,"&lt;"&amp;CONCATENATE($G$6,"/",B84),Proventos!$J:$J,"="&amp;$H$2),
$K$2=Data!$A$2,SUMIFS(Proventos!$H:$H,Proventos!$D:$D,"&gt;="&amp;CONCATENATE($F$6,"/",B84),Proventos!$D:$D,"&lt;"&amp;CONCATENATE($G$6,"/",B84)),
$K$2&lt;&gt;Data!$A$2,SUMIFS(Proventos!$H:$H,Proventos!$D:$D,"&gt;="&amp;CONCATENATE($F$6,"/",B84),Proventos!$D:$D,"&lt;"&amp;CONCATENATE($G$6,"/",B84),Proventos!$A:$A,"="&amp;$K$2))</f>
        <v>0</v>
      </c>
      <c r="G84" s="245">
        <f>IFS(
AND($H$2=Data!$A$3,$K$2=Data!$A$2),SUMIFS(Proventos!$H:$H,Proventos!$D:$D,"&gt;="&amp;CONCATENATE($G$6,"/",B84),Proventos!$D:$D,"&lt;"&amp;CONCATENATE($H$6,"/",B84),Proventos!$J:$J,"="&amp;$H$2),
AND($H$2=Data!$A$4,$K$2=Data!$A$2),SUMIFS(Proventos!$H:$H,Proventos!$D:$D,"&gt;="&amp;CONCATENATE($G$6,"/",B84),Proventos!$D:$D,"&lt;"&amp;CONCATENATE($H$6,"/",B84),Proventos!$J:$J,"="&amp;$H$2),
AND($H$2=Data!$A$5,$K$2=Data!$A$2),SUMIFS(Proventos!$H:$H,Proventos!$D:$D,"&gt;="&amp;CONCATENATE($G$6,"/",B84),Proventos!$D:$D,"&lt;"&amp;CONCATENATE($H$6,"/",B84),Proventos!$J:$J,"="&amp;$H$2),
AND($H$2=Data!$A$6,$K$2=Data!$A$2),SUMIFS(Proventos!$H:$H,Proventos!$D:$D,"&gt;="&amp;CONCATENATE($G$6,"/",B84),Proventos!$D:$D,"&lt;"&amp;CONCATENATE($H$6,"/",B84),Proventos!$J:$J,"="&amp;$H$2),
AND($H$2=Data!$A$7,$K$2=Data!$A$2),SUMIFS(Proventos!$H:$H,Proventos!$D:$D,"&gt;="&amp;CONCATENATE($G$6,"/",B84),Proventos!$D:$D,"&lt;"&amp;CONCATENATE($H$6,"/",B84),Proventos!$J:$J,"="&amp;$H$2),
AND($H$2=Data!$A$8,$K$2=Data!$A$2),SUMIFS(Proventos!$H:$H,Proventos!$D:$D,"&gt;="&amp;CONCATENATE($G$6,"/",B84),Proventos!$D:$D,"&lt;"&amp;CONCATENATE($H$6,"/",B84),Proventos!$J:$J,"="&amp;$H$2),
AND($H$2=Data!$A$9,$K$2=Data!$A$2),SUMIFS(Proventos!$H:$H,Proventos!$D:$D,"&gt;="&amp;CONCATENATE($G$6,"/",B84),Proventos!$D:$D,"&lt;"&amp;CONCATENATE($H$6,"/",B84),Proventos!$J:$J,"="&amp;$H$2),
AND($H$2=Data!$A$10,$K$2=Data!$A$2),SUMIFS(Proventos!$H:$H,Proventos!$D:$D,"&gt;="&amp;CONCATENATE($G$6,"/",B84),Proventos!$D:$D,"&lt;"&amp;CONCATENATE($H$6,"/",B84),Proventos!$J:$J,"="&amp;$H$2),
AND($H$2=Data!$A$11,$K$2=Data!$A$2),SUMIFS(Proventos!$H:$H,Proventos!$D:$D,"&gt;="&amp;CONCATENATE($G$6,"/",B84),Proventos!$D:$D,"&lt;"&amp;CONCATENATE($H$6,"/",B84),Proventos!$J:$J,"="&amp;$H$2),
$K$2=Data!$A$2,SUMIFS(Proventos!$H:$H,Proventos!$D:$D,"&gt;="&amp;CONCATENATE($G$6,"/",B84),Proventos!$D:$D,"&lt;"&amp;CONCATENATE($H$6,"/",B84)),
$K$2&lt;&gt;Data!$A$2,SUMIFS(Proventos!$H:$H,Proventos!$D:$D,"&gt;="&amp;CONCATENATE($G$6,"/",B84),Proventos!$D:$D,"&lt;"&amp;CONCATENATE($H$6,"/",B84),Proventos!$A:$A,"="&amp;$K$2))</f>
        <v>0</v>
      </c>
      <c r="H84" s="245">
        <f>IFS(
AND($H$2=Data!$A$3,$K$2=Data!$A$2),SUMIFS(Proventos!$H:$H,Proventos!$D:$D,"&gt;="&amp;CONCATENATE($H$6,"/",B84),Proventos!$D:$D,"&lt;"&amp;CONCATENATE($I$6,"/",B84),Proventos!$J:$J,"="&amp;$H$2),
AND($H$2=Data!$A$4,$K$2=Data!$A$2),SUMIFS(Proventos!$H:$H,Proventos!$D:$D,"&gt;="&amp;CONCATENATE($H$6,"/",B84),Proventos!$D:$D,"&lt;"&amp;CONCATENATE($I$6,"/",B84),Proventos!$J:$J,"="&amp;$H$2),
AND($H$2=Data!$A$5,$K$2=Data!$A$2),SUMIFS(Proventos!$H:$H,Proventos!$D:$D,"&gt;="&amp;CONCATENATE($H$6,"/",B84),Proventos!$D:$D,"&lt;"&amp;CONCATENATE($I$6,"/",B84),Proventos!$J:$J,"="&amp;$H$2),
AND($H$2=Data!$A$6,$K$2=Data!$A$2),SUMIFS(Proventos!$H:$H,Proventos!$D:$D,"&gt;="&amp;CONCATENATE($H$6,"/",B84),Proventos!$D:$D,"&lt;"&amp;CONCATENATE($I$6,"/",B84),Proventos!$J:$J,"="&amp;$H$2),
AND($H$2=Data!$A$7,$K$2=Data!$A$2),SUMIFS(Proventos!$H:$H,Proventos!$D:$D,"&gt;="&amp;CONCATENATE($H$6,"/",B84),Proventos!$D:$D,"&lt;"&amp;CONCATENATE($I$6,"/",B84),Proventos!$J:$J,"="&amp;$H$2),
AND($H$2=Data!$A$8,$K$2=Data!$A$2),SUMIFS(Proventos!$H:$H,Proventos!$D:$D,"&gt;="&amp;CONCATENATE($H$6,"/",B84),Proventos!$D:$D,"&lt;"&amp;CONCATENATE($I$6,"/",B84),Proventos!$J:$J,"="&amp;$H$2),
AND($H$2=Data!$A$9,$K$2=Data!$A$2),SUMIFS(Proventos!$H:$H,Proventos!$D:$D,"&gt;="&amp;CONCATENATE($H$6,"/",B84),Proventos!$D:$D,"&lt;"&amp;CONCATENATE($I$6,"/",B84),Proventos!$J:$J,"="&amp;$H$2),
AND($H$2=Data!$A$10,$K$2=Data!$A$2),SUMIFS(Proventos!$H:$H,Proventos!$D:$D,"&gt;="&amp;CONCATENATE($H$6,"/",B84),Proventos!$D:$D,"&lt;"&amp;CONCATENATE($I$6,"/",B84),Proventos!$J:$J,"="&amp;$H$2),
AND($H$2=Data!$A$11,$K$2=Data!$A$2),SUMIFS(Proventos!$H:$H,Proventos!$D:$D,"&gt;="&amp;CONCATENATE($H$6,"/",B84),Proventos!$D:$D,"&lt;"&amp;CONCATENATE($I$6,"/",B84),Proventos!$J:$J,"="&amp;$H$2),
$K$2=Data!$A$2,SUMIFS(Proventos!$H:$H,Proventos!$D:$D,"&gt;="&amp;CONCATENATE($H$6,"/",B84),Proventos!$D:$D,"&lt;"&amp;CONCATENATE($I$6,"/",B84)),
$K$2&lt;&gt;Data!$A$2,SUMIFS(Proventos!$H:$H,Proventos!$D:$D,"&gt;="&amp;CONCATENATE($H$6,"/",B84),Proventos!$D:$D,"&lt;"&amp;CONCATENATE($I$6,"/",B84),Proventos!$A:$A,"="&amp;$K$2))</f>
        <v>0</v>
      </c>
      <c r="I84" s="245">
        <f>IFS(
AND($H$2=Data!$A$3,$K$2=Data!$A$2),SUMIFS(Proventos!$H:$H,Proventos!$D:$D,"&gt;="&amp;CONCATENATE($I$6,"/",B84),Proventos!$D:$D,"&lt;"&amp;CONCATENATE($J$6,"/",B84),Proventos!$J:$J,"="&amp;$H$2),
AND($H$2=Data!$A$4,$K$2=Data!$A$2),SUMIFS(Proventos!$H:$H,Proventos!$D:$D,"&gt;="&amp;CONCATENATE($I$6,"/",B84),Proventos!$D:$D,"&lt;"&amp;CONCATENATE($J$6,"/",B84),Proventos!$J:$J,"="&amp;$H$2),
AND($H$2=Data!$A$5,$K$2=Data!$A$2),SUMIFS(Proventos!$H:$H,Proventos!$D:$D,"&gt;="&amp;CONCATENATE($I$6,"/",B84),Proventos!$D:$D,"&lt;"&amp;CONCATENATE($J$6,"/",B84),Proventos!$J:$J,"="&amp;$H$2),
AND($H$2=Data!$A$6,$K$2=Data!$A$2),SUMIFS(Proventos!$H:$H,Proventos!$D:$D,"&gt;="&amp;CONCATENATE($I$6,"/",B84),Proventos!$D:$D,"&lt;"&amp;CONCATENATE($J$6,"/",B84),Proventos!$J:$J,"="&amp;$H$2),
AND($H$2=Data!$A$7,$K$2=Data!$A$2),SUMIFS(Proventos!$H:$H,Proventos!$D:$D,"&gt;="&amp;CONCATENATE($I$6,"/",B84),Proventos!$D:$D,"&lt;"&amp;CONCATENATE($J$6,"/",B84),Proventos!$J:$J,"="&amp;$H$2),
AND($H$2=Data!$A$8,$K$2=Data!$A$2),SUMIFS(Proventos!$H:$H,Proventos!$D:$D,"&gt;="&amp;CONCATENATE($I$6,"/",B84),Proventos!$D:$D,"&lt;"&amp;CONCATENATE($J$6,"/",B84),Proventos!$J:$J,"="&amp;$H$2),
AND($H$2=Data!$A$9,$K$2=Data!$A$2),SUMIFS(Proventos!$H:$H,Proventos!$D:$D,"&gt;="&amp;CONCATENATE($I$6,"/",B84),Proventos!$D:$D,"&lt;"&amp;CONCATENATE($J$6,"/",B84),Proventos!$J:$J,"="&amp;$H$2),
AND($H$2=Data!$A$10,$K$2=Data!$A$2),SUMIFS(Proventos!$H:$H,Proventos!$D:$D,"&gt;="&amp;CONCATENATE($I$6,"/",B84),Proventos!$D:$D,"&lt;"&amp;CONCATENATE($J$6,"/",B84),Proventos!$J:$J,"="&amp;$H$2),
AND($H$2=Data!$A$11,$K$2=Data!$A$2),SUMIFS(Proventos!$H:$H,Proventos!$D:$D,"&gt;="&amp;CONCATENATE($I$6,"/",B84),Proventos!$D:$D,"&lt;"&amp;CONCATENATE($J$6,"/",B84),Proventos!$J:$J,"="&amp;$H$2),
$K$2=Data!$A$2,SUMIFS(Proventos!$H:$H,Proventos!$D:$D,"&gt;="&amp;CONCATENATE($I$6,"/",B84),Proventos!$D:$D,"&lt;"&amp;CONCATENATE($J$6,"/",B84)),
$K$2&lt;&gt;Data!$A$2,SUMIFS(Proventos!$H:$H,Proventos!$D:$D,"&gt;="&amp;CONCATENATE($I$6,"/",B84),Proventos!$D:$D,"&lt;"&amp;CONCATENATE($J$6,"/",B84),Proventos!$A:$A,"="&amp;$K$2))</f>
        <v>0</v>
      </c>
      <c r="J84" s="245">
        <f>IFS(
AND($H$2=Data!$A$3,$K$2=Data!$A$2),SUMIFS(Proventos!$H:$H,Proventos!$D:$D,"&gt;="&amp;CONCATENATE($J$6,"/",B84),Proventos!$D:$D,"&lt;"&amp;CONCATENATE($K$6,"/",B84),Proventos!$J:$J,"="&amp;$H$2),
AND($H$2=Data!$A$4,$K$2=Data!$A$2),SUMIFS(Proventos!$H:$H,Proventos!$D:$D,"&gt;="&amp;CONCATENATE($J$6,"/",B84),Proventos!$D:$D,"&lt;"&amp;CONCATENATE($K$6,"/",B84),Proventos!$J:$J,"="&amp;$H$2),
AND($H$2=Data!$A$5,$K$2=Data!$A$2),SUMIFS(Proventos!$H:$H,Proventos!$D:$D,"&gt;="&amp;CONCATENATE($J$6,"/",B84),Proventos!$D:$D,"&lt;"&amp;CONCATENATE($K$6,"/",B84),Proventos!$J:$J,"="&amp;$H$2),
AND($H$2=Data!$A$6,$K$2=Data!$A$2),SUMIFS(Proventos!$H:$H,Proventos!$D:$D,"&gt;="&amp;CONCATENATE($J$6,"/",B84),Proventos!$D:$D,"&lt;"&amp;CONCATENATE($K$6,"/",B84),Proventos!$J:$J,"="&amp;$H$2),
AND($H$2=Data!$A$7,$K$2=Data!$A$2),SUMIFS(Proventos!$H:$H,Proventos!$D:$D,"&gt;="&amp;CONCATENATE($J$6,"/",B84),Proventos!$D:$D,"&lt;"&amp;CONCATENATE($K$6,"/",B84),Proventos!$J:$J,"="&amp;$H$2),
AND($H$2=Data!$A$8,$K$2=Data!$A$2),SUMIFS(Proventos!$H:$H,Proventos!$D:$D,"&gt;="&amp;CONCATENATE($J$6,"/",B84),Proventos!$D:$D,"&lt;"&amp;CONCATENATE($K$6,"/",B84),Proventos!$J:$J,"="&amp;$H$2),
AND($H$2=Data!$A$9,$K$2=Data!$A$2),SUMIFS(Proventos!$H:$H,Proventos!$D:$D,"&gt;="&amp;CONCATENATE($J$6,"/",B84),Proventos!$D:$D,"&lt;"&amp;CONCATENATE($K$6,"/",B84),Proventos!$J:$J,"="&amp;$H$2),
AND($H$2=Data!$A$10,$K$2=Data!$A$2),SUMIFS(Proventos!$H:$H,Proventos!$D:$D,"&gt;="&amp;CONCATENATE($J$6,"/",B84),Proventos!$D:$D,"&lt;"&amp;CONCATENATE($K$6,"/",B84),Proventos!$J:$J,"="&amp;$H$2),
AND($H$2=Data!$A$11,$K$2=Data!$A$2),SUMIFS(Proventos!$H:$H,Proventos!$D:$D,"&gt;="&amp;CONCATENATE($J$6,"/",B84),Proventos!$D:$D,"&lt;"&amp;CONCATENATE($K$6,"/",B84),Proventos!$J:$J,"="&amp;$H$2),
$K$2=Data!$A$2,SUMIFS(Proventos!$H:$H,Proventos!$D:$D,"&gt;="&amp;CONCATENATE($J$6,"/",B84),Proventos!$D:$D,"&lt;"&amp;CONCATENATE($K$6,"/",B84)),
$K$2&lt;&gt;Data!$A$2,SUMIFS(Proventos!$H:$H,Proventos!$D:$D,"&gt;="&amp;CONCATENATE($J$6,"/",B84),Proventos!$D:$D,"&lt;"&amp;CONCATENATE($K$6,"/",B84),Proventos!$A:$A,"="&amp;$K$2))</f>
        <v>0</v>
      </c>
      <c r="K84" s="245">
        <f>IFS(
AND($H$2=Data!$A$3,$K$2=Data!$A$2),SUMIFS(Proventos!$H:$H,Proventos!$D:$D,"&gt;="&amp;CONCATENATE($K$6,"/",B84),Proventos!$D:$D,"&lt;"&amp;CONCATENATE($L$6,"/",B84),Proventos!$J:$J,"="&amp;$H$2),
AND($H$2=Data!$A$4,$K$2=Data!$A$2),SUMIFS(Proventos!$H:$H,Proventos!$D:$D,"&gt;="&amp;CONCATENATE($K$6,"/",B84),Proventos!$D:$D,"&lt;"&amp;CONCATENATE($L$6,"/",B84),Proventos!$J:$J,"="&amp;$H$2),
AND($H$2=Data!$A$5,$K$2=Data!$A$2),SUMIFS(Proventos!$H:$H,Proventos!$D:$D,"&gt;="&amp;CONCATENATE($K$6,"/",B84),Proventos!$D:$D,"&lt;"&amp;CONCATENATE($L$6,"/",B84),Proventos!$J:$J,"="&amp;$H$2),
AND($H$2=Data!$A$6,$K$2=Data!$A$2),SUMIFS(Proventos!$H:$H,Proventos!$D:$D,"&gt;="&amp;CONCATENATE($K$6,"/",B84),Proventos!$D:$D,"&lt;"&amp;CONCATENATE($L$6,"/",B84),Proventos!$J:$J,"="&amp;$H$2),
AND($H$2=Data!$A$7,$K$2=Data!$A$2),SUMIFS(Proventos!$H:$H,Proventos!$D:$D,"&gt;="&amp;CONCATENATE($K$6,"/",B84),Proventos!$D:$D,"&lt;"&amp;CONCATENATE($L$6,"/",B84),Proventos!$J:$J,"="&amp;$H$2),
AND($H$2=Data!$A$8,$K$2=Data!$A$2),SUMIFS(Proventos!$H:$H,Proventos!$D:$D,"&gt;="&amp;CONCATENATE($K$6,"/",B84),Proventos!$D:$D,"&lt;"&amp;CONCATENATE($L$6,"/",B84),Proventos!$J:$J,"="&amp;$H$2),
AND($H$2=Data!$A$9,$K$2=Data!$A$2),SUMIFS(Proventos!$H:$H,Proventos!$D:$D,"&gt;="&amp;CONCATENATE($K$6,"/",B84),Proventos!$D:$D,"&lt;"&amp;CONCATENATE($L$6,"/",B84),Proventos!$J:$J,"="&amp;$H$2),
AND($H$2=Data!$A$10,$K$2=Data!$A$2),SUMIFS(Proventos!$H:$H,Proventos!$D:$D,"&gt;="&amp;CONCATENATE($K$6,"/",B84),Proventos!$D:$D,"&lt;"&amp;CONCATENATE($L$6,"/",B84),Proventos!$J:$J,"="&amp;$H$2),
AND($H$2=Data!$A$11,$K$2=Data!$A$2),SUMIFS(Proventos!$H:$H,Proventos!$D:$D,"&gt;="&amp;CONCATENATE($K$6,"/",B84),Proventos!$D:$D,"&lt;"&amp;CONCATENATE($L$6,"/",B84),Proventos!$J:$J,"="&amp;$H$2),
$K$2=Data!$A$2,SUMIFS(Proventos!$H:$H,Proventos!$D:$D,"&gt;="&amp;CONCATENATE($K$6,"/",B84),Proventos!$D:$D,"&lt;"&amp;CONCATENATE($L$6,"/",B84)),
$K$2&lt;&gt;Data!$A$2,SUMIFS(Proventos!$H:$H,Proventos!$D:$D,"&gt;="&amp;CONCATENATE($K$6,"/",B84),Proventos!$D:$D,"&lt;"&amp;CONCATENATE($L$6,"/",B84),Proventos!$A:$A,"="&amp;$K$2))</f>
        <v>0</v>
      </c>
      <c r="L84" s="245">
        <f>IFS(
AND($H$2=Data!$A$3,$K$2=Data!$A$2),SUMIFS(Proventos!$H:$H,Proventos!$D:$D,"&gt;="&amp;CONCATENATE($L$6,"/",B84),Proventos!$D:$D,"&lt;"&amp;CONCATENATE($M$6,"/",B84),Proventos!$J:$J,"="&amp;$H$2),
AND($H$2=Data!$A$4,$K$2=Data!$A$2),SUMIFS(Proventos!$H:$H,Proventos!$D:$D,"&gt;="&amp;CONCATENATE($L$6,"/",B84),Proventos!$D:$D,"&lt;"&amp;CONCATENATE($M$6,"/",B84),Proventos!$J:$J,"="&amp;$H$2),
AND($H$2=Data!$A$5,$K$2=Data!$A$2),SUMIFS(Proventos!$H:$H,Proventos!$D:$D,"&gt;="&amp;CONCATENATE($L$6,"/",B84),Proventos!$D:$D,"&lt;"&amp;CONCATENATE($M$6,"/",B84),Proventos!$J:$J,"="&amp;$H$2),
AND($H$2=Data!$A$6,$K$2=Data!$A$2),SUMIFS(Proventos!$H:$H,Proventos!$D:$D,"&gt;="&amp;CONCATENATE($L$6,"/",B84),Proventos!$D:$D,"&lt;"&amp;CONCATENATE($M$6,"/",B84),Proventos!$J:$J,"="&amp;$H$2),
AND($H$2=Data!$A$7,$K$2=Data!$A$2),SUMIFS(Proventos!$H:$H,Proventos!$D:$D,"&gt;="&amp;CONCATENATE($L$6,"/",B84),Proventos!$D:$D,"&lt;"&amp;CONCATENATE($M$6,"/",B84),Proventos!$J:$J,"="&amp;$H$2),
AND($H$2=Data!$A$8,$K$2=Data!$A$2),SUMIFS(Proventos!$H:$H,Proventos!$D:$D,"&gt;="&amp;CONCATENATE($L$6,"/",B84),Proventos!$D:$D,"&lt;"&amp;CONCATENATE($M$6,"/",B84),Proventos!$J:$J,"="&amp;$H$2),
AND($H$2=Data!$A$9,$K$2=Data!$A$2),SUMIFS(Proventos!$H:$H,Proventos!$D:$D,"&gt;="&amp;CONCATENATE($L$6,"/",B84),Proventos!$D:$D,"&lt;"&amp;CONCATENATE($M$6,"/",B84),Proventos!$J:$J,"="&amp;$H$2),
AND($H$2=Data!$A$10,$K$2=Data!$A$2),SUMIFS(Proventos!$H:$H,Proventos!$D:$D,"&gt;="&amp;CONCATENATE($L$6,"/",B84),Proventos!$D:$D,"&lt;"&amp;CONCATENATE($M$6,"/",B84),Proventos!$J:$J,"="&amp;$H$2),
AND($H$2=Data!$A$11,$K$2=Data!$A$2),SUMIFS(Proventos!$H:$H,Proventos!$D:$D,"&gt;="&amp;CONCATENATE($L$6,"/",B84),Proventos!$D:$D,"&lt;"&amp;CONCATENATE($M$6,"/",B84),Proventos!$J:$J,"="&amp;$H$2),
$K$2=Data!$A$2,SUMIFS(Proventos!$H:$H,Proventos!$D:$D,"&gt;="&amp;CONCATENATE($L$6,"/",B84),Proventos!$D:$D,"&lt;"&amp;CONCATENATE($M$6,"/",B84)),
$K$2&lt;&gt;Data!$A$2,SUMIFS(Proventos!$H:$H,Proventos!$D:$D,"&gt;="&amp;CONCATENATE($L$6,"/",B84),Proventos!$D:$D,"&lt;"&amp;CONCATENATE($M$6,"/",B84),Proventos!$A:$A,"="&amp;$K$2))</f>
        <v>0</v>
      </c>
      <c r="M84" s="245">
        <f>IFS(
AND($H$2=Data!$A$3,$K$2=Data!$A$2),SUMIFS(Proventos!$H:$H,Proventos!$D:$D,"&gt;="&amp;CONCATENATE($M$6,"/",B84),Proventos!$D:$D,"&lt;"&amp;CONCATENATE($N$6,"/",B84),Proventos!$J:$J,"="&amp;$H$2),
AND($H$2=Data!$A$4,$K$2=Data!$A$2),SUMIFS(Proventos!$H:$H,Proventos!$D:$D,"&gt;="&amp;CONCATENATE($M$6,"/",B84),Proventos!$D:$D,"&lt;"&amp;CONCATENATE($N$6,"/",B84),Proventos!$J:$J,"="&amp;$H$2),
AND($H$2=Data!$A$5,$K$2=Data!$A$2),SUMIFS(Proventos!$H:$H,Proventos!$D:$D,"&gt;="&amp;CONCATENATE($M$6,"/",B84),Proventos!$D:$D,"&lt;"&amp;CONCATENATE($N$6,"/",B84),Proventos!$J:$J,"="&amp;$H$2),
AND($H$2=Data!$A$6,$K$2=Data!$A$2),SUMIFS(Proventos!$H:$H,Proventos!$D:$D,"&gt;="&amp;CONCATENATE($M$6,"/",B84),Proventos!$D:$D,"&lt;"&amp;CONCATENATE($N$6,"/",B84),Proventos!$J:$J,"="&amp;$H$2),
AND($H$2=Data!$A$7,$K$2=Data!$A$2),SUMIFS(Proventos!$H:$H,Proventos!$D:$D,"&gt;="&amp;CONCATENATE($M$6,"/",B84),Proventos!$D:$D,"&lt;"&amp;CONCATENATE($N$6,"/",B84),Proventos!$J:$J,"="&amp;$H$2),
AND($H$2=Data!$A$8,$K$2=Data!$A$2),SUMIFS(Proventos!$H:$H,Proventos!$D:$D,"&gt;="&amp;CONCATENATE($M$6,"/",B84),Proventos!$D:$D,"&lt;"&amp;CONCATENATE($N$6,"/",B84),Proventos!$J:$J,"="&amp;$H$2),
AND($H$2=Data!$A$9,$K$2=Data!$A$2),SUMIFS(Proventos!$H:$H,Proventos!$D:$D,"&gt;="&amp;CONCATENATE($M$6,"/",B84),Proventos!$D:$D,"&lt;"&amp;CONCATENATE($N$6,"/",B84),Proventos!$J:$J,"="&amp;$H$2),
AND($H$2=Data!$A$10,$K$2=Data!$A$2),SUMIFS(Proventos!$H:$H,Proventos!$D:$D,"&gt;="&amp;CONCATENATE($M$6,"/",B84),Proventos!$D:$D,"&lt;"&amp;CONCATENATE($N$6,"/",B84),Proventos!$J:$J,"="&amp;$H$2),
AND($H$2=Data!$A$11,$K$2=Data!$A$2),SUMIFS(Proventos!$H:$H,Proventos!$D:$D,"&gt;="&amp;CONCATENATE($M$6,"/",B84),Proventos!$D:$D,"&lt;"&amp;CONCATENATE($N$6,"/",B84),Proventos!$J:$J,"="&amp;$H$2),
$K$2=Data!$A$2,SUMIFS(Proventos!$H:$H,Proventos!$D:$D,"&gt;="&amp;CONCATENATE($M$6,"/",B84),Proventos!$D:$D,"&lt;"&amp;CONCATENATE($N$6,"/",B84)),
$K$2&lt;&gt;Data!$A$2,SUMIFS(Proventos!$H:$H,Proventos!$D:$D,"&gt;="&amp;CONCATENATE($M$6,"/",B84),Proventos!$D:$D,"&lt;"&amp;CONCATENATE($N$6,"/",B84),Proventos!$A:$A,"="&amp;$K$2))</f>
        <v>0</v>
      </c>
      <c r="N84" s="245">
        <f>IFS(
AND($H$2=Data!$A$3,$K$2=Data!$A$2),SUMIFS(Proventos!$H:$H,Proventos!$D:$D,"&gt;="&amp;CONCATENATE($N$6,"/",B84),Proventos!$D:$D,"&lt;"&amp;CONCATENATE($C$6,"/",B85),Proventos!$J:$J,"="&amp;$H$2),
AND($H$2=Data!$A$4,$K$2=Data!$A$2),SUMIFS(Proventos!$H:$H,Proventos!$D:$D,"&gt;="&amp;CONCATENATE($N$6,"/",B84),Proventos!$D:$D,"&lt;"&amp;CONCATENATE($C$6,"/",B85),Proventos!$J:$J,"="&amp;$H$2),
AND($H$2=Data!$A$5,$K$2=Data!$A$2),SUMIFS(Proventos!$H:$H,Proventos!$D:$D,"&gt;="&amp;CONCATENATE($N$6,"/",B84),Proventos!$D:$D,"&lt;"&amp;CONCATENATE($C$6,"/",B85),Proventos!$J:$J,"="&amp;$H$2),
AND($H$2=Data!$A$6,$K$2=Data!$A$2),SUMIFS(Proventos!$H:$H,Proventos!$D:$D,"&gt;="&amp;CONCATENATE($N$6,"/",B84),Proventos!$D:$D,"&lt;"&amp;CONCATENATE($C$6,"/",B85),Proventos!$J:$J,"="&amp;$H$2),
AND($H$2=Data!$A$7,$K$2=Data!$A$2),SUMIFS(Proventos!$H:$H,Proventos!$D:$D,"&gt;="&amp;CONCATENATE($N$6,"/",B84),Proventos!$D:$D,"&lt;"&amp;CONCATENATE($C$6,"/",B85),Proventos!$J:$J,"="&amp;$H$2),
AND($H$2=Data!$A$8,$K$2=Data!$A$2),SUMIFS(Proventos!$H:$H,Proventos!$D:$D,"&gt;="&amp;CONCATENATE($N$6,"/",B84),Proventos!$D:$D,"&lt;"&amp;CONCATENATE($C$6,"/",B85),Proventos!$J:$J,"="&amp;$H$2),
AND($H$2=Data!$A$9,$K$2=Data!$A$2),SUMIFS(Proventos!$H:$H,Proventos!$D:$D,"&gt;="&amp;CONCATENATE($N$6,"/",B84),Proventos!$D:$D,"&lt;"&amp;CONCATENATE($C$6,"/",B85),Proventos!$J:$J,"="&amp;$H$2),
AND($H$2=Data!$A$10,$K$2=Data!$A$2),SUMIFS(Proventos!$H:$H,Proventos!$D:$D,"&gt;="&amp;CONCATENATE($N$6,"/",B84),Proventos!$D:$D,"&lt;"&amp;CONCATENATE($C$6,"/",B85),Proventos!$J:$J,"="&amp;$H$2),
AND($H$2=Data!$A$11,$K$2=Data!$A$2),SUMIFS(Proventos!$H:$H,Proventos!$D:$D,"&gt;="&amp;CONCATENATE($N$6,"/",B84),Proventos!$D:$D,"&lt;"&amp;CONCATENATE($C$6,"/",B85),Proventos!$J:$J,"="&amp;$H$2),
$K$2=Data!$A$2,SUMIFS(Proventos!$H:$H,Proventos!$D:$D,"&gt;="&amp;CONCATENATE($N$6,"/",B84),Proventos!$D:$D,"&lt;"&amp;CONCATENATE($C$6,"/",B85)),
$K$2&lt;&gt;Data!$A$2,SUMIFS(Proventos!$H:$H,Proventos!$D:$D,"&gt;="&amp;CONCATENATE($N$6,"/",B84),Proventos!$D:$D,"&lt;"&amp;CONCATENATE($C$6,"/",B85),Proventos!$A:$A,"="&amp;$K$2))</f>
        <v>0</v>
      </c>
      <c r="O84" s="245"/>
      <c r="P84" s="245">
        <f t="shared" si="1"/>
        <v>0</v>
      </c>
      <c r="Q84" s="245">
        <f t="shared" si="2"/>
        <v>0</v>
      </c>
    </row>
    <row r="85" ht="32.25" customHeight="1">
      <c r="A85" s="230"/>
      <c r="B85" s="244"/>
      <c r="C85" s="245">
        <f>IFS(
AND($H$2=Data!$A$3,$K$2=Data!$A$2),SUMIFS(Proventos!$H:$H,Proventos!$D:$D,"&gt;="&amp;CONCATENATE($C$6,"/",B85),Proventos!$D:$D,"&lt;"&amp;CONCATENATE($D$6,"/",B85),Proventos!$J:$J,"="&amp;$H$2),
AND($H$2=Data!$A$4,$K$2=Data!$A$2),SUMIFS(Proventos!$H:$H,Proventos!$D:$D,"&gt;="&amp;CONCATENATE($C$6,"/",B85),Proventos!$D:$D,"&lt;"&amp;CONCATENATE($D$6,"/",B85),Proventos!$J:$J,"="&amp;$H$2),
AND($H$2=Data!$A$5,$K$2=Data!$A$2),SUMIFS(Proventos!$H:$H,Proventos!$D:$D,"&gt;="&amp;CONCATENATE($C$6,"/",B85),Proventos!$D:$D,"&lt;"&amp;CONCATENATE($D$6,"/",B85),Proventos!$J:$J,"="&amp;$H$2),
AND($H$2=Data!$A$6,$K$2=Data!$A$2),SUMIFS(Proventos!$H:$H,Proventos!$D:$D,"&gt;="&amp;CONCATENATE($C$6,"/",B85),Proventos!$D:$D,"&lt;"&amp;CONCATENATE($D$6,"/",B85),Proventos!$J:$J,"="&amp;$H$2),
AND($H$2=Data!$A$7,$K$2=Data!$A$2),SUMIFS(Proventos!$H:$H,Proventos!$D:$D,"&gt;="&amp;CONCATENATE($C$6,"/",B85),Proventos!$D:$D,"&lt;"&amp;CONCATENATE($D$6,"/",B85),Proventos!$J:$J,"="&amp;$H$2),
AND($H$2=Data!$A$8,$K$2=Data!$A$2),SUMIFS(Proventos!$H:$H,Proventos!$D:$D,"&gt;="&amp;CONCATENATE($C$6,"/",B85),Proventos!$D:$D,"&lt;"&amp;CONCATENATE($D$6,"/",B85),Proventos!$J:$J,"="&amp;$H$2),
AND($H$2=Data!$A$9,$K$2=Data!$A$2),SUMIFS(Proventos!$H:$H,Proventos!$D:$D,"&gt;="&amp;CONCATENATE($C$6,"/",B85),Proventos!$D:$D,"&lt;"&amp;CONCATENATE($D$6,"/",B85),Proventos!$J:$J,"="&amp;$H$2),
AND($H$2=Data!$A$10,$K$2=Data!$A$2),SUMIFS(Proventos!$H:$H,Proventos!$D:$D,"&gt;="&amp;CONCATENATE($C$6,"/",B85),Proventos!$D:$D,"&lt;"&amp;CONCATENATE($D$6,"/",B85),Proventos!$J:$J,"="&amp;$H$2),
AND($H$2=Data!$A$11,$K$2=Data!$A$2),SUMIFS(Proventos!$H:$H,Proventos!$D:$D,"&gt;="&amp;CONCATENATE($C$6,"/",B85),Proventos!$D:$D,"&lt;"&amp;CONCATENATE($D$6,"/",B85),Proventos!$J:$J,"="&amp;$H$2),
$K$2=Data!$A$2,SUMIFS(Proventos!$H:$H,Proventos!$D:$D,"&gt;="&amp;CONCATENATE($C$6,"/",B85),Proventos!$D:$D,"&lt;"&amp;CONCATENATE($D$6,"/",B85)),
$K$2&lt;&gt;Data!$A$2,SUMIFS(Proventos!$H:$H,Proventos!$D:$D,"&gt;="&amp;CONCATENATE($C$6,"/",B85),Proventos!$D:$D,"&lt;"&amp;CONCATENATE($D$6,"/",B85),Proventos!$A:$A,"="&amp;$K$2))</f>
        <v>0</v>
      </c>
      <c r="D85" s="245">
        <f>IFS(
AND($H$2=Data!$A$3,$K$2=Data!$A$2),SUMIFS(Proventos!$H:$H,Proventos!$D:$D,"&gt;="&amp;CONCATENATE($D$6,"/",B85),Proventos!$D:$D,"&lt;"&amp;CONCATENATE($E$6,"/",B85),Proventos!$J:$J,"="&amp;$H$2),
AND($H$2=Data!$A$4,$K$2=Data!$A$2),SUMIFS(Proventos!$H:$H,Proventos!$D:$D,"&gt;="&amp;CONCATENATE($D$6,"/",B85),Proventos!$D:$D,"&lt;"&amp;CONCATENATE($E$6,"/",B85),Proventos!$J:$J,"="&amp;$H$2),
AND($H$2=Data!$A$5,$K$2=Data!$A$2),SUMIFS(Proventos!$H:$H,Proventos!$D:$D,"&gt;="&amp;CONCATENATE($D$6,"/",B85),Proventos!$D:$D,"&lt;"&amp;CONCATENATE($E$6,"/",B85),Proventos!$J:$J,"="&amp;$H$2),
AND($H$2=Data!$A$6,$K$2=Data!$A$2),SUMIFS(Proventos!$H:$H,Proventos!$D:$D,"&gt;="&amp;CONCATENATE($D$6,"/",B85),Proventos!$D:$D,"&lt;"&amp;CONCATENATE($E$6,"/",B85),Proventos!$J:$J,"="&amp;$H$2),
AND($H$2=Data!$A$7,$K$2=Data!$A$2),SUMIFS(Proventos!$H:$H,Proventos!$D:$D,"&gt;="&amp;CONCATENATE($D$6,"/",B85),Proventos!$D:$D,"&lt;"&amp;CONCATENATE($E$6,"/",B85),Proventos!$J:$J,"="&amp;$H$2),
AND($H$2=Data!$A$8,$K$2=Data!$A$2),SUMIFS(Proventos!$H:$H,Proventos!$D:$D,"&gt;="&amp;CONCATENATE($D$6,"/",B85),Proventos!$D:$D,"&lt;"&amp;CONCATENATE($E$6,"/",B85),Proventos!$J:$J,"="&amp;$H$2),
AND($H$2=Data!$A$9,$K$2=Data!$A$2),SUMIFS(Proventos!$H:$H,Proventos!$D:$D,"&gt;="&amp;CONCATENATE($D$6,"/",B85),Proventos!$D:$D,"&lt;"&amp;CONCATENATE($E$6,"/",B85),Proventos!$J:$J,"="&amp;$H$2),
AND($H$2=Data!$A$10,$K$2=Data!$A$2),SUMIFS(Proventos!$H:$H,Proventos!$D:$D,"&gt;="&amp;CONCATENATE($D$6,"/",B85),Proventos!$D:$D,"&lt;"&amp;CONCATENATE($E$6,"/",B85),Proventos!$J:$J,"="&amp;$H$2),
AND($H$2=Data!$A$11,$K$2=Data!$A$2),SUMIFS(Proventos!$H:$H,Proventos!$D:$D,"&gt;="&amp;CONCATENATE($D$6,"/",B85),Proventos!$D:$D,"&lt;"&amp;CONCATENATE($E$6,"/",B85),Proventos!$J:$J,"="&amp;$H$2),
$K$2=Data!$A$2,SUMIFS(Proventos!$H:$H,Proventos!$D:$D,"&gt;="&amp;CONCATENATE($D$6,"/",B85),Proventos!$D:$D,"&lt;"&amp;CONCATENATE($E$6,"/",B85)),
$K$2&lt;&gt;Data!$A$2,SUMIFS(Proventos!$H:$H,Proventos!$D:$D,"&gt;="&amp;CONCATENATE($D$6,"/",B85),Proventos!$D:$D,"&lt;"&amp;CONCATENATE($E$6,"/",B85),Proventos!$A:$A,"="&amp;$K$2))</f>
        <v>0</v>
      </c>
      <c r="E85" s="245">
        <f>IFS(
AND($H$2=Data!$A$3,$K$2=Data!$A$2),SUMIFS(Proventos!$H:$H,Proventos!$D:$D,"&gt;="&amp;CONCATENATE($E$6,"/",B85),Proventos!$D:$D,"&lt;"&amp;CONCATENATE($F$6,"/",B85),Proventos!$J:$J,"="&amp;$H$2),
AND($H$2=Data!$A$4,$K$2=Data!$A$2),SUMIFS(Proventos!$H:$H,Proventos!$D:$D,"&gt;="&amp;CONCATENATE($E$6,"/",B85),Proventos!$D:$D,"&lt;"&amp;CONCATENATE($F$6,"/",B85),Proventos!$J:$J,"="&amp;$H$2),
AND($H$2=Data!$A$5,$K$2=Data!$A$2),SUMIFS(Proventos!$H:$H,Proventos!$D:$D,"&gt;="&amp;CONCATENATE($E$6,"/",B85),Proventos!$D:$D,"&lt;"&amp;CONCATENATE($F$6,"/",B85),Proventos!$J:$J,"="&amp;$H$2),
AND($H$2=Data!$A$6,$K$2=Data!$A$2),SUMIFS(Proventos!$H:$H,Proventos!$D:$D,"&gt;="&amp;CONCATENATE($E$6,"/",B85),Proventos!$D:$D,"&lt;"&amp;CONCATENATE($F$6,"/",B85),Proventos!$J:$J,"="&amp;$H$2),
AND($H$2=Data!$A$7,$K$2=Data!$A$2),SUMIFS(Proventos!$H:$H,Proventos!$D:$D,"&gt;="&amp;CONCATENATE($E$6,"/",B85),Proventos!$D:$D,"&lt;"&amp;CONCATENATE($F$6,"/",B85),Proventos!$J:$J,"="&amp;$H$2),
AND($H$2=Data!$A$8,$K$2=Data!$A$2),SUMIFS(Proventos!$H:$H,Proventos!$D:$D,"&gt;="&amp;CONCATENATE($E$6,"/",B85),Proventos!$D:$D,"&lt;"&amp;CONCATENATE($F$6,"/",B85),Proventos!$J:$J,"="&amp;$H$2),
AND($H$2=Data!$A$9,$K$2=Data!$A$2),SUMIFS(Proventos!$H:$H,Proventos!$D:$D,"&gt;="&amp;CONCATENATE($E$6,"/",B85),Proventos!$D:$D,"&lt;"&amp;CONCATENATE($F$6,"/",B85),Proventos!$J:$J,"="&amp;$H$2),
AND($H$2=Data!$A$10,$K$2=Data!$A$2),SUMIFS(Proventos!$H:$H,Proventos!$D:$D,"&gt;="&amp;CONCATENATE($E$6,"/",B85),Proventos!$D:$D,"&lt;"&amp;CONCATENATE($F$6,"/",B85),Proventos!$J:$J,"="&amp;$H$2),
AND($H$2=Data!$A$11,$K$2=Data!$A$2),SUMIFS(Proventos!$H:$H,Proventos!$D:$D,"&gt;="&amp;CONCATENATE($E$6,"/",B85),Proventos!$D:$D,"&lt;"&amp;CONCATENATE($F$6,"/",B85),Proventos!$J:$J,"="&amp;$H$2),
$K$2=Data!$A$2,SUMIFS(Proventos!$H:$H,Proventos!$D:$D,"&gt;="&amp;CONCATENATE($E$6,"/",B85),Proventos!$D:$D,"&lt;"&amp;CONCATENATE($F$6,"/",B85)),
$K$2&lt;&gt;Data!$A$2,SUMIFS(Proventos!$H:$H,Proventos!$D:$D,"&gt;="&amp;CONCATENATE($E$6,"/",B85),Proventos!$D:$D,"&lt;"&amp;CONCATENATE($F$6,"/",B85),Proventos!$A:$A,"="&amp;$K$2))</f>
        <v>0</v>
      </c>
      <c r="F85" s="245">
        <f>IFS(
AND($H$2=Data!$A$3,$K$2=Data!$A$2),SUMIFS(Proventos!$H:$H,Proventos!$D:$D,"&gt;="&amp;CONCATENATE($F$6,"/",B85),Proventos!$D:$D,"&lt;"&amp;CONCATENATE($G$6,"/",B85),Proventos!$J:$J,"="&amp;$H$2),
AND($H$2=Data!$A$4,$K$2=Data!$A$2),SUMIFS(Proventos!$H:$H,Proventos!$D:$D,"&gt;="&amp;CONCATENATE($F$6,"/",B85),Proventos!$D:$D,"&lt;"&amp;CONCATENATE($G$6,"/",B85),Proventos!$J:$J,"="&amp;$H$2),
AND($H$2=Data!$A$5,$K$2=Data!$A$2),SUMIFS(Proventos!$H:$H,Proventos!$D:$D,"&gt;="&amp;CONCATENATE($F$6,"/",B85),Proventos!$D:$D,"&lt;"&amp;CONCATENATE($G$6,"/",B85),Proventos!$J:$J,"="&amp;$H$2),
AND($H$2=Data!$A$6,$K$2=Data!$A$2),SUMIFS(Proventos!$H:$H,Proventos!$D:$D,"&gt;="&amp;CONCATENATE($F$6,"/",B85),Proventos!$D:$D,"&lt;"&amp;CONCATENATE($G$6,"/",B85),Proventos!$J:$J,"="&amp;$H$2),
AND($H$2=Data!$A$7,$K$2=Data!$A$2),SUMIFS(Proventos!$H:$H,Proventos!$D:$D,"&gt;="&amp;CONCATENATE($F$6,"/",B85),Proventos!$D:$D,"&lt;"&amp;CONCATENATE($G$6,"/",B85),Proventos!$J:$J,"="&amp;$H$2),
AND($H$2=Data!$A$8,$K$2=Data!$A$2),SUMIFS(Proventos!$H:$H,Proventos!$D:$D,"&gt;="&amp;CONCATENATE($F$6,"/",B85),Proventos!$D:$D,"&lt;"&amp;CONCATENATE($G$6,"/",B85),Proventos!$J:$J,"="&amp;$H$2),
AND($H$2=Data!$A$9,$K$2=Data!$A$2),SUMIFS(Proventos!$H:$H,Proventos!$D:$D,"&gt;="&amp;CONCATENATE($F$6,"/",B85),Proventos!$D:$D,"&lt;"&amp;CONCATENATE($G$6,"/",B85),Proventos!$J:$J,"="&amp;$H$2),
AND($H$2=Data!$A$10,$K$2=Data!$A$2),SUMIFS(Proventos!$H:$H,Proventos!$D:$D,"&gt;="&amp;CONCATENATE($F$6,"/",B85),Proventos!$D:$D,"&lt;"&amp;CONCATENATE($G$6,"/",B85),Proventos!$J:$J,"="&amp;$H$2),
AND($H$2=Data!$A$11,$K$2=Data!$A$2),SUMIFS(Proventos!$H:$H,Proventos!$D:$D,"&gt;="&amp;CONCATENATE($F$6,"/",B85),Proventos!$D:$D,"&lt;"&amp;CONCATENATE($G$6,"/",B85),Proventos!$J:$J,"="&amp;$H$2),
$K$2=Data!$A$2,SUMIFS(Proventos!$H:$H,Proventos!$D:$D,"&gt;="&amp;CONCATENATE($F$6,"/",B85),Proventos!$D:$D,"&lt;"&amp;CONCATENATE($G$6,"/",B85)),
$K$2&lt;&gt;Data!$A$2,SUMIFS(Proventos!$H:$H,Proventos!$D:$D,"&gt;="&amp;CONCATENATE($F$6,"/",B85),Proventos!$D:$D,"&lt;"&amp;CONCATENATE($G$6,"/",B85),Proventos!$A:$A,"="&amp;$K$2))</f>
        <v>0</v>
      </c>
      <c r="G85" s="245">
        <f>IFS(
AND($H$2=Data!$A$3,$K$2=Data!$A$2),SUMIFS(Proventos!$H:$H,Proventos!$D:$D,"&gt;="&amp;CONCATENATE($G$6,"/",B85),Proventos!$D:$D,"&lt;"&amp;CONCATENATE($H$6,"/",B85),Proventos!$J:$J,"="&amp;$H$2),
AND($H$2=Data!$A$4,$K$2=Data!$A$2),SUMIFS(Proventos!$H:$H,Proventos!$D:$D,"&gt;="&amp;CONCATENATE($G$6,"/",B85),Proventos!$D:$D,"&lt;"&amp;CONCATENATE($H$6,"/",B85),Proventos!$J:$J,"="&amp;$H$2),
AND($H$2=Data!$A$5,$K$2=Data!$A$2),SUMIFS(Proventos!$H:$H,Proventos!$D:$D,"&gt;="&amp;CONCATENATE($G$6,"/",B85),Proventos!$D:$D,"&lt;"&amp;CONCATENATE($H$6,"/",B85),Proventos!$J:$J,"="&amp;$H$2),
AND($H$2=Data!$A$6,$K$2=Data!$A$2),SUMIFS(Proventos!$H:$H,Proventos!$D:$D,"&gt;="&amp;CONCATENATE($G$6,"/",B85),Proventos!$D:$D,"&lt;"&amp;CONCATENATE($H$6,"/",B85),Proventos!$J:$J,"="&amp;$H$2),
AND($H$2=Data!$A$7,$K$2=Data!$A$2),SUMIFS(Proventos!$H:$H,Proventos!$D:$D,"&gt;="&amp;CONCATENATE($G$6,"/",B85),Proventos!$D:$D,"&lt;"&amp;CONCATENATE($H$6,"/",B85),Proventos!$J:$J,"="&amp;$H$2),
AND($H$2=Data!$A$8,$K$2=Data!$A$2),SUMIFS(Proventos!$H:$H,Proventos!$D:$D,"&gt;="&amp;CONCATENATE($G$6,"/",B85),Proventos!$D:$D,"&lt;"&amp;CONCATENATE($H$6,"/",B85),Proventos!$J:$J,"="&amp;$H$2),
AND($H$2=Data!$A$9,$K$2=Data!$A$2),SUMIFS(Proventos!$H:$H,Proventos!$D:$D,"&gt;="&amp;CONCATENATE($G$6,"/",B85),Proventos!$D:$D,"&lt;"&amp;CONCATENATE($H$6,"/",B85),Proventos!$J:$J,"="&amp;$H$2),
AND($H$2=Data!$A$10,$K$2=Data!$A$2),SUMIFS(Proventos!$H:$H,Proventos!$D:$D,"&gt;="&amp;CONCATENATE($G$6,"/",B85),Proventos!$D:$D,"&lt;"&amp;CONCATENATE($H$6,"/",B85),Proventos!$J:$J,"="&amp;$H$2),
AND($H$2=Data!$A$11,$K$2=Data!$A$2),SUMIFS(Proventos!$H:$H,Proventos!$D:$D,"&gt;="&amp;CONCATENATE($G$6,"/",B85),Proventos!$D:$D,"&lt;"&amp;CONCATENATE($H$6,"/",B85),Proventos!$J:$J,"="&amp;$H$2),
$K$2=Data!$A$2,SUMIFS(Proventos!$H:$H,Proventos!$D:$D,"&gt;="&amp;CONCATENATE($G$6,"/",B85),Proventos!$D:$D,"&lt;"&amp;CONCATENATE($H$6,"/",B85)),
$K$2&lt;&gt;Data!$A$2,SUMIFS(Proventos!$H:$H,Proventos!$D:$D,"&gt;="&amp;CONCATENATE($G$6,"/",B85),Proventos!$D:$D,"&lt;"&amp;CONCATENATE($H$6,"/",B85),Proventos!$A:$A,"="&amp;$K$2))</f>
        <v>0</v>
      </c>
      <c r="H85" s="245">
        <f>IFS(
AND($H$2=Data!$A$3,$K$2=Data!$A$2),SUMIFS(Proventos!$H:$H,Proventos!$D:$D,"&gt;="&amp;CONCATENATE($H$6,"/",B85),Proventos!$D:$D,"&lt;"&amp;CONCATENATE($I$6,"/",B85),Proventos!$J:$J,"="&amp;$H$2),
AND($H$2=Data!$A$4,$K$2=Data!$A$2),SUMIFS(Proventos!$H:$H,Proventos!$D:$D,"&gt;="&amp;CONCATENATE($H$6,"/",B85),Proventos!$D:$D,"&lt;"&amp;CONCATENATE($I$6,"/",B85),Proventos!$J:$J,"="&amp;$H$2),
AND($H$2=Data!$A$5,$K$2=Data!$A$2),SUMIFS(Proventos!$H:$H,Proventos!$D:$D,"&gt;="&amp;CONCATENATE($H$6,"/",B85),Proventos!$D:$D,"&lt;"&amp;CONCATENATE($I$6,"/",B85),Proventos!$J:$J,"="&amp;$H$2),
AND($H$2=Data!$A$6,$K$2=Data!$A$2),SUMIFS(Proventos!$H:$H,Proventos!$D:$D,"&gt;="&amp;CONCATENATE($H$6,"/",B85),Proventos!$D:$D,"&lt;"&amp;CONCATENATE($I$6,"/",B85),Proventos!$J:$J,"="&amp;$H$2),
AND($H$2=Data!$A$7,$K$2=Data!$A$2),SUMIFS(Proventos!$H:$H,Proventos!$D:$D,"&gt;="&amp;CONCATENATE($H$6,"/",B85),Proventos!$D:$D,"&lt;"&amp;CONCATENATE($I$6,"/",B85),Proventos!$J:$J,"="&amp;$H$2),
AND($H$2=Data!$A$8,$K$2=Data!$A$2),SUMIFS(Proventos!$H:$H,Proventos!$D:$D,"&gt;="&amp;CONCATENATE($H$6,"/",B85),Proventos!$D:$D,"&lt;"&amp;CONCATENATE($I$6,"/",B85),Proventos!$J:$J,"="&amp;$H$2),
AND($H$2=Data!$A$9,$K$2=Data!$A$2),SUMIFS(Proventos!$H:$H,Proventos!$D:$D,"&gt;="&amp;CONCATENATE($H$6,"/",B85),Proventos!$D:$D,"&lt;"&amp;CONCATENATE($I$6,"/",B85),Proventos!$J:$J,"="&amp;$H$2),
AND($H$2=Data!$A$10,$K$2=Data!$A$2),SUMIFS(Proventos!$H:$H,Proventos!$D:$D,"&gt;="&amp;CONCATENATE($H$6,"/",B85),Proventos!$D:$D,"&lt;"&amp;CONCATENATE($I$6,"/",B85),Proventos!$J:$J,"="&amp;$H$2),
AND($H$2=Data!$A$11,$K$2=Data!$A$2),SUMIFS(Proventos!$H:$H,Proventos!$D:$D,"&gt;="&amp;CONCATENATE($H$6,"/",B85),Proventos!$D:$D,"&lt;"&amp;CONCATENATE($I$6,"/",B85),Proventos!$J:$J,"="&amp;$H$2),
$K$2=Data!$A$2,SUMIFS(Proventos!$H:$H,Proventos!$D:$D,"&gt;="&amp;CONCATENATE($H$6,"/",B85),Proventos!$D:$D,"&lt;"&amp;CONCATENATE($I$6,"/",B85)),
$K$2&lt;&gt;Data!$A$2,SUMIFS(Proventos!$H:$H,Proventos!$D:$D,"&gt;="&amp;CONCATENATE($H$6,"/",B85),Proventos!$D:$D,"&lt;"&amp;CONCATENATE($I$6,"/",B85),Proventos!$A:$A,"="&amp;$K$2))</f>
        <v>0</v>
      </c>
      <c r="I85" s="245">
        <f>IFS(
AND($H$2=Data!$A$3,$K$2=Data!$A$2),SUMIFS(Proventos!$H:$H,Proventos!$D:$D,"&gt;="&amp;CONCATENATE($I$6,"/",B85),Proventos!$D:$D,"&lt;"&amp;CONCATENATE($J$6,"/",B85),Proventos!$J:$J,"="&amp;$H$2),
AND($H$2=Data!$A$4,$K$2=Data!$A$2),SUMIFS(Proventos!$H:$H,Proventos!$D:$D,"&gt;="&amp;CONCATENATE($I$6,"/",B85),Proventos!$D:$D,"&lt;"&amp;CONCATENATE($J$6,"/",B85),Proventos!$J:$J,"="&amp;$H$2),
AND($H$2=Data!$A$5,$K$2=Data!$A$2),SUMIFS(Proventos!$H:$H,Proventos!$D:$D,"&gt;="&amp;CONCATENATE($I$6,"/",B85),Proventos!$D:$D,"&lt;"&amp;CONCATENATE($J$6,"/",B85),Proventos!$J:$J,"="&amp;$H$2),
AND($H$2=Data!$A$6,$K$2=Data!$A$2),SUMIFS(Proventos!$H:$H,Proventos!$D:$D,"&gt;="&amp;CONCATENATE($I$6,"/",B85),Proventos!$D:$D,"&lt;"&amp;CONCATENATE($J$6,"/",B85),Proventos!$J:$J,"="&amp;$H$2),
AND($H$2=Data!$A$7,$K$2=Data!$A$2),SUMIFS(Proventos!$H:$H,Proventos!$D:$D,"&gt;="&amp;CONCATENATE($I$6,"/",B85),Proventos!$D:$D,"&lt;"&amp;CONCATENATE($J$6,"/",B85),Proventos!$J:$J,"="&amp;$H$2),
AND($H$2=Data!$A$8,$K$2=Data!$A$2),SUMIFS(Proventos!$H:$H,Proventos!$D:$D,"&gt;="&amp;CONCATENATE($I$6,"/",B85),Proventos!$D:$D,"&lt;"&amp;CONCATENATE($J$6,"/",B85),Proventos!$J:$J,"="&amp;$H$2),
AND($H$2=Data!$A$9,$K$2=Data!$A$2),SUMIFS(Proventos!$H:$H,Proventos!$D:$D,"&gt;="&amp;CONCATENATE($I$6,"/",B85),Proventos!$D:$D,"&lt;"&amp;CONCATENATE($J$6,"/",B85),Proventos!$J:$J,"="&amp;$H$2),
AND($H$2=Data!$A$10,$K$2=Data!$A$2),SUMIFS(Proventos!$H:$H,Proventos!$D:$D,"&gt;="&amp;CONCATENATE($I$6,"/",B85),Proventos!$D:$D,"&lt;"&amp;CONCATENATE($J$6,"/",B85),Proventos!$J:$J,"="&amp;$H$2),
AND($H$2=Data!$A$11,$K$2=Data!$A$2),SUMIFS(Proventos!$H:$H,Proventos!$D:$D,"&gt;="&amp;CONCATENATE($I$6,"/",B85),Proventos!$D:$D,"&lt;"&amp;CONCATENATE($J$6,"/",B85),Proventos!$J:$J,"="&amp;$H$2),
$K$2=Data!$A$2,SUMIFS(Proventos!$H:$H,Proventos!$D:$D,"&gt;="&amp;CONCATENATE($I$6,"/",B85),Proventos!$D:$D,"&lt;"&amp;CONCATENATE($J$6,"/",B85)),
$K$2&lt;&gt;Data!$A$2,SUMIFS(Proventos!$H:$H,Proventos!$D:$D,"&gt;="&amp;CONCATENATE($I$6,"/",B85),Proventos!$D:$D,"&lt;"&amp;CONCATENATE($J$6,"/",B85),Proventos!$A:$A,"="&amp;$K$2))</f>
        <v>0</v>
      </c>
      <c r="J85" s="245">
        <f>IFS(
AND($H$2=Data!$A$3,$K$2=Data!$A$2),SUMIFS(Proventos!$H:$H,Proventos!$D:$D,"&gt;="&amp;CONCATENATE($J$6,"/",B85),Proventos!$D:$D,"&lt;"&amp;CONCATENATE($K$6,"/",B85),Proventos!$J:$J,"="&amp;$H$2),
AND($H$2=Data!$A$4,$K$2=Data!$A$2),SUMIFS(Proventos!$H:$H,Proventos!$D:$D,"&gt;="&amp;CONCATENATE($J$6,"/",B85),Proventos!$D:$D,"&lt;"&amp;CONCATENATE($K$6,"/",B85),Proventos!$J:$J,"="&amp;$H$2),
AND($H$2=Data!$A$5,$K$2=Data!$A$2),SUMIFS(Proventos!$H:$H,Proventos!$D:$D,"&gt;="&amp;CONCATENATE($J$6,"/",B85),Proventos!$D:$D,"&lt;"&amp;CONCATENATE($K$6,"/",B85),Proventos!$J:$J,"="&amp;$H$2),
AND($H$2=Data!$A$6,$K$2=Data!$A$2),SUMIFS(Proventos!$H:$H,Proventos!$D:$D,"&gt;="&amp;CONCATENATE($J$6,"/",B85),Proventos!$D:$D,"&lt;"&amp;CONCATENATE($K$6,"/",B85),Proventos!$J:$J,"="&amp;$H$2),
AND($H$2=Data!$A$7,$K$2=Data!$A$2),SUMIFS(Proventos!$H:$H,Proventos!$D:$D,"&gt;="&amp;CONCATENATE($J$6,"/",B85),Proventos!$D:$D,"&lt;"&amp;CONCATENATE($K$6,"/",B85),Proventos!$J:$J,"="&amp;$H$2),
AND($H$2=Data!$A$8,$K$2=Data!$A$2),SUMIFS(Proventos!$H:$H,Proventos!$D:$D,"&gt;="&amp;CONCATENATE($J$6,"/",B85),Proventos!$D:$D,"&lt;"&amp;CONCATENATE($K$6,"/",B85),Proventos!$J:$J,"="&amp;$H$2),
AND($H$2=Data!$A$9,$K$2=Data!$A$2),SUMIFS(Proventos!$H:$H,Proventos!$D:$D,"&gt;="&amp;CONCATENATE($J$6,"/",B85),Proventos!$D:$D,"&lt;"&amp;CONCATENATE($K$6,"/",B85),Proventos!$J:$J,"="&amp;$H$2),
AND($H$2=Data!$A$10,$K$2=Data!$A$2),SUMIFS(Proventos!$H:$H,Proventos!$D:$D,"&gt;="&amp;CONCATENATE($J$6,"/",B85),Proventos!$D:$D,"&lt;"&amp;CONCATENATE($K$6,"/",B85),Proventos!$J:$J,"="&amp;$H$2),
AND($H$2=Data!$A$11,$K$2=Data!$A$2),SUMIFS(Proventos!$H:$H,Proventos!$D:$D,"&gt;="&amp;CONCATENATE($J$6,"/",B85),Proventos!$D:$D,"&lt;"&amp;CONCATENATE($K$6,"/",B85),Proventos!$J:$J,"="&amp;$H$2),
$K$2=Data!$A$2,SUMIFS(Proventos!$H:$H,Proventos!$D:$D,"&gt;="&amp;CONCATENATE($J$6,"/",B85),Proventos!$D:$D,"&lt;"&amp;CONCATENATE($K$6,"/",B85)),
$K$2&lt;&gt;Data!$A$2,SUMIFS(Proventos!$H:$H,Proventos!$D:$D,"&gt;="&amp;CONCATENATE($J$6,"/",B85),Proventos!$D:$D,"&lt;"&amp;CONCATENATE($K$6,"/",B85),Proventos!$A:$A,"="&amp;$K$2))</f>
        <v>0</v>
      </c>
      <c r="K85" s="245">
        <f>IFS(
AND($H$2=Data!$A$3,$K$2=Data!$A$2),SUMIFS(Proventos!$H:$H,Proventos!$D:$D,"&gt;="&amp;CONCATENATE($K$6,"/",B85),Proventos!$D:$D,"&lt;"&amp;CONCATENATE($L$6,"/",B85),Proventos!$J:$J,"="&amp;$H$2),
AND($H$2=Data!$A$4,$K$2=Data!$A$2),SUMIFS(Proventos!$H:$H,Proventos!$D:$D,"&gt;="&amp;CONCATENATE($K$6,"/",B85),Proventos!$D:$D,"&lt;"&amp;CONCATENATE($L$6,"/",B85),Proventos!$J:$J,"="&amp;$H$2),
AND($H$2=Data!$A$5,$K$2=Data!$A$2),SUMIFS(Proventos!$H:$H,Proventos!$D:$D,"&gt;="&amp;CONCATENATE($K$6,"/",B85),Proventos!$D:$D,"&lt;"&amp;CONCATENATE($L$6,"/",B85),Proventos!$J:$J,"="&amp;$H$2),
AND($H$2=Data!$A$6,$K$2=Data!$A$2),SUMIFS(Proventos!$H:$H,Proventos!$D:$D,"&gt;="&amp;CONCATENATE($K$6,"/",B85),Proventos!$D:$D,"&lt;"&amp;CONCATENATE($L$6,"/",B85),Proventos!$J:$J,"="&amp;$H$2),
AND($H$2=Data!$A$7,$K$2=Data!$A$2),SUMIFS(Proventos!$H:$H,Proventos!$D:$D,"&gt;="&amp;CONCATENATE($K$6,"/",B85),Proventos!$D:$D,"&lt;"&amp;CONCATENATE($L$6,"/",B85),Proventos!$J:$J,"="&amp;$H$2),
AND($H$2=Data!$A$8,$K$2=Data!$A$2),SUMIFS(Proventos!$H:$H,Proventos!$D:$D,"&gt;="&amp;CONCATENATE($K$6,"/",B85),Proventos!$D:$D,"&lt;"&amp;CONCATENATE($L$6,"/",B85),Proventos!$J:$J,"="&amp;$H$2),
AND($H$2=Data!$A$9,$K$2=Data!$A$2),SUMIFS(Proventos!$H:$H,Proventos!$D:$D,"&gt;="&amp;CONCATENATE($K$6,"/",B85),Proventos!$D:$D,"&lt;"&amp;CONCATENATE($L$6,"/",B85),Proventos!$J:$J,"="&amp;$H$2),
AND($H$2=Data!$A$10,$K$2=Data!$A$2),SUMIFS(Proventos!$H:$H,Proventos!$D:$D,"&gt;="&amp;CONCATENATE($K$6,"/",B85),Proventos!$D:$D,"&lt;"&amp;CONCATENATE($L$6,"/",B85),Proventos!$J:$J,"="&amp;$H$2),
AND($H$2=Data!$A$11,$K$2=Data!$A$2),SUMIFS(Proventos!$H:$H,Proventos!$D:$D,"&gt;="&amp;CONCATENATE($K$6,"/",B85),Proventos!$D:$D,"&lt;"&amp;CONCATENATE($L$6,"/",B85),Proventos!$J:$J,"="&amp;$H$2),
$K$2=Data!$A$2,SUMIFS(Proventos!$H:$H,Proventos!$D:$D,"&gt;="&amp;CONCATENATE($K$6,"/",B85),Proventos!$D:$D,"&lt;"&amp;CONCATENATE($L$6,"/",B85)),
$K$2&lt;&gt;Data!$A$2,SUMIFS(Proventos!$H:$H,Proventos!$D:$D,"&gt;="&amp;CONCATENATE($K$6,"/",B85),Proventos!$D:$D,"&lt;"&amp;CONCATENATE($L$6,"/",B85),Proventos!$A:$A,"="&amp;$K$2))</f>
        <v>0</v>
      </c>
      <c r="L85" s="245">
        <f>IFS(
AND($H$2=Data!$A$3,$K$2=Data!$A$2),SUMIFS(Proventos!$H:$H,Proventos!$D:$D,"&gt;="&amp;CONCATENATE($L$6,"/",B85),Proventos!$D:$D,"&lt;"&amp;CONCATENATE($M$6,"/",B85),Proventos!$J:$J,"="&amp;$H$2),
AND($H$2=Data!$A$4,$K$2=Data!$A$2),SUMIFS(Proventos!$H:$H,Proventos!$D:$D,"&gt;="&amp;CONCATENATE($L$6,"/",B85),Proventos!$D:$D,"&lt;"&amp;CONCATENATE($M$6,"/",B85),Proventos!$J:$J,"="&amp;$H$2),
AND($H$2=Data!$A$5,$K$2=Data!$A$2),SUMIFS(Proventos!$H:$H,Proventos!$D:$D,"&gt;="&amp;CONCATENATE($L$6,"/",B85),Proventos!$D:$D,"&lt;"&amp;CONCATENATE($M$6,"/",B85),Proventos!$J:$J,"="&amp;$H$2),
AND($H$2=Data!$A$6,$K$2=Data!$A$2),SUMIFS(Proventos!$H:$H,Proventos!$D:$D,"&gt;="&amp;CONCATENATE($L$6,"/",B85),Proventos!$D:$D,"&lt;"&amp;CONCATENATE($M$6,"/",B85),Proventos!$J:$J,"="&amp;$H$2),
AND($H$2=Data!$A$7,$K$2=Data!$A$2),SUMIFS(Proventos!$H:$H,Proventos!$D:$D,"&gt;="&amp;CONCATENATE($L$6,"/",B85),Proventos!$D:$D,"&lt;"&amp;CONCATENATE($M$6,"/",B85),Proventos!$J:$J,"="&amp;$H$2),
AND($H$2=Data!$A$8,$K$2=Data!$A$2),SUMIFS(Proventos!$H:$H,Proventos!$D:$D,"&gt;="&amp;CONCATENATE($L$6,"/",B85),Proventos!$D:$D,"&lt;"&amp;CONCATENATE($M$6,"/",B85),Proventos!$J:$J,"="&amp;$H$2),
AND($H$2=Data!$A$9,$K$2=Data!$A$2),SUMIFS(Proventos!$H:$H,Proventos!$D:$D,"&gt;="&amp;CONCATENATE($L$6,"/",B85),Proventos!$D:$D,"&lt;"&amp;CONCATENATE($M$6,"/",B85),Proventos!$J:$J,"="&amp;$H$2),
AND($H$2=Data!$A$10,$K$2=Data!$A$2),SUMIFS(Proventos!$H:$H,Proventos!$D:$D,"&gt;="&amp;CONCATENATE($L$6,"/",B85),Proventos!$D:$D,"&lt;"&amp;CONCATENATE($M$6,"/",B85),Proventos!$J:$J,"="&amp;$H$2),
AND($H$2=Data!$A$11,$K$2=Data!$A$2),SUMIFS(Proventos!$H:$H,Proventos!$D:$D,"&gt;="&amp;CONCATENATE($L$6,"/",B85),Proventos!$D:$D,"&lt;"&amp;CONCATENATE($M$6,"/",B85),Proventos!$J:$J,"="&amp;$H$2),
$K$2=Data!$A$2,SUMIFS(Proventos!$H:$H,Proventos!$D:$D,"&gt;="&amp;CONCATENATE($L$6,"/",B85),Proventos!$D:$D,"&lt;"&amp;CONCATENATE($M$6,"/",B85)),
$K$2&lt;&gt;Data!$A$2,SUMIFS(Proventos!$H:$H,Proventos!$D:$D,"&gt;="&amp;CONCATENATE($L$6,"/",B85),Proventos!$D:$D,"&lt;"&amp;CONCATENATE($M$6,"/",B85),Proventos!$A:$A,"="&amp;$K$2))</f>
        <v>0</v>
      </c>
      <c r="M85" s="245">
        <f>IFS(
AND($H$2=Data!$A$3,$K$2=Data!$A$2),SUMIFS(Proventos!$H:$H,Proventos!$D:$D,"&gt;="&amp;CONCATENATE($M$6,"/",B85),Proventos!$D:$D,"&lt;"&amp;CONCATENATE($N$6,"/",B85),Proventos!$J:$J,"="&amp;$H$2),
AND($H$2=Data!$A$4,$K$2=Data!$A$2),SUMIFS(Proventos!$H:$H,Proventos!$D:$D,"&gt;="&amp;CONCATENATE($M$6,"/",B85),Proventos!$D:$D,"&lt;"&amp;CONCATENATE($N$6,"/",B85),Proventos!$J:$J,"="&amp;$H$2),
AND($H$2=Data!$A$5,$K$2=Data!$A$2),SUMIFS(Proventos!$H:$H,Proventos!$D:$D,"&gt;="&amp;CONCATENATE($M$6,"/",B85),Proventos!$D:$D,"&lt;"&amp;CONCATENATE($N$6,"/",B85),Proventos!$J:$J,"="&amp;$H$2),
AND($H$2=Data!$A$6,$K$2=Data!$A$2),SUMIFS(Proventos!$H:$H,Proventos!$D:$D,"&gt;="&amp;CONCATENATE($M$6,"/",B85),Proventos!$D:$D,"&lt;"&amp;CONCATENATE($N$6,"/",B85),Proventos!$J:$J,"="&amp;$H$2),
AND($H$2=Data!$A$7,$K$2=Data!$A$2),SUMIFS(Proventos!$H:$H,Proventos!$D:$D,"&gt;="&amp;CONCATENATE($M$6,"/",B85),Proventos!$D:$D,"&lt;"&amp;CONCATENATE($N$6,"/",B85),Proventos!$J:$J,"="&amp;$H$2),
AND($H$2=Data!$A$8,$K$2=Data!$A$2),SUMIFS(Proventos!$H:$H,Proventos!$D:$D,"&gt;="&amp;CONCATENATE($M$6,"/",B85),Proventos!$D:$D,"&lt;"&amp;CONCATENATE($N$6,"/",B85),Proventos!$J:$J,"="&amp;$H$2),
AND($H$2=Data!$A$9,$K$2=Data!$A$2),SUMIFS(Proventos!$H:$H,Proventos!$D:$D,"&gt;="&amp;CONCATENATE($M$6,"/",B85),Proventos!$D:$D,"&lt;"&amp;CONCATENATE($N$6,"/",B85),Proventos!$J:$J,"="&amp;$H$2),
AND($H$2=Data!$A$10,$K$2=Data!$A$2),SUMIFS(Proventos!$H:$H,Proventos!$D:$D,"&gt;="&amp;CONCATENATE($M$6,"/",B85),Proventos!$D:$D,"&lt;"&amp;CONCATENATE($N$6,"/",B85),Proventos!$J:$J,"="&amp;$H$2),
AND($H$2=Data!$A$11,$K$2=Data!$A$2),SUMIFS(Proventos!$H:$H,Proventos!$D:$D,"&gt;="&amp;CONCATENATE($M$6,"/",B85),Proventos!$D:$D,"&lt;"&amp;CONCATENATE($N$6,"/",B85),Proventos!$J:$J,"="&amp;$H$2),
$K$2=Data!$A$2,SUMIFS(Proventos!$H:$H,Proventos!$D:$D,"&gt;="&amp;CONCATENATE($M$6,"/",B85),Proventos!$D:$D,"&lt;"&amp;CONCATENATE($N$6,"/",B85)),
$K$2&lt;&gt;Data!$A$2,SUMIFS(Proventos!$H:$H,Proventos!$D:$D,"&gt;="&amp;CONCATENATE($M$6,"/",B85),Proventos!$D:$D,"&lt;"&amp;CONCATENATE($N$6,"/",B85),Proventos!$A:$A,"="&amp;$K$2))</f>
        <v>0</v>
      </c>
      <c r="N85" s="245">
        <f>IFS(
AND($H$2=Data!$A$3,$K$2=Data!$A$2),SUMIFS(Proventos!$H:$H,Proventos!$D:$D,"&gt;="&amp;CONCATENATE($N$6,"/",B85),Proventos!$D:$D,"&lt;"&amp;CONCATENATE($C$6,"/",B86),Proventos!$J:$J,"="&amp;$H$2),
AND($H$2=Data!$A$4,$K$2=Data!$A$2),SUMIFS(Proventos!$H:$H,Proventos!$D:$D,"&gt;="&amp;CONCATENATE($N$6,"/",B85),Proventos!$D:$D,"&lt;"&amp;CONCATENATE($C$6,"/",B86),Proventos!$J:$J,"="&amp;$H$2),
AND($H$2=Data!$A$5,$K$2=Data!$A$2),SUMIFS(Proventos!$H:$H,Proventos!$D:$D,"&gt;="&amp;CONCATENATE($N$6,"/",B85),Proventos!$D:$D,"&lt;"&amp;CONCATENATE($C$6,"/",B86),Proventos!$J:$J,"="&amp;$H$2),
AND($H$2=Data!$A$6,$K$2=Data!$A$2),SUMIFS(Proventos!$H:$H,Proventos!$D:$D,"&gt;="&amp;CONCATENATE($N$6,"/",B85),Proventos!$D:$D,"&lt;"&amp;CONCATENATE($C$6,"/",B86),Proventos!$J:$J,"="&amp;$H$2),
AND($H$2=Data!$A$7,$K$2=Data!$A$2),SUMIFS(Proventos!$H:$H,Proventos!$D:$D,"&gt;="&amp;CONCATENATE($N$6,"/",B85),Proventos!$D:$D,"&lt;"&amp;CONCATENATE($C$6,"/",B86),Proventos!$J:$J,"="&amp;$H$2),
AND($H$2=Data!$A$8,$K$2=Data!$A$2),SUMIFS(Proventos!$H:$H,Proventos!$D:$D,"&gt;="&amp;CONCATENATE($N$6,"/",B85),Proventos!$D:$D,"&lt;"&amp;CONCATENATE($C$6,"/",B86),Proventos!$J:$J,"="&amp;$H$2),
AND($H$2=Data!$A$9,$K$2=Data!$A$2),SUMIFS(Proventos!$H:$H,Proventos!$D:$D,"&gt;="&amp;CONCATENATE($N$6,"/",B85),Proventos!$D:$D,"&lt;"&amp;CONCATENATE($C$6,"/",B86),Proventos!$J:$J,"="&amp;$H$2),
AND($H$2=Data!$A$10,$K$2=Data!$A$2),SUMIFS(Proventos!$H:$H,Proventos!$D:$D,"&gt;="&amp;CONCATENATE($N$6,"/",B85),Proventos!$D:$D,"&lt;"&amp;CONCATENATE($C$6,"/",B86),Proventos!$J:$J,"="&amp;$H$2),
AND($H$2=Data!$A$11,$K$2=Data!$A$2),SUMIFS(Proventos!$H:$H,Proventos!$D:$D,"&gt;="&amp;CONCATENATE($N$6,"/",B85),Proventos!$D:$D,"&lt;"&amp;CONCATENATE($C$6,"/",B86),Proventos!$J:$J,"="&amp;$H$2),
$K$2=Data!$A$2,SUMIFS(Proventos!$H:$H,Proventos!$D:$D,"&gt;="&amp;CONCATENATE($N$6,"/",B85),Proventos!$D:$D,"&lt;"&amp;CONCATENATE($C$6,"/",B86)),
$K$2&lt;&gt;Data!$A$2,SUMIFS(Proventos!$H:$H,Proventos!$D:$D,"&gt;="&amp;CONCATENATE($N$6,"/",B85),Proventos!$D:$D,"&lt;"&amp;CONCATENATE($C$6,"/",B86),Proventos!$A:$A,"="&amp;$K$2))</f>
        <v>0</v>
      </c>
      <c r="O85" s="245"/>
      <c r="P85" s="245">
        <f t="shared" si="1"/>
        <v>0</v>
      </c>
      <c r="Q85" s="245">
        <f t="shared" si="2"/>
        <v>0</v>
      </c>
    </row>
    <row r="86" ht="32.25" customHeight="1">
      <c r="A86" s="230"/>
      <c r="B86" s="244"/>
      <c r="C86" s="245">
        <f>IFS(
AND($H$2=Data!$A$3,$K$2=Data!$A$2),SUMIFS(Proventos!$H:$H,Proventos!$D:$D,"&gt;="&amp;CONCATENATE($C$6,"/",B86),Proventos!$D:$D,"&lt;"&amp;CONCATENATE($D$6,"/",B86),Proventos!$J:$J,"="&amp;$H$2),
AND($H$2=Data!$A$4,$K$2=Data!$A$2),SUMIFS(Proventos!$H:$H,Proventos!$D:$D,"&gt;="&amp;CONCATENATE($C$6,"/",B86),Proventos!$D:$D,"&lt;"&amp;CONCATENATE($D$6,"/",B86),Proventos!$J:$J,"="&amp;$H$2),
AND($H$2=Data!$A$5,$K$2=Data!$A$2),SUMIFS(Proventos!$H:$H,Proventos!$D:$D,"&gt;="&amp;CONCATENATE($C$6,"/",B86),Proventos!$D:$D,"&lt;"&amp;CONCATENATE($D$6,"/",B86),Proventos!$J:$J,"="&amp;$H$2),
AND($H$2=Data!$A$6,$K$2=Data!$A$2),SUMIFS(Proventos!$H:$H,Proventos!$D:$D,"&gt;="&amp;CONCATENATE($C$6,"/",B86),Proventos!$D:$D,"&lt;"&amp;CONCATENATE($D$6,"/",B86),Proventos!$J:$J,"="&amp;$H$2),
AND($H$2=Data!$A$7,$K$2=Data!$A$2),SUMIFS(Proventos!$H:$H,Proventos!$D:$D,"&gt;="&amp;CONCATENATE($C$6,"/",B86),Proventos!$D:$D,"&lt;"&amp;CONCATENATE($D$6,"/",B86),Proventos!$J:$J,"="&amp;$H$2),
AND($H$2=Data!$A$8,$K$2=Data!$A$2),SUMIFS(Proventos!$H:$H,Proventos!$D:$D,"&gt;="&amp;CONCATENATE($C$6,"/",B86),Proventos!$D:$D,"&lt;"&amp;CONCATENATE($D$6,"/",B86),Proventos!$J:$J,"="&amp;$H$2),
AND($H$2=Data!$A$9,$K$2=Data!$A$2),SUMIFS(Proventos!$H:$H,Proventos!$D:$D,"&gt;="&amp;CONCATENATE($C$6,"/",B86),Proventos!$D:$D,"&lt;"&amp;CONCATENATE($D$6,"/",B86),Proventos!$J:$J,"="&amp;$H$2),
AND($H$2=Data!$A$10,$K$2=Data!$A$2),SUMIFS(Proventos!$H:$H,Proventos!$D:$D,"&gt;="&amp;CONCATENATE($C$6,"/",B86),Proventos!$D:$D,"&lt;"&amp;CONCATENATE($D$6,"/",B86),Proventos!$J:$J,"="&amp;$H$2),
AND($H$2=Data!$A$11,$K$2=Data!$A$2),SUMIFS(Proventos!$H:$H,Proventos!$D:$D,"&gt;="&amp;CONCATENATE($C$6,"/",B86),Proventos!$D:$D,"&lt;"&amp;CONCATENATE($D$6,"/",B86),Proventos!$J:$J,"="&amp;$H$2),
$K$2=Data!$A$2,SUMIFS(Proventos!$H:$H,Proventos!$D:$D,"&gt;="&amp;CONCATENATE($C$6,"/",B86),Proventos!$D:$D,"&lt;"&amp;CONCATENATE($D$6,"/",B86)),
$K$2&lt;&gt;Data!$A$2,SUMIFS(Proventos!$H:$H,Proventos!$D:$D,"&gt;="&amp;CONCATENATE($C$6,"/",B86),Proventos!$D:$D,"&lt;"&amp;CONCATENATE($D$6,"/",B86),Proventos!$A:$A,"="&amp;$K$2))</f>
        <v>0</v>
      </c>
      <c r="D86" s="245">
        <f>IFS(
AND($H$2=Data!$A$3,$K$2=Data!$A$2),SUMIFS(Proventos!$H:$H,Proventos!$D:$D,"&gt;="&amp;CONCATENATE($D$6,"/",B86),Proventos!$D:$D,"&lt;"&amp;CONCATENATE($E$6,"/",B86),Proventos!$J:$J,"="&amp;$H$2),
AND($H$2=Data!$A$4,$K$2=Data!$A$2),SUMIFS(Proventos!$H:$H,Proventos!$D:$D,"&gt;="&amp;CONCATENATE($D$6,"/",B86),Proventos!$D:$D,"&lt;"&amp;CONCATENATE($E$6,"/",B86),Proventos!$J:$J,"="&amp;$H$2),
AND($H$2=Data!$A$5,$K$2=Data!$A$2),SUMIFS(Proventos!$H:$H,Proventos!$D:$D,"&gt;="&amp;CONCATENATE($D$6,"/",B86),Proventos!$D:$D,"&lt;"&amp;CONCATENATE($E$6,"/",B86),Proventos!$J:$J,"="&amp;$H$2),
AND($H$2=Data!$A$6,$K$2=Data!$A$2),SUMIFS(Proventos!$H:$H,Proventos!$D:$D,"&gt;="&amp;CONCATENATE($D$6,"/",B86),Proventos!$D:$D,"&lt;"&amp;CONCATENATE($E$6,"/",B86),Proventos!$J:$J,"="&amp;$H$2),
AND($H$2=Data!$A$7,$K$2=Data!$A$2),SUMIFS(Proventos!$H:$H,Proventos!$D:$D,"&gt;="&amp;CONCATENATE($D$6,"/",B86),Proventos!$D:$D,"&lt;"&amp;CONCATENATE($E$6,"/",B86),Proventos!$J:$J,"="&amp;$H$2),
AND($H$2=Data!$A$8,$K$2=Data!$A$2),SUMIFS(Proventos!$H:$H,Proventos!$D:$D,"&gt;="&amp;CONCATENATE($D$6,"/",B86),Proventos!$D:$D,"&lt;"&amp;CONCATENATE($E$6,"/",B86),Proventos!$J:$J,"="&amp;$H$2),
AND($H$2=Data!$A$9,$K$2=Data!$A$2),SUMIFS(Proventos!$H:$H,Proventos!$D:$D,"&gt;="&amp;CONCATENATE($D$6,"/",B86),Proventos!$D:$D,"&lt;"&amp;CONCATENATE($E$6,"/",B86),Proventos!$J:$J,"="&amp;$H$2),
AND($H$2=Data!$A$10,$K$2=Data!$A$2),SUMIFS(Proventos!$H:$H,Proventos!$D:$D,"&gt;="&amp;CONCATENATE($D$6,"/",B86),Proventos!$D:$D,"&lt;"&amp;CONCATENATE($E$6,"/",B86),Proventos!$J:$J,"="&amp;$H$2),
AND($H$2=Data!$A$11,$K$2=Data!$A$2),SUMIFS(Proventos!$H:$H,Proventos!$D:$D,"&gt;="&amp;CONCATENATE($D$6,"/",B86),Proventos!$D:$D,"&lt;"&amp;CONCATENATE($E$6,"/",B86),Proventos!$J:$J,"="&amp;$H$2),
$K$2=Data!$A$2,SUMIFS(Proventos!$H:$H,Proventos!$D:$D,"&gt;="&amp;CONCATENATE($D$6,"/",B86),Proventos!$D:$D,"&lt;"&amp;CONCATENATE($E$6,"/",B86)),
$K$2&lt;&gt;Data!$A$2,SUMIFS(Proventos!$H:$H,Proventos!$D:$D,"&gt;="&amp;CONCATENATE($D$6,"/",B86),Proventos!$D:$D,"&lt;"&amp;CONCATENATE($E$6,"/",B86),Proventos!$A:$A,"="&amp;$K$2))</f>
        <v>0</v>
      </c>
      <c r="E86" s="245">
        <f>IFS(
AND($H$2=Data!$A$3,$K$2=Data!$A$2),SUMIFS(Proventos!$H:$H,Proventos!$D:$D,"&gt;="&amp;CONCATENATE($E$6,"/",B86),Proventos!$D:$D,"&lt;"&amp;CONCATENATE($F$6,"/",B86),Proventos!$J:$J,"="&amp;$H$2),
AND($H$2=Data!$A$4,$K$2=Data!$A$2),SUMIFS(Proventos!$H:$H,Proventos!$D:$D,"&gt;="&amp;CONCATENATE($E$6,"/",B86),Proventos!$D:$D,"&lt;"&amp;CONCATENATE($F$6,"/",B86),Proventos!$J:$J,"="&amp;$H$2),
AND($H$2=Data!$A$5,$K$2=Data!$A$2),SUMIFS(Proventos!$H:$H,Proventos!$D:$D,"&gt;="&amp;CONCATENATE($E$6,"/",B86),Proventos!$D:$D,"&lt;"&amp;CONCATENATE($F$6,"/",B86),Proventos!$J:$J,"="&amp;$H$2),
AND($H$2=Data!$A$6,$K$2=Data!$A$2),SUMIFS(Proventos!$H:$H,Proventos!$D:$D,"&gt;="&amp;CONCATENATE($E$6,"/",B86),Proventos!$D:$D,"&lt;"&amp;CONCATENATE($F$6,"/",B86),Proventos!$J:$J,"="&amp;$H$2),
AND($H$2=Data!$A$7,$K$2=Data!$A$2),SUMIFS(Proventos!$H:$H,Proventos!$D:$D,"&gt;="&amp;CONCATENATE($E$6,"/",B86),Proventos!$D:$D,"&lt;"&amp;CONCATENATE($F$6,"/",B86),Proventos!$J:$J,"="&amp;$H$2),
AND($H$2=Data!$A$8,$K$2=Data!$A$2),SUMIFS(Proventos!$H:$H,Proventos!$D:$D,"&gt;="&amp;CONCATENATE($E$6,"/",B86),Proventos!$D:$D,"&lt;"&amp;CONCATENATE($F$6,"/",B86),Proventos!$J:$J,"="&amp;$H$2),
AND($H$2=Data!$A$9,$K$2=Data!$A$2),SUMIFS(Proventos!$H:$H,Proventos!$D:$D,"&gt;="&amp;CONCATENATE($E$6,"/",B86),Proventos!$D:$D,"&lt;"&amp;CONCATENATE($F$6,"/",B86),Proventos!$J:$J,"="&amp;$H$2),
AND($H$2=Data!$A$10,$K$2=Data!$A$2),SUMIFS(Proventos!$H:$H,Proventos!$D:$D,"&gt;="&amp;CONCATENATE($E$6,"/",B86),Proventos!$D:$D,"&lt;"&amp;CONCATENATE($F$6,"/",B86),Proventos!$J:$J,"="&amp;$H$2),
AND($H$2=Data!$A$11,$K$2=Data!$A$2),SUMIFS(Proventos!$H:$H,Proventos!$D:$D,"&gt;="&amp;CONCATENATE($E$6,"/",B86),Proventos!$D:$D,"&lt;"&amp;CONCATENATE($F$6,"/",B86),Proventos!$J:$J,"="&amp;$H$2),
$K$2=Data!$A$2,SUMIFS(Proventos!$H:$H,Proventos!$D:$D,"&gt;="&amp;CONCATENATE($E$6,"/",B86),Proventos!$D:$D,"&lt;"&amp;CONCATENATE($F$6,"/",B86)),
$K$2&lt;&gt;Data!$A$2,SUMIFS(Proventos!$H:$H,Proventos!$D:$D,"&gt;="&amp;CONCATENATE($E$6,"/",B86),Proventos!$D:$D,"&lt;"&amp;CONCATENATE($F$6,"/",B86),Proventos!$A:$A,"="&amp;$K$2))</f>
        <v>0</v>
      </c>
      <c r="F86" s="245">
        <f>IFS(
AND($H$2=Data!$A$3,$K$2=Data!$A$2),SUMIFS(Proventos!$H:$H,Proventos!$D:$D,"&gt;="&amp;CONCATENATE($F$6,"/",B86),Proventos!$D:$D,"&lt;"&amp;CONCATENATE($G$6,"/",B86),Proventos!$J:$J,"="&amp;$H$2),
AND($H$2=Data!$A$4,$K$2=Data!$A$2),SUMIFS(Proventos!$H:$H,Proventos!$D:$D,"&gt;="&amp;CONCATENATE($F$6,"/",B86),Proventos!$D:$D,"&lt;"&amp;CONCATENATE($G$6,"/",B86),Proventos!$J:$J,"="&amp;$H$2),
AND($H$2=Data!$A$5,$K$2=Data!$A$2),SUMIFS(Proventos!$H:$H,Proventos!$D:$D,"&gt;="&amp;CONCATENATE($F$6,"/",B86),Proventos!$D:$D,"&lt;"&amp;CONCATENATE($G$6,"/",B86),Proventos!$J:$J,"="&amp;$H$2),
AND($H$2=Data!$A$6,$K$2=Data!$A$2),SUMIFS(Proventos!$H:$H,Proventos!$D:$D,"&gt;="&amp;CONCATENATE($F$6,"/",B86),Proventos!$D:$D,"&lt;"&amp;CONCATENATE($G$6,"/",B86),Proventos!$J:$J,"="&amp;$H$2),
AND($H$2=Data!$A$7,$K$2=Data!$A$2),SUMIFS(Proventos!$H:$H,Proventos!$D:$D,"&gt;="&amp;CONCATENATE($F$6,"/",B86),Proventos!$D:$D,"&lt;"&amp;CONCATENATE($G$6,"/",B86),Proventos!$J:$J,"="&amp;$H$2),
AND($H$2=Data!$A$8,$K$2=Data!$A$2),SUMIFS(Proventos!$H:$H,Proventos!$D:$D,"&gt;="&amp;CONCATENATE($F$6,"/",B86),Proventos!$D:$D,"&lt;"&amp;CONCATENATE($G$6,"/",B86),Proventos!$J:$J,"="&amp;$H$2),
AND($H$2=Data!$A$9,$K$2=Data!$A$2),SUMIFS(Proventos!$H:$H,Proventos!$D:$D,"&gt;="&amp;CONCATENATE($F$6,"/",B86),Proventos!$D:$D,"&lt;"&amp;CONCATENATE($G$6,"/",B86),Proventos!$J:$J,"="&amp;$H$2),
AND($H$2=Data!$A$10,$K$2=Data!$A$2),SUMIFS(Proventos!$H:$H,Proventos!$D:$D,"&gt;="&amp;CONCATENATE($F$6,"/",B86),Proventos!$D:$D,"&lt;"&amp;CONCATENATE($G$6,"/",B86),Proventos!$J:$J,"="&amp;$H$2),
AND($H$2=Data!$A$11,$K$2=Data!$A$2),SUMIFS(Proventos!$H:$H,Proventos!$D:$D,"&gt;="&amp;CONCATENATE($F$6,"/",B86),Proventos!$D:$D,"&lt;"&amp;CONCATENATE($G$6,"/",B86),Proventos!$J:$J,"="&amp;$H$2),
$K$2=Data!$A$2,SUMIFS(Proventos!$H:$H,Proventos!$D:$D,"&gt;="&amp;CONCATENATE($F$6,"/",B86),Proventos!$D:$D,"&lt;"&amp;CONCATENATE($G$6,"/",B86)),
$K$2&lt;&gt;Data!$A$2,SUMIFS(Proventos!$H:$H,Proventos!$D:$D,"&gt;="&amp;CONCATENATE($F$6,"/",B86),Proventos!$D:$D,"&lt;"&amp;CONCATENATE($G$6,"/",B86),Proventos!$A:$A,"="&amp;$K$2))</f>
        <v>0</v>
      </c>
      <c r="G86" s="245">
        <f>IFS(
AND($H$2=Data!$A$3,$K$2=Data!$A$2),SUMIFS(Proventos!$H:$H,Proventos!$D:$D,"&gt;="&amp;CONCATENATE($G$6,"/",B86),Proventos!$D:$D,"&lt;"&amp;CONCATENATE($H$6,"/",B86),Proventos!$J:$J,"="&amp;$H$2),
AND($H$2=Data!$A$4,$K$2=Data!$A$2),SUMIFS(Proventos!$H:$H,Proventos!$D:$D,"&gt;="&amp;CONCATENATE($G$6,"/",B86),Proventos!$D:$D,"&lt;"&amp;CONCATENATE($H$6,"/",B86),Proventos!$J:$J,"="&amp;$H$2),
AND($H$2=Data!$A$5,$K$2=Data!$A$2),SUMIFS(Proventos!$H:$H,Proventos!$D:$D,"&gt;="&amp;CONCATENATE($G$6,"/",B86),Proventos!$D:$D,"&lt;"&amp;CONCATENATE($H$6,"/",B86),Proventos!$J:$J,"="&amp;$H$2),
AND($H$2=Data!$A$6,$K$2=Data!$A$2),SUMIFS(Proventos!$H:$H,Proventos!$D:$D,"&gt;="&amp;CONCATENATE($G$6,"/",B86),Proventos!$D:$D,"&lt;"&amp;CONCATENATE($H$6,"/",B86),Proventos!$J:$J,"="&amp;$H$2),
AND($H$2=Data!$A$7,$K$2=Data!$A$2),SUMIFS(Proventos!$H:$H,Proventos!$D:$D,"&gt;="&amp;CONCATENATE($G$6,"/",B86),Proventos!$D:$D,"&lt;"&amp;CONCATENATE($H$6,"/",B86),Proventos!$J:$J,"="&amp;$H$2),
AND($H$2=Data!$A$8,$K$2=Data!$A$2),SUMIFS(Proventos!$H:$H,Proventos!$D:$D,"&gt;="&amp;CONCATENATE($G$6,"/",B86),Proventos!$D:$D,"&lt;"&amp;CONCATENATE($H$6,"/",B86),Proventos!$J:$J,"="&amp;$H$2),
AND($H$2=Data!$A$9,$K$2=Data!$A$2),SUMIFS(Proventos!$H:$H,Proventos!$D:$D,"&gt;="&amp;CONCATENATE($G$6,"/",B86),Proventos!$D:$D,"&lt;"&amp;CONCATENATE($H$6,"/",B86),Proventos!$J:$J,"="&amp;$H$2),
AND($H$2=Data!$A$10,$K$2=Data!$A$2),SUMIFS(Proventos!$H:$H,Proventos!$D:$D,"&gt;="&amp;CONCATENATE($G$6,"/",B86),Proventos!$D:$D,"&lt;"&amp;CONCATENATE($H$6,"/",B86),Proventos!$J:$J,"="&amp;$H$2),
AND($H$2=Data!$A$11,$K$2=Data!$A$2),SUMIFS(Proventos!$H:$H,Proventos!$D:$D,"&gt;="&amp;CONCATENATE($G$6,"/",B86),Proventos!$D:$D,"&lt;"&amp;CONCATENATE($H$6,"/",B86),Proventos!$J:$J,"="&amp;$H$2),
$K$2=Data!$A$2,SUMIFS(Proventos!$H:$H,Proventos!$D:$D,"&gt;="&amp;CONCATENATE($G$6,"/",B86),Proventos!$D:$D,"&lt;"&amp;CONCATENATE($H$6,"/",B86)),
$K$2&lt;&gt;Data!$A$2,SUMIFS(Proventos!$H:$H,Proventos!$D:$D,"&gt;="&amp;CONCATENATE($G$6,"/",B86),Proventos!$D:$D,"&lt;"&amp;CONCATENATE($H$6,"/",B86),Proventos!$A:$A,"="&amp;$K$2))</f>
        <v>0</v>
      </c>
      <c r="H86" s="245">
        <f>IFS(
AND($H$2=Data!$A$3,$K$2=Data!$A$2),SUMIFS(Proventos!$H:$H,Proventos!$D:$D,"&gt;="&amp;CONCATENATE($H$6,"/",B86),Proventos!$D:$D,"&lt;"&amp;CONCATENATE($I$6,"/",B86),Proventos!$J:$J,"="&amp;$H$2),
AND($H$2=Data!$A$4,$K$2=Data!$A$2),SUMIFS(Proventos!$H:$H,Proventos!$D:$D,"&gt;="&amp;CONCATENATE($H$6,"/",B86),Proventos!$D:$D,"&lt;"&amp;CONCATENATE($I$6,"/",B86),Proventos!$J:$J,"="&amp;$H$2),
AND($H$2=Data!$A$5,$K$2=Data!$A$2),SUMIFS(Proventos!$H:$H,Proventos!$D:$D,"&gt;="&amp;CONCATENATE($H$6,"/",B86),Proventos!$D:$D,"&lt;"&amp;CONCATENATE($I$6,"/",B86),Proventos!$J:$J,"="&amp;$H$2),
AND($H$2=Data!$A$6,$K$2=Data!$A$2),SUMIFS(Proventos!$H:$H,Proventos!$D:$D,"&gt;="&amp;CONCATENATE($H$6,"/",B86),Proventos!$D:$D,"&lt;"&amp;CONCATENATE($I$6,"/",B86),Proventos!$J:$J,"="&amp;$H$2),
AND($H$2=Data!$A$7,$K$2=Data!$A$2),SUMIFS(Proventos!$H:$H,Proventos!$D:$D,"&gt;="&amp;CONCATENATE($H$6,"/",B86),Proventos!$D:$D,"&lt;"&amp;CONCATENATE($I$6,"/",B86),Proventos!$J:$J,"="&amp;$H$2),
AND($H$2=Data!$A$8,$K$2=Data!$A$2),SUMIFS(Proventos!$H:$H,Proventos!$D:$D,"&gt;="&amp;CONCATENATE($H$6,"/",B86),Proventos!$D:$D,"&lt;"&amp;CONCATENATE($I$6,"/",B86),Proventos!$J:$J,"="&amp;$H$2),
AND($H$2=Data!$A$9,$K$2=Data!$A$2),SUMIFS(Proventos!$H:$H,Proventos!$D:$D,"&gt;="&amp;CONCATENATE($H$6,"/",B86),Proventos!$D:$D,"&lt;"&amp;CONCATENATE($I$6,"/",B86),Proventos!$J:$J,"="&amp;$H$2),
AND($H$2=Data!$A$10,$K$2=Data!$A$2),SUMIFS(Proventos!$H:$H,Proventos!$D:$D,"&gt;="&amp;CONCATENATE($H$6,"/",B86),Proventos!$D:$D,"&lt;"&amp;CONCATENATE($I$6,"/",B86),Proventos!$J:$J,"="&amp;$H$2),
AND($H$2=Data!$A$11,$K$2=Data!$A$2),SUMIFS(Proventos!$H:$H,Proventos!$D:$D,"&gt;="&amp;CONCATENATE($H$6,"/",B86),Proventos!$D:$D,"&lt;"&amp;CONCATENATE($I$6,"/",B86),Proventos!$J:$J,"="&amp;$H$2),
$K$2=Data!$A$2,SUMIFS(Proventos!$H:$H,Proventos!$D:$D,"&gt;="&amp;CONCATENATE($H$6,"/",B86),Proventos!$D:$D,"&lt;"&amp;CONCATENATE($I$6,"/",B86)),
$K$2&lt;&gt;Data!$A$2,SUMIFS(Proventos!$H:$H,Proventos!$D:$D,"&gt;="&amp;CONCATENATE($H$6,"/",B86),Proventos!$D:$D,"&lt;"&amp;CONCATENATE($I$6,"/",B86),Proventos!$A:$A,"="&amp;$K$2))</f>
        <v>0</v>
      </c>
      <c r="I86" s="245">
        <f>IFS(
AND($H$2=Data!$A$3,$K$2=Data!$A$2),SUMIFS(Proventos!$H:$H,Proventos!$D:$D,"&gt;="&amp;CONCATENATE($I$6,"/",B86),Proventos!$D:$D,"&lt;"&amp;CONCATENATE($J$6,"/",B86),Proventos!$J:$J,"="&amp;$H$2),
AND($H$2=Data!$A$4,$K$2=Data!$A$2),SUMIFS(Proventos!$H:$H,Proventos!$D:$D,"&gt;="&amp;CONCATENATE($I$6,"/",B86),Proventos!$D:$D,"&lt;"&amp;CONCATENATE($J$6,"/",B86),Proventos!$J:$J,"="&amp;$H$2),
AND($H$2=Data!$A$5,$K$2=Data!$A$2),SUMIFS(Proventos!$H:$H,Proventos!$D:$D,"&gt;="&amp;CONCATENATE($I$6,"/",B86),Proventos!$D:$D,"&lt;"&amp;CONCATENATE($J$6,"/",B86),Proventos!$J:$J,"="&amp;$H$2),
AND($H$2=Data!$A$6,$K$2=Data!$A$2),SUMIFS(Proventos!$H:$H,Proventos!$D:$D,"&gt;="&amp;CONCATENATE($I$6,"/",B86),Proventos!$D:$D,"&lt;"&amp;CONCATENATE($J$6,"/",B86),Proventos!$J:$J,"="&amp;$H$2),
AND($H$2=Data!$A$7,$K$2=Data!$A$2),SUMIFS(Proventos!$H:$H,Proventos!$D:$D,"&gt;="&amp;CONCATENATE($I$6,"/",B86),Proventos!$D:$D,"&lt;"&amp;CONCATENATE($J$6,"/",B86),Proventos!$J:$J,"="&amp;$H$2),
AND($H$2=Data!$A$8,$K$2=Data!$A$2),SUMIFS(Proventos!$H:$H,Proventos!$D:$D,"&gt;="&amp;CONCATENATE($I$6,"/",B86),Proventos!$D:$D,"&lt;"&amp;CONCATENATE($J$6,"/",B86),Proventos!$J:$J,"="&amp;$H$2),
AND($H$2=Data!$A$9,$K$2=Data!$A$2),SUMIFS(Proventos!$H:$H,Proventos!$D:$D,"&gt;="&amp;CONCATENATE($I$6,"/",B86),Proventos!$D:$D,"&lt;"&amp;CONCATENATE($J$6,"/",B86),Proventos!$J:$J,"="&amp;$H$2),
AND($H$2=Data!$A$10,$K$2=Data!$A$2),SUMIFS(Proventos!$H:$H,Proventos!$D:$D,"&gt;="&amp;CONCATENATE($I$6,"/",B86),Proventos!$D:$D,"&lt;"&amp;CONCATENATE($J$6,"/",B86),Proventos!$J:$J,"="&amp;$H$2),
AND($H$2=Data!$A$11,$K$2=Data!$A$2),SUMIFS(Proventos!$H:$H,Proventos!$D:$D,"&gt;="&amp;CONCATENATE($I$6,"/",B86),Proventos!$D:$D,"&lt;"&amp;CONCATENATE($J$6,"/",B86),Proventos!$J:$J,"="&amp;$H$2),
$K$2=Data!$A$2,SUMIFS(Proventos!$H:$H,Proventos!$D:$D,"&gt;="&amp;CONCATENATE($I$6,"/",B86),Proventos!$D:$D,"&lt;"&amp;CONCATENATE($J$6,"/",B86)),
$K$2&lt;&gt;Data!$A$2,SUMIFS(Proventos!$H:$H,Proventos!$D:$D,"&gt;="&amp;CONCATENATE($I$6,"/",B86),Proventos!$D:$D,"&lt;"&amp;CONCATENATE($J$6,"/",B86),Proventos!$A:$A,"="&amp;$K$2))</f>
        <v>0</v>
      </c>
      <c r="J86" s="245">
        <f>IFS(
AND($H$2=Data!$A$3,$K$2=Data!$A$2),SUMIFS(Proventos!$H:$H,Proventos!$D:$D,"&gt;="&amp;CONCATENATE($J$6,"/",B86),Proventos!$D:$D,"&lt;"&amp;CONCATENATE($K$6,"/",B86),Proventos!$J:$J,"="&amp;$H$2),
AND($H$2=Data!$A$4,$K$2=Data!$A$2),SUMIFS(Proventos!$H:$H,Proventos!$D:$D,"&gt;="&amp;CONCATENATE($J$6,"/",B86),Proventos!$D:$D,"&lt;"&amp;CONCATENATE($K$6,"/",B86),Proventos!$J:$J,"="&amp;$H$2),
AND($H$2=Data!$A$5,$K$2=Data!$A$2),SUMIFS(Proventos!$H:$H,Proventos!$D:$D,"&gt;="&amp;CONCATENATE($J$6,"/",B86),Proventos!$D:$D,"&lt;"&amp;CONCATENATE($K$6,"/",B86),Proventos!$J:$J,"="&amp;$H$2),
AND($H$2=Data!$A$6,$K$2=Data!$A$2),SUMIFS(Proventos!$H:$H,Proventos!$D:$D,"&gt;="&amp;CONCATENATE($J$6,"/",B86),Proventos!$D:$D,"&lt;"&amp;CONCATENATE($K$6,"/",B86),Proventos!$J:$J,"="&amp;$H$2),
AND($H$2=Data!$A$7,$K$2=Data!$A$2),SUMIFS(Proventos!$H:$H,Proventos!$D:$D,"&gt;="&amp;CONCATENATE($J$6,"/",B86),Proventos!$D:$D,"&lt;"&amp;CONCATENATE($K$6,"/",B86),Proventos!$J:$J,"="&amp;$H$2),
AND($H$2=Data!$A$8,$K$2=Data!$A$2),SUMIFS(Proventos!$H:$H,Proventos!$D:$D,"&gt;="&amp;CONCATENATE($J$6,"/",B86),Proventos!$D:$D,"&lt;"&amp;CONCATENATE($K$6,"/",B86),Proventos!$J:$J,"="&amp;$H$2),
AND($H$2=Data!$A$9,$K$2=Data!$A$2),SUMIFS(Proventos!$H:$H,Proventos!$D:$D,"&gt;="&amp;CONCATENATE($J$6,"/",B86),Proventos!$D:$D,"&lt;"&amp;CONCATENATE($K$6,"/",B86),Proventos!$J:$J,"="&amp;$H$2),
AND($H$2=Data!$A$10,$K$2=Data!$A$2),SUMIFS(Proventos!$H:$H,Proventos!$D:$D,"&gt;="&amp;CONCATENATE($J$6,"/",B86),Proventos!$D:$D,"&lt;"&amp;CONCATENATE($K$6,"/",B86),Proventos!$J:$J,"="&amp;$H$2),
AND($H$2=Data!$A$11,$K$2=Data!$A$2),SUMIFS(Proventos!$H:$H,Proventos!$D:$D,"&gt;="&amp;CONCATENATE($J$6,"/",B86),Proventos!$D:$D,"&lt;"&amp;CONCATENATE($K$6,"/",B86),Proventos!$J:$J,"="&amp;$H$2),
$K$2=Data!$A$2,SUMIFS(Proventos!$H:$H,Proventos!$D:$D,"&gt;="&amp;CONCATENATE($J$6,"/",B86),Proventos!$D:$D,"&lt;"&amp;CONCATENATE($K$6,"/",B86)),
$K$2&lt;&gt;Data!$A$2,SUMIFS(Proventos!$H:$H,Proventos!$D:$D,"&gt;="&amp;CONCATENATE($J$6,"/",B86),Proventos!$D:$D,"&lt;"&amp;CONCATENATE($K$6,"/",B86),Proventos!$A:$A,"="&amp;$K$2))</f>
        <v>0</v>
      </c>
      <c r="K86" s="245">
        <f>IFS(
AND($H$2=Data!$A$3,$K$2=Data!$A$2),SUMIFS(Proventos!$H:$H,Proventos!$D:$D,"&gt;="&amp;CONCATENATE($K$6,"/",B86),Proventos!$D:$D,"&lt;"&amp;CONCATENATE($L$6,"/",B86),Proventos!$J:$J,"="&amp;$H$2),
AND($H$2=Data!$A$4,$K$2=Data!$A$2),SUMIFS(Proventos!$H:$H,Proventos!$D:$D,"&gt;="&amp;CONCATENATE($K$6,"/",B86),Proventos!$D:$D,"&lt;"&amp;CONCATENATE($L$6,"/",B86),Proventos!$J:$J,"="&amp;$H$2),
AND($H$2=Data!$A$5,$K$2=Data!$A$2),SUMIFS(Proventos!$H:$H,Proventos!$D:$D,"&gt;="&amp;CONCATENATE($K$6,"/",B86),Proventos!$D:$D,"&lt;"&amp;CONCATENATE($L$6,"/",B86),Proventos!$J:$J,"="&amp;$H$2),
AND($H$2=Data!$A$6,$K$2=Data!$A$2),SUMIFS(Proventos!$H:$H,Proventos!$D:$D,"&gt;="&amp;CONCATENATE($K$6,"/",B86),Proventos!$D:$D,"&lt;"&amp;CONCATENATE($L$6,"/",B86),Proventos!$J:$J,"="&amp;$H$2),
AND($H$2=Data!$A$7,$K$2=Data!$A$2),SUMIFS(Proventos!$H:$H,Proventos!$D:$D,"&gt;="&amp;CONCATENATE($K$6,"/",B86),Proventos!$D:$D,"&lt;"&amp;CONCATENATE($L$6,"/",B86),Proventos!$J:$J,"="&amp;$H$2),
AND($H$2=Data!$A$8,$K$2=Data!$A$2),SUMIFS(Proventos!$H:$H,Proventos!$D:$D,"&gt;="&amp;CONCATENATE($K$6,"/",B86),Proventos!$D:$D,"&lt;"&amp;CONCATENATE($L$6,"/",B86),Proventos!$J:$J,"="&amp;$H$2),
AND($H$2=Data!$A$9,$K$2=Data!$A$2),SUMIFS(Proventos!$H:$H,Proventos!$D:$D,"&gt;="&amp;CONCATENATE($K$6,"/",B86),Proventos!$D:$D,"&lt;"&amp;CONCATENATE($L$6,"/",B86),Proventos!$J:$J,"="&amp;$H$2),
AND($H$2=Data!$A$10,$K$2=Data!$A$2),SUMIFS(Proventos!$H:$H,Proventos!$D:$D,"&gt;="&amp;CONCATENATE($K$6,"/",B86),Proventos!$D:$D,"&lt;"&amp;CONCATENATE($L$6,"/",B86),Proventos!$J:$J,"="&amp;$H$2),
AND($H$2=Data!$A$11,$K$2=Data!$A$2),SUMIFS(Proventos!$H:$H,Proventos!$D:$D,"&gt;="&amp;CONCATENATE($K$6,"/",B86),Proventos!$D:$D,"&lt;"&amp;CONCATENATE($L$6,"/",B86),Proventos!$J:$J,"="&amp;$H$2),
$K$2=Data!$A$2,SUMIFS(Proventos!$H:$H,Proventos!$D:$D,"&gt;="&amp;CONCATENATE($K$6,"/",B86),Proventos!$D:$D,"&lt;"&amp;CONCATENATE($L$6,"/",B86)),
$K$2&lt;&gt;Data!$A$2,SUMIFS(Proventos!$H:$H,Proventos!$D:$D,"&gt;="&amp;CONCATENATE($K$6,"/",B86),Proventos!$D:$D,"&lt;"&amp;CONCATENATE($L$6,"/",B86),Proventos!$A:$A,"="&amp;$K$2))</f>
        <v>0</v>
      </c>
      <c r="L86" s="245">
        <f>IFS(
AND($H$2=Data!$A$3,$K$2=Data!$A$2),SUMIFS(Proventos!$H:$H,Proventos!$D:$D,"&gt;="&amp;CONCATENATE($L$6,"/",B86),Proventos!$D:$D,"&lt;"&amp;CONCATENATE($M$6,"/",B86),Proventos!$J:$J,"="&amp;$H$2),
AND($H$2=Data!$A$4,$K$2=Data!$A$2),SUMIFS(Proventos!$H:$H,Proventos!$D:$D,"&gt;="&amp;CONCATENATE($L$6,"/",B86),Proventos!$D:$D,"&lt;"&amp;CONCATENATE($M$6,"/",B86),Proventos!$J:$J,"="&amp;$H$2),
AND($H$2=Data!$A$5,$K$2=Data!$A$2),SUMIFS(Proventos!$H:$H,Proventos!$D:$D,"&gt;="&amp;CONCATENATE($L$6,"/",B86),Proventos!$D:$D,"&lt;"&amp;CONCATENATE($M$6,"/",B86),Proventos!$J:$J,"="&amp;$H$2),
AND($H$2=Data!$A$6,$K$2=Data!$A$2),SUMIFS(Proventos!$H:$H,Proventos!$D:$D,"&gt;="&amp;CONCATENATE($L$6,"/",B86),Proventos!$D:$D,"&lt;"&amp;CONCATENATE($M$6,"/",B86),Proventos!$J:$J,"="&amp;$H$2),
AND($H$2=Data!$A$7,$K$2=Data!$A$2),SUMIFS(Proventos!$H:$H,Proventos!$D:$D,"&gt;="&amp;CONCATENATE($L$6,"/",B86),Proventos!$D:$D,"&lt;"&amp;CONCATENATE($M$6,"/",B86),Proventos!$J:$J,"="&amp;$H$2),
AND($H$2=Data!$A$8,$K$2=Data!$A$2),SUMIFS(Proventos!$H:$H,Proventos!$D:$D,"&gt;="&amp;CONCATENATE($L$6,"/",B86),Proventos!$D:$D,"&lt;"&amp;CONCATENATE($M$6,"/",B86),Proventos!$J:$J,"="&amp;$H$2),
AND($H$2=Data!$A$9,$K$2=Data!$A$2),SUMIFS(Proventos!$H:$H,Proventos!$D:$D,"&gt;="&amp;CONCATENATE($L$6,"/",B86),Proventos!$D:$D,"&lt;"&amp;CONCATENATE($M$6,"/",B86),Proventos!$J:$J,"="&amp;$H$2),
AND($H$2=Data!$A$10,$K$2=Data!$A$2),SUMIFS(Proventos!$H:$H,Proventos!$D:$D,"&gt;="&amp;CONCATENATE($L$6,"/",B86),Proventos!$D:$D,"&lt;"&amp;CONCATENATE($M$6,"/",B86),Proventos!$J:$J,"="&amp;$H$2),
AND($H$2=Data!$A$11,$K$2=Data!$A$2),SUMIFS(Proventos!$H:$H,Proventos!$D:$D,"&gt;="&amp;CONCATENATE($L$6,"/",B86),Proventos!$D:$D,"&lt;"&amp;CONCATENATE($M$6,"/",B86),Proventos!$J:$J,"="&amp;$H$2),
$K$2=Data!$A$2,SUMIFS(Proventos!$H:$H,Proventos!$D:$D,"&gt;="&amp;CONCATENATE($L$6,"/",B86),Proventos!$D:$D,"&lt;"&amp;CONCATENATE($M$6,"/",B86)),
$K$2&lt;&gt;Data!$A$2,SUMIFS(Proventos!$H:$H,Proventos!$D:$D,"&gt;="&amp;CONCATENATE($L$6,"/",B86),Proventos!$D:$D,"&lt;"&amp;CONCATENATE($M$6,"/",B86),Proventos!$A:$A,"="&amp;$K$2))</f>
        <v>0</v>
      </c>
      <c r="M86" s="245">
        <f>IFS(
AND($H$2=Data!$A$3,$K$2=Data!$A$2),SUMIFS(Proventos!$H:$H,Proventos!$D:$D,"&gt;="&amp;CONCATENATE($M$6,"/",B86),Proventos!$D:$D,"&lt;"&amp;CONCATENATE($N$6,"/",B86),Proventos!$J:$J,"="&amp;$H$2),
AND($H$2=Data!$A$4,$K$2=Data!$A$2),SUMIFS(Proventos!$H:$H,Proventos!$D:$D,"&gt;="&amp;CONCATENATE($M$6,"/",B86),Proventos!$D:$D,"&lt;"&amp;CONCATENATE($N$6,"/",B86),Proventos!$J:$J,"="&amp;$H$2),
AND($H$2=Data!$A$5,$K$2=Data!$A$2),SUMIFS(Proventos!$H:$H,Proventos!$D:$D,"&gt;="&amp;CONCATENATE($M$6,"/",B86),Proventos!$D:$D,"&lt;"&amp;CONCATENATE($N$6,"/",B86),Proventos!$J:$J,"="&amp;$H$2),
AND($H$2=Data!$A$6,$K$2=Data!$A$2),SUMIFS(Proventos!$H:$H,Proventos!$D:$D,"&gt;="&amp;CONCATENATE($M$6,"/",B86),Proventos!$D:$D,"&lt;"&amp;CONCATENATE($N$6,"/",B86),Proventos!$J:$J,"="&amp;$H$2),
AND($H$2=Data!$A$7,$K$2=Data!$A$2),SUMIFS(Proventos!$H:$H,Proventos!$D:$D,"&gt;="&amp;CONCATENATE($M$6,"/",B86),Proventos!$D:$D,"&lt;"&amp;CONCATENATE($N$6,"/",B86),Proventos!$J:$J,"="&amp;$H$2),
AND($H$2=Data!$A$8,$K$2=Data!$A$2),SUMIFS(Proventos!$H:$H,Proventos!$D:$D,"&gt;="&amp;CONCATENATE($M$6,"/",B86),Proventos!$D:$D,"&lt;"&amp;CONCATENATE($N$6,"/",B86),Proventos!$J:$J,"="&amp;$H$2),
AND($H$2=Data!$A$9,$K$2=Data!$A$2),SUMIFS(Proventos!$H:$H,Proventos!$D:$D,"&gt;="&amp;CONCATENATE($M$6,"/",B86),Proventos!$D:$D,"&lt;"&amp;CONCATENATE($N$6,"/",B86),Proventos!$J:$J,"="&amp;$H$2),
AND($H$2=Data!$A$10,$K$2=Data!$A$2),SUMIFS(Proventos!$H:$H,Proventos!$D:$D,"&gt;="&amp;CONCATENATE($M$6,"/",B86),Proventos!$D:$D,"&lt;"&amp;CONCATENATE($N$6,"/",B86),Proventos!$J:$J,"="&amp;$H$2),
AND($H$2=Data!$A$11,$K$2=Data!$A$2),SUMIFS(Proventos!$H:$H,Proventos!$D:$D,"&gt;="&amp;CONCATENATE($M$6,"/",B86),Proventos!$D:$D,"&lt;"&amp;CONCATENATE($N$6,"/",B86),Proventos!$J:$J,"="&amp;$H$2),
$K$2=Data!$A$2,SUMIFS(Proventos!$H:$H,Proventos!$D:$D,"&gt;="&amp;CONCATENATE($M$6,"/",B86),Proventos!$D:$D,"&lt;"&amp;CONCATENATE($N$6,"/",B86)),
$K$2&lt;&gt;Data!$A$2,SUMIFS(Proventos!$H:$H,Proventos!$D:$D,"&gt;="&amp;CONCATENATE($M$6,"/",B86),Proventos!$D:$D,"&lt;"&amp;CONCATENATE($N$6,"/",B86),Proventos!$A:$A,"="&amp;$K$2))</f>
        <v>0</v>
      </c>
      <c r="N86" s="245">
        <f>IFS(
AND($H$2=Data!$A$3,$K$2=Data!$A$2),SUMIFS(Proventos!$H:$H,Proventos!$D:$D,"&gt;="&amp;CONCATENATE($N$6,"/",B86),Proventos!$D:$D,"&lt;"&amp;CONCATENATE($C$6,"/",B87),Proventos!$J:$J,"="&amp;$H$2),
AND($H$2=Data!$A$4,$K$2=Data!$A$2),SUMIFS(Proventos!$H:$H,Proventos!$D:$D,"&gt;="&amp;CONCATENATE($N$6,"/",B86),Proventos!$D:$D,"&lt;"&amp;CONCATENATE($C$6,"/",B87),Proventos!$J:$J,"="&amp;$H$2),
AND($H$2=Data!$A$5,$K$2=Data!$A$2),SUMIFS(Proventos!$H:$H,Proventos!$D:$D,"&gt;="&amp;CONCATENATE($N$6,"/",B86),Proventos!$D:$D,"&lt;"&amp;CONCATENATE($C$6,"/",B87),Proventos!$J:$J,"="&amp;$H$2),
AND($H$2=Data!$A$6,$K$2=Data!$A$2),SUMIFS(Proventos!$H:$H,Proventos!$D:$D,"&gt;="&amp;CONCATENATE($N$6,"/",B86),Proventos!$D:$D,"&lt;"&amp;CONCATENATE($C$6,"/",B87),Proventos!$J:$J,"="&amp;$H$2),
AND($H$2=Data!$A$7,$K$2=Data!$A$2),SUMIFS(Proventos!$H:$H,Proventos!$D:$D,"&gt;="&amp;CONCATENATE($N$6,"/",B86),Proventos!$D:$D,"&lt;"&amp;CONCATENATE($C$6,"/",B87),Proventos!$J:$J,"="&amp;$H$2),
AND($H$2=Data!$A$8,$K$2=Data!$A$2),SUMIFS(Proventos!$H:$H,Proventos!$D:$D,"&gt;="&amp;CONCATENATE($N$6,"/",B86),Proventos!$D:$D,"&lt;"&amp;CONCATENATE($C$6,"/",B87),Proventos!$J:$J,"="&amp;$H$2),
AND($H$2=Data!$A$9,$K$2=Data!$A$2),SUMIFS(Proventos!$H:$H,Proventos!$D:$D,"&gt;="&amp;CONCATENATE($N$6,"/",B86),Proventos!$D:$D,"&lt;"&amp;CONCATENATE($C$6,"/",B87),Proventos!$J:$J,"="&amp;$H$2),
AND($H$2=Data!$A$10,$K$2=Data!$A$2),SUMIFS(Proventos!$H:$H,Proventos!$D:$D,"&gt;="&amp;CONCATENATE($N$6,"/",B86),Proventos!$D:$D,"&lt;"&amp;CONCATENATE($C$6,"/",B87),Proventos!$J:$J,"="&amp;$H$2),
AND($H$2=Data!$A$11,$K$2=Data!$A$2),SUMIFS(Proventos!$H:$H,Proventos!$D:$D,"&gt;="&amp;CONCATENATE($N$6,"/",B86),Proventos!$D:$D,"&lt;"&amp;CONCATENATE($C$6,"/",B87),Proventos!$J:$J,"="&amp;$H$2),
$K$2=Data!$A$2,SUMIFS(Proventos!$H:$H,Proventos!$D:$D,"&gt;="&amp;CONCATENATE($N$6,"/",B86),Proventos!$D:$D,"&lt;"&amp;CONCATENATE($C$6,"/",B87)),
$K$2&lt;&gt;Data!$A$2,SUMIFS(Proventos!$H:$H,Proventos!$D:$D,"&gt;="&amp;CONCATENATE($N$6,"/",B86),Proventos!$D:$D,"&lt;"&amp;CONCATENATE($C$6,"/",B87),Proventos!$A:$A,"="&amp;$K$2))</f>
        <v>0</v>
      </c>
      <c r="O86" s="245"/>
      <c r="P86" s="245">
        <f t="shared" si="1"/>
        <v>0</v>
      </c>
      <c r="Q86" s="245">
        <f t="shared" si="2"/>
        <v>0</v>
      </c>
    </row>
    <row r="87" ht="32.25" customHeight="1">
      <c r="A87" s="230"/>
      <c r="B87" s="244"/>
      <c r="C87" s="245">
        <f>IFS(
AND($H$2=Data!$A$3,$K$2=Data!$A$2),SUMIFS(Proventos!$H:$H,Proventos!$D:$D,"&gt;="&amp;CONCATENATE($C$6,"/",B87),Proventos!$D:$D,"&lt;"&amp;CONCATENATE($D$6,"/",B87),Proventos!$J:$J,"="&amp;$H$2),
AND($H$2=Data!$A$4,$K$2=Data!$A$2),SUMIFS(Proventos!$H:$H,Proventos!$D:$D,"&gt;="&amp;CONCATENATE($C$6,"/",B87),Proventos!$D:$D,"&lt;"&amp;CONCATENATE($D$6,"/",B87),Proventos!$J:$J,"="&amp;$H$2),
AND($H$2=Data!$A$5,$K$2=Data!$A$2),SUMIFS(Proventos!$H:$H,Proventos!$D:$D,"&gt;="&amp;CONCATENATE($C$6,"/",B87),Proventos!$D:$D,"&lt;"&amp;CONCATENATE($D$6,"/",B87),Proventos!$J:$J,"="&amp;$H$2),
AND($H$2=Data!$A$6,$K$2=Data!$A$2),SUMIFS(Proventos!$H:$H,Proventos!$D:$D,"&gt;="&amp;CONCATENATE($C$6,"/",B87),Proventos!$D:$D,"&lt;"&amp;CONCATENATE($D$6,"/",B87),Proventos!$J:$J,"="&amp;$H$2),
AND($H$2=Data!$A$7,$K$2=Data!$A$2),SUMIFS(Proventos!$H:$H,Proventos!$D:$D,"&gt;="&amp;CONCATENATE($C$6,"/",B87),Proventos!$D:$D,"&lt;"&amp;CONCATENATE($D$6,"/",B87),Proventos!$J:$J,"="&amp;$H$2),
AND($H$2=Data!$A$8,$K$2=Data!$A$2),SUMIFS(Proventos!$H:$H,Proventos!$D:$D,"&gt;="&amp;CONCATENATE($C$6,"/",B87),Proventos!$D:$D,"&lt;"&amp;CONCATENATE($D$6,"/",B87),Proventos!$J:$J,"="&amp;$H$2),
AND($H$2=Data!$A$9,$K$2=Data!$A$2),SUMIFS(Proventos!$H:$H,Proventos!$D:$D,"&gt;="&amp;CONCATENATE($C$6,"/",B87),Proventos!$D:$D,"&lt;"&amp;CONCATENATE($D$6,"/",B87),Proventos!$J:$J,"="&amp;$H$2),
AND($H$2=Data!$A$10,$K$2=Data!$A$2),SUMIFS(Proventos!$H:$H,Proventos!$D:$D,"&gt;="&amp;CONCATENATE($C$6,"/",B87),Proventos!$D:$D,"&lt;"&amp;CONCATENATE($D$6,"/",B87),Proventos!$J:$J,"="&amp;$H$2),
AND($H$2=Data!$A$11,$K$2=Data!$A$2),SUMIFS(Proventos!$H:$H,Proventos!$D:$D,"&gt;="&amp;CONCATENATE($C$6,"/",B87),Proventos!$D:$D,"&lt;"&amp;CONCATENATE($D$6,"/",B87),Proventos!$J:$J,"="&amp;$H$2),
$K$2=Data!$A$2,SUMIFS(Proventos!$H:$H,Proventos!$D:$D,"&gt;="&amp;CONCATENATE($C$6,"/",B87),Proventos!$D:$D,"&lt;"&amp;CONCATENATE($D$6,"/",B87)),
$K$2&lt;&gt;Data!$A$2,SUMIFS(Proventos!$H:$H,Proventos!$D:$D,"&gt;="&amp;CONCATENATE($C$6,"/",B87),Proventos!$D:$D,"&lt;"&amp;CONCATENATE($D$6,"/",B87),Proventos!$A:$A,"="&amp;$K$2))</f>
        <v>0</v>
      </c>
      <c r="D87" s="245">
        <f>IFS(
AND($H$2=Data!$A$3,$K$2=Data!$A$2),SUMIFS(Proventos!$H:$H,Proventos!$D:$D,"&gt;="&amp;CONCATENATE($D$6,"/",B87),Proventos!$D:$D,"&lt;"&amp;CONCATENATE($E$6,"/",B87),Proventos!$J:$J,"="&amp;$H$2),
AND($H$2=Data!$A$4,$K$2=Data!$A$2),SUMIFS(Proventos!$H:$H,Proventos!$D:$D,"&gt;="&amp;CONCATENATE($D$6,"/",B87),Proventos!$D:$D,"&lt;"&amp;CONCATENATE($E$6,"/",B87),Proventos!$J:$J,"="&amp;$H$2),
AND($H$2=Data!$A$5,$K$2=Data!$A$2),SUMIFS(Proventos!$H:$H,Proventos!$D:$D,"&gt;="&amp;CONCATENATE($D$6,"/",B87),Proventos!$D:$D,"&lt;"&amp;CONCATENATE($E$6,"/",B87),Proventos!$J:$J,"="&amp;$H$2),
AND($H$2=Data!$A$6,$K$2=Data!$A$2),SUMIFS(Proventos!$H:$H,Proventos!$D:$D,"&gt;="&amp;CONCATENATE($D$6,"/",B87),Proventos!$D:$D,"&lt;"&amp;CONCATENATE($E$6,"/",B87),Proventos!$J:$J,"="&amp;$H$2),
AND($H$2=Data!$A$7,$K$2=Data!$A$2),SUMIFS(Proventos!$H:$H,Proventos!$D:$D,"&gt;="&amp;CONCATENATE($D$6,"/",B87),Proventos!$D:$D,"&lt;"&amp;CONCATENATE($E$6,"/",B87),Proventos!$J:$J,"="&amp;$H$2),
AND($H$2=Data!$A$8,$K$2=Data!$A$2),SUMIFS(Proventos!$H:$H,Proventos!$D:$D,"&gt;="&amp;CONCATENATE($D$6,"/",B87),Proventos!$D:$D,"&lt;"&amp;CONCATENATE($E$6,"/",B87),Proventos!$J:$J,"="&amp;$H$2),
AND($H$2=Data!$A$9,$K$2=Data!$A$2),SUMIFS(Proventos!$H:$H,Proventos!$D:$D,"&gt;="&amp;CONCATENATE($D$6,"/",B87),Proventos!$D:$D,"&lt;"&amp;CONCATENATE($E$6,"/",B87),Proventos!$J:$J,"="&amp;$H$2),
AND($H$2=Data!$A$10,$K$2=Data!$A$2),SUMIFS(Proventos!$H:$H,Proventos!$D:$D,"&gt;="&amp;CONCATENATE($D$6,"/",B87),Proventos!$D:$D,"&lt;"&amp;CONCATENATE($E$6,"/",B87),Proventos!$J:$J,"="&amp;$H$2),
AND($H$2=Data!$A$11,$K$2=Data!$A$2),SUMIFS(Proventos!$H:$H,Proventos!$D:$D,"&gt;="&amp;CONCATENATE($D$6,"/",B87),Proventos!$D:$D,"&lt;"&amp;CONCATENATE($E$6,"/",B87),Proventos!$J:$J,"="&amp;$H$2),
$K$2=Data!$A$2,SUMIFS(Proventos!$H:$H,Proventos!$D:$D,"&gt;="&amp;CONCATENATE($D$6,"/",B87),Proventos!$D:$D,"&lt;"&amp;CONCATENATE($E$6,"/",B87)),
$K$2&lt;&gt;Data!$A$2,SUMIFS(Proventos!$H:$H,Proventos!$D:$D,"&gt;="&amp;CONCATENATE($D$6,"/",B87),Proventos!$D:$D,"&lt;"&amp;CONCATENATE($E$6,"/",B87),Proventos!$A:$A,"="&amp;$K$2))</f>
        <v>0</v>
      </c>
      <c r="E87" s="245">
        <f>IFS(
AND($H$2=Data!$A$3,$K$2=Data!$A$2),SUMIFS(Proventos!$H:$H,Proventos!$D:$D,"&gt;="&amp;CONCATENATE($E$6,"/",B87),Proventos!$D:$D,"&lt;"&amp;CONCATENATE($F$6,"/",B87),Proventos!$J:$J,"="&amp;$H$2),
AND($H$2=Data!$A$4,$K$2=Data!$A$2),SUMIFS(Proventos!$H:$H,Proventos!$D:$D,"&gt;="&amp;CONCATENATE($E$6,"/",B87),Proventos!$D:$D,"&lt;"&amp;CONCATENATE($F$6,"/",B87),Proventos!$J:$J,"="&amp;$H$2),
AND($H$2=Data!$A$5,$K$2=Data!$A$2),SUMIFS(Proventos!$H:$H,Proventos!$D:$D,"&gt;="&amp;CONCATENATE($E$6,"/",B87),Proventos!$D:$D,"&lt;"&amp;CONCATENATE($F$6,"/",B87),Proventos!$J:$J,"="&amp;$H$2),
AND($H$2=Data!$A$6,$K$2=Data!$A$2),SUMIFS(Proventos!$H:$H,Proventos!$D:$D,"&gt;="&amp;CONCATENATE($E$6,"/",B87),Proventos!$D:$D,"&lt;"&amp;CONCATENATE($F$6,"/",B87),Proventos!$J:$J,"="&amp;$H$2),
AND($H$2=Data!$A$7,$K$2=Data!$A$2),SUMIFS(Proventos!$H:$H,Proventos!$D:$D,"&gt;="&amp;CONCATENATE($E$6,"/",B87),Proventos!$D:$D,"&lt;"&amp;CONCATENATE($F$6,"/",B87),Proventos!$J:$J,"="&amp;$H$2),
AND($H$2=Data!$A$8,$K$2=Data!$A$2),SUMIFS(Proventos!$H:$H,Proventos!$D:$D,"&gt;="&amp;CONCATENATE($E$6,"/",B87),Proventos!$D:$D,"&lt;"&amp;CONCATENATE($F$6,"/",B87),Proventos!$J:$J,"="&amp;$H$2),
AND($H$2=Data!$A$9,$K$2=Data!$A$2),SUMIFS(Proventos!$H:$H,Proventos!$D:$D,"&gt;="&amp;CONCATENATE($E$6,"/",B87),Proventos!$D:$D,"&lt;"&amp;CONCATENATE($F$6,"/",B87),Proventos!$J:$J,"="&amp;$H$2),
AND($H$2=Data!$A$10,$K$2=Data!$A$2),SUMIFS(Proventos!$H:$H,Proventos!$D:$D,"&gt;="&amp;CONCATENATE($E$6,"/",B87),Proventos!$D:$D,"&lt;"&amp;CONCATENATE($F$6,"/",B87),Proventos!$J:$J,"="&amp;$H$2),
AND($H$2=Data!$A$11,$K$2=Data!$A$2),SUMIFS(Proventos!$H:$H,Proventos!$D:$D,"&gt;="&amp;CONCATENATE($E$6,"/",B87),Proventos!$D:$D,"&lt;"&amp;CONCATENATE($F$6,"/",B87),Proventos!$J:$J,"="&amp;$H$2),
$K$2=Data!$A$2,SUMIFS(Proventos!$H:$H,Proventos!$D:$D,"&gt;="&amp;CONCATENATE($E$6,"/",B87),Proventos!$D:$D,"&lt;"&amp;CONCATENATE($F$6,"/",B87)),
$K$2&lt;&gt;Data!$A$2,SUMIFS(Proventos!$H:$H,Proventos!$D:$D,"&gt;="&amp;CONCATENATE($E$6,"/",B87),Proventos!$D:$D,"&lt;"&amp;CONCATENATE($F$6,"/",B87),Proventos!$A:$A,"="&amp;$K$2))</f>
        <v>0</v>
      </c>
      <c r="F87" s="245">
        <f>IFS(
AND($H$2=Data!$A$3,$K$2=Data!$A$2),SUMIFS(Proventos!$H:$H,Proventos!$D:$D,"&gt;="&amp;CONCATENATE($F$6,"/",B87),Proventos!$D:$D,"&lt;"&amp;CONCATENATE($G$6,"/",B87),Proventos!$J:$J,"="&amp;$H$2),
AND($H$2=Data!$A$4,$K$2=Data!$A$2),SUMIFS(Proventos!$H:$H,Proventos!$D:$D,"&gt;="&amp;CONCATENATE($F$6,"/",B87),Proventos!$D:$D,"&lt;"&amp;CONCATENATE($G$6,"/",B87),Proventos!$J:$J,"="&amp;$H$2),
AND($H$2=Data!$A$5,$K$2=Data!$A$2),SUMIFS(Proventos!$H:$H,Proventos!$D:$D,"&gt;="&amp;CONCATENATE($F$6,"/",B87),Proventos!$D:$D,"&lt;"&amp;CONCATENATE($G$6,"/",B87),Proventos!$J:$J,"="&amp;$H$2),
AND($H$2=Data!$A$6,$K$2=Data!$A$2),SUMIFS(Proventos!$H:$H,Proventos!$D:$D,"&gt;="&amp;CONCATENATE($F$6,"/",B87),Proventos!$D:$D,"&lt;"&amp;CONCATENATE($G$6,"/",B87),Proventos!$J:$J,"="&amp;$H$2),
AND($H$2=Data!$A$7,$K$2=Data!$A$2),SUMIFS(Proventos!$H:$H,Proventos!$D:$D,"&gt;="&amp;CONCATENATE($F$6,"/",B87),Proventos!$D:$D,"&lt;"&amp;CONCATENATE($G$6,"/",B87),Proventos!$J:$J,"="&amp;$H$2),
AND($H$2=Data!$A$8,$K$2=Data!$A$2),SUMIFS(Proventos!$H:$H,Proventos!$D:$D,"&gt;="&amp;CONCATENATE($F$6,"/",B87),Proventos!$D:$D,"&lt;"&amp;CONCATENATE($G$6,"/",B87),Proventos!$J:$J,"="&amp;$H$2),
AND($H$2=Data!$A$9,$K$2=Data!$A$2),SUMIFS(Proventos!$H:$H,Proventos!$D:$D,"&gt;="&amp;CONCATENATE($F$6,"/",B87),Proventos!$D:$D,"&lt;"&amp;CONCATENATE($G$6,"/",B87),Proventos!$J:$J,"="&amp;$H$2),
AND($H$2=Data!$A$10,$K$2=Data!$A$2),SUMIFS(Proventos!$H:$H,Proventos!$D:$D,"&gt;="&amp;CONCATENATE($F$6,"/",B87),Proventos!$D:$D,"&lt;"&amp;CONCATENATE($G$6,"/",B87),Proventos!$J:$J,"="&amp;$H$2),
AND($H$2=Data!$A$11,$K$2=Data!$A$2),SUMIFS(Proventos!$H:$H,Proventos!$D:$D,"&gt;="&amp;CONCATENATE($F$6,"/",B87),Proventos!$D:$D,"&lt;"&amp;CONCATENATE($G$6,"/",B87),Proventos!$J:$J,"="&amp;$H$2),
$K$2=Data!$A$2,SUMIFS(Proventos!$H:$H,Proventos!$D:$D,"&gt;="&amp;CONCATENATE($F$6,"/",B87),Proventos!$D:$D,"&lt;"&amp;CONCATENATE($G$6,"/",B87)),
$K$2&lt;&gt;Data!$A$2,SUMIFS(Proventos!$H:$H,Proventos!$D:$D,"&gt;="&amp;CONCATENATE($F$6,"/",B87),Proventos!$D:$D,"&lt;"&amp;CONCATENATE($G$6,"/",B87),Proventos!$A:$A,"="&amp;$K$2))</f>
        <v>0</v>
      </c>
      <c r="G87" s="245">
        <f>IFS(
AND($H$2=Data!$A$3,$K$2=Data!$A$2),SUMIFS(Proventos!$H:$H,Proventos!$D:$D,"&gt;="&amp;CONCATENATE($G$6,"/",B87),Proventos!$D:$D,"&lt;"&amp;CONCATENATE($H$6,"/",B87),Proventos!$J:$J,"="&amp;$H$2),
AND($H$2=Data!$A$4,$K$2=Data!$A$2),SUMIFS(Proventos!$H:$H,Proventos!$D:$D,"&gt;="&amp;CONCATENATE($G$6,"/",B87),Proventos!$D:$D,"&lt;"&amp;CONCATENATE($H$6,"/",B87),Proventos!$J:$J,"="&amp;$H$2),
AND($H$2=Data!$A$5,$K$2=Data!$A$2),SUMIFS(Proventos!$H:$H,Proventos!$D:$D,"&gt;="&amp;CONCATENATE($G$6,"/",B87),Proventos!$D:$D,"&lt;"&amp;CONCATENATE($H$6,"/",B87),Proventos!$J:$J,"="&amp;$H$2),
AND($H$2=Data!$A$6,$K$2=Data!$A$2),SUMIFS(Proventos!$H:$H,Proventos!$D:$D,"&gt;="&amp;CONCATENATE($G$6,"/",B87),Proventos!$D:$D,"&lt;"&amp;CONCATENATE($H$6,"/",B87),Proventos!$J:$J,"="&amp;$H$2),
AND($H$2=Data!$A$7,$K$2=Data!$A$2),SUMIFS(Proventos!$H:$H,Proventos!$D:$D,"&gt;="&amp;CONCATENATE($G$6,"/",B87),Proventos!$D:$D,"&lt;"&amp;CONCATENATE($H$6,"/",B87),Proventos!$J:$J,"="&amp;$H$2),
AND($H$2=Data!$A$8,$K$2=Data!$A$2),SUMIFS(Proventos!$H:$H,Proventos!$D:$D,"&gt;="&amp;CONCATENATE($G$6,"/",B87),Proventos!$D:$D,"&lt;"&amp;CONCATENATE($H$6,"/",B87),Proventos!$J:$J,"="&amp;$H$2),
AND($H$2=Data!$A$9,$K$2=Data!$A$2),SUMIFS(Proventos!$H:$H,Proventos!$D:$D,"&gt;="&amp;CONCATENATE($G$6,"/",B87),Proventos!$D:$D,"&lt;"&amp;CONCATENATE($H$6,"/",B87),Proventos!$J:$J,"="&amp;$H$2),
AND($H$2=Data!$A$10,$K$2=Data!$A$2),SUMIFS(Proventos!$H:$H,Proventos!$D:$D,"&gt;="&amp;CONCATENATE($G$6,"/",B87),Proventos!$D:$D,"&lt;"&amp;CONCATENATE($H$6,"/",B87),Proventos!$J:$J,"="&amp;$H$2),
AND($H$2=Data!$A$11,$K$2=Data!$A$2),SUMIFS(Proventos!$H:$H,Proventos!$D:$D,"&gt;="&amp;CONCATENATE($G$6,"/",B87),Proventos!$D:$D,"&lt;"&amp;CONCATENATE($H$6,"/",B87),Proventos!$J:$J,"="&amp;$H$2),
$K$2=Data!$A$2,SUMIFS(Proventos!$H:$H,Proventos!$D:$D,"&gt;="&amp;CONCATENATE($G$6,"/",B87),Proventos!$D:$D,"&lt;"&amp;CONCATENATE($H$6,"/",B87)),
$K$2&lt;&gt;Data!$A$2,SUMIFS(Proventos!$H:$H,Proventos!$D:$D,"&gt;="&amp;CONCATENATE($G$6,"/",B87),Proventos!$D:$D,"&lt;"&amp;CONCATENATE($H$6,"/",B87),Proventos!$A:$A,"="&amp;$K$2))</f>
        <v>0</v>
      </c>
      <c r="H87" s="245">
        <f>IFS(
AND($H$2=Data!$A$3,$K$2=Data!$A$2),SUMIFS(Proventos!$H:$H,Proventos!$D:$D,"&gt;="&amp;CONCATENATE($H$6,"/",B87),Proventos!$D:$D,"&lt;"&amp;CONCATENATE($I$6,"/",B87),Proventos!$J:$J,"="&amp;$H$2),
AND($H$2=Data!$A$4,$K$2=Data!$A$2),SUMIFS(Proventos!$H:$H,Proventos!$D:$D,"&gt;="&amp;CONCATENATE($H$6,"/",B87),Proventos!$D:$D,"&lt;"&amp;CONCATENATE($I$6,"/",B87),Proventos!$J:$J,"="&amp;$H$2),
AND($H$2=Data!$A$5,$K$2=Data!$A$2),SUMIFS(Proventos!$H:$H,Proventos!$D:$D,"&gt;="&amp;CONCATENATE($H$6,"/",B87),Proventos!$D:$D,"&lt;"&amp;CONCATENATE($I$6,"/",B87),Proventos!$J:$J,"="&amp;$H$2),
AND($H$2=Data!$A$6,$K$2=Data!$A$2),SUMIFS(Proventos!$H:$H,Proventos!$D:$D,"&gt;="&amp;CONCATENATE($H$6,"/",B87),Proventos!$D:$D,"&lt;"&amp;CONCATENATE($I$6,"/",B87),Proventos!$J:$J,"="&amp;$H$2),
AND($H$2=Data!$A$7,$K$2=Data!$A$2),SUMIFS(Proventos!$H:$H,Proventos!$D:$D,"&gt;="&amp;CONCATENATE($H$6,"/",B87),Proventos!$D:$D,"&lt;"&amp;CONCATENATE($I$6,"/",B87),Proventos!$J:$J,"="&amp;$H$2),
AND($H$2=Data!$A$8,$K$2=Data!$A$2),SUMIFS(Proventos!$H:$H,Proventos!$D:$D,"&gt;="&amp;CONCATENATE($H$6,"/",B87),Proventos!$D:$D,"&lt;"&amp;CONCATENATE($I$6,"/",B87),Proventos!$J:$J,"="&amp;$H$2),
AND($H$2=Data!$A$9,$K$2=Data!$A$2),SUMIFS(Proventos!$H:$H,Proventos!$D:$D,"&gt;="&amp;CONCATENATE($H$6,"/",B87),Proventos!$D:$D,"&lt;"&amp;CONCATENATE($I$6,"/",B87),Proventos!$J:$J,"="&amp;$H$2),
AND($H$2=Data!$A$10,$K$2=Data!$A$2),SUMIFS(Proventos!$H:$H,Proventos!$D:$D,"&gt;="&amp;CONCATENATE($H$6,"/",B87),Proventos!$D:$D,"&lt;"&amp;CONCATENATE($I$6,"/",B87),Proventos!$J:$J,"="&amp;$H$2),
AND($H$2=Data!$A$11,$K$2=Data!$A$2),SUMIFS(Proventos!$H:$H,Proventos!$D:$D,"&gt;="&amp;CONCATENATE($H$6,"/",B87),Proventos!$D:$D,"&lt;"&amp;CONCATENATE($I$6,"/",B87),Proventos!$J:$J,"="&amp;$H$2),
$K$2=Data!$A$2,SUMIFS(Proventos!$H:$H,Proventos!$D:$D,"&gt;="&amp;CONCATENATE($H$6,"/",B87),Proventos!$D:$D,"&lt;"&amp;CONCATENATE($I$6,"/",B87)),
$K$2&lt;&gt;Data!$A$2,SUMIFS(Proventos!$H:$H,Proventos!$D:$D,"&gt;="&amp;CONCATENATE($H$6,"/",B87),Proventos!$D:$D,"&lt;"&amp;CONCATENATE($I$6,"/",B87),Proventos!$A:$A,"="&amp;$K$2))</f>
        <v>0</v>
      </c>
      <c r="I87" s="245">
        <f>IFS(
AND($H$2=Data!$A$3,$K$2=Data!$A$2),SUMIFS(Proventos!$H:$H,Proventos!$D:$D,"&gt;="&amp;CONCATENATE($I$6,"/",B87),Proventos!$D:$D,"&lt;"&amp;CONCATENATE($J$6,"/",B87),Proventos!$J:$J,"="&amp;$H$2),
AND($H$2=Data!$A$4,$K$2=Data!$A$2),SUMIFS(Proventos!$H:$H,Proventos!$D:$D,"&gt;="&amp;CONCATENATE($I$6,"/",B87),Proventos!$D:$D,"&lt;"&amp;CONCATENATE($J$6,"/",B87),Proventos!$J:$J,"="&amp;$H$2),
AND($H$2=Data!$A$5,$K$2=Data!$A$2),SUMIFS(Proventos!$H:$H,Proventos!$D:$D,"&gt;="&amp;CONCATENATE($I$6,"/",B87),Proventos!$D:$D,"&lt;"&amp;CONCATENATE($J$6,"/",B87),Proventos!$J:$J,"="&amp;$H$2),
AND($H$2=Data!$A$6,$K$2=Data!$A$2),SUMIFS(Proventos!$H:$H,Proventos!$D:$D,"&gt;="&amp;CONCATENATE($I$6,"/",B87),Proventos!$D:$D,"&lt;"&amp;CONCATENATE($J$6,"/",B87),Proventos!$J:$J,"="&amp;$H$2),
AND($H$2=Data!$A$7,$K$2=Data!$A$2),SUMIFS(Proventos!$H:$H,Proventos!$D:$D,"&gt;="&amp;CONCATENATE($I$6,"/",B87),Proventos!$D:$D,"&lt;"&amp;CONCATENATE($J$6,"/",B87),Proventos!$J:$J,"="&amp;$H$2),
AND($H$2=Data!$A$8,$K$2=Data!$A$2),SUMIFS(Proventos!$H:$H,Proventos!$D:$D,"&gt;="&amp;CONCATENATE($I$6,"/",B87),Proventos!$D:$D,"&lt;"&amp;CONCATENATE($J$6,"/",B87),Proventos!$J:$J,"="&amp;$H$2),
AND($H$2=Data!$A$9,$K$2=Data!$A$2),SUMIFS(Proventos!$H:$H,Proventos!$D:$D,"&gt;="&amp;CONCATENATE($I$6,"/",B87),Proventos!$D:$D,"&lt;"&amp;CONCATENATE($J$6,"/",B87),Proventos!$J:$J,"="&amp;$H$2),
AND($H$2=Data!$A$10,$K$2=Data!$A$2),SUMIFS(Proventos!$H:$H,Proventos!$D:$D,"&gt;="&amp;CONCATENATE($I$6,"/",B87),Proventos!$D:$D,"&lt;"&amp;CONCATENATE($J$6,"/",B87),Proventos!$J:$J,"="&amp;$H$2),
AND($H$2=Data!$A$11,$K$2=Data!$A$2),SUMIFS(Proventos!$H:$H,Proventos!$D:$D,"&gt;="&amp;CONCATENATE($I$6,"/",B87),Proventos!$D:$D,"&lt;"&amp;CONCATENATE($J$6,"/",B87),Proventos!$J:$J,"="&amp;$H$2),
$K$2=Data!$A$2,SUMIFS(Proventos!$H:$H,Proventos!$D:$D,"&gt;="&amp;CONCATENATE($I$6,"/",B87),Proventos!$D:$D,"&lt;"&amp;CONCATENATE($J$6,"/",B87)),
$K$2&lt;&gt;Data!$A$2,SUMIFS(Proventos!$H:$H,Proventos!$D:$D,"&gt;="&amp;CONCATENATE($I$6,"/",B87),Proventos!$D:$D,"&lt;"&amp;CONCATENATE($J$6,"/",B87),Proventos!$A:$A,"="&amp;$K$2))</f>
        <v>0</v>
      </c>
      <c r="J87" s="245">
        <f>IFS(
AND($H$2=Data!$A$3,$K$2=Data!$A$2),SUMIFS(Proventos!$H:$H,Proventos!$D:$D,"&gt;="&amp;CONCATENATE($J$6,"/",B87),Proventos!$D:$D,"&lt;"&amp;CONCATENATE($K$6,"/",B87),Proventos!$J:$J,"="&amp;$H$2),
AND($H$2=Data!$A$4,$K$2=Data!$A$2),SUMIFS(Proventos!$H:$H,Proventos!$D:$D,"&gt;="&amp;CONCATENATE($J$6,"/",B87),Proventos!$D:$D,"&lt;"&amp;CONCATENATE($K$6,"/",B87),Proventos!$J:$J,"="&amp;$H$2),
AND($H$2=Data!$A$5,$K$2=Data!$A$2),SUMIFS(Proventos!$H:$H,Proventos!$D:$D,"&gt;="&amp;CONCATENATE($J$6,"/",B87),Proventos!$D:$D,"&lt;"&amp;CONCATENATE($K$6,"/",B87),Proventos!$J:$J,"="&amp;$H$2),
AND($H$2=Data!$A$6,$K$2=Data!$A$2),SUMIFS(Proventos!$H:$H,Proventos!$D:$D,"&gt;="&amp;CONCATENATE($J$6,"/",B87),Proventos!$D:$D,"&lt;"&amp;CONCATENATE($K$6,"/",B87),Proventos!$J:$J,"="&amp;$H$2),
AND($H$2=Data!$A$7,$K$2=Data!$A$2),SUMIFS(Proventos!$H:$H,Proventos!$D:$D,"&gt;="&amp;CONCATENATE($J$6,"/",B87),Proventos!$D:$D,"&lt;"&amp;CONCATENATE($K$6,"/",B87),Proventos!$J:$J,"="&amp;$H$2),
AND($H$2=Data!$A$8,$K$2=Data!$A$2),SUMIFS(Proventos!$H:$H,Proventos!$D:$D,"&gt;="&amp;CONCATENATE($J$6,"/",B87),Proventos!$D:$D,"&lt;"&amp;CONCATENATE($K$6,"/",B87),Proventos!$J:$J,"="&amp;$H$2),
AND($H$2=Data!$A$9,$K$2=Data!$A$2),SUMIFS(Proventos!$H:$H,Proventos!$D:$D,"&gt;="&amp;CONCATENATE($J$6,"/",B87),Proventos!$D:$D,"&lt;"&amp;CONCATENATE($K$6,"/",B87),Proventos!$J:$J,"="&amp;$H$2),
AND($H$2=Data!$A$10,$K$2=Data!$A$2),SUMIFS(Proventos!$H:$H,Proventos!$D:$D,"&gt;="&amp;CONCATENATE($J$6,"/",B87),Proventos!$D:$D,"&lt;"&amp;CONCATENATE($K$6,"/",B87),Proventos!$J:$J,"="&amp;$H$2),
AND($H$2=Data!$A$11,$K$2=Data!$A$2),SUMIFS(Proventos!$H:$H,Proventos!$D:$D,"&gt;="&amp;CONCATENATE($J$6,"/",B87),Proventos!$D:$D,"&lt;"&amp;CONCATENATE($K$6,"/",B87),Proventos!$J:$J,"="&amp;$H$2),
$K$2=Data!$A$2,SUMIFS(Proventos!$H:$H,Proventos!$D:$D,"&gt;="&amp;CONCATENATE($J$6,"/",B87),Proventos!$D:$D,"&lt;"&amp;CONCATENATE($K$6,"/",B87)),
$K$2&lt;&gt;Data!$A$2,SUMIFS(Proventos!$H:$H,Proventos!$D:$D,"&gt;="&amp;CONCATENATE($J$6,"/",B87),Proventos!$D:$D,"&lt;"&amp;CONCATENATE($K$6,"/",B87),Proventos!$A:$A,"="&amp;$K$2))</f>
        <v>0</v>
      </c>
      <c r="K87" s="245">
        <f>IFS(
AND($H$2=Data!$A$3,$K$2=Data!$A$2),SUMIFS(Proventos!$H:$H,Proventos!$D:$D,"&gt;="&amp;CONCATENATE($K$6,"/",B87),Proventos!$D:$D,"&lt;"&amp;CONCATENATE($L$6,"/",B87),Proventos!$J:$J,"="&amp;$H$2),
AND($H$2=Data!$A$4,$K$2=Data!$A$2),SUMIFS(Proventos!$H:$H,Proventos!$D:$D,"&gt;="&amp;CONCATENATE($K$6,"/",B87),Proventos!$D:$D,"&lt;"&amp;CONCATENATE($L$6,"/",B87),Proventos!$J:$J,"="&amp;$H$2),
AND($H$2=Data!$A$5,$K$2=Data!$A$2),SUMIFS(Proventos!$H:$H,Proventos!$D:$D,"&gt;="&amp;CONCATENATE($K$6,"/",B87),Proventos!$D:$D,"&lt;"&amp;CONCATENATE($L$6,"/",B87),Proventos!$J:$J,"="&amp;$H$2),
AND($H$2=Data!$A$6,$K$2=Data!$A$2),SUMIFS(Proventos!$H:$H,Proventos!$D:$D,"&gt;="&amp;CONCATENATE($K$6,"/",B87),Proventos!$D:$D,"&lt;"&amp;CONCATENATE($L$6,"/",B87),Proventos!$J:$J,"="&amp;$H$2),
AND($H$2=Data!$A$7,$K$2=Data!$A$2),SUMIFS(Proventos!$H:$H,Proventos!$D:$D,"&gt;="&amp;CONCATENATE($K$6,"/",B87),Proventos!$D:$D,"&lt;"&amp;CONCATENATE($L$6,"/",B87),Proventos!$J:$J,"="&amp;$H$2),
AND($H$2=Data!$A$8,$K$2=Data!$A$2),SUMIFS(Proventos!$H:$H,Proventos!$D:$D,"&gt;="&amp;CONCATENATE($K$6,"/",B87),Proventos!$D:$D,"&lt;"&amp;CONCATENATE($L$6,"/",B87),Proventos!$J:$J,"="&amp;$H$2),
AND($H$2=Data!$A$9,$K$2=Data!$A$2),SUMIFS(Proventos!$H:$H,Proventos!$D:$D,"&gt;="&amp;CONCATENATE($K$6,"/",B87),Proventos!$D:$D,"&lt;"&amp;CONCATENATE($L$6,"/",B87),Proventos!$J:$J,"="&amp;$H$2),
AND($H$2=Data!$A$10,$K$2=Data!$A$2),SUMIFS(Proventos!$H:$H,Proventos!$D:$D,"&gt;="&amp;CONCATENATE($K$6,"/",B87),Proventos!$D:$D,"&lt;"&amp;CONCATENATE($L$6,"/",B87),Proventos!$J:$J,"="&amp;$H$2),
AND($H$2=Data!$A$11,$K$2=Data!$A$2),SUMIFS(Proventos!$H:$H,Proventos!$D:$D,"&gt;="&amp;CONCATENATE($K$6,"/",B87),Proventos!$D:$D,"&lt;"&amp;CONCATENATE($L$6,"/",B87),Proventos!$J:$J,"="&amp;$H$2),
$K$2=Data!$A$2,SUMIFS(Proventos!$H:$H,Proventos!$D:$D,"&gt;="&amp;CONCATENATE($K$6,"/",B87),Proventos!$D:$D,"&lt;"&amp;CONCATENATE($L$6,"/",B87)),
$K$2&lt;&gt;Data!$A$2,SUMIFS(Proventos!$H:$H,Proventos!$D:$D,"&gt;="&amp;CONCATENATE($K$6,"/",B87),Proventos!$D:$D,"&lt;"&amp;CONCATENATE($L$6,"/",B87),Proventos!$A:$A,"="&amp;$K$2))</f>
        <v>0</v>
      </c>
      <c r="L87" s="245">
        <f>IFS(
AND($H$2=Data!$A$3,$K$2=Data!$A$2),SUMIFS(Proventos!$H:$H,Proventos!$D:$D,"&gt;="&amp;CONCATENATE($L$6,"/",B87),Proventos!$D:$D,"&lt;"&amp;CONCATENATE($M$6,"/",B87),Proventos!$J:$J,"="&amp;$H$2),
AND($H$2=Data!$A$4,$K$2=Data!$A$2),SUMIFS(Proventos!$H:$H,Proventos!$D:$D,"&gt;="&amp;CONCATENATE($L$6,"/",B87),Proventos!$D:$D,"&lt;"&amp;CONCATENATE($M$6,"/",B87),Proventos!$J:$J,"="&amp;$H$2),
AND($H$2=Data!$A$5,$K$2=Data!$A$2),SUMIFS(Proventos!$H:$H,Proventos!$D:$D,"&gt;="&amp;CONCATENATE($L$6,"/",B87),Proventos!$D:$D,"&lt;"&amp;CONCATENATE($M$6,"/",B87),Proventos!$J:$J,"="&amp;$H$2),
AND($H$2=Data!$A$6,$K$2=Data!$A$2),SUMIFS(Proventos!$H:$H,Proventos!$D:$D,"&gt;="&amp;CONCATENATE($L$6,"/",B87),Proventos!$D:$D,"&lt;"&amp;CONCATENATE($M$6,"/",B87),Proventos!$J:$J,"="&amp;$H$2),
AND($H$2=Data!$A$7,$K$2=Data!$A$2),SUMIFS(Proventos!$H:$H,Proventos!$D:$D,"&gt;="&amp;CONCATENATE($L$6,"/",B87),Proventos!$D:$D,"&lt;"&amp;CONCATENATE($M$6,"/",B87),Proventos!$J:$J,"="&amp;$H$2),
AND($H$2=Data!$A$8,$K$2=Data!$A$2),SUMIFS(Proventos!$H:$H,Proventos!$D:$D,"&gt;="&amp;CONCATENATE($L$6,"/",B87),Proventos!$D:$D,"&lt;"&amp;CONCATENATE($M$6,"/",B87),Proventos!$J:$J,"="&amp;$H$2),
AND($H$2=Data!$A$9,$K$2=Data!$A$2),SUMIFS(Proventos!$H:$H,Proventos!$D:$D,"&gt;="&amp;CONCATENATE($L$6,"/",B87),Proventos!$D:$D,"&lt;"&amp;CONCATENATE($M$6,"/",B87),Proventos!$J:$J,"="&amp;$H$2),
AND($H$2=Data!$A$10,$K$2=Data!$A$2),SUMIFS(Proventos!$H:$H,Proventos!$D:$D,"&gt;="&amp;CONCATENATE($L$6,"/",B87),Proventos!$D:$D,"&lt;"&amp;CONCATENATE($M$6,"/",B87),Proventos!$J:$J,"="&amp;$H$2),
AND($H$2=Data!$A$11,$K$2=Data!$A$2),SUMIFS(Proventos!$H:$H,Proventos!$D:$D,"&gt;="&amp;CONCATENATE($L$6,"/",B87),Proventos!$D:$D,"&lt;"&amp;CONCATENATE($M$6,"/",B87),Proventos!$J:$J,"="&amp;$H$2),
$K$2=Data!$A$2,SUMIFS(Proventos!$H:$H,Proventos!$D:$D,"&gt;="&amp;CONCATENATE($L$6,"/",B87),Proventos!$D:$D,"&lt;"&amp;CONCATENATE($M$6,"/",B87)),
$K$2&lt;&gt;Data!$A$2,SUMIFS(Proventos!$H:$H,Proventos!$D:$D,"&gt;="&amp;CONCATENATE($L$6,"/",B87),Proventos!$D:$D,"&lt;"&amp;CONCATENATE($M$6,"/",B87),Proventos!$A:$A,"="&amp;$K$2))</f>
        <v>0</v>
      </c>
      <c r="M87" s="245">
        <f>IFS(
AND($H$2=Data!$A$3,$K$2=Data!$A$2),SUMIFS(Proventos!$H:$H,Proventos!$D:$D,"&gt;="&amp;CONCATENATE($M$6,"/",B87),Proventos!$D:$D,"&lt;"&amp;CONCATENATE($N$6,"/",B87),Proventos!$J:$J,"="&amp;$H$2),
AND($H$2=Data!$A$4,$K$2=Data!$A$2),SUMIFS(Proventos!$H:$H,Proventos!$D:$D,"&gt;="&amp;CONCATENATE($M$6,"/",B87),Proventos!$D:$D,"&lt;"&amp;CONCATENATE($N$6,"/",B87),Proventos!$J:$J,"="&amp;$H$2),
AND($H$2=Data!$A$5,$K$2=Data!$A$2),SUMIFS(Proventos!$H:$H,Proventos!$D:$D,"&gt;="&amp;CONCATENATE($M$6,"/",B87),Proventos!$D:$D,"&lt;"&amp;CONCATENATE($N$6,"/",B87),Proventos!$J:$J,"="&amp;$H$2),
AND($H$2=Data!$A$6,$K$2=Data!$A$2),SUMIFS(Proventos!$H:$H,Proventos!$D:$D,"&gt;="&amp;CONCATENATE($M$6,"/",B87),Proventos!$D:$D,"&lt;"&amp;CONCATENATE($N$6,"/",B87),Proventos!$J:$J,"="&amp;$H$2),
AND($H$2=Data!$A$7,$K$2=Data!$A$2),SUMIFS(Proventos!$H:$H,Proventos!$D:$D,"&gt;="&amp;CONCATENATE($M$6,"/",B87),Proventos!$D:$D,"&lt;"&amp;CONCATENATE($N$6,"/",B87),Proventos!$J:$J,"="&amp;$H$2),
AND($H$2=Data!$A$8,$K$2=Data!$A$2),SUMIFS(Proventos!$H:$H,Proventos!$D:$D,"&gt;="&amp;CONCATENATE($M$6,"/",B87),Proventos!$D:$D,"&lt;"&amp;CONCATENATE($N$6,"/",B87),Proventos!$J:$J,"="&amp;$H$2),
AND($H$2=Data!$A$9,$K$2=Data!$A$2),SUMIFS(Proventos!$H:$H,Proventos!$D:$D,"&gt;="&amp;CONCATENATE($M$6,"/",B87),Proventos!$D:$D,"&lt;"&amp;CONCATENATE($N$6,"/",B87),Proventos!$J:$J,"="&amp;$H$2),
AND($H$2=Data!$A$10,$K$2=Data!$A$2),SUMIFS(Proventos!$H:$H,Proventos!$D:$D,"&gt;="&amp;CONCATENATE($M$6,"/",B87),Proventos!$D:$D,"&lt;"&amp;CONCATENATE($N$6,"/",B87),Proventos!$J:$J,"="&amp;$H$2),
AND($H$2=Data!$A$11,$K$2=Data!$A$2),SUMIFS(Proventos!$H:$H,Proventos!$D:$D,"&gt;="&amp;CONCATENATE($M$6,"/",B87),Proventos!$D:$D,"&lt;"&amp;CONCATENATE($N$6,"/",B87),Proventos!$J:$J,"="&amp;$H$2),
$K$2=Data!$A$2,SUMIFS(Proventos!$H:$H,Proventos!$D:$D,"&gt;="&amp;CONCATENATE($M$6,"/",B87),Proventos!$D:$D,"&lt;"&amp;CONCATENATE($N$6,"/",B87)),
$K$2&lt;&gt;Data!$A$2,SUMIFS(Proventos!$H:$H,Proventos!$D:$D,"&gt;="&amp;CONCATENATE($M$6,"/",B87),Proventos!$D:$D,"&lt;"&amp;CONCATENATE($N$6,"/",B87),Proventos!$A:$A,"="&amp;$K$2))</f>
        <v>0</v>
      </c>
      <c r="N87" s="245">
        <f>IFS(
AND($H$2=Data!$A$3,$K$2=Data!$A$2),SUMIFS(Proventos!$H:$H,Proventos!$D:$D,"&gt;="&amp;CONCATENATE($N$6,"/",B87),Proventos!$D:$D,"&lt;"&amp;CONCATENATE($C$6,"/",B88),Proventos!$J:$J,"="&amp;$H$2),
AND($H$2=Data!$A$4,$K$2=Data!$A$2),SUMIFS(Proventos!$H:$H,Proventos!$D:$D,"&gt;="&amp;CONCATENATE($N$6,"/",B87),Proventos!$D:$D,"&lt;"&amp;CONCATENATE($C$6,"/",B88),Proventos!$J:$J,"="&amp;$H$2),
AND($H$2=Data!$A$5,$K$2=Data!$A$2),SUMIFS(Proventos!$H:$H,Proventos!$D:$D,"&gt;="&amp;CONCATENATE($N$6,"/",B87),Proventos!$D:$D,"&lt;"&amp;CONCATENATE($C$6,"/",B88),Proventos!$J:$J,"="&amp;$H$2),
AND($H$2=Data!$A$6,$K$2=Data!$A$2),SUMIFS(Proventos!$H:$H,Proventos!$D:$D,"&gt;="&amp;CONCATENATE($N$6,"/",B87),Proventos!$D:$D,"&lt;"&amp;CONCATENATE($C$6,"/",B88),Proventos!$J:$J,"="&amp;$H$2),
AND($H$2=Data!$A$7,$K$2=Data!$A$2),SUMIFS(Proventos!$H:$H,Proventos!$D:$D,"&gt;="&amp;CONCATENATE($N$6,"/",B87),Proventos!$D:$D,"&lt;"&amp;CONCATENATE($C$6,"/",B88),Proventos!$J:$J,"="&amp;$H$2),
AND($H$2=Data!$A$8,$K$2=Data!$A$2),SUMIFS(Proventos!$H:$H,Proventos!$D:$D,"&gt;="&amp;CONCATENATE($N$6,"/",B87),Proventos!$D:$D,"&lt;"&amp;CONCATENATE($C$6,"/",B88),Proventos!$J:$J,"="&amp;$H$2),
AND($H$2=Data!$A$9,$K$2=Data!$A$2),SUMIFS(Proventos!$H:$H,Proventos!$D:$D,"&gt;="&amp;CONCATENATE($N$6,"/",B87),Proventos!$D:$D,"&lt;"&amp;CONCATENATE($C$6,"/",B88),Proventos!$J:$J,"="&amp;$H$2),
AND($H$2=Data!$A$10,$K$2=Data!$A$2),SUMIFS(Proventos!$H:$H,Proventos!$D:$D,"&gt;="&amp;CONCATENATE($N$6,"/",B87),Proventos!$D:$D,"&lt;"&amp;CONCATENATE($C$6,"/",B88),Proventos!$J:$J,"="&amp;$H$2),
AND($H$2=Data!$A$11,$K$2=Data!$A$2),SUMIFS(Proventos!$H:$H,Proventos!$D:$D,"&gt;="&amp;CONCATENATE($N$6,"/",B87),Proventos!$D:$D,"&lt;"&amp;CONCATENATE($C$6,"/",B88),Proventos!$J:$J,"="&amp;$H$2),
$K$2=Data!$A$2,SUMIFS(Proventos!$H:$H,Proventos!$D:$D,"&gt;="&amp;CONCATENATE($N$6,"/",B87),Proventos!$D:$D,"&lt;"&amp;CONCATENATE($C$6,"/",B88)),
$K$2&lt;&gt;Data!$A$2,SUMIFS(Proventos!$H:$H,Proventos!$D:$D,"&gt;="&amp;CONCATENATE($N$6,"/",B87),Proventos!$D:$D,"&lt;"&amp;CONCATENATE($C$6,"/",B88),Proventos!$A:$A,"="&amp;$K$2))</f>
        <v>0</v>
      </c>
      <c r="O87" s="245"/>
      <c r="P87" s="245">
        <f t="shared" si="1"/>
        <v>0</v>
      </c>
      <c r="Q87" s="245">
        <f t="shared" si="2"/>
        <v>0</v>
      </c>
    </row>
    <row r="88" ht="32.25" customHeight="1">
      <c r="A88" s="230"/>
      <c r="B88" s="244"/>
      <c r="C88" s="245">
        <f>IFS(
AND($H$2=Data!$A$3,$K$2=Data!$A$2),SUMIFS(Proventos!$H:$H,Proventos!$D:$D,"&gt;="&amp;CONCATENATE($C$6,"/",B88),Proventos!$D:$D,"&lt;"&amp;CONCATENATE($D$6,"/",B88),Proventos!$J:$J,"="&amp;$H$2),
AND($H$2=Data!$A$4,$K$2=Data!$A$2),SUMIFS(Proventos!$H:$H,Proventos!$D:$D,"&gt;="&amp;CONCATENATE($C$6,"/",B88),Proventos!$D:$D,"&lt;"&amp;CONCATENATE($D$6,"/",B88),Proventos!$J:$J,"="&amp;$H$2),
AND($H$2=Data!$A$5,$K$2=Data!$A$2),SUMIFS(Proventos!$H:$H,Proventos!$D:$D,"&gt;="&amp;CONCATENATE($C$6,"/",B88),Proventos!$D:$D,"&lt;"&amp;CONCATENATE($D$6,"/",B88),Proventos!$J:$J,"="&amp;$H$2),
AND($H$2=Data!$A$6,$K$2=Data!$A$2),SUMIFS(Proventos!$H:$H,Proventos!$D:$D,"&gt;="&amp;CONCATENATE($C$6,"/",B88),Proventos!$D:$D,"&lt;"&amp;CONCATENATE($D$6,"/",B88),Proventos!$J:$J,"="&amp;$H$2),
AND($H$2=Data!$A$7,$K$2=Data!$A$2),SUMIFS(Proventos!$H:$H,Proventos!$D:$D,"&gt;="&amp;CONCATENATE($C$6,"/",B88),Proventos!$D:$D,"&lt;"&amp;CONCATENATE($D$6,"/",B88),Proventos!$J:$J,"="&amp;$H$2),
AND($H$2=Data!$A$8,$K$2=Data!$A$2),SUMIFS(Proventos!$H:$H,Proventos!$D:$D,"&gt;="&amp;CONCATENATE($C$6,"/",B88),Proventos!$D:$D,"&lt;"&amp;CONCATENATE($D$6,"/",B88),Proventos!$J:$J,"="&amp;$H$2),
AND($H$2=Data!$A$9,$K$2=Data!$A$2),SUMIFS(Proventos!$H:$H,Proventos!$D:$D,"&gt;="&amp;CONCATENATE($C$6,"/",B88),Proventos!$D:$D,"&lt;"&amp;CONCATENATE($D$6,"/",B88),Proventos!$J:$J,"="&amp;$H$2),
AND($H$2=Data!$A$10,$K$2=Data!$A$2),SUMIFS(Proventos!$H:$H,Proventos!$D:$D,"&gt;="&amp;CONCATENATE($C$6,"/",B88),Proventos!$D:$D,"&lt;"&amp;CONCATENATE($D$6,"/",B88),Proventos!$J:$J,"="&amp;$H$2),
AND($H$2=Data!$A$11,$K$2=Data!$A$2),SUMIFS(Proventos!$H:$H,Proventos!$D:$D,"&gt;="&amp;CONCATENATE($C$6,"/",B88),Proventos!$D:$D,"&lt;"&amp;CONCATENATE($D$6,"/",B88),Proventos!$J:$J,"="&amp;$H$2),
$K$2=Data!$A$2,SUMIFS(Proventos!$H:$H,Proventos!$D:$D,"&gt;="&amp;CONCATENATE($C$6,"/",B88),Proventos!$D:$D,"&lt;"&amp;CONCATENATE($D$6,"/",B88)),
$K$2&lt;&gt;Data!$A$2,SUMIFS(Proventos!$H:$H,Proventos!$D:$D,"&gt;="&amp;CONCATENATE($C$6,"/",B88),Proventos!$D:$D,"&lt;"&amp;CONCATENATE($D$6,"/",B88),Proventos!$A:$A,"="&amp;$K$2))</f>
        <v>0</v>
      </c>
      <c r="D88" s="245">
        <f>IFS(
AND($H$2=Data!$A$3,$K$2=Data!$A$2),SUMIFS(Proventos!$H:$H,Proventos!$D:$D,"&gt;="&amp;CONCATENATE($D$6,"/",B88),Proventos!$D:$D,"&lt;"&amp;CONCATENATE($E$6,"/",B88),Proventos!$J:$J,"="&amp;$H$2),
AND($H$2=Data!$A$4,$K$2=Data!$A$2),SUMIFS(Proventos!$H:$H,Proventos!$D:$D,"&gt;="&amp;CONCATENATE($D$6,"/",B88),Proventos!$D:$D,"&lt;"&amp;CONCATENATE($E$6,"/",B88),Proventos!$J:$J,"="&amp;$H$2),
AND($H$2=Data!$A$5,$K$2=Data!$A$2),SUMIFS(Proventos!$H:$H,Proventos!$D:$D,"&gt;="&amp;CONCATENATE($D$6,"/",B88),Proventos!$D:$D,"&lt;"&amp;CONCATENATE($E$6,"/",B88),Proventos!$J:$J,"="&amp;$H$2),
AND($H$2=Data!$A$6,$K$2=Data!$A$2),SUMIFS(Proventos!$H:$H,Proventos!$D:$D,"&gt;="&amp;CONCATENATE($D$6,"/",B88),Proventos!$D:$D,"&lt;"&amp;CONCATENATE($E$6,"/",B88),Proventos!$J:$J,"="&amp;$H$2),
AND($H$2=Data!$A$7,$K$2=Data!$A$2),SUMIFS(Proventos!$H:$H,Proventos!$D:$D,"&gt;="&amp;CONCATENATE($D$6,"/",B88),Proventos!$D:$D,"&lt;"&amp;CONCATENATE($E$6,"/",B88),Proventos!$J:$J,"="&amp;$H$2),
AND($H$2=Data!$A$8,$K$2=Data!$A$2),SUMIFS(Proventos!$H:$H,Proventos!$D:$D,"&gt;="&amp;CONCATENATE($D$6,"/",B88),Proventos!$D:$D,"&lt;"&amp;CONCATENATE($E$6,"/",B88),Proventos!$J:$J,"="&amp;$H$2),
AND($H$2=Data!$A$9,$K$2=Data!$A$2),SUMIFS(Proventos!$H:$H,Proventos!$D:$D,"&gt;="&amp;CONCATENATE($D$6,"/",B88),Proventos!$D:$D,"&lt;"&amp;CONCATENATE($E$6,"/",B88),Proventos!$J:$J,"="&amp;$H$2),
AND($H$2=Data!$A$10,$K$2=Data!$A$2),SUMIFS(Proventos!$H:$H,Proventos!$D:$D,"&gt;="&amp;CONCATENATE($D$6,"/",B88),Proventos!$D:$D,"&lt;"&amp;CONCATENATE($E$6,"/",B88),Proventos!$J:$J,"="&amp;$H$2),
AND($H$2=Data!$A$11,$K$2=Data!$A$2),SUMIFS(Proventos!$H:$H,Proventos!$D:$D,"&gt;="&amp;CONCATENATE($D$6,"/",B88),Proventos!$D:$D,"&lt;"&amp;CONCATENATE($E$6,"/",B88),Proventos!$J:$J,"="&amp;$H$2),
$K$2=Data!$A$2,SUMIFS(Proventos!$H:$H,Proventos!$D:$D,"&gt;="&amp;CONCATENATE($D$6,"/",B88),Proventos!$D:$D,"&lt;"&amp;CONCATENATE($E$6,"/",B88)),
$K$2&lt;&gt;Data!$A$2,SUMIFS(Proventos!$H:$H,Proventos!$D:$D,"&gt;="&amp;CONCATENATE($D$6,"/",B88),Proventos!$D:$D,"&lt;"&amp;CONCATENATE($E$6,"/",B88),Proventos!$A:$A,"="&amp;$K$2))</f>
        <v>0</v>
      </c>
      <c r="E88" s="245">
        <f>IFS(
AND($H$2=Data!$A$3,$K$2=Data!$A$2),SUMIFS(Proventos!$H:$H,Proventos!$D:$D,"&gt;="&amp;CONCATENATE($E$6,"/",B88),Proventos!$D:$D,"&lt;"&amp;CONCATENATE($F$6,"/",B88),Proventos!$J:$J,"="&amp;$H$2),
AND($H$2=Data!$A$4,$K$2=Data!$A$2),SUMIFS(Proventos!$H:$H,Proventos!$D:$D,"&gt;="&amp;CONCATENATE($E$6,"/",B88),Proventos!$D:$D,"&lt;"&amp;CONCATENATE($F$6,"/",B88),Proventos!$J:$J,"="&amp;$H$2),
AND($H$2=Data!$A$5,$K$2=Data!$A$2),SUMIFS(Proventos!$H:$H,Proventos!$D:$D,"&gt;="&amp;CONCATENATE($E$6,"/",B88),Proventos!$D:$D,"&lt;"&amp;CONCATENATE($F$6,"/",B88),Proventos!$J:$J,"="&amp;$H$2),
AND($H$2=Data!$A$6,$K$2=Data!$A$2),SUMIFS(Proventos!$H:$H,Proventos!$D:$D,"&gt;="&amp;CONCATENATE($E$6,"/",B88),Proventos!$D:$D,"&lt;"&amp;CONCATENATE($F$6,"/",B88),Proventos!$J:$J,"="&amp;$H$2),
AND($H$2=Data!$A$7,$K$2=Data!$A$2),SUMIFS(Proventos!$H:$H,Proventos!$D:$D,"&gt;="&amp;CONCATENATE($E$6,"/",B88),Proventos!$D:$D,"&lt;"&amp;CONCATENATE($F$6,"/",B88),Proventos!$J:$J,"="&amp;$H$2),
AND($H$2=Data!$A$8,$K$2=Data!$A$2),SUMIFS(Proventos!$H:$H,Proventos!$D:$D,"&gt;="&amp;CONCATENATE($E$6,"/",B88),Proventos!$D:$D,"&lt;"&amp;CONCATENATE($F$6,"/",B88),Proventos!$J:$J,"="&amp;$H$2),
AND($H$2=Data!$A$9,$K$2=Data!$A$2),SUMIFS(Proventos!$H:$H,Proventos!$D:$D,"&gt;="&amp;CONCATENATE($E$6,"/",B88),Proventos!$D:$D,"&lt;"&amp;CONCATENATE($F$6,"/",B88),Proventos!$J:$J,"="&amp;$H$2),
AND($H$2=Data!$A$10,$K$2=Data!$A$2),SUMIFS(Proventos!$H:$H,Proventos!$D:$D,"&gt;="&amp;CONCATENATE($E$6,"/",B88),Proventos!$D:$D,"&lt;"&amp;CONCATENATE($F$6,"/",B88),Proventos!$J:$J,"="&amp;$H$2),
AND($H$2=Data!$A$11,$K$2=Data!$A$2),SUMIFS(Proventos!$H:$H,Proventos!$D:$D,"&gt;="&amp;CONCATENATE($E$6,"/",B88),Proventos!$D:$D,"&lt;"&amp;CONCATENATE($F$6,"/",B88),Proventos!$J:$J,"="&amp;$H$2),
$K$2=Data!$A$2,SUMIFS(Proventos!$H:$H,Proventos!$D:$D,"&gt;="&amp;CONCATENATE($E$6,"/",B88),Proventos!$D:$D,"&lt;"&amp;CONCATENATE($F$6,"/",B88)),
$K$2&lt;&gt;Data!$A$2,SUMIFS(Proventos!$H:$H,Proventos!$D:$D,"&gt;="&amp;CONCATENATE($E$6,"/",B88),Proventos!$D:$D,"&lt;"&amp;CONCATENATE($F$6,"/",B88),Proventos!$A:$A,"="&amp;$K$2))</f>
        <v>0</v>
      </c>
      <c r="F88" s="245">
        <f>IFS(
AND($H$2=Data!$A$3,$K$2=Data!$A$2),SUMIFS(Proventos!$H:$H,Proventos!$D:$D,"&gt;="&amp;CONCATENATE($F$6,"/",B88),Proventos!$D:$D,"&lt;"&amp;CONCATENATE($G$6,"/",B88),Proventos!$J:$J,"="&amp;$H$2),
AND($H$2=Data!$A$4,$K$2=Data!$A$2),SUMIFS(Proventos!$H:$H,Proventos!$D:$D,"&gt;="&amp;CONCATENATE($F$6,"/",B88),Proventos!$D:$D,"&lt;"&amp;CONCATENATE($G$6,"/",B88),Proventos!$J:$J,"="&amp;$H$2),
AND($H$2=Data!$A$5,$K$2=Data!$A$2),SUMIFS(Proventos!$H:$H,Proventos!$D:$D,"&gt;="&amp;CONCATENATE($F$6,"/",B88),Proventos!$D:$D,"&lt;"&amp;CONCATENATE($G$6,"/",B88),Proventos!$J:$J,"="&amp;$H$2),
AND($H$2=Data!$A$6,$K$2=Data!$A$2),SUMIFS(Proventos!$H:$H,Proventos!$D:$D,"&gt;="&amp;CONCATENATE($F$6,"/",B88),Proventos!$D:$D,"&lt;"&amp;CONCATENATE($G$6,"/",B88),Proventos!$J:$J,"="&amp;$H$2),
AND($H$2=Data!$A$7,$K$2=Data!$A$2),SUMIFS(Proventos!$H:$H,Proventos!$D:$D,"&gt;="&amp;CONCATENATE($F$6,"/",B88),Proventos!$D:$D,"&lt;"&amp;CONCATENATE($G$6,"/",B88),Proventos!$J:$J,"="&amp;$H$2),
AND($H$2=Data!$A$8,$K$2=Data!$A$2),SUMIFS(Proventos!$H:$H,Proventos!$D:$D,"&gt;="&amp;CONCATENATE($F$6,"/",B88),Proventos!$D:$D,"&lt;"&amp;CONCATENATE($G$6,"/",B88),Proventos!$J:$J,"="&amp;$H$2),
AND($H$2=Data!$A$9,$K$2=Data!$A$2),SUMIFS(Proventos!$H:$H,Proventos!$D:$D,"&gt;="&amp;CONCATENATE($F$6,"/",B88),Proventos!$D:$D,"&lt;"&amp;CONCATENATE($G$6,"/",B88),Proventos!$J:$J,"="&amp;$H$2),
AND($H$2=Data!$A$10,$K$2=Data!$A$2),SUMIFS(Proventos!$H:$H,Proventos!$D:$D,"&gt;="&amp;CONCATENATE($F$6,"/",B88),Proventos!$D:$D,"&lt;"&amp;CONCATENATE($G$6,"/",B88),Proventos!$J:$J,"="&amp;$H$2),
AND($H$2=Data!$A$11,$K$2=Data!$A$2),SUMIFS(Proventos!$H:$H,Proventos!$D:$D,"&gt;="&amp;CONCATENATE($F$6,"/",B88),Proventos!$D:$D,"&lt;"&amp;CONCATENATE($G$6,"/",B88),Proventos!$J:$J,"="&amp;$H$2),
$K$2=Data!$A$2,SUMIFS(Proventos!$H:$H,Proventos!$D:$D,"&gt;="&amp;CONCATENATE($F$6,"/",B88),Proventos!$D:$D,"&lt;"&amp;CONCATENATE($G$6,"/",B88)),
$K$2&lt;&gt;Data!$A$2,SUMIFS(Proventos!$H:$H,Proventos!$D:$D,"&gt;="&amp;CONCATENATE($F$6,"/",B88),Proventos!$D:$D,"&lt;"&amp;CONCATENATE($G$6,"/",B88),Proventos!$A:$A,"="&amp;$K$2))</f>
        <v>0</v>
      </c>
      <c r="G88" s="245">
        <f>IFS(
AND($H$2=Data!$A$3,$K$2=Data!$A$2),SUMIFS(Proventos!$H:$H,Proventos!$D:$D,"&gt;="&amp;CONCATENATE($G$6,"/",B88),Proventos!$D:$D,"&lt;"&amp;CONCATENATE($H$6,"/",B88),Proventos!$J:$J,"="&amp;$H$2),
AND($H$2=Data!$A$4,$K$2=Data!$A$2),SUMIFS(Proventos!$H:$H,Proventos!$D:$D,"&gt;="&amp;CONCATENATE($G$6,"/",B88),Proventos!$D:$D,"&lt;"&amp;CONCATENATE($H$6,"/",B88),Proventos!$J:$J,"="&amp;$H$2),
AND($H$2=Data!$A$5,$K$2=Data!$A$2),SUMIFS(Proventos!$H:$H,Proventos!$D:$D,"&gt;="&amp;CONCATENATE($G$6,"/",B88),Proventos!$D:$D,"&lt;"&amp;CONCATENATE($H$6,"/",B88),Proventos!$J:$J,"="&amp;$H$2),
AND($H$2=Data!$A$6,$K$2=Data!$A$2),SUMIFS(Proventos!$H:$H,Proventos!$D:$D,"&gt;="&amp;CONCATENATE($G$6,"/",B88),Proventos!$D:$D,"&lt;"&amp;CONCATENATE($H$6,"/",B88),Proventos!$J:$J,"="&amp;$H$2),
AND($H$2=Data!$A$7,$K$2=Data!$A$2),SUMIFS(Proventos!$H:$H,Proventos!$D:$D,"&gt;="&amp;CONCATENATE($G$6,"/",B88),Proventos!$D:$D,"&lt;"&amp;CONCATENATE($H$6,"/",B88),Proventos!$J:$J,"="&amp;$H$2),
AND($H$2=Data!$A$8,$K$2=Data!$A$2),SUMIFS(Proventos!$H:$H,Proventos!$D:$D,"&gt;="&amp;CONCATENATE($G$6,"/",B88),Proventos!$D:$D,"&lt;"&amp;CONCATENATE($H$6,"/",B88),Proventos!$J:$J,"="&amp;$H$2),
AND($H$2=Data!$A$9,$K$2=Data!$A$2),SUMIFS(Proventos!$H:$H,Proventos!$D:$D,"&gt;="&amp;CONCATENATE($G$6,"/",B88),Proventos!$D:$D,"&lt;"&amp;CONCATENATE($H$6,"/",B88),Proventos!$J:$J,"="&amp;$H$2),
AND($H$2=Data!$A$10,$K$2=Data!$A$2),SUMIFS(Proventos!$H:$H,Proventos!$D:$D,"&gt;="&amp;CONCATENATE($G$6,"/",B88),Proventos!$D:$D,"&lt;"&amp;CONCATENATE($H$6,"/",B88),Proventos!$J:$J,"="&amp;$H$2),
AND($H$2=Data!$A$11,$K$2=Data!$A$2),SUMIFS(Proventos!$H:$H,Proventos!$D:$D,"&gt;="&amp;CONCATENATE($G$6,"/",B88),Proventos!$D:$D,"&lt;"&amp;CONCATENATE($H$6,"/",B88),Proventos!$J:$J,"="&amp;$H$2),
$K$2=Data!$A$2,SUMIFS(Proventos!$H:$H,Proventos!$D:$D,"&gt;="&amp;CONCATENATE($G$6,"/",B88),Proventos!$D:$D,"&lt;"&amp;CONCATENATE($H$6,"/",B88)),
$K$2&lt;&gt;Data!$A$2,SUMIFS(Proventos!$H:$H,Proventos!$D:$D,"&gt;="&amp;CONCATENATE($G$6,"/",B88),Proventos!$D:$D,"&lt;"&amp;CONCATENATE($H$6,"/",B88),Proventos!$A:$A,"="&amp;$K$2))</f>
        <v>0</v>
      </c>
      <c r="H88" s="245">
        <f>IFS(
AND($H$2=Data!$A$3,$K$2=Data!$A$2),SUMIFS(Proventos!$H:$H,Proventos!$D:$D,"&gt;="&amp;CONCATENATE($H$6,"/",B88),Proventos!$D:$D,"&lt;"&amp;CONCATENATE($I$6,"/",B88),Proventos!$J:$J,"="&amp;$H$2),
AND($H$2=Data!$A$4,$K$2=Data!$A$2),SUMIFS(Proventos!$H:$H,Proventos!$D:$D,"&gt;="&amp;CONCATENATE($H$6,"/",B88),Proventos!$D:$D,"&lt;"&amp;CONCATENATE($I$6,"/",B88),Proventos!$J:$J,"="&amp;$H$2),
AND($H$2=Data!$A$5,$K$2=Data!$A$2),SUMIFS(Proventos!$H:$H,Proventos!$D:$D,"&gt;="&amp;CONCATENATE($H$6,"/",B88),Proventos!$D:$D,"&lt;"&amp;CONCATENATE($I$6,"/",B88),Proventos!$J:$J,"="&amp;$H$2),
AND($H$2=Data!$A$6,$K$2=Data!$A$2),SUMIFS(Proventos!$H:$H,Proventos!$D:$D,"&gt;="&amp;CONCATENATE($H$6,"/",B88),Proventos!$D:$D,"&lt;"&amp;CONCATENATE($I$6,"/",B88),Proventos!$J:$J,"="&amp;$H$2),
AND($H$2=Data!$A$7,$K$2=Data!$A$2),SUMIFS(Proventos!$H:$H,Proventos!$D:$D,"&gt;="&amp;CONCATENATE($H$6,"/",B88),Proventos!$D:$D,"&lt;"&amp;CONCATENATE($I$6,"/",B88),Proventos!$J:$J,"="&amp;$H$2),
AND($H$2=Data!$A$8,$K$2=Data!$A$2),SUMIFS(Proventos!$H:$H,Proventos!$D:$D,"&gt;="&amp;CONCATENATE($H$6,"/",B88),Proventos!$D:$D,"&lt;"&amp;CONCATENATE($I$6,"/",B88),Proventos!$J:$J,"="&amp;$H$2),
AND($H$2=Data!$A$9,$K$2=Data!$A$2),SUMIFS(Proventos!$H:$H,Proventos!$D:$D,"&gt;="&amp;CONCATENATE($H$6,"/",B88),Proventos!$D:$D,"&lt;"&amp;CONCATENATE($I$6,"/",B88),Proventos!$J:$J,"="&amp;$H$2),
AND($H$2=Data!$A$10,$K$2=Data!$A$2),SUMIFS(Proventos!$H:$H,Proventos!$D:$D,"&gt;="&amp;CONCATENATE($H$6,"/",B88),Proventos!$D:$D,"&lt;"&amp;CONCATENATE($I$6,"/",B88),Proventos!$J:$J,"="&amp;$H$2),
AND($H$2=Data!$A$11,$K$2=Data!$A$2),SUMIFS(Proventos!$H:$H,Proventos!$D:$D,"&gt;="&amp;CONCATENATE($H$6,"/",B88),Proventos!$D:$D,"&lt;"&amp;CONCATENATE($I$6,"/",B88),Proventos!$J:$J,"="&amp;$H$2),
$K$2=Data!$A$2,SUMIFS(Proventos!$H:$H,Proventos!$D:$D,"&gt;="&amp;CONCATENATE($H$6,"/",B88),Proventos!$D:$D,"&lt;"&amp;CONCATENATE($I$6,"/",B88)),
$K$2&lt;&gt;Data!$A$2,SUMIFS(Proventos!$H:$H,Proventos!$D:$D,"&gt;="&amp;CONCATENATE($H$6,"/",B88),Proventos!$D:$D,"&lt;"&amp;CONCATENATE($I$6,"/",B88),Proventos!$A:$A,"="&amp;$K$2))</f>
        <v>0</v>
      </c>
      <c r="I88" s="245">
        <f>IFS(
AND($H$2=Data!$A$3,$K$2=Data!$A$2),SUMIFS(Proventos!$H:$H,Proventos!$D:$D,"&gt;="&amp;CONCATENATE($I$6,"/",B88),Proventos!$D:$D,"&lt;"&amp;CONCATENATE($J$6,"/",B88),Proventos!$J:$J,"="&amp;$H$2),
AND($H$2=Data!$A$4,$K$2=Data!$A$2),SUMIFS(Proventos!$H:$H,Proventos!$D:$D,"&gt;="&amp;CONCATENATE($I$6,"/",B88),Proventos!$D:$D,"&lt;"&amp;CONCATENATE($J$6,"/",B88),Proventos!$J:$J,"="&amp;$H$2),
AND($H$2=Data!$A$5,$K$2=Data!$A$2),SUMIFS(Proventos!$H:$H,Proventos!$D:$D,"&gt;="&amp;CONCATENATE($I$6,"/",B88),Proventos!$D:$D,"&lt;"&amp;CONCATENATE($J$6,"/",B88),Proventos!$J:$J,"="&amp;$H$2),
AND($H$2=Data!$A$6,$K$2=Data!$A$2),SUMIFS(Proventos!$H:$H,Proventos!$D:$D,"&gt;="&amp;CONCATENATE($I$6,"/",B88),Proventos!$D:$D,"&lt;"&amp;CONCATENATE($J$6,"/",B88),Proventos!$J:$J,"="&amp;$H$2),
AND($H$2=Data!$A$7,$K$2=Data!$A$2),SUMIFS(Proventos!$H:$H,Proventos!$D:$D,"&gt;="&amp;CONCATENATE($I$6,"/",B88),Proventos!$D:$D,"&lt;"&amp;CONCATENATE($J$6,"/",B88),Proventos!$J:$J,"="&amp;$H$2),
AND($H$2=Data!$A$8,$K$2=Data!$A$2),SUMIFS(Proventos!$H:$H,Proventos!$D:$D,"&gt;="&amp;CONCATENATE($I$6,"/",B88),Proventos!$D:$D,"&lt;"&amp;CONCATENATE($J$6,"/",B88),Proventos!$J:$J,"="&amp;$H$2),
AND($H$2=Data!$A$9,$K$2=Data!$A$2),SUMIFS(Proventos!$H:$H,Proventos!$D:$D,"&gt;="&amp;CONCATENATE($I$6,"/",B88),Proventos!$D:$D,"&lt;"&amp;CONCATENATE($J$6,"/",B88),Proventos!$J:$J,"="&amp;$H$2),
AND($H$2=Data!$A$10,$K$2=Data!$A$2),SUMIFS(Proventos!$H:$H,Proventos!$D:$D,"&gt;="&amp;CONCATENATE($I$6,"/",B88),Proventos!$D:$D,"&lt;"&amp;CONCATENATE($J$6,"/",B88),Proventos!$J:$J,"="&amp;$H$2),
AND($H$2=Data!$A$11,$K$2=Data!$A$2),SUMIFS(Proventos!$H:$H,Proventos!$D:$D,"&gt;="&amp;CONCATENATE($I$6,"/",B88),Proventos!$D:$D,"&lt;"&amp;CONCATENATE($J$6,"/",B88),Proventos!$J:$J,"="&amp;$H$2),
$K$2=Data!$A$2,SUMIFS(Proventos!$H:$H,Proventos!$D:$D,"&gt;="&amp;CONCATENATE($I$6,"/",B88),Proventos!$D:$D,"&lt;"&amp;CONCATENATE($J$6,"/",B88)),
$K$2&lt;&gt;Data!$A$2,SUMIFS(Proventos!$H:$H,Proventos!$D:$D,"&gt;="&amp;CONCATENATE($I$6,"/",B88),Proventos!$D:$D,"&lt;"&amp;CONCATENATE($J$6,"/",B88),Proventos!$A:$A,"="&amp;$K$2))</f>
        <v>0</v>
      </c>
      <c r="J88" s="245">
        <f>IFS(
AND($H$2=Data!$A$3,$K$2=Data!$A$2),SUMIFS(Proventos!$H:$H,Proventos!$D:$D,"&gt;="&amp;CONCATENATE($J$6,"/",B88),Proventos!$D:$D,"&lt;"&amp;CONCATENATE($K$6,"/",B88),Proventos!$J:$J,"="&amp;$H$2),
AND($H$2=Data!$A$4,$K$2=Data!$A$2),SUMIFS(Proventos!$H:$H,Proventos!$D:$D,"&gt;="&amp;CONCATENATE($J$6,"/",B88),Proventos!$D:$D,"&lt;"&amp;CONCATENATE($K$6,"/",B88),Proventos!$J:$J,"="&amp;$H$2),
AND($H$2=Data!$A$5,$K$2=Data!$A$2),SUMIFS(Proventos!$H:$H,Proventos!$D:$D,"&gt;="&amp;CONCATENATE($J$6,"/",B88),Proventos!$D:$D,"&lt;"&amp;CONCATENATE($K$6,"/",B88),Proventos!$J:$J,"="&amp;$H$2),
AND($H$2=Data!$A$6,$K$2=Data!$A$2),SUMIFS(Proventos!$H:$H,Proventos!$D:$D,"&gt;="&amp;CONCATENATE($J$6,"/",B88),Proventos!$D:$D,"&lt;"&amp;CONCATENATE($K$6,"/",B88),Proventos!$J:$J,"="&amp;$H$2),
AND($H$2=Data!$A$7,$K$2=Data!$A$2),SUMIFS(Proventos!$H:$H,Proventos!$D:$D,"&gt;="&amp;CONCATENATE($J$6,"/",B88),Proventos!$D:$D,"&lt;"&amp;CONCATENATE($K$6,"/",B88),Proventos!$J:$J,"="&amp;$H$2),
AND($H$2=Data!$A$8,$K$2=Data!$A$2),SUMIFS(Proventos!$H:$H,Proventos!$D:$D,"&gt;="&amp;CONCATENATE($J$6,"/",B88),Proventos!$D:$D,"&lt;"&amp;CONCATENATE($K$6,"/",B88),Proventos!$J:$J,"="&amp;$H$2),
AND($H$2=Data!$A$9,$K$2=Data!$A$2),SUMIFS(Proventos!$H:$H,Proventos!$D:$D,"&gt;="&amp;CONCATENATE($J$6,"/",B88),Proventos!$D:$D,"&lt;"&amp;CONCATENATE($K$6,"/",B88),Proventos!$J:$J,"="&amp;$H$2),
AND($H$2=Data!$A$10,$K$2=Data!$A$2),SUMIFS(Proventos!$H:$H,Proventos!$D:$D,"&gt;="&amp;CONCATENATE($J$6,"/",B88),Proventos!$D:$D,"&lt;"&amp;CONCATENATE($K$6,"/",B88),Proventos!$J:$J,"="&amp;$H$2),
AND($H$2=Data!$A$11,$K$2=Data!$A$2),SUMIFS(Proventos!$H:$H,Proventos!$D:$D,"&gt;="&amp;CONCATENATE($J$6,"/",B88),Proventos!$D:$D,"&lt;"&amp;CONCATENATE($K$6,"/",B88),Proventos!$J:$J,"="&amp;$H$2),
$K$2=Data!$A$2,SUMIFS(Proventos!$H:$H,Proventos!$D:$D,"&gt;="&amp;CONCATENATE($J$6,"/",B88),Proventos!$D:$D,"&lt;"&amp;CONCATENATE($K$6,"/",B88)),
$K$2&lt;&gt;Data!$A$2,SUMIFS(Proventos!$H:$H,Proventos!$D:$D,"&gt;="&amp;CONCATENATE($J$6,"/",B88),Proventos!$D:$D,"&lt;"&amp;CONCATENATE($K$6,"/",B88),Proventos!$A:$A,"="&amp;$K$2))</f>
        <v>0</v>
      </c>
      <c r="K88" s="245">
        <f>IFS(
AND($H$2=Data!$A$3,$K$2=Data!$A$2),SUMIFS(Proventos!$H:$H,Proventos!$D:$D,"&gt;="&amp;CONCATENATE($K$6,"/",B88),Proventos!$D:$D,"&lt;"&amp;CONCATENATE($L$6,"/",B88),Proventos!$J:$J,"="&amp;$H$2),
AND($H$2=Data!$A$4,$K$2=Data!$A$2),SUMIFS(Proventos!$H:$H,Proventos!$D:$D,"&gt;="&amp;CONCATENATE($K$6,"/",B88),Proventos!$D:$D,"&lt;"&amp;CONCATENATE($L$6,"/",B88),Proventos!$J:$J,"="&amp;$H$2),
AND($H$2=Data!$A$5,$K$2=Data!$A$2),SUMIFS(Proventos!$H:$H,Proventos!$D:$D,"&gt;="&amp;CONCATENATE($K$6,"/",B88),Proventos!$D:$D,"&lt;"&amp;CONCATENATE($L$6,"/",B88),Proventos!$J:$J,"="&amp;$H$2),
AND($H$2=Data!$A$6,$K$2=Data!$A$2),SUMIFS(Proventos!$H:$H,Proventos!$D:$D,"&gt;="&amp;CONCATENATE($K$6,"/",B88),Proventos!$D:$D,"&lt;"&amp;CONCATENATE($L$6,"/",B88),Proventos!$J:$J,"="&amp;$H$2),
AND($H$2=Data!$A$7,$K$2=Data!$A$2),SUMIFS(Proventos!$H:$H,Proventos!$D:$D,"&gt;="&amp;CONCATENATE($K$6,"/",B88),Proventos!$D:$D,"&lt;"&amp;CONCATENATE($L$6,"/",B88),Proventos!$J:$J,"="&amp;$H$2),
AND($H$2=Data!$A$8,$K$2=Data!$A$2),SUMIFS(Proventos!$H:$H,Proventos!$D:$D,"&gt;="&amp;CONCATENATE($K$6,"/",B88),Proventos!$D:$D,"&lt;"&amp;CONCATENATE($L$6,"/",B88),Proventos!$J:$J,"="&amp;$H$2),
AND($H$2=Data!$A$9,$K$2=Data!$A$2),SUMIFS(Proventos!$H:$H,Proventos!$D:$D,"&gt;="&amp;CONCATENATE($K$6,"/",B88),Proventos!$D:$D,"&lt;"&amp;CONCATENATE($L$6,"/",B88),Proventos!$J:$J,"="&amp;$H$2),
AND($H$2=Data!$A$10,$K$2=Data!$A$2),SUMIFS(Proventos!$H:$H,Proventos!$D:$D,"&gt;="&amp;CONCATENATE($K$6,"/",B88),Proventos!$D:$D,"&lt;"&amp;CONCATENATE($L$6,"/",B88),Proventos!$J:$J,"="&amp;$H$2),
AND($H$2=Data!$A$11,$K$2=Data!$A$2),SUMIFS(Proventos!$H:$H,Proventos!$D:$D,"&gt;="&amp;CONCATENATE($K$6,"/",B88),Proventos!$D:$D,"&lt;"&amp;CONCATENATE($L$6,"/",B88),Proventos!$J:$J,"="&amp;$H$2),
$K$2=Data!$A$2,SUMIFS(Proventos!$H:$H,Proventos!$D:$D,"&gt;="&amp;CONCATENATE($K$6,"/",B88),Proventos!$D:$D,"&lt;"&amp;CONCATENATE($L$6,"/",B88)),
$K$2&lt;&gt;Data!$A$2,SUMIFS(Proventos!$H:$H,Proventos!$D:$D,"&gt;="&amp;CONCATENATE($K$6,"/",B88),Proventos!$D:$D,"&lt;"&amp;CONCATENATE($L$6,"/",B88),Proventos!$A:$A,"="&amp;$K$2))</f>
        <v>0</v>
      </c>
      <c r="L88" s="245">
        <f>IFS(
AND($H$2=Data!$A$3,$K$2=Data!$A$2),SUMIFS(Proventos!$H:$H,Proventos!$D:$D,"&gt;="&amp;CONCATENATE($L$6,"/",B88),Proventos!$D:$D,"&lt;"&amp;CONCATENATE($M$6,"/",B88),Proventos!$J:$J,"="&amp;$H$2),
AND($H$2=Data!$A$4,$K$2=Data!$A$2),SUMIFS(Proventos!$H:$H,Proventos!$D:$D,"&gt;="&amp;CONCATENATE($L$6,"/",B88),Proventos!$D:$D,"&lt;"&amp;CONCATENATE($M$6,"/",B88),Proventos!$J:$J,"="&amp;$H$2),
AND($H$2=Data!$A$5,$K$2=Data!$A$2),SUMIFS(Proventos!$H:$H,Proventos!$D:$D,"&gt;="&amp;CONCATENATE($L$6,"/",B88),Proventos!$D:$D,"&lt;"&amp;CONCATENATE($M$6,"/",B88),Proventos!$J:$J,"="&amp;$H$2),
AND($H$2=Data!$A$6,$K$2=Data!$A$2),SUMIFS(Proventos!$H:$H,Proventos!$D:$D,"&gt;="&amp;CONCATENATE($L$6,"/",B88),Proventos!$D:$D,"&lt;"&amp;CONCATENATE($M$6,"/",B88),Proventos!$J:$J,"="&amp;$H$2),
AND($H$2=Data!$A$7,$K$2=Data!$A$2),SUMIFS(Proventos!$H:$H,Proventos!$D:$D,"&gt;="&amp;CONCATENATE($L$6,"/",B88),Proventos!$D:$D,"&lt;"&amp;CONCATENATE($M$6,"/",B88),Proventos!$J:$J,"="&amp;$H$2),
AND($H$2=Data!$A$8,$K$2=Data!$A$2),SUMIFS(Proventos!$H:$H,Proventos!$D:$D,"&gt;="&amp;CONCATENATE($L$6,"/",B88),Proventos!$D:$D,"&lt;"&amp;CONCATENATE($M$6,"/",B88),Proventos!$J:$J,"="&amp;$H$2),
AND($H$2=Data!$A$9,$K$2=Data!$A$2),SUMIFS(Proventos!$H:$H,Proventos!$D:$D,"&gt;="&amp;CONCATENATE($L$6,"/",B88),Proventos!$D:$D,"&lt;"&amp;CONCATENATE($M$6,"/",B88),Proventos!$J:$J,"="&amp;$H$2),
AND($H$2=Data!$A$10,$K$2=Data!$A$2),SUMIFS(Proventos!$H:$H,Proventos!$D:$D,"&gt;="&amp;CONCATENATE($L$6,"/",B88),Proventos!$D:$D,"&lt;"&amp;CONCATENATE($M$6,"/",B88),Proventos!$J:$J,"="&amp;$H$2),
AND($H$2=Data!$A$11,$K$2=Data!$A$2),SUMIFS(Proventos!$H:$H,Proventos!$D:$D,"&gt;="&amp;CONCATENATE($L$6,"/",B88),Proventos!$D:$D,"&lt;"&amp;CONCATENATE($M$6,"/",B88),Proventos!$J:$J,"="&amp;$H$2),
$K$2=Data!$A$2,SUMIFS(Proventos!$H:$H,Proventos!$D:$D,"&gt;="&amp;CONCATENATE($L$6,"/",B88),Proventos!$D:$D,"&lt;"&amp;CONCATENATE($M$6,"/",B88)),
$K$2&lt;&gt;Data!$A$2,SUMIFS(Proventos!$H:$H,Proventos!$D:$D,"&gt;="&amp;CONCATENATE($L$6,"/",B88),Proventos!$D:$D,"&lt;"&amp;CONCATENATE($M$6,"/",B88),Proventos!$A:$A,"="&amp;$K$2))</f>
        <v>0</v>
      </c>
      <c r="M88" s="245">
        <f>IFS(
AND($H$2=Data!$A$3,$K$2=Data!$A$2),SUMIFS(Proventos!$H:$H,Proventos!$D:$D,"&gt;="&amp;CONCATENATE($M$6,"/",B88),Proventos!$D:$D,"&lt;"&amp;CONCATENATE($N$6,"/",B88),Proventos!$J:$J,"="&amp;$H$2),
AND($H$2=Data!$A$4,$K$2=Data!$A$2),SUMIFS(Proventos!$H:$H,Proventos!$D:$D,"&gt;="&amp;CONCATENATE($M$6,"/",B88),Proventos!$D:$D,"&lt;"&amp;CONCATENATE($N$6,"/",B88),Proventos!$J:$J,"="&amp;$H$2),
AND($H$2=Data!$A$5,$K$2=Data!$A$2),SUMIFS(Proventos!$H:$H,Proventos!$D:$D,"&gt;="&amp;CONCATENATE($M$6,"/",B88),Proventos!$D:$D,"&lt;"&amp;CONCATENATE($N$6,"/",B88),Proventos!$J:$J,"="&amp;$H$2),
AND($H$2=Data!$A$6,$K$2=Data!$A$2),SUMIFS(Proventos!$H:$H,Proventos!$D:$D,"&gt;="&amp;CONCATENATE($M$6,"/",B88),Proventos!$D:$D,"&lt;"&amp;CONCATENATE($N$6,"/",B88),Proventos!$J:$J,"="&amp;$H$2),
AND($H$2=Data!$A$7,$K$2=Data!$A$2),SUMIFS(Proventos!$H:$H,Proventos!$D:$D,"&gt;="&amp;CONCATENATE($M$6,"/",B88),Proventos!$D:$D,"&lt;"&amp;CONCATENATE($N$6,"/",B88),Proventos!$J:$J,"="&amp;$H$2),
AND($H$2=Data!$A$8,$K$2=Data!$A$2),SUMIFS(Proventos!$H:$H,Proventos!$D:$D,"&gt;="&amp;CONCATENATE($M$6,"/",B88),Proventos!$D:$D,"&lt;"&amp;CONCATENATE($N$6,"/",B88),Proventos!$J:$J,"="&amp;$H$2),
AND($H$2=Data!$A$9,$K$2=Data!$A$2),SUMIFS(Proventos!$H:$H,Proventos!$D:$D,"&gt;="&amp;CONCATENATE($M$6,"/",B88),Proventos!$D:$D,"&lt;"&amp;CONCATENATE($N$6,"/",B88),Proventos!$J:$J,"="&amp;$H$2),
AND($H$2=Data!$A$10,$K$2=Data!$A$2),SUMIFS(Proventos!$H:$H,Proventos!$D:$D,"&gt;="&amp;CONCATENATE($M$6,"/",B88),Proventos!$D:$D,"&lt;"&amp;CONCATENATE($N$6,"/",B88),Proventos!$J:$J,"="&amp;$H$2),
AND($H$2=Data!$A$11,$K$2=Data!$A$2),SUMIFS(Proventos!$H:$H,Proventos!$D:$D,"&gt;="&amp;CONCATENATE($M$6,"/",B88),Proventos!$D:$D,"&lt;"&amp;CONCATENATE($N$6,"/",B88),Proventos!$J:$J,"="&amp;$H$2),
$K$2=Data!$A$2,SUMIFS(Proventos!$H:$H,Proventos!$D:$D,"&gt;="&amp;CONCATENATE($M$6,"/",B88),Proventos!$D:$D,"&lt;"&amp;CONCATENATE($N$6,"/",B88)),
$K$2&lt;&gt;Data!$A$2,SUMIFS(Proventos!$H:$H,Proventos!$D:$D,"&gt;="&amp;CONCATENATE($M$6,"/",B88),Proventos!$D:$D,"&lt;"&amp;CONCATENATE($N$6,"/",B88),Proventos!$A:$A,"="&amp;$K$2))</f>
        <v>0</v>
      </c>
      <c r="N88" s="245">
        <f>IFS(
AND($H$2=Data!$A$3,$K$2=Data!$A$2),SUMIFS(Proventos!$H:$H,Proventos!$D:$D,"&gt;="&amp;CONCATENATE($N$6,"/",B88),Proventos!$D:$D,"&lt;"&amp;CONCATENATE($C$6,"/",B89),Proventos!$J:$J,"="&amp;$H$2),
AND($H$2=Data!$A$4,$K$2=Data!$A$2),SUMIFS(Proventos!$H:$H,Proventos!$D:$D,"&gt;="&amp;CONCATENATE($N$6,"/",B88),Proventos!$D:$D,"&lt;"&amp;CONCATENATE($C$6,"/",B89),Proventos!$J:$J,"="&amp;$H$2),
AND($H$2=Data!$A$5,$K$2=Data!$A$2),SUMIFS(Proventos!$H:$H,Proventos!$D:$D,"&gt;="&amp;CONCATENATE($N$6,"/",B88),Proventos!$D:$D,"&lt;"&amp;CONCATENATE($C$6,"/",B89),Proventos!$J:$J,"="&amp;$H$2),
AND($H$2=Data!$A$6,$K$2=Data!$A$2),SUMIFS(Proventos!$H:$H,Proventos!$D:$D,"&gt;="&amp;CONCATENATE($N$6,"/",B88),Proventos!$D:$D,"&lt;"&amp;CONCATENATE($C$6,"/",B89),Proventos!$J:$J,"="&amp;$H$2),
AND($H$2=Data!$A$7,$K$2=Data!$A$2),SUMIFS(Proventos!$H:$H,Proventos!$D:$D,"&gt;="&amp;CONCATENATE($N$6,"/",B88),Proventos!$D:$D,"&lt;"&amp;CONCATENATE($C$6,"/",B89),Proventos!$J:$J,"="&amp;$H$2),
AND($H$2=Data!$A$8,$K$2=Data!$A$2),SUMIFS(Proventos!$H:$H,Proventos!$D:$D,"&gt;="&amp;CONCATENATE($N$6,"/",B88),Proventos!$D:$D,"&lt;"&amp;CONCATENATE($C$6,"/",B89),Proventos!$J:$J,"="&amp;$H$2),
AND($H$2=Data!$A$9,$K$2=Data!$A$2),SUMIFS(Proventos!$H:$H,Proventos!$D:$D,"&gt;="&amp;CONCATENATE($N$6,"/",B88),Proventos!$D:$D,"&lt;"&amp;CONCATENATE($C$6,"/",B89),Proventos!$J:$J,"="&amp;$H$2),
AND($H$2=Data!$A$10,$K$2=Data!$A$2),SUMIFS(Proventos!$H:$H,Proventos!$D:$D,"&gt;="&amp;CONCATENATE($N$6,"/",B88),Proventos!$D:$D,"&lt;"&amp;CONCATENATE($C$6,"/",B89),Proventos!$J:$J,"="&amp;$H$2),
AND($H$2=Data!$A$11,$K$2=Data!$A$2),SUMIFS(Proventos!$H:$H,Proventos!$D:$D,"&gt;="&amp;CONCATENATE($N$6,"/",B88),Proventos!$D:$D,"&lt;"&amp;CONCATENATE($C$6,"/",B89),Proventos!$J:$J,"="&amp;$H$2),
$K$2=Data!$A$2,SUMIFS(Proventos!$H:$H,Proventos!$D:$D,"&gt;="&amp;CONCATENATE($N$6,"/",B88),Proventos!$D:$D,"&lt;"&amp;CONCATENATE($C$6,"/",B89)),
$K$2&lt;&gt;Data!$A$2,SUMIFS(Proventos!$H:$H,Proventos!$D:$D,"&gt;="&amp;CONCATENATE($N$6,"/",B88),Proventos!$D:$D,"&lt;"&amp;CONCATENATE($C$6,"/",B89),Proventos!$A:$A,"="&amp;$K$2))</f>
        <v>0</v>
      </c>
      <c r="O88" s="245"/>
      <c r="P88" s="245">
        <f t="shared" si="1"/>
        <v>0</v>
      </c>
      <c r="Q88" s="245">
        <f t="shared" si="2"/>
        <v>0</v>
      </c>
    </row>
    <row r="89" ht="32.25" customHeight="1">
      <c r="A89" s="230"/>
      <c r="B89" s="244"/>
      <c r="C89" s="245">
        <f>IFS(
AND($H$2=Data!$A$3,$K$2=Data!$A$2),SUMIFS(Proventos!$H:$H,Proventos!$D:$D,"&gt;="&amp;CONCATENATE($C$6,"/",B89),Proventos!$D:$D,"&lt;"&amp;CONCATENATE($D$6,"/",B89),Proventos!$J:$J,"="&amp;$H$2),
AND($H$2=Data!$A$4,$K$2=Data!$A$2),SUMIFS(Proventos!$H:$H,Proventos!$D:$D,"&gt;="&amp;CONCATENATE($C$6,"/",B89),Proventos!$D:$D,"&lt;"&amp;CONCATENATE($D$6,"/",B89),Proventos!$J:$J,"="&amp;$H$2),
AND($H$2=Data!$A$5,$K$2=Data!$A$2),SUMIFS(Proventos!$H:$H,Proventos!$D:$D,"&gt;="&amp;CONCATENATE($C$6,"/",B89),Proventos!$D:$D,"&lt;"&amp;CONCATENATE($D$6,"/",B89),Proventos!$J:$J,"="&amp;$H$2),
AND($H$2=Data!$A$6,$K$2=Data!$A$2),SUMIFS(Proventos!$H:$H,Proventos!$D:$D,"&gt;="&amp;CONCATENATE($C$6,"/",B89),Proventos!$D:$D,"&lt;"&amp;CONCATENATE($D$6,"/",B89),Proventos!$J:$J,"="&amp;$H$2),
AND($H$2=Data!$A$7,$K$2=Data!$A$2),SUMIFS(Proventos!$H:$H,Proventos!$D:$D,"&gt;="&amp;CONCATENATE($C$6,"/",B89),Proventos!$D:$D,"&lt;"&amp;CONCATENATE($D$6,"/",B89),Proventos!$J:$J,"="&amp;$H$2),
AND($H$2=Data!$A$8,$K$2=Data!$A$2),SUMIFS(Proventos!$H:$H,Proventos!$D:$D,"&gt;="&amp;CONCATENATE($C$6,"/",B89),Proventos!$D:$D,"&lt;"&amp;CONCATENATE($D$6,"/",B89),Proventos!$J:$J,"="&amp;$H$2),
AND($H$2=Data!$A$9,$K$2=Data!$A$2),SUMIFS(Proventos!$H:$H,Proventos!$D:$D,"&gt;="&amp;CONCATENATE($C$6,"/",B89),Proventos!$D:$D,"&lt;"&amp;CONCATENATE($D$6,"/",B89),Proventos!$J:$J,"="&amp;$H$2),
AND($H$2=Data!$A$10,$K$2=Data!$A$2),SUMIFS(Proventos!$H:$H,Proventos!$D:$D,"&gt;="&amp;CONCATENATE($C$6,"/",B89),Proventos!$D:$D,"&lt;"&amp;CONCATENATE($D$6,"/",B89),Proventos!$J:$J,"="&amp;$H$2),
AND($H$2=Data!$A$11,$K$2=Data!$A$2),SUMIFS(Proventos!$H:$H,Proventos!$D:$D,"&gt;="&amp;CONCATENATE($C$6,"/",B89),Proventos!$D:$D,"&lt;"&amp;CONCATENATE($D$6,"/",B89),Proventos!$J:$J,"="&amp;$H$2),
$K$2=Data!$A$2,SUMIFS(Proventos!$H:$H,Proventos!$D:$D,"&gt;="&amp;CONCATENATE($C$6,"/",B89),Proventos!$D:$D,"&lt;"&amp;CONCATENATE($D$6,"/",B89)),
$K$2&lt;&gt;Data!$A$2,SUMIFS(Proventos!$H:$H,Proventos!$D:$D,"&gt;="&amp;CONCATENATE($C$6,"/",B89),Proventos!$D:$D,"&lt;"&amp;CONCATENATE($D$6,"/",B89),Proventos!$A:$A,"="&amp;$K$2))</f>
        <v>0</v>
      </c>
      <c r="D89" s="245">
        <f>IFS(
AND($H$2=Data!$A$3,$K$2=Data!$A$2),SUMIFS(Proventos!$H:$H,Proventos!$D:$D,"&gt;="&amp;CONCATENATE($D$6,"/",B89),Proventos!$D:$D,"&lt;"&amp;CONCATENATE($E$6,"/",B89),Proventos!$J:$J,"="&amp;$H$2),
AND($H$2=Data!$A$4,$K$2=Data!$A$2),SUMIFS(Proventos!$H:$H,Proventos!$D:$D,"&gt;="&amp;CONCATENATE($D$6,"/",B89),Proventos!$D:$D,"&lt;"&amp;CONCATENATE($E$6,"/",B89),Proventos!$J:$J,"="&amp;$H$2),
AND($H$2=Data!$A$5,$K$2=Data!$A$2),SUMIFS(Proventos!$H:$H,Proventos!$D:$D,"&gt;="&amp;CONCATENATE($D$6,"/",B89),Proventos!$D:$D,"&lt;"&amp;CONCATENATE($E$6,"/",B89),Proventos!$J:$J,"="&amp;$H$2),
AND($H$2=Data!$A$6,$K$2=Data!$A$2),SUMIFS(Proventos!$H:$H,Proventos!$D:$D,"&gt;="&amp;CONCATENATE($D$6,"/",B89),Proventos!$D:$D,"&lt;"&amp;CONCATENATE($E$6,"/",B89),Proventos!$J:$J,"="&amp;$H$2),
AND($H$2=Data!$A$7,$K$2=Data!$A$2),SUMIFS(Proventos!$H:$H,Proventos!$D:$D,"&gt;="&amp;CONCATENATE($D$6,"/",B89),Proventos!$D:$D,"&lt;"&amp;CONCATENATE($E$6,"/",B89),Proventos!$J:$J,"="&amp;$H$2),
AND($H$2=Data!$A$8,$K$2=Data!$A$2),SUMIFS(Proventos!$H:$H,Proventos!$D:$D,"&gt;="&amp;CONCATENATE($D$6,"/",B89),Proventos!$D:$D,"&lt;"&amp;CONCATENATE($E$6,"/",B89),Proventos!$J:$J,"="&amp;$H$2),
AND($H$2=Data!$A$9,$K$2=Data!$A$2),SUMIFS(Proventos!$H:$H,Proventos!$D:$D,"&gt;="&amp;CONCATENATE($D$6,"/",B89),Proventos!$D:$D,"&lt;"&amp;CONCATENATE($E$6,"/",B89),Proventos!$J:$J,"="&amp;$H$2),
AND($H$2=Data!$A$10,$K$2=Data!$A$2),SUMIFS(Proventos!$H:$H,Proventos!$D:$D,"&gt;="&amp;CONCATENATE($D$6,"/",B89),Proventos!$D:$D,"&lt;"&amp;CONCATENATE($E$6,"/",B89),Proventos!$J:$J,"="&amp;$H$2),
AND($H$2=Data!$A$11,$K$2=Data!$A$2),SUMIFS(Proventos!$H:$H,Proventos!$D:$D,"&gt;="&amp;CONCATENATE($D$6,"/",B89),Proventos!$D:$D,"&lt;"&amp;CONCATENATE($E$6,"/",B89),Proventos!$J:$J,"="&amp;$H$2),
$K$2=Data!$A$2,SUMIFS(Proventos!$H:$H,Proventos!$D:$D,"&gt;="&amp;CONCATENATE($D$6,"/",B89),Proventos!$D:$D,"&lt;"&amp;CONCATENATE($E$6,"/",B89)),
$K$2&lt;&gt;Data!$A$2,SUMIFS(Proventos!$H:$H,Proventos!$D:$D,"&gt;="&amp;CONCATENATE($D$6,"/",B89),Proventos!$D:$D,"&lt;"&amp;CONCATENATE($E$6,"/",B89),Proventos!$A:$A,"="&amp;$K$2))</f>
        <v>0</v>
      </c>
      <c r="E89" s="245">
        <f>IFS(
AND($H$2=Data!$A$3,$K$2=Data!$A$2),SUMIFS(Proventos!$H:$H,Proventos!$D:$D,"&gt;="&amp;CONCATENATE($E$6,"/",B89),Proventos!$D:$D,"&lt;"&amp;CONCATENATE($F$6,"/",B89),Proventos!$J:$J,"="&amp;$H$2),
AND($H$2=Data!$A$4,$K$2=Data!$A$2),SUMIFS(Proventos!$H:$H,Proventos!$D:$D,"&gt;="&amp;CONCATENATE($E$6,"/",B89),Proventos!$D:$D,"&lt;"&amp;CONCATENATE($F$6,"/",B89),Proventos!$J:$J,"="&amp;$H$2),
AND($H$2=Data!$A$5,$K$2=Data!$A$2),SUMIFS(Proventos!$H:$H,Proventos!$D:$D,"&gt;="&amp;CONCATENATE($E$6,"/",B89),Proventos!$D:$D,"&lt;"&amp;CONCATENATE($F$6,"/",B89),Proventos!$J:$J,"="&amp;$H$2),
AND($H$2=Data!$A$6,$K$2=Data!$A$2),SUMIFS(Proventos!$H:$H,Proventos!$D:$D,"&gt;="&amp;CONCATENATE($E$6,"/",B89),Proventos!$D:$D,"&lt;"&amp;CONCATENATE($F$6,"/",B89),Proventos!$J:$J,"="&amp;$H$2),
AND($H$2=Data!$A$7,$K$2=Data!$A$2),SUMIFS(Proventos!$H:$H,Proventos!$D:$D,"&gt;="&amp;CONCATENATE($E$6,"/",B89),Proventos!$D:$D,"&lt;"&amp;CONCATENATE($F$6,"/",B89),Proventos!$J:$J,"="&amp;$H$2),
AND($H$2=Data!$A$8,$K$2=Data!$A$2),SUMIFS(Proventos!$H:$H,Proventos!$D:$D,"&gt;="&amp;CONCATENATE($E$6,"/",B89),Proventos!$D:$D,"&lt;"&amp;CONCATENATE($F$6,"/",B89),Proventos!$J:$J,"="&amp;$H$2),
AND($H$2=Data!$A$9,$K$2=Data!$A$2),SUMIFS(Proventos!$H:$H,Proventos!$D:$D,"&gt;="&amp;CONCATENATE($E$6,"/",B89),Proventos!$D:$D,"&lt;"&amp;CONCATENATE($F$6,"/",B89),Proventos!$J:$J,"="&amp;$H$2),
AND($H$2=Data!$A$10,$K$2=Data!$A$2),SUMIFS(Proventos!$H:$H,Proventos!$D:$D,"&gt;="&amp;CONCATENATE($E$6,"/",B89),Proventos!$D:$D,"&lt;"&amp;CONCATENATE($F$6,"/",B89),Proventos!$J:$J,"="&amp;$H$2),
AND($H$2=Data!$A$11,$K$2=Data!$A$2),SUMIFS(Proventos!$H:$H,Proventos!$D:$D,"&gt;="&amp;CONCATENATE($E$6,"/",B89),Proventos!$D:$D,"&lt;"&amp;CONCATENATE($F$6,"/",B89),Proventos!$J:$J,"="&amp;$H$2),
$K$2=Data!$A$2,SUMIFS(Proventos!$H:$H,Proventos!$D:$D,"&gt;="&amp;CONCATENATE($E$6,"/",B89),Proventos!$D:$D,"&lt;"&amp;CONCATENATE($F$6,"/",B89)),
$K$2&lt;&gt;Data!$A$2,SUMIFS(Proventos!$H:$H,Proventos!$D:$D,"&gt;="&amp;CONCATENATE($E$6,"/",B89),Proventos!$D:$D,"&lt;"&amp;CONCATENATE($F$6,"/",B89),Proventos!$A:$A,"="&amp;$K$2))</f>
        <v>0</v>
      </c>
      <c r="F89" s="245">
        <f>IFS(
AND($H$2=Data!$A$3,$K$2=Data!$A$2),SUMIFS(Proventos!$H:$H,Proventos!$D:$D,"&gt;="&amp;CONCATENATE($F$6,"/",B89),Proventos!$D:$D,"&lt;"&amp;CONCATENATE($G$6,"/",B89),Proventos!$J:$J,"="&amp;$H$2),
AND($H$2=Data!$A$4,$K$2=Data!$A$2),SUMIFS(Proventos!$H:$H,Proventos!$D:$D,"&gt;="&amp;CONCATENATE($F$6,"/",B89),Proventos!$D:$D,"&lt;"&amp;CONCATENATE($G$6,"/",B89),Proventos!$J:$J,"="&amp;$H$2),
AND($H$2=Data!$A$5,$K$2=Data!$A$2),SUMIFS(Proventos!$H:$H,Proventos!$D:$D,"&gt;="&amp;CONCATENATE($F$6,"/",B89),Proventos!$D:$D,"&lt;"&amp;CONCATENATE($G$6,"/",B89),Proventos!$J:$J,"="&amp;$H$2),
AND($H$2=Data!$A$6,$K$2=Data!$A$2),SUMIFS(Proventos!$H:$H,Proventos!$D:$D,"&gt;="&amp;CONCATENATE($F$6,"/",B89),Proventos!$D:$D,"&lt;"&amp;CONCATENATE($G$6,"/",B89),Proventos!$J:$J,"="&amp;$H$2),
AND($H$2=Data!$A$7,$K$2=Data!$A$2),SUMIFS(Proventos!$H:$H,Proventos!$D:$D,"&gt;="&amp;CONCATENATE($F$6,"/",B89),Proventos!$D:$D,"&lt;"&amp;CONCATENATE($G$6,"/",B89),Proventos!$J:$J,"="&amp;$H$2),
AND($H$2=Data!$A$8,$K$2=Data!$A$2),SUMIFS(Proventos!$H:$H,Proventos!$D:$D,"&gt;="&amp;CONCATENATE($F$6,"/",B89),Proventos!$D:$D,"&lt;"&amp;CONCATENATE($G$6,"/",B89),Proventos!$J:$J,"="&amp;$H$2),
AND($H$2=Data!$A$9,$K$2=Data!$A$2),SUMIFS(Proventos!$H:$H,Proventos!$D:$D,"&gt;="&amp;CONCATENATE($F$6,"/",B89),Proventos!$D:$D,"&lt;"&amp;CONCATENATE($G$6,"/",B89),Proventos!$J:$J,"="&amp;$H$2),
AND($H$2=Data!$A$10,$K$2=Data!$A$2),SUMIFS(Proventos!$H:$H,Proventos!$D:$D,"&gt;="&amp;CONCATENATE($F$6,"/",B89),Proventos!$D:$D,"&lt;"&amp;CONCATENATE($G$6,"/",B89),Proventos!$J:$J,"="&amp;$H$2),
AND($H$2=Data!$A$11,$K$2=Data!$A$2),SUMIFS(Proventos!$H:$H,Proventos!$D:$D,"&gt;="&amp;CONCATENATE($F$6,"/",B89),Proventos!$D:$D,"&lt;"&amp;CONCATENATE($G$6,"/",B89),Proventos!$J:$J,"="&amp;$H$2),
$K$2=Data!$A$2,SUMIFS(Proventos!$H:$H,Proventos!$D:$D,"&gt;="&amp;CONCATENATE($F$6,"/",B89),Proventos!$D:$D,"&lt;"&amp;CONCATENATE($G$6,"/",B89)),
$K$2&lt;&gt;Data!$A$2,SUMIFS(Proventos!$H:$H,Proventos!$D:$D,"&gt;="&amp;CONCATENATE($F$6,"/",B89),Proventos!$D:$D,"&lt;"&amp;CONCATENATE($G$6,"/",B89),Proventos!$A:$A,"="&amp;$K$2))</f>
        <v>0</v>
      </c>
      <c r="G89" s="245">
        <f>IFS(
AND($H$2=Data!$A$3,$K$2=Data!$A$2),SUMIFS(Proventos!$H:$H,Proventos!$D:$D,"&gt;="&amp;CONCATENATE($G$6,"/",B89),Proventos!$D:$D,"&lt;"&amp;CONCATENATE($H$6,"/",B89),Proventos!$J:$J,"="&amp;$H$2),
AND($H$2=Data!$A$4,$K$2=Data!$A$2),SUMIFS(Proventos!$H:$H,Proventos!$D:$D,"&gt;="&amp;CONCATENATE($G$6,"/",B89),Proventos!$D:$D,"&lt;"&amp;CONCATENATE($H$6,"/",B89),Proventos!$J:$J,"="&amp;$H$2),
AND($H$2=Data!$A$5,$K$2=Data!$A$2),SUMIFS(Proventos!$H:$H,Proventos!$D:$D,"&gt;="&amp;CONCATENATE($G$6,"/",B89),Proventos!$D:$D,"&lt;"&amp;CONCATENATE($H$6,"/",B89),Proventos!$J:$J,"="&amp;$H$2),
AND($H$2=Data!$A$6,$K$2=Data!$A$2),SUMIFS(Proventos!$H:$H,Proventos!$D:$D,"&gt;="&amp;CONCATENATE($G$6,"/",B89),Proventos!$D:$D,"&lt;"&amp;CONCATENATE($H$6,"/",B89),Proventos!$J:$J,"="&amp;$H$2),
AND($H$2=Data!$A$7,$K$2=Data!$A$2),SUMIFS(Proventos!$H:$H,Proventos!$D:$D,"&gt;="&amp;CONCATENATE($G$6,"/",B89),Proventos!$D:$D,"&lt;"&amp;CONCATENATE($H$6,"/",B89),Proventos!$J:$J,"="&amp;$H$2),
AND($H$2=Data!$A$8,$K$2=Data!$A$2),SUMIFS(Proventos!$H:$H,Proventos!$D:$D,"&gt;="&amp;CONCATENATE($G$6,"/",B89),Proventos!$D:$D,"&lt;"&amp;CONCATENATE($H$6,"/",B89),Proventos!$J:$J,"="&amp;$H$2),
AND($H$2=Data!$A$9,$K$2=Data!$A$2),SUMIFS(Proventos!$H:$H,Proventos!$D:$D,"&gt;="&amp;CONCATENATE($G$6,"/",B89),Proventos!$D:$D,"&lt;"&amp;CONCATENATE($H$6,"/",B89),Proventos!$J:$J,"="&amp;$H$2),
AND($H$2=Data!$A$10,$K$2=Data!$A$2),SUMIFS(Proventos!$H:$H,Proventos!$D:$D,"&gt;="&amp;CONCATENATE($G$6,"/",B89),Proventos!$D:$D,"&lt;"&amp;CONCATENATE($H$6,"/",B89),Proventos!$J:$J,"="&amp;$H$2),
AND($H$2=Data!$A$11,$K$2=Data!$A$2),SUMIFS(Proventos!$H:$H,Proventos!$D:$D,"&gt;="&amp;CONCATENATE($G$6,"/",B89),Proventos!$D:$D,"&lt;"&amp;CONCATENATE($H$6,"/",B89),Proventos!$J:$J,"="&amp;$H$2),
$K$2=Data!$A$2,SUMIFS(Proventos!$H:$H,Proventos!$D:$D,"&gt;="&amp;CONCATENATE($G$6,"/",B89),Proventos!$D:$D,"&lt;"&amp;CONCATENATE($H$6,"/",B89)),
$K$2&lt;&gt;Data!$A$2,SUMIFS(Proventos!$H:$H,Proventos!$D:$D,"&gt;="&amp;CONCATENATE($G$6,"/",B89),Proventos!$D:$D,"&lt;"&amp;CONCATENATE($H$6,"/",B89),Proventos!$A:$A,"="&amp;$K$2))</f>
        <v>0</v>
      </c>
      <c r="H89" s="245">
        <f>IFS(
AND($H$2=Data!$A$3,$K$2=Data!$A$2),SUMIFS(Proventos!$H:$H,Proventos!$D:$D,"&gt;="&amp;CONCATENATE($H$6,"/",B89),Proventos!$D:$D,"&lt;"&amp;CONCATENATE($I$6,"/",B89),Proventos!$J:$J,"="&amp;$H$2),
AND($H$2=Data!$A$4,$K$2=Data!$A$2),SUMIFS(Proventos!$H:$H,Proventos!$D:$D,"&gt;="&amp;CONCATENATE($H$6,"/",B89),Proventos!$D:$D,"&lt;"&amp;CONCATENATE($I$6,"/",B89),Proventos!$J:$J,"="&amp;$H$2),
AND($H$2=Data!$A$5,$K$2=Data!$A$2),SUMIFS(Proventos!$H:$H,Proventos!$D:$D,"&gt;="&amp;CONCATENATE($H$6,"/",B89),Proventos!$D:$D,"&lt;"&amp;CONCATENATE($I$6,"/",B89),Proventos!$J:$J,"="&amp;$H$2),
AND($H$2=Data!$A$6,$K$2=Data!$A$2),SUMIFS(Proventos!$H:$H,Proventos!$D:$D,"&gt;="&amp;CONCATENATE($H$6,"/",B89),Proventos!$D:$D,"&lt;"&amp;CONCATENATE($I$6,"/",B89),Proventos!$J:$J,"="&amp;$H$2),
AND($H$2=Data!$A$7,$K$2=Data!$A$2),SUMIFS(Proventos!$H:$H,Proventos!$D:$D,"&gt;="&amp;CONCATENATE($H$6,"/",B89),Proventos!$D:$D,"&lt;"&amp;CONCATENATE($I$6,"/",B89),Proventos!$J:$J,"="&amp;$H$2),
AND($H$2=Data!$A$8,$K$2=Data!$A$2),SUMIFS(Proventos!$H:$H,Proventos!$D:$D,"&gt;="&amp;CONCATENATE($H$6,"/",B89),Proventos!$D:$D,"&lt;"&amp;CONCATENATE($I$6,"/",B89),Proventos!$J:$J,"="&amp;$H$2),
AND($H$2=Data!$A$9,$K$2=Data!$A$2),SUMIFS(Proventos!$H:$H,Proventos!$D:$D,"&gt;="&amp;CONCATENATE($H$6,"/",B89),Proventos!$D:$D,"&lt;"&amp;CONCATENATE($I$6,"/",B89),Proventos!$J:$J,"="&amp;$H$2),
AND($H$2=Data!$A$10,$K$2=Data!$A$2),SUMIFS(Proventos!$H:$H,Proventos!$D:$D,"&gt;="&amp;CONCATENATE($H$6,"/",B89),Proventos!$D:$D,"&lt;"&amp;CONCATENATE($I$6,"/",B89),Proventos!$J:$J,"="&amp;$H$2),
AND($H$2=Data!$A$11,$K$2=Data!$A$2),SUMIFS(Proventos!$H:$H,Proventos!$D:$D,"&gt;="&amp;CONCATENATE($H$6,"/",B89),Proventos!$D:$D,"&lt;"&amp;CONCATENATE($I$6,"/",B89),Proventos!$J:$J,"="&amp;$H$2),
$K$2=Data!$A$2,SUMIFS(Proventos!$H:$H,Proventos!$D:$D,"&gt;="&amp;CONCATENATE($H$6,"/",B89),Proventos!$D:$D,"&lt;"&amp;CONCATENATE($I$6,"/",B89)),
$K$2&lt;&gt;Data!$A$2,SUMIFS(Proventos!$H:$H,Proventos!$D:$D,"&gt;="&amp;CONCATENATE($H$6,"/",B89),Proventos!$D:$D,"&lt;"&amp;CONCATENATE($I$6,"/",B89),Proventos!$A:$A,"="&amp;$K$2))</f>
        <v>0</v>
      </c>
      <c r="I89" s="245">
        <f>IFS(
AND($H$2=Data!$A$3,$K$2=Data!$A$2),SUMIFS(Proventos!$H:$H,Proventos!$D:$D,"&gt;="&amp;CONCATENATE($I$6,"/",B89),Proventos!$D:$D,"&lt;"&amp;CONCATENATE($J$6,"/",B89),Proventos!$J:$J,"="&amp;$H$2),
AND($H$2=Data!$A$4,$K$2=Data!$A$2),SUMIFS(Proventos!$H:$H,Proventos!$D:$D,"&gt;="&amp;CONCATENATE($I$6,"/",B89),Proventos!$D:$D,"&lt;"&amp;CONCATENATE($J$6,"/",B89),Proventos!$J:$J,"="&amp;$H$2),
AND($H$2=Data!$A$5,$K$2=Data!$A$2),SUMIFS(Proventos!$H:$H,Proventos!$D:$D,"&gt;="&amp;CONCATENATE($I$6,"/",B89),Proventos!$D:$D,"&lt;"&amp;CONCATENATE($J$6,"/",B89),Proventos!$J:$J,"="&amp;$H$2),
AND($H$2=Data!$A$6,$K$2=Data!$A$2),SUMIFS(Proventos!$H:$H,Proventos!$D:$D,"&gt;="&amp;CONCATENATE($I$6,"/",B89),Proventos!$D:$D,"&lt;"&amp;CONCATENATE($J$6,"/",B89),Proventos!$J:$J,"="&amp;$H$2),
AND($H$2=Data!$A$7,$K$2=Data!$A$2),SUMIFS(Proventos!$H:$H,Proventos!$D:$D,"&gt;="&amp;CONCATENATE($I$6,"/",B89),Proventos!$D:$D,"&lt;"&amp;CONCATENATE($J$6,"/",B89),Proventos!$J:$J,"="&amp;$H$2),
AND($H$2=Data!$A$8,$K$2=Data!$A$2),SUMIFS(Proventos!$H:$H,Proventos!$D:$D,"&gt;="&amp;CONCATENATE($I$6,"/",B89),Proventos!$D:$D,"&lt;"&amp;CONCATENATE($J$6,"/",B89),Proventos!$J:$J,"="&amp;$H$2),
AND($H$2=Data!$A$9,$K$2=Data!$A$2),SUMIFS(Proventos!$H:$H,Proventos!$D:$D,"&gt;="&amp;CONCATENATE($I$6,"/",B89),Proventos!$D:$D,"&lt;"&amp;CONCATENATE($J$6,"/",B89),Proventos!$J:$J,"="&amp;$H$2),
AND($H$2=Data!$A$10,$K$2=Data!$A$2),SUMIFS(Proventos!$H:$H,Proventos!$D:$D,"&gt;="&amp;CONCATENATE($I$6,"/",B89),Proventos!$D:$D,"&lt;"&amp;CONCATENATE($J$6,"/",B89),Proventos!$J:$J,"="&amp;$H$2),
AND($H$2=Data!$A$11,$K$2=Data!$A$2),SUMIFS(Proventos!$H:$H,Proventos!$D:$D,"&gt;="&amp;CONCATENATE($I$6,"/",B89),Proventos!$D:$D,"&lt;"&amp;CONCATENATE($J$6,"/",B89),Proventos!$J:$J,"="&amp;$H$2),
$K$2=Data!$A$2,SUMIFS(Proventos!$H:$H,Proventos!$D:$D,"&gt;="&amp;CONCATENATE($I$6,"/",B89),Proventos!$D:$D,"&lt;"&amp;CONCATENATE($J$6,"/",B89)),
$K$2&lt;&gt;Data!$A$2,SUMIFS(Proventos!$H:$H,Proventos!$D:$D,"&gt;="&amp;CONCATENATE($I$6,"/",B89),Proventos!$D:$D,"&lt;"&amp;CONCATENATE($J$6,"/",B89),Proventos!$A:$A,"="&amp;$K$2))</f>
        <v>0</v>
      </c>
      <c r="J89" s="245">
        <f>IFS(
AND($H$2=Data!$A$3,$K$2=Data!$A$2),SUMIFS(Proventos!$H:$H,Proventos!$D:$D,"&gt;="&amp;CONCATENATE($J$6,"/",B89),Proventos!$D:$D,"&lt;"&amp;CONCATENATE($K$6,"/",B89),Proventos!$J:$J,"="&amp;$H$2),
AND($H$2=Data!$A$4,$K$2=Data!$A$2),SUMIFS(Proventos!$H:$H,Proventos!$D:$D,"&gt;="&amp;CONCATENATE($J$6,"/",B89),Proventos!$D:$D,"&lt;"&amp;CONCATENATE($K$6,"/",B89),Proventos!$J:$J,"="&amp;$H$2),
AND($H$2=Data!$A$5,$K$2=Data!$A$2),SUMIFS(Proventos!$H:$H,Proventos!$D:$D,"&gt;="&amp;CONCATENATE($J$6,"/",B89),Proventos!$D:$D,"&lt;"&amp;CONCATENATE($K$6,"/",B89),Proventos!$J:$J,"="&amp;$H$2),
AND($H$2=Data!$A$6,$K$2=Data!$A$2),SUMIFS(Proventos!$H:$H,Proventos!$D:$D,"&gt;="&amp;CONCATENATE($J$6,"/",B89),Proventos!$D:$D,"&lt;"&amp;CONCATENATE($K$6,"/",B89),Proventos!$J:$J,"="&amp;$H$2),
AND($H$2=Data!$A$7,$K$2=Data!$A$2),SUMIFS(Proventos!$H:$H,Proventos!$D:$D,"&gt;="&amp;CONCATENATE($J$6,"/",B89),Proventos!$D:$D,"&lt;"&amp;CONCATENATE($K$6,"/",B89),Proventos!$J:$J,"="&amp;$H$2),
AND($H$2=Data!$A$8,$K$2=Data!$A$2),SUMIFS(Proventos!$H:$H,Proventos!$D:$D,"&gt;="&amp;CONCATENATE($J$6,"/",B89),Proventos!$D:$D,"&lt;"&amp;CONCATENATE($K$6,"/",B89),Proventos!$J:$J,"="&amp;$H$2),
AND($H$2=Data!$A$9,$K$2=Data!$A$2),SUMIFS(Proventos!$H:$H,Proventos!$D:$D,"&gt;="&amp;CONCATENATE($J$6,"/",B89),Proventos!$D:$D,"&lt;"&amp;CONCATENATE($K$6,"/",B89),Proventos!$J:$J,"="&amp;$H$2),
AND($H$2=Data!$A$10,$K$2=Data!$A$2),SUMIFS(Proventos!$H:$H,Proventos!$D:$D,"&gt;="&amp;CONCATENATE($J$6,"/",B89),Proventos!$D:$D,"&lt;"&amp;CONCATENATE($K$6,"/",B89),Proventos!$J:$J,"="&amp;$H$2),
AND($H$2=Data!$A$11,$K$2=Data!$A$2),SUMIFS(Proventos!$H:$H,Proventos!$D:$D,"&gt;="&amp;CONCATENATE($J$6,"/",B89),Proventos!$D:$D,"&lt;"&amp;CONCATENATE($K$6,"/",B89),Proventos!$J:$J,"="&amp;$H$2),
$K$2=Data!$A$2,SUMIFS(Proventos!$H:$H,Proventos!$D:$D,"&gt;="&amp;CONCATENATE($J$6,"/",B89),Proventos!$D:$D,"&lt;"&amp;CONCATENATE($K$6,"/",B89)),
$K$2&lt;&gt;Data!$A$2,SUMIFS(Proventos!$H:$H,Proventos!$D:$D,"&gt;="&amp;CONCATENATE($J$6,"/",B89),Proventos!$D:$D,"&lt;"&amp;CONCATENATE($K$6,"/",B89),Proventos!$A:$A,"="&amp;$K$2))</f>
        <v>0</v>
      </c>
      <c r="K89" s="245">
        <f>IFS(
AND($H$2=Data!$A$3,$K$2=Data!$A$2),SUMIFS(Proventos!$H:$H,Proventos!$D:$D,"&gt;="&amp;CONCATENATE($K$6,"/",B89),Proventos!$D:$D,"&lt;"&amp;CONCATENATE($L$6,"/",B89),Proventos!$J:$J,"="&amp;$H$2),
AND($H$2=Data!$A$4,$K$2=Data!$A$2),SUMIFS(Proventos!$H:$H,Proventos!$D:$D,"&gt;="&amp;CONCATENATE($K$6,"/",B89),Proventos!$D:$D,"&lt;"&amp;CONCATENATE($L$6,"/",B89),Proventos!$J:$J,"="&amp;$H$2),
AND($H$2=Data!$A$5,$K$2=Data!$A$2),SUMIFS(Proventos!$H:$H,Proventos!$D:$D,"&gt;="&amp;CONCATENATE($K$6,"/",B89),Proventos!$D:$D,"&lt;"&amp;CONCATENATE($L$6,"/",B89),Proventos!$J:$J,"="&amp;$H$2),
AND($H$2=Data!$A$6,$K$2=Data!$A$2),SUMIFS(Proventos!$H:$H,Proventos!$D:$D,"&gt;="&amp;CONCATENATE($K$6,"/",B89),Proventos!$D:$D,"&lt;"&amp;CONCATENATE($L$6,"/",B89),Proventos!$J:$J,"="&amp;$H$2),
AND($H$2=Data!$A$7,$K$2=Data!$A$2),SUMIFS(Proventos!$H:$H,Proventos!$D:$D,"&gt;="&amp;CONCATENATE($K$6,"/",B89),Proventos!$D:$D,"&lt;"&amp;CONCATENATE($L$6,"/",B89),Proventos!$J:$J,"="&amp;$H$2),
AND($H$2=Data!$A$8,$K$2=Data!$A$2),SUMIFS(Proventos!$H:$H,Proventos!$D:$D,"&gt;="&amp;CONCATENATE($K$6,"/",B89),Proventos!$D:$D,"&lt;"&amp;CONCATENATE($L$6,"/",B89),Proventos!$J:$J,"="&amp;$H$2),
AND($H$2=Data!$A$9,$K$2=Data!$A$2),SUMIFS(Proventos!$H:$H,Proventos!$D:$D,"&gt;="&amp;CONCATENATE($K$6,"/",B89),Proventos!$D:$D,"&lt;"&amp;CONCATENATE($L$6,"/",B89),Proventos!$J:$J,"="&amp;$H$2),
AND($H$2=Data!$A$10,$K$2=Data!$A$2),SUMIFS(Proventos!$H:$H,Proventos!$D:$D,"&gt;="&amp;CONCATENATE($K$6,"/",B89),Proventos!$D:$D,"&lt;"&amp;CONCATENATE($L$6,"/",B89),Proventos!$J:$J,"="&amp;$H$2),
AND($H$2=Data!$A$11,$K$2=Data!$A$2),SUMIFS(Proventos!$H:$H,Proventos!$D:$D,"&gt;="&amp;CONCATENATE($K$6,"/",B89),Proventos!$D:$D,"&lt;"&amp;CONCATENATE($L$6,"/",B89),Proventos!$J:$J,"="&amp;$H$2),
$K$2=Data!$A$2,SUMIFS(Proventos!$H:$H,Proventos!$D:$D,"&gt;="&amp;CONCATENATE($K$6,"/",B89),Proventos!$D:$D,"&lt;"&amp;CONCATENATE($L$6,"/",B89)),
$K$2&lt;&gt;Data!$A$2,SUMIFS(Proventos!$H:$H,Proventos!$D:$D,"&gt;="&amp;CONCATENATE($K$6,"/",B89),Proventos!$D:$D,"&lt;"&amp;CONCATENATE($L$6,"/",B89),Proventos!$A:$A,"="&amp;$K$2))</f>
        <v>0</v>
      </c>
      <c r="L89" s="245">
        <f>IFS(
AND($H$2=Data!$A$3,$K$2=Data!$A$2),SUMIFS(Proventos!$H:$H,Proventos!$D:$D,"&gt;="&amp;CONCATENATE($L$6,"/",B89),Proventos!$D:$D,"&lt;"&amp;CONCATENATE($M$6,"/",B89),Proventos!$J:$J,"="&amp;$H$2),
AND($H$2=Data!$A$4,$K$2=Data!$A$2),SUMIFS(Proventos!$H:$H,Proventos!$D:$D,"&gt;="&amp;CONCATENATE($L$6,"/",B89),Proventos!$D:$D,"&lt;"&amp;CONCATENATE($M$6,"/",B89),Proventos!$J:$J,"="&amp;$H$2),
AND($H$2=Data!$A$5,$K$2=Data!$A$2),SUMIFS(Proventos!$H:$H,Proventos!$D:$D,"&gt;="&amp;CONCATENATE($L$6,"/",B89),Proventos!$D:$D,"&lt;"&amp;CONCATENATE($M$6,"/",B89),Proventos!$J:$J,"="&amp;$H$2),
AND($H$2=Data!$A$6,$K$2=Data!$A$2),SUMIFS(Proventos!$H:$H,Proventos!$D:$D,"&gt;="&amp;CONCATENATE($L$6,"/",B89),Proventos!$D:$D,"&lt;"&amp;CONCATENATE($M$6,"/",B89),Proventos!$J:$J,"="&amp;$H$2),
AND($H$2=Data!$A$7,$K$2=Data!$A$2),SUMIFS(Proventos!$H:$H,Proventos!$D:$D,"&gt;="&amp;CONCATENATE($L$6,"/",B89),Proventos!$D:$D,"&lt;"&amp;CONCATENATE($M$6,"/",B89),Proventos!$J:$J,"="&amp;$H$2),
AND($H$2=Data!$A$8,$K$2=Data!$A$2),SUMIFS(Proventos!$H:$H,Proventos!$D:$D,"&gt;="&amp;CONCATENATE($L$6,"/",B89),Proventos!$D:$D,"&lt;"&amp;CONCATENATE($M$6,"/",B89),Proventos!$J:$J,"="&amp;$H$2),
AND($H$2=Data!$A$9,$K$2=Data!$A$2),SUMIFS(Proventos!$H:$H,Proventos!$D:$D,"&gt;="&amp;CONCATENATE($L$6,"/",B89),Proventos!$D:$D,"&lt;"&amp;CONCATENATE($M$6,"/",B89),Proventos!$J:$J,"="&amp;$H$2),
AND($H$2=Data!$A$10,$K$2=Data!$A$2),SUMIFS(Proventos!$H:$H,Proventos!$D:$D,"&gt;="&amp;CONCATENATE($L$6,"/",B89),Proventos!$D:$D,"&lt;"&amp;CONCATENATE($M$6,"/",B89),Proventos!$J:$J,"="&amp;$H$2),
AND($H$2=Data!$A$11,$K$2=Data!$A$2),SUMIFS(Proventos!$H:$H,Proventos!$D:$D,"&gt;="&amp;CONCATENATE($L$6,"/",B89),Proventos!$D:$D,"&lt;"&amp;CONCATENATE($M$6,"/",B89),Proventos!$J:$J,"="&amp;$H$2),
$K$2=Data!$A$2,SUMIFS(Proventos!$H:$H,Proventos!$D:$D,"&gt;="&amp;CONCATENATE($L$6,"/",B89),Proventos!$D:$D,"&lt;"&amp;CONCATENATE($M$6,"/",B89)),
$K$2&lt;&gt;Data!$A$2,SUMIFS(Proventos!$H:$H,Proventos!$D:$D,"&gt;="&amp;CONCATENATE($L$6,"/",B89),Proventos!$D:$D,"&lt;"&amp;CONCATENATE($M$6,"/",B89),Proventos!$A:$A,"="&amp;$K$2))</f>
        <v>0</v>
      </c>
      <c r="M89" s="245">
        <f>IFS(
AND($H$2=Data!$A$3,$K$2=Data!$A$2),SUMIFS(Proventos!$H:$H,Proventos!$D:$D,"&gt;="&amp;CONCATENATE($M$6,"/",B89),Proventos!$D:$D,"&lt;"&amp;CONCATENATE($N$6,"/",B89),Proventos!$J:$J,"="&amp;$H$2),
AND($H$2=Data!$A$4,$K$2=Data!$A$2),SUMIFS(Proventos!$H:$H,Proventos!$D:$D,"&gt;="&amp;CONCATENATE($M$6,"/",B89),Proventos!$D:$D,"&lt;"&amp;CONCATENATE($N$6,"/",B89),Proventos!$J:$J,"="&amp;$H$2),
AND($H$2=Data!$A$5,$K$2=Data!$A$2),SUMIFS(Proventos!$H:$H,Proventos!$D:$D,"&gt;="&amp;CONCATENATE($M$6,"/",B89),Proventos!$D:$D,"&lt;"&amp;CONCATENATE($N$6,"/",B89),Proventos!$J:$J,"="&amp;$H$2),
AND($H$2=Data!$A$6,$K$2=Data!$A$2),SUMIFS(Proventos!$H:$H,Proventos!$D:$D,"&gt;="&amp;CONCATENATE($M$6,"/",B89),Proventos!$D:$D,"&lt;"&amp;CONCATENATE($N$6,"/",B89),Proventos!$J:$J,"="&amp;$H$2),
AND($H$2=Data!$A$7,$K$2=Data!$A$2),SUMIFS(Proventos!$H:$H,Proventos!$D:$D,"&gt;="&amp;CONCATENATE($M$6,"/",B89),Proventos!$D:$D,"&lt;"&amp;CONCATENATE($N$6,"/",B89),Proventos!$J:$J,"="&amp;$H$2),
AND($H$2=Data!$A$8,$K$2=Data!$A$2),SUMIFS(Proventos!$H:$H,Proventos!$D:$D,"&gt;="&amp;CONCATENATE($M$6,"/",B89),Proventos!$D:$D,"&lt;"&amp;CONCATENATE($N$6,"/",B89),Proventos!$J:$J,"="&amp;$H$2),
AND($H$2=Data!$A$9,$K$2=Data!$A$2),SUMIFS(Proventos!$H:$H,Proventos!$D:$D,"&gt;="&amp;CONCATENATE($M$6,"/",B89),Proventos!$D:$D,"&lt;"&amp;CONCATENATE($N$6,"/",B89),Proventos!$J:$J,"="&amp;$H$2),
AND($H$2=Data!$A$10,$K$2=Data!$A$2),SUMIFS(Proventos!$H:$H,Proventos!$D:$D,"&gt;="&amp;CONCATENATE($M$6,"/",B89),Proventos!$D:$D,"&lt;"&amp;CONCATENATE($N$6,"/",B89),Proventos!$J:$J,"="&amp;$H$2),
AND($H$2=Data!$A$11,$K$2=Data!$A$2),SUMIFS(Proventos!$H:$H,Proventos!$D:$D,"&gt;="&amp;CONCATENATE($M$6,"/",B89),Proventos!$D:$D,"&lt;"&amp;CONCATENATE($N$6,"/",B89),Proventos!$J:$J,"="&amp;$H$2),
$K$2=Data!$A$2,SUMIFS(Proventos!$H:$H,Proventos!$D:$D,"&gt;="&amp;CONCATENATE($M$6,"/",B89),Proventos!$D:$D,"&lt;"&amp;CONCATENATE($N$6,"/",B89)),
$K$2&lt;&gt;Data!$A$2,SUMIFS(Proventos!$H:$H,Proventos!$D:$D,"&gt;="&amp;CONCATENATE($M$6,"/",B89),Proventos!$D:$D,"&lt;"&amp;CONCATENATE($N$6,"/",B89),Proventos!$A:$A,"="&amp;$K$2))</f>
        <v>0</v>
      </c>
      <c r="N89" s="245">
        <f>IFS(
AND($H$2=Data!$A$3,$K$2=Data!$A$2),SUMIFS(Proventos!$H:$H,Proventos!$D:$D,"&gt;="&amp;CONCATENATE($N$6,"/",B89),Proventos!$D:$D,"&lt;"&amp;CONCATENATE($C$6,"/",B90),Proventos!$J:$J,"="&amp;$H$2),
AND($H$2=Data!$A$4,$K$2=Data!$A$2),SUMIFS(Proventos!$H:$H,Proventos!$D:$D,"&gt;="&amp;CONCATENATE($N$6,"/",B89),Proventos!$D:$D,"&lt;"&amp;CONCATENATE($C$6,"/",B90),Proventos!$J:$J,"="&amp;$H$2),
AND($H$2=Data!$A$5,$K$2=Data!$A$2),SUMIFS(Proventos!$H:$H,Proventos!$D:$D,"&gt;="&amp;CONCATENATE($N$6,"/",B89),Proventos!$D:$D,"&lt;"&amp;CONCATENATE($C$6,"/",B90),Proventos!$J:$J,"="&amp;$H$2),
AND($H$2=Data!$A$6,$K$2=Data!$A$2),SUMIFS(Proventos!$H:$H,Proventos!$D:$D,"&gt;="&amp;CONCATENATE($N$6,"/",B89),Proventos!$D:$D,"&lt;"&amp;CONCATENATE($C$6,"/",B90),Proventos!$J:$J,"="&amp;$H$2),
AND($H$2=Data!$A$7,$K$2=Data!$A$2),SUMIFS(Proventos!$H:$H,Proventos!$D:$D,"&gt;="&amp;CONCATENATE($N$6,"/",B89),Proventos!$D:$D,"&lt;"&amp;CONCATENATE($C$6,"/",B90),Proventos!$J:$J,"="&amp;$H$2),
AND($H$2=Data!$A$8,$K$2=Data!$A$2),SUMIFS(Proventos!$H:$H,Proventos!$D:$D,"&gt;="&amp;CONCATENATE($N$6,"/",B89),Proventos!$D:$D,"&lt;"&amp;CONCATENATE($C$6,"/",B90),Proventos!$J:$J,"="&amp;$H$2),
AND($H$2=Data!$A$9,$K$2=Data!$A$2),SUMIFS(Proventos!$H:$H,Proventos!$D:$D,"&gt;="&amp;CONCATENATE($N$6,"/",B89),Proventos!$D:$D,"&lt;"&amp;CONCATENATE($C$6,"/",B90),Proventos!$J:$J,"="&amp;$H$2),
AND($H$2=Data!$A$10,$K$2=Data!$A$2),SUMIFS(Proventos!$H:$H,Proventos!$D:$D,"&gt;="&amp;CONCATENATE($N$6,"/",B89),Proventos!$D:$D,"&lt;"&amp;CONCATENATE($C$6,"/",B90),Proventos!$J:$J,"="&amp;$H$2),
AND($H$2=Data!$A$11,$K$2=Data!$A$2),SUMIFS(Proventos!$H:$H,Proventos!$D:$D,"&gt;="&amp;CONCATENATE($N$6,"/",B89),Proventos!$D:$D,"&lt;"&amp;CONCATENATE($C$6,"/",B90),Proventos!$J:$J,"="&amp;$H$2),
$K$2=Data!$A$2,SUMIFS(Proventos!$H:$H,Proventos!$D:$D,"&gt;="&amp;CONCATENATE($N$6,"/",B89),Proventos!$D:$D,"&lt;"&amp;CONCATENATE($C$6,"/",B90)),
$K$2&lt;&gt;Data!$A$2,SUMIFS(Proventos!$H:$H,Proventos!$D:$D,"&gt;="&amp;CONCATENATE($N$6,"/",B89),Proventos!$D:$D,"&lt;"&amp;CONCATENATE($C$6,"/",B90),Proventos!$A:$A,"="&amp;$K$2))</f>
        <v>0</v>
      </c>
      <c r="O89" s="245"/>
      <c r="P89" s="245">
        <f t="shared" si="1"/>
        <v>0</v>
      </c>
      <c r="Q89" s="245">
        <f t="shared" si="2"/>
        <v>0</v>
      </c>
    </row>
    <row r="90" ht="32.25" customHeight="1">
      <c r="A90" s="230"/>
      <c r="B90" s="244"/>
      <c r="C90" s="245">
        <f>IFS(
AND($H$2=Data!$A$3,$K$2=Data!$A$2),SUMIFS(Proventos!$H:$H,Proventos!$D:$D,"&gt;="&amp;CONCATENATE($C$6,"/",B90),Proventos!$D:$D,"&lt;"&amp;CONCATENATE($D$6,"/",B90),Proventos!$J:$J,"="&amp;$H$2),
AND($H$2=Data!$A$4,$K$2=Data!$A$2),SUMIFS(Proventos!$H:$H,Proventos!$D:$D,"&gt;="&amp;CONCATENATE($C$6,"/",B90),Proventos!$D:$D,"&lt;"&amp;CONCATENATE($D$6,"/",B90),Proventos!$J:$J,"="&amp;$H$2),
AND($H$2=Data!$A$5,$K$2=Data!$A$2),SUMIFS(Proventos!$H:$H,Proventos!$D:$D,"&gt;="&amp;CONCATENATE($C$6,"/",B90),Proventos!$D:$D,"&lt;"&amp;CONCATENATE($D$6,"/",B90),Proventos!$J:$J,"="&amp;$H$2),
AND($H$2=Data!$A$6,$K$2=Data!$A$2),SUMIFS(Proventos!$H:$H,Proventos!$D:$D,"&gt;="&amp;CONCATENATE($C$6,"/",B90),Proventos!$D:$D,"&lt;"&amp;CONCATENATE($D$6,"/",B90),Proventos!$J:$J,"="&amp;$H$2),
AND($H$2=Data!$A$7,$K$2=Data!$A$2),SUMIFS(Proventos!$H:$H,Proventos!$D:$D,"&gt;="&amp;CONCATENATE($C$6,"/",B90),Proventos!$D:$D,"&lt;"&amp;CONCATENATE($D$6,"/",B90),Proventos!$J:$J,"="&amp;$H$2),
AND($H$2=Data!$A$8,$K$2=Data!$A$2),SUMIFS(Proventos!$H:$H,Proventos!$D:$D,"&gt;="&amp;CONCATENATE($C$6,"/",B90),Proventos!$D:$D,"&lt;"&amp;CONCATENATE($D$6,"/",B90),Proventos!$J:$J,"="&amp;$H$2),
AND($H$2=Data!$A$9,$K$2=Data!$A$2),SUMIFS(Proventos!$H:$H,Proventos!$D:$D,"&gt;="&amp;CONCATENATE($C$6,"/",B90),Proventos!$D:$D,"&lt;"&amp;CONCATENATE($D$6,"/",B90),Proventos!$J:$J,"="&amp;$H$2),
AND($H$2=Data!$A$10,$K$2=Data!$A$2),SUMIFS(Proventos!$H:$H,Proventos!$D:$D,"&gt;="&amp;CONCATENATE($C$6,"/",B90),Proventos!$D:$D,"&lt;"&amp;CONCATENATE($D$6,"/",B90),Proventos!$J:$J,"="&amp;$H$2),
AND($H$2=Data!$A$11,$K$2=Data!$A$2),SUMIFS(Proventos!$H:$H,Proventos!$D:$D,"&gt;="&amp;CONCATENATE($C$6,"/",B90),Proventos!$D:$D,"&lt;"&amp;CONCATENATE($D$6,"/",B90),Proventos!$J:$J,"="&amp;$H$2),
$K$2=Data!$A$2,SUMIFS(Proventos!$H:$H,Proventos!$D:$D,"&gt;="&amp;CONCATENATE($C$6,"/",B90),Proventos!$D:$D,"&lt;"&amp;CONCATENATE($D$6,"/",B90)),
$K$2&lt;&gt;Data!$A$2,SUMIFS(Proventos!$H:$H,Proventos!$D:$D,"&gt;="&amp;CONCATENATE($C$6,"/",B90),Proventos!$D:$D,"&lt;"&amp;CONCATENATE($D$6,"/",B90),Proventos!$A:$A,"="&amp;$K$2))</f>
        <v>0</v>
      </c>
      <c r="D90" s="245">
        <f>IFS(
AND($H$2=Data!$A$3,$K$2=Data!$A$2),SUMIFS(Proventos!$H:$H,Proventos!$D:$D,"&gt;="&amp;CONCATENATE($D$6,"/",B90),Proventos!$D:$D,"&lt;"&amp;CONCATENATE($E$6,"/",B90),Proventos!$J:$J,"="&amp;$H$2),
AND($H$2=Data!$A$4,$K$2=Data!$A$2),SUMIFS(Proventos!$H:$H,Proventos!$D:$D,"&gt;="&amp;CONCATENATE($D$6,"/",B90),Proventos!$D:$D,"&lt;"&amp;CONCATENATE($E$6,"/",B90),Proventos!$J:$J,"="&amp;$H$2),
AND($H$2=Data!$A$5,$K$2=Data!$A$2),SUMIFS(Proventos!$H:$H,Proventos!$D:$D,"&gt;="&amp;CONCATENATE($D$6,"/",B90),Proventos!$D:$D,"&lt;"&amp;CONCATENATE($E$6,"/",B90),Proventos!$J:$J,"="&amp;$H$2),
AND($H$2=Data!$A$6,$K$2=Data!$A$2),SUMIFS(Proventos!$H:$H,Proventos!$D:$D,"&gt;="&amp;CONCATENATE($D$6,"/",B90),Proventos!$D:$D,"&lt;"&amp;CONCATENATE($E$6,"/",B90),Proventos!$J:$J,"="&amp;$H$2),
AND($H$2=Data!$A$7,$K$2=Data!$A$2),SUMIFS(Proventos!$H:$H,Proventos!$D:$D,"&gt;="&amp;CONCATENATE($D$6,"/",B90),Proventos!$D:$D,"&lt;"&amp;CONCATENATE($E$6,"/",B90),Proventos!$J:$J,"="&amp;$H$2),
AND($H$2=Data!$A$8,$K$2=Data!$A$2),SUMIFS(Proventos!$H:$H,Proventos!$D:$D,"&gt;="&amp;CONCATENATE($D$6,"/",B90),Proventos!$D:$D,"&lt;"&amp;CONCATENATE($E$6,"/",B90),Proventos!$J:$J,"="&amp;$H$2),
AND($H$2=Data!$A$9,$K$2=Data!$A$2),SUMIFS(Proventos!$H:$H,Proventos!$D:$D,"&gt;="&amp;CONCATENATE($D$6,"/",B90),Proventos!$D:$D,"&lt;"&amp;CONCATENATE($E$6,"/",B90),Proventos!$J:$J,"="&amp;$H$2),
AND($H$2=Data!$A$10,$K$2=Data!$A$2),SUMIFS(Proventos!$H:$H,Proventos!$D:$D,"&gt;="&amp;CONCATENATE($D$6,"/",B90),Proventos!$D:$D,"&lt;"&amp;CONCATENATE($E$6,"/",B90),Proventos!$J:$J,"="&amp;$H$2),
AND($H$2=Data!$A$11,$K$2=Data!$A$2),SUMIFS(Proventos!$H:$H,Proventos!$D:$D,"&gt;="&amp;CONCATENATE($D$6,"/",B90),Proventos!$D:$D,"&lt;"&amp;CONCATENATE($E$6,"/",B90),Proventos!$J:$J,"="&amp;$H$2),
$K$2=Data!$A$2,SUMIFS(Proventos!$H:$H,Proventos!$D:$D,"&gt;="&amp;CONCATENATE($D$6,"/",B90),Proventos!$D:$D,"&lt;"&amp;CONCATENATE($E$6,"/",B90)),
$K$2&lt;&gt;Data!$A$2,SUMIFS(Proventos!$H:$H,Proventos!$D:$D,"&gt;="&amp;CONCATENATE($D$6,"/",B90),Proventos!$D:$D,"&lt;"&amp;CONCATENATE($E$6,"/",B90),Proventos!$A:$A,"="&amp;$K$2))</f>
        <v>0</v>
      </c>
      <c r="E90" s="245">
        <f>IFS(
AND($H$2=Data!$A$3,$K$2=Data!$A$2),SUMIFS(Proventos!$H:$H,Proventos!$D:$D,"&gt;="&amp;CONCATENATE($E$6,"/",B90),Proventos!$D:$D,"&lt;"&amp;CONCATENATE($F$6,"/",B90),Proventos!$J:$J,"="&amp;$H$2),
AND($H$2=Data!$A$4,$K$2=Data!$A$2),SUMIFS(Proventos!$H:$H,Proventos!$D:$D,"&gt;="&amp;CONCATENATE($E$6,"/",B90),Proventos!$D:$D,"&lt;"&amp;CONCATENATE($F$6,"/",B90),Proventos!$J:$J,"="&amp;$H$2),
AND($H$2=Data!$A$5,$K$2=Data!$A$2),SUMIFS(Proventos!$H:$H,Proventos!$D:$D,"&gt;="&amp;CONCATENATE($E$6,"/",B90),Proventos!$D:$D,"&lt;"&amp;CONCATENATE($F$6,"/",B90),Proventos!$J:$J,"="&amp;$H$2),
AND($H$2=Data!$A$6,$K$2=Data!$A$2),SUMIFS(Proventos!$H:$H,Proventos!$D:$D,"&gt;="&amp;CONCATENATE($E$6,"/",B90),Proventos!$D:$D,"&lt;"&amp;CONCATENATE($F$6,"/",B90),Proventos!$J:$J,"="&amp;$H$2),
AND($H$2=Data!$A$7,$K$2=Data!$A$2),SUMIFS(Proventos!$H:$H,Proventos!$D:$D,"&gt;="&amp;CONCATENATE($E$6,"/",B90),Proventos!$D:$D,"&lt;"&amp;CONCATENATE($F$6,"/",B90),Proventos!$J:$J,"="&amp;$H$2),
AND($H$2=Data!$A$8,$K$2=Data!$A$2),SUMIFS(Proventos!$H:$H,Proventos!$D:$D,"&gt;="&amp;CONCATENATE($E$6,"/",B90),Proventos!$D:$D,"&lt;"&amp;CONCATENATE($F$6,"/",B90),Proventos!$J:$J,"="&amp;$H$2),
AND($H$2=Data!$A$9,$K$2=Data!$A$2),SUMIFS(Proventos!$H:$H,Proventos!$D:$D,"&gt;="&amp;CONCATENATE($E$6,"/",B90),Proventos!$D:$D,"&lt;"&amp;CONCATENATE($F$6,"/",B90),Proventos!$J:$J,"="&amp;$H$2),
AND($H$2=Data!$A$10,$K$2=Data!$A$2),SUMIFS(Proventos!$H:$H,Proventos!$D:$D,"&gt;="&amp;CONCATENATE($E$6,"/",B90),Proventos!$D:$D,"&lt;"&amp;CONCATENATE($F$6,"/",B90),Proventos!$J:$J,"="&amp;$H$2),
AND($H$2=Data!$A$11,$K$2=Data!$A$2),SUMIFS(Proventos!$H:$H,Proventos!$D:$D,"&gt;="&amp;CONCATENATE($E$6,"/",B90),Proventos!$D:$D,"&lt;"&amp;CONCATENATE($F$6,"/",B90),Proventos!$J:$J,"="&amp;$H$2),
$K$2=Data!$A$2,SUMIFS(Proventos!$H:$H,Proventos!$D:$D,"&gt;="&amp;CONCATENATE($E$6,"/",B90),Proventos!$D:$D,"&lt;"&amp;CONCATENATE($F$6,"/",B90)),
$K$2&lt;&gt;Data!$A$2,SUMIFS(Proventos!$H:$H,Proventos!$D:$D,"&gt;="&amp;CONCATENATE($E$6,"/",B90),Proventos!$D:$D,"&lt;"&amp;CONCATENATE($F$6,"/",B90),Proventos!$A:$A,"="&amp;$K$2))</f>
        <v>0</v>
      </c>
      <c r="F90" s="245">
        <f>IFS(
AND($H$2=Data!$A$3,$K$2=Data!$A$2),SUMIFS(Proventos!$H:$H,Proventos!$D:$D,"&gt;="&amp;CONCATENATE($F$6,"/",B90),Proventos!$D:$D,"&lt;"&amp;CONCATENATE($G$6,"/",B90),Proventos!$J:$J,"="&amp;$H$2),
AND($H$2=Data!$A$4,$K$2=Data!$A$2),SUMIFS(Proventos!$H:$H,Proventos!$D:$D,"&gt;="&amp;CONCATENATE($F$6,"/",B90),Proventos!$D:$D,"&lt;"&amp;CONCATENATE($G$6,"/",B90),Proventos!$J:$J,"="&amp;$H$2),
AND($H$2=Data!$A$5,$K$2=Data!$A$2),SUMIFS(Proventos!$H:$H,Proventos!$D:$D,"&gt;="&amp;CONCATENATE($F$6,"/",B90),Proventos!$D:$D,"&lt;"&amp;CONCATENATE($G$6,"/",B90),Proventos!$J:$J,"="&amp;$H$2),
AND($H$2=Data!$A$6,$K$2=Data!$A$2),SUMIFS(Proventos!$H:$H,Proventos!$D:$D,"&gt;="&amp;CONCATENATE($F$6,"/",B90),Proventos!$D:$D,"&lt;"&amp;CONCATENATE($G$6,"/",B90),Proventos!$J:$J,"="&amp;$H$2),
AND($H$2=Data!$A$7,$K$2=Data!$A$2),SUMIFS(Proventos!$H:$H,Proventos!$D:$D,"&gt;="&amp;CONCATENATE($F$6,"/",B90),Proventos!$D:$D,"&lt;"&amp;CONCATENATE($G$6,"/",B90),Proventos!$J:$J,"="&amp;$H$2),
AND($H$2=Data!$A$8,$K$2=Data!$A$2),SUMIFS(Proventos!$H:$H,Proventos!$D:$D,"&gt;="&amp;CONCATENATE($F$6,"/",B90),Proventos!$D:$D,"&lt;"&amp;CONCATENATE($G$6,"/",B90),Proventos!$J:$J,"="&amp;$H$2),
AND($H$2=Data!$A$9,$K$2=Data!$A$2),SUMIFS(Proventos!$H:$H,Proventos!$D:$D,"&gt;="&amp;CONCATENATE($F$6,"/",B90),Proventos!$D:$D,"&lt;"&amp;CONCATENATE($G$6,"/",B90),Proventos!$J:$J,"="&amp;$H$2),
AND($H$2=Data!$A$10,$K$2=Data!$A$2),SUMIFS(Proventos!$H:$H,Proventos!$D:$D,"&gt;="&amp;CONCATENATE($F$6,"/",B90),Proventos!$D:$D,"&lt;"&amp;CONCATENATE($G$6,"/",B90),Proventos!$J:$J,"="&amp;$H$2),
AND($H$2=Data!$A$11,$K$2=Data!$A$2),SUMIFS(Proventos!$H:$H,Proventos!$D:$D,"&gt;="&amp;CONCATENATE($F$6,"/",B90),Proventos!$D:$D,"&lt;"&amp;CONCATENATE($G$6,"/",B90),Proventos!$J:$J,"="&amp;$H$2),
$K$2=Data!$A$2,SUMIFS(Proventos!$H:$H,Proventos!$D:$D,"&gt;="&amp;CONCATENATE($F$6,"/",B90),Proventos!$D:$D,"&lt;"&amp;CONCATENATE($G$6,"/",B90)),
$K$2&lt;&gt;Data!$A$2,SUMIFS(Proventos!$H:$H,Proventos!$D:$D,"&gt;="&amp;CONCATENATE($F$6,"/",B90),Proventos!$D:$D,"&lt;"&amp;CONCATENATE($G$6,"/",B90),Proventos!$A:$A,"="&amp;$K$2))</f>
        <v>0</v>
      </c>
      <c r="G90" s="245">
        <f>IFS(
AND($H$2=Data!$A$3,$K$2=Data!$A$2),SUMIFS(Proventos!$H:$H,Proventos!$D:$D,"&gt;="&amp;CONCATENATE($G$6,"/",B90),Proventos!$D:$D,"&lt;"&amp;CONCATENATE($H$6,"/",B90),Proventos!$J:$J,"="&amp;$H$2),
AND($H$2=Data!$A$4,$K$2=Data!$A$2),SUMIFS(Proventos!$H:$H,Proventos!$D:$D,"&gt;="&amp;CONCATENATE($G$6,"/",B90),Proventos!$D:$D,"&lt;"&amp;CONCATENATE($H$6,"/",B90),Proventos!$J:$J,"="&amp;$H$2),
AND($H$2=Data!$A$5,$K$2=Data!$A$2),SUMIFS(Proventos!$H:$H,Proventos!$D:$D,"&gt;="&amp;CONCATENATE($G$6,"/",B90),Proventos!$D:$D,"&lt;"&amp;CONCATENATE($H$6,"/",B90),Proventos!$J:$J,"="&amp;$H$2),
AND($H$2=Data!$A$6,$K$2=Data!$A$2),SUMIFS(Proventos!$H:$H,Proventos!$D:$D,"&gt;="&amp;CONCATENATE($G$6,"/",B90),Proventos!$D:$D,"&lt;"&amp;CONCATENATE($H$6,"/",B90),Proventos!$J:$J,"="&amp;$H$2),
AND($H$2=Data!$A$7,$K$2=Data!$A$2),SUMIFS(Proventos!$H:$H,Proventos!$D:$D,"&gt;="&amp;CONCATENATE($G$6,"/",B90),Proventos!$D:$D,"&lt;"&amp;CONCATENATE($H$6,"/",B90),Proventos!$J:$J,"="&amp;$H$2),
AND($H$2=Data!$A$8,$K$2=Data!$A$2),SUMIFS(Proventos!$H:$H,Proventos!$D:$D,"&gt;="&amp;CONCATENATE($G$6,"/",B90),Proventos!$D:$D,"&lt;"&amp;CONCATENATE($H$6,"/",B90),Proventos!$J:$J,"="&amp;$H$2),
AND($H$2=Data!$A$9,$K$2=Data!$A$2),SUMIFS(Proventos!$H:$H,Proventos!$D:$D,"&gt;="&amp;CONCATENATE($G$6,"/",B90),Proventos!$D:$D,"&lt;"&amp;CONCATENATE($H$6,"/",B90),Proventos!$J:$J,"="&amp;$H$2),
AND($H$2=Data!$A$10,$K$2=Data!$A$2),SUMIFS(Proventos!$H:$H,Proventos!$D:$D,"&gt;="&amp;CONCATENATE($G$6,"/",B90),Proventos!$D:$D,"&lt;"&amp;CONCATENATE($H$6,"/",B90),Proventos!$J:$J,"="&amp;$H$2),
AND($H$2=Data!$A$11,$K$2=Data!$A$2),SUMIFS(Proventos!$H:$H,Proventos!$D:$D,"&gt;="&amp;CONCATENATE($G$6,"/",B90),Proventos!$D:$D,"&lt;"&amp;CONCATENATE($H$6,"/",B90),Proventos!$J:$J,"="&amp;$H$2),
$K$2=Data!$A$2,SUMIFS(Proventos!$H:$H,Proventos!$D:$D,"&gt;="&amp;CONCATENATE($G$6,"/",B90),Proventos!$D:$D,"&lt;"&amp;CONCATENATE($H$6,"/",B90)),
$K$2&lt;&gt;Data!$A$2,SUMIFS(Proventos!$H:$H,Proventos!$D:$D,"&gt;="&amp;CONCATENATE($G$6,"/",B90),Proventos!$D:$D,"&lt;"&amp;CONCATENATE($H$6,"/",B90),Proventos!$A:$A,"="&amp;$K$2))</f>
        <v>0</v>
      </c>
      <c r="H90" s="245">
        <f>IFS(
AND($H$2=Data!$A$3,$K$2=Data!$A$2),SUMIFS(Proventos!$H:$H,Proventos!$D:$D,"&gt;="&amp;CONCATENATE($H$6,"/",B90),Proventos!$D:$D,"&lt;"&amp;CONCATENATE($I$6,"/",B90),Proventos!$J:$J,"="&amp;$H$2),
AND($H$2=Data!$A$4,$K$2=Data!$A$2),SUMIFS(Proventos!$H:$H,Proventos!$D:$D,"&gt;="&amp;CONCATENATE($H$6,"/",B90),Proventos!$D:$D,"&lt;"&amp;CONCATENATE($I$6,"/",B90),Proventos!$J:$J,"="&amp;$H$2),
AND($H$2=Data!$A$5,$K$2=Data!$A$2),SUMIFS(Proventos!$H:$H,Proventos!$D:$D,"&gt;="&amp;CONCATENATE($H$6,"/",B90),Proventos!$D:$D,"&lt;"&amp;CONCATENATE($I$6,"/",B90),Proventos!$J:$J,"="&amp;$H$2),
AND($H$2=Data!$A$6,$K$2=Data!$A$2),SUMIFS(Proventos!$H:$H,Proventos!$D:$D,"&gt;="&amp;CONCATENATE($H$6,"/",B90),Proventos!$D:$D,"&lt;"&amp;CONCATENATE($I$6,"/",B90),Proventos!$J:$J,"="&amp;$H$2),
AND($H$2=Data!$A$7,$K$2=Data!$A$2),SUMIFS(Proventos!$H:$H,Proventos!$D:$D,"&gt;="&amp;CONCATENATE($H$6,"/",B90),Proventos!$D:$D,"&lt;"&amp;CONCATENATE($I$6,"/",B90),Proventos!$J:$J,"="&amp;$H$2),
AND($H$2=Data!$A$8,$K$2=Data!$A$2),SUMIFS(Proventos!$H:$H,Proventos!$D:$D,"&gt;="&amp;CONCATENATE($H$6,"/",B90),Proventos!$D:$D,"&lt;"&amp;CONCATENATE($I$6,"/",B90),Proventos!$J:$J,"="&amp;$H$2),
AND($H$2=Data!$A$9,$K$2=Data!$A$2),SUMIFS(Proventos!$H:$H,Proventos!$D:$D,"&gt;="&amp;CONCATENATE($H$6,"/",B90),Proventos!$D:$D,"&lt;"&amp;CONCATENATE($I$6,"/",B90),Proventos!$J:$J,"="&amp;$H$2),
AND($H$2=Data!$A$10,$K$2=Data!$A$2),SUMIFS(Proventos!$H:$H,Proventos!$D:$D,"&gt;="&amp;CONCATENATE($H$6,"/",B90),Proventos!$D:$D,"&lt;"&amp;CONCATENATE($I$6,"/",B90),Proventos!$J:$J,"="&amp;$H$2),
AND($H$2=Data!$A$11,$K$2=Data!$A$2),SUMIFS(Proventos!$H:$H,Proventos!$D:$D,"&gt;="&amp;CONCATENATE($H$6,"/",B90),Proventos!$D:$D,"&lt;"&amp;CONCATENATE($I$6,"/",B90),Proventos!$J:$J,"="&amp;$H$2),
$K$2=Data!$A$2,SUMIFS(Proventos!$H:$H,Proventos!$D:$D,"&gt;="&amp;CONCATENATE($H$6,"/",B90),Proventos!$D:$D,"&lt;"&amp;CONCATENATE($I$6,"/",B90)),
$K$2&lt;&gt;Data!$A$2,SUMIFS(Proventos!$H:$H,Proventos!$D:$D,"&gt;="&amp;CONCATENATE($H$6,"/",B90),Proventos!$D:$D,"&lt;"&amp;CONCATENATE($I$6,"/",B90),Proventos!$A:$A,"="&amp;$K$2))</f>
        <v>0</v>
      </c>
      <c r="I90" s="245">
        <f>IFS(
AND($H$2=Data!$A$3,$K$2=Data!$A$2),SUMIFS(Proventos!$H:$H,Proventos!$D:$D,"&gt;="&amp;CONCATENATE($I$6,"/",B90),Proventos!$D:$D,"&lt;"&amp;CONCATENATE($J$6,"/",B90),Proventos!$J:$J,"="&amp;$H$2),
AND($H$2=Data!$A$4,$K$2=Data!$A$2),SUMIFS(Proventos!$H:$H,Proventos!$D:$D,"&gt;="&amp;CONCATENATE($I$6,"/",B90),Proventos!$D:$D,"&lt;"&amp;CONCATENATE($J$6,"/",B90),Proventos!$J:$J,"="&amp;$H$2),
AND($H$2=Data!$A$5,$K$2=Data!$A$2),SUMIFS(Proventos!$H:$H,Proventos!$D:$D,"&gt;="&amp;CONCATENATE($I$6,"/",B90),Proventos!$D:$D,"&lt;"&amp;CONCATENATE($J$6,"/",B90),Proventos!$J:$J,"="&amp;$H$2),
AND($H$2=Data!$A$6,$K$2=Data!$A$2),SUMIFS(Proventos!$H:$H,Proventos!$D:$D,"&gt;="&amp;CONCATENATE($I$6,"/",B90),Proventos!$D:$D,"&lt;"&amp;CONCATENATE($J$6,"/",B90),Proventos!$J:$J,"="&amp;$H$2),
AND($H$2=Data!$A$7,$K$2=Data!$A$2),SUMIFS(Proventos!$H:$H,Proventos!$D:$D,"&gt;="&amp;CONCATENATE($I$6,"/",B90),Proventos!$D:$D,"&lt;"&amp;CONCATENATE($J$6,"/",B90),Proventos!$J:$J,"="&amp;$H$2),
AND($H$2=Data!$A$8,$K$2=Data!$A$2),SUMIFS(Proventos!$H:$H,Proventos!$D:$D,"&gt;="&amp;CONCATENATE($I$6,"/",B90),Proventos!$D:$D,"&lt;"&amp;CONCATENATE($J$6,"/",B90),Proventos!$J:$J,"="&amp;$H$2),
AND($H$2=Data!$A$9,$K$2=Data!$A$2),SUMIFS(Proventos!$H:$H,Proventos!$D:$D,"&gt;="&amp;CONCATENATE($I$6,"/",B90),Proventos!$D:$D,"&lt;"&amp;CONCATENATE($J$6,"/",B90),Proventos!$J:$J,"="&amp;$H$2),
AND($H$2=Data!$A$10,$K$2=Data!$A$2),SUMIFS(Proventos!$H:$H,Proventos!$D:$D,"&gt;="&amp;CONCATENATE($I$6,"/",B90),Proventos!$D:$D,"&lt;"&amp;CONCATENATE($J$6,"/",B90),Proventos!$J:$J,"="&amp;$H$2),
AND($H$2=Data!$A$11,$K$2=Data!$A$2),SUMIFS(Proventos!$H:$H,Proventos!$D:$D,"&gt;="&amp;CONCATENATE($I$6,"/",B90),Proventos!$D:$D,"&lt;"&amp;CONCATENATE($J$6,"/",B90),Proventos!$J:$J,"="&amp;$H$2),
$K$2=Data!$A$2,SUMIFS(Proventos!$H:$H,Proventos!$D:$D,"&gt;="&amp;CONCATENATE($I$6,"/",B90),Proventos!$D:$D,"&lt;"&amp;CONCATENATE($J$6,"/",B90)),
$K$2&lt;&gt;Data!$A$2,SUMIFS(Proventos!$H:$H,Proventos!$D:$D,"&gt;="&amp;CONCATENATE($I$6,"/",B90),Proventos!$D:$D,"&lt;"&amp;CONCATENATE($J$6,"/",B90),Proventos!$A:$A,"="&amp;$K$2))</f>
        <v>0</v>
      </c>
      <c r="J90" s="245">
        <f>IFS(
AND($H$2=Data!$A$3,$K$2=Data!$A$2),SUMIFS(Proventos!$H:$H,Proventos!$D:$D,"&gt;="&amp;CONCATENATE($J$6,"/",B90),Proventos!$D:$D,"&lt;"&amp;CONCATENATE($K$6,"/",B90),Proventos!$J:$J,"="&amp;$H$2),
AND($H$2=Data!$A$4,$K$2=Data!$A$2),SUMIFS(Proventos!$H:$H,Proventos!$D:$D,"&gt;="&amp;CONCATENATE($J$6,"/",B90),Proventos!$D:$D,"&lt;"&amp;CONCATENATE($K$6,"/",B90),Proventos!$J:$J,"="&amp;$H$2),
AND($H$2=Data!$A$5,$K$2=Data!$A$2),SUMIFS(Proventos!$H:$H,Proventos!$D:$D,"&gt;="&amp;CONCATENATE($J$6,"/",B90),Proventos!$D:$D,"&lt;"&amp;CONCATENATE($K$6,"/",B90),Proventos!$J:$J,"="&amp;$H$2),
AND($H$2=Data!$A$6,$K$2=Data!$A$2),SUMIFS(Proventos!$H:$H,Proventos!$D:$D,"&gt;="&amp;CONCATENATE($J$6,"/",B90),Proventos!$D:$D,"&lt;"&amp;CONCATENATE($K$6,"/",B90),Proventos!$J:$J,"="&amp;$H$2),
AND($H$2=Data!$A$7,$K$2=Data!$A$2),SUMIFS(Proventos!$H:$H,Proventos!$D:$D,"&gt;="&amp;CONCATENATE($J$6,"/",B90),Proventos!$D:$D,"&lt;"&amp;CONCATENATE($K$6,"/",B90),Proventos!$J:$J,"="&amp;$H$2),
AND($H$2=Data!$A$8,$K$2=Data!$A$2),SUMIFS(Proventos!$H:$H,Proventos!$D:$D,"&gt;="&amp;CONCATENATE($J$6,"/",B90),Proventos!$D:$D,"&lt;"&amp;CONCATENATE($K$6,"/",B90),Proventos!$J:$J,"="&amp;$H$2),
AND($H$2=Data!$A$9,$K$2=Data!$A$2),SUMIFS(Proventos!$H:$H,Proventos!$D:$D,"&gt;="&amp;CONCATENATE($J$6,"/",B90),Proventos!$D:$D,"&lt;"&amp;CONCATENATE($K$6,"/",B90),Proventos!$J:$J,"="&amp;$H$2),
AND($H$2=Data!$A$10,$K$2=Data!$A$2),SUMIFS(Proventos!$H:$H,Proventos!$D:$D,"&gt;="&amp;CONCATENATE($J$6,"/",B90),Proventos!$D:$D,"&lt;"&amp;CONCATENATE($K$6,"/",B90),Proventos!$J:$J,"="&amp;$H$2),
AND($H$2=Data!$A$11,$K$2=Data!$A$2),SUMIFS(Proventos!$H:$H,Proventos!$D:$D,"&gt;="&amp;CONCATENATE($J$6,"/",B90),Proventos!$D:$D,"&lt;"&amp;CONCATENATE($K$6,"/",B90),Proventos!$J:$J,"="&amp;$H$2),
$K$2=Data!$A$2,SUMIFS(Proventos!$H:$H,Proventos!$D:$D,"&gt;="&amp;CONCATENATE($J$6,"/",B90),Proventos!$D:$D,"&lt;"&amp;CONCATENATE($K$6,"/",B90)),
$K$2&lt;&gt;Data!$A$2,SUMIFS(Proventos!$H:$H,Proventos!$D:$D,"&gt;="&amp;CONCATENATE($J$6,"/",B90),Proventos!$D:$D,"&lt;"&amp;CONCATENATE($K$6,"/",B90),Proventos!$A:$A,"="&amp;$K$2))</f>
        <v>0</v>
      </c>
      <c r="K90" s="245">
        <f>IFS(
AND($H$2=Data!$A$3,$K$2=Data!$A$2),SUMIFS(Proventos!$H:$H,Proventos!$D:$D,"&gt;="&amp;CONCATENATE($K$6,"/",B90),Proventos!$D:$D,"&lt;"&amp;CONCATENATE($L$6,"/",B90),Proventos!$J:$J,"="&amp;$H$2),
AND($H$2=Data!$A$4,$K$2=Data!$A$2),SUMIFS(Proventos!$H:$H,Proventos!$D:$D,"&gt;="&amp;CONCATENATE($K$6,"/",B90),Proventos!$D:$D,"&lt;"&amp;CONCATENATE($L$6,"/",B90),Proventos!$J:$J,"="&amp;$H$2),
AND($H$2=Data!$A$5,$K$2=Data!$A$2),SUMIFS(Proventos!$H:$H,Proventos!$D:$D,"&gt;="&amp;CONCATENATE($K$6,"/",B90),Proventos!$D:$D,"&lt;"&amp;CONCATENATE($L$6,"/",B90),Proventos!$J:$J,"="&amp;$H$2),
AND($H$2=Data!$A$6,$K$2=Data!$A$2),SUMIFS(Proventos!$H:$H,Proventos!$D:$D,"&gt;="&amp;CONCATENATE($K$6,"/",B90),Proventos!$D:$D,"&lt;"&amp;CONCATENATE($L$6,"/",B90),Proventos!$J:$J,"="&amp;$H$2),
AND($H$2=Data!$A$7,$K$2=Data!$A$2),SUMIFS(Proventos!$H:$H,Proventos!$D:$D,"&gt;="&amp;CONCATENATE($K$6,"/",B90),Proventos!$D:$D,"&lt;"&amp;CONCATENATE($L$6,"/",B90),Proventos!$J:$J,"="&amp;$H$2),
AND($H$2=Data!$A$8,$K$2=Data!$A$2),SUMIFS(Proventos!$H:$H,Proventos!$D:$D,"&gt;="&amp;CONCATENATE($K$6,"/",B90),Proventos!$D:$D,"&lt;"&amp;CONCATENATE($L$6,"/",B90),Proventos!$J:$J,"="&amp;$H$2),
AND($H$2=Data!$A$9,$K$2=Data!$A$2),SUMIFS(Proventos!$H:$H,Proventos!$D:$D,"&gt;="&amp;CONCATENATE($K$6,"/",B90),Proventos!$D:$D,"&lt;"&amp;CONCATENATE($L$6,"/",B90),Proventos!$J:$J,"="&amp;$H$2),
AND($H$2=Data!$A$10,$K$2=Data!$A$2),SUMIFS(Proventos!$H:$H,Proventos!$D:$D,"&gt;="&amp;CONCATENATE($K$6,"/",B90),Proventos!$D:$D,"&lt;"&amp;CONCATENATE($L$6,"/",B90),Proventos!$J:$J,"="&amp;$H$2),
AND($H$2=Data!$A$11,$K$2=Data!$A$2),SUMIFS(Proventos!$H:$H,Proventos!$D:$D,"&gt;="&amp;CONCATENATE($K$6,"/",B90),Proventos!$D:$D,"&lt;"&amp;CONCATENATE($L$6,"/",B90),Proventos!$J:$J,"="&amp;$H$2),
$K$2=Data!$A$2,SUMIFS(Proventos!$H:$H,Proventos!$D:$D,"&gt;="&amp;CONCATENATE($K$6,"/",B90),Proventos!$D:$D,"&lt;"&amp;CONCATENATE($L$6,"/",B90)),
$K$2&lt;&gt;Data!$A$2,SUMIFS(Proventos!$H:$H,Proventos!$D:$D,"&gt;="&amp;CONCATENATE($K$6,"/",B90),Proventos!$D:$D,"&lt;"&amp;CONCATENATE($L$6,"/",B90),Proventos!$A:$A,"="&amp;$K$2))</f>
        <v>0</v>
      </c>
      <c r="L90" s="245">
        <f>IFS(
AND($H$2=Data!$A$3,$K$2=Data!$A$2),SUMIFS(Proventos!$H:$H,Proventos!$D:$D,"&gt;="&amp;CONCATENATE($L$6,"/",B90),Proventos!$D:$D,"&lt;"&amp;CONCATENATE($M$6,"/",B90),Proventos!$J:$J,"="&amp;$H$2),
AND($H$2=Data!$A$4,$K$2=Data!$A$2),SUMIFS(Proventos!$H:$H,Proventos!$D:$D,"&gt;="&amp;CONCATENATE($L$6,"/",B90),Proventos!$D:$D,"&lt;"&amp;CONCATENATE($M$6,"/",B90),Proventos!$J:$J,"="&amp;$H$2),
AND($H$2=Data!$A$5,$K$2=Data!$A$2),SUMIFS(Proventos!$H:$H,Proventos!$D:$D,"&gt;="&amp;CONCATENATE($L$6,"/",B90),Proventos!$D:$D,"&lt;"&amp;CONCATENATE($M$6,"/",B90),Proventos!$J:$J,"="&amp;$H$2),
AND($H$2=Data!$A$6,$K$2=Data!$A$2),SUMIFS(Proventos!$H:$H,Proventos!$D:$D,"&gt;="&amp;CONCATENATE($L$6,"/",B90),Proventos!$D:$D,"&lt;"&amp;CONCATENATE($M$6,"/",B90),Proventos!$J:$J,"="&amp;$H$2),
AND($H$2=Data!$A$7,$K$2=Data!$A$2),SUMIFS(Proventos!$H:$H,Proventos!$D:$D,"&gt;="&amp;CONCATENATE($L$6,"/",B90),Proventos!$D:$D,"&lt;"&amp;CONCATENATE($M$6,"/",B90),Proventos!$J:$J,"="&amp;$H$2),
AND($H$2=Data!$A$8,$K$2=Data!$A$2),SUMIFS(Proventos!$H:$H,Proventos!$D:$D,"&gt;="&amp;CONCATENATE($L$6,"/",B90),Proventos!$D:$D,"&lt;"&amp;CONCATENATE($M$6,"/",B90),Proventos!$J:$J,"="&amp;$H$2),
AND($H$2=Data!$A$9,$K$2=Data!$A$2),SUMIFS(Proventos!$H:$H,Proventos!$D:$D,"&gt;="&amp;CONCATENATE($L$6,"/",B90),Proventos!$D:$D,"&lt;"&amp;CONCATENATE($M$6,"/",B90),Proventos!$J:$J,"="&amp;$H$2),
AND($H$2=Data!$A$10,$K$2=Data!$A$2),SUMIFS(Proventos!$H:$H,Proventos!$D:$D,"&gt;="&amp;CONCATENATE($L$6,"/",B90),Proventos!$D:$D,"&lt;"&amp;CONCATENATE($M$6,"/",B90),Proventos!$J:$J,"="&amp;$H$2),
AND($H$2=Data!$A$11,$K$2=Data!$A$2),SUMIFS(Proventos!$H:$H,Proventos!$D:$D,"&gt;="&amp;CONCATENATE($L$6,"/",B90),Proventos!$D:$D,"&lt;"&amp;CONCATENATE($M$6,"/",B90),Proventos!$J:$J,"="&amp;$H$2),
$K$2=Data!$A$2,SUMIFS(Proventos!$H:$H,Proventos!$D:$D,"&gt;="&amp;CONCATENATE($L$6,"/",B90),Proventos!$D:$D,"&lt;"&amp;CONCATENATE($M$6,"/",B90)),
$K$2&lt;&gt;Data!$A$2,SUMIFS(Proventos!$H:$H,Proventos!$D:$D,"&gt;="&amp;CONCATENATE($L$6,"/",B90),Proventos!$D:$D,"&lt;"&amp;CONCATENATE($M$6,"/",B90),Proventos!$A:$A,"="&amp;$K$2))</f>
        <v>0</v>
      </c>
      <c r="M90" s="245">
        <f>IFS(
AND($H$2=Data!$A$3,$K$2=Data!$A$2),SUMIFS(Proventos!$H:$H,Proventos!$D:$D,"&gt;="&amp;CONCATENATE($M$6,"/",B90),Proventos!$D:$D,"&lt;"&amp;CONCATENATE($N$6,"/",B90),Proventos!$J:$J,"="&amp;$H$2),
AND($H$2=Data!$A$4,$K$2=Data!$A$2),SUMIFS(Proventos!$H:$H,Proventos!$D:$D,"&gt;="&amp;CONCATENATE($M$6,"/",B90),Proventos!$D:$D,"&lt;"&amp;CONCATENATE($N$6,"/",B90),Proventos!$J:$J,"="&amp;$H$2),
AND($H$2=Data!$A$5,$K$2=Data!$A$2),SUMIFS(Proventos!$H:$H,Proventos!$D:$D,"&gt;="&amp;CONCATENATE($M$6,"/",B90),Proventos!$D:$D,"&lt;"&amp;CONCATENATE($N$6,"/",B90),Proventos!$J:$J,"="&amp;$H$2),
AND($H$2=Data!$A$6,$K$2=Data!$A$2),SUMIFS(Proventos!$H:$H,Proventos!$D:$D,"&gt;="&amp;CONCATENATE($M$6,"/",B90),Proventos!$D:$D,"&lt;"&amp;CONCATENATE($N$6,"/",B90),Proventos!$J:$J,"="&amp;$H$2),
AND($H$2=Data!$A$7,$K$2=Data!$A$2),SUMIFS(Proventos!$H:$H,Proventos!$D:$D,"&gt;="&amp;CONCATENATE($M$6,"/",B90),Proventos!$D:$D,"&lt;"&amp;CONCATENATE($N$6,"/",B90),Proventos!$J:$J,"="&amp;$H$2),
AND($H$2=Data!$A$8,$K$2=Data!$A$2),SUMIFS(Proventos!$H:$H,Proventos!$D:$D,"&gt;="&amp;CONCATENATE($M$6,"/",B90),Proventos!$D:$D,"&lt;"&amp;CONCATENATE($N$6,"/",B90),Proventos!$J:$J,"="&amp;$H$2),
AND($H$2=Data!$A$9,$K$2=Data!$A$2),SUMIFS(Proventos!$H:$H,Proventos!$D:$D,"&gt;="&amp;CONCATENATE($M$6,"/",B90),Proventos!$D:$D,"&lt;"&amp;CONCATENATE($N$6,"/",B90),Proventos!$J:$J,"="&amp;$H$2),
AND($H$2=Data!$A$10,$K$2=Data!$A$2),SUMIFS(Proventos!$H:$H,Proventos!$D:$D,"&gt;="&amp;CONCATENATE($M$6,"/",B90),Proventos!$D:$D,"&lt;"&amp;CONCATENATE($N$6,"/",B90),Proventos!$J:$J,"="&amp;$H$2),
AND($H$2=Data!$A$11,$K$2=Data!$A$2),SUMIFS(Proventos!$H:$H,Proventos!$D:$D,"&gt;="&amp;CONCATENATE($M$6,"/",B90),Proventos!$D:$D,"&lt;"&amp;CONCATENATE($N$6,"/",B90),Proventos!$J:$J,"="&amp;$H$2),
$K$2=Data!$A$2,SUMIFS(Proventos!$H:$H,Proventos!$D:$D,"&gt;="&amp;CONCATENATE($M$6,"/",B90),Proventos!$D:$D,"&lt;"&amp;CONCATENATE($N$6,"/",B90)),
$K$2&lt;&gt;Data!$A$2,SUMIFS(Proventos!$H:$H,Proventos!$D:$D,"&gt;="&amp;CONCATENATE($M$6,"/",B90),Proventos!$D:$D,"&lt;"&amp;CONCATENATE($N$6,"/",B90),Proventos!$A:$A,"="&amp;$K$2))</f>
        <v>0</v>
      </c>
      <c r="N90" s="245">
        <f>IFS(
AND($H$2=Data!$A$3,$K$2=Data!$A$2),SUMIFS(Proventos!$H:$H,Proventos!$D:$D,"&gt;="&amp;CONCATENATE($N$6,"/",B90),Proventos!$D:$D,"&lt;"&amp;CONCATENATE($C$6,"/",B91),Proventos!$J:$J,"="&amp;$H$2),
AND($H$2=Data!$A$4,$K$2=Data!$A$2),SUMIFS(Proventos!$H:$H,Proventos!$D:$D,"&gt;="&amp;CONCATENATE($N$6,"/",B90),Proventos!$D:$D,"&lt;"&amp;CONCATENATE($C$6,"/",B91),Proventos!$J:$J,"="&amp;$H$2),
AND($H$2=Data!$A$5,$K$2=Data!$A$2),SUMIFS(Proventos!$H:$H,Proventos!$D:$D,"&gt;="&amp;CONCATENATE($N$6,"/",B90),Proventos!$D:$D,"&lt;"&amp;CONCATENATE($C$6,"/",B91),Proventos!$J:$J,"="&amp;$H$2),
AND($H$2=Data!$A$6,$K$2=Data!$A$2),SUMIFS(Proventos!$H:$H,Proventos!$D:$D,"&gt;="&amp;CONCATENATE($N$6,"/",B90),Proventos!$D:$D,"&lt;"&amp;CONCATENATE($C$6,"/",B91),Proventos!$J:$J,"="&amp;$H$2),
AND($H$2=Data!$A$7,$K$2=Data!$A$2),SUMIFS(Proventos!$H:$H,Proventos!$D:$D,"&gt;="&amp;CONCATENATE($N$6,"/",B90),Proventos!$D:$D,"&lt;"&amp;CONCATENATE($C$6,"/",B91),Proventos!$J:$J,"="&amp;$H$2),
AND($H$2=Data!$A$8,$K$2=Data!$A$2),SUMIFS(Proventos!$H:$H,Proventos!$D:$D,"&gt;="&amp;CONCATENATE($N$6,"/",B90),Proventos!$D:$D,"&lt;"&amp;CONCATENATE($C$6,"/",B91),Proventos!$J:$J,"="&amp;$H$2),
AND($H$2=Data!$A$9,$K$2=Data!$A$2),SUMIFS(Proventos!$H:$H,Proventos!$D:$D,"&gt;="&amp;CONCATENATE($N$6,"/",B90),Proventos!$D:$D,"&lt;"&amp;CONCATENATE($C$6,"/",B91),Proventos!$J:$J,"="&amp;$H$2),
AND($H$2=Data!$A$10,$K$2=Data!$A$2),SUMIFS(Proventos!$H:$H,Proventos!$D:$D,"&gt;="&amp;CONCATENATE($N$6,"/",B90),Proventos!$D:$D,"&lt;"&amp;CONCATENATE($C$6,"/",B91),Proventos!$J:$J,"="&amp;$H$2),
AND($H$2=Data!$A$11,$K$2=Data!$A$2),SUMIFS(Proventos!$H:$H,Proventos!$D:$D,"&gt;="&amp;CONCATENATE($N$6,"/",B90),Proventos!$D:$D,"&lt;"&amp;CONCATENATE($C$6,"/",B91),Proventos!$J:$J,"="&amp;$H$2),
$K$2=Data!$A$2,SUMIFS(Proventos!$H:$H,Proventos!$D:$D,"&gt;="&amp;CONCATENATE($N$6,"/",B90),Proventos!$D:$D,"&lt;"&amp;CONCATENATE($C$6,"/",B91)),
$K$2&lt;&gt;Data!$A$2,SUMIFS(Proventos!$H:$H,Proventos!$D:$D,"&gt;="&amp;CONCATENATE($N$6,"/",B90),Proventos!$D:$D,"&lt;"&amp;CONCATENATE($C$6,"/",B91),Proventos!$A:$A,"="&amp;$K$2))</f>
        <v>0</v>
      </c>
      <c r="O90" s="245"/>
      <c r="P90" s="245">
        <f t="shared" si="1"/>
        <v>0</v>
      </c>
      <c r="Q90" s="245">
        <f t="shared" si="2"/>
        <v>0</v>
      </c>
    </row>
    <row r="91" ht="32.25" customHeight="1">
      <c r="A91" s="230"/>
      <c r="B91" s="244"/>
      <c r="C91" s="245">
        <f>IFS(
AND($H$2=Data!$A$3,$K$2=Data!$A$2),SUMIFS(Proventos!$H:$H,Proventos!$D:$D,"&gt;="&amp;CONCATENATE($C$6,"/",B91),Proventos!$D:$D,"&lt;"&amp;CONCATENATE($D$6,"/",B91),Proventos!$J:$J,"="&amp;$H$2),
AND($H$2=Data!$A$4,$K$2=Data!$A$2),SUMIFS(Proventos!$H:$H,Proventos!$D:$D,"&gt;="&amp;CONCATENATE($C$6,"/",B91),Proventos!$D:$D,"&lt;"&amp;CONCATENATE($D$6,"/",B91),Proventos!$J:$J,"="&amp;$H$2),
AND($H$2=Data!$A$5,$K$2=Data!$A$2),SUMIFS(Proventos!$H:$H,Proventos!$D:$D,"&gt;="&amp;CONCATENATE($C$6,"/",B91),Proventos!$D:$D,"&lt;"&amp;CONCATENATE($D$6,"/",B91),Proventos!$J:$J,"="&amp;$H$2),
AND($H$2=Data!$A$6,$K$2=Data!$A$2),SUMIFS(Proventos!$H:$H,Proventos!$D:$D,"&gt;="&amp;CONCATENATE($C$6,"/",B91),Proventos!$D:$D,"&lt;"&amp;CONCATENATE($D$6,"/",B91),Proventos!$J:$J,"="&amp;$H$2),
AND($H$2=Data!$A$7,$K$2=Data!$A$2),SUMIFS(Proventos!$H:$H,Proventos!$D:$D,"&gt;="&amp;CONCATENATE($C$6,"/",B91),Proventos!$D:$D,"&lt;"&amp;CONCATENATE($D$6,"/",B91),Proventos!$J:$J,"="&amp;$H$2),
AND($H$2=Data!$A$8,$K$2=Data!$A$2),SUMIFS(Proventos!$H:$H,Proventos!$D:$D,"&gt;="&amp;CONCATENATE($C$6,"/",B91),Proventos!$D:$D,"&lt;"&amp;CONCATENATE($D$6,"/",B91),Proventos!$J:$J,"="&amp;$H$2),
AND($H$2=Data!$A$9,$K$2=Data!$A$2),SUMIFS(Proventos!$H:$H,Proventos!$D:$D,"&gt;="&amp;CONCATENATE($C$6,"/",B91),Proventos!$D:$D,"&lt;"&amp;CONCATENATE($D$6,"/",B91),Proventos!$J:$J,"="&amp;$H$2),
AND($H$2=Data!$A$10,$K$2=Data!$A$2),SUMIFS(Proventos!$H:$H,Proventos!$D:$D,"&gt;="&amp;CONCATENATE($C$6,"/",B91),Proventos!$D:$D,"&lt;"&amp;CONCATENATE($D$6,"/",B91),Proventos!$J:$J,"="&amp;$H$2),
AND($H$2=Data!$A$11,$K$2=Data!$A$2),SUMIFS(Proventos!$H:$H,Proventos!$D:$D,"&gt;="&amp;CONCATENATE($C$6,"/",B91),Proventos!$D:$D,"&lt;"&amp;CONCATENATE($D$6,"/",B91),Proventos!$J:$J,"="&amp;$H$2),
$K$2=Data!$A$2,SUMIFS(Proventos!$H:$H,Proventos!$D:$D,"&gt;="&amp;CONCATENATE($C$6,"/",B91),Proventos!$D:$D,"&lt;"&amp;CONCATENATE($D$6,"/",B91)),
$K$2&lt;&gt;Data!$A$2,SUMIFS(Proventos!$H:$H,Proventos!$D:$D,"&gt;="&amp;CONCATENATE($C$6,"/",B91),Proventos!$D:$D,"&lt;"&amp;CONCATENATE($D$6,"/",B91),Proventos!$A:$A,"="&amp;$K$2))</f>
        <v>0</v>
      </c>
      <c r="D91" s="245">
        <f>IFS(
AND($H$2=Data!$A$3,$K$2=Data!$A$2),SUMIFS(Proventos!$H:$H,Proventos!$D:$D,"&gt;="&amp;CONCATENATE($D$6,"/",B91),Proventos!$D:$D,"&lt;"&amp;CONCATENATE($E$6,"/",B91),Proventos!$J:$J,"="&amp;$H$2),
AND($H$2=Data!$A$4,$K$2=Data!$A$2),SUMIFS(Proventos!$H:$H,Proventos!$D:$D,"&gt;="&amp;CONCATENATE($D$6,"/",B91),Proventos!$D:$D,"&lt;"&amp;CONCATENATE($E$6,"/",B91),Proventos!$J:$J,"="&amp;$H$2),
AND($H$2=Data!$A$5,$K$2=Data!$A$2),SUMIFS(Proventos!$H:$H,Proventos!$D:$D,"&gt;="&amp;CONCATENATE($D$6,"/",B91),Proventos!$D:$D,"&lt;"&amp;CONCATENATE($E$6,"/",B91),Proventos!$J:$J,"="&amp;$H$2),
AND($H$2=Data!$A$6,$K$2=Data!$A$2),SUMIFS(Proventos!$H:$H,Proventos!$D:$D,"&gt;="&amp;CONCATENATE($D$6,"/",B91),Proventos!$D:$D,"&lt;"&amp;CONCATENATE($E$6,"/",B91),Proventos!$J:$J,"="&amp;$H$2),
AND($H$2=Data!$A$7,$K$2=Data!$A$2),SUMIFS(Proventos!$H:$H,Proventos!$D:$D,"&gt;="&amp;CONCATENATE($D$6,"/",B91),Proventos!$D:$D,"&lt;"&amp;CONCATENATE($E$6,"/",B91),Proventos!$J:$J,"="&amp;$H$2),
AND($H$2=Data!$A$8,$K$2=Data!$A$2),SUMIFS(Proventos!$H:$H,Proventos!$D:$D,"&gt;="&amp;CONCATENATE($D$6,"/",B91),Proventos!$D:$D,"&lt;"&amp;CONCATENATE($E$6,"/",B91),Proventos!$J:$J,"="&amp;$H$2),
AND($H$2=Data!$A$9,$K$2=Data!$A$2),SUMIFS(Proventos!$H:$H,Proventos!$D:$D,"&gt;="&amp;CONCATENATE($D$6,"/",B91),Proventos!$D:$D,"&lt;"&amp;CONCATENATE($E$6,"/",B91),Proventos!$J:$J,"="&amp;$H$2),
AND($H$2=Data!$A$10,$K$2=Data!$A$2),SUMIFS(Proventos!$H:$H,Proventos!$D:$D,"&gt;="&amp;CONCATENATE($D$6,"/",B91),Proventos!$D:$D,"&lt;"&amp;CONCATENATE($E$6,"/",B91),Proventos!$J:$J,"="&amp;$H$2),
AND($H$2=Data!$A$11,$K$2=Data!$A$2),SUMIFS(Proventos!$H:$H,Proventos!$D:$D,"&gt;="&amp;CONCATENATE($D$6,"/",B91),Proventos!$D:$D,"&lt;"&amp;CONCATENATE($E$6,"/",B91),Proventos!$J:$J,"="&amp;$H$2),
$K$2=Data!$A$2,SUMIFS(Proventos!$H:$H,Proventos!$D:$D,"&gt;="&amp;CONCATENATE($D$6,"/",B91),Proventos!$D:$D,"&lt;"&amp;CONCATENATE($E$6,"/",B91)),
$K$2&lt;&gt;Data!$A$2,SUMIFS(Proventos!$H:$H,Proventos!$D:$D,"&gt;="&amp;CONCATENATE($D$6,"/",B91),Proventos!$D:$D,"&lt;"&amp;CONCATENATE($E$6,"/",B91),Proventos!$A:$A,"="&amp;$K$2))</f>
        <v>0</v>
      </c>
      <c r="E91" s="245">
        <f>IFS(
AND($H$2=Data!$A$3,$K$2=Data!$A$2),SUMIFS(Proventos!$H:$H,Proventos!$D:$D,"&gt;="&amp;CONCATENATE($E$6,"/",B91),Proventos!$D:$D,"&lt;"&amp;CONCATENATE($F$6,"/",B91),Proventos!$J:$J,"="&amp;$H$2),
AND($H$2=Data!$A$4,$K$2=Data!$A$2),SUMIFS(Proventos!$H:$H,Proventos!$D:$D,"&gt;="&amp;CONCATENATE($E$6,"/",B91),Proventos!$D:$D,"&lt;"&amp;CONCATENATE($F$6,"/",B91),Proventos!$J:$J,"="&amp;$H$2),
AND($H$2=Data!$A$5,$K$2=Data!$A$2),SUMIFS(Proventos!$H:$H,Proventos!$D:$D,"&gt;="&amp;CONCATENATE($E$6,"/",B91),Proventos!$D:$D,"&lt;"&amp;CONCATENATE($F$6,"/",B91),Proventos!$J:$J,"="&amp;$H$2),
AND($H$2=Data!$A$6,$K$2=Data!$A$2),SUMIFS(Proventos!$H:$H,Proventos!$D:$D,"&gt;="&amp;CONCATENATE($E$6,"/",B91),Proventos!$D:$D,"&lt;"&amp;CONCATENATE($F$6,"/",B91),Proventos!$J:$J,"="&amp;$H$2),
AND($H$2=Data!$A$7,$K$2=Data!$A$2),SUMIFS(Proventos!$H:$H,Proventos!$D:$D,"&gt;="&amp;CONCATENATE($E$6,"/",B91),Proventos!$D:$D,"&lt;"&amp;CONCATENATE($F$6,"/",B91),Proventos!$J:$J,"="&amp;$H$2),
AND($H$2=Data!$A$8,$K$2=Data!$A$2),SUMIFS(Proventos!$H:$H,Proventos!$D:$D,"&gt;="&amp;CONCATENATE($E$6,"/",B91),Proventos!$D:$D,"&lt;"&amp;CONCATENATE($F$6,"/",B91),Proventos!$J:$J,"="&amp;$H$2),
AND($H$2=Data!$A$9,$K$2=Data!$A$2),SUMIFS(Proventos!$H:$H,Proventos!$D:$D,"&gt;="&amp;CONCATENATE($E$6,"/",B91),Proventos!$D:$D,"&lt;"&amp;CONCATENATE($F$6,"/",B91),Proventos!$J:$J,"="&amp;$H$2),
AND($H$2=Data!$A$10,$K$2=Data!$A$2),SUMIFS(Proventos!$H:$H,Proventos!$D:$D,"&gt;="&amp;CONCATENATE($E$6,"/",B91),Proventos!$D:$D,"&lt;"&amp;CONCATENATE($F$6,"/",B91),Proventos!$J:$J,"="&amp;$H$2),
AND($H$2=Data!$A$11,$K$2=Data!$A$2),SUMIFS(Proventos!$H:$H,Proventos!$D:$D,"&gt;="&amp;CONCATENATE($E$6,"/",B91),Proventos!$D:$D,"&lt;"&amp;CONCATENATE($F$6,"/",B91),Proventos!$J:$J,"="&amp;$H$2),
$K$2=Data!$A$2,SUMIFS(Proventos!$H:$H,Proventos!$D:$D,"&gt;="&amp;CONCATENATE($E$6,"/",B91),Proventos!$D:$D,"&lt;"&amp;CONCATENATE($F$6,"/",B91)),
$K$2&lt;&gt;Data!$A$2,SUMIFS(Proventos!$H:$H,Proventos!$D:$D,"&gt;="&amp;CONCATENATE($E$6,"/",B91),Proventos!$D:$D,"&lt;"&amp;CONCATENATE($F$6,"/",B91),Proventos!$A:$A,"="&amp;$K$2))</f>
        <v>0</v>
      </c>
      <c r="F91" s="245">
        <f>IFS(
AND($H$2=Data!$A$3,$K$2=Data!$A$2),SUMIFS(Proventos!$H:$H,Proventos!$D:$D,"&gt;="&amp;CONCATENATE($F$6,"/",B91),Proventos!$D:$D,"&lt;"&amp;CONCATENATE($G$6,"/",B91),Proventos!$J:$J,"="&amp;$H$2),
AND($H$2=Data!$A$4,$K$2=Data!$A$2),SUMIFS(Proventos!$H:$H,Proventos!$D:$D,"&gt;="&amp;CONCATENATE($F$6,"/",B91),Proventos!$D:$D,"&lt;"&amp;CONCATENATE($G$6,"/",B91),Proventos!$J:$J,"="&amp;$H$2),
AND($H$2=Data!$A$5,$K$2=Data!$A$2),SUMIFS(Proventos!$H:$H,Proventos!$D:$D,"&gt;="&amp;CONCATENATE($F$6,"/",B91),Proventos!$D:$D,"&lt;"&amp;CONCATENATE($G$6,"/",B91),Proventos!$J:$J,"="&amp;$H$2),
AND($H$2=Data!$A$6,$K$2=Data!$A$2),SUMIFS(Proventos!$H:$H,Proventos!$D:$D,"&gt;="&amp;CONCATENATE($F$6,"/",B91),Proventos!$D:$D,"&lt;"&amp;CONCATENATE($G$6,"/",B91),Proventos!$J:$J,"="&amp;$H$2),
AND($H$2=Data!$A$7,$K$2=Data!$A$2),SUMIFS(Proventos!$H:$H,Proventos!$D:$D,"&gt;="&amp;CONCATENATE($F$6,"/",B91),Proventos!$D:$D,"&lt;"&amp;CONCATENATE($G$6,"/",B91),Proventos!$J:$J,"="&amp;$H$2),
AND($H$2=Data!$A$8,$K$2=Data!$A$2),SUMIFS(Proventos!$H:$H,Proventos!$D:$D,"&gt;="&amp;CONCATENATE($F$6,"/",B91),Proventos!$D:$D,"&lt;"&amp;CONCATENATE($G$6,"/",B91),Proventos!$J:$J,"="&amp;$H$2),
AND($H$2=Data!$A$9,$K$2=Data!$A$2),SUMIFS(Proventos!$H:$H,Proventos!$D:$D,"&gt;="&amp;CONCATENATE($F$6,"/",B91),Proventos!$D:$D,"&lt;"&amp;CONCATENATE($G$6,"/",B91),Proventos!$J:$J,"="&amp;$H$2),
AND($H$2=Data!$A$10,$K$2=Data!$A$2),SUMIFS(Proventos!$H:$H,Proventos!$D:$D,"&gt;="&amp;CONCATENATE($F$6,"/",B91),Proventos!$D:$D,"&lt;"&amp;CONCATENATE($G$6,"/",B91),Proventos!$J:$J,"="&amp;$H$2),
AND($H$2=Data!$A$11,$K$2=Data!$A$2),SUMIFS(Proventos!$H:$H,Proventos!$D:$D,"&gt;="&amp;CONCATENATE($F$6,"/",B91),Proventos!$D:$D,"&lt;"&amp;CONCATENATE($G$6,"/",B91),Proventos!$J:$J,"="&amp;$H$2),
$K$2=Data!$A$2,SUMIFS(Proventos!$H:$H,Proventos!$D:$D,"&gt;="&amp;CONCATENATE($F$6,"/",B91),Proventos!$D:$D,"&lt;"&amp;CONCATENATE($G$6,"/",B91)),
$K$2&lt;&gt;Data!$A$2,SUMIFS(Proventos!$H:$H,Proventos!$D:$D,"&gt;="&amp;CONCATENATE($F$6,"/",B91),Proventos!$D:$D,"&lt;"&amp;CONCATENATE($G$6,"/",B91),Proventos!$A:$A,"="&amp;$K$2))</f>
        <v>0</v>
      </c>
      <c r="G91" s="245">
        <f>IFS(
AND($H$2=Data!$A$3,$K$2=Data!$A$2),SUMIFS(Proventos!$H:$H,Proventos!$D:$D,"&gt;="&amp;CONCATENATE($G$6,"/",B91),Proventos!$D:$D,"&lt;"&amp;CONCATENATE($H$6,"/",B91),Proventos!$J:$J,"="&amp;$H$2),
AND($H$2=Data!$A$4,$K$2=Data!$A$2),SUMIFS(Proventos!$H:$H,Proventos!$D:$D,"&gt;="&amp;CONCATENATE($G$6,"/",B91),Proventos!$D:$D,"&lt;"&amp;CONCATENATE($H$6,"/",B91),Proventos!$J:$J,"="&amp;$H$2),
AND($H$2=Data!$A$5,$K$2=Data!$A$2),SUMIFS(Proventos!$H:$H,Proventos!$D:$D,"&gt;="&amp;CONCATENATE($G$6,"/",B91),Proventos!$D:$D,"&lt;"&amp;CONCATENATE($H$6,"/",B91),Proventos!$J:$J,"="&amp;$H$2),
AND($H$2=Data!$A$6,$K$2=Data!$A$2),SUMIFS(Proventos!$H:$H,Proventos!$D:$D,"&gt;="&amp;CONCATENATE($G$6,"/",B91),Proventos!$D:$D,"&lt;"&amp;CONCATENATE($H$6,"/",B91),Proventos!$J:$J,"="&amp;$H$2),
AND($H$2=Data!$A$7,$K$2=Data!$A$2),SUMIFS(Proventos!$H:$H,Proventos!$D:$D,"&gt;="&amp;CONCATENATE($G$6,"/",B91),Proventos!$D:$D,"&lt;"&amp;CONCATENATE($H$6,"/",B91),Proventos!$J:$J,"="&amp;$H$2),
AND($H$2=Data!$A$8,$K$2=Data!$A$2),SUMIFS(Proventos!$H:$H,Proventos!$D:$D,"&gt;="&amp;CONCATENATE($G$6,"/",B91),Proventos!$D:$D,"&lt;"&amp;CONCATENATE($H$6,"/",B91),Proventos!$J:$J,"="&amp;$H$2),
AND($H$2=Data!$A$9,$K$2=Data!$A$2),SUMIFS(Proventos!$H:$H,Proventos!$D:$D,"&gt;="&amp;CONCATENATE($G$6,"/",B91),Proventos!$D:$D,"&lt;"&amp;CONCATENATE($H$6,"/",B91),Proventos!$J:$J,"="&amp;$H$2),
AND($H$2=Data!$A$10,$K$2=Data!$A$2),SUMIFS(Proventos!$H:$H,Proventos!$D:$D,"&gt;="&amp;CONCATENATE($G$6,"/",B91),Proventos!$D:$D,"&lt;"&amp;CONCATENATE($H$6,"/",B91),Proventos!$J:$J,"="&amp;$H$2),
AND($H$2=Data!$A$11,$K$2=Data!$A$2),SUMIFS(Proventos!$H:$H,Proventos!$D:$D,"&gt;="&amp;CONCATENATE($G$6,"/",B91),Proventos!$D:$D,"&lt;"&amp;CONCATENATE($H$6,"/",B91),Proventos!$J:$J,"="&amp;$H$2),
$K$2=Data!$A$2,SUMIFS(Proventos!$H:$H,Proventos!$D:$D,"&gt;="&amp;CONCATENATE($G$6,"/",B91),Proventos!$D:$D,"&lt;"&amp;CONCATENATE($H$6,"/",B91)),
$K$2&lt;&gt;Data!$A$2,SUMIFS(Proventos!$H:$H,Proventos!$D:$D,"&gt;="&amp;CONCATENATE($G$6,"/",B91),Proventos!$D:$D,"&lt;"&amp;CONCATENATE($H$6,"/",B91),Proventos!$A:$A,"="&amp;$K$2))</f>
        <v>0</v>
      </c>
      <c r="H91" s="245">
        <f>IFS(
AND($H$2=Data!$A$3,$K$2=Data!$A$2),SUMIFS(Proventos!$H:$H,Proventos!$D:$D,"&gt;="&amp;CONCATENATE($H$6,"/",B91),Proventos!$D:$D,"&lt;"&amp;CONCATENATE($I$6,"/",B91),Proventos!$J:$J,"="&amp;$H$2),
AND($H$2=Data!$A$4,$K$2=Data!$A$2),SUMIFS(Proventos!$H:$H,Proventos!$D:$D,"&gt;="&amp;CONCATENATE($H$6,"/",B91),Proventos!$D:$D,"&lt;"&amp;CONCATENATE($I$6,"/",B91),Proventos!$J:$J,"="&amp;$H$2),
AND($H$2=Data!$A$5,$K$2=Data!$A$2),SUMIFS(Proventos!$H:$H,Proventos!$D:$D,"&gt;="&amp;CONCATENATE($H$6,"/",B91),Proventos!$D:$D,"&lt;"&amp;CONCATENATE($I$6,"/",B91),Proventos!$J:$J,"="&amp;$H$2),
AND($H$2=Data!$A$6,$K$2=Data!$A$2),SUMIFS(Proventos!$H:$H,Proventos!$D:$D,"&gt;="&amp;CONCATENATE($H$6,"/",B91),Proventos!$D:$D,"&lt;"&amp;CONCATENATE($I$6,"/",B91),Proventos!$J:$J,"="&amp;$H$2),
AND($H$2=Data!$A$7,$K$2=Data!$A$2),SUMIFS(Proventos!$H:$H,Proventos!$D:$D,"&gt;="&amp;CONCATENATE($H$6,"/",B91),Proventos!$D:$D,"&lt;"&amp;CONCATENATE($I$6,"/",B91),Proventos!$J:$J,"="&amp;$H$2),
AND($H$2=Data!$A$8,$K$2=Data!$A$2),SUMIFS(Proventos!$H:$H,Proventos!$D:$D,"&gt;="&amp;CONCATENATE($H$6,"/",B91),Proventos!$D:$D,"&lt;"&amp;CONCATENATE($I$6,"/",B91),Proventos!$J:$J,"="&amp;$H$2),
AND($H$2=Data!$A$9,$K$2=Data!$A$2),SUMIFS(Proventos!$H:$H,Proventos!$D:$D,"&gt;="&amp;CONCATENATE($H$6,"/",B91),Proventos!$D:$D,"&lt;"&amp;CONCATENATE($I$6,"/",B91),Proventos!$J:$J,"="&amp;$H$2),
AND($H$2=Data!$A$10,$K$2=Data!$A$2),SUMIFS(Proventos!$H:$H,Proventos!$D:$D,"&gt;="&amp;CONCATENATE($H$6,"/",B91),Proventos!$D:$D,"&lt;"&amp;CONCATENATE($I$6,"/",B91),Proventos!$J:$J,"="&amp;$H$2),
AND($H$2=Data!$A$11,$K$2=Data!$A$2),SUMIFS(Proventos!$H:$H,Proventos!$D:$D,"&gt;="&amp;CONCATENATE($H$6,"/",B91),Proventos!$D:$D,"&lt;"&amp;CONCATENATE($I$6,"/",B91),Proventos!$J:$J,"="&amp;$H$2),
$K$2=Data!$A$2,SUMIFS(Proventos!$H:$H,Proventos!$D:$D,"&gt;="&amp;CONCATENATE($H$6,"/",B91),Proventos!$D:$D,"&lt;"&amp;CONCATENATE($I$6,"/",B91)),
$K$2&lt;&gt;Data!$A$2,SUMIFS(Proventos!$H:$H,Proventos!$D:$D,"&gt;="&amp;CONCATENATE($H$6,"/",B91),Proventos!$D:$D,"&lt;"&amp;CONCATENATE($I$6,"/",B91),Proventos!$A:$A,"="&amp;$K$2))</f>
        <v>0</v>
      </c>
      <c r="I91" s="245">
        <f>IFS(
AND($H$2=Data!$A$3,$K$2=Data!$A$2),SUMIFS(Proventos!$H:$H,Proventos!$D:$D,"&gt;="&amp;CONCATENATE($I$6,"/",B91),Proventos!$D:$D,"&lt;"&amp;CONCATENATE($J$6,"/",B91),Proventos!$J:$J,"="&amp;$H$2),
AND($H$2=Data!$A$4,$K$2=Data!$A$2),SUMIFS(Proventos!$H:$H,Proventos!$D:$D,"&gt;="&amp;CONCATENATE($I$6,"/",B91),Proventos!$D:$D,"&lt;"&amp;CONCATENATE($J$6,"/",B91),Proventos!$J:$J,"="&amp;$H$2),
AND($H$2=Data!$A$5,$K$2=Data!$A$2),SUMIFS(Proventos!$H:$H,Proventos!$D:$D,"&gt;="&amp;CONCATENATE($I$6,"/",B91),Proventos!$D:$D,"&lt;"&amp;CONCATENATE($J$6,"/",B91),Proventos!$J:$J,"="&amp;$H$2),
AND($H$2=Data!$A$6,$K$2=Data!$A$2),SUMIFS(Proventos!$H:$H,Proventos!$D:$D,"&gt;="&amp;CONCATENATE($I$6,"/",B91),Proventos!$D:$D,"&lt;"&amp;CONCATENATE($J$6,"/",B91),Proventos!$J:$J,"="&amp;$H$2),
AND($H$2=Data!$A$7,$K$2=Data!$A$2),SUMIFS(Proventos!$H:$H,Proventos!$D:$D,"&gt;="&amp;CONCATENATE($I$6,"/",B91),Proventos!$D:$D,"&lt;"&amp;CONCATENATE($J$6,"/",B91),Proventos!$J:$J,"="&amp;$H$2),
AND($H$2=Data!$A$8,$K$2=Data!$A$2),SUMIFS(Proventos!$H:$H,Proventos!$D:$D,"&gt;="&amp;CONCATENATE($I$6,"/",B91),Proventos!$D:$D,"&lt;"&amp;CONCATENATE($J$6,"/",B91),Proventos!$J:$J,"="&amp;$H$2),
AND($H$2=Data!$A$9,$K$2=Data!$A$2),SUMIFS(Proventos!$H:$H,Proventos!$D:$D,"&gt;="&amp;CONCATENATE($I$6,"/",B91),Proventos!$D:$D,"&lt;"&amp;CONCATENATE($J$6,"/",B91),Proventos!$J:$J,"="&amp;$H$2),
AND($H$2=Data!$A$10,$K$2=Data!$A$2),SUMIFS(Proventos!$H:$H,Proventos!$D:$D,"&gt;="&amp;CONCATENATE($I$6,"/",B91),Proventos!$D:$D,"&lt;"&amp;CONCATENATE($J$6,"/",B91),Proventos!$J:$J,"="&amp;$H$2),
AND($H$2=Data!$A$11,$K$2=Data!$A$2),SUMIFS(Proventos!$H:$H,Proventos!$D:$D,"&gt;="&amp;CONCATENATE($I$6,"/",B91),Proventos!$D:$D,"&lt;"&amp;CONCATENATE($J$6,"/",B91),Proventos!$J:$J,"="&amp;$H$2),
$K$2=Data!$A$2,SUMIFS(Proventos!$H:$H,Proventos!$D:$D,"&gt;="&amp;CONCATENATE($I$6,"/",B91),Proventos!$D:$D,"&lt;"&amp;CONCATENATE($J$6,"/",B91)),
$K$2&lt;&gt;Data!$A$2,SUMIFS(Proventos!$H:$H,Proventos!$D:$D,"&gt;="&amp;CONCATENATE($I$6,"/",B91),Proventos!$D:$D,"&lt;"&amp;CONCATENATE($J$6,"/",B91),Proventos!$A:$A,"="&amp;$K$2))</f>
        <v>0</v>
      </c>
      <c r="J91" s="245">
        <f>IFS(
AND($H$2=Data!$A$3,$K$2=Data!$A$2),SUMIFS(Proventos!$H:$H,Proventos!$D:$D,"&gt;="&amp;CONCATENATE($J$6,"/",B91),Proventos!$D:$D,"&lt;"&amp;CONCATENATE($K$6,"/",B91),Proventos!$J:$J,"="&amp;$H$2),
AND($H$2=Data!$A$4,$K$2=Data!$A$2),SUMIFS(Proventos!$H:$H,Proventos!$D:$D,"&gt;="&amp;CONCATENATE($J$6,"/",B91),Proventos!$D:$D,"&lt;"&amp;CONCATENATE($K$6,"/",B91),Proventos!$J:$J,"="&amp;$H$2),
AND($H$2=Data!$A$5,$K$2=Data!$A$2),SUMIFS(Proventos!$H:$H,Proventos!$D:$D,"&gt;="&amp;CONCATENATE($J$6,"/",B91),Proventos!$D:$D,"&lt;"&amp;CONCATENATE($K$6,"/",B91),Proventos!$J:$J,"="&amp;$H$2),
AND($H$2=Data!$A$6,$K$2=Data!$A$2),SUMIFS(Proventos!$H:$H,Proventos!$D:$D,"&gt;="&amp;CONCATENATE($J$6,"/",B91),Proventos!$D:$D,"&lt;"&amp;CONCATENATE($K$6,"/",B91),Proventos!$J:$J,"="&amp;$H$2),
AND($H$2=Data!$A$7,$K$2=Data!$A$2),SUMIFS(Proventos!$H:$H,Proventos!$D:$D,"&gt;="&amp;CONCATENATE($J$6,"/",B91),Proventos!$D:$D,"&lt;"&amp;CONCATENATE($K$6,"/",B91),Proventos!$J:$J,"="&amp;$H$2),
AND($H$2=Data!$A$8,$K$2=Data!$A$2),SUMIFS(Proventos!$H:$H,Proventos!$D:$D,"&gt;="&amp;CONCATENATE($J$6,"/",B91),Proventos!$D:$D,"&lt;"&amp;CONCATENATE($K$6,"/",B91),Proventos!$J:$J,"="&amp;$H$2),
AND($H$2=Data!$A$9,$K$2=Data!$A$2),SUMIFS(Proventos!$H:$H,Proventos!$D:$D,"&gt;="&amp;CONCATENATE($J$6,"/",B91),Proventos!$D:$D,"&lt;"&amp;CONCATENATE($K$6,"/",B91),Proventos!$J:$J,"="&amp;$H$2),
AND($H$2=Data!$A$10,$K$2=Data!$A$2),SUMIFS(Proventos!$H:$H,Proventos!$D:$D,"&gt;="&amp;CONCATENATE($J$6,"/",B91),Proventos!$D:$D,"&lt;"&amp;CONCATENATE($K$6,"/",B91),Proventos!$J:$J,"="&amp;$H$2),
AND($H$2=Data!$A$11,$K$2=Data!$A$2),SUMIFS(Proventos!$H:$H,Proventos!$D:$D,"&gt;="&amp;CONCATENATE($J$6,"/",B91),Proventos!$D:$D,"&lt;"&amp;CONCATENATE($K$6,"/",B91),Proventos!$J:$J,"="&amp;$H$2),
$K$2=Data!$A$2,SUMIFS(Proventos!$H:$H,Proventos!$D:$D,"&gt;="&amp;CONCATENATE($J$6,"/",B91),Proventos!$D:$D,"&lt;"&amp;CONCATENATE($K$6,"/",B91)),
$K$2&lt;&gt;Data!$A$2,SUMIFS(Proventos!$H:$H,Proventos!$D:$D,"&gt;="&amp;CONCATENATE($J$6,"/",B91),Proventos!$D:$D,"&lt;"&amp;CONCATENATE($K$6,"/",B91),Proventos!$A:$A,"="&amp;$K$2))</f>
        <v>0</v>
      </c>
      <c r="K91" s="245">
        <f>IFS(
AND($H$2=Data!$A$3,$K$2=Data!$A$2),SUMIFS(Proventos!$H:$H,Proventos!$D:$D,"&gt;="&amp;CONCATENATE($K$6,"/",B91),Proventos!$D:$D,"&lt;"&amp;CONCATENATE($L$6,"/",B91),Proventos!$J:$J,"="&amp;$H$2),
AND($H$2=Data!$A$4,$K$2=Data!$A$2),SUMIFS(Proventos!$H:$H,Proventos!$D:$D,"&gt;="&amp;CONCATENATE($K$6,"/",B91),Proventos!$D:$D,"&lt;"&amp;CONCATENATE($L$6,"/",B91),Proventos!$J:$J,"="&amp;$H$2),
AND($H$2=Data!$A$5,$K$2=Data!$A$2),SUMIFS(Proventos!$H:$H,Proventos!$D:$D,"&gt;="&amp;CONCATENATE($K$6,"/",B91),Proventos!$D:$D,"&lt;"&amp;CONCATENATE($L$6,"/",B91),Proventos!$J:$J,"="&amp;$H$2),
AND($H$2=Data!$A$6,$K$2=Data!$A$2),SUMIFS(Proventos!$H:$H,Proventos!$D:$D,"&gt;="&amp;CONCATENATE($K$6,"/",B91),Proventos!$D:$D,"&lt;"&amp;CONCATENATE($L$6,"/",B91),Proventos!$J:$J,"="&amp;$H$2),
AND($H$2=Data!$A$7,$K$2=Data!$A$2),SUMIFS(Proventos!$H:$H,Proventos!$D:$D,"&gt;="&amp;CONCATENATE($K$6,"/",B91),Proventos!$D:$D,"&lt;"&amp;CONCATENATE($L$6,"/",B91),Proventos!$J:$J,"="&amp;$H$2),
AND($H$2=Data!$A$8,$K$2=Data!$A$2),SUMIFS(Proventos!$H:$H,Proventos!$D:$D,"&gt;="&amp;CONCATENATE($K$6,"/",B91),Proventos!$D:$D,"&lt;"&amp;CONCATENATE($L$6,"/",B91),Proventos!$J:$J,"="&amp;$H$2),
AND($H$2=Data!$A$9,$K$2=Data!$A$2),SUMIFS(Proventos!$H:$H,Proventos!$D:$D,"&gt;="&amp;CONCATENATE($K$6,"/",B91),Proventos!$D:$D,"&lt;"&amp;CONCATENATE($L$6,"/",B91),Proventos!$J:$J,"="&amp;$H$2),
AND($H$2=Data!$A$10,$K$2=Data!$A$2),SUMIFS(Proventos!$H:$H,Proventos!$D:$D,"&gt;="&amp;CONCATENATE($K$6,"/",B91),Proventos!$D:$D,"&lt;"&amp;CONCATENATE($L$6,"/",B91),Proventos!$J:$J,"="&amp;$H$2),
AND($H$2=Data!$A$11,$K$2=Data!$A$2),SUMIFS(Proventos!$H:$H,Proventos!$D:$D,"&gt;="&amp;CONCATENATE($K$6,"/",B91),Proventos!$D:$D,"&lt;"&amp;CONCATENATE($L$6,"/",B91),Proventos!$J:$J,"="&amp;$H$2),
$K$2=Data!$A$2,SUMIFS(Proventos!$H:$H,Proventos!$D:$D,"&gt;="&amp;CONCATENATE($K$6,"/",B91),Proventos!$D:$D,"&lt;"&amp;CONCATENATE($L$6,"/",B91)),
$K$2&lt;&gt;Data!$A$2,SUMIFS(Proventos!$H:$H,Proventos!$D:$D,"&gt;="&amp;CONCATENATE($K$6,"/",B91),Proventos!$D:$D,"&lt;"&amp;CONCATENATE($L$6,"/",B91),Proventos!$A:$A,"="&amp;$K$2))</f>
        <v>0</v>
      </c>
      <c r="L91" s="245">
        <f>IFS(
AND($H$2=Data!$A$3,$K$2=Data!$A$2),SUMIFS(Proventos!$H:$H,Proventos!$D:$D,"&gt;="&amp;CONCATENATE($L$6,"/",B91),Proventos!$D:$D,"&lt;"&amp;CONCATENATE($M$6,"/",B91),Proventos!$J:$J,"="&amp;$H$2),
AND($H$2=Data!$A$4,$K$2=Data!$A$2),SUMIFS(Proventos!$H:$H,Proventos!$D:$D,"&gt;="&amp;CONCATENATE($L$6,"/",B91),Proventos!$D:$D,"&lt;"&amp;CONCATENATE($M$6,"/",B91),Proventos!$J:$J,"="&amp;$H$2),
AND($H$2=Data!$A$5,$K$2=Data!$A$2),SUMIFS(Proventos!$H:$H,Proventos!$D:$D,"&gt;="&amp;CONCATENATE($L$6,"/",B91),Proventos!$D:$D,"&lt;"&amp;CONCATENATE($M$6,"/",B91),Proventos!$J:$J,"="&amp;$H$2),
AND($H$2=Data!$A$6,$K$2=Data!$A$2),SUMIFS(Proventos!$H:$H,Proventos!$D:$D,"&gt;="&amp;CONCATENATE($L$6,"/",B91),Proventos!$D:$D,"&lt;"&amp;CONCATENATE($M$6,"/",B91),Proventos!$J:$J,"="&amp;$H$2),
AND($H$2=Data!$A$7,$K$2=Data!$A$2),SUMIFS(Proventos!$H:$H,Proventos!$D:$D,"&gt;="&amp;CONCATENATE($L$6,"/",B91),Proventos!$D:$D,"&lt;"&amp;CONCATENATE($M$6,"/",B91),Proventos!$J:$J,"="&amp;$H$2),
AND($H$2=Data!$A$8,$K$2=Data!$A$2),SUMIFS(Proventos!$H:$H,Proventos!$D:$D,"&gt;="&amp;CONCATENATE($L$6,"/",B91),Proventos!$D:$D,"&lt;"&amp;CONCATENATE($M$6,"/",B91),Proventos!$J:$J,"="&amp;$H$2),
AND($H$2=Data!$A$9,$K$2=Data!$A$2),SUMIFS(Proventos!$H:$H,Proventos!$D:$D,"&gt;="&amp;CONCATENATE($L$6,"/",B91),Proventos!$D:$D,"&lt;"&amp;CONCATENATE($M$6,"/",B91),Proventos!$J:$J,"="&amp;$H$2),
AND($H$2=Data!$A$10,$K$2=Data!$A$2),SUMIFS(Proventos!$H:$H,Proventos!$D:$D,"&gt;="&amp;CONCATENATE($L$6,"/",B91),Proventos!$D:$D,"&lt;"&amp;CONCATENATE($M$6,"/",B91),Proventos!$J:$J,"="&amp;$H$2),
AND($H$2=Data!$A$11,$K$2=Data!$A$2),SUMIFS(Proventos!$H:$H,Proventos!$D:$D,"&gt;="&amp;CONCATENATE($L$6,"/",B91),Proventos!$D:$D,"&lt;"&amp;CONCATENATE($M$6,"/",B91),Proventos!$J:$J,"="&amp;$H$2),
$K$2=Data!$A$2,SUMIFS(Proventos!$H:$H,Proventos!$D:$D,"&gt;="&amp;CONCATENATE($L$6,"/",B91),Proventos!$D:$D,"&lt;"&amp;CONCATENATE($M$6,"/",B91)),
$K$2&lt;&gt;Data!$A$2,SUMIFS(Proventos!$H:$H,Proventos!$D:$D,"&gt;="&amp;CONCATENATE($L$6,"/",B91),Proventos!$D:$D,"&lt;"&amp;CONCATENATE($M$6,"/",B91),Proventos!$A:$A,"="&amp;$K$2))</f>
        <v>0</v>
      </c>
      <c r="M91" s="245">
        <f>IFS(
AND($H$2=Data!$A$3,$K$2=Data!$A$2),SUMIFS(Proventos!$H:$H,Proventos!$D:$D,"&gt;="&amp;CONCATENATE($M$6,"/",B91),Proventos!$D:$D,"&lt;"&amp;CONCATENATE($N$6,"/",B91),Proventos!$J:$J,"="&amp;$H$2),
AND($H$2=Data!$A$4,$K$2=Data!$A$2),SUMIFS(Proventos!$H:$H,Proventos!$D:$D,"&gt;="&amp;CONCATENATE($M$6,"/",B91),Proventos!$D:$D,"&lt;"&amp;CONCATENATE($N$6,"/",B91),Proventos!$J:$J,"="&amp;$H$2),
AND($H$2=Data!$A$5,$K$2=Data!$A$2),SUMIFS(Proventos!$H:$H,Proventos!$D:$D,"&gt;="&amp;CONCATENATE($M$6,"/",B91),Proventos!$D:$D,"&lt;"&amp;CONCATENATE($N$6,"/",B91),Proventos!$J:$J,"="&amp;$H$2),
AND($H$2=Data!$A$6,$K$2=Data!$A$2),SUMIFS(Proventos!$H:$H,Proventos!$D:$D,"&gt;="&amp;CONCATENATE($M$6,"/",B91),Proventos!$D:$D,"&lt;"&amp;CONCATENATE($N$6,"/",B91),Proventos!$J:$J,"="&amp;$H$2),
AND($H$2=Data!$A$7,$K$2=Data!$A$2),SUMIFS(Proventos!$H:$H,Proventos!$D:$D,"&gt;="&amp;CONCATENATE($M$6,"/",B91),Proventos!$D:$D,"&lt;"&amp;CONCATENATE($N$6,"/",B91),Proventos!$J:$J,"="&amp;$H$2),
AND($H$2=Data!$A$8,$K$2=Data!$A$2),SUMIFS(Proventos!$H:$H,Proventos!$D:$D,"&gt;="&amp;CONCATENATE($M$6,"/",B91),Proventos!$D:$D,"&lt;"&amp;CONCATENATE($N$6,"/",B91),Proventos!$J:$J,"="&amp;$H$2),
AND($H$2=Data!$A$9,$K$2=Data!$A$2),SUMIFS(Proventos!$H:$H,Proventos!$D:$D,"&gt;="&amp;CONCATENATE($M$6,"/",B91),Proventos!$D:$D,"&lt;"&amp;CONCATENATE($N$6,"/",B91),Proventos!$J:$J,"="&amp;$H$2),
AND($H$2=Data!$A$10,$K$2=Data!$A$2),SUMIFS(Proventos!$H:$H,Proventos!$D:$D,"&gt;="&amp;CONCATENATE($M$6,"/",B91),Proventos!$D:$D,"&lt;"&amp;CONCATENATE($N$6,"/",B91),Proventos!$J:$J,"="&amp;$H$2),
AND($H$2=Data!$A$11,$K$2=Data!$A$2),SUMIFS(Proventos!$H:$H,Proventos!$D:$D,"&gt;="&amp;CONCATENATE($M$6,"/",B91),Proventos!$D:$D,"&lt;"&amp;CONCATENATE($N$6,"/",B91),Proventos!$J:$J,"="&amp;$H$2),
$K$2=Data!$A$2,SUMIFS(Proventos!$H:$H,Proventos!$D:$D,"&gt;="&amp;CONCATENATE($M$6,"/",B91),Proventos!$D:$D,"&lt;"&amp;CONCATENATE($N$6,"/",B91)),
$K$2&lt;&gt;Data!$A$2,SUMIFS(Proventos!$H:$H,Proventos!$D:$D,"&gt;="&amp;CONCATENATE($M$6,"/",B91),Proventos!$D:$D,"&lt;"&amp;CONCATENATE($N$6,"/",B91),Proventos!$A:$A,"="&amp;$K$2))</f>
        <v>0</v>
      </c>
      <c r="N91" s="245">
        <f>IFS(
AND($H$2=Data!$A$3,$K$2=Data!$A$2),SUMIFS(Proventos!$H:$H,Proventos!$D:$D,"&gt;="&amp;CONCATENATE($N$6,"/",B91),Proventos!$D:$D,"&lt;"&amp;CONCATENATE($C$6,"/",B92),Proventos!$J:$J,"="&amp;$H$2),
AND($H$2=Data!$A$4,$K$2=Data!$A$2),SUMIFS(Proventos!$H:$H,Proventos!$D:$D,"&gt;="&amp;CONCATENATE($N$6,"/",B91),Proventos!$D:$D,"&lt;"&amp;CONCATENATE($C$6,"/",B92),Proventos!$J:$J,"="&amp;$H$2),
AND($H$2=Data!$A$5,$K$2=Data!$A$2),SUMIFS(Proventos!$H:$H,Proventos!$D:$D,"&gt;="&amp;CONCATENATE($N$6,"/",B91),Proventos!$D:$D,"&lt;"&amp;CONCATENATE($C$6,"/",B92),Proventos!$J:$J,"="&amp;$H$2),
AND($H$2=Data!$A$6,$K$2=Data!$A$2),SUMIFS(Proventos!$H:$H,Proventos!$D:$D,"&gt;="&amp;CONCATENATE($N$6,"/",B91),Proventos!$D:$D,"&lt;"&amp;CONCATENATE($C$6,"/",B92),Proventos!$J:$J,"="&amp;$H$2),
AND($H$2=Data!$A$7,$K$2=Data!$A$2),SUMIFS(Proventos!$H:$H,Proventos!$D:$D,"&gt;="&amp;CONCATENATE($N$6,"/",B91),Proventos!$D:$D,"&lt;"&amp;CONCATENATE($C$6,"/",B92),Proventos!$J:$J,"="&amp;$H$2),
AND($H$2=Data!$A$8,$K$2=Data!$A$2),SUMIFS(Proventos!$H:$H,Proventos!$D:$D,"&gt;="&amp;CONCATENATE($N$6,"/",B91),Proventos!$D:$D,"&lt;"&amp;CONCATENATE($C$6,"/",B92),Proventos!$J:$J,"="&amp;$H$2),
AND($H$2=Data!$A$9,$K$2=Data!$A$2),SUMIFS(Proventos!$H:$H,Proventos!$D:$D,"&gt;="&amp;CONCATENATE($N$6,"/",B91),Proventos!$D:$D,"&lt;"&amp;CONCATENATE($C$6,"/",B92),Proventos!$J:$J,"="&amp;$H$2),
AND($H$2=Data!$A$10,$K$2=Data!$A$2),SUMIFS(Proventos!$H:$H,Proventos!$D:$D,"&gt;="&amp;CONCATENATE($N$6,"/",B91),Proventos!$D:$D,"&lt;"&amp;CONCATENATE($C$6,"/",B92),Proventos!$J:$J,"="&amp;$H$2),
AND($H$2=Data!$A$11,$K$2=Data!$A$2),SUMIFS(Proventos!$H:$H,Proventos!$D:$D,"&gt;="&amp;CONCATENATE($N$6,"/",B91),Proventos!$D:$D,"&lt;"&amp;CONCATENATE($C$6,"/",B92),Proventos!$J:$J,"="&amp;$H$2),
$K$2=Data!$A$2,SUMIFS(Proventos!$H:$H,Proventos!$D:$D,"&gt;="&amp;CONCATENATE($N$6,"/",B91),Proventos!$D:$D,"&lt;"&amp;CONCATENATE($C$6,"/",B92)),
$K$2&lt;&gt;Data!$A$2,SUMIFS(Proventos!$H:$H,Proventos!$D:$D,"&gt;="&amp;CONCATENATE($N$6,"/",B91),Proventos!$D:$D,"&lt;"&amp;CONCATENATE($C$6,"/",B92),Proventos!$A:$A,"="&amp;$K$2))</f>
        <v>0</v>
      </c>
      <c r="O91" s="245"/>
      <c r="P91" s="245">
        <f t="shared" si="1"/>
        <v>0</v>
      </c>
      <c r="Q91" s="245">
        <f t="shared" si="2"/>
        <v>0</v>
      </c>
    </row>
    <row r="92" ht="32.25" customHeight="1">
      <c r="A92" s="230"/>
      <c r="B92" s="244"/>
      <c r="C92" s="245">
        <f>IFS(
AND($H$2=Data!$A$3,$K$2=Data!$A$2),SUMIFS(Proventos!$H:$H,Proventos!$D:$D,"&gt;="&amp;CONCATENATE($C$6,"/",B92),Proventos!$D:$D,"&lt;"&amp;CONCATENATE($D$6,"/",B92),Proventos!$J:$J,"="&amp;$H$2),
AND($H$2=Data!$A$4,$K$2=Data!$A$2),SUMIFS(Proventos!$H:$H,Proventos!$D:$D,"&gt;="&amp;CONCATENATE($C$6,"/",B92),Proventos!$D:$D,"&lt;"&amp;CONCATENATE($D$6,"/",B92),Proventos!$J:$J,"="&amp;$H$2),
AND($H$2=Data!$A$5,$K$2=Data!$A$2),SUMIFS(Proventos!$H:$H,Proventos!$D:$D,"&gt;="&amp;CONCATENATE($C$6,"/",B92),Proventos!$D:$D,"&lt;"&amp;CONCATENATE($D$6,"/",B92),Proventos!$J:$J,"="&amp;$H$2),
AND($H$2=Data!$A$6,$K$2=Data!$A$2),SUMIFS(Proventos!$H:$H,Proventos!$D:$D,"&gt;="&amp;CONCATENATE($C$6,"/",B92),Proventos!$D:$D,"&lt;"&amp;CONCATENATE($D$6,"/",B92),Proventos!$J:$J,"="&amp;$H$2),
AND($H$2=Data!$A$7,$K$2=Data!$A$2),SUMIFS(Proventos!$H:$H,Proventos!$D:$D,"&gt;="&amp;CONCATENATE($C$6,"/",B92),Proventos!$D:$D,"&lt;"&amp;CONCATENATE($D$6,"/",B92),Proventos!$J:$J,"="&amp;$H$2),
AND($H$2=Data!$A$8,$K$2=Data!$A$2),SUMIFS(Proventos!$H:$H,Proventos!$D:$D,"&gt;="&amp;CONCATENATE($C$6,"/",B92),Proventos!$D:$D,"&lt;"&amp;CONCATENATE($D$6,"/",B92),Proventos!$J:$J,"="&amp;$H$2),
AND($H$2=Data!$A$9,$K$2=Data!$A$2),SUMIFS(Proventos!$H:$H,Proventos!$D:$D,"&gt;="&amp;CONCATENATE($C$6,"/",B92),Proventos!$D:$D,"&lt;"&amp;CONCATENATE($D$6,"/",B92),Proventos!$J:$J,"="&amp;$H$2),
AND($H$2=Data!$A$10,$K$2=Data!$A$2),SUMIFS(Proventos!$H:$H,Proventos!$D:$D,"&gt;="&amp;CONCATENATE($C$6,"/",B92),Proventos!$D:$D,"&lt;"&amp;CONCATENATE($D$6,"/",B92),Proventos!$J:$J,"="&amp;$H$2),
AND($H$2=Data!$A$11,$K$2=Data!$A$2),SUMIFS(Proventos!$H:$H,Proventos!$D:$D,"&gt;="&amp;CONCATENATE($C$6,"/",B92),Proventos!$D:$D,"&lt;"&amp;CONCATENATE($D$6,"/",B92),Proventos!$J:$J,"="&amp;$H$2),
$K$2=Data!$A$2,SUMIFS(Proventos!$H:$H,Proventos!$D:$D,"&gt;="&amp;CONCATENATE($C$6,"/",B92),Proventos!$D:$D,"&lt;"&amp;CONCATENATE($D$6,"/",B92)),
$K$2&lt;&gt;Data!$A$2,SUMIFS(Proventos!$H:$H,Proventos!$D:$D,"&gt;="&amp;CONCATENATE($C$6,"/",B92),Proventos!$D:$D,"&lt;"&amp;CONCATENATE($D$6,"/",B92),Proventos!$A:$A,"="&amp;$K$2))</f>
        <v>0</v>
      </c>
      <c r="D92" s="245">
        <f>IFS(
AND($H$2=Data!$A$3,$K$2=Data!$A$2),SUMIFS(Proventos!$H:$H,Proventos!$D:$D,"&gt;="&amp;CONCATENATE($D$6,"/",B92),Proventos!$D:$D,"&lt;"&amp;CONCATENATE($E$6,"/",B92),Proventos!$J:$J,"="&amp;$H$2),
AND($H$2=Data!$A$4,$K$2=Data!$A$2),SUMIFS(Proventos!$H:$H,Proventos!$D:$D,"&gt;="&amp;CONCATENATE($D$6,"/",B92),Proventos!$D:$D,"&lt;"&amp;CONCATENATE($E$6,"/",B92),Proventos!$J:$J,"="&amp;$H$2),
AND($H$2=Data!$A$5,$K$2=Data!$A$2),SUMIFS(Proventos!$H:$H,Proventos!$D:$D,"&gt;="&amp;CONCATENATE($D$6,"/",B92),Proventos!$D:$D,"&lt;"&amp;CONCATENATE($E$6,"/",B92),Proventos!$J:$J,"="&amp;$H$2),
AND($H$2=Data!$A$6,$K$2=Data!$A$2),SUMIFS(Proventos!$H:$H,Proventos!$D:$D,"&gt;="&amp;CONCATENATE($D$6,"/",B92),Proventos!$D:$D,"&lt;"&amp;CONCATENATE($E$6,"/",B92),Proventos!$J:$J,"="&amp;$H$2),
AND($H$2=Data!$A$7,$K$2=Data!$A$2),SUMIFS(Proventos!$H:$H,Proventos!$D:$D,"&gt;="&amp;CONCATENATE($D$6,"/",B92),Proventos!$D:$D,"&lt;"&amp;CONCATENATE($E$6,"/",B92),Proventos!$J:$J,"="&amp;$H$2),
AND($H$2=Data!$A$8,$K$2=Data!$A$2),SUMIFS(Proventos!$H:$H,Proventos!$D:$D,"&gt;="&amp;CONCATENATE($D$6,"/",B92),Proventos!$D:$D,"&lt;"&amp;CONCATENATE($E$6,"/",B92),Proventos!$J:$J,"="&amp;$H$2),
AND($H$2=Data!$A$9,$K$2=Data!$A$2),SUMIFS(Proventos!$H:$H,Proventos!$D:$D,"&gt;="&amp;CONCATENATE($D$6,"/",B92),Proventos!$D:$D,"&lt;"&amp;CONCATENATE($E$6,"/",B92),Proventos!$J:$J,"="&amp;$H$2),
AND($H$2=Data!$A$10,$K$2=Data!$A$2),SUMIFS(Proventos!$H:$H,Proventos!$D:$D,"&gt;="&amp;CONCATENATE($D$6,"/",B92),Proventos!$D:$D,"&lt;"&amp;CONCATENATE($E$6,"/",B92),Proventos!$J:$J,"="&amp;$H$2),
AND($H$2=Data!$A$11,$K$2=Data!$A$2),SUMIFS(Proventos!$H:$H,Proventos!$D:$D,"&gt;="&amp;CONCATENATE($D$6,"/",B92),Proventos!$D:$D,"&lt;"&amp;CONCATENATE($E$6,"/",B92),Proventos!$J:$J,"="&amp;$H$2),
$K$2=Data!$A$2,SUMIFS(Proventos!$H:$H,Proventos!$D:$D,"&gt;="&amp;CONCATENATE($D$6,"/",B92),Proventos!$D:$D,"&lt;"&amp;CONCATENATE($E$6,"/",B92)),
$K$2&lt;&gt;Data!$A$2,SUMIFS(Proventos!$H:$H,Proventos!$D:$D,"&gt;="&amp;CONCATENATE($D$6,"/",B92),Proventos!$D:$D,"&lt;"&amp;CONCATENATE($E$6,"/",B92),Proventos!$A:$A,"="&amp;$K$2))</f>
        <v>0</v>
      </c>
      <c r="E92" s="245">
        <f>IFS(
AND($H$2=Data!$A$3,$K$2=Data!$A$2),SUMIFS(Proventos!$H:$H,Proventos!$D:$D,"&gt;="&amp;CONCATENATE($E$6,"/",B92),Proventos!$D:$D,"&lt;"&amp;CONCATENATE($F$6,"/",B92),Proventos!$J:$J,"="&amp;$H$2),
AND($H$2=Data!$A$4,$K$2=Data!$A$2),SUMIFS(Proventos!$H:$H,Proventos!$D:$D,"&gt;="&amp;CONCATENATE($E$6,"/",B92),Proventos!$D:$D,"&lt;"&amp;CONCATENATE($F$6,"/",B92),Proventos!$J:$J,"="&amp;$H$2),
AND($H$2=Data!$A$5,$K$2=Data!$A$2),SUMIFS(Proventos!$H:$H,Proventos!$D:$D,"&gt;="&amp;CONCATENATE($E$6,"/",B92),Proventos!$D:$D,"&lt;"&amp;CONCATENATE($F$6,"/",B92),Proventos!$J:$J,"="&amp;$H$2),
AND($H$2=Data!$A$6,$K$2=Data!$A$2),SUMIFS(Proventos!$H:$H,Proventos!$D:$D,"&gt;="&amp;CONCATENATE($E$6,"/",B92),Proventos!$D:$D,"&lt;"&amp;CONCATENATE($F$6,"/",B92),Proventos!$J:$J,"="&amp;$H$2),
AND($H$2=Data!$A$7,$K$2=Data!$A$2),SUMIFS(Proventos!$H:$H,Proventos!$D:$D,"&gt;="&amp;CONCATENATE($E$6,"/",B92),Proventos!$D:$D,"&lt;"&amp;CONCATENATE($F$6,"/",B92),Proventos!$J:$J,"="&amp;$H$2),
AND($H$2=Data!$A$8,$K$2=Data!$A$2),SUMIFS(Proventos!$H:$H,Proventos!$D:$D,"&gt;="&amp;CONCATENATE($E$6,"/",B92),Proventos!$D:$D,"&lt;"&amp;CONCATENATE($F$6,"/",B92),Proventos!$J:$J,"="&amp;$H$2),
AND($H$2=Data!$A$9,$K$2=Data!$A$2),SUMIFS(Proventos!$H:$H,Proventos!$D:$D,"&gt;="&amp;CONCATENATE($E$6,"/",B92),Proventos!$D:$D,"&lt;"&amp;CONCATENATE($F$6,"/",B92),Proventos!$J:$J,"="&amp;$H$2),
AND($H$2=Data!$A$10,$K$2=Data!$A$2),SUMIFS(Proventos!$H:$H,Proventos!$D:$D,"&gt;="&amp;CONCATENATE($E$6,"/",B92),Proventos!$D:$D,"&lt;"&amp;CONCATENATE($F$6,"/",B92),Proventos!$J:$J,"="&amp;$H$2),
AND($H$2=Data!$A$11,$K$2=Data!$A$2),SUMIFS(Proventos!$H:$H,Proventos!$D:$D,"&gt;="&amp;CONCATENATE($E$6,"/",B92),Proventos!$D:$D,"&lt;"&amp;CONCATENATE($F$6,"/",B92),Proventos!$J:$J,"="&amp;$H$2),
$K$2=Data!$A$2,SUMIFS(Proventos!$H:$H,Proventos!$D:$D,"&gt;="&amp;CONCATENATE($E$6,"/",B92),Proventos!$D:$D,"&lt;"&amp;CONCATENATE($F$6,"/",B92)),
$K$2&lt;&gt;Data!$A$2,SUMIFS(Proventos!$H:$H,Proventos!$D:$D,"&gt;="&amp;CONCATENATE($E$6,"/",B92),Proventos!$D:$D,"&lt;"&amp;CONCATENATE($F$6,"/",B92),Proventos!$A:$A,"="&amp;$K$2))</f>
        <v>0</v>
      </c>
      <c r="F92" s="245">
        <f>IFS(
AND($H$2=Data!$A$3,$K$2=Data!$A$2),SUMIFS(Proventos!$H:$H,Proventos!$D:$D,"&gt;="&amp;CONCATENATE($F$6,"/",B92),Proventos!$D:$D,"&lt;"&amp;CONCATENATE($G$6,"/",B92),Proventos!$J:$J,"="&amp;$H$2),
AND($H$2=Data!$A$4,$K$2=Data!$A$2),SUMIFS(Proventos!$H:$H,Proventos!$D:$D,"&gt;="&amp;CONCATENATE($F$6,"/",B92),Proventos!$D:$D,"&lt;"&amp;CONCATENATE($G$6,"/",B92),Proventos!$J:$J,"="&amp;$H$2),
AND($H$2=Data!$A$5,$K$2=Data!$A$2),SUMIFS(Proventos!$H:$H,Proventos!$D:$D,"&gt;="&amp;CONCATENATE($F$6,"/",B92),Proventos!$D:$D,"&lt;"&amp;CONCATENATE($G$6,"/",B92),Proventos!$J:$J,"="&amp;$H$2),
AND($H$2=Data!$A$6,$K$2=Data!$A$2),SUMIFS(Proventos!$H:$H,Proventos!$D:$D,"&gt;="&amp;CONCATENATE($F$6,"/",B92),Proventos!$D:$D,"&lt;"&amp;CONCATENATE($G$6,"/",B92),Proventos!$J:$J,"="&amp;$H$2),
AND($H$2=Data!$A$7,$K$2=Data!$A$2),SUMIFS(Proventos!$H:$H,Proventos!$D:$D,"&gt;="&amp;CONCATENATE($F$6,"/",B92),Proventos!$D:$D,"&lt;"&amp;CONCATENATE($G$6,"/",B92),Proventos!$J:$J,"="&amp;$H$2),
AND($H$2=Data!$A$8,$K$2=Data!$A$2),SUMIFS(Proventos!$H:$H,Proventos!$D:$D,"&gt;="&amp;CONCATENATE($F$6,"/",B92),Proventos!$D:$D,"&lt;"&amp;CONCATENATE($G$6,"/",B92),Proventos!$J:$J,"="&amp;$H$2),
AND($H$2=Data!$A$9,$K$2=Data!$A$2),SUMIFS(Proventos!$H:$H,Proventos!$D:$D,"&gt;="&amp;CONCATENATE($F$6,"/",B92),Proventos!$D:$D,"&lt;"&amp;CONCATENATE($G$6,"/",B92),Proventos!$J:$J,"="&amp;$H$2),
AND($H$2=Data!$A$10,$K$2=Data!$A$2),SUMIFS(Proventos!$H:$H,Proventos!$D:$D,"&gt;="&amp;CONCATENATE($F$6,"/",B92),Proventos!$D:$D,"&lt;"&amp;CONCATENATE($G$6,"/",B92),Proventos!$J:$J,"="&amp;$H$2),
AND($H$2=Data!$A$11,$K$2=Data!$A$2),SUMIFS(Proventos!$H:$H,Proventos!$D:$D,"&gt;="&amp;CONCATENATE($F$6,"/",B92),Proventos!$D:$D,"&lt;"&amp;CONCATENATE($G$6,"/",B92),Proventos!$J:$J,"="&amp;$H$2),
$K$2=Data!$A$2,SUMIFS(Proventos!$H:$H,Proventos!$D:$D,"&gt;="&amp;CONCATENATE($F$6,"/",B92),Proventos!$D:$D,"&lt;"&amp;CONCATENATE($G$6,"/",B92)),
$K$2&lt;&gt;Data!$A$2,SUMIFS(Proventos!$H:$H,Proventos!$D:$D,"&gt;="&amp;CONCATENATE($F$6,"/",B92),Proventos!$D:$D,"&lt;"&amp;CONCATENATE($G$6,"/",B92),Proventos!$A:$A,"="&amp;$K$2))</f>
        <v>0</v>
      </c>
      <c r="G92" s="245">
        <f>IFS(
AND($H$2=Data!$A$3,$K$2=Data!$A$2),SUMIFS(Proventos!$H:$H,Proventos!$D:$D,"&gt;="&amp;CONCATENATE($G$6,"/",B92),Proventos!$D:$D,"&lt;"&amp;CONCATENATE($H$6,"/",B92),Proventos!$J:$J,"="&amp;$H$2),
AND($H$2=Data!$A$4,$K$2=Data!$A$2),SUMIFS(Proventos!$H:$H,Proventos!$D:$D,"&gt;="&amp;CONCATENATE($G$6,"/",B92),Proventos!$D:$D,"&lt;"&amp;CONCATENATE($H$6,"/",B92),Proventos!$J:$J,"="&amp;$H$2),
AND($H$2=Data!$A$5,$K$2=Data!$A$2),SUMIFS(Proventos!$H:$H,Proventos!$D:$D,"&gt;="&amp;CONCATENATE($G$6,"/",B92),Proventos!$D:$D,"&lt;"&amp;CONCATENATE($H$6,"/",B92),Proventos!$J:$J,"="&amp;$H$2),
AND($H$2=Data!$A$6,$K$2=Data!$A$2),SUMIFS(Proventos!$H:$H,Proventos!$D:$D,"&gt;="&amp;CONCATENATE($G$6,"/",B92),Proventos!$D:$D,"&lt;"&amp;CONCATENATE($H$6,"/",B92),Proventos!$J:$J,"="&amp;$H$2),
AND($H$2=Data!$A$7,$K$2=Data!$A$2),SUMIFS(Proventos!$H:$H,Proventos!$D:$D,"&gt;="&amp;CONCATENATE($G$6,"/",B92),Proventos!$D:$D,"&lt;"&amp;CONCATENATE($H$6,"/",B92),Proventos!$J:$J,"="&amp;$H$2),
AND($H$2=Data!$A$8,$K$2=Data!$A$2),SUMIFS(Proventos!$H:$H,Proventos!$D:$D,"&gt;="&amp;CONCATENATE($G$6,"/",B92),Proventos!$D:$D,"&lt;"&amp;CONCATENATE($H$6,"/",B92),Proventos!$J:$J,"="&amp;$H$2),
AND($H$2=Data!$A$9,$K$2=Data!$A$2),SUMIFS(Proventos!$H:$H,Proventos!$D:$D,"&gt;="&amp;CONCATENATE($G$6,"/",B92),Proventos!$D:$D,"&lt;"&amp;CONCATENATE($H$6,"/",B92),Proventos!$J:$J,"="&amp;$H$2),
AND($H$2=Data!$A$10,$K$2=Data!$A$2),SUMIFS(Proventos!$H:$H,Proventos!$D:$D,"&gt;="&amp;CONCATENATE($G$6,"/",B92),Proventos!$D:$D,"&lt;"&amp;CONCATENATE($H$6,"/",B92),Proventos!$J:$J,"="&amp;$H$2),
AND($H$2=Data!$A$11,$K$2=Data!$A$2),SUMIFS(Proventos!$H:$H,Proventos!$D:$D,"&gt;="&amp;CONCATENATE($G$6,"/",B92),Proventos!$D:$D,"&lt;"&amp;CONCATENATE($H$6,"/",B92),Proventos!$J:$J,"="&amp;$H$2),
$K$2=Data!$A$2,SUMIFS(Proventos!$H:$H,Proventos!$D:$D,"&gt;="&amp;CONCATENATE($G$6,"/",B92),Proventos!$D:$D,"&lt;"&amp;CONCATENATE($H$6,"/",B92)),
$K$2&lt;&gt;Data!$A$2,SUMIFS(Proventos!$H:$H,Proventos!$D:$D,"&gt;="&amp;CONCATENATE($G$6,"/",B92),Proventos!$D:$D,"&lt;"&amp;CONCATENATE($H$6,"/",B92),Proventos!$A:$A,"="&amp;$K$2))</f>
        <v>0</v>
      </c>
      <c r="H92" s="245">
        <f>IFS(
AND($H$2=Data!$A$3,$K$2=Data!$A$2),SUMIFS(Proventos!$H:$H,Proventos!$D:$D,"&gt;="&amp;CONCATENATE($H$6,"/",B92),Proventos!$D:$D,"&lt;"&amp;CONCATENATE($I$6,"/",B92),Proventos!$J:$J,"="&amp;$H$2),
AND($H$2=Data!$A$4,$K$2=Data!$A$2),SUMIFS(Proventos!$H:$H,Proventos!$D:$D,"&gt;="&amp;CONCATENATE($H$6,"/",B92),Proventos!$D:$D,"&lt;"&amp;CONCATENATE($I$6,"/",B92),Proventos!$J:$J,"="&amp;$H$2),
AND($H$2=Data!$A$5,$K$2=Data!$A$2),SUMIFS(Proventos!$H:$H,Proventos!$D:$D,"&gt;="&amp;CONCATENATE($H$6,"/",B92),Proventos!$D:$D,"&lt;"&amp;CONCATENATE($I$6,"/",B92),Proventos!$J:$J,"="&amp;$H$2),
AND($H$2=Data!$A$6,$K$2=Data!$A$2),SUMIFS(Proventos!$H:$H,Proventos!$D:$D,"&gt;="&amp;CONCATENATE($H$6,"/",B92),Proventos!$D:$D,"&lt;"&amp;CONCATENATE($I$6,"/",B92),Proventos!$J:$J,"="&amp;$H$2),
AND($H$2=Data!$A$7,$K$2=Data!$A$2),SUMIFS(Proventos!$H:$H,Proventos!$D:$D,"&gt;="&amp;CONCATENATE($H$6,"/",B92),Proventos!$D:$D,"&lt;"&amp;CONCATENATE($I$6,"/",B92),Proventos!$J:$J,"="&amp;$H$2),
AND($H$2=Data!$A$8,$K$2=Data!$A$2),SUMIFS(Proventos!$H:$H,Proventos!$D:$D,"&gt;="&amp;CONCATENATE($H$6,"/",B92),Proventos!$D:$D,"&lt;"&amp;CONCATENATE($I$6,"/",B92),Proventos!$J:$J,"="&amp;$H$2),
AND($H$2=Data!$A$9,$K$2=Data!$A$2),SUMIFS(Proventos!$H:$H,Proventos!$D:$D,"&gt;="&amp;CONCATENATE($H$6,"/",B92),Proventos!$D:$D,"&lt;"&amp;CONCATENATE($I$6,"/",B92),Proventos!$J:$J,"="&amp;$H$2),
AND($H$2=Data!$A$10,$K$2=Data!$A$2),SUMIFS(Proventos!$H:$H,Proventos!$D:$D,"&gt;="&amp;CONCATENATE($H$6,"/",B92),Proventos!$D:$D,"&lt;"&amp;CONCATENATE($I$6,"/",B92),Proventos!$J:$J,"="&amp;$H$2),
AND($H$2=Data!$A$11,$K$2=Data!$A$2),SUMIFS(Proventos!$H:$H,Proventos!$D:$D,"&gt;="&amp;CONCATENATE($H$6,"/",B92),Proventos!$D:$D,"&lt;"&amp;CONCATENATE($I$6,"/",B92),Proventos!$J:$J,"="&amp;$H$2),
$K$2=Data!$A$2,SUMIFS(Proventos!$H:$H,Proventos!$D:$D,"&gt;="&amp;CONCATENATE($H$6,"/",B92),Proventos!$D:$D,"&lt;"&amp;CONCATENATE($I$6,"/",B92)),
$K$2&lt;&gt;Data!$A$2,SUMIFS(Proventos!$H:$H,Proventos!$D:$D,"&gt;="&amp;CONCATENATE($H$6,"/",B92),Proventos!$D:$D,"&lt;"&amp;CONCATENATE($I$6,"/",B92),Proventos!$A:$A,"="&amp;$K$2))</f>
        <v>0</v>
      </c>
      <c r="I92" s="245">
        <f>IFS(
AND($H$2=Data!$A$3,$K$2=Data!$A$2),SUMIFS(Proventos!$H:$H,Proventos!$D:$D,"&gt;="&amp;CONCATENATE($I$6,"/",B92),Proventos!$D:$D,"&lt;"&amp;CONCATENATE($J$6,"/",B92),Proventos!$J:$J,"="&amp;$H$2),
AND($H$2=Data!$A$4,$K$2=Data!$A$2),SUMIFS(Proventos!$H:$H,Proventos!$D:$D,"&gt;="&amp;CONCATENATE($I$6,"/",B92),Proventos!$D:$D,"&lt;"&amp;CONCATENATE($J$6,"/",B92),Proventos!$J:$J,"="&amp;$H$2),
AND($H$2=Data!$A$5,$K$2=Data!$A$2),SUMIFS(Proventos!$H:$H,Proventos!$D:$D,"&gt;="&amp;CONCATENATE($I$6,"/",B92),Proventos!$D:$D,"&lt;"&amp;CONCATENATE($J$6,"/",B92),Proventos!$J:$J,"="&amp;$H$2),
AND($H$2=Data!$A$6,$K$2=Data!$A$2),SUMIFS(Proventos!$H:$H,Proventos!$D:$D,"&gt;="&amp;CONCATENATE($I$6,"/",B92),Proventos!$D:$D,"&lt;"&amp;CONCATENATE($J$6,"/",B92),Proventos!$J:$J,"="&amp;$H$2),
AND($H$2=Data!$A$7,$K$2=Data!$A$2),SUMIFS(Proventos!$H:$H,Proventos!$D:$D,"&gt;="&amp;CONCATENATE($I$6,"/",B92),Proventos!$D:$D,"&lt;"&amp;CONCATENATE($J$6,"/",B92),Proventos!$J:$J,"="&amp;$H$2),
AND($H$2=Data!$A$8,$K$2=Data!$A$2),SUMIFS(Proventos!$H:$H,Proventos!$D:$D,"&gt;="&amp;CONCATENATE($I$6,"/",B92),Proventos!$D:$D,"&lt;"&amp;CONCATENATE($J$6,"/",B92),Proventos!$J:$J,"="&amp;$H$2),
AND($H$2=Data!$A$9,$K$2=Data!$A$2),SUMIFS(Proventos!$H:$H,Proventos!$D:$D,"&gt;="&amp;CONCATENATE($I$6,"/",B92),Proventos!$D:$D,"&lt;"&amp;CONCATENATE($J$6,"/",B92),Proventos!$J:$J,"="&amp;$H$2),
AND($H$2=Data!$A$10,$K$2=Data!$A$2),SUMIFS(Proventos!$H:$H,Proventos!$D:$D,"&gt;="&amp;CONCATENATE($I$6,"/",B92),Proventos!$D:$D,"&lt;"&amp;CONCATENATE($J$6,"/",B92),Proventos!$J:$J,"="&amp;$H$2),
AND($H$2=Data!$A$11,$K$2=Data!$A$2),SUMIFS(Proventos!$H:$H,Proventos!$D:$D,"&gt;="&amp;CONCATENATE($I$6,"/",B92),Proventos!$D:$D,"&lt;"&amp;CONCATENATE($J$6,"/",B92),Proventos!$J:$J,"="&amp;$H$2),
$K$2=Data!$A$2,SUMIFS(Proventos!$H:$H,Proventos!$D:$D,"&gt;="&amp;CONCATENATE($I$6,"/",B92),Proventos!$D:$D,"&lt;"&amp;CONCATENATE($J$6,"/",B92)),
$K$2&lt;&gt;Data!$A$2,SUMIFS(Proventos!$H:$H,Proventos!$D:$D,"&gt;="&amp;CONCATENATE($I$6,"/",B92),Proventos!$D:$D,"&lt;"&amp;CONCATENATE($J$6,"/",B92),Proventos!$A:$A,"="&amp;$K$2))</f>
        <v>0</v>
      </c>
      <c r="J92" s="245">
        <f>IFS(
AND($H$2=Data!$A$3,$K$2=Data!$A$2),SUMIFS(Proventos!$H:$H,Proventos!$D:$D,"&gt;="&amp;CONCATENATE($J$6,"/",B92),Proventos!$D:$D,"&lt;"&amp;CONCATENATE($K$6,"/",B92),Proventos!$J:$J,"="&amp;$H$2),
AND($H$2=Data!$A$4,$K$2=Data!$A$2),SUMIFS(Proventos!$H:$H,Proventos!$D:$D,"&gt;="&amp;CONCATENATE($J$6,"/",B92),Proventos!$D:$D,"&lt;"&amp;CONCATENATE($K$6,"/",B92),Proventos!$J:$J,"="&amp;$H$2),
AND($H$2=Data!$A$5,$K$2=Data!$A$2),SUMIFS(Proventos!$H:$H,Proventos!$D:$D,"&gt;="&amp;CONCATENATE($J$6,"/",B92),Proventos!$D:$D,"&lt;"&amp;CONCATENATE($K$6,"/",B92),Proventos!$J:$J,"="&amp;$H$2),
AND($H$2=Data!$A$6,$K$2=Data!$A$2),SUMIFS(Proventos!$H:$H,Proventos!$D:$D,"&gt;="&amp;CONCATENATE($J$6,"/",B92),Proventos!$D:$D,"&lt;"&amp;CONCATENATE($K$6,"/",B92),Proventos!$J:$J,"="&amp;$H$2),
AND($H$2=Data!$A$7,$K$2=Data!$A$2),SUMIFS(Proventos!$H:$H,Proventos!$D:$D,"&gt;="&amp;CONCATENATE($J$6,"/",B92),Proventos!$D:$D,"&lt;"&amp;CONCATENATE($K$6,"/",B92),Proventos!$J:$J,"="&amp;$H$2),
AND($H$2=Data!$A$8,$K$2=Data!$A$2),SUMIFS(Proventos!$H:$H,Proventos!$D:$D,"&gt;="&amp;CONCATENATE($J$6,"/",B92),Proventos!$D:$D,"&lt;"&amp;CONCATENATE($K$6,"/",B92),Proventos!$J:$J,"="&amp;$H$2),
AND($H$2=Data!$A$9,$K$2=Data!$A$2),SUMIFS(Proventos!$H:$H,Proventos!$D:$D,"&gt;="&amp;CONCATENATE($J$6,"/",B92),Proventos!$D:$D,"&lt;"&amp;CONCATENATE($K$6,"/",B92),Proventos!$J:$J,"="&amp;$H$2),
AND($H$2=Data!$A$10,$K$2=Data!$A$2),SUMIFS(Proventos!$H:$H,Proventos!$D:$D,"&gt;="&amp;CONCATENATE($J$6,"/",B92),Proventos!$D:$D,"&lt;"&amp;CONCATENATE($K$6,"/",B92),Proventos!$J:$J,"="&amp;$H$2),
AND($H$2=Data!$A$11,$K$2=Data!$A$2),SUMIFS(Proventos!$H:$H,Proventos!$D:$D,"&gt;="&amp;CONCATENATE($J$6,"/",B92),Proventos!$D:$D,"&lt;"&amp;CONCATENATE($K$6,"/",B92),Proventos!$J:$J,"="&amp;$H$2),
$K$2=Data!$A$2,SUMIFS(Proventos!$H:$H,Proventos!$D:$D,"&gt;="&amp;CONCATENATE($J$6,"/",B92),Proventos!$D:$D,"&lt;"&amp;CONCATENATE($K$6,"/",B92)),
$K$2&lt;&gt;Data!$A$2,SUMIFS(Proventos!$H:$H,Proventos!$D:$D,"&gt;="&amp;CONCATENATE($J$6,"/",B92),Proventos!$D:$D,"&lt;"&amp;CONCATENATE($K$6,"/",B92),Proventos!$A:$A,"="&amp;$K$2))</f>
        <v>0</v>
      </c>
      <c r="K92" s="245">
        <f>IFS(
AND($H$2=Data!$A$3,$K$2=Data!$A$2),SUMIFS(Proventos!$H:$H,Proventos!$D:$D,"&gt;="&amp;CONCATENATE($K$6,"/",B92),Proventos!$D:$D,"&lt;"&amp;CONCATENATE($L$6,"/",B92),Proventos!$J:$J,"="&amp;$H$2),
AND($H$2=Data!$A$4,$K$2=Data!$A$2),SUMIFS(Proventos!$H:$H,Proventos!$D:$D,"&gt;="&amp;CONCATENATE($K$6,"/",B92),Proventos!$D:$D,"&lt;"&amp;CONCATENATE($L$6,"/",B92),Proventos!$J:$J,"="&amp;$H$2),
AND($H$2=Data!$A$5,$K$2=Data!$A$2),SUMIFS(Proventos!$H:$H,Proventos!$D:$D,"&gt;="&amp;CONCATENATE($K$6,"/",B92),Proventos!$D:$D,"&lt;"&amp;CONCATENATE($L$6,"/",B92),Proventos!$J:$J,"="&amp;$H$2),
AND($H$2=Data!$A$6,$K$2=Data!$A$2),SUMIFS(Proventos!$H:$H,Proventos!$D:$D,"&gt;="&amp;CONCATENATE($K$6,"/",B92),Proventos!$D:$D,"&lt;"&amp;CONCATENATE($L$6,"/",B92),Proventos!$J:$J,"="&amp;$H$2),
AND($H$2=Data!$A$7,$K$2=Data!$A$2),SUMIFS(Proventos!$H:$H,Proventos!$D:$D,"&gt;="&amp;CONCATENATE($K$6,"/",B92),Proventos!$D:$D,"&lt;"&amp;CONCATENATE($L$6,"/",B92),Proventos!$J:$J,"="&amp;$H$2),
AND($H$2=Data!$A$8,$K$2=Data!$A$2),SUMIFS(Proventos!$H:$H,Proventos!$D:$D,"&gt;="&amp;CONCATENATE($K$6,"/",B92),Proventos!$D:$D,"&lt;"&amp;CONCATENATE($L$6,"/",B92),Proventos!$J:$J,"="&amp;$H$2),
AND($H$2=Data!$A$9,$K$2=Data!$A$2),SUMIFS(Proventos!$H:$H,Proventos!$D:$D,"&gt;="&amp;CONCATENATE($K$6,"/",B92),Proventos!$D:$D,"&lt;"&amp;CONCATENATE($L$6,"/",B92),Proventos!$J:$J,"="&amp;$H$2),
AND($H$2=Data!$A$10,$K$2=Data!$A$2),SUMIFS(Proventos!$H:$H,Proventos!$D:$D,"&gt;="&amp;CONCATENATE($K$6,"/",B92),Proventos!$D:$D,"&lt;"&amp;CONCATENATE($L$6,"/",B92),Proventos!$J:$J,"="&amp;$H$2),
AND($H$2=Data!$A$11,$K$2=Data!$A$2),SUMIFS(Proventos!$H:$H,Proventos!$D:$D,"&gt;="&amp;CONCATENATE($K$6,"/",B92),Proventos!$D:$D,"&lt;"&amp;CONCATENATE($L$6,"/",B92),Proventos!$J:$J,"="&amp;$H$2),
$K$2=Data!$A$2,SUMIFS(Proventos!$H:$H,Proventos!$D:$D,"&gt;="&amp;CONCATENATE($K$6,"/",B92),Proventos!$D:$D,"&lt;"&amp;CONCATENATE($L$6,"/",B92)),
$K$2&lt;&gt;Data!$A$2,SUMIFS(Proventos!$H:$H,Proventos!$D:$D,"&gt;="&amp;CONCATENATE($K$6,"/",B92),Proventos!$D:$D,"&lt;"&amp;CONCATENATE($L$6,"/",B92),Proventos!$A:$A,"="&amp;$K$2))</f>
        <v>0</v>
      </c>
      <c r="L92" s="245">
        <f>IFS(
AND($H$2=Data!$A$3,$K$2=Data!$A$2),SUMIFS(Proventos!$H:$H,Proventos!$D:$D,"&gt;="&amp;CONCATENATE($L$6,"/",B92),Proventos!$D:$D,"&lt;"&amp;CONCATENATE($M$6,"/",B92),Proventos!$J:$J,"="&amp;$H$2),
AND($H$2=Data!$A$4,$K$2=Data!$A$2),SUMIFS(Proventos!$H:$H,Proventos!$D:$D,"&gt;="&amp;CONCATENATE($L$6,"/",B92),Proventos!$D:$D,"&lt;"&amp;CONCATENATE($M$6,"/",B92),Proventos!$J:$J,"="&amp;$H$2),
AND($H$2=Data!$A$5,$K$2=Data!$A$2),SUMIFS(Proventos!$H:$H,Proventos!$D:$D,"&gt;="&amp;CONCATENATE($L$6,"/",B92),Proventos!$D:$D,"&lt;"&amp;CONCATENATE($M$6,"/",B92),Proventos!$J:$J,"="&amp;$H$2),
AND($H$2=Data!$A$6,$K$2=Data!$A$2),SUMIFS(Proventos!$H:$H,Proventos!$D:$D,"&gt;="&amp;CONCATENATE($L$6,"/",B92),Proventos!$D:$D,"&lt;"&amp;CONCATENATE($M$6,"/",B92),Proventos!$J:$J,"="&amp;$H$2),
AND($H$2=Data!$A$7,$K$2=Data!$A$2),SUMIFS(Proventos!$H:$H,Proventos!$D:$D,"&gt;="&amp;CONCATENATE($L$6,"/",B92),Proventos!$D:$D,"&lt;"&amp;CONCATENATE($M$6,"/",B92),Proventos!$J:$J,"="&amp;$H$2),
AND($H$2=Data!$A$8,$K$2=Data!$A$2),SUMIFS(Proventos!$H:$H,Proventos!$D:$D,"&gt;="&amp;CONCATENATE($L$6,"/",B92),Proventos!$D:$D,"&lt;"&amp;CONCATENATE($M$6,"/",B92),Proventos!$J:$J,"="&amp;$H$2),
AND($H$2=Data!$A$9,$K$2=Data!$A$2),SUMIFS(Proventos!$H:$H,Proventos!$D:$D,"&gt;="&amp;CONCATENATE($L$6,"/",B92),Proventos!$D:$D,"&lt;"&amp;CONCATENATE($M$6,"/",B92),Proventos!$J:$J,"="&amp;$H$2),
AND($H$2=Data!$A$10,$K$2=Data!$A$2),SUMIFS(Proventos!$H:$H,Proventos!$D:$D,"&gt;="&amp;CONCATENATE($L$6,"/",B92),Proventos!$D:$D,"&lt;"&amp;CONCATENATE($M$6,"/",B92),Proventos!$J:$J,"="&amp;$H$2),
AND($H$2=Data!$A$11,$K$2=Data!$A$2),SUMIFS(Proventos!$H:$H,Proventos!$D:$D,"&gt;="&amp;CONCATENATE($L$6,"/",B92),Proventos!$D:$D,"&lt;"&amp;CONCATENATE($M$6,"/",B92),Proventos!$J:$J,"="&amp;$H$2),
$K$2=Data!$A$2,SUMIFS(Proventos!$H:$H,Proventos!$D:$D,"&gt;="&amp;CONCATENATE($L$6,"/",B92),Proventos!$D:$D,"&lt;"&amp;CONCATENATE($M$6,"/",B92)),
$K$2&lt;&gt;Data!$A$2,SUMIFS(Proventos!$H:$H,Proventos!$D:$D,"&gt;="&amp;CONCATENATE($L$6,"/",B92),Proventos!$D:$D,"&lt;"&amp;CONCATENATE($M$6,"/",B92),Proventos!$A:$A,"="&amp;$K$2))</f>
        <v>0</v>
      </c>
      <c r="M92" s="245">
        <f>IFS(
AND($H$2=Data!$A$3,$K$2=Data!$A$2),SUMIFS(Proventos!$H:$H,Proventos!$D:$D,"&gt;="&amp;CONCATENATE($M$6,"/",B92),Proventos!$D:$D,"&lt;"&amp;CONCATENATE($N$6,"/",B92),Proventos!$J:$J,"="&amp;$H$2),
AND($H$2=Data!$A$4,$K$2=Data!$A$2),SUMIFS(Proventos!$H:$H,Proventos!$D:$D,"&gt;="&amp;CONCATENATE($M$6,"/",B92),Proventos!$D:$D,"&lt;"&amp;CONCATENATE($N$6,"/",B92),Proventos!$J:$J,"="&amp;$H$2),
AND($H$2=Data!$A$5,$K$2=Data!$A$2),SUMIFS(Proventos!$H:$H,Proventos!$D:$D,"&gt;="&amp;CONCATENATE($M$6,"/",B92),Proventos!$D:$D,"&lt;"&amp;CONCATENATE($N$6,"/",B92),Proventos!$J:$J,"="&amp;$H$2),
AND($H$2=Data!$A$6,$K$2=Data!$A$2),SUMIFS(Proventos!$H:$H,Proventos!$D:$D,"&gt;="&amp;CONCATENATE($M$6,"/",B92),Proventos!$D:$D,"&lt;"&amp;CONCATENATE($N$6,"/",B92),Proventos!$J:$J,"="&amp;$H$2),
AND($H$2=Data!$A$7,$K$2=Data!$A$2),SUMIFS(Proventos!$H:$H,Proventos!$D:$D,"&gt;="&amp;CONCATENATE($M$6,"/",B92),Proventos!$D:$D,"&lt;"&amp;CONCATENATE($N$6,"/",B92),Proventos!$J:$J,"="&amp;$H$2),
AND($H$2=Data!$A$8,$K$2=Data!$A$2),SUMIFS(Proventos!$H:$H,Proventos!$D:$D,"&gt;="&amp;CONCATENATE($M$6,"/",B92),Proventos!$D:$D,"&lt;"&amp;CONCATENATE($N$6,"/",B92),Proventos!$J:$J,"="&amp;$H$2),
AND($H$2=Data!$A$9,$K$2=Data!$A$2),SUMIFS(Proventos!$H:$H,Proventos!$D:$D,"&gt;="&amp;CONCATENATE($M$6,"/",B92),Proventos!$D:$D,"&lt;"&amp;CONCATENATE($N$6,"/",B92),Proventos!$J:$J,"="&amp;$H$2),
AND($H$2=Data!$A$10,$K$2=Data!$A$2),SUMIFS(Proventos!$H:$H,Proventos!$D:$D,"&gt;="&amp;CONCATENATE($M$6,"/",B92),Proventos!$D:$D,"&lt;"&amp;CONCATENATE($N$6,"/",B92),Proventos!$J:$J,"="&amp;$H$2),
AND($H$2=Data!$A$11,$K$2=Data!$A$2),SUMIFS(Proventos!$H:$H,Proventos!$D:$D,"&gt;="&amp;CONCATENATE($M$6,"/",B92),Proventos!$D:$D,"&lt;"&amp;CONCATENATE($N$6,"/",B92),Proventos!$J:$J,"="&amp;$H$2),
$K$2=Data!$A$2,SUMIFS(Proventos!$H:$H,Proventos!$D:$D,"&gt;="&amp;CONCATENATE($M$6,"/",B92),Proventos!$D:$D,"&lt;"&amp;CONCATENATE($N$6,"/",B92)),
$K$2&lt;&gt;Data!$A$2,SUMIFS(Proventos!$H:$H,Proventos!$D:$D,"&gt;="&amp;CONCATENATE($M$6,"/",B92),Proventos!$D:$D,"&lt;"&amp;CONCATENATE($N$6,"/",B92),Proventos!$A:$A,"="&amp;$K$2))</f>
        <v>0</v>
      </c>
      <c r="N92" s="245">
        <f>IFS(
AND($H$2=Data!$A$3,$K$2=Data!$A$2),SUMIFS(Proventos!$H:$H,Proventos!$D:$D,"&gt;="&amp;CONCATENATE($N$6,"/",B92),Proventos!$D:$D,"&lt;"&amp;CONCATENATE($C$6,"/",B93),Proventos!$J:$J,"="&amp;$H$2),
AND($H$2=Data!$A$4,$K$2=Data!$A$2),SUMIFS(Proventos!$H:$H,Proventos!$D:$D,"&gt;="&amp;CONCATENATE($N$6,"/",B92),Proventos!$D:$D,"&lt;"&amp;CONCATENATE($C$6,"/",B93),Proventos!$J:$J,"="&amp;$H$2),
AND($H$2=Data!$A$5,$K$2=Data!$A$2),SUMIFS(Proventos!$H:$H,Proventos!$D:$D,"&gt;="&amp;CONCATENATE($N$6,"/",B92),Proventos!$D:$D,"&lt;"&amp;CONCATENATE($C$6,"/",B93),Proventos!$J:$J,"="&amp;$H$2),
AND($H$2=Data!$A$6,$K$2=Data!$A$2),SUMIFS(Proventos!$H:$H,Proventos!$D:$D,"&gt;="&amp;CONCATENATE($N$6,"/",B92),Proventos!$D:$D,"&lt;"&amp;CONCATENATE($C$6,"/",B93),Proventos!$J:$J,"="&amp;$H$2),
AND($H$2=Data!$A$7,$K$2=Data!$A$2),SUMIFS(Proventos!$H:$H,Proventos!$D:$D,"&gt;="&amp;CONCATENATE($N$6,"/",B92),Proventos!$D:$D,"&lt;"&amp;CONCATENATE($C$6,"/",B93),Proventos!$J:$J,"="&amp;$H$2),
AND($H$2=Data!$A$8,$K$2=Data!$A$2),SUMIFS(Proventos!$H:$H,Proventos!$D:$D,"&gt;="&amp;CONCATENATE($N$6,"/",B92),Proventos!$D:$D,"&lt;"&amp;CONCATENATE($C$6,"/",B93),Proventos!$J:$J,"="&amp;$H$2),
AND($H$2=Data!$A$9,$K$2=Data!$A$2),SUMIFS(Proventos!$H:$H,Proventos!$D:$D,"&gt;="&amp;CONCATENATE($N$6,"/",B92),Proventos!$D:$D,"&lt;"&amp;CONCATENATE($C$6,"/",B93),Proventos!$J:$J,"="&amp;$H$2),
AND($H$2=Data!$A$10,$K$2=Data!$A$2),SUMIFS(Proventos!$H:$H,Proventos!$D:$D,"&gt;="&amp;CONCATENATE($N$6,"/",B92),Proventos!$D:$D,"&lt;"&amp;CONCATENATE($C$6,"/",B93),Proventos!$J:$J,"="&amp;$H$2),
AND($H$2=Data!$A$11,$K$2=Data!$A$2),SUMIFS(Proventos!$H:$H,Proventos!$D:$D,"&gt;="&amp;CONCATENATE($N$6,"/",B92),Proventos!$D:$D,"&lt;"&amp;CONCATENATE($C$6,"/",B93),Proventos!$J:$J,"="&amp;$H$2),
$K$2=Data!$A$2,SUMIFS(Proventos!$H:$H,Proventos!$D:$D,"&gt;="&amp;CONCATENATE($N$6,"/",B92),Proventos!$D:$D,"&lt;"&amp;CONCATENATE($C$6,"/",B93)),
$K$2&lt;&gt;Data!$A$2,SUMIFS(Proventos!$H:$H,Proventos!$D:$D,"&gt;="&amp;CONCATENATE($N$6,"/",B92),Proventos!$D:$D,"&lt;"&amp;CONCATENATE($C$6,"/",B93),Proventos!$A:$A,"="&amp;$K$2))</f>
        <v>0</v>
      </c>
      <c r="O92" s="245"/>
      <c r="P92" s="245">
        <f t="shared" si="1"/>
        <v>0</v>
      </c>
      <c r="Q92" s="245">
        <f t="shared" si="2"/>
        <v>0</v>
      </c>
    </row>
    <row r="93" ht="32.25" customHeight="1">
      <c r="A93" s="230"/>
      <c r="B93" s="244"/>
      <c r="C93" s="245">
        <f>IFS(
AND($H$2=Data!$A$3,$K$2=Data!$A$2),SUMIFS(Proventos!$H:$H,Proventos!$D:$D,"&gt;="&amp;CONCATENATE($C$6,"/",B93),Proventos!$D:$D,"&lt;"&amp;CONCATENATE($D$6,"/",B93),Proventos!$J:$J,"="&amp;$H$2),
AND($H$2=Data!$A$4,$K$2=Data!$A$2),SUMIFS(Proventos!$H:$H,Proventos!$D:$D,"&gt;="&amp;CONCATENATE($C$6,"/",B93),Proventos!$D:$D,"&lt;"&amp;CONCATENATE($D$6,"/",B93),Proventos!$J:$J,"="&amp;$H$2),
AND($H$2=Data!$A$5,$K$2=Data!$A$2),SUMIFS(Proventos!$H:$H,Proventos!$D:$D,"&gt;="&amp;CONCATENATE($C$6,"/",B93),Proventos!$D:$D,"&lt;"&amp;CONCATENATE($D$6,"/",B93),Proventos!$J:$J,"="&amp;$H$2),
AND($H$2=Data!$A$6,$K$2=Data!$A$2),SUMIFS(Proventos!$H:$H,Proventos!$D:$D,"&gt;="&amp;CONCATENATE($C$6,"/",B93),Proventos!$D:$D,"&lt;"&amp;CONCATENATE($D$6,"/",B93),Proventos!$J:$J,"="&amp;$H$2),
AND($H$2=Data!$A$7,$K$2=Data!$A$2),SUMIFS(Proventos!$H:$H,Proventos!$D:$D,"&gt;="&amp;CONCATENATE($C$6,"/",B93),Proventos!$D:$D,"&lt;"&amp;CONCATENATE($D$6,"/",B93),Proventos!$J:$J,"="&amp;$H$2),
AND($H$2=Data!$A$8,$K$2=Data!$A$2),SUMIFS(Proventos!$H:$H,Proventos!$D:$D,"&gt;="&amp;CONCATENATE($C$6,"/",B93),Proventos!$D:$D,"&lt;"&amp;CONCATENATE($D$6,"/",B93),Proventos!$J:$J,"="&amp;$H$2),
AND($H$2=Data!$A$9,$K$2=Data!$A$2),SUMIFS(Proventos!$H:$H,Proventos!$D:$D,"&gt;="&amp;CONCATENATE($C$6,"/",B93),Proventos!$D:$D,"&lt;"&amp;CONCATENATE($D$6,"/",B93),Proventos!$J:$J,"="&amp;$H$2),
AND($H$2=Data!$A$10,$K$2=Data!$A$2),SUMIFS(Proventos!$H:$H,Proventos!$D:$D,"&gt;="&amp;CONCATENATE($C$6,"/",B93),Proventos!$D:$D,"&lt;"&amp;CONCATENATE($D$6,"/",B93),Proventos!$J:$J,"="&amp;$H$2),
AND($H$2=Data!$A$11,$K$2=Data!$A$2),SUMIFS(Proventos!$H:$H,Proventos!$D:$D,"&gt;="&amp;CONCATENATE($C$6,"/",B93),Proventos!$D:$D,"&lt;"&amp;CONCATENATE($D$6,"/",B93),Proventos!$J:$J,"="&amp;$H$2),
$K$2=Data!$A$2,SUMIFS(Proventos!$H:$H,Proventos!$D:$D,"&gt;="&amp;CONCATENATE($C$6,"/",B93),Proventos!$D:$D,"&lt;"&amp;CONCATENATE($D$6,"/",B93)),
$K$2&lt;&gt;Data!$A$2,SUMIFS(Proventos!$H:$H,Proventos!$D:$D,"&gt;="&amp;CONCATENATE($C$6,"/",B93),Proventos!$D:$D,"&lt;"&amp;CONCATENATE($D$6,"/",B93),Proventos!$A:$A,"="&amp;$K$2))</f>
        <v>0</v>
      </c>
      <c r="D93" s="245">
        <f>IFS(
AND($H$2=Data!$A$3,$K$2=Data!$A$2),SUMIFS(Proventos!$H:$H,Proventos!$D:$D,"&gt;="&amp;CONCATENATE($D$6,"/",B93),Proventos!$D:$D,"&lt;"&amp;CONCATENATE($E$6,"/",B93),Proventos!$J:$J,"="&amp;$H$2),
AND($H$2=Data!$A$4,$K$2=Data!$A$2),SUMIFS(Proventos!$H:$H,Proventos!$D:$D,"&gt;="&amp;CONCATENATE($D$6,"/",B93),Proventos!$D:$D,"&lt;"&amp;CONCATENATE($E$6,"/",B93),Proventos!$J:$J,"="&amp;$H$2),
AND($H$2=Data!$A$5,$K$2=Data!$A$2),SUMIFS(Proventos!$H:$H,Proventos!$D:$D,"&gt;="&amp;CONCATENATE($D$6,"/",B93),Proventos!$D:$D,"&lt;"&amp;CONCATENATE($E$6,"/",B93),Proventos!$J:$J,"="&amp;$H$2),
AND($H$2=Data!$A$6,$K$2=Data!$A$2),SUMIFS(Proventos!$H:$H,Proventos!$D:$D,"&gt;="&amp;CONCATENATE($D$6,"/",B93),Proventos!$D:$D,"&lt;"&amp;CONCATENATE($E$6,"/",B93),Proventos!$J:$J,"="&amp;$H$2),
AND($H$2=Data!$A$7,$K$2=Data!$A$2),SUMIFS(Proventos!$H:$H,Proventos!$D:$D,"&gt;="&amp;CONCATENATE($D$6,"/",B93),Proventos!$D:$D,"&lt;"&amp;CONCATENATE($E$6,"/",B93),Proventos!$J:$J,"="&amp;$H$2),
AND($H$2=Data!$A$8,$K$2=Data!$A$2),SUMIFS(Proventos!$H:$H,Proventos!$D:$D,"&gt;="&amp;CONCATENATE($D$6,"/",B93),Proventos!$D:$D,"&lt;"&amp;CONCATENATE($E$6,"/",B93),Proventos!$J:$J,"="&amp;$H$2),
AND($H$2=Data!$A$9,$K$2=Data!$A$2),SUMIFS(Proventos!$H:$H,Proventos!$D:$D,"&gt;="&amp;CONCATENATE($D$6,"/",B93),Proventos!$D:$D,"&lt;"&amp;CONCATENATE($E$6,"/",B93),Proventos!$J:$J,"="&amp;$H$2),
AND($H$2=Data!$A$10,$K$2=Data!$A$2),SUMIFS(Proventos!$H:$H,Proventos!$D:$D,"&gt;="&amp;CONCATENATE($D$6,"/",B93),Proventos!$D:$D,"&lt;"&amp;CONCATENATE($E$6,"/",B93),Proventos!$J:$J,"="&amp;$H$2),
AND($H$2=Data!$A$11,$K$2=Data!$A$2),SUMIFS(Proventos!$H:$H,Proventos!$D:$D,"&gt;="&amp;CONCATENATE($D$6,"/",B93),Proventos!$D:$D,"&lt;"&amp;CONCATENATE($E$6,"/",B93),Proventos!$J:$J,"="&amp;$H$2),
$K$2=Data!$A$2,SUMIFS(Proventos!$H:$H,Proventos!$D:$D,"&gt;="&amp;CONCATENATE($D$6,"/",B93),Proventos!$D:$D,"&lt;"&amp;CONCATENATE($E$6,"/",B93)),
$K$2&lt;&gt;Data!$A$2,SUMIFS(Proventos!$H:$H,Proventos!$D:$D,"&gt;="&amp;CONCATENATE($D$6,"/",B93),Proventos!$D:$D,"&lt;"&amp;CONCATENATE($E$6,"/",B93),Proventos!$A:$A,"="&amp;$K$2))</f>
        <v>0</v>
      </c>
      <c r="E93" s="245">
        <f>IFS(
AND($H$2=Data!$A$3,$K$2=Data!$A$2),SUMIFS(Proventos!$H:$H,Proventos!$D:$D,"&gt;="&amp;CONCATENATE($E$6,"/",B93),Proventos!$D:$D,"&lt;"&amp;CONCATENATE($F$6,"/",B93),Proventos!$J:$J,"="&amp;$H$2),
AND($H$2=Data!$A$4,$K$2=Data!$A$2),SUMIFS(Proventos!$H:$H,Proventos!$D:$D,"&gt;="&amp;CONCATENATE($E$6,"/",B93),Proventos!$D:$D,"&lt;"&amp;CONCATENATE($F$6,"/",B93),Proventos!$J:$J,"="&amp;$H$2),
AND($H$2=Data!$A$5,$K$2=Data!$A$2),SUMIFS(Proventos!$H:$H,Proventos!$D:$D,"&gt;="&amp;CONCATENATE($E$6,"/",B93),Proventos!$D:$D,"&lt;"&amp;CONCATENATE($F$6,"/",B93),Proventos!$J:$J,"="&amp;$H$2),
AND($H$2=Data!$A$6,$K$2=Data!$A$2),SUMIFS(Proventos!$H:$H,Proventos!$D:$D,"&gt;="&amp;CONCATENATE($E$6,"/",B93),Proventos!$D:$D,"&lt;"&amp;CONCATENATE($F$6,"/",B93),Proventos!$J:$J,"="&amp;$H$2),
AND($H$2=Data!$A$7,$K$2=Data!$A$2),SUMIFS(Proventos!$H:$H,Proventos!$D:$D,"&gt;="&amp;CONCATENATE($E$6,"/",B93),Proventos!$D:$D,"&lt;"&amp;CONCATENATE($F$6,"/",B93),Proventos!$J:$J,"="&amp;$H$2),
AND($H$2=Data!$A$8,$K$2=Data!$A$2),SUMIFS(Proventos!$H:$H,Proventos!$D:$D,"&gt;="&amp;CONCATENATE($E$6,"/",B93),Proventos!$D:$D,"&lt;"&amp;CONCATENATE($F$6,"/",B93),Proventos!$J:$J,"="&amp;$H$2),
AND($H$2=Data!$A$9,$K$2=Data!$A$2),SUMIFS(Proventos!$H:$H,Proventos!$D:$D,"&gt;="&amp;CONCATENATE($E$6,"/",B93),Proventos!$D:$D,"&lt;"&amp;CONCATENATE($F$6,"/",B93),Proventos!$J:$J,"="&amp;$H$2),
AND($H$2=Data!$A$10,$K$2=Data!$A$2),SUMIFS(Proventos!$H:$H,Proventos!$D:$D,"&gt;="&amp;CONCATENATE($E$6,"/",B93),Proventos!$D:$D,"&lt;"&amp;CONCATENATE($F$6,"/",B93),Proventos!$J:$J,"="&amp;$H$2),
AND($H$2=Data!$A$11,$K$2=Data!$A$2),SUMIFS(Proventos!$H:$H,Proventos!$D:$D,"&gt;="&amp;CONCATENATE($E$6,"/",B93),Proventos!$D:$D,"&lt;"&amp;CONCATENATE($F$6,"/",B93),Proventos!$J:$J,"="&amp;$H$2),
$K$2=Data!$A$2,SUMIFS(Proventos!$H:$H,Proventos!$D:$D,"&gt;="&amp;CONCATENATE($E$6,"/",B93),Proventos!$D:$D,"&lt;"&amp;CONCATENATE($F$6,"/",B93)),
$K$2&lt;&gt;Data!$A$2,SUMIFS(Proventos!$H:$H,Proventos!$D:$D,"&gt;="&amp;CONCATENATE($E$6,"/",B93),Proventos!$D:$D,"&lt;"&amp;CONCATENATE($F$6,"/",B93),Proventos!$A:$A,"="&amp;$K$2))</f>
        <v>0</v>
      </c>
      <c r="F93" s="245">
        <f>IFS(
AND($H$2=Data!$A$3,$K$2=Data!$A$2),SUMIFS(Proventos!$H:$H,Proventos!$D:$D,"&gt;="&amp;CONCATENATE($F$6,"/",B93),Proventos!$D:$D,"&lt;"&amp;CONCATENATE($G$6,"/",B93),Proventos!$J:$J,"="&amp;$H$2),
AND($H$2=Data!$A$4,$K$2=Data!$A$2),SUMIFS(Proventos!$H:$H,Proventos!$D:$D,"&gt;="&amp;CONCATENATE($F$6,"/",B93),Proventos!$D:$D,"&lt;"&amp;CONCATENATE($G$6,"/",B93),Proventos!$J:$J,"="&amp;$H$2),
AND($H$2=Data!$A$5,$K$2=Data!$A$2),SUMIFS(Proventos!$H:$H,Proventos!$D:$D,"&gt;="&amp;CONCATENATE($F$6,"/",B93),Proventos!$D:$D,"&lt;"&amp;CONCATENATE($G$6,"/",B93),Proventos!$J:$J,"="&amp;$H$2),
AND($H$2=Data!$A$6,$K$2=Data!$A$2),SUMIFS(Proventos!$H:$H,Proventos!$D:$D,"&gt;="&amp;CONCATENATE($F$6,"/",B93),Proventos!$D:$D,"&lt;"&amp;CONCATENATE($G$6,"/",B93),Proventos!$J:$J,"="&amp;$H$2),
AND($H$2=Data!$A$7,$K$2=Data!$A$2),SUMIFS(Proventos!$H:$H,Proventos!$D:$D,"&gt;="&amp;CONCATENATE($F$6,"/",B93),Proventos!$D:$D,"&lt;"&amp;CONCATENATE($G$6,"/",B93),Proventos!$J:$J,"="&amp;$H$2),
AND($H$2=Data!$A$8,$K$2=Data!$A$2),SUMIFS(Proventos!$H:$H,Proventos!$D:$D,"&gt;="&amp;CONCATENATE($F$6,"/",B93),Proventos!$D:$D,"&lt;"&amp;CONCATENATE($G$6,"/",B93),Proventos!$J:$J,"="&amp;$H$2),
AND($H$2=Data!$A$9,$K$2=Data!$A$2),SUMIFS(Proventos!$H:$H,Proventos!$D:$D,"&gt;="&amp;CONCATENATE($F$6,"/",B93),Proventos!$D:$D,"&lt;"&amp;CONCATENATE($G$6,"/",B93),Proventos!$J:$J,"="&amp;$H$2),
AND($H$2=Data!$A$10,$K$2=Data!$A$2),SUMIFS(Proventos!$H:$H,Proventos!$D:$D,"&gt;="&amp;CONCATENATE($F$6,"/",B93),Proventos!$D:$D,"&lt;"&amp;CONCATENATE($G$6,"/",B93),Proventos!$J:$J,"="&amp;$H$2),
AND($H$2=Data!$A$11,$K$2=Data!$A$2),SUMIFS(Proventos!$H:$H,Proventos!$D:$D,"&gt;="&amp;CONCATENATE($F$6,"/",B93),Proventos!$D:$D,"&lt;"&amp;CONCATENATE($G$6,"/",B93),Proventos!$J:$J,"="&amp;$H$2),
$K$2=Data!$A$2,SUMIFS(Proventos!$H:$H,Proventos!$D:$D,"&gt;="&amp;CONCATENATE($F$6,"/",B93),Proventos!$D:$D,"&lt;"&amp;CONCATENATE($G$6,"/",B93)),
$K$2&lt;&gt;Data!$A$2,SUMIFS(Proventos!$H:$H,Proventos!$D:$D,"&gt;="&amp;CONCATENATE($F$6,"/",B93),Proventos!$D:$D,"&lt;"&amp;CONCATENATE($G$6,"/",B93),Proventos!$A:$A,"="&amp;$K$2))</f>
        <v>0</v>
      </c>
      <c r="G93" s="245">
        <f>IFS(
AND($H$2=Data!$A$3,$K$2=Data!$A$2),SUMIFS(Proventos!$H:$H,Proventos!$D:$D,"&gt;="&amp;CONCATENATE($G$6,"/",B93),Proventos!$D:$D,"&lt;"&amp;CONCATENATE($H$6,"/",B93),Proventos!$J:$J,"="&amp;$H$2),
AND($H$2=Data!$A$4,$K$2=Data!$A$2),SUMIFS(Proventos!$H:$H,Proventos!$D:$D,"&gt;="&amp;CONCATENATE($G$6,"/",B93),Proventos!$D:$D,"&lt;"&amp;CONCATENATE($H$6,"/",B93),Proventos!$J:$J,"="&amp;$H$2),
AND($H$2=Data!$A$5,$K$2=Data!$A$2),SUMIFS(Proventos!$H:$H,Proventos!$D:$D,"&gt;="&amp;CONCATENATE($G$6,"/",B93),Proventos!$D:$D,"&lt;"&amp;CONCATENATE($H$6,"/",B93),Proventos!$J:$J,"="&amp;$H$2),
AND($H$2=Data!$A$6,$K$2=Data!$A$2),SUMIFS(Proventos!$H:$H,Proventos!$D:$D,"&gt;="&amp;CONCATENATE($G$6,"/",B93),Proventos!$D:$D,"&lt;"&amp;CONCATENATE($H$6,"/",B93),Proventos!$J:$J,"="&amp;$H$2),
AND($H$2=Data!$A$7,$K$2=Data!$A$2),SUMIFS(Proventos!$H:$H,Proventos!$D:$D,"&gt;="&amp;CONCATENATE($G$6,"/",B93),Proventos!$D:$D,"&lt;"&amp;CONCATENATE($H$6,"/",B93),Proventos!$J:$J,"="&amp;$H$2),
AND($H$2=Data!$A$8,$K$2=Data!$A$2),SUMIFS(Proventos!$H:$H,Proventos!$D:$D,"&gt;="&amp;CONCATENATE($G$6,"/",B93),Proventos!$D:$D,"&lt;"&amp;CONCATENATE($H$6,"/",B93),Proventos!$J:$J,"="&amp;$H$2),
AND($H$2=Data!$A$9,$K$2=Data!$A$2),SUMIFS(Proventos!$H:$H,Proventos!$D:$D,"&gt;="&amp;CONCATENATE($G$6,"/",B93),Proventos!$D:$D,"&lt;"&amp;CONCATENATE($H$6,"/",B93),Proventos!$J:$J,"="&amp;$H$2),
AND($H$2=Data!$A$10,$K$2=Data!$A$2),SUMIFS(Proventos!$H:$H,Proventos!$D:$D,"&gt;="&amp;CONCATENATE($G$6,"/",B93),Proventos!$D:$D,"&lt;"&amp;CONCATENATE($H$6,"/",B93),Proventos!$J:$J,"="&amp;$H$2),
AND($H$2=Data!$A$11,$K$2=Data!$A$2),SUMIFS(Proventos!$H:$H,Proventos!$D:$D,"&gt;="&amp;CONCATENATE($G$6,"/",B93),Proventos!$D:$D,"&lt;"&amp;CONCATENATE($H$6,"/",B93),Proventos!$J:$J,"="&amp;$H$2),
$K$2=Data!$A$2,SUMIFS(Proventos!$H:$H,Proventos!$D:$D,"&gt;="&amp;CONCATENATE($G$6,"/",B93),Proventos!$D:$D,"&lt;"&amp;CONCATENATE($H$6,"/",B93)),
$K$2&lt;&gt;Data!$A$2,SUMIFS(Proventos!$H:$H,Proventos!$D:$D,"&gt;="&amp;CONCATENATE($G$6,"/",B93),Proventos!$D:$D,"&lt;"&amp;CONCATENATE($H$6,"/",B93),Proventos!$A:$A,"="&amp;$K$2))</f>
        <v>0</v>
      </c>
      <c r="H93" s="245">
        <f>IFS(
AND($H$2=Data!$A$3,$K$2=Data!$A$2),SUMIFS(Proventos!$H:$H,Proventos!$D:$D,"&gt;="&amp;CONCATENATE($H$6,"/",B93),Proventos!$D:$D,"&lt;"&amp;CONCATENATE($I$6,"/",B93),Proventos!$J:$J,"="&amp;$H$2),
AND($H$2=Data!$A$4,$K$2=Data!$A$2),SUMIFS(Proventos!$H:$H,Proventos!$D:$D,"&gt;="&amp;CONCATENATE($H$6,"/",B93),Proventos!$D:$D,"&lt;"&amp;CONCATENATE($I$6,"/",B93),Proventos!$J:$J,"="&amp;$H$2),
AND($H$2=Data!$A$5,$K$2=Data!$A$2),SUMIFS(Proventos!$H:$H,Proventos!$D:$D,"&gt;="&amp;CONCATENATE($H$6,"/",B93),Proventos!$D:$D,"&lt;"&amp;CONCATENATE($I$6,"/",B93),Proventos!$J:$J,"="&amp;$H$2),
AND($H$2=Data!$A$6,$K$2=Data!$A$2),SUMIFS(Proventos!$H:$H,Proventos!$D:$D,"&gt;="&amp;CONCATENATE($H$6,"/",B93),Proventos!$D:$D,"&lt;"&amp;CONCATENATE($I$6,"/",B93),Proventos!$J:$J,"="&amp;$H$2),
AND($H$2=Data!$A$7,$K$2=Data!$A$2),SUMIFS(Proventos!$H:$H,Proventos!$D:$D,"&gt;="&amp;CONCATENATE($H$6,"/",B93),Proventos!$D:$D,"&lt;"&amp;CONCATENATE($I$6,"/",B93),Proventos!$J:$J,"="&amp;$H$2),
AND($H$2=Data!$A$8,$K$2=Data!$A$2),SUMIFS(Proventos!$H:$H,Proventos!$D:$D,"&gt;="&amp;CONCATENATE($H$6,"/",B93),Proventos!$D:$D,"&lt;"&amp;CONCATENATE($I$6,"/",B93),Proventos!$J:$J,"="&amp;$H$2),
AND($H$2=Data!$A$9,$K$2=Data!$A$2),SUMIFS(Proventos!$H:$H,Proventos!$D:$D,"&gt;="&amp;CONCATENATE($H$6,"/",B93),Proventos!$D:$D,"&lt;"&amp;CONCATENATE($I$6,"/",B93),Proventos!$J:$J,"="&amp;$H$2),
AND($H$2=Data!$A$10,$K$2=Data!$A$2),SUMIFS(Proventos!$H:$H,Proventos!$D:$D,"&gt;="&amp;CONCATENATE($H$6,"/",B93),Proventos!$D:$D,"&lt;"&amp;CONCATENATE($I$6,"/",B93),Proventos!$J:$J,"="&amp;$H$2),
AND($H$2=Data!$A$11,$K$2=Data!$A$2),SUMIFS(Proventos!$H:$H,Proventos!$D:$D,"&gt;="&amp;CONCATENATE($H$6,"/",B93),Proventos!$D:$D,"&lt;"&amp;CONCATENATE($I$6,"/",B93),Proventos!$J:$J,"="&amp;$H$2),
$K$2=Data!$A$2,SUMIFS(Proventos!$H:$H,Proventos!$D:$D,"&gt;="&amp;CONCATENATE($H$6,"/",B93),Proventos!$D:$D,"&lt;"&amp;CONCATENATE($I$6,"/",B93)),
$K$2&lt;&gt;Data!$A$2,SUMIFS(Proventos!$H:$H,Proventos!$D:$D,"&gt;="&amp;CONCATENATE($H$6,"/",B93),Proventos!$D:$D,"&lt;"&amp;CONCATENATE($I$6,"/",B93),Proventos!$A:$A,"="&amp;$K$2))</f>
        <v>0</v>
      </c>
      <c r="I93" s="245">
        <f>IFS(
AND($H$2=Data!$A$3,$K$2=Data!$A$2),SUMIFS(Proventos!$H:$H,Proventos!$D:$D,"&gt;="&amp;CONCATENATE($I$6,"/",B93),Proventos!$D:$D,"&lt;"&amp;CONCATENATE($J$6,"/",B93),Proventos!$J:$J,"="&amp;$H$2),
AND($H$2=Data!$A$4,$K$2=Data!$A$2),SUMIFS(Proventos!$H:$H,Proventos!$D:$D,"&gt;="&amp;CONCATENATE($I$6,"/",B93),Proventos!$D:$D,"&lt;"&amp;CONCATENATE($J$6,"/",B93),Proventos!$J:$J,"="&amp;$H$2),
AND($H$2=Data!$A$5,$K$2=Data!$A$2),SUMIFS(Proventos!$H:$H,Proventos!$D:$D,"&gt;="&amp;CONCATENATE($I$6,"/",B93),Proventos!$D:$D,"&lt;"&amp;CONCATENATE($J$6,"/",B93),Proventos!$J:$J,"="&amp;$H$2),
AND($H$2=Data!$A$6,$K$2=Data!$A$2),SUMIFS(Proventos!$H:$H,Proventos!$D:$D,"&gt;="&amp;CONCATENATE($I$6,"/",B93),Proventos!$D:$D,"&lt;"&amp;CONCATENATE($J$6,"/",B93),Proventos!$J:$J,"="&amp;$H$2),
AND($H$2=Data!$A$7,$K$2=Data!$A$2),SUMIFS(Proventos!$H:$H,Proventos!$D:$D,"&gt;="&amp;CONCATENATE($I$6,"/",B93),Proventos!$D:$D,"&lt;"&amp;CONCATENATE($J$6,"/",B93),Proventos!$J:$J,"="&amp;$H$2),
AND($H$2=Data!$A$8,$K$2=Data!$A$2),SUMIFS(Proventos!$H:$H,Proventos!$D:$D,"&gt;="&amp;CONCATENATE($I$6,"/",B93),Proventos!$D:$D,"&lt;"&amp;CONCATENATE($J$6,"/",B93),Proventos!$J:$J,"="&amp;$H$2),
AND($H$2=Data!$A$9,$K$2=Data!$A$2),SUMIFS(Proventos!$H:$H,Proventos!$D:$D,"&gt;="&amp;CONCATENATE($I$6,"/",B93),Proventos!$D:$D,"&lt;"&amp;CONCATENATE($J$6,"/",B93),Proventos!$J:$J,"="&amp;$H$2),
AND($H$2=Data!$A$10,$K$2=Data!$A$2),SUMIFS(Proventos!$H:$H,Proventos!$D:$D,"&gt;="&amp;CONCATENATE($I$6,"/",B93),Proventos!$D:$D,"&lt;"&amp;CONCATENATE($J$6,"/",B93),Proventos!$J:$J,"="&amp;$H$2),
AND($H$2=Data!$A$11,$K$2=Data!$A$2),SUMIFS(Proventos!$H:$H,Proventos!$D:$D,"&gt;="&amp;CONCATENATE($I$6,"/",B93),Proventos!$D:$D,"&lt;"&amp;CONCATENATE($J$6,"/",B93),Proventos!$J:$J,"="&amp;$H$2),
$K$2=Data!$A$2,SUMIFS(Proventos!$H:$H,Proventos!$D:$D,"&gt;="&amp;CONCATENATE($I$6,"/",B93),Proventos!$D:$D,"&lt;"&amp;CONCATENATE($J$6,"/",B93)),
$K$2&lt;&gt;Data!$A$2,SUMIFS(Proventos!$H:$H,Proventos!$D:$D,"&gt;="&amp;CONCATENATE($I$6,"/",B93),Proventos!$D:$D,"&lt;"&amp;CONCATENATE($J$6,"/",B93),Proventos!$A:$A,"="&amp;$K$2))</f>
        <v>0</v>
      </c>
      <c r="J93" s="245">
        <f>IFS(
AND($H$2=Data!$A$3,$K$2=Data!$A$2),SUMIFS(Proventos!$H:$H,Proventos!$D:$D,"&gt;="&amp;CONCATENATE($J$6,"/",B93),Proventos!$D:$D,"&lt;"&amp;CONCATENATE($K$6,"/",B93),Proventos!$J:$J,"="&amp;$H$2),
AND($H$2=Data!$A$4,$K$2=Data!$A$2),SUMIFS(Proventos!$H:$H,Proventos!$D:$D,"&gt;="&amp;CONCATENATE($J$6,"/",B93),Proventos!$D:$D,"&lt;"&amp;CONCATENATE($K$6,"/",B93),Proventos!$J:$J,"="&amp;$H$2),
AND($H$2=Data!$A$5,$K$2=Data!$A$2),SUMIFS(Proventos!$H:$H,Proventos!$D:$D,"&gt;="&amp;CONCATENATE($J$6,"/",B93),Proventos!$D:$D,"&lt;"&amp;CONCATENATE($K$6,"/",B93),Proventos!$J:$J,"="&amp;$H$2),
AND($H$2=Data!$A$6,$K$2=Data!$A$2),SUMIFS(Proventos!$H:$H,Proventos!$D:$D,"&gt;="&amp;CONCATENATE($J$6,"/",B93),Proventos!$D:$D,"&lt;"&amp;CONCATENATE($K$6,"/",B93),Proventos!$J:$J,"="&amp;$H$2),
AND($H$2=Data!$A$7,$K$2=Data!$A$2),SUMIFS(Proventos!$H:$H,Proventos!$D:$D,"&gt;="&amp;CONCATENATE($J$6,"/",B93),Proventos!$D:$D,"&lt;"&amp;CONCATENATE($K$6,"/",B93),Proventos!$J:$J,"="&amp;$H$2),
AND($H$2=Data!$A$8,$K$2=Data!$A$2),SUMIFS(Proventos!$H:$H,Proventos!$D:$D,"&gt;="&amp;CONCATENATE($J$6,"/",B93),Proventos!$D:$D,"&lt;"&amp;CONCATENATE($K$6,"/",B93),Proventos!$J:$J,"="&amp;$H$2),
AND($H$2=Data!$A$9,$K$2=Data!$A$2),SUMIFS(Proventos!$H:$H,Proventos!$D:$D,"&gt;="&amp;CONCATENATE($J$6,"/",B93),Proventos!$D:$D,"&lt;"&amp;CONCATENATE($K$6,"/",B93),Proventos!$J:$J,"="&amp;$H$2),
AND($H$2=Data!$A$10,$K$2=Data!$A$2),SUMIFS(Proventos!$H:$H,Proventos!$D:$D,"&gt;="&amp;CONCATENATE($J$6,"/",B93),Proventos!$D:$D,"&lt;"&amp;CONCATENATE($K$6,"/",B93),Proventos!$J:$J,"="&amp;$H$2),
AND($H$2=Data!$A$11,$K$2=Data!$A$2),SUMIFS(Proventos!$H:$H,Proventos!$D:$D,"&gt;="&amp;CONCATENATE($J$6,"/",B93),Proventos!$D:$D,"&lt;"&amp;CONCATENATE($K$6,"/",B93),Proventos!$J:$J,"="&amp;$H$2),
$K$2=Data!$A$2,SUMIFS(Proventos!$H:$H,Proventos!$D:$D,"&gt;="&amp;CONCATENATE($J$6,"/",B93),Proventos!$D:$D,"&lt;"&amp;CONCATENATE($K$6,"/",B93)),
$K$2&lt;&gt;Data!$A$2,SUMIFS(Proventos!$H:$H,Proventos!$D:$D,"&gt;="&amp;CONCATENATE($J$6,"/",B93),Proventos!$D:$D,"&lt;"&amp;CONCATENATE($K$6,"/",B93),Proventos!$A:$A,"="&amp;$K$2))</f>
        <v>0</v>
      </c>
      <c r="K93" s="245">
        <f>IFS(
AND($H$2=Data!$A$3,$K$2=Data!$A$2),SUMIFS(Proventos!$H:$H,Proventos!$D:$D,"&gt;="&amp;CONCATENATE($K$6,"/",B93),Proventos!$D:$D,"&lt;"&amp;CONCATENATE($L$6,"/",B93),Proventos!$J:$J,"="&amp;$H$2),
AND($H$2=Data!$A$4,$K$2=Data!$A$2),SUMIFS(Proventos!$H:$H,Proventos!$D:$D,"&gt;="&amp;CONCATENATE($K$6,"/",B93),Proventos!$D:$D,"&lt;"&amp;CONCATENATE($L$6,"/",B93),Proventos!$J:$J,"="&amp;$H$2),
AND($H$2=Data!$A$5,$K$2=Data!$A$2),SUMIFS(Proventos!$H:$H,Proventos!$D:$D,"&gt;="&amp;CONCATENATE($K$6,"/",B93),Proventos!$D:$D,"&lt;"&amp;CONCATENATE($L$6,"/",B93),Proventos!$J:$J,"="&amp;$H$2),
AND($H$2=Data!$A$6,$K$2=Data!$A$2),SUMIFS(Proventos!$H:$H,Proventos!$D:$D,"&gt;="&amp;CONCATENATE($K$6,"/",B93),Proventos!$D:$D,"&lt;"&amp;CONCATENATE($L$6,"/",B93),Proventos!$J:$J,"="&amp;$H$2),
AND($H$2=Data!$A$7,$K$2=Data!$A$2),SUMIFS(Proventos!$H:$H,Proventos!$D:$D,"&gt;="&amp;CONCATENATE($K$6,"/",B93),Proventos!$D:$D,"&lt;"&amp;CONCATENATE($L$6,"/",B93),Proventos!$J:$J,"="&amp;$H$2),
AND($H$2=Data!$A$8,$K$2=Data!$A$2),SUMIFS(Proventos!$H:$H,Proventos!$D:$D,"&gt;="&amp;CONCATENATE($K$6,"/",B93),Proventos!$D:$D,"&lt;"&amp;CONCATENATE($L$6,"/",B93),Proventos!$J:$J,"="&amp;$H$2),
AND($H$2=Data!$A$9,$K$2=Data!$A$2),SUMIFS(Proventos!$H:$H,Proventos!$D:$D,"&gt;="&amp;CONCATENATE($K$6,"/",B93),Proventos!$D:$D,"&lt;"&amp;CONCATENATE($L$6,"/",B93),Proventos!$J:$J,"="&amp;$H$2),
AND($H$2=Data!$A$10,$K$2=Data!$A$2),SUMIFS(Proventos!$H:$H,Proventos!$D:$D,"&gt;="&amp;CONCATENATE($K$6,"/",B93),Proventos!$D:$D,"&lt;"&amp;CONCATENATE($L$6,"/",B93),Proventos!$J:$J,"="&amp;$H$2),
AND($H$2=Data!$A$11,$K$2=Data!$A$2),SUMIFS(Proventos!$H:$H,Proventos!$D:$D,"&gt;="&amp;CONCATENATE($K$6,"/",B93),Proventos!$D:$D,"&lt;"&amp;CONCATENATE($L$6,"/",B93),Proventos!$J:$J,"="&amp;$H$2),
$K$2=Data!$A$2,SUMIFS(Proventos!$H:$H,Proventos!$D:$D,"&gt;="&amp;CONCATENATE($K$6,"/",B93),Proventos!$D:$D,"&lt;"&amp;CONCATENATE($L$6,"/",B93)),
$K$2&lt;&gt;Data!$A$2,SUMIFS(Proventos!$H:$H,Proventos!$D:$D,"&gt;="&amp;CONCATENATE($K$6,"/",B93),Proventos!$D:$D,"&lt;"&amp;CONCATENATE($L$6,"/",B93),Proventos!$A:$A,"="&amp;$K$2))</f>
        <v>0</v>
      </c>
      <c r="L93" s="245">
        <f>IFS(
AND($H$2=Data!$A$3,$K$2=Data!$A$2),SUMIFS(Proventos!$H:$H,Proventos!$D:$D,"&gt;="&amp;CONCATENATE($L$6,"/",B93),Proventos!$D:$D,"&lt;"&amp;CONCATENATE($M$6,"/",B93),Proventos!$J:$J,"="&amp;$H$2),
AND($H$2=Data!$A$4,$K$2=Data!$A$2),SUMIFS(Proventos!$H:$H,Proventos!$D:$D,"&gt;="&amp;CONCATENATE($L$6,"/",B93),Proventos!$D:$D,"&lt;"&amp;CONCATENATE($M$6,"/",B93),Proventos!$J:$J,"="&amp;$H$2),
AND($H$2=Data!$A$5,$K$2=Data!$A$2),SUMIFS(Proventos!$H:$H,Proventos!$D:$D,"&gt;="&amp;CONCATENATE($L$6,"/",B93),Proventos!$D:$D,"&lt;"&amp;CONCATENATE($M$6,"/",B93),Proventos!$J:$J,"="&amp;$H$2),
AND($H$2=Data!$A$6,$K$2=Data!$A$2),SUMIFS(Proventos!$H:$H,Proventos!$D:$D,"&gt;="&amp;CONCATENATE($L$6,"/",B93),Proventos!$D:$D,"&lt;"&amp;CONCATENATE($M$6,"/",B93),Proventos!$J:$J,"="&amp;$H$2),
AND($H$2=Data!$A$7,$K$2=Data!$A$2),SUMIFS(Proventos!$H:$H,Proventos!$D:$D,"&gt;="&amp;CONCATENATE($L$6,"/",B93),Proventos!$D:$D,"&lt;"&amp;CONCATENATE($M$6,"/",B93),Proventos!$J:$J,"="&amp;$H$2),
AND($H$2=Data!$A$8,$K$2=Data!$A$2),SUMIFS(Proventos!$H:$H,Proventos!$D:$D,"&gt;="&amp;CONCATENATE($L$6,"/",B93),Proventos!$D:$D,"&lt;"&amp;CONCATENATE($M$6,"/",B93),Proventos!$J:$J,"="&amp;$H$2),
AND($H$2=Data!$A$9,$K$2=Data!$A$2),SUMIFS(Proventos!$H:$H,Proventos!$D:$D,"&gt;="&amp;CONCATENATE($L$6,"/",B93),Proventos!$D:$D,"&lt;"&amp;CONCATENATE($M$6,"/",B93),Proventos!$J:$J,"="&amp;$H$2),
AND($H$2=Data!$A$10,$K$2=Data!$A$2),SUMIFS(Proventos!$H:$H,Proventos!$D:$D,"&gt;="&amp;CONCATENATE($L$6,"/",B93),Proventos!$D:$D,"&lt;"&amp;CONCATENATE($M$6,"/",B93),Proventos!$J:$J,"="&amp;$H$2),
AND($H$2=Data!$A$11,$K$2=Data!$A$2),SUMIFS(Proventos!$H:$H,Proventos!$D:$D,"&gt;="&amp;CONCATENATE($L$6,"/",B93),Proventos!$D:$D,"&lt;"&amp;CONCATENATE($M$6,"/",B93),Proventos!$J:$J,"="&amp;$H$2),
$K$2=Data!$A$2,SUMIFS(Proventos!$H:$H,Proventos!$D:$D,"&gt;="&amp;CONCATENATE($L$6,"/",B93),Proventos!$D:$D,"&lt;"&amp;CONCATENATE($M$6,"/",B93)),
$K$2&lt;&gt;Data!$A$2,SUMIFS(Proventos!$H:$H,Proventos!$D:$D,"&gt;="&amp;CONCATENATE($L$6,"/",B93),Proventos!$D:$D,"&lt;"&amp;CONCATENATE($M$6,"/",B93),Proventos!$A:$A,"="&amp;$K$2))</f>
        <v>0</v>
      </c>
      <c r="M93" s="245">
        <f>IFS(
AND($H$2=Data!$A$3,$K$2=Data!$A$2),SUMIFS(Proventos!$H:$H,Proventos!$D:$D,"&gt;="&amp;CONCATENATE($M$6,"/",B93),Proventos!$D:$D,"&lt;"&amp;CONCATENATE($N$6,"/",B93),Proventos!$J:$J,"="&amp;$H$2),
AND($H$2=Data!$A$4,$K$2=Data!$A$2),SUMIFS(Proventos!$H:$H,Proventos!$D:$D,"&gt;="&amp;CONCATENATE($M$6,"/",B93),Proventos!$D:$D,"&lt;"&amp;CONCATENATE($N$6,"/",B93),Proventos!$J:$J,"="&amp;$H$2),
AND($H$2=Data!$A$5,$K$2=Data!$A$2),SUMIFS(Proventos!$H:$H,Proventos!$D:$D,"&gt;="&amp;CONCATENATE($M$6,"/",B93),Proventos!$D:$D,"&lt;"&amp;CONCATENATE($N$6,"/",B93),Proventos!$J:$J,"="&amp;$H$2),
AND($H$2=Data!$A$6,$K$2=Data!$A$2),SUMIFS(Proventos!$H:$H,Proventos!$D:$D,"&gt;="&amp;CONCATENATE($M$6,"/",B93),Proventos!$D:$D,"&lt;"&amp;CONCATENATE($N$6,"/",B93),Proventos!$J:$J,"="&amp;$H$2),
AND($H$2=Data!$A$7,$K$2=Data!$A$2),SUMIFS(Proventos!$H:$H,Proventos!$D:$D,"&gt;="&amp;CONCATENATE($M$6,"/",B93),Proventos!$D:$D,"&lt;"&amp;CONCATENATE($N$6,"/",B93),Proventos!$J:$J,"="&amp;$H$2),
AND($H$2=Data!$A$8,$K$2=Data!$A$2),SUMIFS(Proventos!$H:$H,Proventos!$D:$D,"&gt;="&amp;CONCATENATE($M$6,"/",B93),Proventos!$D:$D,"&lt;"&amp;CONCATENATE($N$6,"/",B93),Proventos!$J:$J,"="&amp;$H$2),
AND($H$2=Data!$A$9,$K$2=Data!$A$2),SUMIFS(Proventos!$H:$H,Proventos!$D:$D,"&gt;="&amp;CONCATENATE($M$6,"/",B93),Proventos!$D:$D,"&lt;"&amp;CONCATENATE($N$6,"/",B93),Proventos!$J:$J,"="&amp;$H$2),
AND($H$2=Data!$A$10,$K$2=Data!$A$2),SUMIFS(Proventos!$H:$H,Proventos!$D:$D,"&gt;="&amp;CONCATENATE($M$6,"/",B93),Proventos!$D:$D,"&lt;"&amp;CONCATENATE($N$6,"/",B93),Proventos!$J:$J,"="&amp;$H$2),
AND($H$2=Data!$A$11,$K$2=Data!$A$2),SUMIFS(Proventos!$H:$H,Proventos!$D:$D,"&gt;="&amp;CONCATENATE($M$6,"/",B93),Proventos!$D:$D,"&lt;"&amp;CONCATENATE($N$6,"/",B93),Proventos!$J:$J,"="&amp;$H$2),
$K$2=Data!$A$2,SUMIFS(Proventos!$H:$H,Proventos!$D:$D,"&gt;="&amp;CONCATENATE($M$6,"/",B93),Proventos!$D:$D,"&lt;"&amp;CONCATENATE($N$6,"/",B93)),
$K$2&lt;&gt;Data!$A$2,SUMIFS(Proventos!$H:$H,Proventos!$D:$D,"&gt;="&amp;CONCATENATE($M$6,"/",B93),Proventos!$D:$D,"&lt;"&amp;CONCATENATE($N$6,"/",B93),Proventos!$A:$A,"="&amp;$K$2))</f>
        <v>0</v>
      </c>
      <c r="N93" s="245">
        <f>IFS(
AND($H$2=Data!$A$3,$K$2=Data!$A$2),SUMIFS(Proventos!$H:$H,Proventos!$D:$D,"&gt;="&amp;CONCATENATE($N$6,"/",B93),Proventos!$D:$D,"&lt;"&amp;CONCATENATE($C$6,"/",B94),Proventos!$J:$J,"="&amp;$H$2),
AND($H$2=Data!$A$4,$K$2=Data!$A$2),SUMIFS(Proventos!$H:$H,Proventos!$D:$D,"&gt;="&amp;CONCATENATE($N$6,"/",B93),Proventos!$D:$D,"&lt;"&amp;CONCATENATE($C$6,"/",B94),Proventos!$J:$J,"="&amp;$H$2),
AND($H$2=Data!$A$5,$K$2=Data!$A$2),SUMIFS(Proventos!$H:$H,Proventos!$D:$D,"&gt;="&amp;CONCATENATE($N$6,"/",B93),Proventos!$D:$D,"&lt;"&amp;CONCATENATE($C$6,"/",B94),Proventos!$J:$J,"="&amp;$H$2),
AND($H$2=Data!$A$6,$K$2=Data!$A$2),SUMIFS(Proventos!$H:$H,Proventos!$D:$D,"&gt;="&amp;CONCATENATE($N$6,"/",B93),Proventos!$D:$D,"&lt;"&amp;CONCATENATE($C$6,"/",B94),Proventos!$J:$J,"="&amp;$H$2),
AND($H$2=Data!$A$7,$K$2=Data!$A$2),SUMIFS(Proventos!$H:$H,Proventos!$D:$D,"&gt;="&amp;CONCATENATE($N$6,"/",B93),Proventos!$D:$D,"&lt;"&amp;CONCATENATE($C$6,"/",B94),Proventos!$J:$J,"="&amp;$H$2),
AND($H$2=Data!$A$8,$K$2=Data!$A$2),SUMIFS(Proventos!$H:$H,Proventos!$D:$D,"&gt;="&amp;CONCATENATE($N$6,"/",B93),Proventos!$D:$D,"&lt;"&amp;CONCATENATE($C$6,"/",B94),Proventos!$J:$J,"="&amp;$H$2),
AND($H$2=Data!$A$9,$K$2=Data!$A$2),SUMIFS(Proventos!$H:$H,Proventos!$D:$D,"&gt;="&amp;CONCATENATE($N$6,"/",B93),Proventos!$D:$D,"&lt;"&amp;CONCATENATE($C$6,"/",B94),Proventos!$J:$J,"="&amp;$H$2),
AND($H$2=Data!$A$10,$K$2=Data!$A$2),SUMIFS(Proventos!$H:$H,Proventos!$D:$D,"&gt;="&amp;CONCATENATE($N$6,"/",B93),Proventos!$D:$D,"&lt;"&amp;CONCATENATE($C$6,"/",B94),Proventos!$J:$J,"="&amp;$H$2),
AND($H$2=Data!$A$11,$K$2=Data!$A$2),SUMIFS(Proventos!$H:$H,Proventos!$D:$D,"&gt;="&amp;CONCATENATE($N$6,"/",B93),Proventos!$D:$D,"&lt;"&amp;CONCATENATE($C$6,"/",B94),Proventos!$J:$J,"="&amp;$H$2),
$K$2=Data!$A$2,SUMIFS(Proventos!$H:$H,Proventos!$D:$D,"&gt;="&amp;CONCATENATE($N$6,"/",B93),Proventos!$D:$D,"&lt;"&amp;CONCATENATE($C$6,"/",B94)),
$K$2&lt;&gt;Data!$A$2,SUMIFS(Proventos!$H:$H,Proventos!$D:$D,"&gt;="&amp;CONCATENATE($N$6,"/",B93),Proventos!$D:$D,"&lt;"&amp;CONCATENATE($C$6,"/",B94),Proventos!$A:$A,"="&amp;$K$2))</f>
        <v>0</v>
      </c>
      <c r="O93" s="245"/>
      <c r="P93" s="245">
        <f t="shared" si="1"/>
        <v>0</v>
      </c>
      <c r="Q93" s="245">
        <f t="shared" si="2"/>
        <v>0</v>
      </c>
    </row>
    <row r="94" ht="32.25" customHeight="1">
      <c r="A94" s="230"/>
      <c r="B94" s="244"/>
      <c r="C94" s="245">
        <f>IFS(
AND($H$2=Data!$A$3,$K$2=Data!$A$2),SUMIFS(Proventos!$H:$H,Proventos!$D:$D,"&gt;="&amp;CONCATENATE($C$6,"/",B94),Proventos!$D:$D,"&lt;"&amp;CONCATENATE($D$6,"/",B94),Proventos!$J:$J,"="&amp;$H$2),
AND($H$2=Data!$A$4,$K$2=Data!$A$2),SUMIFS(Proventos!$H:$H,Proventos!$D:$D,"&gt;="&amp;CONCATENATE($C$6,"/",B94),Proventos!$D:$D,"&lt;"&amp;CONCATENATE($D$6,"/",B94),Proventos!$J:$J,"="&amp;$H$2),
AND($H$2=Data!$A$5,$K$2=Data!$A$2),SUMIFS(Proventos!$H:$H,Proventos!$D:$D,"&gt;="&amp;CONCATENATE($C$6,"/",B94),Proventos!$D:$D,"&lt;"&amp;CONCATENATE($D$6,"/",B94),Proventos!$J:$J,"="&amp;$H$2),
AND($H$2=Data!$A$6,$K$2=Data!$A$2),SUMIFS(Proventos!$H:$H,Proventos!$D:$D,"&gt;="&amp;CONCATENATE($C$6,"/",B94),Proventos!$D:$D,"&lt;"&amp;CONCATENATE($D$6,"/",B94),Proventos!$J:$J,"="&amp;$H$2),
AND($H$2=Data!$A$7,$K$2=Data!$A$2),SUMIFS(Proventos!$H:$H,Proventos!$D:$D,"&gt;="&amp;CONCATENATE($C$6,"/",B94),Proventos!$D:$D,"&lt;"&amp;CONCATENATE($D$6,"/",B94),Proventos!$J:$J,"="&amp;$H$2),
AND($H$2=Data!$A$8,$K$2=Data!$A$2),SUMIFS(Proventos!$H:$H,Proventos!$D:$D,"&gt;="&amp;CONCATENATE($C$6,"/",B94),Proventos!$D:$D,"&lt;"&amp;CONCATENATE($D$6,"/",B94),Proventos!$J:$J,"="&amp;$H$2),
AND($H$2=Data!$A$9,$K$2=Data!$A$2),SUMIFS(Proventos!$H:$H,Proventos!$D:$D,"&gt;="&amp;CONCATENATE($C$6,"/",B94),Proventos!$D:$D,"&lt;"&amp;CONCATENATE($D$6,"/",B94),Proventos!$J:$J,"="&amp;$H$2),
AND($H$2=Data!$A$10,$K$2=Data!$A$2),SUMIFS(Proventos!$H:$H,Proventos!$D:$D,"&gt;="&amp;CONCATENATE($C$6,"/",B94),Proventos!$D:$D,"&lt;"&amp;CONCATENATE($D$6,"/",B94),Proventos!$J:$J,"="&amp;$H$2),
AND($H$2=Data!$A$11,$K$2=Data!$A$2),SUMIFS(Proventos!$H:$H,Proventos!$D:$D,"&gt;="&amp;CONCATENATE($C$6,"/",B94),Proventos!$D:$D,"&lt;"&amp;CONCATENATE($D$6,"/",B94),Proventos!$J:$J,"="&amp;$H$2),
$K$2=Data!$A$2,SUMIFS(Proventos!$H:$H,Proventos!$D:$D,"&gt;="&amp;CONCATENATE($C$6,"/",B94),Proventos!$D:$D,"&lt;"&amp;CONCATENATE($D$6,"/",B94)),
$K$2&lt;&gt;Data!$A$2,SUMIFS(Proventos!$H:$H,Proventos!$D:$D,"&gt;="&amp;CONCATENATE($C$6,"/",B94),Proventos!$D:$D,"&lt;"&amp;CONCATENATE($D$6,"/",B94),Proventos!$A:$A,"="&amp;$K$2))</f>
        <v>0</v>
      </c>
      <c r="D94" s="245">
        <f>IFS(
AND($H$2=Data!$A$3,$K$2=Data!$A$2),SUMIFS(Proventos!$H:$H,Proventos!$D:$D,"&gt;="&amp;CONCATENATE($D$6,"/",B94),Proventos!$D:$D,"&lt;"&amp;CONCATENATE($E$6,"/",B94),Proventos!$J:$J,"="&amp;$H$2),
AND($H$2=Data!$A$4,$K$2=Data!$A$2),SUMIFS(Proventos!$H:$H,Proventos!$D:$D,"&gt;="&amp;CONCATENATE($D$6,"/",B94),Proventos!$D:$D,"&lt;"&amp;CONCATENATE($E$6,"/",B94),Proventos!$J:$J,"="&amp;$H$2),
AND($H$2=Data!$A$5,$K$2=Data!$A$2),SUMIFS(Proventos!$H:$H,Proventos!$D:$D,"&gt;="&amp;CONCATENATE($D$6,"/",B94),Proventos!$D:$D,"&lt;"&amp;CONCATENATE($E$6,"/",B94),Proventos!$J:$J,"="&amp;$H$2),
AND($H$2=Data!$A$6,$K$2=Data!$A$2),SUMIFS(Proventos!$H:$H,Proventos!$D:$D,"&gt;="&amp;CONCATENATE($D$6,"/",B94),Proventos!$D:$D,"&lt;"&amp;CONCATENATE($E$6,"/",B94),Proventos!$J:$J,"="&amp;$H$2),
AND($H$2=Data!$A$7,$K$2=Data!$A$2),SUMIFS(Proventos!$H:$H,Proventos!$D:$D,"&gt;="&amp;CONCATENATE($D$6,"/",B94),Proventos!$D:$D,"&lt;"&amp;CONCATENATE($E$6,"/",B94),Proventos!$J:$J,"="&amp;$H$2),
AND($H$2=Data!$A$8,$K$2=Data!$A$2),SUMIFS(Proventos!$H:$H,Proventos!$D:$D,"&gt;="&amp;CONCATENATE($D$6,"/",B94),Proventos!$D:$D,"&lt;"&amp;CONCATENATE($E$6,"/",B94),Proventos!$J:$J,"="&amp;$H$2),
AND($H$2=Data!$A$9,$K$2=Data!$A$2),SUMIFS(Proventos!$H:$H,Proventos!$D:$D,"&gt;="&amp;CONCATENATE($D$6,"/",B94),Proventos!$D:$D,"&lt;"&amp;CONCATENATE($E$6,"/",B94),Proventos!$J:$J,"="&amp;$H$2),
AND($H$2=Data!$A$10,$K$2=Data!$A$2),SUMIFS(Proventos!$H:$H,Proventos!$D:$D,"&gt;="&amp;CONCATENATE($D$6,"/",B94),Proventos!$D:$D,"&lt;"&amp;CONCATENATE($E$6,"/",B94),Proventos!$J:$J,"="&amp;$H$2),
AND($H$2=Data!$A$11,$K$2=Data!$A$2),SUMIFS(Proventos!$H:$H,Proventos!$D:$D,"&gt;="&amp;CONCATENATE($D$6,"/",B94),Proventos!$D:$D,"&lt;"&amp;CONCATENATE($E$6,"/",B94),Proventos!$J:$J,"="&amp;$H$2),
$K$2=Data!$A$2,SUMIFS(Proventos!$H:$H,Proventos!$D:$D,"&gt;="&amp;CONCATENATE($D$6,"/",B94),Proventos!$D:$D,"&lt;"&amp;CONCATENATE($E$6,"/",B94)),
$K$2&lt;&gt;Data!$A$2,SUMIFS(Proventos!$H:$H,Proventos!$D:$D,"&gt;="&amp;CONCATENATE($D$6,"/",B94),Proventos!$D:$D,"&lt;"&amp;CONCATENATE($E$6,"/",B94),Proventos!$A:$A,"="&amp;$K$2))</f>
        <v>0</v>
      </c>
      <c r="E94" s="245">
        <f>IFS(
AND($H$2=Data!$A$3,$K$2=Data!$A$2),SUMIFS(Proventos!$H:$H,Proventos!$D:$D,"&gt;="&amp;CONCATENATE($E$6,"/",B94),Proventos!$D:$D,"&lt;"&amp;CONCATENATE($F$6,"/",B94),Proventos!$J:$J,"="&amp;$H$2),
AND($H$2=Data!$A$4,$K$2=Data!$A$2),SUMIFS(Proventos!$H:$H,Proventos!$D:$D,"&gt;="&amp;CONCATENATE($E$6,"/",B94),Proventos!$D:$D,"&lt;"&amp;CONCATENATE($F$6,"/",B94),Proventos!$J:$J,"="&amp;$H$2),
AND($H$2=Data!$A$5,$K$2=Data!$A$2),SUMIFS(Proventos!$H:$H,Proventos!$D:$D,"&gt;="&amp;CONCATENATE($E$6,"/",B94),Proventos!$D:$D,"&lt;"&amp;CONCATENATE($F$6,"/",B94),Proventos!$J:$J,"="&amp;$H$2),
AND($H$2=Data!$A$6,$K$2=Data!$A$2),SUMIFS(Proventos!$H:$H,Proventos!$D:$D,"&gt;="&amp;CONCATENATE($E$6,"/",B94),Proventos!$D:$D,"&lt;"&amp;CONCATENATE($F$6,"/",B94),Proventos!$J:$J,"="&amp;$H$2),
AND($H$2=Data!$A$7,$K$2=Data!$A$2),SUMIFS(Proventos!$H:$H,Proventos!$D:$D,"&gt;="&amp;CONCATENATE($E$6,"/",B94),Proventos!$D:$D,"&lt;"&amp;CONCATENATE($F$6,"/",B94),Proventos!$J:$J,"="&amp;$H$2),
AND($H$2=Data!$A$8,$K$2=Data!$A$2),SUMIFS(Proventos!$H:$H,Proventos!$D:$D,"&gt;="&amp;CONCATENATE($E$6,"/",B94),Proventos!$D:$D,"&lt;"&amp;CONCATENATE($F$6,"/",B94),Proventos!$J:$J,"="&amp;$H$2),
AND($H$2=Data!$A$9,$K$2=Data!$A$2),SUMIFS(Proventos!$H:$H,Proventos!$D:$D,"&gt;="&amp;CONCATENATE($E$6,"/",B94),Proventos!$D:$D,"&lt;"&amp;CONCATENATE($F$6,"/",B94),Proventos!$J:$J,"="&amp;$H$2),
AND($H$2=Data!$A$10,$K$2=Data!$A$2),SUMIFS(Proventos!$H:$H,Proventos!$D:$D,"&gt;="&amp;CONCATENATE($E$6,"/",B94),Proventos!$D:$D,"&lt;"&amp;CONCATENATE($F$6,"/",B94),Proventos!$J:$J,"="&amp;$H$2),
AND($H$2=Data!$A$11,$K$2=Data!$A$2),SUMIFS(Proventos!$H:$H,Proventos!$D:$D,"&gt;="&amp;CONCATENATE($E$6,"/",B94),Proventos!$D:$D,"&lt;"&amp;CONCATENATE($F$6,"/",B94),Proventos!$J:$J,"="&amp;$H$2),
$K$2=Data!$A$2,SUMIFS(Proventos!$H:$H,Proventos!$D:$D,"&gt;="&amp;CONCATENATE($E$6,"/",B94),Proventos!$D:$D,"&lt;"&amp;CONCATENATE($F$6,"/",B94)),
$K$2&lt;&gt;Data!$A$2,SUMIFS(Proventos!$H:$H,Proventos!$D:$D,"&gt;="&amp;CONCATENATE($E$6,"/",B94),Proventos!$D:$D,"&lt;"&amp;CONCATENATE($F$6,"/",B94),Proventos!$A:$A,"="&amp;$K$2))</f>
        <v>0</v>
      </c>
      <c r="F94" s="245">
        <f>IFS(
AND($H$2=Data!$A$3,$K$2=Data!$A$2),SUMIFS(Proventos!$H:$H,Proventos!$D:$D,"&gt;="&amp;CONCATENATE($F$6,"/",B94),Proventos!$D:$D,"&lt;"&amp;CONCATENATE($G$6,"/",B94),Proventos!$J:$J,"="&amp;$H$2),
AND($H$2=Data!$A$4,$K$2=Data!$A$2),SUMIFS(Proventos!$H:$H,Proventos!$D:$D,"&gt;="&amp;CONCATENATE($F$6,"/",B94),Proventos!$D:$D,"&lt;"&amp;CONCATENATE($G$6,"/",B94),Proventos!$J:$J,"="&amp;$H$2),
AND($H$2=Data!$A$5,$K$2=Data!$A$2),SUMIFS(Proventos!$H:$H,Proventos!$D:$D,"&gt;="&amp;CONCATENATE($F$6,"/",B94),Proventos!$D:$D,"&lt;"&amp;CONCATENATE($G$6,"/",B94),Proventos!$J:$J,"="&amp;$H$2),
AND($H$2=Data!$A$6,$K$2=Data!$A$2),SUMIFS(Proventos!$H:$H,Proventos!$D:$D,"&gt;="&amp;CONCATENATE($F$6,"/",B94),Proventos!$D:$D,"&lt;"&amp;CONCATENATE($G$6,"/",B94),Proventos!$J:$J,"="&amp;$H$2),
AND($H$2=Data!$A$7,$K$2=Data!$A$2),SUMIFS(Proventos!$H:$H,Proventos!$D:$D,"&gt;="&amp;CONCATENATE($F$6,"/",B94),Proventos!$D:$D,"&lt;"&amp;CONCATENATE($G$6,"/",B94),Proventos!$J:$J,"="&amp;$H$2),
AND($H$2=Data!$A$8,$K$2=Data!$A$2),SUMIFS(Proventos!$H:$H,Proventos!$D:$D,"&gt;="&amp;CONCATENATE($F$6,"/",B94),Proventos!$D:$D,"&lt;"&amp;CONCATENATE($G$6,"/",B94),Proventos!$J:$J,"="&amp;$H$2),
AND($H$2=Data!$A$9,$K$2=Data!$A$2),SUMIFS(Proventos!$H:$H,Proventos!$D:$D,"&gt;="&amp;CONCATENATE($F$6,"/",B94),Proventos!$D:$D,"&lt;"&amp;CONCATENATE($G$6,"/",B94),Proventos!$J:$J,"="&amp;$H$2),
AND($H$2=Data!$A$10,$K$2=Data!$A$2),SUMIFS(Proventos!$H:$H,Proventos!$D:$D,"&gt;="&amp;CONCATENATE($F$6,"/",B94),Proventos!$D:$D,"&lt;"&amp;CONCATENATE($G$6,"/",B94),Proventos!$J:$J,"="&amp;$H$2),
AND($H$2=Data!$A$11,$K$2=Data!$A$2),SUMIFS(Proventos!$H:$H,Proventos!$D:$D,"&gt;="&amp;CONCATENATE($F$6,"/",B94),Proventos!$D:$D,"&lt;"&amp;CONCATENATE($G$6,"/",B94),Proventos!$J:$J,"="&amp;$H$2),
$K$2=Data!$A$2,SUMIFS(Proventos!$H:$H,Proventos!$D:$D,"&gt;="&amp;CONCATENATE($F$6,"/",B94),Proventos!$D:$D,"&lt;"&amp;CONCATENATE($G$6,"/",B94)),
$K$2&lt;&gt;Data!$A$2,SUMIFS(Proventos!$H:$H,Proventos!$D:$D,"&gt;="&amp;CONCATENATE($F$6,"/",B94),Proventos!$D:$D,"&lt;"&amp;CONCATENATE($G$6,"/",B94),Proventos!$A:$A,"="&amp;$K$2))</f>
        <v>0</v>
      </c>
      <c r="G94" s="245">
        <f>IFS(
AND($H$2=Data!$A$3,$K$2=Data!$A$2),SUMIFS(Proventos!$H:$H,Proventos!$D:$D,"&gt;="&amp;CONCATENATE($G$6,"/",B94),Proventos!$D:$D,"&lt;"&amp;CONCATENATE($H$6,"/",B94),Proventos!$J:$J,"="&amp;$H$2),
AND($H$2=Data!$A$4,$K$2=Data!$A$2),SUMIFS(Proventos!$H:$H,Proventos!$D:$D,"&gt;="&amp;CONCATENATE($G$6,"/",B94),Proventos!$D:$D,"&lt;"&amp;CONCATENATE($H$6,"/",B94),Proventos!$J:$J,"="&amp;$H$2),
AND($H$2=Data!$A$5,$K$2=Data!$A$2),SUMIFS(Proventos!$H:$H,Proventos!$D:$D,"&gt;="&amp;CONCATENATE($G$6,"/",B94),Proventos!$D:$D,"&lt;"&amp;CONCATENATE($H$6,"/",B94),Proventos!$J:$J,"="&amp;$H$2),
AND($H$2=Data!$A$6,$K$2=Data!$A$2),SUMIFS(Proventos!$H:$H,Proventos!$D:$D,"&gt;="&amp;CONCATENATE($G$6,"/",B94),Proventos!$D:$D,"&lt;"&amp;CONCATENATE($H$6,"/",B94),Proventos!$J:$J,"="&amp;$H$2),
AND($H$2=Data!$A$7,$K$2=Data!$A$2),SUMIFS(Proventos!$H:$H,Proventos!$D:$D,"&gt;="&amp;CONCATENATE($G$6,"/",B94),Proventos!$D:$D,"&lt;"&amp;CONCATENATE($H$6,"/",B94),Proventos!$J:$J,"="&amp;$H$2),
AND($H$2=Data!$A$8,$K$2=Data!$A$2),SUMIFS(Proventos!$H:$H,Proventos!$D:$D,"&gt;="&amp;CONCATENATE($G$6,"/",B94),Proventos!$D:$D,"&lt;"&amp;CONCATENATE($H$6,"/",B94),Proventos!$J:$J,"="&amp;$H$2),
AND($H$2=Data!$A$9,$K$2=Data!$A$2),SUMIFS(Proventos!$H:$H,Proventos!$D:$D,"&gt;="&amp;CONCATENATE($G$6,"/",B94),Proventos!$D:$D,"&lt;"&amp;CONCATENATE($H$6,"/",B94),Proventos!$J:$J,"="&amp;$H$2),
AND($H$2=Data!$A$10,$K$2=Data!$A$2),SUMIFS(Proventos!$H:$H,Proventos!$D:$D,"&gt;="&amp;CONCATENATE($G$6,"/",B94),Proventos!$D:$D,"&lt;"&amp;CONCATENATE($H$6,"/",B94),Proventos!$J:$J,"="&amp;$H$2),
AND($H$2=Data!$A$11,$K$2=Data!$A$2),SUMIFS(Proventos!$H:$H,Proventos!$D:$D,"&gt;="&amp;CONCATENATE($G$6,"/",B94),Proventos!$D:$D,"&lt;"&amp;CONCATENATE($H$6,"/",B94),Proventos!$J:$J,"="&amp;$H$2),
$K$2=Data!$A$2,SUMIFS(Proventos!$H:$H,Proventos!$D:$D,"&gt;="&amp;CONCATENATE($G$6,"/",B94),Proventos!$D:$D,"&lt;"&amp;CONCATENATE($H$6,"/",B94)),
$K$2&lt;&gt;Data!$A$2,SUMIFS(Proventos!$H:$H,Proventos!$D:$D,"&gt;="&amp;CONCATENATE($G$6,"/",B94),Proventos!$D:$D,"&lt;"&amp;CONCATENATE($H$6,"/",B94),Proventos!$A:$A,"="&amp;$K$2))</f>
        <v>0</v>
      </c>
      <c r="H94" s="245">
        <f>IFS(
AND($H$2=Data!$A$3,$K$2=Data!$A$2),SUMIFS(Proventos!$H:$H,Proventos!$D:$D,"&gt;="&amp;CONCATENATE($H$6,"/",B94),Proventos!$D:$D,"&lt;"&amp;CONCATENATE($I$6,"/",B94),Proventos!$J:$J,"="&amp;$H$2),
AND($H$2=Data!$A$4,$K$2=Data!$A$2),SUMIFS(Proventos!$H:$H,Proventos!$D:$D,"&gt;="&amp;CONCATENATE($H$6,"/",B94),Proventos!$D:$D,"&lt;"&amp;CONCATENATE($I$6,"/",B94),Proventos!$J:$J,"="&amp;$H$2),
AND($H$2=Data!$A$5,$K$2=Data!$A$2),SUMIFS(Proventos!$H:$H,Proventos!$D:$D,"&gt;="&amp;CONCATENATE($H$6,"/",B94),Proventos!$D:$D,"&lt;"&amp;CONCATENATE($I$6,"/",B94),Proventos!$J:$J,"="&amp;$H$2),
AND($H$2=Data!$A$6,$K$2=Data!$A$2),SUMIFS(Proventos!$H:$H,Proventos!$D:$D,"&gt;="&amp;CONCATENATE($H$6,"/",B94),Proventos!$D:$D,"&lt;"&amp;CONCATENATE($I$6,"/",B94),Proventos!$J:$J,"="&amp;$H$2),
AND($H$2=Data!$A$7,$K$2=Data!$A$2),SUMIFS(Proventos!$H:$H,Proventos!$D:$D,"&gt;="&amp;CONCATENATE($H$6,"/",B94),Proventos!$D:$D,"&lt;"&amp;CONCATENATE($I$6,"/",B94),Proventos!$J:$J,"="&amp;$H$2),
AND($H$2=Data!$A$8,$K$2=Data!$A$2),SUMIFS(Proventos!$H:$H,Proventos!$D:$D,"&gt;="&amp;CONCATENATE($H$6,"/",B94),Proventos!$D:$D,"&lt;"&amp;CONCATENATE($I$6,"/",B94),Proventos!$J:$J,"="&amp;$H$2),
AND($H$2=Data!$A$9,$K$2=Data!$A$2),SUMIFS(Proventos!$H:$H,Proventos!$D:$D,"&gt;="&amp;CONCATENATE($H$6,"/",B94),Proventos!$D:$D,"&lt;"&amp;CONCATENATE($I$6,"/",B94),Proventos!$J:$J,"="&amp;$H$2),
AND($H$2=Data!$A$10,$K$2=Data!$A$2),SUMIFS(Proventos!$H:$H,Proventos!$D:$D,"&gt;="&amp;CONCATENATE($H$6,"/",B94),Proventos!$D:$D,"&lt;"&amp;CONCATENATE($I$6,"/",B94),Proventos!$J:$J,"="&amp;$H$2),
AND($H$2=Data!$A$11,$K$2=Data!$A$2),SUMIFS(Proventos!$H:$H,Proventos!$D:$D,"&gt;="&amp;CONCATENATE($H$6,"/",B94),Proventos!$D:$D,"&lt;"&amp;CONCATENATE($I$6,"/",B94),Proventos!$J:$J,"="&amp;$H$2),
$K$2=Data!$A$2,SUMIFS(Proventos!$H:$H,Proventos!$D:$D,"&gt;="&amp;CONCATENATE($H$6,"/",B94),Proventos!$D:$D,"&lt;"&amp;CONCATENATE($I$6,"/",B94)),
$K$2&lt;&gt;Data!$A$2,SUMIFS(Proventos!$H:$H,Proventos!$D:$D,"&gt;="&amp;CONCATENATE($H$6,"/",B94),Proventos!$D:$D,"&lt;"&amp;CONCATENATE($I$6,"/",B94),Proventos!$A:$A,"="&amp;$K$2))</f>
        <v>0</v>
      </c>
      <c r="I94" s="245">
        <f>IFS(
AND($H$2=Data!$A$3,$K$2=Data!$A$2),SUMIFS(Proventos!$H:$H,Proventos!$D:$D,"&gt;="&amp;CONCATENATE($I$6,"/",B94),Proventos!$D:$D,"&lt;"&amp;CONCATENATE($J$6,"/",B94),Proventos!$J:$J,"="&amp;$H$2),
AND($H$2=Data!$A$4,$K$2=Data!$A$2),SUMIFS(Proventos!$H:$H,Proventos!$D:$D,"&gt;="&amp;CONCATENATE($I$6,"/",B94),Proventos!$D:$D,"&lt;"&amp;CONCATENATE($J$6,"/",B94),Proventos!$J:$J,"="&amp;$H$2),
AND($H$2=Data!$A$5,$K$2=Data!$A$2),SUMIFS(Proventos!$H:$H,Proventos!$D:$D,"&gt;="&amp;CONCATENATE($I$6,"/",B94),Proventos!$D:$D,"&lt;"&amp;CONCATENATE($J$6,"/",B94),Proventos!$J:$J,"="&amp;$H$2),
AND($H$2=Data!$A$6,$K$2=Data!$A$2),SUMIFS(Proventos!$H:$H,Proventos!$D:$D,"&gt;="&amp;CONCATENATE($I$6,"/",B94),Proventos!$D:$D,"&lt;"&amp;CONCATENATE($J$6,"/",B94),Proventos!$J:$J,"="&amp;$H$2),
AND($H$2=Data!$A$7,$K$2=Data!$A$2),SUMIFS(Proventos!$H:$H,Proventos!$D:$D,"&gt;="&amp;CONCATENATE($I$6,"/",B94),Proventos!$D:$D,"&lt;"&amp;CONCATENATE($J$6,"/",B94),Proventos!$J:$J,"="&amp;$H$2),
AND($H$2=Data!$A$8,$K$2=Data!$A$2),SUMIFS(Proventos!$H:$H,Proventos!$D:$D,"&gt;="&amp;CONCATENATE($I$6,"/",B94),Proventos!$D:$D,"&lt;"&amp;CONCATENATE($J$6,"/",B94),Proventos!$J:$J,"="&amp;$H$2),
AND($H$2=Data!$A$9,$K$2=Data!$A$2),SUMIFS(Proventos!$H:$H,Proventos!$D:$D,"&gt;="&amp;CONCATENATE($I$6,"/",B94),Proventos!$D:$D,"&lt;"&amp;CONCATENATE($J$6,"/",B94),Proventos!$J:$J,"="&amp;$H$2),
AND($H$2=Data!$A$10,$K$2=Data!$A$2),SUMIFS(Proventos!$H:$H,Proventos!$D:$D,"&gt;="&amp;CONCATENATE($I$6,"/",B94),Proventos!$D:$D,"&lt;"&amp;CONCATENATE($J$6,"/",B94),Proventos!$J:$J,"="&amp;$H$2),
AND($H$2=Data!$A$11,$K$2=Data!$A$2),SUMIFS(Proventos!$H:$H,Proventos!$D:$D,"&gt;="&amp;CONCATENATE($I$6,"/",B94),Proventos!$D:$D,"&lt;"&amp;CONCATENATE($J$6,"/",B94),Proventos!$J:$J,"="&amp;$H$2),
$K$2=Data!$A$2,SUMIFS(Proventos!$H:$H,Proventos!$D:$D,"&gt;="&amp;CONCATENATE($I$6,"/",B94),Proventos!$D:$D,"&lt;"&amp;CONCATENATE($J$6,"/",B94)),
$K$2&lt;&gt;Data!$A$2,SUMIFS(Proventos!$H:$H,Proventos!$D:$D,"&gt;="&amp;CONCATENATE($I$6,"/",B94),Proventos!$D:$D,"&lt;"&amp;CONCATENATE($J$6,"/",B94),Proventos!$A:$A,"="&amp;$K$2))</f>
        <v>0</v>
      </c>
      <c r="J94" s="245">
        <f>IFS(
AND($H$2=Data!$A$3,$K$2=Data!$A$2),SUMIFS(Proventos!$H:$H,Proventos!$D:$D,"&gt;="&amp;CONCATENATE($J$6,"/",B94),Proventos!$D:$D,"&lt;"&amp;CONCATENATE($K$6,"/",B94),Proventos!$J:$J,"="&amp;$H$2),
AND($H$2=Data!$A$4,$K$2=Data!$A$2),SUMIFS(Proventos!$H:$H,Proventos!$D:$D,"&gt;="&amp;CONCATENATE($J$6,"/",B94),Proventos!$D:$D,"&lt;"&amp;CONCATENATE($K$6,"/",B94),Proventos!$J:$J,"="&amp;$H$2),
AND($H$2=Data!$A$5,$K$2=Data!$A$2),SUMIFS(Proventos!$H:$H,Proventos!$D:$D,"&gt;="&amp;CONCATENATE($J$6,"/",B94),Proventos!$D:$D,"&lt;"&amp;CONCATENATE($K$6,"/",B94),Proventos!$J:$J,"="&amp;$H$2),
AND($H$2=Data!$A$6,$K$2=Data!$A$2),SUMIFS(Proventos!$H:$H,Proventos!$D:$D,"&gt;="&amp;CONCATENATE($J$6,"/",B94),Proventos!$D:$D,"&lt;"&amp;CONCATENATE($K$6,"/",B94),Proventos!$J:$J,"="&amp;$H$2),
AND($H$2=Data!$A$7,$K$2=Data!$A$2),SUMIFS(Proventos!$H:$H,Proventos!$D:$D,"&gt;="&amp;CONCATENATE($J$6,"/",B94),Proventos!$D:$D,"&lt;"&amp;CONCATENATE($K$6,"/",B94),Proventos!$J:$J,"="&amp;$H$2),
AND($H$2=Data!$A$8,$K$2=Data!$A$2),SUMIFS(Proventos!$H:$H,Proventos!$D:$D,"&gt;="&amp;CONCATENATE($J$6,"/",B94),Proventos!$D:$D,"&lt;"&amp;CONCATENATE($K$6,"/",B94),Proventos!$J:$J,"="&amp;$H$2),
AND($H$2=Data!$A$9,$K$2=Data!$A$2),SUMIFS(Proventos!$H:$H,Proventos!$D:$D,"&gt;="&amp;CONCATENATE($J$6,"/",B94),Proventos!$D:$D,"&lt;"&amp;CONCATENATE($K$6,"/",B94),Proventos!$J:$J,"="&amp;$H$2),
AND($H$2=Data!$A$10,$K$2=Data!$A$2),SUMIFS(Proventos!$H:$H,Proventos!$D:$D,"&gt;="&amp;CONCATENATE($J$6,"/",B94),Proventos!$D:$D,"&lt;"&amp;CONCATENATE($K$6,"/",B94),Proventos!$J:$J,"="&amp;$H$2),
AND($H$2=Data!$A$11,$K$2=Data!$A$2),SUMIFS(Proventos!$H:$H,Proventos!$D:$D,"&gt;="&amp;CONCATENATE($J$6,"/",B94),Proventos!$D:$D,"&lt;"&amp;CONCATENATE($K$6,"/",B94),Proventos!$J:$J,"="&amp;$H$2),
$K$2=Data!$A$2,SUMIFS(Proventos!$H:$H,Proventos!$D:$D,"&gt;="&amp;CONCATENATE($J$6,"/",B94),Proventos!$D:$D,"&lt;"&amp;CONCATENATE($K$6,"/",B94)),
$K$2&lt;&gt;Data!$A$2,SUMIFS(Proventos!$H:$H,Proventos!$D:$D,"&gt;="&amp;CONCATENATE($J$6,"/",B94),Proventos!$D:$D,"&lt;"&amp;CONCATENATE($K$6,"/",B94),Proventos!$A:$A,"="&amp;$K$2))</f>
        <v>0</v>
      </c>
      <c r="K94" s="245">
        <f>IFS(
AND($H$2=Data!$A$3,$K$2=Data!$A$2),SUMIFS(Proventos!$H:$H,Proventos!$D:$D,"&gt;="&amp;CONCATENATE($K$6,"/",B94),Proventos!$D:$D,"&lt;"&amp;CONCATENATE($L$6,"/",B94),Proventos!$J:$J,"="&amp;$H$2),
AND($H$2=Data!$A$4,$K$2=Data!$A$2),SUMIFS(Proventos!$H:$H,Proventos!$D:$D,"&gt;="&amp;CONCATENATE($K$6,"/",B94),Proventos!$D:$D,"&lt;"&amp;CONCATENATE($L$6,"/",B94),Proventos!$J:$J,"="&amp;$H$2),
AND($H$2=Data!$A$5,$K$2=Data!$A$2),SUMIFS(Proventos!$H:$H,Proventos!$D:$D,"&gt;="&amp;CONCATENATE($K$6,"/",B94),Proventos!$D:$D,"&lt;"&amp;CONCATENATE($L$6,"/",B94),Proventos!$J:$J,"="&amp;$H$2),
AND($H$2=Data!$A$6,$K$2=Data!$A$2),SUMIFS(Proventos!$H:$H,Proventos!$D:$D,"&gt;="&amp;CONCATENATE($K$6,"/",B94),Proventos!$D:$D,"&lt;"&amp;CONCATENATE($L$6,"/",B94),Proventos!$J:$J,"="&amp;$H$2),
AND($H$2=Data!$A$7,$K$2=Data!$A$2),SUMIFS(Proventos!$H:$H,Proventos!$D:$D,"&gt;="&amp;CONCATENATE($K$6,"/",B94),Proventos!$D:$D,"&lt;"&amp;CONCATENATE($L$6,"/",B94),Proventos!$J:$J,"="&amp;$H$2),
AND($H$2=Data!$A$8,$K$2=Data!$A$2),SUMIFS(Proventos!$H:$H,Proventos!$D:$D,"&gt;="&amp;CONCATENATE($K$6,"/",B94),Proventos!$D:$D,"&lt;"&amp;CONCATENATE($L$6,"/",B94),Proventos!$J:$J,"="&amp;$H$2),
AND($H$2=Data!$A$9,$K$2=Data!$A$2),SUMIFS(Proventos!$H:$H,Proventos!$D:$D,"&gt;="&amp;CONCATENATE($K$6,"/",B94),Proventos!$D:$D,"&lt;"&amp;CONCATENATE($L$6,"/",B94),Proventos!$J:$J,"="&amp;$H$2),
AND($H$2=Data!$A$10,$K$2=Data!$A$2),SUMIFS(Proventos!$H:$H,Proventos!$D:$D,"&gt;="&amp;CONCATENATE($K$6,"/",B94),Proventos!$D:$D,"&lt;"&amp;CONCATENATE($L$6,"/",B94),Proventos!$J:$J,"="&amp;$H$2),
AND($H$2=Data!$A$11,$K$2=Data!$A$2),SUMIFS(Proventos!$H:$H,Proventos!$D:$D,"&gt;="&amp;CONCATENATE($K$6,"/",B94),Proventos!$D:$D,"&lt;"&amp;CONCATENATE($L$6,"/",B94),Proventos!$J:$J,"="&amp;$H$2),
$K$2=Data!$A$2,SUMIFS(Proventos!$H:$H,Proventos!$D:$D,"&gt;="&amp;CONCATENATE($K$6,"/",B94),Proventos!$D:$D,"&lt;"&amp;CONCATENATE($L$6,"/",B94)),
$K$2&lt;&gt;Data!$A$2,SUMIFS(Proventos!$H:$H,Proventos!$D:$D,"&gt;="&amp;CONCATENATE($K$6,"/",B94),Proventos!$D:$D,"&lt;"&amp;CONCATENATE($L$6,"/",B94),Proventos!$A:$A,"="&amp;$K$2))</f>
        <v>0</v>
      </c>
      <c r="L94" s="245">
        <f>IFS(
AND($H$2=Data!$A$3,$K$2=Data!$A$2),SUMIFS(Proventos!$H:$H,Proventos!$D:$D,"&gt;="&amp;CONCATENATE($L$6,"/",B94),Proventos!$D:$D,"&lt;"&amp;CONCATENATE($M$6,"/",B94),Proventos!$J:$J,"="&amp;$H$2),
AND($H$2=Data!$A$4,$K$2=Data!$A$2),SUMIFS(Proventos!$H:$H,Proventos!$D:$D,"&gt;="&amp;CONCATENATE($L$6,"/",B94),Proventos!$D:$D,"&lt;"&amp;CONCATENATE($M$6,"/",B94),Proventos!$J:$J,"="&amp;$H$2),
AND($H$2=Data!$A$5,$K$2=Data!$A$2),SUMIFS(Proventos!$H:$H,Proventos!$D:$D,"&gt;="&amp;CONCATENATE($L$6,"/",B94),Proventos!$D:$D,"&lt;"&amp;CONCATENATE($M$6,"/",B94),Proventos!$J:$J,"="&amp;$H$2),
AND($H$2=Data!$A$6,$K$2=Data!$A$2),SUMIFS(Proventos!$H:$H,Proventos!$D:$D,"&gt;="&amp;CONCATENATE($L$6,"/",B94),Proventos!$D:$D,"&lt;"&amp;CONCATENATE($M$6,"/",B94),Proventos!$J:$J,"="&amp;$H$2),
AND($H$2=Data!$A$7,$K$2=Data!$A$2),SUMIFS(Proventos!$H:$H,Proventos!$D:$D,"&gt;="&amp;CONCATENATE($L$6,"/",B94),Proventos!$D:$D,"&lt;"&amp;CONCATENATE($M$6,"/",B94),Proventos!$J:$J,"="&amp;$H$2),
AND($H$2=Data!$A$8,$K$2=Data!$A$2),SUMIFS(Proventos!$H:$H,Proventos!$D:$D,"&gt;="&amp;CONCATENATE($L$6,"/",B94),Proventos!$D:$D,"&lt;"&amp;CONCATENATE($M$6,"/",B94),Proventos!$J:$J,"="&amp;$H$2),
AND($H$2=Data!$A$9,$K$2=Data!$A$2),SUMIFS(Proventos!$H:$H,Proventos!$D:$D,"&gt;="&amp;CONCATENATE($L$6,"/",B94),Proventos!$D:$D,"&lt;"&amp;CONCATENATE($M$6,"/",B94),Proventos!$J:$J,"="&amp;$H$2),
AND($H$2=Data!$A$10,$K$2=Data!$A$2),SUMIFS(Proventos!$H:$H,Proventos!$D:$D,"&gt;="&amp;CONCATENATE($L$6,"/",B94),Proventos!$D:$D,"&lt;"&amp;CONCATENATE($M$6,"/",B94),Proventos!$J:$J,"="&amp;$H$2),
AND($H$2=Data!$A$11,$K$2=Data!$A$2),SUMIFS(Proventos!$H:$H,Proventos!$D:$D,"&gt;="&amp;CONCATENATE($L$6,"/",B94),Proventos!$D:$D,"&lt;"&amp;CONCATENATE($M$6,"/",B94),Proventos!$J:$J,"="&amp;$H$2),
$K$2=Data!$A$2,SUMIFS(Proventos!$H:$H,Proventos!$D:$D,"&gt;="&amp;CONCATENATE($L$6,"/",B94),Proventos!$D:$D,"&lt;"&amp;CONCATENATE($M$6,"/",B94)),
$K$2&lt;&gt;Data!$A$2,SUMIFS(Proventos!$H:$H,Proventos!$D:$D,"&gt;="&amp;CONCATENATE($L$6,"/",B94),Proventos!$D:$D,"&lt;"&amp;CONCATENATE($M$6,"/",B94),Proventos!$A:$A,"="&amp;$K$2))</f>
        <v>0</v>
      </c>
      <c r="M94" s="245">
        <f>IFS(
AND($H$2=Data!$A$3,$K$2=Data!$A$2),SUMIFS(Proventos!$H:$H,Proventos!$D:$D,"&gt;="&amp;CONCATENATE($M$6,"/",B94),Proventos!$D:$D,"&lt;"&amp;CONCATENATE($N$6,"/",B94),Proventos!$J:$J,"="&amp;$H$2),
AND($H$2=Data!$A$4,$K$2=Data!$A$2),SUMIFS(Proventos!$H:$H,Proventos!$D:$D,"&gt;="&amp;CONCATENATE($M$6,"/",B94),Proventos!$D:$D,"&lt;"&amp;CONCATENATE($N$6,"/",B94),Proventos!$J:$J,"="&amp;$H$2),
AND($H$2=Data!$A$5,$K$2=Data!$A$2),SUMIFS(Proventos!$H:$H,Proventos!$D:$D,"&gt;="&amp;CONCATENATE($M$6,"/",B94),Proventos!$D:$D,"&lt;"&amp;CONCATENATE($N$6,"/",B94),Proventos!$J:$J,"="&amp;$H$2),
AND($H$2=Data!$A$6,$K$2=Data!$A$2),SUMIFS(Proventos!$H:$H,Proventos!$D:$D,"&gt;="&amp;CONCATENATE($M$6,"/",B94),Proventos!$D:$D,"&lt;"&amp;CONCATENATE($N$6,"/",B94),Proventos!$J:$J,"="&amp;$H$2),
AND($H$2=Data!$A$7,$K$2=Data!$A$2),SUMIFS(Proventos!$H:$H,Proventos!$D:$D,"&gt;="&amp;CONCATENATE($M$6,"/",B94),Proventos!$D:$D,"&lt;"&amp;CONCATENATE($N$6,"/",B94),Proventos!$J:$J,"="&amp;$H$2),
AND($H$2=Data!$A$8,$K$2=Data!$A$2),SUMIFS(Proventos!$H:$H,Proventos!$D:$D,"&gt;="&amp;CONCATENATE($M$6,"/",B94),Proventos!$D:$D,"&lt;"&amp;CONCATENATE($N$6,"/",B94),Proventos!$J:$J,"="&amp;$H$2),
AND($H$2=Data!$A$9,$K$2=Data!$A$2),SUMIFS(Proventos!$H:$H,Proventos!$D:$D,"&gt;="&amp;CONCATENATE($M$6,"/",B94),Proventos!$D:$D,"&lt;"&amp;CONCATENATE($N$6,"/",B94),Proventos!$J:$J,"="&amp;$H$2),
AND($H$2=Data!$A$10,$K$2=Data!$A$2),SUMIFS(Proventos!$H:$H,Proventos!$D:$D,"&gt;="&amp;CONCATENATE($M$6,"/",B94),Proventos!$D:$D,"&lt;"&amp;CONCATENATE($N$6,"/",B94),Proventos!$J:$J,"="&amp;$H$2),
AND($H$2=Data!$A$11,$K$2=Data!$A$2),SUMIFS(Proventos!$H:$H,Proventos!$D:$D,"&gt;="&amp;CONCATENATE($M$6,"/",B94),Proventos!$D:$D,"&lt;"&amp;CONCATENATE($N$6,"/",B94),Proventos!$J:$J,"="&amp;$H$2),
$K$2=Data!$A$2,SUMIFS(Proventos!$H:$H,Proventos!$D:$D,"&gt;="&amp;CONCATENATE($M$6,"/",B94),Proventos!$D:$D,"&lt;"&amp;CONCATENATE($N$6,"/",B94)),
$K$2&lt;&gt;Data!$A$2,SUMIFS(Proventos!$H:$H,Proventos!$D:$D,"&gt;="&amp;CONCATENATE($M$6,"/",B94),Proventos!$D:$D,"&lt;"&amp;CONCATENATE($N$6,"/",B94),Proventos!$A:$A,"="&amp;$K$2))</f>
        <v>0</v>
      </c>
      <c r="N94" s="245">
        <f>IFS(
AND($H$2=Data!$A$3,$K$2=Data!$A$2),SUMIFS(Proventos!$H:$H,Proventos!$D:$D,"&gt;="&amp;CONCATENATE($N$6,"/",B94),Proventos!$D:$D,"&lt;"&amp;CONCATENATE($C$6,"/",B95),Proventos!$J:$J,"="&amp;$H$2),
AND($H$2=Data!$A$4,$K$2=Data!$A$2),SUMIFS(Proventos!$H:$H,Proventos!$D:$D,"&gt;="&amp;CONCATENATE($N$6,"/",B94),Proventos!$D:$D,"&lt;"&amp;CONCATENATE($C$6,"/",B95),Proventos!$J:$J,"="&amp;$H$2),
AND($H$2=Data!$A$5,$K$2=Data!$A$2),SUMIFS(Proventos!$H:$H,Proventos!$D:$D,"&gt;="&amp;CONCATENATE($N$6,"/",B94),Proventos!$D:$D,"&lt;"&amp;CONCATENATE($C$6,"/",B95),Proventos!$J:$J,"="&amp;$H$2),
AND($H$2=Data!$A$6,$K$2=Data!$A$2),SUMIFS(Proventos!$H:$H,Proventos!$D:$D,"&gt;="&amp;CONCATENATE($N$6,"/",B94),Proventos!$D:$D,"&lt;"&amp;CONCATENATE($C$6,"/",B95),Proventos!$J:$J,"="&amp;$H$2),
AND($H$2=Data!$A$7,$K$2=Data!$A$2),SUMIFS(Proventos!$H:$H,Proventos!$D:$D,"&gt;="&amp;CONCATENATE($N$6,"/",B94),Proventos!$D:$D,"&lt;"&amp;CONCATENATE($C$6,"/",B95),Proventos!$J:$J,"="&amp;$H$2),
AND($H$2=Data!$A$8,$K$2=Data!$A$2),SUMIFS(Proventos!$H:$H,Proventos!$D:$D,"&gt;="&amp;CONCATENATE($N$6,"/",B94),Proventos!$D:$D,"&lt;"&amp;CONCATENATE($C$6,"/",B95),Proventos!$J:$J,"="&amp;$H$2),
AND($H$2=Data!$A$9,$K$2=Data!$A$2),SUMIFS(Proventos!$H:$H,Proventos!$D:$D,"&gt;="&amp;CONCATENATE($N$6,"/",B94),Proventos!$D:$D,"&lt;"&amp;CONCATENATE($C$6,"/",B95),Proventos!$J:$J,"="&amp;$H$2),
AND($H$2=Data!$A$10,$K$2=Data!$A$2),SUMIFS(Proventos!$H:$H,Proventos!$D:$D,"&gt;="&amp;CONCATENATE($N$6,"/",B94),Proventos!$D:$D,"&lt;"&amp;CONCATENATE($C$6,"/",B95),Proventos!$J:$J,"="&amp;$H$2),
AND($H$2=Data!$A$11,$K$2=Data!$A$2),SUMIFS(Proventos!$H:$H,Proventos!$D:$D,"&gt;="&amp;CONCATENATE($N$6,"/",B94),Proventos!$D:$D,"&lt;"&amp;CONCATENATE($C$6,"/",B95),Proventos!$J:$J,"="&amp;$H$2),
$K$2=Data!$A$2,SUMIFS(Proventos!$H:$H,Proventos!$D:$D,"&gt;="&amp;CONCATENATE($N$6,"/",B94),Proventos!$D:$D,"&lt;"&amp;CONCATENATE($C$6,"/",B95)),
$K$2&lt;&gt;Data!$A$2,SUMIFS(Proventos!$H:$H,Proventos!$D:$D,"&gt;="&amp;CONCATENATE($N$6,"/",B94),Proventos!$D:$D,"&lt;"&amp;CONCATENATE($C$6,"/",B95),Proventos!$A:$A,"="&amp;$K$2))</f>
        <v>0</v>
      </c>
      <c r="O94" s="245"/>
      <c r="P94" s="245">
        <f t="shared" si="1"/>
        <v>0</v>
      </c>
      <c r="Q94" s="245">
        <f t="shared" si="2"/>
        <v>0</v>
      </c>
    </row>
    <row r="95" ht="32.25" customHeight="1">
      <c r="A95" s="230"/>
      <c r="B95" s="244"/>
      <c r="C95" s="245">
        <f>IFS(
AND($H$2=Data!$A$3,$K$2=Data!$A$2),SUMIFS(Proventos!$H:$H,Proventos!$D:$D,"&gt;="&amp;CONCATENATE($C$6,"/",B95),Proventos!$D:$D,"&lt;"&amp;CONCATENATE($D$6,"/",B95),Proventos!$J:$J,"="&amp;$H$2),
AND($H$2=Data!$A$4,$K$2=Data!$A$2),SUMIFS(Proventos!$H:$H,Proventos!$D:$D,"&gt;="&amp;CONCATENATE($C$6,"/",B95),Proventos!$D:$D,"&lt;"&amp;CONCATENATE($D$6,"/",B95),Proventos!$J:$J,"="&amp;$H$2),
AND($H$2=Data!$A$5,$K$2=Data!$A$2),SUMIFS(Proventos!$H:$H,Proventos!$D:$D,"&gt;="&amp;CONCATENATE($C$6,"/",B95),Proventos!$D:$D,"&lt;"&amp;CONCATENATE($D$6,"/",B95),Proventos!$J:$J,"="&amp;$H$2),
AND($H$2=Data!$A$6,$K$2=Data!$A$2),SUMIFS(Proventos!$H:$H,Proventos!$D:$D,"&gt;="&amp;CONCATENATE($C$6,"/",B95),Proventos!$D:$D,"&lt;"&amp;CONCATENATE($D$6,"/",B95),Proventos!$J:$J,"="&amp;$H$2),
AND($H$2=Data!$A$7,$K$2=Data!$A$2),SUMIFS(Proventos!$H:$H,Proventos!$D:$D,"&gt;="&amp;CONCATENATE($C$6,"/",B95),Proventos!$D:$D,"&lt;"&amp;CONCATENATE($D$6,"/",B95),Proventos!$J:$J,"="&amp;$H$2),
AND($H$2=Data!$A$8,$K$2=Data!$A$2),SUMIFS(Proventos!$H:$H,Proventos!$D:$D,"&gt;="&amp;CONCATENATE($C$6,"/",B95),Proventos!$D:$D,"&lt;"&amp;CONCATENATE($D$6,"/",B95),Proventos!$J:$J,"="&amp;$H$2),
AND($H$2=Data!$A$9,$K$2=Data!$A$2),SUMIFS(Proventos!$H:$H,Proventos!$D:$D,"&gt;="&amp;CONCATENATE($C$6,"/",B95),Proventos!$D:$D,"&lt;"&amp;CONCATENATE($D$6,"/",B95),Proventos!$J:$J,"="&amp;$H$2),
AND($H$2=Data!$A$10,$K$2=Data!$A$2),SUMIFS(Proventos!$H:$H,Proventos!$D:$D,"&gt;="&amp;CONCATENATE($C$6,"/",B95),Proventos!$D:$D,"&lt;"&amp;CONCATENATE($D$6,"/",B95),Proventos!$J:$J,"="&amp;$H$2),
AND($H$2=Data!$A$11,$K$2=Data!$A$2),SUMIFS(Proventos!$H:$H,Proventos!$D:$D,"&gt;="&amp;CONCATENATE($C$6,"/",B95),Proventos!$D:$D,"&lt;"&amp;CONCATENATE($D$6,"/",B95),Proventos!$J:$J,"="&amp;$H$2),
$K$2=Data!$A$2,SUMIFS(Proventos!$H:$H,Proventos!$D:$D,"&gt;="&amp;CONCATENATE($C$6,"/",B95),Proventos!$D:$D,"&lt;"&amp;CONCATENATE($D$6,"/",B95)),
$K$2&lt;&gt;Data!$A$2,SUMIFS(Proventos!$H:$H,Proventos!$D:$D,"&gt;="&amp;CONCATENATE($C$6,"/",B95),Proventos!$D:$D,"&lt;"&amp;CONCATENATE($D$6,"/",B95),Proventos!$A:$A,"="&amp;$K$2))</f>
        <v>0</v>
      </c>
      <c r="D95" s="245">
        <f>IFS(
AND($H$2=Data!$A$3,$K$2=Data!$A$2),SUMIFS(Proventos!$H:$H,Proventos!$D:$D,"&gt;="&amp;CONCATENATE($D$6,"/",B95),Proventos!$D:$D,"&lt;"&amp;CONCATENATE($E$6,"/",B95),Proventos!$J:$J,"="&amp;$H$2),
AND($H$2=Data!$A$4,$K$2=Data!$A$2),SUMIFS(Proventos!$H:$H,Proventos!$D:$D,"&gt;="&amp;CONCATENATE($D$6,"/",B95),Proventos!$D:$D,"&lt;"&amp;CONCATENATE($E$6,"/",B95),Proventos!$J:$J,"="&amp;$H$2),
AND($H$2=Data!$A$5,$K$2=Data!$A$2),SUMIFS(Proventos!$H:$H,Proventos!$D:$D,"&gt;="&amp;CONCATENATE($D$6,"/",B95),Proventos!$D:$D,"&lt;"&amp;CONCATENATE($E$6,"/",B95),Proventos!$J:$J,"="&amp;$H$2),
AND($H$2=Data!$A$6,$K$2=Data!$A$2),SUMIFS(Proventos!$H:$H,Proventos!$D:$D,"&gt;="&amp;CONCATENATE($D$6,"/",B95),Proventos!$D:$D,"&lt;"&amp;CONCATENATE($E$6,"/",B95),Proventos!$J:$J,"="&amp;$H$2),
AND($H$2=Data!$A$7,$K$2=Data!$A$2),SUMIFS(Proventos!$H:$H,Proventos!$D:$D,"&gt;="&amp;CONCATENATE($D$6,"/",B95),Proventos!$D:$D,"&lt;"&amp;CONCATENATE($E$6,"/",B95),Proventos!$J:$J,"="&amp;$H$2),
AND($H$2=Data!$A$8,$K$2=Data!$A$2),SUMIFS(Proventos!$H:$H,Proventos!$D:$D,"&gt;="&amp;CONCATENATE($D$6,"/",B95),Proventos!$D:$D,"&lt;"&amp;CONCATENATE($E$6,"/",B95),Proventos!$J:$J,"="&amp;$H$2),
AND($H$2=Data!$A$9,$K$2=Data!$A$2),SUMIFS(Proventos!$H:$H,Proventos!$D:$D,"&gt;="&amp;CONCATENATE($D$6,"/",B95),Proventos!$D:$D,"&lt;"&amp;CONCATENATE($E$6,"/",B95),Proventos!$J:$J,"="&amp;$H$2),
AND($H$2=Data!$A$10,$K$2=Data!$A$2),SUMIFS(Proventos!$H:$H,Proventos!$D:$D,"&gt;="&amp;CONCATENATE($D$6,"/",B95),Proventos!$D:$D,"&lt;"&amp;CONCATENATE($E$6,"/",B95),Proventos!$J:$J,"="&amp;$H$2),
AND($H$2=Data!$A$11,$K$2=Data!$A$2),SUMIFS(Proventos!$H:$H,Proventos!$D:$D,"&gt;="&amp;CONCATENATE($D$6,"/",B95),Proventos!$D:$D,"&lt;"&amp;CONCATENATE($E$6,"/",B95),Proventos!$J:$J,"="&amp;$H$2),
$K$2=Data!$A$2,SUMIFS(Proventos!$H:$H,Proventos!$D:$D,"&gt;="&amp;CONCATENATE($D$6,"/",B95),Proventos!$D:$D,"&lt;"&amp;CONCATENATE($E$6,"/",B95)),
$K$2&lt;&gt;Data!$A$2,SUMIFS(Proventos!$H:$H,Proventos!$D:$D,"&gt;="&amp;CONCATENATE($D$6,"/",B95),Proventos!$D:$D,"&lt;"&amp;CONCATENATE($E$6,"/",B95),Proventos!$A:$A,"="&amp;$K$2))</f>
        <v>0</v>
      </c>
      <c r="E95" s="245">
        <f>IFS(
AND($H$2=Data!$A$3,$K$2=Data!$A$2),SUMIFS(Proventos!$H:$H,Proventos!$D:$D,"&gt;="&amp;CONCATENATE($E$6,"/",B95),Proventos!$D:$D,"&lt;"&amp;CONCATENATE($F$6,"/",B95),Proventos!$J:$J,"="&amp;$H$2),
AND($H$2=Data!$A$4,$K$2=Data!$A$2),SUMIFS(Proventos!$H:$H,Proventos!$D:$D,"&gt;="&amp;CONCATENATE($E$6,"/",B95),Proventos!$D:$D,"&lt;"&amp;CONCATENATE($F$6,"/",B95),Proventos!$J:$J,"="&amp;$H$2),
AND($H$2=Data!$A$5,$K$2=Data!$A$2),SUMIFS(Proventos!$H:$H,Proventos!$D:$D,"&gt;="&amp;CONCATENATE($E$6,"/",B95),Proventos!$D:$D,"&lt;"&amp;CONCATENATE($F$6,"/",B95),Proventos!$J:$J,"="&amp;$H$2),
AND($H$2=Data!$A$6,$K$2=Data!$A$2),SUMIFS(Proventos!$H:$H,Proventos!$D:$D,"&gt;="&amp;CONCATENATE($E$6,"/",B95),Proventos!$D:$D,"&lt;"&amp;CONCATENATE($F$6,"/",B95),Proventos!$J:$J,"="&amp;$H$2),
AND($H$2=Data!$A$7,$K$2=Data!$A$2),SUMIFS(Proventos!$H:$H,Proventos!$D:$D,"&gt;="&amp;CONCATENATE($E$6,"/",B95),Proventos!$D:$D,"&lt;"&amp;CONCATENATE($F$6,"/",B95),Proventos!$J:$J,"="&amp;$H$2),
AND($H$2=Data!$A$8,$K$2=Data!$A$2),SUMIFS(Proventos!$H:$H,Proventos!$D:$D,"&gt;="&amp;CONCATENATE($E$6,"/",B95),Proventos!$D:$D,"&lt;"&amp;CONCATENATE($F$6,"/",B95),Proventos!$J:$J,"="&amp;$H$2),
AND($H$2=Data!$A$9,$K$2=Data!$A$2),SUMIFS(Proventos!$H:$H,Proventos!$D:$D,"&gt;="&amp;CONCATENATE($E$6,"/",B95),Proventos!$D:$D,"&lt;"&amp;CONCATENATE($F$6,"/",B95),Proventos!$J:$J,"="&amp;$H$2),
AND($H$2=Data!$A$10,$K$2=Data!$A$2),SUMIFS(Proventos!$H:$H,Proventos!$D:$D,"&gt;="&amp;CONCATENATE($E$6,"/",B95),Proventos!$D:$D,"&lt;"&amp;CONCATENATE($F$6,"/",B95),Proventos!$J:$J,"="&amp;$H$2),
AND($H$2=Data!$A$11,$K$2=Data!$A$2),SUMIFS(Proventos!$H:$H,Proventos!$D:$D,"&gt;="&amp;CONCATENATE($E$6,"/",B95),Proventos!$D:$D,"&lt;"&amp;CONCATENATE($F$6,"/",B95),Proventos!$J:$J,"="&amp;$H$2),
$K$2=Data!$A$2,SUMIFS(Proventos!$H:$H,Proventos!$D:$D,"&gt;="&amp;CONCATENATE($E$6,"/",B95),Proventos!$D:$D,"&lt;"&amp;CONCATENATE($F$6,"/",B95)),
$K$2&lt;&gt;Data!$A$2,SUMIFS(Proventos!$H:$H,Proventos!$D:$D,"&gt;="&amp;CONCATENATE($E$6,"/",B95),Proventos!$D:$D,"&lt;"&amp;CONCATENATE($F$6,"/",B95),Proventos!$A:$A,"="&amp;$K$2))</f>
        <v>0</v>
      </c>
      <c r="F95" s="245">
        <f>IFS(
AND($H$2=Data!$A$3,$K$2=Data!$A$2),SUMIFS(Proventos!$H:$H,Proventos!$D:$D,"&gt;="&amp;CONCATENATE($F$6,"/",B95),Proventos!$D:$D,"&lt;"&amp;CONCATENATE($G$6,"/",B95),Proventos!$J:$J,"="&amp;$H$2),
AND($H$2=Data!$A$4,$K$2=Data!$A$2),SUMIFS(Proventos!$H:$H,Proventos!$D:$D,"&gt;="&amp;CONCATENATE($F$6,"/",B95),Proventos!$D:$D,"&lt;"&amp;CONCATENATE($G$6,"/",B95),Proventos!$J:$J,"="&amp;$H$2),
AND($H$2=Data!$A$5,$K$2=Data!$A$2),SUMIFS(Proventos!$H:$H,Proventos!$D:$D,"&gt;="&amp;CONCATENATE($F$6,"/",B95),Proventos!$D:$D,"&lt;"&amp;CONCATENATE($G$6,"/",B95),Proventos!$J:$J,"="&amp;$H$2),
AND($H$2=Data!$A$6,$K$2=Data!$A$2),SUMIFS(Proventos!$H:$H,Proventos!$D:$D,"&gt;="&amp;CONCATENATE($F$6,"/",B95),Proventos!$D:$D,"&lt;"&amp;CONCATENATE($G$6,"/",B95),Proventos!$J:$J,"="&amp;$H$2),
AND($H$2=Data!$A$7,$K$2=Data!$A$2),SUMIFS(Proventos!$H:$H,Proventos!$D:$D,"&gt;="&amp;CONCATENATE($F$6,"/",B95),Proventos!$D:$D,"&lt;"&amp;CONCATENATE($G$6,"/",B95),Proventos!$J:$J,"="&amp;$H$2),
AND($H$2=Data!$A$8,$K$2=Data!$A$2),SUMIFS(Proventos!$H:$H,Proventos!$D:$D,"&gt;="&amp;CONCATENATE($F$6,"/",B95),Proventos!$D:$D,"&lt;"&amp;CONCATENATE($G$6,"/",B95),Proventos!$J:$J,"="&amp;$H$2),
AND($H$2=Data!$A$9,$K$2=Data!$A$2),SUMIFS(Proventos!$H:$H,Proventos!$D:$D,"&gt;="&amp;CONCATENATE($F$6,"/",B95),Proventos!$D:$D,"&lt;"&amp;CONCATENATE($G$6,"/",B95),Proventos!$J:$J,"="&amp;$H$2),
AND($H$2=Data!$A$10,$K$2=Data!$A$2),SUMIFS(Proventos!$H:$H,Proventos!$D:$D,"&gt;="&amp;CONCATENATE($F$6,"/",B95),Proventos!$D:$D,"&lt;"&amp;CONCATENATE($G$6,"/",B95),Proventos!$J:$J,"="&amp;$H$2),
AND($H$2=Data!$A$11,$K$2=Data!$A$2),SUMIFS(Proventos!$H:$H,Proventos!$D:$D,"&gt;="&amp;CONCATENATE($F$6,"/",B95),Proventos!$D:$D,"&lt;"&amp;CONCATENATE($G$6,"/",B95),Proventos!$J:$J,"="&amp;$H$2),
$K$2=Data!$A$2,SUMIFS(Proventos!$H:$H,Proventos!$D:$D,"&gt;="&amp;CONCATENATE($F$6,"/",B95),Proventos!$D:$D,"&lt;"&amp;CONCATENATE($G$6,"/",B95)),
$K$2&lt;&gt;Data!$A$2,SUMIFS(Proventos!$H:$H,Proventos!$D:$D,"&gt;="&amp;CONCATENATE($F$6,"/",B95),Proventos!$D:$D,"&lt;"&amp;CONCATENATE($G$6,"/",B95),Proventos!$A:$A,"="&amp;$K$2))</f>
        <v>0</v>
      </c>
      <c r="G95" s="245">
        <f>IFS(
AND($H$2=Data!$A$3,$K$2=Data!$A$2),SUMIFS(Proventos!$H:$H,Proventos!$D:$D,"&gt;="&amp;CONCATENATE($G$6,"/",B95),Proventos!$D:$D,"&lt;"&amp;CONCATENATE($H$6,"/",B95),Proventos!$J:$J,"="&amp;$H$2),
AND($H$2=Data!$A$4,$K$2=Data!$A$2),SUMIFS(Proventos!$H:$H,Proventos!$D:$D,"&gt;="&amp;CONCATENATE($G$6,"/",B95),Proventos!$D:$D,"&lt;"&amp;CONCATENATE($H$6,"/",B95),Proventos!$J:$J,"="&amp;$H$2),
AND($H$2=Data!$A$5,$K$2=Data!$A$2),SUMIFS(Proventos!$H:$H,Proventos!$D:$D,"&gt;="&amp;CONCATENATE($G$6,"/",B95),Proventos!$D:$D,"&lt;"&amp;CONCATENATE($H$6,"/",B95),Proventos!$J:$J,"="&amp;$H$2),
AND($H$2=Data!$A$6,$K$2=Data!$A$2),SUMIFS(Proventos!$H:$H,Proventos!$D:$D,"&gt;="&amp;CONCATENATE($G$6,"/",B95),Proventos!$D:$D,"&lt;"&amp;CONCATENATE($H$6,"/",B95),Proventos!$J:$J,"="&amp;$H$2),
AND($H$2=Data!$A$7,$K$2=Data!$A$2),SUMIFS(Proventos!$H:$H,Proventos!$D:$D,"&gt;="&amp;CONCATENATE($G$6,"/",B95),Proventos!$D:$D,"&lt;"&amp;CONCATENATE($H$6,"/",B95),Proventos!$J:$J,"="&amp;$H$2),
AND($H$2=Data!$A$8,$K$2=Data!$A$2),SUMIFS(Proventos!$H:$H,Proventos!$D:$D,"&gt;="&amp;CONCATENATE($G$6,"/",B95),Proventos!$D:$D,"&lt;"&amp;CONCATENATE($H$6,"/",B95),Proventos!$J:$J,"="&amp;$H$2),
AND($H$2=Data!$A$9,$K$2=Data!$A$2),SUMIFS(Proventos!$H:$H,Proventos!$D:$D,"&gt;="&amp;CONCATENATE($G$6,"/",B95),Proventos!$D:$D,"&lt;"&amp;CONCATENATE($H$6,"/",B95),Proventos!$J:$J,"="&amp;$H$2),
AND($H$2=Data!$A$10,$K$2=Data!$A$2),SUMIFS(Proventos!$H:$H,Proventos!$D:$D,"&gt;="&amp;CONCATENATE($G$6,"/",B95),Proventos!$D:$D,"&lt;"&amp;CONCATENATE($H$6,"/",B95),Proventos!$J:$J,"="&amp;$H$2),
AND($H$2=Data!$A$11,$K$2=Data!$A$2),SUMIFS(Proventos!$H:$H,Proventos!$D:$D,"&gt;="&amp;CONCATENATE($G$6,"/",B95),Proventos!$D:$D,"&lt;"&amp;CONCATENATE($H$6,"/",B95),Proventos!$J:$J,"="&amp;$H$2),
$K$2=Data!$A$2,SUMIFS(Proventos!$H:$H,Proventos!$D:$D,"&gt;="&amp;CONCATENATE($G$6,"/",B95),Proventos!$D:$D,"&lt;"&amp;CONCATENATE($H$6,"/",B95)),
$K$2&lt;&gt;Data!$A$2,SUMIFS(Proventos!$H:$H,Proventos!$D:$D,"&gt;="&amp;CONCATENATE($G$6,"/",B95),Proventos!$D:$D,"&lt;"&amp;CONCATENATE($H$6,"/",B95),Proventos!$A:$A,"="&amp;$K$2))</f>
        <v>0</v>
      </c>
      <c r="H95" s="245">
        <f>IFS(
AND($H$2=Data!$A$3,$K$2=Data!$A$2),SUMIFS(Proventos!$H:$H,Proventos!$D:$D,"&gt;="&amp;CONCATENATE($H$6,"/",B95),Proventos!$D:$D,"&lt;"&amp;CONCATENATE($I$6,"/",B95),Proventos!$J:$J,"="&amp;$H$2),
AND($H$2=Data!$A$4,$K$2=Data!$A$2),SUMIFS(Proventos!$H:$H,Proventos!$D:$D,"&gt;="&amp;CONCATENATE($H$6,"/",B95),Proventos!$D:$D,"&lt;"&amp;CONCATENATE($I$6,"/",B95),Proventos!$J:$J,"="&amp;$H$2),
AND($H$2=Data!$A$5,$K$2=Data!$A$2),SUMIFS(Proventos!$H:$H,Proventos!$D:$D,"&gt;="&amp;CONCATENATE($H$6,"/",B95),Proventos!$D:$D,"&lt;"&amp;CONCATENATE($I$6,"/",B95),Proventos!$J:$J,"="&amp;$H$2),
AND($H$2=Data!$A$6,$K$2=Data!$A$2),SUMIFS(Proventos!$H:$H,Proventos!$D:$D,"&gt;="&amp;CONCATENATE($H$6,"/",B95),Proventos!$D:$D,"&lt;"&amp;CONCATENATE($I$6,"/",B95),Proventos!$J:$J,"="&amp;$H$2),
AND($H$2=Data!$A$7,$K$2=Data!$A$2),SUMIFS(Proventos!$H:$H,Proventos!$D:$D,"&gt;="&amp;CONCATENATE($H$6,"/",B95),Proventos!$D:$D,"&lt;"&amp;CONCATENATE($I$6,"/",B95),Proventos!$J:$J,"="&amp;$H$2),
AND($H$2=Data!$A$8,$K$2=Data!$A$2),SUMIFS(Proventos!$H:$H,Proventos!$D:$D,"&gt;="&amp;CONCATENATE($H$6,"/",B95),Proventos!$D:$D,"&lt;"&amp;CONCATENATE($I$6,"/",B95),Proventos!$J:$J,"="&amp;$H$2),
AND($H$2=Data!$A$9,$K$2=Data!$A$2),SUMIFS(Proventos!$H:$H,Proventos!$D:$D,"&gt;="&amp;CONCATENATE($H$6,"/",B95),Proventos!$D:$D,"&lt;"&amp;CONCATENATE($I$6,"/",B95),Proventos!$J:$J,"="&amp;$H$2),
AND($H$2=Data!$A$10,$K$2=Data!$A$2),SUMIFS(Proventos!$H:$H,Proventos!$D:$D,"&gt;="&amp;CONCATENATE($H$6,"/",B95),Proventos!$D:$D,"&lt;"&amp;CONCATENATE($I$6,"/",B95),Proventos!$J:$J,"="&amp;$H$2),
AND($H$2=Data!$A$11,$K$2=Data!$A$2),SUMIFS(Proventos!$H:$H,Proventos!$D:$D,"&gt;="&amp;CONCATENATE($H$6,"/",B95),Proventos!$D:$D,"&lt;"&amp;CONCATENATE($I$6,"/",B95),Proventos!$J:$J,"="&amp;$H$2),
$K$2=Data!$A$2,SUMIFS(Proventos!$H:$H,Proventos!$D:$D,"&gt;="&amp;CONCATENATE($H$6,"/",B95),Proventos!$D:$D,"&lt;"&amp;CONCATENATE($I$6,"/",B95)),
$K$2&lt;&gt;Data!$A$2,SUMIFS(Proventos!$H:$H,Proventos!$D:$D,"&gt;="&amp;CONCATENATE($H$6,"/",B95),Proventos!$D:$D,"&lt;"&amp;CONCATENATE($I$6,"/",B95),Proventos!$A:$A,"="&amp;$K$2))</f>
        <v>0</v>
      </c>
      <c r="I95" s="245">
        <f>IFS(
AND($H$2=Data!$A$3,$K$2=Data!$A$2),SUMIFS(Proventos!$H:$H,Proventos!$D:$D,"&gt;="&amp;CONCATENATE($I$6,"/",B95),Proventos!$D:$D,"&lt;"&amp;CONCATENATE($J$6,"/",B95),Proventos!$J:$J,"="&amp;$H$2),
AND($H$2=Data!$A$4,$K$2=Data!$A$2),SUMIFS(Proventos!$H:$H,Proventos!$D:$D,"&gt;="&amp;CONCATENATE($I$6,"/",B95),Proventos!$D:$D,"&lt;"&amp;CONCATENATE($J$6,"/",B95),Proventos!$J:$J,"="&amp;$H$2),
AND($H$2=Data!$A$5,$K$2=Data!$A$2),SUMIFS(Proventos!$H:$H,Proventos!$D:$D,"&gt;="&amp;CONCATENATE($I$6,"/",B95),Proventos!$D:$D,"&lt;"&amp;CONCATENATE($J$6,"/",B95),Proventos!$J:$J,"="&amp;$H$2),
AND($H$2=Data!$A$6,$K$2=Data!$A$2),SUMIFS(Proventos!$H:$H,Proventos!$D:$D,"&gt;="&amp;CONCATENATE($I$6,"/",B95),Proventos!$D:$D,"&lt;"&amp;CONCATENATE($J$6,"/",B95),Proventos!$J:$J,"="&amp;$H$2),
AND($H$2=Data!$A$7,$K$2=Data!$A$2),SUMIFS(Proventos!$H:$H,Proventos!$D:$D,"&gt;="&amp;CONCATENATE($I$6,"/",B95),Proventos!$D:$D,"&lt;"&amp;CONCATENATE($J$6,"/",B95),Proventos!$J:$J,"="&amp;$H$2),
AND($H$2=Data!$A$8,$K$2=Data!$A$2),SUMIFS(Proventos!$H:$H,Proventos!$D:$D,"&gt;="&amp;CONCATENATE($I$6,"/",B95),Proventos!$D:$D,"&lt;"&amp;CONCATENATE($J$6,"/",B95),Proventos!$J:$J,"="&amp;$H$2),
AND($H$2=Data!$A$9,$K$2=Data!$A$2),SUMIFS(Proventos!$H:$H,Proventos!$D:$D,"&gt;="&amp;CONCATENATE($I$6,"/",B95),Proventos!$D:$D,"&lt;"&amp;CONCATENATE($J$6,"/",B95),Proventos!$J:$J,"="&amp;$H$2),
AND($H$2=Data!$A$10,$K$2=Data!$A$2),SUMIFS(Proventos!$H:$H,Proventos!$D:$D,"&gt;="&amp;CONCATENATE($I$6,"/",B95),Proventos!$D:$D,"&lt;"&amp;CONCATENATE($J$6,"/",B95),Proventos!$J:$J,"="&amp;$H$2),
AND($H$2=Data!$A$11,$K$2=Data!$A$2),SUMIFS(Proventos!$H:$H,Proventos!$D:$D,"&gt;="&amp;CONCATENATE($I$6,"/",B95),Proventos!$D:$D,"&lt;"&amp;CONCATENATE($J$6,"/",B95),Proventos!$J:$J,"="&amp;$H$2),
$K$2=Data!$A$2,SUMIFS(Proventos!$H:$H,Proventos!$D:$D,"&gt;="&amp;CONCATENATE($I$6,"/",B95),Proventos!$D:$D,"&lt;"&amp;CONCATENATE($J$6,"/",B95)),
$K$2&lt;&gt;Data!$A$2,SUMIFS(Proventos!$H:$H,Proventos!$D:$D,"&gt;="&amp;CONCATENATE($I$6,"/",B95),Proventos!$D:$D,"&lt;"&amp;CONCATENATE($J$6,"/",B95),Proventos!$A:$A,"="&amp;$K$2))</f>
        <v>0</v>
      </c>
      <c r="J95" s="245">
        <f>IFS(
AND($H$2=Data!$A$3,$K$2=Data!$A$2),SUMIFS(Proventos!$H:$H,Proventos!$D:$D,"&gt;="&amp;CONCATENATE($J$6,"/",B95),Proventos!$D:$D,"&lt;"&amp;CONCATENATE($K$6,"/",B95),Proventos!$J:$J,"="&amp;$H$2),
AND($H$2=Data!$A$4,$K$2=Data!$A$2),SUMIFS(Proventos!$H:$H,Proventos!$D:$D,"&gt;="&amp;CONCATENATE($J$6,"/",B95),Proventos!$D:$D,"&lt;"&amp;CONCATENATE($K$6,"/",B95),Proventos!$J:$J,"="&amp;$H$2),
AND($H$2=Data!$A$5,$K$2=Data!$A$2),SUMIFS(Proventos!$H:$H,Proventos!$D:$D,"&gt;="&amp;CONCATENATE($J$6,"/",B95),Proventos!$D:$D,"&lt;"&amp;CONCATENATE($K$6,"/",B95),Proventos!$J:$J,"="&amp;$H$2),
AND($H$2=Data!$A$6,$K$2=Data!$A$2),SUMIFS(Proventos!$H:$H,Proventos!$D:$D,"&gt;="&amp;CONCATENATE($J$6,"/",B95),Proventos!$D:$D,"&lt;"&amp;CONCATENATE($K$6,"/",B95),Proventos!$J:$J,"="&amp;$H$2),
AND($H$2=Data!$A$7,$K$2=Data!$A$2),SUMIFS(Proventos!$H:$H,Proventos!$D:$D,"&gt;="&amp;CONCATENATE($J$6,"/",B95),Proventos!$D:$D,"&lt;"&amp;CONCATENATE($K$6,"/",B95),Proventos!$J:$J,"="&amp;$H$2),
AND($H$2=Data!$A$8,$K$2=Data!$A$2),SUMIFS(Proventos!$H:$H,Proventos!$D:$D,"&gt;="&amp;CONCATENATE($J$6,"/",B95),Proventos!$D:$D,"&lt;"&amp;CONCATENATE($K$6,"/",B95),Proventos!$J:$J,"="&amp;$H$2),
AND($H$2=Data!$A$9,$K$2=Data!$A$2),SUMIFS(Proventos!$H:$H,Proventos!$D:$D,"&gt;="&amp;CONCATENATE($J$6,"/",B95),Proventos!$D:$D,"&lt;"&amp;CONCATENATE($K$6,"/",B95),Proventos!$J:$J,"="&amp;$H$2),
AND($H$2=Data!$A$10,$K$2=Data!$A$2),SUMIFS(Proventos!$H:$H,Proventos!$D:$D,"&gt;="&amp;CONCATENATE($J$6,"/",B95),Proventos!$D:$D,"&lt;"&amp;CONCATENATE($K$6,"/",B95),Proventos!$J:$J,"="&amp;$H$2),
AND($H$2=Data!$A$11,$K$2=Data!$A$2),SUMIFS(Proventos!$H:$H,Proventos!$D:$D,"&gt;="&amp;CONCATENATE($J$6,"/",B95),Proventos!$D:$D,"&lt;"&amp;CONCATENATE($K$6,"/",B95),Proventos!$J:$J,"="&amp;$H$2),
$K$2=Data!$A$2,SUMIFS(Proventos!$H:$H,Proventos!$D:$D,"&gt;="&amp;CONCATENATE($J$6,"/",B95),Proventos!$D:$D,"&lt;"&amp;CONCATENATE($K$6,"/",B95)),
$K$2&lt;&gt;Data!$A$2,SUMIFS(Proventos!$H:$H,Proventos!$D:$D,"&gt;="&amp;CONCATENATE($J$6,"/",B95),Proventos!$D:$D,"&lt;"&amp;CONCATENATE($K$6,"/",B95),Proventos!$A:$A,"="&amp;$K$2))</f>
        <v>0</v>
      </c>
      <c r="K95" s="245">
        <f>IFS(
AND($H$2=Data!$A$3,$K$2=Data!$A$2),SUMIFS(Proventos!$H:$H,Proventos!$D:$D,"&gt;="&amp;CONCATENATE($K$6,"/",B95),Proventos!$D:$D,"&lt;"&amp;CONCATENATE($L$6,"/",B95),Proventos!$J:$J,"="&amp;$H$2),
AND($H$2=Data!$A$4,$K$2=Data!$A$2),SUMIFS(Proventos!$H:$H,Proventos!$D:$D,"&gt;="&amp;CONCATENATE($K$6,"/",B95),Proventos!$D:$D,"&lt;"&amp;CONCATENATE($L$6,"/",B95),Proventos!$J:$J,"="&amp;$H$2),
AND($H$2=Data!$A$5,$K$2=Data!$A$2),SUMIFS(Proventos!$H:$H,Proventos!$D:$D,"&gt;="&amp;CONCATENATE($K$6,"/",B95),Proventos!$D:$D,"&lt;"&amp;CONCATENATE($L$6,"/",B95),Proventos!$J:$J,"="&amp;$H$2),
AND($H$2=Data!$A$6,$K$2=Data!$A$2),SUMIFS(Proventos!$H:$H,Proventos!$D:$D,"&gt;="&amp;CONCATENATE($K$6,"/",B95),Proventos!$D:$D,"&lt;"&amp;CONCATENATE($L$6,"/",B95),Proventos!$J:$J,"="&amp;$H$2),
AND($H$2=Data!$A$7,$K$2=Data!$A$2),SUMIFS(Proventos!$H:$H,Proventos!$D:$D,"&gt;="&amp;CONCATENATE($K$6,"/",B95),Proventos!$D:$D,"&lt;"&amp;CONCATENATE($L$6,"/",B95),Proventos!$J:$J,"="&amp;$H$2),
AND($H$2=Data!$A$8,$K$2=Data!$A$2),SUMIFS(Proventos!$H:$H,Proventos!$D:$D,"&gt;="&amp;CONCATENATE($K$6,"/",B95),Proventos!$D:$D,"&lt;"&amp;CONCATENATE($L$6,"/",B95),Proventos!$J:$J,"="&amp;$H$2),
AND($H$2=Data!$A$9,$K$2=Data!$A$2),SUMIFS(Proventos!$H:$H,Proventos!$D:$D,"&gt;="&amp;CONCATENATE($K$6,"/",B95),Proventos!$D:$D,"&lt;"&amp;CONCATENATE($L$6,"/",B95),Proventos!$J:$J,"="&amp;$H$2),
AND($H$2=Data!$A$10,$K$2=Data!$A$2),SUMIFS(Proventos!$H:$H,Proventos!$D:$D,"&gt;="&amp;CONCATENATE($K$6,"/",B95),Proventos!$D:$D,"&lt;"&amp;CONCATENATE($L$6,"/",B95),Proventos!$J:$J,"="&amp;$H$2),
AND($H$2=Data!$A$11,$K$2=Data!$A$2),SUMIFS(Proventos!$H:$H,Proventos!$D:$D,"&gt;="&amp;CONCATENATE($K$6,"/",B95),Proventos!$D:$D,"&lt;"&amp;CONCATENATE($L$6,"/",B95),Proventos!$J:$J,"="&amp;$H$2),
$K$2=Data!$A$2,SUMIFS(Proventos!$H:$H,Proventos!$D:$D,"&gt;="&amp;CONCATENATE($K$6,"/",B95),Proventos!$D:$D,"&lt;"&amp;CONCATENATE($L$6,"/",B95)),
$K$2&lt;&gt;Data!$A$2,SUMIFS(Proventos!$H:$H,Proventos!$D:$D,"&gt;="&amp;CONCATENATE($K$6,"/",B95),Proventos!$D:$D,"&lt;"&amp;CONCATENATE($L$6,"/",B95),Proventos!$A:$A,"="&amp;$K$2))</f>
        <v>0</v>
      </c>
      <c r="L95" s="245">
        <f>IFS(
AND($H$2=Data!$A$3,$K$2=Data!$A$2),SUMIFS(Proventos!$H:$H,Proventos!$D:$D,"&gt;="&amp;CONCATENATE($L$6,"/",B95),Proventos!$D:$D,"&lt;"&amp;CONCATENATE($M$6,"/",B95),Proventos!$J:$J,"="&amp;$H$2),
AND($H$2=Data!$A$4,$K$2=Data!$A$2),SUMIFS(Proventos!$H:$H,Proventos!$D:$D,"&gt;="&amp;CONCATENATE($L$6,"/",B95),Proventos!$D:$D,"&lt;"&amp;CONCATENATE($M$6,"/",B95),Proventos!$J:$J,"="&amp;$H$2),
AND($H$2=Data!$A$5,$K$2=Data!$A$2),SUMIFS(Proventos!$H:$H,Proventos!$D:$D,"&gt;="&amp;CONCATENATE($L$6,"/",B95),Proventos!$D:$D,"&lt;"&amp;CONCATENATE($M$6,"/",B95),Proventos!$J:$J,"="&amp;$H$2),
AND($H$2=Data!$A$6,$K$2=Data!$A$2),SUMIFS(Proventos!$H:$H,Proventos!$D:$D,"&gt;="&amp;CONCATENATE($L$6,"/",B95),Proventos!$D:$D,"&lt;"&amp;CONCATENATE($M$6,"/",B95),Proventos!$J:$J,"="&amp;$H$2),
AND($H$2=Data!$A$7,$K$2=Data!$A$2),SUMIFS(Proventos!$H:$H,Proventos!$D:$D,"&gt;="&amp;CONCATENATE($L$6,"/",B95),Proventos!$D:$D,"&lt;"&amp;CONCATENATE($M$6,"/",B95),Proventos!$J:$J,"="&amp;$H$2),
AND($H$2=Data!$A$8,$K$2=Data!$A$2),SUMIFS(Proventos!$H:$H,Proventos!$D:$D,"&gt;="&amp;CONCATENATE($L$6,"/",B95),Proventos!$D:$D,"&lt;"&amp;CONCATENATE($M$6,"/",B95),Proventos!$J:$J,"="&amp;$H$2),
AND($H$2=Data!$A$9,$K$2=Data!$A$2),SUMIFS(Proventos!$H:$H,Proventos!$D:$D,"&gt;="&amp;CONCATENATE($L$6,"/",B95),Proventos!$D:$D,"&lt;"&amp;CONCATENATE($M$6,"/",B95),Proventos!$J:$J,"="&amp;$H$2),
AND($H$2=Data!$A$10,$K$2=Data!$A$2),SUMIFS(Proventos!$H:$H,Proventos!$D:$D,"&gt;="&amp;CONCATENATE($L$6,"/",B95),Proventos!$D:$D,"&lt;"&amp;CONCATENATE($M$6,"/",B95),Proventos!$J:$J,"="&amp;$H$2),
AND($H$2=Data!$A$11,$K$2=Data!$A$2),SUMIFS(Proventos!$H:$H,Proventos!$D:$D,"&gt;="&amp;CONCATENATE($L$6,"/",B95),Proventos!$D:$D,"&lt;"&amp;CONCATENATE($M$6,"/",B95),Proventos!$J:$J,"="&amp;$H$2),
$K$2=Data!$A$2,SUMIFS(Proventos!$H:$H,Proventos!$D:$D,"&gt;="&amp;CONCATENATE($L$6,"/",B95),Proventos!$D:$D,"&lt;"&amp;CONCATENATE($M$6,"/",B95)),
$K$2&lt;&gt;Data!$A$2,SUMIFS(Proventos!$H:$H,Proventos!$D:$D,"&gt;="&amp;CONCATENATE($L$6,"/",B95),Proventos!$D:$D,"&lt;"&amp;CONCATENATE($M$6,"/",B95),Proventos!$A:$A,"="&amp;$K$2))</f>
        <v>0</v>
      </c>
      <c r="M95" s="245">
        <f>IFS(
AND($H$2=Data!$A$3,$K$2=Data!$A$2),SUMIFS(Proventos!$H:$H,Proventos!$D:$D,"&gt;="&amp;CONCATENATE($M$6,"/",B95),Proventos!$D:$D,"&lt;"&amp;CONCATENATE($N$6,"/",B95),Proventos!$J:$J,"="&amp;$H$2),
AND($H$2=Data!$A$4,$K$2=Data!$A$2),SUMIFS(Proventos!$H:$H,Proventos!$D:$D,"&gt;="&amp;CONCATENATE($M$6,"/",B95),Proventos!$D:$D,"&lt;"&amp;CONCATENATE($N$6,"/",B95),Proventos!$J:$J,"="&amp;$H$2),
AND($H$2=Data!$A$5,$K$2=Data!$A$2),SUMIFS(Proventos!$H:$H,Proventos!$D:$D,"&gt;="&amp;CONCATENATE($M$6,"/",B95),Proventos!$D:$D,"&lt;"&amp;CONCATENATE($N$6,"/",B95),Proventos!$J:$J,"="&amp;$H$2),
AND($H$2=Data!$A$6,$K$2=Data!$A$2),SUMIFS(Proventos!$H:$H,Proventos!$D:$D,"&gt;="&amp;CONCATENATE($M$6,"/",B95),Proventos!$D:$D,"&lt;"&amp;CONCATENATE($N$6,"/",B95),Proventos!$J:$J,"="&amp;$H$2),
AND($H$2=Data!$A$7,$K$2=Data!$A$2),SUMIFS(Proventos!$H:$H,Proventos!$D:$D,"&gt;="&amp;CONCATENATE($M$6,"/",B95),Proventos!$D:$D,"&lt;"&amp;CONCATENATE($N$6,"/",B95),Proventos!$J:$J,"="&amp;$H$2),
AND($H$2=Data!$A$8,$K$2=Data!$A$2),SUMIFS(Proventos!$H:$H,Proventos!$D:$D,"&gt;="&amp;CONCATENATE($M$6,"/",B95),Proventos!$D:$D,"&lt;"&amp;CONCATENATE($N$6,"/",B95),Proventos!$J:$J,"="&amp;$H$2),
AND($H$2=Data!$A$9,$K$2=Data!$A$2),SUMIFS(Proventos!$H:$H,Proventos!$D:$D,"&gt;="&amp;CONCATENATE($M$6,"/",B95),Proventos!$D:$D,"&lt;"&amp;CONCATENATE($N$6,"/",B95),Proventos!$J:$J,"="&amp;$H$2),
AND($H$2=Data!$A$10,$K$2=Data!$A$2),SUMIFS(Proventos!$H:$H,Proventos!$D:$D,"&gt;="&amp;CONCATENATE($M$6,"/",B95),Proventos!$D:$D,"&lt;"&amp;CONCATENATE($N$6,"/",B95),Proventos!$J:$J,"="&amp;$H$2),
AND($H$2=Data!$A$11,$K$2=Data!$A$2),SUMIFS(Proventos!$H:$H,Proventos!$D:$D,"&gt;="&amp;CONCATENATE($M$6,"/",B95),Proventos!$D:$D,"&lt;"&amp;CONCATENATE($N$6,"/",B95),Proventos!$J:$J,"="&amp;$H$2),
$K$2=Data!$A$2,SUMIFS(Proventos!$H:$H,Proventos!$D:$D,"&gt;="&amp;CONCATENATE($M$6,"/",B95),Proventos!$D:$D,"&lt;"&amp;CONCATENATE($N$6,"/",B95)),
$K$2&lt;&gt;Data!$A$2,SUMIFS(Proventos!$H:$H,Proventos!$D:$D,"&gt;="&amp;CONCATENATE($M$6,"/",B95),Proventos!$D:$D,"&lt;"&amp;CONCATENATE($N$6,"/",B95),Proventos!$A:$A,"="&amp;$K$2))</f>
        <v>0</v>
      </c>
      <c r="N95" s="245">
        <f>IFS(
AND($H$2=Data!$A$3,$K$2=Data!$A$2),SUMIFS(Proventos!$H:$H,Proventos!$D:$D,"&gt;="&amp;CONCATENATE($N$6,"/",B95),Proventos!$D:$D,"&lt;"&amp;CONCATENATE($C$6,"/",B96),Proventos!$J:$J,"="&amp;$H$2),
AND($H$2=Data!$A$4,$K$2=Data!$A$2),SUMIFS(Proventos!$H:$H,Proventos!$D:$D,"&gt;="&amp;CONCATENATE($N$6,"/",B95),Proventos!$D:$D,"&lt;"&amp;CONCATENATE($C$6,"/",B96),Proventos!$J:$J,"="&amp;$H$2),
AND($H$2=Data!$A$5,$K$2=Data!$A$2),SUMIFS(Proventos!$H:$H,Proventos!$D:$D,"&gt;="&amp;CONCATENATE($N$6,"/",B95),Proventos!$D:$D,"&lt;"&amp;CONCATENATE($C$6,"/",B96),Proventos!$J:$J,"="&amp;$H$2),
AND($H$2=Data!$A$6,$K$2=Data!$A$2),SUMIFS(Proventos!$H:$H,Proventos!$D:$D,"&gt;="&amp;CONCATENATE($N$6,"/",B95),Proventos!$D:$D,"&lt;"&amp;CONCATENATE($C$6,"/",B96),Proventos!$J:$J,"="&amp;$H$2),
AND($H$2=Data!$A$7,$K$2=Data!$A$2),SUMIFS(Proventos!$H:$H,Proventos!$D:$D,"&gt;="&amp;CONCATENATE($N$6,"/",B95),Proventos!$D:$D,"&lt;"&amp;CONCATENATE($C$6,"/",B96),Proventos!$J:$J,"="&amp;$H$2),
AND($H$2=Data!$A$8,$K$2=Data!$A$2),SUMIFS(Proventos!$H:$H,Proventos!$D:$D,"&gt;="&amp;CONCATENATE($N$6,"/",B95),Proventos!$D:$D,"&lt;"&amp;CONCATENATE($C$6,"/",B96),Proventos!$J:$J,"="&amp;$H$2),
AND($H$2=Data!$A$9,$K$2=Data!$A$2),SUMIFS(Proventos!$H:$H,Proventos!$D:$D,"&gt;="&amp;CONCATENATE($N$6,"/",B95),Proventos!$D:$D,"&lt;"&amp;CONCATENATE($C$6,"/",B96),Proventos!$J:$J,"="&amp;$H$2),
AND($H$2=Data!$A$10,$K$2=Data!$A$2),SUMIFS(Proventos!$H:$H,Proventos!$D:$D,"&gt;="&amp;CONCATENATE($N$6,"/",B95),Proventos!$D:$D,"&lt;"&amp;CONCATENATE($C$6,"/",B96),Proventos!$J:$J,"="&amp;$H$2),
AND($H$2=Data!$A$11,$K$2=Data!$A$2),SUMIFS(Proventos!$H:$H,Proventos!$D:$D,"&gt;="&amp;CONCATENATE($N$6,"/",B95),Proventos!$D:$D,"&lt;"&amp;CONCATENATE($C$6,"/",B96),Proventos!$J:$J,"="&amp;$H$2),
$K$2=Data!$A$2,SUMIFS(Proventos!$H:$H,Proventos!$D:$D,"&gt;="&amp;CONCATENATE($N$6,"/",B95),Proventos!$D:$D,"&lt;"&amp;CONCATENATE($C$6,"/",B96)),
$K$2&lt;&gt;Data!$A$2,SUMIFS(Proventos!$H:$H,Proventos!$D:$D,"&gt;="&amp;CONCATENATE($N$6,"/",B95),Proventos!$D:$D,"&lt;"&amp;CONCATENATE($C$6,"/",B96),Proventos!$A:$A,"="&amp;$K$2))</f>
        <v>0</v>
      </c>
      <c r="O95" s="245"/>
      <c r="P95" s="245">
        <f t="shared" si="1"/>
        <v>0</v>
      </c>
      <c r="Q95" s="245">
        <f t="shared" si="2"/>
        <v>0</v>
      </c>
    </row>
    <row r="96" ht="32.25" customHeight="1">
      <c r="A96" s="230"/>
      <c r="B96" s="244"/>
      <c r="C96" s="245">
        <f>IFS(
AND($H$2=Data!$A$3,$K$2=Data!$A$2),SUMIFS(Proventos!$H:$H,Proventos!$D:$D,"&gt;="&amp;CONCATENATE($C$6,"/",B96),Proventos!$D:$D,"&lt;"&amp;CONCATENATE($D$6,"/",B96),Proventos!$J:$J,"="&amp;$H$2),
AND($H$2=Data!$A$4,$K$2=Data!$A$2),SUMIFS(Proventos!$H:$H,Proventos!$D:$D,"&gt;="&amp;CONCATENATE($C$6,"/",B96),Proventos!$D:$D,"&lt;"&amp;CONCATENATE($D$6,"/",B96),Proventos!$J:$J,"="&amp;$H$2),
AND($H$2=Data!$A$5,$K$2=Data!$A$2),SUMIFS(Proventos!$H:$H,Proventos!$D:$D,"&gt;="&amp;CONCATENATE($C$6,"/",B96),Proventos!$D:$D,"&lt;"&amp;CONCATENATE($D$6,"/",B96),Proventos!$J:$J,"="&amp;$H$2),
AND($H$2=Data!$A$6,$K$2=Data!$A$2),SUMIFS(Proventos!$H:$H,Proventos!$D:$D,"&gt;="&amp;CONCATENATE($C$6,"/",B96),Proventos!$D:$D,"&lt;"&amp;CONCATENATE($D$6,"/",B96),Proventos!$J:$J,"="&amp;$H$2),
AND($H$2=Data!$A$7,$K$2=Data!$A$2),SUMIFS(Proventos!$H:$H,Proventos!$D:$D,"&gt;="&amp;CONCATENATE($C$6,"/",B96),Proventos!$D:$D,"&lt;"&amp;CONCATENATE($D$6,"/",B96),Proventos!$J:$J,"="&amp;$H$2),
AND($H$2=Data!$A$8,$K$2=Data!$A$2),SUMIFS(Proventos!$H:$H,Proventos!$D:$D,"&gt;="&amp;CONCATENATE($C$6,"/",B96),Proventos!$D:$D,"&lt;"&amp;CONCATENATE($D$6,"/",B96),Proventos!$J:$J,"="&amp;$H$2),
AND($H$2=Data!$A$9,$K$2=Data!$A$2),SUMIFS(Proventos!$H:$H,Proventos!$D:$D,"&gt;="&amp;CONCATENATE($C$6,"/",B96),Proventos!$D:$D,"&lt;"&amp;CONCATENATE($D$6,"/",B96),Proventos!$J:$J,"="&amp;$H$2),
AND($H$2=Data!$A$10,$K$2=Data!$A$2),SUMIFS(Proventos!$H:$H,Proventos!$D:$D,"&gt;="&amp;CONCATENATE($C$6,"/",B96),Proventos!$D:$D,"&lt;"&amp;CONCATENATE($D$6,"/",B96),Proventos!$J:$J,"="&amp;$H$2),
AND($H$2=Data!$A$11,$K$2=Data!$A$2),SUMIFS(Proventos!$H:$H,Proventos!$D:$D,"&gt;="&amp;CONCATENATE($C$6,"/",B96),Proventos!$D:$D,"&lt;"&amp;CONCATENATE($D$6,"/",B96),Proventos!$J:$J,"="&amp;$H$2),
$K$2=Data!$A$2,SUMIFS(Proventos!$H:$H,Proventos!$D:$D,"&gt;="&amp;CONCATENATE($C$6,"/",B96),Proventos!$D:$D,"&lt;"&amp;CONCATENATE($D$6,"/",B96)),
$K$2&lt;&gt;Data!$A$2,SUMIFS(Proventos!$H:$H,Proventos!$D:$D,"&gt;="&amp;CONCATENATE($C$6,"/",B96),Proventos!$D:$D,"&lt;"&amp;CONCATENATE($D$6,"/",B96),Proventos!$A:$A,"="&amp;$K$2))</f>
        <v>0</v>
      </c>
      <c r="D96" s="245">
        <f>IFS(
AND($H$2=Data!$A$3,$K$2=Data!$A$2),SUMIFS(Proventos!$H:$H,Proventos!$D:$D,"&gt;="&amp;CONCATENATE($D$6,"/",B96),Proventos!$D:$D,"&lt;"&amp;CONCATENATE($E$6,"/",B96),Proventos!$J:$J,"="&amp;$H$2),
AND($H$2=Data!$A$4,$K$2=Data!$A$2),SUMIFS(Proventos!$H:$H,Proventos!$D:$D,"&gt;="&amp;CONCATENATE($D$6,"/",B96),Proventos!$D:$D,"&lt;"&amp;CONCATENATE($E$6,"/",B96),Proventos!$J:$J,"="&amp;$H$2),
AND($H$2=Data!$A$5,$K$2=Data!$A$2),SUMIFS(Proventos!$H:$H,Proventos!$D:$D,"&gt;="&amp;CONCATENATE($D$6,"/",B96),Proventos!$D:$D,"&lt;"&amp;CONCATENATE($E$6,"/",B96),Proventos!$J:$J,"="&amp;$H$2),
AND($H$2=Data!$A$6,$K$2=Data!$A$2),SUMIFS(Proventos!$H:$H,Proventos!$D:$D,"&gt;="&amp;CONCATENATE($D$6,"/",B96),Proventos!$D:$D,"&lt;"&amp;CONCATENATE($E$6,"/",B96),Proventos!$J:$J,"="&amp;$H$2),
AND($H$2=Data!$A$7,$K$2=Data!$A$2),SUMIFS(Proventos!$H:$H,Proventos!$D:$D,"&gt;="&amp;CONCATENATE($D$6,"/",B96),Proventos!$D:$D,"&lt;"&amp;CONCATENATE($E$6,"/",B96),Proventos!$J:$J,"="&amp;$H$2),
AND($H$2=Data!$A$8,$K$2=Data!$A$2),SUMIFS(Proventos!$H:$H,Proventos!$D:$D,"&gt;="&amp;CONCATENATE($D$6,"/",B96),Proventos!$D:$D,"&lt;"&amp;CONCATENATE($E$6,"/",B96),Proventos!$J:$J,"="&amp;$H$2),
AND($H$2=Data!$A$9,$K$2=Data!$A$2),SUMIFS(Proventos!$H:$H,Proventos!$D:$D,"&gt;="&amp;CONCATENATE($D$6,"/",B96),Proventos!$D:$D,"&lt;"&amp;CONCATENATE($E$6,"/",B96),Proventos!$J:$J,"="&amp;$H$2),
AND($H$2=Data!$A$10,$K$2=Data!$A$2),SUMIFS(Proventos!$H:$H,Proventos!$D:$D,"&gt;="&amp;CONCATENATE($D$6,"/",B96),Proventos!$D:$D,"&lt;"&amp;CONCATENATE($E$6,"/",B96),Proventos!$J:$J,"="&amp;$H$2),
AND($H$2=Data!$A$11,$K$2=Data!$A$2),SUMIFS(Proventos!$H:$H,Proventos!$D:$D,"&gt;="&amp;CONCATENATE($D$6,"/",B96),Proventos!$D:$D,"&lt;"&amp;CONCATENATE($E$6,"/",B96),Proventos!$J:$J,"="&amp;$H$2),
$K$2=Data!$A$2,SUMIFS(Proventos!$H:$H,Proventos!$D:$D,"&gt;="&amp;CONCATENATE($D$6,"/",B96),Proventos!$D:$D,"&lt;"&amp;CONCATENATE($E$6,"/",B96)),
$K$2&lt;&gt;Data!$A$2,SUMIFS(Proventos!$H:$H,Proventos!$D:$D,"&gt;="&amp;CONCATENATE($D$6,"/",B96),Proventos!$D:$D,"&lt;"&amp;CONCATENATE($E$6,"/",B96),Proventos!$A:$A,"="&amp;$K$2))</f>
        <v>0</v>
      </c>
      <c r="E96" s="245">
        <f>IFS(
AND($H$2=Data!$A$3,$K$2=Data!$A$2),SUMIFS(Proventos!$H:$H,Proventos!$D:$D,"&gt;="&amp;CONCATENATE($E$6,"/",B96),Proventos!$D:$D,"&lt;"&amp;CONCATENATE($F$6,"/",B96),Proventos!$J:$J,"="&amp;$H$2),
AND($H$2=Data!$A$4,$K$2=Data!$A$2),SUMIFS(Proventos!$H:$H,Proventos!$D:$D,"&gt;="&amp;CONCATENATE($E$6,"/",B96),Proventos!$D:$D,"&lt;"&amp;CONCATENATE($F$6,"/",B96),Proventos!$J:$J,"="&amp;$H$2),
AND($H$2=Data!$A$5,$K$2=Data!$A$2),SUMIFS(Proventos!$H:$H,Proventos!$D:$D,"&gt;="&amp;CONCATENATE($E$6,"/",B96),Proventos!$D:$D,"&lt;"&amp;CONCATENATE($F$6,"/",B96),Proventos!$J:$J,"="&amp;$H$2),
AND($H$2=Data!$A$6,$K$2=Data!$A$2),SUMIFS(Proventos!$H:$H,Proventos!$D:$D,"&gt;="&amp;CONCATENATE($E$6,"/",B96),Proventos!$D:$D,"&lt;"&amp;CONCATENATE($F$6,"/",B96),Proventos!$J:$J,"="&amp;$H$2),
AND($H$2=Data!$A$7,$K$2=Data!$A$2),SUMIFS(Proventos!$H:$H,Proventos!$D:$D,"&gt;="&amp;CONCATENATE($E$6,"/",B96),Proventos!$D:$D,"&lt;"&amp;CONCATENATE($F$6,"/",B96),Proventos!$J:$J,"="&amp;$H$2),
AND($H$2=Data!$A$8,$K$2=Data!$A$2),SUMIFS(Proventos!$H:$H,Proventos!$D:$D,"&gt;="&amp;CONCATENATE($E$6,"/",B96),Proventos!$D:$D,"&lt;"&amp;CONCATENATE($F$6,"/",B96),Proventos!$J:$J,"="&amp;$H$2),
AND($H$2=Data!$A$9,$K$2=Data!$A$2),SUMIFS(Proventos!$H:$H,Proventos!$D:$D,"&gt;="&amp;CONCATENATE($E$6,"/",B96),Proventos!$D:$D,"&lt;"&amp;CONCATENATE($F$6,"/",B96),Proventos!$J:$J,"="&amp;$H$2),
AND($H$2=Data!$A$10,$K$2=Data!$A$2),SUMIFS(Proventos!$H:$H,Proventos!$D:$D,"&gt;="&amp;CONCATENATE($E$6,"/",B96),Proventos!$D:$D,"&lt;"&amp;CONCATENATE($F$6,"/",B96),Proventos!$J:$J,"="&amp;$H$2),
AND($H$2=Data!$A$11,$K$2=Data!$A$2),SUMIFS(Proventos!$H:$H,Proventos!$D:$D,"&gt;="&amp;CONCATENATE($E$6,"/",B96),Proventos!$D:$D,"&lt;"&amp;CONCATENATE($F$6,"/",B96),Proventos!$J:$J,"="&amp;$H$2),
$K$2=Data!$A$2,SUMIFS(Proventos!$H:$H,Proventos!$D:$D,"&gt;="&amp;CONCATENATE($E$6,"/",B96),Proventos!$D:$D,"&lt;"&amp;CONCATENATE($F$6,"/",B96)),
$K$2&lt;&gt;Data!$A$2,SUMIFS(Proventos!$H:$H,Proventos!$D:$D,"&gt;="&amp;CONCATENATE($E$6,"/",B96),Proventos!$D:$D,"&lt;"&amp;CONCATENATE($F$6,"/",B96),Proventos!$A:$A,"="&amp;$K$2))</f>
        <v>0</v>
      </c>
      <c r="F96" s="245">
        <f>IFS(
AND($H$2=Data!$A$3,$K$2=Data!$A$2),SUMIFS(Proventos!$H:$H,Proventos!$D:$D,"&gt;="&amp;CONCATENATE($F$6,"/",B96),Proventos!$D:$D,"&lt;"&amp;CONCATENATE($G$6,"/",B96),Proventos!$J:$J,"="&amp;$H$2),
AND($H$2=Data!$A$4,$K$2=Data!$A$2),SUMIFS(Proventos!$H:$H,Proventos!$D:$D,"&gt;="&amp;CONCATENATE($F$6,"/",B96),Proventos!$D:$D,"&lt;"&amp;CONCATENATE($G$6,"/",B96),Proventos!$J:$J,"="&amp;$H$2),
AND($H$2=Data!$A$5,$K$2=Data!$A$2),SUMIFS(Proventos!$H:$H,Proventos!$D:$D,"&gt;="&amp;CONCATENATE($F$6,"/",B96),Proventos!$D:$D,"&lt;"&amp;CONCATENATE($G$6,"/",B96),Proventos!$J:$J,"="&amp;$H$2),
AND($H$2=Data!$A$6,$K$2=Data!$A$2),SUMIFS(Proventos!$H:$H,Proventos!$D:$D,"&gt;="&amp;CONCATENATE($F$6,"/",B96),Proventos!$D:$D,"&lt;"&amp;CONCATENATE($G$6,"/",B96),Proventos!$J:$J,"="&amp;$H$2),
AND($H$2=Data!$A$7,$K$2=Data!$A$2),SUMIFS(Proventos!$H:$H,Proventos!$D:$D,"&gt;="&amp;CONCATENATE($F$6,"/",B96),Proventos!$D:$D,"&lt;"&amp;CONCATENATE($G$6,"/",B96),Proventos!$J:$J,"="&amp;$H$2),
AND($H$2=Data!$A$8,$K$2=Data!$A$2),SUMIFS(Proventos!$H:$H,Proventos!$D:$D,"&gt;="&amp;CONCATENATE($F$6,"/",B96),Proventos!$D:$D,"&lt;"&amp;CONCATENATE($G$6,"/",B96),Proventos!$J:$J,"="&amp;$H$2),
AND($H$2=Data!$A$9,$K$2=Data!$A$2),SUMIFS(Proventos!$H:$H,Proventos!$D:$D,"&gt;="&amp;CONCATENATE($F$6,"/",B96),Proventos!$D:$D,"&lt;"&amp;CONCATENATE($G$6,"/",B96),Proventos!$J:$J,"="&amp;$H$2),
AND($H$2=Data!$A$10,$K$2=Data!$A$2),SUMIFS(Proventos!$H:$H,Proventos!$D:$D,"&gt;="&amp;CONCATENATE($F$6,"/",B96),Proventos!$D:$D,"&lt;"&amp;CONCATENATE($G$6,"/",B96),Proventos!$J:$J,"="&amp;$H$2),
AND($H$2=Data!$A$11,$K$2=Data!$A$2),SUMIFS(Proventos!$H:$H,Proventos!$D:$D,"&gt;="&amp;CONCATENATE($F$6,"/",B96),Proventos!$D:$D,"&lt;"&amp;CONCATENATE($G$6,"/",B96),Proventos!$J:$J,"="&amp;$H$2),
$K$2=Data!$A$2,SUMIFS(Proventos!$H:$H,Proventos!$D:$D,"&gt;="&amp;CONCATENATE($F$6,"/",B96),Proventos!$D:$D,"&lt;"&amp;CONCATENATE($G$6,"/",B96)),
$K$2&lt;&gt;Data!$A$2,SUMIFS(Proventos!$H:$H,Proventos!$D:$D,"&gt;="&amp;CONCATENATE($F$6,"/",B96),Proventos!$D:$D,"&lt;"&amp;CONCATENATE($G$6,"/",B96),Proventos!$A:$A,"="&amp;$K$2))</f>
        <v>0</v>
      </c>
      <c r="G96" s="245">
        <f>IFS(
AND($H$2=Data!$A$3,$K$2=Data!$A$2),SUMIFS(Proventos!$H:$H,Proventos!$D:$D,"&gt;="&amp;CONCATENATE($G$6,"/",B96),Proventos!$D:$D,"&lt;"&amp;CONCATENATE($H$6,"/",B96),Proventos!$J:$J,"="&amp;$H$2),
AND($H$2=Data!$A$4,$K$2=Data!$A$2),SUMIFS(Proventos!$H:$H,Proventos!$D:$D,"&gt;="&amp;CONCATENATE($G$6,"/",B96),Proventos!$D:$D,"&lt;"&amp;CONCATENATE($H$6,"/",B96),Proventos!$J:$J,"="&amp;$H$2),
AND($H$2=Data!$A$5,$K$2=Data!$A$2),SUMIFS(Proventos!$H:$H,Proventos!$D:$D,"&gt;="&amp;CONCATENATE($G$6,"/",B96),Proventos!$D:$D,"&lt;"&amp;CONCATENATE($H$6,"/",B96),Proventos!$J:$J,"="&amp;$H$2),
AND($H$2=Data!$A$6,$K$2=Data!$A$2),SUMIFS(Proventos!$H:$H,Proventos!$D:$D,"&gt;="&amp;CONCATENATE($G$6,"/",B96),Proventos!$D:$D,"&lt;"&amp;CONCATENATE($H$6,"/",B96),Proventos!$J:$J,"="&amp;$H$2),
AND($H$2=Data!$A$7,$K$2=Data!$A$2),SUMIFS(Proventos!$H:$H,Proventos!$D:$D,"&gt;="&amp;CONCATENATE($G$6,"/",B96),Proventos!$D:$D,"&lt;"&amp;CONCATENATE($H$6,"/",B96),Proventos!$J:$J,"="&amp;$H$2),
AND($H$2=Data!$A$8,$K$2=Data!$A$2),SUMIFS(Proventos!$H:$H,Proventos!$D:$D,"&gt;="&amp;CONCATENATE($G$6,"/",B96),Proventos!$D:$D,"&lt;"&amp;CONCATENATE($H$6,"/",B96),Proventos!$J:$J,"="&amp;$H$2),
AND($H$2=Data!$A$9,$K$2=Data!$A$2),SUMIFS(Proventos!$H:$H,Proventos!$D:$D,"&gt;="&amp;CONCATENATE($G$6,"/",B96),Proventos!$D:$D,"&lt;"&amp;CONCATENATE($H$6,"/",B96),Proventos!$J:$J,"="&amp;$H$2),
AND($H$2=Data!$A$10,$K$2=Data!$A$2),SUMIFS(Proventos!$H:$H,Proventos!$D:$D,"&gt;="&amp;CONCATENATE($G$6,"/",B96),Proventos!$D:$D,"&lt;"&amp;CONCATENATE($H$6,"/",B96),Proventos!$J:$J,"="&amp;$H$2),
AND($H$2=Data!$A$11,$K$2=Data!$A$2),SUMIFS(Proventos!$H:$H,Proventos!$D:$D,"&gt;="&amp;CONCATENATE($G$6,"/",B96),Proventos!$D:$D,"&lt;"&amp;CONCATENATE($H$6,"/",B96),Proventos!$J:$J,"="&amp;$H$2),
$K$2=Data!$A$2,SUMIFS(Proventos!$H:$H,Proventos!$D:$D,"&gt;="&amp;CONCATENATE($G$6,"/",B96),Proventos!$D:$D,"&lt;"&amp;CONCATENATE($H$6,"/",B96)),
$K$2&lt;&gt;Data!$A$2,SUMIFS(Proventos!$H:$H,Proventos!$D:$D,"&gt;="&amp;CONCATENATE($G$6,"/",B96),Proventos!$D:$D,"&lt;"&amp;CONCATENATE($H$6,"/",B96),Proventos!$A:$A,"="&amp;$K$2))</f>
        <v>0</v>
      </c>
      <c r="H96" s="245">
        <f>IFS(
AND($H$2=Data!$A$3,$K$2=Data!$A$2),SUMIFS(Proventos!$H:$H,Proventos!$D:$D,"&gt;="&amp;CONCATENATE($H$6,"/",B96),Proventos!$D:$D,"&lt;"&amp;CONCATENATE($I$6,"/",B96),Proventos!$J:$J,"="&amp;$H$2),
AND($H$2=Data!$A$4,$K$2=Data!$A$2),SUMIFS(Proventos!$H:$H,Proventos!$D:$D,"&gt;="&amp;CONCATENATE($H$6,"/",B96),Proventos!$D:$D,"&lt;"&amp;CONCATENATE($I$6,"/",B96),Proventos!$J:$J,"="&amp;$H$2),
AND($H$2=Data!$A$5,$K$2=Data!$A$2),SUMIFS(Proventos!$H:$H,Proventos!$D:$D,"&gt;="&amp;CONCATENATE($H$6,"/",B96),Proventos!$D:$D,"&lt;"&amp;CONCATENATE($I$6,"/",B96),Proventos!$J:$J,"="&amp;$H$2),
AND($H$2=Data!$A$6,$K$2=Data!$A$2),SUMIFS(Proventos!$H:$H,Proventos!$D:$D,"&gt;="&amp;CONCATENATE($H$6,"/",B96),Proventos!$D:$D,"&lt;"&amp;CONCATENATE($I$6,"/",B96),Proventos!$J:$J,"="&amp;$H$2),
AND($H$2=Data!$A$7,$K$2=Data!$A$2),SUMIFS(Proventos!$H:$H,Proventos!$D:$D,"&gt;="&amp;CONCATENATE($H$6,"/",B96),Proventos!$D:$D,"&lt;"&amp;CONCATENATE($I$6,"/",B96),Proventos!$J:$J,"="&amp;$H$2),
AND($H$2=Data!$A$8,$K$2=Data!$A$2),SUMIFS(Proventos!$H:$H,Proventos!$D:$D,"&gt;="&amp;CONCATENATE($H$6,"/",B96),Proventos!$D:$D,"&lt;"&amp;CONCATENATE($I$6,"/",B96),Proventos!$J:$J,"="&amp;$H$2),
AND($H$2=Data!$A$9,$K$2=Data!$A$2),SUMIFS(Proventos!$H:$H,Proventos!$D:$D,"&gt;="&amp;CONCATENATE($H$6,"/",B96),Proventos!$D:$D,"&lt;"&amp;CONCATENATE($I$6,"/",B96),Proventos!$J:$J,"="&amp;$H$2),
AND($H$2=Data!$A$10,$K$2=Data!$A$2),SUMIFS(Proventos!$H:$H,Proventos!$D:$D,"&gt;="&amp;CONCATENATE($H$6,"/",B96),Proventos!$D:$D,"&lt;"&amp;CONCATENATE($I$6,"/",B96),Proventos!$J:$J,"="&amp;$H$2),
AND($H$2=Data!$A$11,$K$2=Data!$A$2),SUMIFS(Proventos!$H:$H,Proventos!$D:$D,"&gt;="&amp;CONCATENATE($H$6,"/",B96),Proventos!$D:$D,"&lt;"&amp;CONCATENATE($I$6,"/",B96),Proventos!$J:$J,"="&amp;$H$2),
$K$2=Data!$A$2,SUMIFS(Proventos!$H:$H,Proventos!$D:$D,"&gt;="&amp;CONCATENATE($H$6,"/",B96),Proventos!$D:$D,"&lt;"&amp;CONCATENATE($I$6,"/",B96)),
$K$2&lt;&gt;Data!$A$2,SUMIFS(Proventos!$H:$H,Proventos!$D:$D,"&gt;="&amp;CONCATENATE($H$6,"/",B96),Proventos!$D:$D,"&lt;"&amp;CONCATENATE($I$6,"/",B96),Proventos!$A:$A,"="&amp;$K$2))</f>
        <v>0</v>
      </c>
      <c r="I96" s="245">
        <f>IFS(
AND($H$2=Data!$A$3,$K$2=Data!$A$2),SUMIFS(Proventos!$H:$H,Proventos!$D:$D,"&gt;="&amp;CONCATENATE($I$6,"/",B96),Proventos!$D:$D,"&lt;"&amp;CONCATENATE($J$6,"/",B96),Proventos!$J:$J,"="&amp;$H$2),
AND($H$2=Data!$A$4,$K$2=Data!$A$2),SUMIFS(Proventos!$H:$H,Proventos!$D:$D,"&gt;="&amp;CONCATENATE($I$6,"/",B96),Proventos!$D:$D,"&lt;"&amp;CONCATENATE($J$6,"/",B96),Proventos!$J:$J,"="&amp;$H$2),
AND($H$2=Data!$A$5,$K$2=Data!$A$2),SUMIFS(Proventos!$H:$H,Proventos!$D:$D,"&gt;="&amp;CONCATENATE($I$6,"/",B96),Proventos!$D:$D,"&lt;"&amp;CONCATENATE($J$6,"/",B96),Proventos!$J:$J,"="&amp;$H$2),
AND($H$2=Data!$A$6,$K$2=Data!$A$2),SUMIFS(Proventos!$H:$H,Proventos!$D:$D,"&gt;="&amp;CONCATENATE($I$6,"/",B96),Proventos!$D:$D,"&lt;"&amp;CONCATENATE($J$6,"/",B96),Proventos!$J:$J,"="&amp;$H$2),
AND($H$2=Data!$A$7,$K$2=Data!$A$2),SUMIFS(Proventos!$H:$H,Proventos!$D:$D,"&gt;="&amp;CONCATENATE($I$6,"/",B96),Proventos!$D:$D,"&lt;"&amp;CONCATENATE($J$6,"/",B96),Proventos!$J:$J,"="&amp;$H$2),
AND($H$2=Data!$A$8,$K$2=Data!$A$2),SUMIFS(Proventos!$H:$H,Proventos!$D:$D,"&gt;="&amp;CONCATENATE($I$6,"/",B96),Proventos!$D:$D,"&lt;"&amp;CONCATENATE($J$6,"/",B96),Proventos!$J:$J,"="&amp;$H$2),
AND($H$2=Data!$A$9,$K$2=Data!$A$2),SUMIFS(Proventos!$H:$H,Proventos!$D:$D,"&gt;="&amp;CONCATENATE($I$6,"/",B96),Proventos!$D:$D,"&lt;"&amp;CONCATENATE($J$6,"/",B96),Proventos!$J:$J,"="&amp;$H$2),
AND($H$2=Data!$A$10,$K$2=Data!$A$2),SUMIFS(Proventos!$H:$H,Proventos!$D:$D,"&gt;="&amp;CONCATENATE($I$6,"/",B96),Proventos!$D:$D,"&lt;"&amp;CONCATENATE($J$6,"/",B96),Proventos!$J:$J,"="&amp;$H$2),
AND($H$2=Data!$A$11,$K$2=Data!$A$2),SUMIFS(Proventos!$H:$H,Proventos!$D:$D,"&gt;="&amp;CONCATENATE($I$6,"/",B96),Proventos!$D:$D,"&lt;"&amp;CONCATENATE($J$6,"/",B96),Proventos!$J:$J,"="&amp;$H$2),
$K$2=Data!$A$2,SUMIFS(Proventos!$H:$H,Proventos!$D:$D,"&gt;="&amp;CONCATENATE($I$6,"/",B96),Proventos!$D:$D,"&lt;"&amp;CONCATENATE($J$6,"/",B96)),
$K$2&lt;&gt;Data!$A$2,SUMIFS(Proventos!$H:$H,Proventos!$D:$D,"&gt;="&amp;CONCATENATE($I$6,"/",B96),Proventos!$D:$D,"&lt;"&amp;CONCATENATE($J$6,"/",B96),Proventos!$A:$A,"="&amp;$K$2))</f>
        <v>0</v>
      </c>
      <c r="J96" s="245">
        <f>IFS(
AND($H$2=Data!$A$3,$K$2=Data!$A$2),SUMIFS(Proventos!$H:$H,Proventos!$D:$D,"&gt;="&amp;CONCATENATE($J$6,"/",B96),Proventos!$D:$D,"&lt;"&amp;CONCATENATE($K$6,"/",B96),Proventos!$J:$J,"="&amp;$H$2),
AND($H$2=Data!$A$4,$K$2=Data!$A$2),SUMIFS(Proventos!$H:$H,Proventos!$D:$D,"&gt;="&amp;CONCATENATE($J$6,"/",B96),Proventos!$D:$D,"&lt;"&amp;CONCATENATE($K$6,"/",B96),Proventos!$J:$J,"="&amp;$H$2),
AND($H$2=Data!$A$5,$K$2=Data!$A$2),SUMIFS(Proventos!$H:$H,Proventos!$D:$D,"&gt;="&amp;CONCATENATE($J$6,"/",B96),Proventos!$D:$D,"&lt;"&amp;CONCATENATE($K$6,"/",B96),Proventos!$J:$J,"="&amp;$H$2),
AND($H$2=Data!$A$6,$K$2=Data!$A$2),SUMIFS(Proventos!$H:$H,Proventos!$D:$D,"&gt;="&amp;CONCATENATE($J$6,"/",B96),Proventos!$D:$D,"&lt;"&amp;CONCATENATE($K$6,"/",B96),Proventos!$J:$J,"="&amp;$H$2),
AND($H$2=Data!$A$7,$K$2=Data!$A$2),SUMIFS(Proventos!$H:$H,Proventos!$D:$D,"&gt;="&amp;CONCATENATE($J$6,"/",B96),Proventos!$D:$D,"&lt;"&amp;CONCATENATE($K$6,"/",B96),Proventos!$J:$J,"="&amp;$H$2),
AND($H$2=Data!$A$8,$K$2=Data!$A$2),SUMIFS(Proventos!$H:$H,Proventos!$D:$D,"&gt;="&amp;CONCATENATE($J$6,"/",B96),Proventos!$D:$D,"&lt;"&amp;CONCATENATE($K$6,"/",B96),Proventos!$J:$J,"="&amp;$H$2),
AND($H$2=Data!$A$9,$K$2=Data!$A$2),SUMIFS(Proventos!$H:$H,Proventos!$D:$D,"&gt;="&amp;CONCATENATE($J$6,"/",B96),Proventos!$D:$D,"&lt;"&amp;CONCATENATE($K$6,"/",B96),Proventos!$J:$J,"="&amp;$H$2),
AND($H$2=Data!$A$10,$K$2=Data!$A$2),SUMIFS(Proventos!$H:$H,Proventos!$D:$D,"&gt;="&amp;CONCATENATE($J$6,"/",B96),Proventos!$D:$D,"&lt;"&amp;CONCATENATE($K$6,"/",B96),Proventos!$J:$J,"="&amp;$H$2),
AND($H$2=Data!$A$11,$K$2=Data!$A$2),SUMIFS(Proventos!$H:$H,Proventos!$D:$D,"&gt;="&amp;CONCATENATE($J$6,"/",B96),Proventos!$D:$D,"&lt;"&amp;CONCATENATE($K$6,"/",B96),Proventos!$J:$J,"="&amp;$H$2),
$K$2=Data!$A$2,SUMIFS(Proventos!$H:$H,Proventos!$D:$D,"&gt;="&amp;CONCATENATE($J$6,"/",B96),Proventos!$D:$D,"&lt;"&amp;CONCATENATE($K$6,"/",B96)),
$K$2&lt;&gt;Data!$A$2,SUMIFS(Proventos!$H:$H,Proventos!$D:$D,"&gt;="&amp;CONCATENATE($J$6,"/",B96),Proventos!$D:$D,"&lt;"&amp;CONCATENATE($K$6,"/",B96),Proventos!$A:$A,"="&amp;$K$2))</f>
        <v>0</v>
      </c>
      <c r="K96" s="245">
        <f>IFS(
AND($H$2=Data!$A$3,$K$2=Data!$A$2),SUMIFS(Proventos!$H:$H,Proventos!$D:$D,"&gt;="&amp;CONCATENATE($K$6,"/",B96),Proventos!$D:$D,"&lt;"&amp;CONCATENATE($L$6,"/",B96),Proventos!$J:$J,"="&amp;$H$2),
AND($H$2=Data!$A$4,$K$2=Data!$A$2),SUMIFS(Proventos!$H:$H,Proventos!$D:$D,"&gt;="&amp;CONCATENATE($K$6,"/",B96),Proventos!$D:$D,"&lt;"&amp;CONCATENATE($L$6,"/",B96),Proventos!$J:$J,"="&amp;$H$2),
AND($H$2=Data!$A$5,$K$2=Data!$A$2),SUMIFS(Proventos!$H:$H,Proventos!$D:$D,"&gt;="&amp;CONCATENATE($K$6,"/",B96),Proventos!$D:$D,"&lt;"&amp;CONCATENATE($L$6,"/",B96),Proventos!$J:$J,"="&amp;$H$2),
AND($H$2=Data!$A$6,$K$2=Data!$A$2),SUMIFS(Proventos!$H:$H,Proventos!$D:$D,"&gt;="&amp;CONCATENATE($K$6,"/",B96),Proventos!$D:$D,"&lt;"&amp;CONCATENATE($L$6,"/",B96),Proventos!$J:$J,"="&amp;$H$2),
AND($H$2=Data!$A$7,$K$2=Data!$A$2),SUMIFS(Proventos!$H:$H,Proventos!$D:$D,"&gt;="&amp;CONCATENATE($K$6,"/",B96),Proventos!$D:$D,"&lt;"&amp;CONCATENATE($L$6,"/",B96),Proventos!$J:$J,"="&amp;$H$2),
AND($H$2=Data!$A$8,$K$2=Data!$A$2),SUMIFS(Proventos!$H:$H,Proventos!$D:$D,"&gt;="&amp;CONCATENATE($K$6,"/",B96),Proventos!$D:$D,"&lt;"&amp;CONCATENATE($L$6,"/",B96),Proventos!$J:$J,"="&amp;$H$2),
AND($H$2=Data!$A$9,$K$2=Data!$A$2),SUMIFS(Proventos!$H:$H,Proventos!$D:$D,"&gt;="&amp;CONCATENATE($K$6,"/",B96),Proventos!$D:$D,"&lt;"&amp;CONCATENATE($L$6,"/",B96),Proventos!$J:$J,"="&amp;$H$2),
AND($H$2=Data!$A$10,$K$2=Data!$A$2),SUMIFS(Proventos!$H:$H,Proventos!$D:$D,"&gt;="&amp;CONCATENATE($K$6,"/",B96),Proventos!$D:$D,"&lt;"&amp;CONCATENATE($L$6,"/",B96),Proventos!$J:$J,"="&amp;$H$2),
AND($H$2=Data!$A$11,$K$2=Data!$A$2),SUMIFS(Proventos!$H:$H,Proventos!$D:$D,"&gt;="&amp;CONCATENATE($K$6,"/",B96),Proventos!$D:$D,"&lt;"&amp;CONCATENATE($L$6,"/",B96),Proventos!$J:$J,"="&amp;$H$2),
$K$2=Data!$A$2,SUMIFS(Proventos!$H:$H,Proventos!$D:$D,"&gt;="&amp;CONCATENATE($K$6,"/",B96),Proventos!$D:$D,"&lt;"&amp;CONCATENATE($L$6,"/",B96)),
$K$2&lt;&gt;Data!$A$2,SUMIFS(Proventos!$H:$H,Proventos!$D:$D,"&gt;="&amp;CONCATENATE($K$6,"/",B96),Proventos!$D:$D,"&lt;"&amp;CONCATENATE($L$6,"/",B96),Proventos!$A:$A,"="&amp;$K$2))</f>
        <v>0</v>
      </c>
      <c r="L96" s="245">
        <f>IFS(
AND($H$2=Data!$A$3,$K$2=Data!$A$2),SUMIFS(Proventos!$H:$H,Proventos!$D:$D,"&gt;="&amp;CONCATENATE($L$6,"/",B96),Proventos!$D:$D,"&lt;"&amp;CONCATENATE($M$6,"/",B96),Proventos!$J:$J,"="&amp;$H$2),
AND($H$2=Data!$A$4,$K$2=Data!$A$2),SUMIFS(Proventos!$H:$H,Proventos!$D:$D,"&gt;="&amp;CONCATENATE($L$6,"/",B96),Proventos!$D:$D,"&lt;"&amp;CONCATENATE($M$6,"/",B96),Proventos!$J:$J,"="&amp;$H$2),
AND($H$2=Data!$A$5,$K$2=Data!$A$2),SUMIFS(Proventos!$H:$H,Proventos!$D:$D,"&gt;="&amp;CONCATENATE($L$6,"/",B96),Proventos!$D:$D,"&lt;"&amp;CONCATENATE($M$6,"/",B96),Proventos!$J:$J,"="&amp;$H$2),
AND($H$2=Data!$A$6,$K$2=Data!$A$2),SUMIFS(Proventos!$H:$H,Proventos!$D:$D,"&gt;="&amp;CONCATENATE($L$6,"/",B96),Proventos!$D:$D,"&lt;"&amp;CONCATENATE($M$6,"/",B96),Proventos!$J:$J,"="&amp;$H$2),
AND($H$2=Data!$A$7,$K$2=Data!$A$2),SUMIFS(Proventos!$H:$H,Proventos!$D:$D,"&gt;="&amp;CONCATENATE($L$6,"/",B96),Proventos!$D:$D,"&lt;"&amp;CONCATENATE($M$6,"/",B96),Proventos!$J:$J,"="&amp;$H$2),
AND($H$2=Data!$A$8,$K$2=Data!$A$2),SUMIFS(Proventos!$H:$H,Proventos!$D:$D,"&gt;="&amp;CONCATENATE($L$6,"/",B96),Proventos!$D:$D,"&lt;"&amp;CONCATENATE($M$6,"/",B96),Proventos!$J:$J,"="&amp;$H$2),
AND($H$2=Data!$A$9,$K$2=Data!$A$2),SUMIFS(Proventos!$H:$H,Proventos!$D:$D,"&gt;="&amp;CONCATENATE($L$6,"/",B96),Proventos!$D:$D,"&lt;"&amp;CONCATENATE($M$6,"/",B96),Proventos!$J:$J,"="&amp;$H$2),
AND($H$2=Data!$A$10,$K$2=Data!$A$2),SUMIFS(Proventos!$H:$H,Proventos!$D:$D,"&gt;="&amp;CONCATENATE($L$6,"/",B96),Proventos!$D:$D,"&lt;"&amp;CONCATENATE($M$6,"/",B96),Proventos!$J:$J,"="&amp;$H$2),
AND($H$2=Data!$A$11,$K$2=Data!$A$2),SUMIFS(Proventos!$H:$H,Proventos!$D:$D,"&gt;="&amp;CONCATENATE($L$6,"/",B96),Proventos!$D:$D,"&lt;"&amp;CONCATENATE($M$6,"/",B96),Proventos!$J:$J,"="&amp;$H$2),
$K$2=Data!$A$2,SUMIFS(Proventos!$H:$H,Proventos!$D:$D,"&gt;="&amp;CONCATENATE($L$6,"/",B96),Proventos!$D:$D,"&lt;"&amp;CONCATENATE($M$6,"/",B96)),
$K$2&lt;&gt;Data!$A$2,SUMIFS(Proventos!$H:$H,Proventos!$D:$D,"&gt;="&amp;CONCATENATE($L$6,"/",B96),Proventos!$D:$D,"&lt;"&amp;CONCATENATE($M$6,"/",B96),Proventos!$A:$A,"="&amp;$K$2))</f>
        <v>0</v>
      </c>
      <c r="M96" s="245">
        <f>IFS(
AND($H$2=Data!$A$3,$K$2=Data!$A$2),SUMIFS(Proventos!$H:$H,Proventos!$D:$D,"&gt;="&amp;CONCATENATE($M$6,"/",B96),Proventos!$D:$D,"&lt;"&amp;CONCATENATE($N$6,"/",B96),Proventos!$J:$J,"="&amp;$H$2),
AND($H$2=Data!$A$4,$K$2=Data!$A$2),SUMIFS(Proventos!$H:$H,Proventos!$D:$D,"&gt;="&amp;CONCATENATE($M$6,"/",B96),Proventos!$D:$D,"&lt;"&amp;CONCATENATE($N$6,"/",B96),Proventos!$J:$J,"="&amp;$H$2),
AND($H$2=Data!$A$5,$K$2=Data!$A$2),SUMIFS(Proventos!$H:$H,Proventos!$D:$D,"&gt;="&amp;CONCATENATE($M$6,"/",B96),Proventos!$D:$D,"&lt;"&amp;CONCATENATE($N$6,"/",B96),Proventos!$J:$J,"="&amp;$H$2),
AND($H$2=Data!$A$6,$K$2=Data!$A$2),SUMIFS(Proventos!$H:$H,Proventos!$D:$D,"&gt;="&amp;CONCATENATE($M$6,"/",B96),Proventos!$D:$D,"&lt;"&amp;CONCATENATE($N$6,"/",B96),Proventos!$J:$J,"="&amp;$H$2),
AND($H$2=Data!$A$7,$K$2=Data!$A$2),SUMIFS(Proventos!$H:$H,Proventos!$D:$D,"&gt;="&amp;CONCATENATE($M$6,"/",B96),Proventos!$D:$D,"&lt;"&amp;CONCATENATE($N$6,"/",B96),Proventos!$J:$J,"="&amp;$H$2),
AND($H$2=Data!$A$8,$K$2=Data!$A$2),SUMIFS(Proventos!$H:$H,Proventos!$D:$D,"&gt;="&amp;CONCATENATE($M$6,"/",B96),Proventos!$D:$D,"&lt;"&amp;CONCATENATE($N$6,"/",B96),Proventos!$J:$J,"="&amp;$H$2),
AND($H$2=Data!$A$9,$K$2=Data!$A$2),SUMIFS(Proventos!$H:$H,Proventos!$D:$D,"&gt;="&amp;CONCATENATE($M$6,"/",B96),Proventos!$D:$D,"&lt;"&amp;CONCATENATE($N$6,"/",B96),Proventos!$J:$J,"="&amp;$H$2),
AND($H$2=Data!$A$10,$K$2=Data!$A$2),SUMIFS(Proventos!$H:$H,Proventos!$D:$D,"&gt;="&amp;CONCATENATE($M$6,"/",B96),Proventos!$D:$D,"&lt;"&amp;CONCATENATE($N$6,"/",B96),Proventos!$J:$J,"="&amp;$H$2),
AND($H$2=Data!$A$11,$K$2=Data!$A$2),SUMIFS(Proventos!$H:$H,Proventos!$D:$D,"&gt;="&amp;CONCATENATE($M$6,"/",B96),Proventos!$D:$D,"&lt;"&amp;CONCATENATE($N$6,"/",B96),Proventos!$J:$J,"="&amp;$H$2),
$K$2=Data!$A$2,SUMIFS(Proventos!$H:$H,Proventos!$D:$D,"&gt;="&amp;CONCATENATE($M$6,"/",B96),Proventos!$D:$D,"&lt;"&amp;CONCATENATE($N$6,"/",B96)),
$K$2&lt;&gt;Data!$A$2,SUMIFS(Proventos!$H:$H,Proventos!$D:$D,"&gt;="&amp;CONCATENATE($M$6,"/",B96),Proventos!$D:$D,"&lt;"&amp;CONCATENATE($N$6,"/",B96),Proventos!$A:$A,"="&amp;$K$2))</f>
        <v>0</v>
      </c>
      <c r="N96" s="245">
        <f>IFS(
AND($H$2=Data!$A$3,$K$2=Data!$A$2),SUMIFS(Proventos!$H:$H,Proventos!$D:$D,"&gt;="&amp;CONCATENATE($N$6,"/",B96),Proventos!$D:$D,"&lt;"&amp;CONCATENATE($C$6,"/",B97),Proventos!$J:$J,"="&amp;$H$2),
AND($H$2=Data!$A$4,$K$2=Data!$A$2),SUMIFS(Proventos!$H:$H,Proventos!$D:$D,"&gt;="&amp;CONCATENATE($N$6,"/",B96),Proventos!$D:$D,"&lt;"&amp;CONCATENATE($C$6,"/",B97),Proventos!$J:$J,"="&amp;$H$2),
AND($H$2=Data!$A$5,$K$2=Data!$A$2),SUMIFS(Proventos!$H:$H,Proventos!$D:$D,"&gt;="&amp;CONCATENATE($N$6,"/",B96),Proventos!$D:$D,"&lt;"&amp;CONCATENATE($C$6,"/",B97),Proventos!$J:$J,"="&amp;$H$2),
AND($H$2=Data!$A$6,$K$2=Data!$A$2),SUMIFS(Proventos!$H:$H,Proventos!$D:$D,"&gt;="&amp;CONCATENATE($N$6,"/",B96),Proventos!$D:$D,"&lt;"&amp;CONCATENATE($C$6,"/",B97),Proventos!$J:$J,"="&amp;$H$2),
AND($H$2=Data!$A$7,$K$2=Data!$A$2),SUMIFS(Proventos!$H:$H,Proventos!$D:$D,"&gt;="&amp;CONCATENATE($N$6,"/",B96),Proventos!$D:$D,"&lt;"&amp;CONCATENATE($C$6,"/",B97),Proventos!$J:$J,"="&amp;$H$2),
AND($H$2=Data!$A$8,$K$2=Data!$A$2),SUMIFS(Proventos!$H:$H,Proventos!$D:$D,"&gt;="&amp;CONCATENATE($N$6,"/",B96),Proventos!$D:$D,"&lt;"&amp;CONCATENATE($C$6,"/",B97),Proventos!$J:$J,"="&amp;$H$2),
AND($H$2=Data!$A$9,$K$2=Data!$A$2),SUMIFS(Proventos!$H:$H,Proventos!$D:$D,"&gt;="&amp;CONCATENATE($N$6,"/",B96),Proventos!$D:$D,"&lt;"&amp;CONCATENATE($C$6,"/",B97),Proventos!$J:$J,"="&amp;$H$2),
AND($H$2=Data!$A$10,$K$2=Data!$A$2),SUMIFS(Proventos!$H:$H,Proventos!$D:$D,"&gt;="&amp;CONCATENATE($N$6,"/",B96),Proventos!$D:$D,"&lt;"&amp;CONCATENATE($C$6,"/",B97),Proventos!$J:$J,"="&amp;$H$2),
AND($H$2=Data!$A$11,$K$2=Data!$A$2),SUMIFS(Proventos!$H:$H,Proventos!$D:$D,"&gt;="&amp;CONCATENATE($N$6,"/",B96),Proventos!$D:$D,"&lt;"&amp;CONCATENATE($C$6,"/",B97),Proventos!$J:$J,"="&amp;$H$2),
$K$2=Data!$A$2,SUMIFS(Proventos!$H:$H,Proventos!$D:$D,"&gt;="&amp;CONCATENATE($N$6,"/",B96),Proventos!$D:$D,"&lt;"&amp;CONCATENATE($C$6,"/",B97)),
$K$2&lt;&gt;Data!$A$2,SUMIFS(Proventos!$H:$H,Proventos!$D:$D,"&gt;="&amp;CONCATENATE($N$6,"/",B96),Proventos!$D:$D,"&lt;"&amp;CONCATENATE($C$6,"/",B97),Proventos!$A:$A,"="&amp;$K$2))</f>
        <v>0</v>
      </c>
      <c r="O96" s="245"/>
      <c r="P96" s="245">
        <f t="shared" si="1"/>
        <v>0</v>
      </c>
      <c r="Q96" s="245">
        <f t="shared" si="2"/>
        <v>0</v>
      </c>
    </row>
    <row r="97" ht="32.25" customHeight="1">
      <c r="A97" s="230"/>
      <c r="B97" s="244"/>
      <c r="C97" s="245">
        <f>IFS(
AND($H$2=Data!$A$3,$K$2=Data!$A$2),SUMIFS(Proventos!$H:$H,Proventos!$D:$D,"&gt;="&amp;CONCATENATE($C$6,"/",B97),Proventos!$D:$D,"&lt;"&amp;CONCATENATE($D$6,"/",B97),Proventos!$J:$J,"="&amp;$H$2),
AND($H$2=Data!$A$4,$K$2=Data!$A$2),SUMIFS(Proventos!$H:$H,Proventos!$D:$D,"&gt;="&amp;CONCATENATE($C$6,"/",B97),Proventos!$D:$D,"&lt;"&amp;CONCATENATE($D$6,"/",B97),Proventos!$J:$J,"="&amp;$H$2),
AND($H$2=Data!$A$5,$K$2=Data!$A$2),SUMIFS(Proventos!$H:$H,Proventos!$D:$D,"&gt;="&amp;CONCATENATE($C$6,"/",B97),Proventos!$D:$D,"&lt;"&amp;CONCATENATE($D$6,"/",B97),Proventos!$J:$J,"="&amp;$H$2),
AND($H$2=Data!$A$6,$K$2=Data!$A$2),SUMIFS(Proventos!$H:$H,Proventos!$D:$D,"&gt;="&amp;CONCATENATE($C$6,"/",B97),Proventos!$D:$D,"&lt;"&amp;CONCATENATE($D$6,"/",B97),Proventos!$J:$J,"="&amp;$H$2),
AND($H$2=Data!$A$7,$K$2=Data!$A$2),SUMIFS(Proventos!$H:$H,Proventos!$D:$D,"&gt;="&amp;CONCATENATE($C$6,"/",B97),Proventos!$D:$D,"&lt;"&amp;CONCATENATE($D$6,"/",B97),Proventos!$J:$J,"="&amp;$H$2),
AND($H$2=Data!$A$8,$K$2=Data!$A$2),SUMIFS(Proventos!$H:$H,Proventos!$D:$D,"&gt;="&amp;CONCATENATE($C$6,"/",B97),Proventos!$D:$D,"&lt;"&amp;CONCATENATE($D$6,"/",B97),Proventos!$J:$J,"="&amp;$H$2),
AND($H$2=Data!$A$9,$K$2=Data!$A$2),SUMIFS(Proventos!$H:$H,Proventos!$D:$D,"&gt;="&amp;CONCATENATE($C$6,"/",B97),Proventos!$D:$D,"&lt;"&amp;CONCATENATE($D$6,"/",B97),Proventos!$J:$J,"="&amp;$H$2),
AND($H$2=Data!$A$10,$K$2=Data!$A$2),SUMIFS(Proventos!$H:$H,Proventos!$D:$D,"&gt;="&amp;CONCATENATE($C$6,"/",B97),Proventos!$D:$D,"&lt;"&amp;CONCATENATE($D$6,"/",B97),Proventos!$J:$J,"="&amp;$H$2),
AND($H$2=Data!$A$11,$K$2=Data!$A$2),SUMIFS(Proventos!$H:$H,Proventos!$D:$D,"&gt;="&amp;CONCATENATE($C$6,"/",B97),Proventos!$D:$D,"&lt;"&amp;CONCATENATE($D$6,"/",B97),Proventos!$J:$J,"="&amp;$H$2),
$K$2=Data!$A$2,SUMIFS(Proventos!$H:$H,Proventos!$D:$D,"&gt;="&amp;CONCATENATE($C$6,"/",B97),Proventos!$D:$D,"&lt;"&amp;CONCATENATE($D$6,"/",B97)),
$K$2&lt;&gt;Data!$A$2,SUMIFS(Proventos!$H:$H,Proventos!$D:$D,"&gt;="&amp;CONCATENATE($C$6,"/",B97),Proventos!$D:$D,"&lt;"&amp;CONCATENATE($D$6,"/",B97),Proventos!$A:$A,"="&amp;$K$2))</f>
        <v>0</v>
      </c>
      <c r="D97" s="245">
        <f>IFS(
AND($H$2=Data!$A$3,$K$2=Data!$A$2),SUMIFS(Proventos!$H:$H,Proventos!$D:$D,"&gt;="&amp;CONCATENATE($D$6,"/",B97),Proventos!$D:$D,"&lt;"&amp;CONCATENATE($E$6,"/",B97),Proventos!$J:$J,"="&amp;$H$2),
AND($H$2=Data!$A$4,$K$2=Data!$A$2),SUMIFS(Proventos!$H:$H,Proventos!$D:$D,"&gt;="&amp;CONCATENATE($D$6,"/",B97),Proventos!$D:$D,"&lt;"&amp;CONCATENATE($E$6,"/",B97),Proventos!$J:$J,"="&amp;$H$2),
AND($H$2=Data!$A$5,$K$2=Data!$A$2),SUMIFS(Proventos!$H:$H,Proventos!$D:$D,"&gt;="&amp;CONCATENATE($D$6,"/",B97),Proventos!$D:$D,"&lt;"&amp;CONCATENATE($E$6,"/",B97),Proventos!$J:$J,"="&amp;$H$2),
AND($H$2=Data!$A$6,$K$2=Data!$A$2),SUMIFS(Proventos!$H:$H,Proventos!$D:$D,"&gt;="&amp;CONCATENATE($D$6,"/",B97),Proventos!$D:$D,"&lt;"&amp;CONCATENATE($E$6,"/",B97),Proventos!$J:$J,"="&amp;$H$2),
AND($H$2=Data!$A$7,$K$2=Data!$A$2),SUMIFS(Proventos!$H:$H,Proventos!$D:$D,"&gt;="&amp;CONCATENATE($D$6,"/",B97),Proventos!$D:$D,"&lt;"&amp;CONCATENATE($E$6,"/",B97),Proventos!$J:$J,"="&amp;$H$2),
AND($H$2=Data!$A$8,$K$2=Data!$A$2),SUMIFS(Proventos!$H:$H,Proventos!$D:$D,"&gt;="&amp;CONCATENATE($D$6,"/",B97),Proventos!$D:$D,"&lt;"&amp;CONCATENATE($E$6,"/",B97),Proventos!$J:$J,"="&amp;$H$2),
AND($H$2=Data!$A$9,$K$2=Data!$A$2),SUMIFS(Proventos!$H:$H,Proventos!$D:$D,"&gt;="&amp;CONCATENATE($D$6,"/",B97),Proventos!$D:$D,"&lt;"&amp;CONCATENATE($E$6,"/",B97),Proventos!$J:$J,"="&amp;$H$2),
AND($H$2=Data!$A$10,$K$2=Data!$A$2),SUMIFS(Proventos!$H:$H,Proventos!$D:$D,"&gt;="&amp;CONCATENATE($D$6,"/",B97),Proventos!$D:$D,"&lt;"&amp;CONCATENATE($E$6,"/",B97),Proventos!$J:$J,"="&amp;$H$2),
AND($H$2=Data!$A$11,$K$2=Data!$A$2),SUMIFS(Proventos!$H:$H,Proventos!$D:$D,"&gt;="&amp;CONCATENATE($D$6,"/",B97),Proventos!$D:$D,"&lt;"&amp;CONCATENATE($E$6,"/",B97),Proventos!$J:$J,"="&amp;$H$2),
$K$2=Data!$A$2,SUMIFS(Proventos!$H:$H,Proventos!$D:$D,"&gt;="&amp;CONCATENATE($D$6,"/",B97),Proventos!$D:$D,"&lt;"&amp;CONCATENATE($E$6,"/",B97)),
$K$2&lt;&gt;Data!$A$2,SUMIFS(Proventos!$H:$H,Proventos!$D:$D,"&gt;="&amp;CONCATENATE($D$6,"/",B97),Proventos!$D:$D,"&lt;"&amp;CONCATENATE($E$6,"/",B97),Proventos!$A:$A,"="&amp;$K$2))</f>
        <v>0</v>
      </c>
      <c r="E97" s="245">
        <f>IFS(
AND($H$2=Data!$A$3,$K$2=Data!$A$2),SUMIFS(Proventos!$H:$H,Proventos!$D:$D,"&gt;="&amp;CONCATENATE($E$6,"/",B97),Proventos!$D:$D,"&lt;"&amp;CONCATENATE($F$6,"/",B97),Proventos!$J:$J,"="&amp;$H$2),
AND($H$2=Data!$A$4,$K$2=Data!$A$2),SUMIFS(Proventos!$H:$H,Proventos!$D:$D,"&gt;="&amp;CONCATENATE($E$6,"/",B97),Proventos!$D:$D,"&lt;"&amp;CONCATENATE($F$6,"/",B97),Proventos!$J:$J,"="&amp;$H$2),
AND($H$2=Data!$A$5,$K$2=Data!$A$2),SUMIFS(Proventos!$H:$H,Proventos!$D:$D,"&gt;="&amp;CONCATENATE($E$6,"/",B97),Proventos!$D:$D,"&lt;"&amp;CONCATENATE($F$6,"/",B97),Proventos!$J:$J,"="&amp;$H$2),
AND($H$2=Data!$A$6,$K$2=Data!$A$2),SUMIFS(Proventos!$H:$H,Proventos!$D:$D,"&gt;="&amp;CONCATENATE($E$6,"/",B97),Proventos!$D:$D,"&lt;"&amp;CONCATENATE($F$6,"/",B97),Proventos!$J:$J,"="&amp;$H$2),
AND($H$2=Data!$A$7,$K$2=Data!$A$2),SUMIFS(Proventos!$H:$H,Proventos!$D:$D,"&gt;="&amp;CONCATENATE($E$6,"/",B97),Proventos!$D:$D,"&lt;"&amp;CONCATENATE($F$6,"/",B97),Proventos!$J:$J,"="&amp;$H$2),
AND($H$2=Data!$A$8,$K$2=Data!$A$2),SUMIFS(Proventos!$H:$H,Proventos!$D:$D,"&gt;="&amp;CONCATENATE($E$6,"/",B97),Proventos!$D:$D,"&lt;"&amp;CONCATENATE($F$6,"/",B97),Proventos!$J:$J,"="&amp;$H$2),
AND($H$2=Data!$A$9,$K$2=Data!$A$2),SUMIFS(Proventos!$H:$H,Proventos!$D:$D,"&gt;="&amp;CONCATENATE($E$6,"/",B97),Proventos!$D:$D,"&lt;"&amp;CONCATENATE($F$6,"/",B97),Proventos!$J:$J,"="&amp;$H$2),
AND($H$2=Data!$A$10,$K$2=Data!$A$2),SUMIFS(Proventos!$H:$H,Proventos!$D:$D,"&gt;="&amp;CONCATENATE($E$6,"/",B97),Proventos!$D:$D,"&lt;"&amp;CONCATENATE($F$6,"/",B97),Proventos!$J:$J,"="&amp;$H$2),
AND($H$2=Data!$A$11,$K$2=Data!$A$2),SUMIFS(Proventos!$H:$H,Proventos!$D:$D,"&gt;="&amp;CONCATENATE($E$6,"/",B97),Proventos!$D:$D,"&lt;"&amp;CONCATENATE($F$6,"/",B97),Proventos!$J:$J,"="&amp;$H$2),
$K$2=Data!$A$2,SUMIFS(Proventos!$H:$H,Proventos!$D:$D,"&gt;="&amp;CONCATENATE($E$6,"/",B97),Proventos!$D:$D,"&lt;"&amp;CONCATENATE($F$6,"/",B97)),
$K$2&lt;&gt;Data!$A$2,SUMIFS(Proventos!$H:$H,Proventos!$D:$D,"&gt;="&amp;CONCATENATE($E$6,"/",B97),Proventos!$D:$D,"&lt;"&amp;CONCATENATE($F$6,"/",B97),Proventos!$A:$A,"="&amp;$K$2))</f>
        <v>0</v>
      </c>
      <c r="F97" s="245">
        <f>IFS(
AND($H$2=Data!$A$3,$K$2=Data!$A$2),SUMIFS(Proventos!$H:$H,Proventos!$D:$D,"&gt;="&amp;CONCATENATE($F$6,"/",B97),Proventos!$D:$D,"&lt;"&amp;CONCATENATE($G$6,"/",B97),Proventos!$J:$J,"="&amp;$H$2),
AND($H$2=Data!$A$4,$K$2=Data!$A$2),SUMIFS(Proventos!$H:$H,Proventos!$D:$D,"&gt;="&amp;CONCATENATE($F$6,"/",B97),Proventos!$D:$D,"&lt;"&amp;CONCATENATE($G$6,"/",B97),Proventos!$J:$J,"="&amp;$H$2),
AND($H$2=Data!$A$5,$K$2=Data!$A$2),SUMIFS(Proventos!$H:$H,Proventos!$D:$D,"&gt;="&amp;CONCATENATE($F$6,"/",B97),Proventos!$D:$D,"&lt;"&amp;CONCATENATE($G$6,"/",B97),Proventos!$J:$J,"="&amp;$H$2),
AND($H$2=Data!$A$6,$K$2=Data!$A$2),SUMIFS(Proventos!$H:$H,Proventos!$D:$D,"&gt;="&amp;CONCATENATE($F$6,"/",B97),Proventos!$D:$D,"&lt;"&amp;CONCATENATE($G$6,"/",B97),Proventos!$J:$J,"="&amp;$H$2),
AND($H$2=Data!$A$7,$K$2=Data!$A$2),SUMIFS(Proventos!$H:$H,Proventos!$D:$D,"&gt;="&amp;CONCATENATE($F$6,"/",B97),Proventos!$D:$D,"&lt;"&amp;CONCATENATE($G$6,"/",B97),Proventos!$J:$J,"="&amp;$H$2),
AND($H$2=Data!$A$8,$K$2=Data!$A$2),SUMIFS(Proventos!$H:$H,Proventos!$D:$D,"&gt;="&amp;CONCATENATE($F$6,"/",B97),Proventos!$D:$D,"&lt;"&amp;CONCATENATE($G$6,"/",B97),Proventos!$J:$J,"="&amp;$H$2),
AND($H$2=Data!$A$9,$K$2=Data!$A$2),SUMIFS(Proventos!$H:$H,Proventos!$D:$D,"&gt;="&amp;CONCATENATE($F$6,"/",B97),Proventos!$D:$D,"&lt;"&amp;CONCATENATE($G$6,"/",B97),Proventos!$J:$J,"="&amp;$H$2),
AND($H$2=Data!$A$10,$K$2=Data!$A$2),SUMIFS(Proventos!$H:$H,Proventos!$D:$D,"&gt;="&amp;CONCATENATE($F$6,"/",B97),Proventos!$D:$D,"&lt;"&amp;CONCATENATE($G$6,"/",B97),Proventos!$J:$J,"="&amp;$H$2),
AND($H$2=Data!$A$11,$K$2=Data!$A$2),SUMIFS(Proventos!$H:$H,Proventos!$D:$D,"&gt;="&amp;CONCATENATE($F$6,"/",B97),Proventos!$D:$D,"&lt;"&amp;CONCATENATE($G$6,"/",B97),Proventos!$J:$J,"="&amp;$H$2),
$K$2=Data!$A$2,SUMIFS(Proventos!$H:$H,Proventos!$D:$D,"&gt;="&amp;CONCATENATE($F$6,"/",B97),Proventos!$D:$D,"&lt;"&amp;CONCATENATE($G$6,"/",B97)),
$K$2&lt;&gt;Data!$A$2,SUMIFS(Proventos!$H:$H,Proventos!$D:$D,"&gt;="&amp;CONCATENATE($F$6,"/",B97),Proventos!$D:$D,"&lt;"&amp;CONCATENATE($G$6,"/",B97),Proventos!$A:$A,"="&amp;$K$2))</f>
        <v>0</v>
      </c>
      <c r="G97" s="245">
        <f>IFS(
AND($H$2=Data!$A$3,$K$2=Data!$A$2),SUMIFS(Proventos!$H:$H,Proventos!$D:$D,"&gt;="&amp;CONCATENATE($G$6,"/",B97),Proventos!$D:$D,"&lt;"&amp;CONCATENATE($H$6,"/",B97),Proventos!$J:$J,"="&amp;$H$2),
AND($H$2=Data!$A$4,$K$2=Data!$A$2),SUMIFS(Proventos!$H:$H,Proventos!$D:$D,"&gt;="&amp;CONCATENATE($G$6,"/",B97),Proventos!$D:$D,"&lt;"&amp;CONCATENATE($H$6,"/",B97),Proventos!$J:$J,"="&amp;$H$2),
AND($H$2=Data!$A$5,$K$2=Data!$A$2),SUMIFS(Proventos!$H:$H,Proventos!$D:$D,"&gt;="&amp;CONCATENATE($G$6,"/",B97),Proventos!$D:$D,"&lt;"&amp;CONCATENATE($H$6,"/",B97),Proventos!$J:$J,"="&amp;$H$2),
AND($H$2=Data!$A$6,$K$2=Data!$A$2),SUMIFS(Proventos!$H:$H,Proventos!$D:$D,"&gt;="&amp;CONCATENATE($G$6,"/",B97),Proventos!$D:$D,"&lt;"&amp;CONCATENATE($H$6,"/",B97),Proventos!$J:$J,"="&amp;$H$2),
AND($H$2=Data!$A$7,$K$2=Data!$A$2),SUMIFS(Proventos!$H:$H,Proventos!$D:$D,"&gt;="&amp;CONCATENATE($G$6,"/",B97),Proventos!$D:$D,"&lt;"&amp;CONCATENATE($H$6,"/",B97),Proventos!$J:$J,"="&amp;$H$2),
AND($H$2=Data!$A$8,$K$2=Data!$A$2),SUMIFS(Proventos!$H:$H,Proventos!$D:$D,"&gt;="&amp;CONCATENATE($G$6,"/",B97),Proventos!$D:$D,"&lt;"&amp;CONCATENATE($H$6,"/",B97),Proventos!$J:$J,"="&amp;$H$2),
AND($H$2=Data!$A$9,$K$2=Data!$A$2),SUMIFS(Proventos!$H:$H,Proventos!$D:$D,"&gt;="&amp;CONCATENATE($G$6,"/",B97),Proventos!$D:$D,"&lt;"&amp;CONCATENATE($H$6,"/",B97),Proventos!$J:$J,"="&amp;$H$2),
AND($H$2=Data!$A$10,$K$2=Data!$A$2),SUMIFS(Proventos!$H:$H,Proventos!$D:$D,"&gt;="&amp;CONCATENATE($G$6,"/",B97),Proventos!$D:$D,"&lt;"&amp;CONCATENATE($H$6,"/",B97),Proventos!$J:$J,"="&amp;$H$2),
AND($H$2=Data!$A$11,$K$2=Data!$A$2),SUMIFS(Proventos!$H:$H,Proventos!$D:$D,"&gt;="&amp;CONCATENATE($G$6,"/",B97),Proventos!$D:$D,"&lt;"&amp;CONCATENATE($H$6,"/",B97),Proventos!$J:$J,"="&amp;$H$2),
$K$2=Data!$A$2,SUMIFS(Proventos!$H:$H,Proventos!$D:$D,"&gt;="&amp;CONCATENATE($G$6,"/",B97),Proventos!$D:$D,"&lt;"&amp;CONCATENATE($H$6,"/",B97)),
$K$2&lt;&gt;Data!$A$2,SUMIFS(Proventos!$H:$H,Proventos!$D:$D,"&gt;="&amp;CONCATENATE($G$6,"/",B97),Proventos!$D:$D,"&lt;"&amp;CONCATENATE($H$6,"/",B97),Proventos!$A:$A,"="&amp;$K$2))</f>
        <v>0</v>
      </c>
      <c r="H97" s="245">
        <f>IFS(
AND($H$2=Data!$A$3,$K$2=Data!$A$2),SUMIFS(Proventos!$H:$H,Proventos!$D:$D,"&gt;="&amp;CONCATENATE($H$6,"/",B97),Proventos!$D:$D,"&lt;"&amp;CONCATENATE($I$6,"/",B97),Proventos!$J:$J,"="&amp;$H$2),
AND($H$2=Data!$A$4,$K$2=Data!$A$2),SUMIFS(Proventos!$H:$H,Proventos!$D:$D,"&gt;="&amp;CONCATENATE($H$6,"/",B97),Proventos!$D:$D,"&lt;"&amp;CONCATENATE($I$6,"/",B97),Proventos!$J:$J,"="&amp;$H$2),
AND($H$2=Data!$A$5,$K$2=Data!$A$2),SUMIFS(Proventos!$H:$H,Proventos!$D:$D,"&gt;="&amp;CONCATENATE($H$6,"/",B97),Proventos!$D:$D,"&lt;"&amp;CONCATENATE($I$6,"/",B97),Proventos!$J:$J,"="&amp;$H$2),
AND($H$2=Data!$A$6,$K$2=Data!$A$2),SUMIFS(Proventos!$H:$H,Proventos!$D:$D,"&gt;="&amp;CONCATENATE($H$6,"/",B97),Proventos!$D:$D,"&lt;"&amp;CONCATENATE($I$6,"/",B97),Proventos!$J:$J,"="&amp;$H$2),
AND($H$2=Data!$A$7,$K$2=Data!$A$2),SUMIFS(Proventos!$H:$H,Proventos!$D:$D,"&gt;="&amp;CONCATENATE($H$6,"/",B97),Proventos!$D:$D,"&lt;"&amp;CONCATENATE($I$6,"/",B97),Proventos!$J:$J,"="&amp;$H$2),
AND($H$2=Data!$A$8,$K$2=Data!$A$2),SUMIFS(Proventos!$H:$H,Proventos!$D:$D,"&gt;="&amp;CONCATENATE($H$6,"/",B97),Proventos!$D:$D,"&lt;"&amp;CONCATENATE($I$6,"/",B97),Proventos!$J:$J,"="&amp;$H$2),
AND($H$2=Data!$A$9,$K$2=Data!$A$2),SUMIFS(Proventos!$H:$H,Proventos!$D:$D,"&gt;="&amp;CONCATENATE($H$6,"/",B97),Proventos!$D:$D,"&lt;"&amp;CONCATENATE($I$6,"/",B97),Proventos!$J:$J,"="&amp;$H$2),
AND($H$2=Data!$A$10,$K$2=Data!$A$2),SUMIFS(Proventos!$H:$H,Proventos!$D:$D,"&gt;="&amp;CONCATENATE($H$6,"/",B97),Proventos!$D:$D,"&lt;"&amp;CONCATENATE($I$6,"/",B97),Proventos!$J:$J,"="&amp;$H$2),
AND($H$2=Data!$A$11,$K$2=Data!$A$2),SUMIFS(Proventos!$H:$H,Proventos!$D:$D,"&gt;="&amp;CONCATENATE($H$6,"/",B97),Proventos!$D:$D,"&lt;"&amp;CONCATENATE($I$6,"/",B97),Proventos!$J:$J,"="&amp;$H$2),
$K$2=Data!$A$2,SUMIFS(Proventos!$H:$H,Proventos!$D:$D,"&gt;="&amp;CONCATENATE($H$6,"/",B97),Proventos!$D:$D,"&lt;"&amp;CONCATENATE($I$6,"/",B97)),
$K$2&lt;&gt;Data!$A$2,SUMIFS(Proventos!$H:$H,Proventos!$D:$D,"&gt;="&amp;CONCATENATE($H$6,"/",B97),Proventos!$D:$D,"&lt;"&amp;CONCATENATE($I$6,"/",B97),Proventos!$A:$A,"="&amp;$K$2))</f>
        <v>0</v>
      </c>
      <c r="I97" s="245">
        <f>IFS(
AND($H$2=Data!$A$3,$K$2=Data!$A$2),SUMIFS(Proventos!$H:$H,Proventos!$D:$D,"&gt;="&amp;CONCATENATE($I$6,"/",B97),Proventos!$D:$D,"&lt;"&amp;CONCATENATE($J$6,"/",B97),Proventos!$J:$J,"="&amp;$H$2),
AND($H$2=Data!$A$4,$K$2=Data!$A$2),SUMIFS(Proventos!$H:$H,Proventos!$D:$D,"&gt;="&amp;CONCATENATE($I$6,"/",B97),Proventos!$D:$D,"&lt;"&amp;CONCATENATE($J$6,"/",B97),Proventos!$J:$J,"="&amp;$H$2),
AND($H$2=Data!$A$5,$K$2=Data!$A$2),SUMIFS(Proventos!$H:$H,Proventos!$D:$D,"&gt;="&amp;CONCATENATE($I$6,"/",B97),Proventos!$D:$D,"&lt;"&amp;CONCATENATE($J$6,"/",B97),Proventos!$J:$J,"="&amp;$H$2),
AND($H$2=Data!$A$6,$K$2=Data!$A$2),SUMIFS(Proventos!$H:$H,Proventos!$D:$D,"&gt;="&amp;CONCATENATE($I$6,"/",B97),Proventos!$D:$D,"&lt;"&amp;CONCATENATE($J$6,"/",B97),Proventos!$J:$J,"="&amp;$H$2),
AND($H$2=Data!$A$7,$K$2=Data!$A$2),SUMIFS(Proventos!$H:$H,Proventos!$D:$D,"&gt;="&amp;CONCATENATE($I$6,"/",B97),Proventos!$D:$D,"&lt;"&amp;CONCATENATE($J$6,"/",B97),Proventos!$J:$J,"="&amp;$H$2),
AND($H$2=Data!$A$8,$K$2=Data!$A$2),SUMIFS(Proventos!$H:$H,Proventos!$D:$D,"&gt;="&amp;CONCATENATE($I$6,"/",B97),Proventos!$D:$D,"&lt;"&amp;CONCATENATE($J$6,"/",B97),Proventos!$J:$J,"="&amp;$H$2),
AND($H$2=Data!$A$9,$K$2=Data!$A$2),SUMIFS(Proventos!$H:$H,Proventos!$D:$D,"&gt;="&amp;CONCATENATE($I$6,"/",B97),Proventos!$D:$D,"&lt;"&amp;CONCATENATE($J$6,"/",B97),Proventos!$J:$J,"="&amp;$H$2),
AND($H$2=Data!$A$10,$K$2=Data!$A$2),SUMIFS(Proventos!$H:$H,Proventos!$D:$D,"&gt;="&amp;CONCATENATE($I$6,"/",B97),Proventos!$D:$D,"&lt;"&amp;CONCATENATE($J$6,"/",B97),Proventos!$J:$J,"="&amp;$H$2),
AND($H$2=Data!$A$11,$K$2=Data!$A$2),SUMIFS(Proventos!$H:$H,Proventos!$D:$D,"&gt;="&amp;CONCATENATE($I$6,"/",B97),Proventos!$D:$D,"&lt;"&amp;CONCATENATE($J$6,"/",B97),Proventos!$J:$J,"="&amp;$H$2),
$K$2=Data!$A$2,SUMIFS(Proventos!$H:$H,Proventos!$D:$D,"&gt;="&amp;CONCATENATE($I$6,"/",B97),Proventos!$D:$D,"&lt;"&amp;CONCATENATE($J$6,"/",B97)),
$K$2&lt;&gt;Data!$A$2,SUMIFS(Proventos!$H:$H,Proventos!$D:$D,"&gt;="&amp;CONCATENATE($I$6,"/",B97),Proventos!$D:$D,"&lt;"&amp;CONCATENATE($J$6,"/",B97),Proventos!$A:$A,"="&amp;$K$2))</f>
        <v>0</v>
      </c>
      <c r="J97" s="245">
        <f>IFS(
AND($H$2=Data!$A$3,$K$2=Data!$A$2),SUMIFS(Proventos!$H:$H,Proventos!$D:$D,"&gt;="&amp;CONCATENATE($J$6,"/",B97),Proventos!$D:$D,"&lt;"&amp;CONCATENATE($K$6,"/",B97),Proventos!$J:$J,"="&amp;$H$2),
AND($H$2=Data!$A$4,$K$2=Data!$A$2),SUMIFS(Proventos!$H:$H,Proventos!$D:$D,"&gt;="&amp;CONCATENATE($J$6,"/",B97),Proventos!$D:$D,"&lt;"&amp;CONCATENATE($K$6,"/",B97),Proventos!$J:$J,"="&amp;$H$2),
AND($H$2=Data!$A$5,$K$2=Data!$A$2),SUMIFS(Proventos!$H:$H,Proventos!$D:$D,"&gt;="&amp;CONCATENATE($J$6,"/",B97),Proventos!$D:$D,"&lt;"&amp;CONCATENATE($K$6,"/",B97),Proventos!$J:$J,"="&amp;$H$2),
AND($H$2=Data!$A$6,$K$2=Data!$A$2),SUMIFS(Proventos!$H:$H,Proventos!$D:$D,"&gt;="&amp;CONCATENATE($J$6,"/",B97),Proventos!$D:$D,"&lt;"&amp;CONCATENATE($K$6,"/",B97),Proventos!$J:$J,"="&amp;$H$2),
AND($H$2=Data!$A$7,$K$2=Data!$A$2),SUMIFS(Proventos!$H:$H,Proventos!$D:$D,"&gt;="&amp;CONCATENATE($J$6,"/",B97),Proventos!$D:$D,"&lt;"&amp;CONCATENATE($K$6,"/",B97),Proventos!$J:$J,"="&amp;$H$2),
AND($H$2=Data!$A$8,$K$2=Data!$A$2),SUMIFS(Proventos!$H:$H,Proventos!$D:$D,"&gt;="&amp;CONCATENATE($J$6,"/",B97),Proventos!$D:$D,"&lt;"&amp;CONCATENATE($K$6,"/",B97),Proventos!$J:$J,"="&amp;$H$2),
AND($H$2=Data!$A$9,$K$2=Data!$A$2),SUMIFS(Proventos!$H:$H,Proventos!$D:$D,"&gt;="&amp;CONCATENATE($J$6,"/",B97),Proventos!$D:$D,"&lt;"&amp;CONCATENATE($K$6,"/",B97),Proventos!$J:$J,"="&amp;$H$2),
AND($H$2=Data!$A$10,$K$2=Data!$A$2),SUMIFS(Proventos!$H:$H,Proventos!$D:$D,"&gt;="&amp;CONCATENATE($J$6,"/",B97),Proventos!$D:$D,"&lt;"&amp;CONCATENATE($K$6,"/",B97),Proventos!$J:$J,"="&amp;$H$2),
AND($H$2=Data!$A$11,$K$2=Data!$A$2),SUMIFS(Proventos!$H:$H,Proventos!$D:$D,"&gt;="&amp;CONCATENATE($J$6,"/",B97),Proventos!$D:$D,"&lt;"&amp;CONCATENATE($K$6,"/",B97),Proventos!$J:$J,"="&amp;$H$2),
$K$2=Data!$A$2,SUMIFS(Proventos!$H:$H,Proventos!$D:$D,"&gt;="&amp;CONCATENATE($J$6,"/",B97),Proventos!$D:$D,"&lt;"&amp;CONCATENATE($K$6,"/",B97)),
$K$2&lt;&gt;Data!$A$2,SUMIFS(Proventos!$H:$H,Proventos!$D:$D,"&gt;="&amp;CONCATENATE($J$6,"/",B97),Proventos!$D:$D,"&lt;"&amp;CONCATENATE($K$6,"/",B97),Proventos!$A:$A,"="&amp;$K$2))</f>
        <v>0</v>
      </c>
      <c r="K97" s="245">
        <f>IFS(
AND($H$2=Data!$A$3,$K$2=Data!$A$2),SUMIFS(Proventos!$H:$H,Proventos!$D:$D,"&gt;="&amp;CONCATENATE($K$6,"/",B97),Proventos!$D:$D,"&lt;"&amp;CONCATENATE($L$6,"/",B97),Proventos!$J:$J,"="&amp;$H$2),
AND($H$2=Data!$A$4,$K$2=Data!$A$2),SUMIFS(Proventos!$H:$H,Proventos!$D:$D,"&gt;="&amp;CONCATENATE($K$6,"/",B97),Proventos!$D:$D,"&lt;"&amp;CONCATENATE($L$6,"/",B97),Proventos!$J:$J,"="&amp;$H$2),
AND($H$2=Data!$A$5,$K$2=Data!$A$2),SUMIFS(Proventos!$H:$H,Proventos!$D:$D,"&gt;="&amp;CONCATENATE($K$6,"/",B97),Proventos!$D:$D,"&lt;"&amp;CONCATENATE($L$6,"/",B97),Proventos!$J:$J,"="&amp;$H$2),
AND($H$2=Data!$A$6,$K$2=Data!$A$2),SUMIFS(Proventos!$H:$H,Proventos!$D:$D,"&gt;="&amp;CONCATENATE($K$6,"/",B97),Proventos!$D:$D,"&lt;"&amp;CONCATENATE($L$6,"/",B97),Proventos!$J:$J,"="&amp;$H$2),
AND($H$2=Data!$A$7,$K$2=Data!$A$2),SUMIFS(Proventos!$H:$H,Proventos!$D:$D,"&gt;="&amp;CONCATENATE($K$6,"/",B97),Proventos!$D:$D,"&lt;"&amp;CONCATENATE($L$6,"/",B97),Proventos!$J:$J,"="&amp;$H$2),
AND($H$2=Data!$A$8,$K$2=Data!$A$2),SUMIFS(Proventos!$H:$H,Proventos!$D:$D,"&gt;="&amp;CONCATENATE($K$6,"/",B97),Proventos!$D:$D,"&lt;"&amp;CONCATENATE($L$6,"/",B97),Proventos!$J:$J,"="&amp;$H$2),
AND($H$2=Data!$A$9,$K$2=Data!$A$2),SUMIFS(Proventos!$H:$H,Proventos!$D:$D,"&gt;="&amp;CONCATENATE($K$6,"/",B97),Proventos!$D:$D,"&lt;"&amp;CONCATENATE($L$6,"/",B97),Proventos!$J:$J,"="&amp;$H$2),
AND($H$2=Data!$A$10,$K$2=Data!$A$2),SUMIFS(Proventos!$H:$H,Proventos!$D:$D,"&gt;="&amp;CONCATENATE($K$6,"/",B97),Proventos!$D:$D,"&lt;"&amp;CONCATENATE($L$6,"/",B97),Proventos!$J:$J,"="&amp;$H$2),
AND($H$2=Data!$A$11,$K$2=Data!$A$2),SUMIFS(Proventos!$H:$H,Proventos!$D:$D,"&gt;="&amp;CONCATENATE($K$6,"/",B97),Proventos!$D:$D,"&lt;"&amp;CONCATENATE($L$6,"/",B97),Proventos!$J:$J,"="&amp;$H$2),
$K$2=Data!$A$2,SUMIFS(Proventos!$H:$H,Proventos!$D:$D,"&gt;="&amp;CONCATENATE($K$6,"/",B97),Proventos!$D:$D,"&lt;"&amp;CONCATENATE($L$6,"/",B97)),
$K$2&lt;&gt;Data!$A$2,SUMIFS(Proventos!$H:$H,Proventos!$D:$D,"&gt;="&amp;CONCATENATE($K$6,"/",B97),Proventos!$D:$D,"&lt;"&amp;CONCATENATE($L$6,"/",B97),Proventos!$A:$A,"="&amp;$K$2))</f>
        <v>0</v>
      </c>
      <c r="L97" s="245">
        <f>IFS(
AND($H$2=Data!$A$3,$K$2=Data!$A$2),SUMIFS(Proventos!$H:$H,Proventos!$D:$D,"&gt;="&amp;CONCATENATE($L$6,"/",B97),Proventos!$D:$D,"&lt;"&amp;CONCATENATE($M$6,"/",B97),Proventos!$J:$J,"="&amp;$H$2),
AND($H$2=Data!$A$4,$K$2=Data!$A$2),SUMIFS(Proventos!$H:$H,Proventos!$D:$D,"&gt;="&amp;CONCATENATE($L$6,"/",B97),Proventos!$D:$D,"&lt;"&amp;CONCATENATE($M$6,"/",B97),Proventos!$J:$J,"="&amp;$H$2),
AND($H$2=Data!$A$5,$K$2=Data!$A$2),SUMIFS(Proventos!$H:$H,Proventos!$D:$D,"&gt;="&amp;CONCATENATE($L$6,"/",B97),Proventos!$D:$D,"&lt;"&amp;CONCATENATE($M$6,"/",B97),Proventos!$J:$J,"="&amp;$H$2),
AND($H$2=Data!$A$6,$K$2=Data!$A$2),SUMIFS(Proventos!$H:$H,Proventos!$D:$D,"&gt;="&amp;CONCATENATE($L$6,"/",B97),Proventos!$D:$D,"&lt;"&amp;CONCATENATE($M$6,"/",B97),Proventos!$J:$J,"="&amp;$H$2),
AND($H$2=Data!$A$7,$K$2=Data!$A$2),SUMIFS(Proventos!$H:$H,Proventos!$D:$D,"&gt;="&amp;CONCATENATE($L$6,"/",B97),Proventos!$D:$D,"&lt;"&amp;CONCATENATE($M$6,"/",B97),Proventos!$J:$J,"="&amp;$H$2),
AND($H$2=Data!$A$8,$K$2=Data!$A$2),SUMIFS(Proventos!$H:$H,Proventos!$D:$D,"&gt;="&amp;CONCATENATE($L$6,"/",B97),Proventos!$D:$D,"&lt;"&amp;CONCATENATE($M$6,"/",B97),Proventos!$J:$J,"="&amp;$H$2),
AND($H$2=Data!$A$9,$K$2=Data!$A$2),SUMIFS(Proventos!$H:$H,Proventos!$D:$D,"&gt;="&amp;CONCATENATE($L$6,"/",B97),Proventos!$D:$D,"&lt;"&amp;CONCATENATE($M$6,"/",B97),Proventos!$J:$J,"="&amp;$H$2),
AND($H$2=Data!$A$10,$K$2=Data!$A$2),SUMIFS(Proventos!$H:$H,Proventos!$D:$D,"&gt;="&amp;CONCATENATE($L$6,"/",B97),Proventos!$D:$D,"&lt;"&amp;CONCATENATE($M$6,"/",B97),Proventos!$J:$J,"="&amp;$H$2),
AND($H$2=Data!$A$11,$K$2=Data!$A$2),SUMIFS(Proventos!$H:$H,Proventos!$D:$D,"&gt;="&amp;CONCATENATE($L$6,"/",B97),Proventos!$D:$D,"&lt;"&amp;CONCATENATE($M$6,"/",B97),Proventos!$J:$J,"="&amp;$H$2),
$K$2=Data!$A$2,SUMIFS(Proventos!$H:$H,Proventos!$D:$D,"&gt;="&amp;CONCATENATE($L$6,"/",B97),Proventos!$D:$D,"&lt;"&amp;CONCATENATE($M$6,"/",B97)),
$K$2&lt;&gt;Data!$A$2,SUMIFS(Proventos!$H:$H,Proventos!$D:$D,"&gt;="&amp;CONCATENATE($L$6,"/",B97),Proventos!$D:$D,"&lt;"&amp;CONCATENATE($M$6,"/",B97),Proventos!$A:$A,"="&amp;$K$2))</f>
        <v>0</v>
      </c>
      <c r="M97" s="245">
        <f>IFS(
AND($H$2=Data!$A$3,$K$2=Data!$A$2),SUMIFS(Proventos!$H:$H,Proventos!$D:$D,"&gt;="&amp;CONCATENATE($M$6,"/",B97),Proventos!$D:$D,"&lt;"&amp;CONCATENATE($N$6,"/",B97),Proventos!$J:$J,"="&amp;$H$2),
AND($H$2=Data!$A$4,$K$2=Data!$A$2),SUMIFS(Proventos!$H:$H,Proventos!$D:$D,"&gt;="&amp;CONCATENATE($M$6,"/",B97),Proventos!$D:$D,"&lt;"&amp;CONCATENATE($N$6,"/",B97),Proventos!$J:$J,"="&amp;$H$2),
AND($H$2=Data!$A$5,$K$2=Data!$A$2),SUMIFS(Proventos!$H:$H,Proventos!$D:$D,"&gt;="&amp;CONCATENATE($M$6,"/",B97),Proventos!$D:$D,"&lt;"&amp;CONCATENATE($N$6,"/",B97),Proventos!$J:$J,"="&amp;$H$2),
AND($H$2=Data!$A$6,$K$2=Data!$A$2),SUMIFS(Proventos!$H:$H,Proventos!$D:$D,"&gt;="&amp;CONCATENATE($M$6,"/",B97),Proventos!$D:$D,"&lt;"&amp;CONCATENATE($N$6,"/",B97),Proventos!$J:$J,"="&amp;$H$2),
AND($H$2=Data!$A$7,$K$2=Data!$A$2),SUMIFS(Proventos!$H:$H,Proventos!$D:$D,"&gt;="&amp;CONCATENATE($M$6,"/",B97),Proventos!$D:$D,"&lt;"&amp;CONCATENATE($N$6,"/",B97),Proventos!$J:$J,"="&amp;$H$2),
AND($H$2=Data!$A$8,$K$2=Data!$A$2),SUMIFS(Proventos!$H:$H,Proventos!$D:$D,"&gt;="&amp;CONCATENATE($M$6,"/",B97),Proventos!$D:$D,"&lt;"&amp;CONCATENATE($N$6,"/",B97),Proventos!$J:$J,"="&amp;$H$2),
AND($H$2=Data!$A$9,$K$2=Data!$A$2),SUMIFS(Proventos!$H:$H,Proventos!$D:$D,"&gt;="&amp;CONCATENATE($M$6,"/",B97),Proventos!$D:$D,"&lt;"&amp;CONCATENATE($N$6,"/",B97),Proventos!$J:$J,"="&amp;$H$2),
AND($H$2=Data!$A$10,$K$2=Data!$A$2),SUMIFS(Proventos!$H:$H,Proventos!$D:$D,"&gt;="&amp;CONCATENATE($M$6,"/",B97),Proventos!$D:$D,"&lt;"&amp;CONCATENATE($N$6,"/",B97),Proventos!$J:$J,"="&amp;$H$2),
AND($H$2=Data!$A$11,$K$2=Data!$A$2),SUMIFS(Proventos!$H:$H,Proventos!$D:$D,"&gt;="&amp;CONCATENATE($M$6,"/",B97),Proventos!$D:$D,"&lt;"&amp;CONCATENATE($N$6,"/",B97),Proventos!$J:$J,"="&amp;$H$2),
$K$2=Data!$A$2,SUMIFS(Proventos!$H:$H,Proventos!$D:$D,"&gt;="&amp;CONCATENATE($M$6,"/",B97),Proventos!$D:$D,"&lt;"&amp;CONCATENATE($N$6,"/",B97)),
$K$2&lt;&gt;Data!$A$2,SUMIFS(Proventos!$H:$H,Proventos!$D:$D,"&gt;="&amp;CONCATENATE($M$6,"/",B97),Proventos!$D:$D,"&lt;"&amp;CONCATENATE($N$6,"/",B97),Proventos!$A:$A,"="&amp;$K$2))</f>
        <v>0</v>
      </c>
      <c r="N97" s="245">
        <f>IFS(
AND($H$2=Data!$A$3,$K$2=Data!$A$2),SUMIFS(Proventos!$H:$H,Proventos!$D:$D,"&gt;="&amp;CONCATENATE($N$6,"/",B97),Proventos!$D:$D,"&lt;"&amp;CONCATENATE($C$6,"/",B98),Proventos!$J:$J,"="&amp;$H$2),
AND($H$2=Data!$A$4,$K$2=Data!$A$2),SUMIFS(Proventos!$H:$H,Proventos!$D:$D,"&gt;="&amp;CONCATENATE($N$6,"/",B97),Proventos!$D:$D,"&lt;"&amp;CONCATENATE($C$6,"/",B98),Proventos!$J:$J,"="&amp;$H$2),
AND($H$2=Data!$A$5,$K$2=Data!$A$2),SUMIFS(Proventos!$H:$H,Proventos!$D:$D,"&gt;="&amp;CONCATENATE($N$6,"/",B97),Proventos!$D:$D,"&lt;"&amp;CONCATENATE($C$6,"/",B98),Proventos!$J:$J,"="&amp;$H$2),
AND($H$2=Data!$A$6,$K$2=Data!$A$2),SUMIFS(Proventos!$H:$H,Proventos!$D:$D,"&gt;="&amp;CONCATENATE($N$6,"/",B97),Proventos!$D:$D,"&lt;"&amp;CONCATENATE($C$6,"/",B98),Proventos!$J:$J,"="&amp;$H$2),
AND($H$2=Data!$A$7,$K$2=Data!$A$2),SUMIFS(Proventos!$H:$H,Proventos!$D:$D,"&gt;="&amp;CONCATENATE($N$6,"/",B97),Proventos!$D:$D,"&lt;"&amp;CONCATENATE($C$6,"/",B98),Proventos!$J:$J,"="&amp;$H$2),
AND($H$2=Data!$A$8,$K$2=Data!$A$2),SUMIFS(Proventos!$H:$H,Proventos!$D:$D,"&gt;="&amp;CONCATENATE($N$6,"/",B97),Proventos!$D:$D,"&lt;"&amp;CONCATENATE($C$6,"/",B98),Proventos!$J:$J,"="&amp;$H$2),
AND($H$2=Data!$A$9,$K$2=Data!$A$2),SUMIFS(Proventos!$H:$H,Proventos!$D:$D,"&gt;="&amp;CONCATENATE($N$6,"/",B97),Proventos!$D:$D,"&lt;"&amp;CONCATENATE($C$6,"/",B98),Proventos!$J:$J,"="&amp;$H$2),
AND($H$2=Data!$A$10,$K$2=Data!$A$2),SUMIFS(Proventos!$H:$H,Proventos!$D:$D,"&gt;="&amp;CONCATENATE($N$6,"/",B97),Proventos!$D:$D,"&lt;"&amp;CONCATENATE($C$6,"/",B98),Proventos!$J:$J,"="&amp;$H$2),
AND($H$2=Data!$A$11,$K$2=Data!$A$2),SUMIFS(Proventos!$H:$H,Proventos!$D:$D,"&gt;="&amp;CONCATENATE($N$6,"/",B97),Proventos!$D:$D,"&lt;"&amp;CONCATENATE($C$6,"/",B98),Proventos!$J:$J,"="&amp;$H$2),
$K$2=Data!$A$2,SUMIFS(Proventos!$H:$H,Proventos!$D:$D,"&gt;="&amp;CONCATENATE($N$6,"/",B97),Proventos!$D:$D,"&lt;"&amp;CONCATENATE($C$6,"/",B98)),
$K$2&lt;&gt;Data!$A$2,SUMIFS(Proventos!$H:$H,Proventos!$D:$D,"&gt;="&amp;CONCATENATE($N$6,"/",B97),Proventos!$D:$D,"&lt;"&amp;CONCATENATE($C$6,"/",B98),Proventos!$A:$A,"="&amp;$K$2))</f>
        <v>0</v>
      </c>
      <c r="O97" s="245"/>
      <c r="P97" s="245">
        <f t="shared" si="1"/>
        <v>0</v>
      </c>
      <c r="Q97" s="245">
        <f t="shared" si="2"/>
        <v>0</v>
      </c>
    </row>
    <row r="98" ht="32.25" customHeight="1">
      <c r="A98" s="230"/>
      <c r="B98" s="244"/>
      <c r="C98" s="245">
        <f>IFS(
AND($H$2=Data!$A$3,$K$2=Data!$A$2),SUMIFS(Proventos!$H:$H,Proventos!$D:$D,"&gt;="&amp;CONCATENATE($C$6,"/",B98),Proventos!$D:$D,"&lt;"&amp;CONCATENATE($D$6,"/",B98),Proventos!$J:$J,"="&amp;$H$2),
AND($H$2=Data!$A$4,$K$2=Data!$A$2),SUMIFS(Proventos!$H:$H,Proventos!$D:$D,"&gt;="&amp;CONCATENATE($C$6,"/",B98),Proventos!$D:$D,"&lt;"&amp;CONCATENATE($D$6,"/",B98),Proventos!$J:$J,"="&amp;$H$2),
AND($H$2=Data!$A$5,$K$2=Data!$A$2),SUMIFS(Proventos!$H:$H,Proventos!$D:$D,"&gt;="&amp;CONCATENATE($C$6,"/",B98),Proventos!$D:$D,"&lt;"&amp;CONCATENATE($D$6,"/",B98),Proventos!$J:$J,"="&amp;$H$2),
AND($H$2=Data!$A$6,$K$2=Data!$A$2),SUMIFS(Proventos!$H:$H,Proventos!$D:$D,"&gt;="&amp;CONCATENATE($C$6,"/",B98),Proventos!$D:$D,"&lt;"&amp;CONCATENATE($D$6,"/",B98),Proventos!$J:$J,"="&amp;$H$2),
AND($H$2=Data!$A$7,$K$2=Data!$A$2),SUMIFS(Proventos!$H:$H,Proventos!$D:$D,"&gt;="&amp;CONCATENATE($C$6,"/",B98),Proventos!$D:$D,"&lt;"&amp;CONCATENATE($D$6,"/",B98),Proventos!$J:$J,"="&amp;$H$2),
AND($H$2=Data!$A$8,$K$2=Data!$A$2),SUMIFS(Proventos!$H:$H,Proventos!$D:$D,"&gt;="&amp;CONCATENATE($C$6,"/",B98),Proventos!$D:$D,"&lt;"&amp;CONCATENATE($D$6,"/",B98),Proventos!$J:$J,"="&amp;$H$2),
AND($H$2=Data!$A$9,$K$2=Data!$A$2),SUMIFS(Proventos!$H:$H,Proventos!$D:$D,"&gt;="&amp;CONCATENATE($C$6,"/",B98),Proventos!$D:$D,"&lt;"&amp;CONCATENATE($D$6,"/",B98),Proventos!$J:$J,"="&amp;$H$2),
AND($H$2=Data!$A$10,$K$2=Data!$A$2),SUMIFS(Proventos!$H:$H,Proventos!$D:$D,"&gt;="&amp;CONCATENATE($C$6,"/",B98),Proventos!$D:$D,"&lt;"&amp;CONCATENATE($D$6,"/",B98),Proventos!$J:$J,"="&amp;$H$2),
AND($H$2=Data!$A$11,$K$2=Data!$A$2),SUMIFS(Proventos!$H:$H,Proventos!$D:$D,"&gt;="&amp;CONCATENATE($C$6,"/",B98),Proventos!$D:$D,"&lt;"&amp;CONCATENATE($D$6,"/",B98),Proventos!$J:$J,"="&amp;$H$2),
$K$2=Data!$A$2,SUMIFS(Proventos!$H:$H,Proventos!$D:$D,"&gt;="&amp;CONCATENATE($C$6,"/",B98),Proventos!$D:$D,"&lt;"&amp;CONCATENATE($D$6,"/",B98)),
$K$2&lt;&gt;Data!$A$2,SUMIFS(Proventos!$H:$H,Proventos!$D:$D,"&gt;="&amp;CONCATENATE($C$6,"/",B98),Proventos!$D:$D,"&lt;"&amp;CONCATENATE($D$6,"/",B98),Proventos!$A:$A,"="&amp;$K$2))</f>
        <v>0</v>
      </c>
      <c r="D98" s="245">
        <f>IFS(
AND($H$2=Data!$A$3,$K$2=Data!$A$2),SUMIFS(Proventos!$H:$H,Proventos!$D:$D,"&gt;="&amp;CONCATENATE($D$6,"/",B98),Proventos!$D:$D,"&lt;"&amp;CONCATENATE($E$6,"/",B98),Proventos!$J:$J,"="&amp;$H$2),
AND($H$2=Data!$A$4,$K$2=Data!$A$2),SUMIFS(Proventos!$H:$H,Proventos!$D:$D,"&gt;="&amp;CONCATENATE($D$6,"/",B98),Proventos!$D:$D,"&lt;"&amp;CONCATENATE($E$6,"/",B98),Proventos!$J:$J,"="&amp;$H$2),
AND($H$2=Data!$A$5,$K$2=Data!$A$2),SUMIFS(Proventos!$H:$H,Proventos!$D:$D,"&gt;="&amp;CONCATENATE($D$6,"/",B98),Proventos!$D:$D,"&lt;"&amp;CONCATENATE($E$6,"/",B98),Proventos!$J:$J,"="&amp;$H$2),
AND($H$2=Data!$A$6,$K$2=Data!$A$2),SUMIFS(Proventos!$H:$H,Proventos!$D:$D,"&gt;="&amp;CONCATENATE($D$6,"/",B98),Proventos!$D:$D,"&lt;"&amp;CONCATENATE($E$6,"/",B98),Proventos!$J:$J,"="&amp;$H$2),
AND($H$2=Data!$A$7,$K$2=Data!$A$2),SUMIFS(Proventos!$H:$H,Proventos!$D:$D,"&gt;="&amp;CONCATENATE($D$6,"/",B98),Proventos!$D:$D,"&lt;"&amp;CONCATENATE($E$6,"/",B98),Proventos!$J:$J,"="&amp;$H$2),
AND($H$2=Data!$A$8,$K$2=Data!$A$2),SUMIFS(Proventos!$H:$H,Proventos!$D:$D,"&gt;="&amp;CONCATENATE($D$6,"/",B98),Proventos!$D:$D,"&lt;"&amp;CONCATENATE($E$6,"/",B98),Proventos!$J:$J,"="&amp;$H$2),
AND($H$2=Data!$A$9,$K$2=Data!$A$2),SUMIFS(Proventos!$H:$H,Proventos!$D:$D,"&gt;="&amp;CONCATENATE($D$6,"/",B98),Proventos!$D:$D,"&lt;"&amp;CONCATENATE($E$6,"/",B98),Proventos!$J:$J,"="&amp;$H$2),
AND($H$2=Data!$A$10,$K$2=Data!$A$2),SUMIFS(Proventos!$H:$H,Proventos!$D:$D,"&gt;="&amp;CONCATENATE($D$6,"/",B98),Proventos!$D:$D,"&lt;"&amp;CONCATENATE($E$6,"/",B98),Proventos!$J:$J,"="&amp;$H$2),
AND($H$2=Data!$A$11,$K$2=Data!$A$2),SUMIFS(Proventos!$H:$H,Proventos!$D:$D,"&gt;="&amp;CONCATENATE($D$6,"/",B98),Proventos!$D:$D,"&lt;"&amp;CONCATENATE($E$6,"/",B98),Proventos!$J:$J,"="&amp;$H$2),
$K$2=Data!$A$2,SUMIFS(Proventos!$H:$H,Proventos!$D:$D,"&gt;="&amp;CONCATENATE($D$6,"/",B98),Proventos!$D:$D,"&lt;"&amp;CONCATENATE($E$6,"/",B98)),
$K$2&lt;&gt;Data!$A$2,SUMIFS(Proventos!$H:$H,Proventos!$D:$D,"&gt;="&amp;CONCATENATE($D$6,"/",B98),Proventos!$D:$D,"&lt;"&amp;CONCATENATE($E$6,"/",B98),Proventos!$A:$A,"="&amp;$K$2))</f>
        <v>0</v>
      </c>
      <c r="E98" s="245">
        <f>IFS(
AND($H$2=Data!$A$3,$K$2=Data!$A$2),SUMIFS(Proventos!$H:$H,Proventos!$D:$D,"&gt;="&amp;CONCATENATE($E$6,"/",B98),Proventos!$D:$D,"&lt;"&amp;CONCATENATE($F$6,"/",B98),Proventos!$J:$J,"="&amp;$H$2),
AND($H$2=Data!$A$4,$K$2=Data!$A$2),SUMIFS(Proventos!$H:$H,Proventos!$D:$D,"&gt;="&amp;CONCATENATE($E$6,"/",B98),Proventos!$D:$D,"&lt;"&amp;CONCATENATE($F$6,"/",B98),Proventos!$J:$J,"="&amp;$H$2),
AND($H$2=Data!$A$5,$K$2=Data!$A$2),SUMIFS(Proventos!$H:$H,Proventos!$D:$D,"&gt;="&amp;CONCATENATE($E$6,"/",B98),Proventos!$D:$D,"&lt;"&amp;CONCATENATE($F$6,"/",B98),Proventos!$J:$J,"="&amp;$H$2),
AND($H$2=Data!$A$6,$K$2=Data!$A$2),SUMIFS(Proventos!$H:$H,Proventos!$D:$D,"&gt;="&amp;CONCATENATE($E$6,"/",B98),Proventos!$D:$D,"&lt;"&amp;CONCATENATE($F$6,"/",B98),Proventos!$J:$J,"="&amp;$H$2),
AND($H$2=Data!$A$7,$K$2=Data!$A$2),SUMIFS(Proventos!$H:$H,Proventos!$D:$D,"&gt;="&amp;CONCATENATE($E$6,"/",B98),Proventos!$D:$D,"&lt;"&amp;CONCATENATE($F$6,"/",B98),Proventos!$J:$J,"="&amp;$H$2),
AND($H$2=Data!$A$8,$K$2=Data!$A$2),SUMIFS(Proventos!$H:$H,Proventos!$D:$D,"&gt;="&amp;CONCATENATE($E$6,"/",B98),Proventos!$D:$D,"&lt;"&amp;CONCATENATE($F$6,"/",B98),Proventos!$J:$J,"="&amp;$H$2),
AND($H$2=Data!$A$9,$K$2=Data!$A$2),SUMIFS(Proventos!$H:$H,Proventos!$D:$D,"&gt;="&amp;CONCATENATE($E$6,"/",B98),Proventos!$D:$D,"&lt;"&amp;CONCATENATE($F$6,"/",B98),Proventos!$J:$J,"="&amp;$H$2),
AND($H$2=Data!$A$10,$K$2=Data!$A$2),SUMIFS(Proventos!$H:$H,Proventos!$D:$D,"&gt;="&amp;CONCATENATE($E$6,"/",B98),Proventos!$D:$D,"&lt;"&amp;CONCATENATE($F$6,"/",B98),Proventos!$J:$J,"="&amp;$H$2),
AND($H$2=Data!$A$11,$K$2=Data!$A$2),SUMIFS(Proventos!$H:$H,Proventos!$D:$D,"&gt;="&amp;CONCATENATE($E$6,"/",B98),Proventos!$D:$D,"&lt;"&amp;CONCATENATE($F$6,"/",B98),Proventos!$J:$J,"="&amp;$H$2),
$K$2=Data!$A$2,SUMIFS(Proventos!$H:$H,Proventos!$D:$D,"&gt;="&amp;CONCATENATE($E$6,"/",B98),Proventos!$D:$D,"&lt;"&amp;CONCATENATE($F$6,"/",B98)),
$K$2&lt;&gt;Data!$A$2,SUMIFS(Proventos!$H:$H,Proventos!$D:$D,"&gt;="&amp;CONCATENATE($E$6,"/",B98),Proventos!$D:$D,"&lt;"&amp;CONCATENATE($F$6,"/",B98),Proventos!$A:$A,"="&amp;$K$2))</f>
        <v>0</v>
      </c>
      <c r="F98" s="245">
        <f>IFS(
AND($H$2=Data!$A$3,$K$2=Data!$A$2),SUMIFS(Proventos!$H:$H,Proventos!$D:$D,"&gt;="&amp;CONCATENATE($F$6,"/",B98),Proventos!$D:$D,"&lt;"&amp;CONCATENATE($G$6,"/",B98),Proventos!$J:$J,"="&amp;$H$2),
AND($H$2=Data!$A$4,$K$2=Data!$A$2),SUMIFS(Proventos!$H:$H,Proventos!$D:$D,"&gt;="&amp;CONCATENATE($F$6,"/",B98),Proventos!$D:$D,"&lt;"&amp;CONCATENATE($G$6,"/",B98),Proventos!$J:$J,"="&amp;$H$2),
AND($H$2=Data!$A$5,$K$2=Data!$A$2),SUMIFS(Proventos!$H:$H,Proventos!$D:$D,"&gt;="&amp;CONCATENATE($F$6,"/",B98),Proventos!$D:$D,"&lt;"&amp;CONCATENATE($G$6,"/",B98),Proventos!$J:$J,"="&amp;$H$2),
AND($H$2=Data!$A$6,$K$2=Data!$A$2),SUMIFS(Proventos!$H:$H,Proventos!$D:$D,"&gt;="&amp;CONCATENATE($F$6,"/",B98),Proventos!$D:$D,"&lt;"&amp;CONCATENATE($G$6,"/",B98),Proventos!$J:$J,"="&amp;$H$2),
AND($H$2=Data!$A$7,$K$2=Data!$A$2),SUMIFS(Proventos!$H:$H,Proventos!$D:$D,"&gt;="&amp;CONCATENATE($F$6,"/",B98),Proventos!$D:$D,"&lt;"&amp;CONCATENATE($G$6,"/",B98),Proventos!$J:$J,"="&amp;$H$2),
AND($H$2=Data!$A$8,$K$2=Data!$A$2),SUMIFS(Proventos!$H:$H,Proventos!$D:$D,"&gt;="&amp;CONCATENATE($F$6,"/",B98),Proventos!$D:$D,"&lt;"&amp;CONCATENATE($G$6,"/",B98),Proventos!$J:$J,"="&amp;$H$2),
AND($H$2=Data!$A$9,$K$2=Data!$A$2),SUMIFS(Proventos!$H:$H,Proventos!$D:$D,"&gt;="&amp;CONCATENATE($F$6,"/",B98),Proventos!$D:$D,"&lt;"&amp;CONCATENATE($G$6,"/",B98),Proventos!$J:$J,"="&amp;$H$2),
AND($H$2=Data!$A$10,$K$2=Data!$A$2),SUMIFS(Proventos!$H:$H,Proventos!$D:$D,"&gt;="&amp;CONCATENATE($F$6,"/",B98),Proventos!$D:$D,"&lt;"&amp;CONCATENATE($G$6,"/",B98),Proventos!$J:$J,"="&amp;$H$2),
AND($H$2=Data!$A$11,$K$2=Data!$A$2),SUMIFS(Proventos!$H:$H,Proventos!$D:$D,"&gt;="&amp;CONCATENATE($F$6,"/",B98),Proventos!$D:$D,"&lt;"&amp;CONCATENATE($G$6,"/",B98),Proventos!$J:$J,"="&amp;$H$2),
$K$2=Data!$A$2,SUMIFS(Proventos!$H:$H,Proventos!$D:$D,"&gt;="&amp;CONCATENATE($F$6,"/",B98),Proventos!$D:$D,"&lt;"&amp;CONCATENATE($G$6,"/",B98)),
$K$2&lt;&gt;Data!$A$2,SUMIFS(Proventos!$H:$H,Proventos!$D:$D,"&gt;="&amp;CONCATENATE($F$6,"/",B98),Proventos!$D:$D,"&lt;"&amp;CONCATENATE($G$6,"/",B98),Proventos!$A:$A,"="&amp;$K$2))</f>
        <v>0</v>
      </c>
      <c r="G98" s="245">
        <f>IFS(
AND($H$2=Data!$A$3,$K$2=Data!$A$2),SUMIFS(Proventos!$H:$H,Proventos!$D:$D,"&gt;="&amp;CONCATENATE($G$6,"/",B98),Proventos!$D:$D,"&lt;"&amp;CONCATENATE($H$6,"/",B98),Proventos!$J:$J,"="&amp;$H$2),
AND($H$2=Data!$A$4,$K$2=Data!$A$2),SUMIFS(Proventos!$H:$H,Proventos!$D:$D,"&gt;="&amp;CONCATENATE($G$6,"/",B98),Proventos!$D:$D,"&lt;"&amp;CONCATENATE($H$6,"/",B98),Proventos!$J:$J,"="&amp;$H$2),
AND($H$2=Data!$A$5,$K$2=Data!$A$2),SUMIFS(Proventos!$H:$H,Proventos!$D:$D,"&gt;="&amp;CONCATENATE($G$6,"/",B98),Proventos!$D:$D,"&lt;"&amp;CONCATENATE($H$6,"/",B98),Proventos!$J:$J,"="&amp;$H$2),
AND($H$2=Data!$A$6,$K$2=Data!$A$2),SUMIFS(Proventos!$H:$H,Proventos!$D:$D,"&gt;="&amp;CONCATENATE($G$6,"/",B98),Proventos!$D:$D,"&lt;"&amp;CONCATENATE($H$6,"/",B98),Proventos!$J:$J,"="&amp;$H$2),
AND($H$2=Data!$A$7,$K$2=Data!$A$2),SUMIFS(Proventos!$H:$H,Proventos!$D:$D,"&gt;="&amp;CONCATENATE($G$6,"/",B98),Proventos!$D:$D,"&lt;"&amp;CONCATENATE($H$6,"/",B98),Proventos!$J:$J,"="&amp;$H$2),
AND($H$2=Data!$A$8,$K$2=Data!$A$2),SUMIFS(Proventos!$H:$H,Proventos!$D:$D,"&gt;="&amp;CONCATENATE($G$6,"/",B98),Proventos!$D:$D,"&lt;"&amp;CONCATENATE($H$6,"/",B98),Proventos!$J:$J,"="&amp;$H$2),
AND($H$2=Data!$A$9,$K$2=Data!$A$2),SUMIFS(Proventos!$H:$H,Proventos!$D:$D,"&gt;="&amp;CONCATENATE($G$6,"/",B98),Proventos!$D:$D,"&lt;"&amp;CONCATENATE($H$6,"/",B98),Proventos!$J:$J,"="&amp;$H$2),
AND($H$2=Data!$A$10,$K$2=Data!$A$2),SUMIFS(Proventos!$H:$H,Proventos!$D:$D,"&gt;="&amp;CONCATENATE($G$6,"/",B98),Proventos!$D:$D,"&lt;"&amp;CONCATENATE($H$6,"/",B98),Proventos!$J:$J,"="&amp;$H$2),
AND($H$2=Data!$A$11,$K$2=Data!$A$2),SUMIFS(Proventos!$H:$H,Proventos!$D:$D,"&gt;="&amp;CONCATENATE($G$6,"/",B98),Proventos!$D:$D,"&lt;"&amp;CONCATENATE($H$6,"/",B98),Proventos!$J:$J,"="&amp;$H$2),
$K$2=Data!$A$2,SUMIFS(Proventos!$H:$H,Proventos!$D:$D,"&gt;="&amp;CONCATENATE($G$6,"/",B98),Proventos!$D:$D,"&lt;"&amp;CONCATENATE($H$6,"/",B98)),
$K$2&lt;&gt;Data!$A$2,SUMIFS(Proventos!$H:$H,Proventos!$D:$D,"&gt;="&amp;CONCATENATE($G$6,"/",B98),Proventos!$D:$D,"&lt;"&amp;CONCATENATE($H$6,"/",B98),Proventos!$A:$A,"="&amp;$K$2))</f>
        <v>0</v>
      </c>
      <c r="H98" s="245">
        <f>IFS(
AND($H$2=Data!$A$3,$K$2=Data!$A$2),SUMIFS(Proventos!$H:$H,Proventos!$D:$D,"&gt;="&amp;CONCATENATE($H$6,"/",B98),Proventos!$D:$D,"&lt;"&amp;CONCATENATE($I$6,"/",B98),Proventos!$J:$J,"="&amp;$H$2),
AND($H$2=Data!$A$4,$K$2=Data!$A$2),SUMIFS(Proventos!$H:$H,Proventos!$D:$D,"&gt;="&amp;CONCATENATE($H$6,"/",B98),Proventos!$D:$D,"&lt;"&amp;CONCATENATE($I$6,"/",B98),Proventos!$J:$J,"="&amp;$H$2),
AND($H$2=Data!$A$5,$K$2=Data!$A$2),SUMIFS(Proventos!$H:$H,Proventos!$D:$D,"&gt;="&amp;CONCATENATE($H$6,"/",B98),Proventos!$D:$D,"&lt;"&amp;CONCATENATE($I$6,"/",B98),Proventos!$J:$J,"="&amp;$H$2),
AND($H$2=Data!$A$6,$K$2=Data!$A$2),SUMIFS(Proventos!$H:$H,Proventos!$D:$D,"&gt;="&amp;CONCATENATE($H$6,"/",B98),Proventos!$D:$D,"&lt;"&amp;CONCATENATE($I$6,"/",B98),Proventos!$J:$J,"="&amp;$H$2),
AND($H$2=Data!$A$7,$K$2=Data!$A$2),SUMIFS(Proventos!$H:$H,Proventos!$D:$D,"&gt;="&amp;CONCATENATE($H$6,"/",B98),Proventos!$D:$D,"&lt;"&amp;CONCATENATE($I$6,"/",B98),Proventos!$J:$J,"="&amp;$H$2),
AND($H$2=Data!$A$8,$K$2=Data!$A$2),SUMIFS(Proventos!$H:$H,Proventos!$D:$D,"&gt;="&amp;CONCATENATE($H$6,"/",B98),Proventos!$D:$D,"&lt;"&amp;CONCATENATE($I$6,"/",B98),Proventos!$J:$J,"="&amp;$H$2),
AND($H$2=Data!$A$9,$K$2=Data!$A$2),SUMIFS(Proventos!$H:$H,Proventos!$D:$D,"&gt;="&amp;CONCATENATE($H$6,"/",B98),Proventos!$D:$D,"&lt;"&amp;CONCATENATE($I$6,"/",B98),Proventos!$J:$J,"="&amp;$H$2),
AND($H$2=Data!$A$10,$K$2=Data!$A$2),SUMIFS(Proventos!$H:$H,Proventos!$D:$D,"&gt;="&amp;CONCATENATE($H$6,"/",B98),Proventos!$D:$D,"&lt;"&amp;CONCATENATE($I$6,"/",B98),Proventos!$J:$J,"="&amp;$H$2),
AND($H$2=Data!$A$11,$K$2=Data!$A$2),SUMIFS(Proventos!$H:$H,Proventos!$D:$D,"&gt;="&amp;CONCATENATE($H$6,"/",B98),Proventos!$D:$D,"&lt;"&amp;CONCATENATE($I$6,"/",B98),Proventos!$J:$J,"="&amp;$H$2),
$K$2=Data!$A$2,SUMIFS(Proventos!$H:$H,Proventos!$D:$D,"&gt;="&amp;CONCATENATE($H$6,"/",B98),Proventos!$D:$D,"&lt;"&amp;CONCATENATE($I$6,"/",B98)),
$K$2&lt;&gt;Data!$A$2,SUMIFS(Proventos!$H:$H,Proventos!$D:$D,"&gt;="&amp;CONCATENATE($H$6,"/",B98),Proventos!$D:$D,"&lt;"&amp;CONCATENATE($I$6,"/",B98),Proventos!$A:$A,"="&amp;$K$2))</f>
        <v>0</v>
      </c>
      <c r="I98" s="245">
        <f>IFS(
AND($H$2=Data!$A$3,$K$2=Data!$A$2),SUMIFS(Proventos!$H:$H,Proventos!$D:$D,"&gt;="&amp;CONCATENATE($I$6,"/",B98),Proventos!$D:$D,"&lt;"&amp;CONCATENATE($J$6,"/",B98),Proventos!$J:$J,"="&amp;$H$2),
AND($H$2=Data!$A$4,$K$2=Data!$A$2),SUMIFS(Proventos!$H:$H,Proventos!$D:$D,"&gt;="&amp;CONCATENATE($I$6,"/",B98),Proventos!$D:$D,"&lt;"&amp;CONCATENATE($J$6,"/",B98),Proventos!$J:$J,"="&amp;$H$2),
AND($H$2=Data!$A$5,$K$2=Data!$A$2),SUMIFS(Proventos!$H:$H,Proventos!$D:$D,"&gt;="&amp;CONCATENATE($I$6,"/",B98),Proventos!$D:$D,"&lt;"&amp;CONCATENATE($J$6,"/",B98),Proventos!$J:$J,"="&amp;$H$2),
AND($H$2=Data!$A$6,$K$2=Data!$A$2),SUMIFS(Proventos!$H:$H,Proventos!$D:$D,"&gt;="&amp;CONCATENATE($I$6,"/",B98),Proventos!$D:$D,"&lt;"&amp;CONCATENATE($J$6,"/",B98),Proventos!$J:$J,"="&amp;$H$2),
AND($H$2=Data!$A$7,$K$2=Data!$A$2),SUMIFS(Proventos!$H:$H,Proventos!$D:$D,"&gt;="&amp;CONCATENATE($I$6,"/",B98),Proventos!$D:$D,"&lt;"&amp;CONCATENATE($J$6,"/",B98),Proventos!$J:$J,"="&amp;$H$2),
AND($H$2=Data!$A$8,$K$2=Data!$A$2),SUMIFS(Proventos!$H:$H,Proventos!$D:$D,"&gt;="&amp;CONCATENATE($I$6,"/",B98),Proventos!$D:$D,"&lt;"&amp;CONCATENATE($J$6,"/",B98),Proventos!$J:$J,"="&amp;$H$2),
AND($H$2=Data!$A$9,$K$2=Data!$A$2),SUMIFS(Proventos!$H:$H,Proventos!$D:$D,"&gt;="&amp;CONCATENATE($I$6,"/",B98),Proventos!$D:$D,"&lt;"&amp;CONCATENATE($J$6,"/",B98),Proventos!$J:$J,"="&amp;$H$2),
AND($H$2=Data!$A$10,$K$2=Data!$A$2),SUMIFS(Proventos!$H:$H,Proventos!$D:$D,"&gt;="&amp;CONCATENATE($I$6,"/",B98),Proventos!$D:$D,"&lt;"&amp;CONCATENATE($J$6,"/",B98),Proventos!$J:$J,"="&amp;$H$2),
AND($H$2=Data!$A$11,$K$2=Data!$A$2),SUMIFS(Proventos!$H:$H,Proventos!$D:$D,"&gt;="&amp;CONCATENATE($I$6,"/",B98),Proventos!$D:$D,"&lt;"&amp;CONCATENATE($J$6,"/",B98),Proventos!$J:$J,"="&amp;$H$2),
$K$2=Data!$A$2,SUMIFS(Proventos!$H:$H,Proventos!$D:$D,"&gt;="&amp;CONCATENATE($I$6,"/",B98),Proventos!$D:$D,"&lt;"&amp;CONCATENATE($J$6,"/",B98)),
$K$2&lt;&gt;Data!$A$2,SUMIFS(Proventos!$H:$H,Proventos!$D:$D,"&gt;="&amp;CONCATENATE($I$6,"/",B98),Proventos!$D:$D,"&lt;"&amp;CONCATENATE($J$6,"/",B98),Proventos!$A:$A,"="&amp;$K$2))</f>
        <v>0</v>
      </c>
      <c r="J98" s="245">
        <f>IFS(
AND($H$2=Data!$A$3,$K$2=Data!$A$2),SUMIFS(Proventos!$H:$H,Proventos!$D:$D,"&gt;="&amp;CONCATENATE($J$6,"/",B98),Proventos!$D:$D,"&lt;"&amp;CONCATENATE($K$6,"/",B98),Proventos!$J:$J,"="&amp;$H$2),
AND($H$2=Data!$A$4,$K$2=Data!$A$2),SUMIFS(Proventos!$H:$H,Proventos!$D:$D,"&gt;="&amp;CONCATENATE($J$6,"/",B98),Proventos!$D:$D,"&lt;"&amp;CONCATENATE($K$6,"/",B98),Proventos!$J:$J,"="&amp;$H$2),
AND($H$2=Data!$A$5,$K$2=Data!$A$2),SUMIFS(Proventos!$H:$H,Proventos!$D:$D,"&gt;="&amp;CONCATENATE($J$6,"/",B98),Proventos!$D:$D,"&lt;"&amp;CONCATENATE($K$6,"/",B98),Proventos!$J:$J,"="&amp;$H$2),
AND($H$2=Data!$A$6,$K$2=Data!$A$2),SUMIFS(Proventos!$H:$H,Proventos!$D:$D,"&gt;="&amp;CONCATENATE($J$6,"/",B98),Proventos!$D:$D,"&lt;"&amp;CONCATENATE($K$6,"/",B98),Proventos!$J:$J,"="&amp;$H$2),
AND($H$2=Data!$A$7,$K$2=Data!$A$2),SUMIFS(Proventos!$H:$H,Proventos!$D:$D,"&gt;="&amp;CONCATENATE($J$6,"/",B98),Proventos!$D:$D,"&lt;"&amp;CONCATENATE($K$6,"/",B98),Proventos!$J:$J,"="&amp;$H$2),
AND($H$2=Data!$A$8,$K$2=Data!$A$2),SUMIFS(Proventos!$H:$H,Proventos!$D:$D,"&gt;="&amp;CONCATENATE($J$6,"/",B98),Proventos!$D:$D,"&lt;"&amp;CONCATENATE($K$6,"/",B98),Proventos!$J:$J,"="&amp;$H$2),
AND($H$2=Data!$A$9,$K$2=Data!$A$2),SUMIFS(Proventos!$H:$H,Proventos!$D:$D,"&gt;="&amp;CONCATENATE($J$6,"/",B98),Proventos!$D:$D,"&lt;"&amp;CONCATENATE($K$6,"/",B98),Proventos!$J:$J,"="&amp;$H$2),
AND($H$2=Data!$A$10,$K$2=Data!$A$2),SUMIFS(Proventos!$H:$H,Proventos!$D:$D,"&gt;="&amp;CONCATENATE($J$6,"/",B98),Proventos!$D:$D,"&lt;"&amp;CONCATENATE($K$6,"/",B98),Proventos!$J:$J,"="&amp;$H$2),
AND($H$2=Data!$A$11,$K$2=Data!$A$2),SUMIFS(Proventos!$H:$H,Proventos!$D:$D,"&gt;="&amp;CONCATENATE($J$6,"/",B98),Proventos!$D:$D,"&lt;"&amp;CONCATENATE($K$6,"/",B98),Proventos!$J:$J,"="&amp;$H$2),
$K$2=Data!$A$2,SUMIFS(Proventos!$H:$H,Proventos!$D:$D,"&gt;="&amp;CONCATENATE($J$6,"/",B98),Proventos!$D:$D,"&lt;"&amp;CONCATENATE($K$6,"/",B98)),
$K$2&lt;&gt;Data!$A$2,SUMIFS(Proventos!$H:$H,Proventos!$D:$D,"&gt;="&amp;CONCATENATE($J$6,"/",B98),Proventos!$D:$D,"&lt;"&amp;CONCATENATE($K$6,"/",B98),Proventos!$A:$A,"="&amp;$K$2))</f>
        <v>0</v>
      </c>
      <c r="K98" s="245">
        <f>IFS(
AND($H$2=Data!$A$3,$K$2=Data!$A$2),SUMIFS(Proventos!$H:$H,Proventos!$D:$D,"&gt;="&amp;CONCATENATE($K$6,"/",B98),Proventos!$D:$D,"&lt;"&amp;CONCATENATE($L$6,"/",B98),Proventos!$J:$J,"="&amp;$H$2),
AND($H$2=Data!$A$4,$K$2=Data!$A$2),SUMIFS(Proventos!$H:$H,Proventos!$D:$D,"&gt;="&amp;CONCATENATE($K$6,"/",B98),Proventos!$D:$D,"&lt;"&amp;CONCATENATE($L$6,"/",B98),Proventos!$J:$J,"="&amp;$H$2),
AND($H$2=Data!$A$5,$K$2=Data!$A$2),SUMIFS(Proventos!$H:$H,Proventos!$D:$D,"&gt;="&amp;CONCATENATE($K$6,"/",B98),Proventos!$D:$D,"&lt;"&amp;CONCATENATE($L$6,"/",B98),Proventos!$J:$J,"="&amp;$H$2),
AND($H$2=Data!$A$6,$K$2=Data!$A$2),SUMIFS(Proventos!$H:$H,Proventos!$D:$D,"&gt;="&amp;CONCATENATE($K$6,"/",B98),Proventos!$D:$D,"&lt;"&amp;CONCATENATE($L$6,"/",B98),Proventos!$J:$J,"="&amp;$H$2),
AND($H$2=Data!$A$7,$K$2=Data!$A$2),SUMIFS(Proventos!$H:$H,Proventos!$D:$D,"&gt;="&amp;CONCATENATE($K$6,"/",B98),Proventos!$D:$D,"&lt;"&amp;CONCATENATE($L$6,"/",B98),Proventos!$J:$J,"="&amp;$H$2),
AND($H$2=Data!$A$8,$K$2=Data!$A$2),SUMIFS(Proventos!$H:$H,Proventos!$D:$D,"&gt;="&amp;CONCATENATE($K$6,"/",B98),Proventos!$D:$D,"&lt;"&amp;CONCATENATE($L$6,"/",B98),Proventos!$J:$J,"="&amp;$H$2),
AND($H$2=Data!$A$9,$K$2=Data!$A$2),SUMIFS(Proventos!$H:$H,Proventos!$D:$D,"&gt;="&amp;CONCATENATE($K$6,"/",B98),Proventos!$D:$D,"&lt;"&amp;CONCATENATE($L$6,"/",B98),Proventos!$J:$J,"="&amp;$H$2),
AND($H$2=Data!$A$10,$K$2=Data!$A$2),SUMIFS(Proventos!$H:$H,Proventos!$D:$D,"&gt;="&amp;CONCATENATE($K$6,"/",B98),Proventos!$D:$D,"&lt;"&amp;CONCATENATE($L$6,"/",B98),Proventos!$J:$J,"="&amp;$H$2),
AND($H$2=Data!$A$11,$K$2=Data!$A$2),SUMIFS(Proventos!$H:$H,Proventos!$D:$D,"&gt;="&amp;CONCATENATE($K$6,"/",B98),Proventos!$D:$D,"&lt;"&amp;CONCATENATE($L$6,"/",B98),Proventos!$J:$J,"="&amp;$H$2),
$K$2=Data!$A$2,SUMIFS(Proventos!$H:$H,Proventos!$D:$D,"&gt;="&amp;CONCATENATE($K$6,"/",B98),Proventos!$D:$D,"&lt;"&amp;CONCATENATE($L$6,"/",B98)),
$K$2&lt;&gt;Data!$A$2,SUMIFS(Proventos!$H:$H,Proventos!$D:$D,"&gt;="&amp;CONCATENATE($K$6,"/",B98),Proventos!$D:$D,"&lt;"&amp;CONCATENATE($L$6,"/",B98),Proventos!$A:$A,"="&amp;$K$2))</f>
        <v>0</v>
      </c>
      <c r="L98" s="245">
        <f>IFS(
AND($H$2=Data!$A$3,$K$2=Data!$A$2),SUMIFS(Proventos!$H:$H,Proventos!$D:$D,"&gt;="&amp;CONCATENATE($L$6,"/",B98),Proventos!$D:$D,"&lt;"&amp;CONCATENATE($M$6,"/",B98),Proventos!$J:$J,"="&amp;$H$2),
AND($H$2=Data!$A$4,$K$2=Data!$A$2),SUMIFS(Proventos!$H:$H,Proventos!$D:$D,"&gt;="&amp;CONCATENATE($L$6,"/",B98),Proventos!$D:$D,"&lt;"&amp;CONCATENATE($M$6,"/",B98),Proventos!$J:$J,"="&amp;$H$2),
AND($H$2=Data!$A$5,$K$2=Data!$A$2),SUMIFS(Proventos!$H:$H,Proventos!$D:$D,"&gt;="&amp;CONCATENATE($L$6,"/",B98),Proventos!$D:$D,"&lt;"&amp;CONCATENATE($M$6,"/",B98),Proventos!$J:$J,"="&amp;$H$2),
AND($H$2=Data!$A$6,$K$2=Data!$A$2),SUMIFS(Proventos!$H:$H,Proventos!$D:$D,"&gt;="&amp;CONCATENATE($L$6,"/",B98),Proventos!$D:$D,"&lt;"&amp;CONCATENATE($M$6,"/",B98),Proventos!$J:$J,"="&amp;$H$2),
AND($H$2=Data!$A$7,$K$2=Data!$A$2),SUMIFS(Proventos!$H:$H,Proventos!$D:$D,"&gt;="&amp;CONCATENATE($L$6,"/",B98),Proventos!$D:$D,"&lt;"&amp;CONCATENATE($M$6,"/",B98),Proventos!$J:$J,"="&amp;$H$2),
AND($H$2=Data!$A$8,$K$2=Data!$A$2),SUMIFS(Proventos!$H:$H,Proventos!$D:$D,"&gt;="&amp;CONCATENATE($L$6,"/",B98),Proventos!$D:$D,"&lt;"&amp;CONCATENATE($M$6,"/",B98),Proventos!$J:$J,"="&amp;$H$2),
AND($H$2=Data!$A$9,$K$2=Data!$A$2),SUMIFS(Proventos!$H:$H,Proventos!$D:$D,"&gt;="&amp;CONCATENATE($L$6,"/",B98),Proventos!$D:$D,"&lt;"&amp;CONCATENATE($M$6,"/",B98),Proventos!$J:$J,"="&amp;$H$2),
AND($H$2=Data!$A$10,$K$2=Data!$A$2),SUMIFS(Proventos!$H:$H,Proventos!$D:$D,"&gt;="&amp;CONCATENATE($L$6,"/",B98),Proventos!$D:$D,"&lt;"&amp;CONCATENATE($M$6,"/",B98),Proventos!$J:$J,"="&amp;$H$2),
AND($H$2=Data!$A$11,$K$2=Data!$A$2),SUMIFS(Proventos!$H:$H,Proventos!$D:$D,"&gt;="&amp;CONCATENATE($L$6,"/",B98),Proventos!$D:$D,"&lt;"&amp;CONCATENATE($M$6,"/",B98),Proventos!$J:$J,"="&amp;$H$2),
$K$2=Data!$A$2,SUMIFS(Proventos!$H:$H,Proventos!$D:$D,"&gt;="&amp;CONCATENATE($L$6,"/",B98),Proventos!$D:$D,"&lt;"&amp;CONCATENATE($M$6,"/",B98)),
$K$2&lt;&gt;Data!$A$2,SUMIFS(Proventos!$H:$H,Proventos!$D:$D,"&gt;="&amp;CONCATENATE($L$6,"/",B98),Proventos!$D:$D,"&lt;"&amp;CONCATENATE($M$6,"/",B98),Proventos!$A:$A,"="&amp;$K$2))</f>
        <v>0</v>
      </c>
      <c r="M98" s="245">
        <f>IFS(
AND($H$2=Data!$A$3,$K$2=Data!$A$2),SUMIFS(Proventos!$H:$H,Proventos!$D:$D,"&gt;="&amp;CONCATENATE($M$6,"/",B98),Proventos!$D:$D,"&lt;"&amp;CONCATENATE($N$6,"/",B98),Proventos!$J:$J,"="&amp;$H$2),
AND($H$2=Data!$A$4,$K$2=Data!$A$2),SUMIFS(Proventos!$H:$H,Proventos!$D:$D,"&gt;="&amp;CONCATENATE($M$6,"/",B98),Proventos!$D:$D,"&lt;"&amp;CONCATENATE($N$6,"/",B98),Proventos!$J:$J,"="&amp;$H$2),
AND($H$2=Data!$A$5,$K$2=Data!$A$2),SUMIFS(Proventos!$H:$H,Proventos!$D:$D,"&gt;="&amp;CONCATENATE($M$6,"/",B98),Proventos!$D:$D,"&lt;"&amp;CONCATENATE($N$6,"/",B98),Proventos!$J:$J,"="&amp;$H$2),
AND($H$2=Data!$A$6,$K$2=Data!$A$2),SUMIFS(Proventos!$H:$H,Proventos!$D:$D,"&gt;="&amp;CONCATENATE($M$6,"/",B98),Proventos!$D:$D,"&lt;"&amp;CONCATENATE($N$6,"/",B98),Proventos!$J:$J,"="&amp;$H$2),
AND($H$2=Data!$A$7,$K$2=Data!$A$2),SUMIFS(Proventos!$H:$H,Proventos!$D:$D,"&gt;="&amp;CONCATENATE($M$6,"/",B98),Proventos!$D:$D,"&lt;"&amp;CONCATENATE($N$6,"/",B98),Proventos!$J:$J,"="&amp;$H$2),
AND($H$2=Data!$A$8,$K$2=Data!$A$2),SUMIFS(Proventos!$H:$H,Proventos!$D:$D,"&gt;="&amp;CONCATENATE($M$6,"/",B98),Proventos!$D:$D,"&lt;"&amp;CONCATENATE($N$6,"/",B98),Proventos!$J:$J,"="&amp;$H$2),
AND($H$2=Data!$A$9,$K$2=Data!$A$2),SUMIFS(Proventos!$H:$H,Proventos!$D:$D,"&gt;="&amp;CONCATENATE($M$6,"/",B98),Proventos!$D:$D,"&lt;"&amp;CONCATENATE($N$6,"/",B98),Proventos!$J:$J,"="&amp;$H$2),
AND($H$2=Data!$A$10,$K$2=Data!$A$2),SUMIFS(Proventos!$H:$H,Proventos!$D:$D,"&gt;="&amp;CONCATENATE($M$6,"/",B98),Proventos!$D:$D,"&lt;"&amp;CONCATENATE($N$6,"/",B98),Proventos!$J:$J,"="&amp;$H$2),
AND($H$2=Data!$A$11,$K$2=Data!$A$2),SUMIFS(Proventos!$H:$H,Proventos!$D:$D,"&gt;="&amp;CONCATENATE($M$6,"/",B98),Proventos!$D:$D,"&lt;"&amp;CONCATENATE($N$6,"/",B98),Proventos!$J:$J,"="&amp;$H$2),
$K$2=Data!$A$2,SUMIFS(Proventos!$H:$H,Proventos!$D:$D,"&gt;="&amp;CONCATENATE($M$6,"/",B98),Proventos!$D:$D,"&lt;"&amp;CONCATENATE($N$6,"/",B98)),
$K$2&lt;&gt;Data!$A$2,SUMIFS(Proventos!$H:$H,Proventos!$D:$D,"&gt;="&amp;CONCATENATE($M$6,"/",B98),Proventos!$D:$D,"&lt;"&amp;CONCATENATE($N$6,"/",B98),Proventos!$A:$A,"="&amp;$K$2))</f>
        <v>0</v>
      </c>
      <c r="N98" s="245">
        <f>IFS(
AND($H$2=Data!$A$3,$K$2=Data!$A$2),SUMIFS(Proventos!$H:$H,Proventos!$D:$D,"&gt;="&amp;CONCATENATE($N$6,"/",B98),Proventos!$D:$D,"&lt;"&amp;CONCATENATE($C$6,"/",B99),Proventos!$J:$J,"="&amp;$H$2),
AND($H$2=Data!$A$4,$K$2=Data!$A$2),SUMIFS(Proventos!$H:$H,Proventos!$D:$D,"&gt;="&amp;CONCATENATE($N$6,"/",B98),Proventos!$D:$D,"&lt;"&amp;CONCATENATE($C$6,"/",B99),Proventos!$J:$J,"="&amp;$H$2),
AND($H$2=Data!$A$5,$K$2=Data!$A$2),SUMIFS(Proventos!$H:$H,Proventos!$D:$D,"&gt;="&amp;CONCATENATE($N$6,"/",B98),Proventos!$D:$D,"&lt;"&amp;CONCATENATE($C$6,"/",B99),Proventos!$J:$J,"="&amp;$H$2),
AND($H$2=Data!$A$6,$K$2=Data!$A$2),SUMIFS(Proventos!$H:$H,Proventos!$D:$D,"&gt;="&amp;CONCATENATE($N$6,"/",B98),Proventos!$D:$D,"&lt;"&amp;CONCATENATE($C$6,"/",B99),Proventos!$J:$J,"="&amp;$H$2),
AND($H$2=Data!$A$7,$K$2=Data!$A$2),SUMIFS(Proventos!$H:$H,Proventos!$D:$D,"&gt;="&amp;CONCATENATE($N$6,"/",B98),Proventos!$D:$D,"&lt;"&amp;CONCATENATE($C$6,"/",B99),Proventos!$J:$J,"="&amp;$H$2),
AND($H$2=Data!$A$8,$K$2=Data!$A$2),SUMIFS(Proventos!$H:$H,Proventos!$D:$D,"&gt;="&amp;CONCATENATE($N$6,"/",B98),Proventos!$D:$D,"&lt;"&amp;CONCATENATE($C$6,"/",B99),Proventos!$J:$J,"="&amp;$H$2),
AND($H$2=Data!$A$9,$K$2=Data!$A$2),SUMIFS(Proventos!$H:$H,Proventos!$D:$D,"&gt;="&amp;CONCATENATE($N$6,"/",B98),Proventos!$D:$D,"&lt;"&amp;CONCATENATE($C$6,"/",B99),Proventos!$J:$J,"="&amp;$H$2),
AND($H$2=Data!$A$10,$K$2=Data!$A$2),SUMIFS(Proventos!$H:$H,Proventos!$D:$D,"&gt;="&amp;CONCATENATE($N$6,"/",B98),Proventos!$D:$D,"&lt;"&amp;CONCATENATE($C$6,"/",B99),Proventos!$J:$J,"="&amp;$H$2),
AND($H$2=Data!$A$11,$K$2=Data!$A$2),SUMIFS(Proventos!$H:$H,Proventos!$D:$D,"&gt;="&amp;CONCATENATE($N$6,"/",B98),Proventos!$D:$D,"&lt;"&amp;CONCATENATE($C$6,"/",B99),Proventos!$J:$J,"="&amp;$H$2),
$K$2=Data!$A$2,SUMIFS(Proventos!$H:$H,Proventos!$D:$D,"&gt;="&amp;CONCATENATE($N$6,"/",B98),Proventos!$D:$D,"&lt;"&amp;CONCATENATE($C$6,"/",B99)),
$K$2&lt;&gt;Data!$A$2,SUMIFS(Proventos!$H:$H,Proventos!$D:$D,"&gt;="&amp;CONCATENATE($N$6,"/",B98),Proventos!$D:$D,"&lt;"&amp;CONCATENATE($C$6,"/",B99),Proventos!$A:$A,"="&amp;$K$2))</f>
        <v>0</v>
      </c>
      <c r="O98" s="245"/>
      <c r="P98" s="245">
        <f t="shared" si="1"/>
        <v>0</v>
      </c>
      <c r="Q98" s="245">
        <f t="shared" si="2"/>
        <v>0</v>
      </c>
    </row>
    <row r="99" ht="32.25" customHeight="1">
      <c r="A99" s="230"/>
      <c r="B99" s="244"/>
      <c r="C99" s="245">
        <f>IFS(
AND($H$2=Data!$A$3,$K$2=Data!$A$2),SUMIFS(Proventos!$H:$H,Proventos!$D:$D,"&gt;="&amp;CONCATENATE($C$6,"/",B99),Proventos!$D:$D,"&lt;"&amp;CONCATENATE($D$6,"/",B99),Proventos!$J:$J,"="&amp;$H$2),
AND($H$2=Data!$A$4,$K$2=Data!$A$2),SUMIFS(Proventos!$H:$H,Proventos!$D:$D,"&gt;="&amp;CONCATENATE($C$6,"/",B99),Proventos!$D:$D,"&lt;"&amp;CONCATENATE($D$6,"/",B99),Proventos!$J:$J,"="&amp;$H$2),
AND($H$2=Data!$A$5,$K$2=Data!$A$2),SUMIFS(Proventos!$H:$H,Proventos!$D:$D,"&gt;="&amp;CONCATENATE($C$6,"/",B99),Proventos!$D:$D,"&lt;"&amp;CONCATENATE($D$6,"/",B99),Proventos!$J:$J,"="&amp;$H$2),
AND($H$2=Data!$A$6,$K$2=Data!$A$2),SUMIFS(Proventos!$H:$H,Proventos!$D:$D,"&gt;="&amp;CONCATENATE($C$6,"/",B99),Proventos!$D:$D,"&lt;"&amp;CONCATENATE($D$6,"/",B99),Proventos!$J:$J,"="&amp;$H$2),
AND($H$2=Data!$A$7,$K$2=Data!$A$2),SUMIFS(Proventos!$H:$H,Proventos!$D:$D,"&gt;="&amp;CONCATENATE($C$6,"/",B99),Proventos!$D:$D,"&lt;"&amp;CONCATENATE($D$6,"/",B99),Proventos!$J:$J,"="&amp;$H$2),
AND($H$2=Data!$A$8,$K$2=Data!$A$2),SUMIFS(Proventos!$H:$H,Proventos!$D:$D,"&gt;="&amp;CONCATENATE($C$6,"/",B99),Proventos!$D:$D,"&lt;"&amp;CONCATENATE($D$6,"/",B99),Proventos!$J:$J,"="&amp;$H$2),
AND($H$2=Data!$A$9,$K$2=Data!$A$2),SUMIFS(Proventos!$H:$H,Proventos!$D:$D,"&gt;="&amp;CONCATENATE($C$6,"/",B99),Proventos!$D:$D,"&lt;"&amp;CONCATENATE($D$6,"/",B99),Proventos!$J:$J,"="&amp;$H$2),
AND($H$2=Data!$A$10,$K$2=Data!$A$2),SUMIFS(Proventos!$H:$H,Proventos!$D:$D,"&gt;="&amp;CONCATENATE($C$6,"/",B99),Proventos!$D:$D,"&lt;"&amp;CONCATENATE($D$6,"/",B99),Proventos!$J:$J,"="&amp;$H$2),
AND($H$2=Data!$A$11,$K$2=Data!$A$2),SUMIFS(Proventos!$H:$H,Proventos!$D:$D,"&gt;="&amp;CONCATENATE($C$6,"/",B99),Proventos!$D:$D,"&lt;"&amp;CONCATENATE($D$6,"/",B99),Proventos!$J:$J,"="&amp;$H$2),
$K$2=Data!$A$2,SUMIFS(Proventos!$H:$H,Proventos!$D:$D,"&gt;="&amp;CONCATENATE($C$6,"/",B99),Proventos!$D:$D,"&lt;"&amp;CONCATENATE($D$6,"/",B99)),
$K$2&lt;&gt;Data!$A$2,SUMIFS(Proventos!$H:$H,Proventos!$D:$D,"&gt;="&amp;CONCATENATE($C$6,"/",B99),Proventos!$D:$D,"&lt;"&amp;CONCATENATE($D$6,"/",B99),Proventos!$A:$A,"="&amp;$K$2))</f>
        <v>0</v>
      </c>
      <c r="D99" s="245">
        <f>IFS(
AND($H$2=Data!$A$3,$K$2=Data!$A$2),SUMIFS(Proventos!$H:$H,Proventos!$D:$D,"&gt;="&amp;CONCATENATE($D$6,"/",B99),Proventos!$D:$D,"&lt;"&amp;CONCATENATE($E$6,"/",B99),Proventos!$J:$J,"="&amp;$H$2),
AND($H$2=Data!$A$4,$K$2=Data!$A$2),SUMIFS(Proventos!$H:$H,Proventos!$D:$D,"&gt;="&amp;CONCATENATE($D$6,"/",B99),Proventos!$D:$D,"&lt;"&amp;CONCATENATE($E$6,"/",B99),Proventos!$J:$J,"="&amp;$H$2),
AND($H$2=Data!$A$5,$K$2=Data!$A$2),SUMIFS(Proventos!$H:$H,Proventos!$D:$D,"&gt;="&amp;CONCATENATE($D$6,"/",B99),Proventos!$D:$D,"&lt;"&amp;CONCATENATE($E$6,"/",B99),Proventos!$J:$J,"="&amp;$H$2),
AND($H$2=Data!$A$6,$K$2=Data!$A$2),SUMIFS(Proventos!$H:$H,Proventos!$D:$D,"&gt;="&amp;CONCATENATE($D$6,"/",B99),Proventos!$D:$D,"&lt;"&amp;CONCATENATE($E$6,"/",B99),Proventos!$J:$J,"="&amp;$H$2),
AND($H$2=Data!$A$7,$K$2=Data!$A$2),SUMIFS(Proventos!$H:$H,Proventos!$D:$D,"&gt;="&amp;CONCATENATE($D$6,"/",B99),Proventos!$D:$D,"&lt;"&amp;CONCATENATE($E$6,"/",B99),Proventos!$J:$J,"="&amp;$H$2),
AND($H$2=Data!$A$8,$K$2=Data!$A$2),SUMIFS(Proventos!$H:$H,Proventos!$D:$D,"&gt;="&amp;CONCATENATE($D$6,"/",B99),Proventos!$D:$D,"&lt;"&amp;CONCATENATE($E$6,"/",B99),Proventos!$J:$J,"="&amp;$H$2),
AND($H$2=Data!$A$9,$K$2=Data!$A$2),SUMIFS(Proventos!$H:$H,Proventos!$D:$D,"&gt;="&amp;CONCATENATE($D$6,"/",B99),Proventos!$D:$D,"&lt;"&amp;CONCATENATE($E$6,"/",B99),Proventos!$J:$J,"="&amp;$H$2),
AND($H$2=Data!$A$10,$K$2=Data!$A$2),SUMIFS(Proventos!$H:$H,Proventos!$D:$D,"&gt;="&amp;CONCATENATE($D$6,"/",B99),Proventos!$D:$D,"&lt;"&amp;CONCATENATE($E$6,"/",B99),Proventos!$J:$J,"="&amp;$H$2),
AND($H$2=Data!$A$11,$K$2=Data!$A$2),SUMIFS(Proventos!$H:$H,Proventos!$D:$D,"&gt;="&amp;CONCATENATE($D$6,"/",B99),Proventos!$D:$D,"&lt;"&amp;CONCATENATE($E$6,"/",B99),Proventos!$J:$J,"="&amp;$H$2),
$K$2=Data!$A$2,SUMIFS(Proventos!$H:$H,Proventos!$D:$D,"&gt;="&amp;CONCATENATE($D$6,"/",B99),Proventos!$D:$D,"&lt;"&amp;CONCATENATE($E$6,"/",B99)),
$K$2&lt;&gt;Data!$A$2,SUMIFS(Proventos!$H:$H,Proventos!$D:$D,"&gt;="&amp;CONCATENATE($D$6,"/",B99),Proventos!$D:$D,"&lt;"&amp;CONCATENATE($E$6,"/",B99),Proventos!$A:$A,"="&amp;$K$2))</f>
        <v>0</v>
      </c>
      <c r="E99" s="245">
        <f>IFS(
AND($H$2=Data!$A$3,$K$2=Data!$A$2),SUMIFS(Proventos!$H:$H,Proventos!$D:$D,"&gt;="&amp;CONCATENATE($E$6,"/",B99),Proventos!$D:$D,"&lt;"&amp;CONCATENATE($F$6,"/",B99),Proventos!$J:$J,"="&amp;$H$2),
AND($H$2=Data!$A$4,$K$2=Data!$A$2),SUMIFS(Proventos!$H:$H,Proventos!$D:$D,"&gt;="&amp;CONCATENATE($E$6,"/",B99),Proventos!$D:$D,"&lt;"&amp;CONCATENATE($F$6,"/",B99),Proventos!$J:$J,"="&amp;$H$2),
AND($H$2=Data!$A$5,$K$2=Data!$A$2),SUMIFS(Proventos!$H:$H,Proventos!$D:$D,"&gt;="&amp;CONCATENATE($E$6,"/",B99),Proventos!$D:$D,"&lt;"&amp;CONCATENATE($F$6,"/",B99),Proventos!$J:$J,"="&amp;$H$2),
AND($H$2=Data!$A$6,$K$2=Data!$A$2),SUMIFS(Proventos!$H:$H,Proventos!$D:$D,"&gt;="&amp;CONCATENATE($E$6,"/",B99),Proventos!$D:$D,"&lt;"&amp;CONCATENATE($F$6,"/",B99),Proventos!$J:$J,"="&amp;$H$2),
AND($H$2=Data!$A$7,$K$2=Data!$A$2),SUMIFS(Proventos!$H:$H,Proventos!$D:$D,"&gt;="&amp;CONCATENATE($E$6,"/",B99),Proventos!$D:$D,"&lt;"&amp;CONCATENATE($F$6,"/",B99),Proventos!$J:$J,"="&amp;$H$2),
AND($H$2=Data!$A$8,$K$2=Data!$A$2),SUMIFS(Proventos!$H:$H,Proventos!$D:$D,"&gt;="&amp;CONCATENATE($E$6,"/",B99),Proventos!$D:$D,"&lt;"&amp;CONCATENATE($F$6,"/",B99),Proventos!$J:$J,"="&amp;$H$2),
AND($H$2=Data!$A$9,$K$2=Data!$A$2),SUMIFS(Proventos!$H:$H,Proventos!$D:$D,"&gt;="&amp;CONCATENATE($E$6,"/",B99),Proventos!$D:$D,"&lt;"&amp;CONCATENATE($F$6,"/",B99),Proventos!$J:$J,"="&amp;$H$2),
AND($H$2=Data!$A$10,$K$2=Data!$A$2),SUMIFS(Proventos!$H:$H,Proventos!$D:$D,"&gt;="&amp;CONCATENATE($E$6,"/",B99),Proventos!$D:$D,"&lt;"&amp;CONCATENATE($F$6,"/",B99),Proventos!$J:$J,"="&amp;$H$2),
AND($H$2=Data!$A$11,$K$2=Data!$A$2),SUMIFS(Proventos!$H:$H,Proventos!$D:$D,"&gt;="&amp;CONCATENATE($E$6,"/",B99),Proventos!$D:$D,"&lt;"&amp;CONCATENATE($F$6,"/",B99),Proventos!$J:$J,"="&amp;$H$2),
$K$2=Data!$A$2,SUMIFS(Proventos!$H:$H,Proventos!$D:$D,"&gt;="&amp;CONCATENATE($E$6,"/",B99),Proventos!$D:$D,"&lt;"&amp;CONCATENATE($F$6,"/",B99)),
$K$2&lt;&gt;Data!$A$2,SUMIFS(Proventos!$H:$H,Proventos!$D:$D,"&gt;="&amp;CONCATENATE($E$6,"/",B99),Proventos!$D:$D,"&lt;"&amp;CONCATENATE($F$6,"/",B99),Proventos!$A:$A,"="&amp;$K$2))</f>
        <v>0</v>
      </c>
      <c r="F99" s="245">
        <f>IFS(
AND($H$2=Data!$A$3,$K$2=Data!$A$2),SUMIFS(Proventos!$H:$H,Proventos!$D:$D,"&gt;="&amp;CONCATENATE($F$6,"/",B99),Proventos!$D:$D,"&lt;"&amp;CONCATENATE($G$6,"/",B99),Proventos!$J:$J,"="&amp;$H$2),
AND($H$2=Data!$A$4,$K$2=Data!$A$2),SUMIFS(Proventos!$H:$H,Proventos!$D:$D,"&gt;="&amp;CONCATENATE($F$6,"/",B99),Proventos!$D:$D,"&lt;"&amp;CONCATENATE($G$6,"/",B99),Proventos!$J:$J,"="&amp;$H$2),
AND($H$2=Data!$A$5,$K$2=Data!$A$2),SUMIFS(Proventos!$H:$H,Proventos!$D:$D,"&gt;="&amp;CONCATENATE($F$6,"/",B99),Proventos!$D:$D,"&lt;"&amp;CONCATENATE($G$6,"/",B99),Proventos!$J:$J,"="&amp;$H$2),
AND($H$2=Data!$A$6,$K$2=Data!$A$2),SUMIFS(Proventos!$H:$H,Proventos!$D:$D,"&gt;="&amp;CONCATENATE($F$6,"/",B99),Proventos!$D:$D,"&lt;"&amp;CONCATENATE($G$6,"/",B99),Proventos!$J:$J,"="&amp;$H$2),
AND($H$2=Data!$A$7,$K$2=Data!$A$2),SUMIFS(Proventos!$H:$H,Proventos!$D:$D,"&gt;="&amp;CONCATENATE($F$6,"/",B99),Proventos!$D:$D,"&lt;"&amp;CONCATENATE($G$6,"/",B99),Proventos!$J:$J,"="&amp;$H$2),
AND($H$2=Data!$A$8,$K$2=Data!$A$2),SUMIFS(Proventos!$H:$H,Proventos!$D:$D,"&gt;="&amp;CONCATENATE($F$6,"/",B99),Proventos!$D:$D,"&lt;"&amp;CONCATENATE($G$6,"/",B99),Proventos!$J:$J,"="&amp;$H$2),
AND($H$2=Data!$A$9,$K$2=Data!$A$2),SUMIFS(Proventos!$H:$H,Proventos!$D:$D,"&gt;="&amp;CONCATENATE($F$6,"/",B99),Proventos!$D:$D,"&lt;"&amp;CONCATENATE($G$6,"/",B99),Proventos!$J:$J,"="&amp;$H$2),
AND($H$2=Data!$A$10,$K$2=Data!$A$2),SUMIFS(Proventos!$H:$H,Proventos!$D:$D,"&gt;="&amp;CONCATENATE($F$6,"/",B99),Proventos!$D:$D,"&lt;"&amp;CONCATENATE($G$6,"/",B99),Proventos!$J:$J,"="&amp;$H$2),
AND($H$2=Data!$A$11,$K$2=Data!$A$2),SUMIFS(Proventos!$H:$H,Proventos!$D:$D,"&gt;="&amp;CONCATENATE($F$6,"/",B99),Proventos!$D:$D,"&lt;"&amp;CONCATENATE($G$6,"/",B99),Proventos!$J:$J,"="&amp;$H$2),
$K$2=Data!$A$2,SUMIFS(Proventos!$H:$H,Proventos!$D:$D,"&gt;="&amp;CONCATENATE($F$6,"/",B99),Proventos!$D:$D,"&lt;"&amp;CONCATENATE($G$6,"/",B99)),
$K$2&lt;&gt;Data!$A$2,SUMIFS(Proventos!$H:$H,Proventos!$D:$D,"&gt;="&amp;CONCATENATE($F$6,"/",B99),Proventos!$D:$D,"&lt;"&amp;CONCATENATE($G$6,"/",B99),Proventos!$A:$A,"="&amp;$K$2))</f>
        <v>0</v>
      </c>
      <c r="G99" s="245">
        <f>IFS(
AND($H$2=Data!$A$3,$K$2=Data!$A$2),SUMIFS(Proventos!$H:$H,Proventos!$D:$D,"&gt;="&amp;CONCATENATE($G$6,"/",B99),Proventos!$D:$D,"&lt;"&amp;CONCATENATE($H$6,"/",B99),Proventos!$J:$J,"="&amp;$H$2),
AND($H$2=Data!$A$4,$K$2=Data!$A$2),SUMIFS(Proventos!$H:$H,Proventos!$D:$D,"&gt;="&amp;CONCATENATE($G$6,"/",B99),Proventos!$D:$D,"&lt;"&amp;CONCATENATE($H$6,"/",B99),Proventos!$J:$J,"="&amp;$H$2),
AND($H$2=Data!$A$5,$K$2=Data!$A$2),SUMIFS(Proventos!$H:$H,Proventos!$D:$D,"&gt;="&amp;CONCATENATE($G$6,"/",B99),Proventos!$D:$D,"&lt;"&amp;CONCATENATE($H$6,"/",B99),Proventos!$J:$J,"="&amp;$H$2),
AND($H$2=Data!$A$6,$K$2=Data!$A$2),SUMIFS(Proventos!$H:$H,Proventos!$D:$D,"&gt;="&amp;CONCATENATE($G$6,"/",B99),Proventos!$D:$D,"&lt;"&amp;CONCATENATE($H$6,"/",B99),Proventos!$J:$J,"="&amp;$H$2),
AND($H$2=Data!$A$7,$K$2=Data!$A$2),SUMIFS(Proventos!$H:$H,Proventos!$D:$D,"&gt;="&amp;CONCATENATE($G$6,"/",B99),Proventos!$D:$D,"&lt;"&amp;CONCATENATE($H$6,"/",B99),Proventos!$J:$J,"="&amp;$H$2),
AND($H$2=Data!$A$8,$K$2=Data!$A$2),SUMIFS(Proventos!$H:$H,Proventos!$D:$D,"&gt;="&amp;CONCATENATE($G$6,"/",B99),Proventos!$D:$D,"&lt;"&amp;CONCATENATE($H$6,"/",B99),Proventos!$J:$J,"="&amp;$H$2),
AND($H$2=Data!$A$9,$K$2=Data!$A$2),SUMIFS(Proventos!$H:$H,Proventos!$D:$D,"&gt;="&amp;CONCATENATE($G$6,"/",B99),Proventos!$D:$D,"&lt;"&amp;CONCATENATE($H$6,"/",B99),Proventos!$J:$J,"="&amp;$H$2),
AND($H$2=Data!$A$10,$K$2=Data!$A$2),SUMIFS(Proventos!$H:$H,Proventos!$D:$D,"&gt;="&amp;CONCATENATE($G$6,"/",B99),Proventos!$D:$D,"&lt;"&amp;CONCATENATE($H$6,"/",B99),Proventos!$J:$J,"="&amp;$H$2),
AND($H$2=Data!$A$11,$K$2=Data!$A$2),SUMIFS(Proventos!$H:$H,Proventos!$D:$D,"&gt;="&amp;CONCATENATE($G$6,"/",B99),Proventos!$D:$D,"&lt;"&amp;CONCATENATE($H$6,"/",B99),Proventos!$J:$J,"="&amp;$H$2),
$K$2=Data!$A$2,SUMIFS(Proventos!$H:$H,Proventos!$D:$D,"&gt;="&amp;CONCATENATE($G$6,"/",B99),Proventos!$D:$D,"&lt;"&amp;CONCATENATE($H$6,"/",B99)),
$K$2&lt;&gt;Data!$A$2,SUMIFS(Proventos!$H:$H,Proventos!$D:$D,"&gt;="&amp;CONCATENATE($G$6,"/",B99),Proventos!$D:$D,"&lt;"&amp;CONCATENATE($H$6,"/",B99),Proventos!$A:$A,"="&amp;$K$2))</f>
        <v>0</v>
      </c>
      <c r="H99" s="245">
        <f>IFS(
AND($H$2=Data!$A$3,$K$2=Data!$A$2),SUMIFS(Proventos!$H:$H,Proventos!$D:$D,"&gt;="&amp;CONCATENATE($H$6,"/",B99),Proventos!$D:$D,"&lt;"&amp;CONCATENATE($I$6,"/",B99),Proventos!$J:$J,"="&amp;$H$2),
AND($H$2=Data!$A$4,$K$2=Data!$A$2),SUMIFS(Proventos!$H:$H,Proventos!$D:$D,"&gt;="&amp;CONCATENATE($H$6,"/",B99),Proventos!$D:$D,"&lt;"&amp;CONCATENATE($I$6,"/",B99),Proventos!$J:$J,"="&amp;$H$2),
AND($H$2=Data!$A$5,$K$2=Data!$A$2),SUMIFS(Proventos!$H:$H,Proventos!$D:$D,"&gt;="&amp;CONCATENATE($H$6,"/",B99),Proventos!$D:$D,"&lt;"&amp;CONCATENATE($I$6,"/",B99),Proventos!$J:$J,"="&amp;$H$2),
AND($H$2=Data!$A$6,$K$2=Data!$A$2),SUMIFS(Proventos!$H:$H,Proventos!$D:$D,"&gt;="&amp;CONCATENATE($H$6,"/",B99),Proventos!$D:$D,"&lt;"&amp;CONCATENATE($I$6,"/",B99),Proventos!$J:$J,"="&amp;$H$2),
AND($H$2=Data!$A$7,$K$2=Data!$A$2),SUMIFS(Proventos!$H:$H,Proventos!$D:$D,"&gt;="&amp;CONCATENATE($H$6,"/",B99),Proventos!$D:$D,"&lt;"&amp;CONCATENATE($I$6,"/",B99),Proventos!$J:$J,"="&amp;$H$2),
AND($H$2=Data!$A$8,$K$2=Data!$A$2),SUMIFS(Proventos!$H:$H,Proventos!$D:$D,"&gt;="&amp;CONCATENATE($H$6,"/",B99),Proventos!$D:$D,"&lt;"&amp;CONCATENATE($I$6,"/",B99),Proventos!$J:$J,"="&amp;$H$2),
AND($H$2=Data!$A$9,$K$2=Data!$A$2),SUMIFS(Proventos!$H:$H,Proventos!$D:$D,"&gt;="&amp;CONCATENATE($H$6,"/",B99),Proventos!$D:$D,"&lt;"&amp;CONCATENATE($I$6,"/",B99),Proventos!$J:$J,"="&amp;$H$2),
AND($H$2=Data!$A$10,$K$2=Data!$A$2),SUMIFS(Proventos!$H:$H,Proventos!$D:$D,"&gt;="&amp;CONCATENATE($H$6,"/",B99),Proventos!$D:$D,"&lt;"&amp;CONCATENATE($I$6,"/",B99),Proventos!$J:$J,"="&amp;$H$2),
AND($H$2=Data!$A$11,$K$2=Data!$A$2),SUMIFS(Proventos!$H:$H,Proventos!$D:$D,"&gt;="&amp;CONCATENATE($H$6,"/",B99),Proventos!$D:$D,"&lt;"&amp;CONCATENATE($I$6,"/",B99),Proventos!$J:$J,"="&amp;$H$2),
$K$2=Data!$A$2,SUMIFS(Proventos!$H:$H,Proventos!$D:$D,"&gt;="&amp;CONCATENATE($H$6,"/",B99),Proventos!$D:$D,"&lt;"&amp;CONCATENATE($I$6,"/",B99)),
$K$2&lt;&gt;Data!$A$2,SUMIFS(Proventos!$H:$H,Proventos!$D:$D,"&gt;="&amp;CONCATENATE($H$6,"/",B99),Proventos!$D:$D,"&lt;"&amp;CONCATENATE($I$6,"/",B99),Proventos!$A:$A,"="&amp;$K$2))</f>
        <v>0</v>
      </c>
      <c r="I99" s="245">
        <f>IFS(
AND($H$2=Data!$A$3,$K$2=Data!$A$2),SUMIFS(Proventos!$H:$H,Proventos!$D:$D,"&gt;="&amp;CONCATENATE($I$6,"/",B99),Proventos!$D:$D,"&lt;"&amp;CONCATENATE($J$6,"/",B99),Proventos!$J:$J,"="&amp;$H$2),
AND($H$2=Data!$A$4,$K$2=Data!$A$2),SUMIFS(Proventos!$H:$H,Proventos!$D:$D,"&gt;="&amp;CONCATENATE($I$6,"/",B99),Proventos!$D:$D,"&lt;"&amp;CONCATENATE($J$6,"/",B99),Proventos!$J:$J,"="&amp;$H$2),
AND($H$2=Data!$A$5,$K$2=Data!$A$2),SUMIFS(Proventos!$H:$H,Proventos!$D:$D,"&gt;="&amp;CONCATENATE($I$6,"/",B99),Proventos!$D:$D,"&lt;"&amp;CONCATENATE($J$6,"/",B99),Proventos!$J:$J,"="&amp;$H$2),
AND($H$2=Data!$A$6,$K$2=Data!$A$2),SUMIFS(Proventos!$H:$H,Proventos!$D:$D,"&gt;="&amp;CONCATENATE($I$6,"/",B99),Proventos!$D:$D,"&lt;"&amp;CONCATENATE($J$6,"/",B99),Proventos!$J:$J,"="&amp;$H$2),
AND($H$2=Data!$A$7,$K$2=Data!$A$2),SUMIFS(Proventos!$H:$H,Proventos!$D:$D,"&gt;="&amp;CONCATENATE($I$6,"/",B99),Proventos!$D:$D,"&lt;"&amp;CONCATENATE($J$6,"/",B99),Proventos!$J:$J,"="&amp;$H$2),
AND($H$2=Data!$A$8,$K$2=Data!$A$2),SUMIFS(Proventos!$H:$H,Proventos!$D:$D,"&gt;="&amp;CONCATENATE($I$6,"/",B99),Proventos!$D:$D,"&lt;"&amp;CONCATENATE($J$6,"/",B99),Proventos!$J:$J,"="&amp;$H$2),
AND($H$2=Data!$A$9,$K$2=Data!$A$2),SUMIFS(Proventos!$H:$H,Proventos!$D:$D,"&gt;="&amp;CONCATENATE($I$6,"/",B99),Proventos!$D:$D,"&lt;"&amp;CONCATENATE($J$6,"/",B99),Proventos!$J:$J,"="&amp;$H$2),
AND($H$2=Data!$A$10,$K$2=Data!$A$2),SUMIFS(Proventos!$H:$H,Proventos!$D:$D,"&gt;="&amp;CONCATENATE($I$6,"/",B99),Proventos!$D:$D,"&lt;"&amp;CONCATENATE($J$6,"/",B99),Proventos!$J:$J,"="&amp;$H$2),
AND($H$2=Data!$A$11,$K$2=Data!$A$2),SUMIFS(Proventos!$H:$H,Proventos!$D:$D,"&gt;="&amp;CONCATENATE($I$6,"/",B99),Proventos!$D:$D,"&lt;"&amp;CONCATENATE($J$6,"/",B99),Proventos!$J:$J,"="&amp;$H$2),
$K$2=Data!$A$2,SUMIFS(Proventos!$H:$H,Proventos!$D:$D,"&gt;="&amp;CONCATENATE($I$6,"/",B99),Proventos!$D:$D,"&lt;"&amp;CONCATENATE($J$6,"/",B99)),
$K$2&lt;&gt;Data!$A$2,SUMIFS(Proventos!$H:$H,Proventos!$D:$D,"&gt;="&amp;CONCATENATE($I$6,"/",B99),Proventos!$D:$D,"&lt;"&amp;CONCATENATE($J$6,"/",B99),Proventos!$A:$A,"="&amp;$K$2))</f>
        <v>0</v>
      </c>
      <c r="J99" s="245">
        <f>IFS(
AND($H$2=Data!$A$3,$K$2=Data!$A$2),SUMIFS(Proventos!$H:$H,Proventos!$D:$D,"&gt;="&amp;CONCATENATE($J$6,"/",B99),Proventos!$D:$D,"&lt;"&amp;CONCATENATE($K$6,"/",B99),Proventos!$J:$J,"="&amp;$H$2),
AND($H$2=Data!$A$4,$K$2=Data!$A$2),SUMIFS(Proventos!$H:$H,Proventos!$D:$D,"&gt;="&amp;CONCATENATE($J$6,"/",B99),Proventos!$D:$D,"&lt;"&amp;CONCATENATE($K$6,"/",B99),Proventos!$J:$J,"="&amp;$H$2),
AND($H$2=Data!$A$5,$K$2=Data!$A$2),SUMIFS(Proventos!$H:$H,Proventos!$D:$D,"&gt;="&amp;CONCATENATE($J$6,"/",B99),Proventos!$D:$D,"&lt;"&amp;CONCATENATE($K$6,"/",B99),Proventos!$J:$J,"="&amp;$H$2),
AND($H$2=Data!$A$6,$K$2=Data!$A$2),SUMIFS(Proventos!$H:$H,Proventos!$D:$D,"&gt;="&amp;CONCATENATE($J$6,"/",B99),Proventos!$D:$D,"&lt;"&amp;CONCATENATE($K$6,"/",B99),Proventos!$J:$J,"="&amp;$H$2),
AND($H$2=Data!$A$7,$K$2=Data!$A$2),SUMIFS(Proventos!$H:$H,Proventos!$D:$D,"&gt;="&amp;CONCATENATE($J$6,"/",B99),Proventos!$D:$D,"&lt;"&amp;CONCATENATE($K$6,"/",B99),Proventos!$J:$J,"="&amp;$H$2),
AND($H$2=Data!$A$8,$K$2=Data!$A$2),SUMIFS(Proventos!$H:$H,Proventos!$D:$D,"&gt;="&amp;CONCATENATE($J$6,"/",B99),Proventos!$D:$D,"&lt;"&amp;CONCATENATE($K$6,"/",B99),Proventos!$J:$J,"="&amp;$H$2),
AND($H$2=Data!$A$9,$K$2=Data!$A$2),SUMIFS(Proventos!$H:$H,Proventos!$D:$D,"&gt;="&amp;CONCATENATE($J$6,"/",B99),Proventos!$D:$D,"&lt;"&amp;CONCATENATE($K$6,"/",B99),Proventos!$J:$J,"="&amp;$H$2),
AND($H$2=Data!$A$10,$K$2=Data!$A$2),SUMIFS(Proventos!$H:$H,Proventos!$D:$D,"&gt;="&amp;CONCATENATE($J$6,"/",B99),Proventos!$D:$D,"&lt;"&amp;CONCATENATE($K$6,"/",B99),Proventos!$J:$J,"="&amp;$H$2),
AND($H$2=Data!$A$11,$K$2=Data!$A$2),SUMIFS(Proventos!$H:$H,Proventos!$D:$D,"&gt;="&amp;CONCATENATE($J$6,"/",B99),Proventos!$D:$D,"&lt;"&amp;CONCATENATE($K$6,"/",B99),Proventos!$J:$J,"="&amp;$H$2),
$K$2=Data!$A$2,SUMIFS(Proventos!$H:$H,Proventos!$D:$D,"&gt;="&amp;CONCATENATE($J$6,"/",B99),Proventos!$D:$D,"&lt;"&amp;CONCATENATE($K$6,"/",B99)),
$K$2&lt;&gt;Data!$A$2,SUMIFS(Proventos!$H:$H,Proventos!$D:$D,"&gt;="&amp;CONCATENATE($J$6,"/",B99),Proventos!$D:$D,"&lt;"&amp;CONCATENATE($K$6,"/",B99),Proventos!$A:$A,"="&amp;$K$2))</f>
        <v>0</v>
      </c>
      <c r="K99" s="245">
        <f>IFS(
AND($H$2=Data!$A$3,$K$2=Data!$A$2),SUMIFS(Proventos!$H:$H,Proventos!$D:$D,"&gt;="&amp;CONCATENATE($K$6,"/",B99),Proventos!$D:$D,"&lt;"&amp;CONCATENATE($L$6,"/",B99),Proventos!$J:$J,"="&amp;$H$2),
AND($H$2=Data!$A$4,$K$2=Data!$A$2),SUMIFS(Proventos!$H:$H,Proventos!$D:$D,"&gt;="&amp;CONCATENATE($K$6,"/",B99),Proventos!$D:$D,"&lt;"&amp;CONCATENATE($L$6,"/",B99),Proventos!$J:$J,"="&amp;$H$2),
AND($H$2=Data!$A$5,$K$2=Data!$A$2),SUMIFS(Proventos!$H:$H,Proventos!$D:$D,"&gt;="&amp;CONCATENATE($K$6,"/",B99),Proventos!$D:$D,"&lt;"&amp;CONCATENATE($L$6,"/",B99),Proventos!$J:$J,"="&amp;$H$2),
AND($H$2=Data!$A$6,$K$2=Data!$A$2),SUMIFS(Proventos!$H:$H,Proventos!$D:$D,"&gt;="&amp;CONCATENATE($K$6,"/",B99),Proventos!$D:$D,"&lt;"&amp;CONCATENATE($L$6,"/",B99),Proventos!$J:$J,"="&amp;$H$2),
AND($H$2=Data!$A$7,$K$2=Data!$A$2),SUMIFS(Proventos!$H:$H,Proventos!$D:$D,"&gt;="&amp;CONCATENATE($K$6,"/",B99),Proventos!$D:$D,"&lt;"&amp;CONCATENATE($L$6,"/",B99),Proventos!$J:$J,"="&amp;$H$2),
AND($H$2=Data!$A$8,$K$2=Data!$A$2),SUMIFS(Proventos!$H:$H,Proventos!$D:$D,"&gt;="&amp;CONCATENATE($K$6,"/",B99),Proventos!$D:$D,"&lt;"&amp;CONCATENATE($L$6,"/",B99),Proventos!$J:$J,"="&amp;$H$2),
AND($H$2=Data!$A$9,$K$2=Data!$A$2),SUMIFS(Proventos!$H:$H,Proventos!$D:$D,"&gt;="&amp;CONCATENATE($K$6,"/",B99),Proventos!$D:$D,"&lt;"&amp;CONCATENATE($L$6,"/",B99),Proventos!$J:$J,"="&amp;$H$2),
AND($H$2=Data!$A$10,$K$2=Data!$A$2),SUMIFS(Proventos!$H:$H,Proventos!$D:$D,"&gt;="&amp;CONCATENATE($K$6,"/",B99),Proventos!$D:$D,"&lt;"&amp;CONCATENATE($L$6,"/",B99),Proventos!$J:$J,"="&amp;$H$2),
AND($H$2=Data!$A$11,$K$2=Data!$A$2),SUMIFS(Proventos!$H:$H,Proventos!$D:$D,"&gt;="&amp;CONCATENATE($K$6,"/",B99),Proventos!$D:$D,"&lt;"&amp;CONCATENATE($L$6,"/",B99),Proventos!$J:$J,"="&amp;$H$2),
$K$2=Data!$A$2,SUMIFS(Proventos!$H:$H,Proventos!$D:$D,"&gt;="&amp;CONCATENATE($K$6,"/",B99),Proventos!$D:$D,"&lt;"&amp;CONCATENATE($L$6,"/",B99)),
$K$2&lt;&gt;Data!$A$2,SUMIFS(Proventos!$H:$H,Proventos!$D:$D,"&gt;="&amp;CONCATENATE($K$6,"/",B99),Proventos!$D:$D,"&lt;"&amp;CONCATENATE($L$6,"/",B99),Proventos!$A:$A,"="&amp;$K$2))</f>
        <v>0</v>
      </c>
      <c r="L99" s="245">
        <f>IFS(
AND($H$2=Data!$A$3,$K$2=Data!$A$2),SUMIFS(Proventos!$H:$H,Proventos!$D:$D,"&gt;="&amp;CONCATENATE($L$6,"/",B99),Proventos!$D:$D,"&lt;"&amp;CONCATENATE($M$6,"/",B99),Proventos!$J:$J,"="&amp;$H$2),
AND($H$2=Data!$A$4,$K$2=Data!$A$2),SUMIFS(Proventos!$H:$H,Proventos!$D:$D,"&gt;="&amp;CONCATENATE($L$6,"/",B99),Proventos!$D:$D,"&lt;"&amp;CONCATENATE($M$6,"/",B99),Proventos!$J:$J,"="&amp;$H$2),
AND($H$2=Data!$A$5,$K$2=Data!$A$2),SUMIFS(Proventos!$H:$H,Proventos!$D:$D,"&gt;="&amp;CONCATENATE($L$6,"/",B99),Proventos!$D:$D,"&lt;"&amp;CONCATENATE($M$6,"/",B99),Proventos!$J:$J,"="&amp;$H$2),
AND($H$2=Data!$A$6,$K$2=Data!$A$2),SUMIFS(Proventos!$H:$H,Proventos!$D:$D,"&gt;="&amp;CONCATENATE($L$6,"/",B99),Proventos!$D:$D,"&lt;"&amp;CONCATENATE($M$6,"/",B99),Proventos!$J:$J,"="&amp;$H$2),
AND($H$2=Data!$A$7,$K$2=Data!$A$2),SUMIFS(Proventos!$H:$H,Proventos!$D:$D,"&gt;="&amp;CONCATENATE($L$6,"/",B99),Proventos!$D:$D,"&lt;"&amp;CONCATENATE($M$6,"/",B99),Proventos!$J:$J,"="&amp;$H$2),
AND($H$2=Data!$A$8,$K$2=Data!$A$2),SUMIFS(Proventos!$H:$H,Proventos!$D:$D,"&gt;="&amp;CONCATENATE($L$6,"/",B99),Proventos!$D:$D,"&lt;"&amp;CONCATENATE($M$6,"/",B99),Proventos!$J:$J,"="&amp;$H$2),
AND($H$2=Data!$A$9,$K$2=Data!$A$2),SUMIFS(Proventos!$H:$H,Proventos!$D:$D,"&gt;="&amp;CONCATENATE($L$6,"/",B99),Proventos!$D:$D,"&lt;"&amp;CONCATENATE($M$6,"/",B99),Proventos!$J:$J,"="&amp;$H$2),
AND($H$2=Data!$A$10,$K$2=Data!$A$2),SUMIFS(Proventos!$H:$H,Proventos!$D:$D,"&gt;="&amp;CONCATENATE($L$6,"/",B99),Proventos!$D:$D,"&lt;"&amp;CONCATENATE($M$6,"/",B99),Proventos!$J:$J,"="&amp;$H$2),
AND($H$2=Data!$A$11,$K$2=Data!$A$2),SUMIFS(Proventos!$H:$H,Proventos!$D:$D,"&gt;="&amp;CONCATENATE($L$6,"/",B99),Proventos!$D:$D,"&lt;"&amp;CONCATENATE($M$6,"/",B99),Proventos!$J:$J,"="&amp;$H$2),
$K$2=Data!$A$2,SUMIFS(Proventos!$H:$H,Proventos!$D:$D,"&gt;="&amp;CONCATENATE($L$6,"/",B99),Proventos!$D:$D,"&lt;"&amp;CONCATENATE($M$6,"/",B99)),
$K$2&lt;&gt;Data!$A$2,SUMIFS(Proventos!$H:$H,Proventos!$D:$D,"&gt;="&amp;CONCATENATE($L$6,"/",B99),Proventos!$D:$D,"&lt;"&amp;CONCATENATE($M$6,"/",B99),Proventos!$A:$A,"="&amp;$K$2))</f>
        <v>0</v>
      </c>
      <c r="M99" s="245">
        <f>IFS(
AND($H$2=Data!$A$3,$K$2=Data!$A$2),SUMIFS(Proventos!$H:$H,Proventos!$D:$D,"&gt;="&amp;CONCATENATE($M$6,"/",B99),Proventos!$D:$D,"&lt;"&amp;CONCATENATE($N$6,"/",B99),Proventos!$J:$J,"="&amp;$H$2),
AND($H$2=Data!$A$4,$K$2=Data!$A$2),SUMIFS(Proventos!$H:$H,Proventos!$D:$D,"&gt;="&amp;CONCATENATE($M$6,"/",B99),Proventos!$D:$D,"&lt;"&amp;CONCATENATE($N$6,"/",B99),Proventos!$J:$J,"="&amp;$H$2),
AND($H$2=Data!$A$5,$K$2=Data!$A$2),SUMIFS(Proventos!$H:$H,Proventos!$D:$D,"&gt;="&amp;CONCATENATE($M$6,"/",B99),Proventos!$D:$D,"&lt;"&amp;CONCATENATE($N$6,"/",B99),Proventos!$J:$J,"="&amp;$H$2),
AND($H$2=Data!$A$6,$K$2=Data!$A$2),SUMIFS(Proventos!$H:$H,Proventos!$D:$D,"&gt;="&amp;CONCATENATE($M$6,"/",B99),Proventos!$D:$D,"&lt;"&amp;CONCATENATE($N$6,"/",B99),Proventos!$J:$J,"="&amp;$H$2),
AND($H$2=Data!$A$7,$K$2=Data!$A$2),SUMIFS(Proventos!$H:$H,Proventos!$D:$D,"&gt;="&amp;CONCATENATE($M$6,"/",B99),Proventos!$D:$D,"&lt;"&amp;CONCATENATE($N$6,"/",B99),Proventos!$J:$J,"="&amp;$H$2),
AND($H$2=Data!$A$8,$K$2=Data!$A$2),SUMIFS(Proventos!$H:$H,Proventos!$D:$D,"&gt;="&amp;CONCATENATE($M$6,"/",B99),Proventos!$D:$D,"&lt;"&amp;CONCATENATE($N$6,"/",B99),Proventos!$J:$J,"="&amp;$H$2),
AND($H$2=Data!$A$9,$K$2=Data!$A$2),SUMIFS(Proventos!$H:$H,Proventos!$D:$D,"&gt;="&amp;CONCATENATE($M$6,"/",B99),Proventos!$D:$D,"&lt;"&amp;CONCATENATE($N$6,"/",B99),Proventos!$J:$J,"="&amp;$H$2),
AND($H$2=Data!$A$10,$K$2=Data!$A$2),SUMIFS(Proventos!$H:$H,Proventos!$D:$D,"&gt;="&amp;CONCATENATE($M$6,"/",B99),Proventos!$D:$D,"&lt;"&amp;CONCATENATE($N$6,"/",B99),Proventos!$J:$J,"="&amp;$H$2),
AND($H$2=Data!$A$11,$K$2=Data!$A$2),SUMIFS(Proventos!$H:$H,Proventos!$D:$D,"&gt;="&amp;CONCATENATE($M$6,"/",B99),Proventos!$D:$D,"&lt;"&amp;CONCATENATE($N$6,"/",B99),Proventos!$J:$J,"="&amp;$H$2),
$K$2=Data!$A$2,SUMIFS(Proventos!$H:$H,Proventos!$D:$D,"&gt;="&amp;CONCATENATE($M$6,"/",B99),Proventos!$D:$D,"&lt;"&amp;CONCATENATE($N$6,"/",B99)),
$K$2&lt;&gt;Data!$A$2,SUMIFS(Proventos!$H:$H,Proventos!$D:$D,"&gt;="&amp;CONCATENATE($M$6,"/",B99),Proventos!$D:$D,"&lt;"&amp;CONCATENATE($N$6,"/",B99),Proventos!$A:$A,"="&amp;$K$2))</f>
        <v>0</v>
      </c>
      <c r="N99" s="245">
        <f>IFS(
AND($H$2=Data!$A$3,$K$2=Data!$A$2),SUMIFS(Proventos!$H:$H,Proventos!$D:$D,"&gt;="&amp;CONCATENATE($N$6,"/",B99),Proventos!$D:$D,"&lt;"&amp;CONCATENATE($C$6,"/",B100),Proventos!$J:$J,"="&amp;$H$2),
AND($H$2=Data!$A$4,$K$2=Data!$A$2),SUMIFS(Proventos!$H:$H,Proventos!$D:$D,"&gt;="&amp;CONCATENATE($N$6,"/",B99),Proventos!$D:$D,"&lt;"&amp;CONCATENATE($C$6,"/",B100),Proventos!$J:$J,"="&amp;$H$2),
AND($H$2=Data!$A$5,$K$2=Data!$A$2),SUMIFS(Proventos!$H:$H,Proventos!$D:$D,"&gt;="&amp;CONCATENATE($N$6,"/",B99),Proventos!$D:$D,"&lt;"&amp;CONCATENATE($C$6,"/",B100),Proventos!$J:$J,"="&amp;$H$2),
AND($H$2=Data!$A$6,$K$2=Data!$A$2),SUMIFS(Proventos!$H:$H,Proventos!$D:$D,"&gt;="&amp;CONCATENATE($N$6,"/",B99),Proventos!$D:$D,"&lt;"&amp;CONCATENATE($C$6,"/",B100),Proventos!$J:$J,"="&amp;$H$2),
AND($H$2=Data!$A$7,$K$2=Data!$A$2),SUMIFS(Proventos!$H:$H,Proventos!$D:$D,"&gt;="&amp;CONCATENATE($N$6,"/",B99),Proventos!$D:$D,"&lt;"&amp;CONCATENATE($C$6,"/",B100),Proventos!$J:$J,"="&amp;$H$2),
AND($H$2=Data!$A$8,$K$2=Data!$A$2),SUMIFS(Proventos!$H:$H,Proventos!$D:$D,"&gt;="&amp;CONCATENATE($N$6,"/",B99),Proventos!$D:$D,"&lt;"&amp;CONCATENATE($C$6,"/",B100),Proventos!$J:$J,"="&amp;$H$2),
AND($H$2=Data!$A$9,$K$2=Data!$A$2),SUMIFS(Proventos!$H:$H,Proventos!$D:$D,"&gt;="&amp;CONCATENATE($N$6,"/",B99),Proventos!$D:$D,"&lt;"&amp;CONCATENATE($C$6,"/",B100),Proventos!$J:$J,"="&amp;$H$2),
AND($H$2=Data!$A$10,$K$2=Data!$A$2),SUMIFS(Proventos!$H:$H,Proventos!$D:$D,"&gt;="&amp;CONCATENATE($N$6,"/",B99),Proventos!$D:$D,"&lt;"&amp;CONCATENATE($C$6,"/",B100),Proventos!$J:$J,"="&amp;$H$2),
AND($H$2=Data!$A$11,$K$2=Data!$A$2),SUMIFS(Proventos!$H:$H,Proventos!$D:$D,"&gt;="&amp;CONCATENATE($N$6,"/",B99),Proventos!$D:$D,"&lt;"&amp;CONCATENATE($C$6,"/",B100),Proventos!$J:$J,"="&amp;$H$2),
$K$2=Data!$A$2,SUMIFS(Proventos!$H:$H,Proventos!$D:$D,"&gt;="&amp;CONCATENATE($N$6,"/",B99),Proventos!$D:$D,"&lt;"&amp;CONCATENATE($C$6,"/",B100)),
$K$2&lt;&gt;Data!$A$2,SUMIFS(Proventos!$H:$H,Proventos!$D:$D,"&gt;="&amp;CONCATENATE($N$6,"/",B99),Proventos!$D:$D,"&lt;"&amp;CONCATENATE($C$6,"/",B100),Proventos!$A:$A,"="&amp;$K$2))</f>
        <v>0</v>
      </c>
      <c r="O99" s="245"/>
      <c r="P99" s="245">
        <f t="shared" si="1"/>
        <v>0</v>
      </c>
      <c r="Q99" s="245">
        <f t="shared" si="2"/>
        <v>0</v>
      </c>
    </row>
    <row r="100" ht="32.25" customHeight="1">
      <c r="A100" s="230"/>
      <c r="B100" s="244"/>
      <c r="C100" s="245">
        <f>IFS(
AND($H$2=Data!$A$3,$K$2=Data!$A$2),SUMIFS(Proventos!$H:$H,Proventos!$D:$D,"&gt;="&amp;CONCATENATE($C$6,"/",B100),Proventos!$D:$D,"&lt;"&amp;CONCATENATE($D$6,"/",B100),Proventos!$J:$J,"="&amp;$H$2),
AND($H$2=Data!$A$4,$K$2=Data!$A$2),SUMIFS(Proventos!$H:$H,Proventos!$D:$D,"&gt;="&amp;CONCATENATE($C$6,"/",B100),Proventos!$D:$D,"&lt;"&amp;CONCATENATE($D$6,"/",B100),Proventos!$J:$J,"="&amp;$H$2),
AND($H$2=Data!$A$5,$K$2=Data!$A$2),SUMIFS(Proventos!$H:$H,Proventos!$D:$D,"&gt;="&amp;CONCATENATE($C$6,"/",B100),Proventos!$D:$D,"&lt;"&amp;CONCATENATE($D$6,"/",B100),Proventos!$J:$J,"="&amp;$H$2),
AND($H$2=Data!$A$6,$K$2=Data!$A$2),SUMIFS(Proventos!$H:$H,Proventos!$D:$D,"&gt;="&amp;CONCATENATE($C$6,"/",B100),Proventos!$D:$D,"&lt;"&amp;CONCATENATE($D$6,"/",B100),Proventos!$J:$J,"="&amp;$H$2),
AND($H$2=Data!$A$7,$K$2=Data!$A$2),SUMIFS(Proventos!$H:$H,Proventos!$D:$D,"&gt;="&amp;CONCATENATE($C$6,"/",B100),Proventos!$D:$D,"&lt;"&amp;CONCATENATE($D$6,"/",B100),Proventos!$J:$J,"="&amp;$H$2),
AND($H$2=Data!$A$8,$K$2=Data!$A$2),SUMIFS(Proventos!$H:$H,Proventos!$D:$D,"&gt;="&amp;CONCATENATE($C$6,"/",B100),Proventos!$D:$D,"&lt;"&amp;CONCATENATE($D$6,"/",B100),Proventos!$J:$J,"="&amp;$H$2),
AND($H$2=Data!$A$9,$K$2=Data!$A$2),SUMIFS(Proventos!$H:$H,Proventos!$D:$D,"&gt;="&amp;CONCATENATE($C$6,"/",B100),Proventos!$D:$D,"&lt;"&amp;CONCATENATE($D$6,"/",B100),Proventos!$J:$J,"="&amp;$H$2),
AND($H$2=Data!$A$10,$K$2=Data!$A$2),SUMIFS(Proventos!$H:$H,Proventos!$D:$D,"&gt;="&amp;CONCATENATE($C$6,"/",B100),Proventos!$D:$D,"&lt;"&amp;CONCATENATE($D$6,"/",B100),Proventos!$J:$J,"="&amp;$H$2),
AND($H$2=Data!$A$11,$K$2=Data!$A$2),SUMIFS(Proventos!$H:$H,Proventos!$D:$D,"&gt;="&amp;CONCATENATE($C$6,"/",B100),Proventos!$D:$D,"&lt;"&amp;CONCATENATE($D$6,"/",B100),Proventos!$J:$J,"="&amp;$H$2),
$K$2=Data!$A$2,SUMIFS(Proventos!$H:$H,Proventos!$D:$D,"&gt;="&amp;CONCATENATE($C$6,"/",B100),Proventos!$D:$D,"&lt;"&amp;CONCATENATE($D$6,"/",B100)),
$K$2&lt;&gt;Data!$A$2,SUMIFS(Proventos!$H:$H,Proventos!$D:$D,"&gt;="&amp;CONCATENATE($C$6,"/",B100),Proventos!$D:$D,"&lt;"&amp;CONCATENATE($D$6,"/",B100),Proventos!$A:$A,"="&amp;$K$2))</f>
        <v>0</v>
      </c>
      <c r="D100" s="245">
        <f>IFS(
AND($H$2=Data!$A$3,$K$2=Data!$A$2),SUMIFS(Proventos!$H:$H,Proventos!$D:$D,"&gt;="&amp;CONCATENATE($D$6,"/",B100),Proventos!$D:$D,"&lt;"&amp;CONCATENATE($E$6,"/",B100),Proventos!$J:$J,"="&amp;$H$2),
AND($H$2=Data!$A$4,$K$2=Data!$A$2),SUMIFS(Proventos!$H:$H,Proventos!$D:$D,"&gt;="&amp;CONCATENATE($D$6,"/",B100),Proventos!$D:$D,"&lt;"&amp;CONCATENATE($E$6,"/",B100),Proventos!$J:$J,"="&amp;$H$2),
AND($H$2=Data!$A$5,$K$2=Data!$A$2),SUMIFS(Proventos!$H:$H,Proventos!$D:$D,"&gt;="&amp;CONCATENATE($D$6,"/",B100),Proventos!$D:$D,"&lt;"&amp;CONCATENATE($E$6,"/",B100),Proventos!$J:$J,"="&amp;$H$2),
AND($H$2=Data!$A$6,$K$2=Data!$A$2),SUMIFS(Proventos!$H:$H,Proventos!$D:$D,"&gt;="&amp;CONCATENATE($D$6,"/",B100),Proventos!$D:$D,"&lt;"&amp;CONCATENATE($E$6,"/",B100),Proventos!$J:$J,"="&amp;$H$2),
AND($H$2=Data!$A$7,$K$2=Data!$A$2),SUMIFS(Proventos!$H:$H,Proventos!$D:$D,"&gt;="&amp;CONCATENATE($D$6,"/",B100),Proventos!$D:$D,"&lt;"&amp;CONCATENATE($E$6,"/",B100),Proventos!$J:$J,"="&amp;$H$2),
AND($H$2=Data!$A$8,$K$2=Data!$A$2),SUMIFS(Proventos!$H:$H,Proventos!$D:$D,"&gt;="&amp;CONCATENATE($D$6,"/",B100),Proventos!$D:$D,"&lt;"&amp;CONCATENATE($E$6,"/",B100),Proventos!$J:$J,"="&amp;$H$2),
AND($H$2=Data!$A$9,$K$2=Data!$A$2),SUMIFS(Proventos!$H:$H,Proventos!$D:$D,"&gt;="&amp;CONCATENATE($D$6,"/",B100),Proventos!$D:$D,"&lt;"&amp;CONCATENATE($E$6,"/",B100),Proventos!$J:$J,"="&amp;$H$2),
AND($H$2=Data!$A$10,$K$2=Data!$A$2),SUMIFS(Proventos!$H:$H,Proventos!$D:$D,"&gt;="&amp;CONCATENATE($D$6,"/",B100),Proventos!$D:$D,"&lt;"&amp;CONCATENATE($E$6,"/",B100),Proventos!$J:$J,"="&amp;$H$2),
AND($H$2=Data!$A$11,$K$2=Data!$A$2),SUMIFS(Proventos!$H:$H,Proventos!$D:$D,"&gt;="&amp;CONCATENATE($D$6,"/",B100),Proventos!$D:$D,"&lt;"&amp;CONCATENATE($E$6,"/",B100),Proventos!$J:$J,"="&amp;$H$2),
$K$2=Data!$A$2,SUMIFS(Proventos!$H:$H,Proventos!$D:$D,"&gt;="&amp;CONCATENATE($D$6,"/",B100),Proventos!$D:$D,"&lt;"&amp;CONCATENATE($E$6,"/",B100)),
$K$2&lt;&gt;Data!$A$2,SUMIFS(Proventos!$H:$H,Proventos!$D:$D,"&gt;="&amp;CONCATENATE($D$6,"/",B100),Proventos!$D:$D,"&lt;"&amp;CONCATENATE($E$6,"/",B100),Proventos!$A:$A,"="&amp;$K$2))</f>
        <v>0</v>
      </c>
      <c r="E100" s="245">
        <f>IFS(
AND($H$2=Data!$A$3,$K$2=Data!$A$2),SUMIFS(Proventos!$H:$H,Proventos!$D:$D,"&gt;="&amp;CONCATENATE($E$6,"/",B100),Proventos!$D:$D,"&lt;"&amp;CONCATENATE($F$6,"/",B100),Proventos!$J:$J,"="&amp;$H$2),
AND($H$2=Data!$A$4,$K$2=Data!$A$2),SUMIFS(Proventos!$H:$H,Proventos!$D:$D,"&gt;="&amp;CONCATENATE($E$6,"/",B100),Proventos!$D:$D,"&lt;"&amp;CONCATENATE($F$6,"/",B100),Proventos!$J:$J,"="&amp;$H$2),
AND($H$2=Data!$A$5,$K$2=Data!$A$2),SUMIFS(Proventos!$H:$H,Proventos!$D:$D,"&gt;="&amp;CONCATENATE($E$6,"/",B100),Proventos!$D:$D,"&lt;"&amp;CONCATENATE($F$6,"/",B100),Proventos!$J:$J,"="&amp;$H$2),
AND($H$2=Data!$A$6,$K$2=Data!$A$2),SUMIFS(Proventos!$H:$H,Proventos!$D:$D,"&gt;="&amp;CONCATENATE($E$6,"/",B100),Proventos!$D:$D,"&lt;"&amp;CONCATENATE($F$6,"/",B100),Proventos!$J:$J,"="&amp;$H$2),
AND($H$2=Data!$A$7,$K$2=Data!$A$2),SUMIFS(Proventos!$H:$H,Proventos!$D:$D,"&gt;="&amp;CONCATENATE($E$6,"/",B100),Proventos!$D:$D,"&lt;"&amp;CONCATENATE($F$6,"/",B100),Proventos!$J:$J,"="&amp;$H$2),
AND($H$2=Data!$A$8,$K$2=Data!$A$2),SUMIFS(Proventos!$H:$H,Proventos!$D:$D,"&gt;="&amp;CONCATENATE($E$6,"/",B100),Proventos!$D:$D,"&lt;"&amp;CONCATENATE($F$6,"/",B100),Proventos!$J:$J,"="&amp;$H$2),
AND($H$2=Data!$A$9,$K$2=Data!$A$2),SUMIFS(Proventos!$H:$H,Proventos!$D:$D,"&gt;="&amp;CONCATENATE($E$6,"/",B100),Proventos!$D:$D,"&lt;"&amp;CONCATENATE($F$6,"/",B100),Proventos!$J:$J,"="&amp;$H$2),
AND($H$2=Data!$A$10,$K$2=Data!$A$2),SUMIFS(Proventos!$H:$H,Proventos!$D:$D,"&gt;="&amp;CONCATENATE($E$6,"/",B100),Proventos!$D:$D,"&lt;"&amp;CONCATENATE($F$6,"/",B100),Proventos!$J:$J,"="&amp;$H$2),
AND($H$2=Data!$A$11,$K$2=Data!$A$2),SUMIFS(Proventos!$H:$H,Proventos!$D:$D,"&gt;="&amp;CONCATENATE($E$6,"/",B100),Proventos!$D:$D,"&lt;"&amp;CONCATENATE($F$6,"/",B100),Proventos!$J:$J,"="&amp;$H$2),
$K$2=Data!$A$2,SUMIFS(Proventos!$H:$H,Proventos!$D:$D,"&gt;="&amp;CONCATENATE($E$6,"/",B100),Proventos!$D:$D,"&lt;"&amp;CONCATENATE($F$6,"/",B100)),
$K$2&lt;&gt;Data!$A$2,SUMIFS(Proventos!$H:$H,Proventos!$D:$D,"&gt;="&amp;CONCATENATE($E$6,"/",B100),Proventos!$D:$D,"&lt;"&amp;CONCATENATE($F$6,"/",B100),Proventos!$A:$A,"="&amp;$K$2))</f>
        <v>0</v>
      </c>
      <c r="F100" s="245">
        <f>IFS(
AND($H$2=Data!$A$3,$K$2=Data!$A$2),SUMIFS(Proventos!$H:$H,Proventos!$D:$D,"&gt;="&amp;CONCATENATE($F$6,"/",B100),Proventos!$D:$D,"&lt;"&amp;CONCATENATE($G$6,"/",B100),Proventos!$J:$J,"="&amp;$H$2),
AND($H$2=Data!$A$4,$K$2=Data!$A$2),SUMIFS(Proventos!$H:$H,Proventos!$D:$D,"&gt;="&amp;CONCATENATE($F$6,"/",B100),Proventos!$D:$D,"&lt;"&amp;CONCATENATE($G$6,"/",B100),Proventos!$J:$J,"="&amp;$H$2),
AND($H$2=Data!$A$5,$K$2=Data!$A$2),SUMIFS(Proventos!$H:$H,Proventos!$D:$D,"&gt;="&amp;CONCATENATE($F$6,"/",B100),Proventos!$D:$D,"&lt;"&amp;CONCATENATE($G$6,"/",B100),Proventos!$J:$J,"="&amp;$H$2),
AND($H$2=Data!$A$6,$K$2=Data!$A$2),SUMIFS(Proventos!$H:$H,Proventos!$D:$D,"&gt;="&amp;CONCATENATE($F$6,"/",B100),Proventos!$D:$D,"&lt;"&amp;CONCATENATE($G$6,"/",B100),Proventos!$J:$J,"="&amp;$H$2),
AND($H$2=Data!$A$7,$K$2=Data!$A$2),SUMIFS(Proventos!$H:$H,Proventos!$D:$D,"&gt;="&amp;CONCATENATE($F$6,"/",B100),Proventos!$D:$D,"&lt;"&amp;CONCATENATE($G$6,"/",B100),Proventos!$J:$J,"="&amp;$H$2),
AND($H$2=Data!$A$8,$K$2=Data!$A$2),SUMIFS(Proventos!$H:$H,Proventos!$D:$D,"&gt;="&amp;CONCATENATE($F$6,"/",B100),Proventos!$D:$D,"&lt;"&amp;CONCATENATE($G$6,"/",B100),Proventos!$J:$J,"="&amp;$H$2),
AND($H$2=Data!$A$9,$K$2=Data!$A$2),SUMIFS(Proventos!$H:$H,Proventos!$D:$D,"&gt;="&amp;CONCATENATE($F$6,"/",B100),Proventos!$D:$D,"&lt;"&amp;CONCATENATE($G$6,"/",B100),Proventos!$J:$J,"="&amp;$H$2),
AND($H$2=Data!$A$10,$K$2=Data!$A$2),SUMIFS(Proventos!$H:$H,Proventos!$D:$D,"&gt;="&amp;CONCATENATE($F$6,"/",B100),Proventos!$D:$D,"&lt;"&amp;CONCATENATE($G$6,"/",B100),Proventos!$J:$J,"="&amp;$H$2),
AND($H$2=Data!$A$11,$K$2=Data!$A$2),SUMIFS(Proventos!$H:$H,Proventos!$D:$D,"&gt;="&amp;CONCATENATE($F$6,"/",B100),Proventos!$D:$D,"&lt;"&amp;CONCATENATE($G$6,"/",B100),Proventos!$J:$J,"="&amp;$H$2),
$K$2=Data!$A$2,SUMIFS(Proventos!$H:$H,Proventos!$D:$D,"&gt;="&amp;CONCATENATE($F$6,"/",B100),Proventos!$D:$D,"&lt;"&amp;CONCATENATE($G$6,"/",B100)),
$K$2&lt;&gt;Data!$A$2,SUMIFS(Proventos!$H:$H,Proventos!$D:$D,"&gt;="&amp;CONCATENATE($F$6,"/",B100),Proventos!$D:$D,"&lt;"&amp;CONCATENATE($G$6,"/",B100),Proventos!$A:$A,"="&amp;$K$2))</f>
        <v>0</v>
      </c>
      <c r="G100" s="245">
        <f>IFS(
AND($H$2=Data!$A$3,$K$2=Data!$A$2),SUMIFS(Proventos!$H:$H,Proventos!$D:$D,"&gt;="&amp;CONCATENATE($G$6,"/",B100),Proventos!$D:$D,"&lt;"&amp;CONCATENATE($H$6,"/",B100),Proventos!$J:$J,"="&amp;$H$2),
AND($H$2=Data!$A$4,$K$2=Data!$A$2),SUMIFS(Proventos!$H:$H,Proventos!$D:$D,"&gt;="&amp;CONCATENATE($G$6,"/",B100),Proventos!$D:$D,"&lt;"&amp;CONCATENATE($H$6,"/",B100),Proventos!$J:$J,"="&amp;$H$2),
AND($H$2=Data!$A$5,$K$2=Data!$A$2),SUMIFS(Proventos!$H:$H,Proventos!$D:$D,"&gt;="&amp;CONCATENATE($G$6,"/",B100),Proventos!$D:$D,"&lt;"&amp;CONCATENATE($H$6,"/",B100),Proventos!$J:$J,"="&amp;$H$2),
AND($H$2=Data!$A$6,$K$2=Data!$A$2),SUMIFS(Proventos!$H:$H,Proventos!$D:$D,"&gt;="&amp;CONCATENATE($G$6,"/",B100),Proventos!$D:$D,"&lt;"&amp;CONCATENATE($H$6,"/",B100),Proventos!$J:$J,"="&amp;$H$2),
AND($H$2=Data!$A$7,$K$2=Data!$A$2),SUMIFS(Proventos!$H:$H,Proventos!$D:$D,"&gt;="&amp;CONCATENATE($G$6,"/",B100),Proventos!$D:$D,"&lt;"&amp;CONCATENATE($H$6,"/",B100),Proventos!$J:$J,"="&amp;$H$2),
AND($H$2=Data!$A$8,$K$2=Data!$A$2),SUMIFS(Proventos!$H:$H,Proventos!$D:$D,"&gt;="&amp;CONCATENATE($G$6,"/",B100),Proventos!$D:$D,"&lt;"&amp;CONCATENATE($H$6,"/",B100),Proventos!$J:$J,"="&amp;$H$2),
AND($H$2=Data!$A$9,$K$2=Data!$A$2),SUMIFS(Proventos!$H:$H,Proventos!$D:$D,"&gt;="&amp;CONCATENATE($G$6,"/",B100),Proventos!$D:$D,"&lt;"&amp;CONCATENATE($H$6,"/",B100),Proventos!$J:$J,"="&amp;$H$2),
AND($H$2=Data!$A$10,$K$2=Data!$A$2),SUMIFS(Proventos!$H:$H,Proventos!$D:$D,"&gt;="&amp;CONCATENATE($G$6,"/",B100),Proventos!$D:$D,"&lt;"&amp;CONCATENATE($H$6,"/",B100),Proventos!$J:$J,"="&amp;$H$2),
AND($H$2=Data!$A$11,$K$2=Data!$A$2),SUMIFS(Proventos!$H:$H,Proventos!$D:$D,"&gt;="&amp;CONCATENATE($G$6,"/",B100),Proventos!$D:$D,"&lt;"&amp;CONCATENATE($H$6,"/",B100),Proventos!$J:$J,"="&amp;$H$2),
$K$2=Data!$A$2,SUMIFS(Proventos!$H:$H,Proventos!$D:$D,"&gt;="&amp;CONCATENATE($G$6,"/",B100),Proventos!$D:$D,"&lt;"&amp;CONCATENATE($H$6,"/",B100)),
$K$2&lt;&gt;Data!$A$2,SUMIFS(Proventos!$H:$H,Proventos!$D:$D,"&gt;="&amp;CONCATENATE($G$6,"/",B100),Proventos!$D:$D,"&lt;"&amp;CONCATENATE($H$6,"/",B100),Proventos!$A:$A,"="&amp;$K$2))</f>
        <v>0</v>
      </c>
      <c r="H100" s="245">
        <f>IFS(
AND($H$2=Data!$A$3,$K$2=Data!$A$2),SUMIFS(Proventos!$H:$H,Proventos!$D:$D,"&gt;="&amp;CONCATENATE($H$6,"/",B100),Proventos!$D:$D,"&lt;"&amp;CONCATENATE($I$6,"/",B100),Proventos!$J:$J,"="&amp;$H$2),
AND($H$2=Data!$A$4,$K$2=Data!$A$2),SUMIFS(Proventos!$H:$H,Proventos!$D:$D,"&gt;="&amp;CONCATENATE($H$6,"/",B100),Proventos!$D:$D,"&lt;"&amp;CONCATENATE($I$6,"/",B100),Proventos!$J:$J,"="&amp;$H$2),
AND($H$2=Data!$A$5,$K$2=Data!$A$2),SUMIFS(Proventos!$H:$H,Proventos!$D:$D,"&gt;="&amp;CONCATENATE($H$6,"/",B100),Proventos!$D:$D,"&lt;"&amp;CONCATENATE($I$6,"/",B100),Proventos!$J:$J,"="&amp;$H$2),
AND($H$2=Data!$A$6,$K$2=Data!$A$2),SUMIFS(Proventos!$H:$H,Proventos!$D:$D,"&gt;="&amp;CONCATENATE($H$6,"/",B100),Proventos!$D:$D,"&lt;"&amp;CONCATENATE($I$6,"/",B100),Proventos!$J:$J,"="&amp;$H$2),
AND($H$2=Data!$A$7,$K$2=Data!$A$2),SUMIFS(Proventos!$H:$H,Proventos!$D:$D,"&gt;="&amp;CONCATENATE($H$6,"/",B100),Proventos!$D:$D,"&lt;"&amp;CONCATENATE($I$6,"/",B100),Proventos!$J:$J,"="&amp;$H$2),
AND($H$2=Data!$A$8,$K$2=Data!$A$2),SUMIFS(Proventos!$H:$H,Proventos!$D:$D,"&gt;="&amp;CONCATENATE($H$6,"/",B100),Proventos!$D:$D,"&lt;"&amp;CONCATENATE($I$6,"/",B100),Proventos!$J:$J,"="&amp;$H$2),
AND($H$2=Data!$A$9,$K$2=Data!$A$2),SUMIFS(Proventos!$H:$H,Proventos!$D:$D,"&gt;="&amp;CONCATENATE($H$6,"/",B100),Proventos!$D:$D,"&lt;"&amp;CONCATENATE($I$6,"/",B100),Proventos!$J:$J,"="&amp;$H$2),
AND($H$2=Data!$A$10,$K$2=Data!$A$2),SUMIFS(Proventos!$H:$H,Proventos!$D:$D,"&gt;="&amp;CONCATENATE($H$6,"/",B100),Proventos!$D:$D,"&lt;"&amp;CONCATENATE($I$6,"/",B100),Proventos!$J:$J,"="&amp;$H$2),
AND($H$2=Data!$A$11,$K$2=Data!$A$2),SUMIFS(Proventos!$H:$H,Proventos!$D:$D,"&gt;="&amp;CONCATENATE($H$6,"/",B100),Proventos!$D:$D,"&lt;"&amp;CONCATENATE($I$6,"/",B100),Proventos!$J:$J,"="&amp;$H$2),
$K$2=Data!$A$2,SUMIFS(Proventos!$H:$H,Proventos!$D:$D,"&gt;="&amp;CONCATENATE($H$6,"/",B100),Proventos!$D:$D,"&lt;"&amp;CONCATENATE($I$6,"/",B100)),
$K$2&lt;&gt;Data!$A$2,SUMIFS(Proventos!$H:$H,Proventos!$D:$D,"&gt;="&amp;CONCATENATE($H$6,"/",B100),Proventos!$D:$D,"&lt;"&amp;CONCATENATE($I$6,"/",B100),Proventos!$A:$A,"="&amp;$K$2))</f>
        <v>0</v>
      </c>
      <c r="I100" s="245">
        <f>IFS(
AND($H$2=Data!$A$3,$K$2=Data!$A$2),SUMIFS(Proventos!$H:$H,Proventos!$D:$D,"&gt;="&amp;CONCATENATE($I$6,"/",B100),Proventos!$D:$D,"&lt;"&amp;CONCATENATE($J$6,"/",B100),Proventos!$J:$J,"="&amp;$H$2),
AND($H$2=Data!$A$4,$K$2=Data!$A$2),SUMIFS(Proventos!$H:$H,Proventos!$D:$D,"&gt;="&amp;CONCATENATE($I$6,"/",B100),Proventos!$D:$D,"&lt;"&amp;CONCATENATE($J$6,"/",B100),Proventos!$J:$J,"="&amp;$H$2),
AND($H$2=Data!$A$5,$K$2=Data!$A$2),SUMIFS(Proventos!$H:$H,Proventos!$D:$D,"&gt;="&amp;CONCATENATE($I$6,"/",B100),Proventos!$D:$D,"&lt;"&amp;CONCATENATE($J$6,"/",B100),Proventos!$J:$J,"="&amp;$H$2),
AND($H$2=Data!$A$6,$K$2=Data!$A$2),SUMIFS(Proventos!$H:$H,Proventos!$D:$D,"&gt;="&amp;CONCATENATE($I$6,"/",B100),Proventos!$D:$D,"&lt;"&amp;CONCATENATE($J$6,"/",B100),Proventos!$J:$J,"="&amp;$H$2),
AND($H$2=Data!$A$7,$K$2=Data!$A$2),SUMIFS(Proventos!$H:$H,Proventos!$D:$D,"&gt;="&amp;CONCATENATE($I$6,"/",B100),Proventos!$D:$D,"&lt;"&amp;CONCATENATE($J$6,"/",B100),Proventos!$J:$J,"="&amp;$H$2),
AND($H$2=Data!$A$8,$K$2=Data!$A$2),SUMIFS(Proventos!$H:$H,Proventos!$D:$D,"&gt;="&amp;CONCATENATE($I$6,"/",B100),Proventos!$D:$D,"&lt;"&amp;CONCATENATE($J$6,"/",B100),Proventos!$J:$J,"="&amp;$H$2),
AND($H$2=Data!$A$9,$K$2=Data!$A$2),SUMIFS(Proventos!$H:$H,Proventos!$D:$D,"&gt;="&amp;CONCATENATE($I$6,"/",B100),Proventos!$D:$D,"&lt;"&amp;CONCATENATE($J$6,"/",B100),Proventos!$J:$J,"="&amp;$H$2),
AND($H$2=Data!$A$10,$K$2=Data!$A$2),SUMIFS(Proventos!$H:$H,Proventos!$D:$D,"&gt;="&amp;CONCATENATE($I$6,"/",B100),Proventos!$D:$D,"&lt;"&amp;CONCATENATE($J$6,"/",B100),Proventos!$J:$J,"="&amp;$H$2),
AND($H$2=Data!$A$11,$K$2=Data!$A$2),SUMIFS(Proventos!$H:$H,Proventos!$D:$D,"&gt;="&amp;CONCATENATE($I$6,"/",B100),Proventos!$D:$D,"&lt;"&amp;CONCATENATE($J$6,"/",B100),Proventos!$J:$J,"="&amp;$H$2),
$K$2=Data!$A$2,SUMIFS(Proventos!$H:$H,Proventos!$D:$D,"&gt;="&amp;CONCATENATE($I$6,"/",B100),Proventos!$D:$D,"&lt;"&amp;CONCATENATE($J$6,"/",B100)),
$K$2&lt;&gt;Data!$A$2,SUMIFS(Proventos!$H:$H,Proventos!$D:$D,"&gt;="&amp;CONCATENATE($I$6,"/",B100),Proventos!$D:$D,"&lt;"&amp;CONCATENATE($J$6,"/",B100),Proventos!$A:$A,"="&amp;$K$2))</f>
        <v>0</v>
      </c>
      <c r="J100" s="245">
        <f>IFS(
AND($H$2=Data!$A$3,$K$2=Data!$A$2),SUMIFS(Proventos!$H:$H,Proventos!$D:$D,"&gt;="&amp;CONCATENATE($J$6,"/",B100),Proventos!$D:$D,"&lt;"&amp;CONCATENATE($K$6,"/",B100),Proventos!$J:$J,"="&amp;$H$2),
AND($H$2=Data!$A$4,$K$2=Data!$A$2),SUMIFS(Proventos!$H:$H,Proventos!$D:$D,"&gt;="&amp;CONCATENATE($J$6,"/",B100),Proventos!$D:$D,"&lt;"&amp;CONCATENATE($K$6,"/",B100),Proventos!$J:$J,"="&amp;$H$2),
AND($H$2=Data!$A$5,$K$2=Data!$A$2),SUMIFS(Proventos!$H:$H,Proventos!$D:$D,"&gt;="&amp;CONCATENATE($J$6,"/",B100),Proventos!$D:$D,"&lt;"&amp;CONCATENATE($K$6,"/",B100),Proventos!$J:$J,"="&amp;$H$2),
AND($H$2=Data!$A$6,$K$2=Data!$A$2),SUMIFS(Proventos!$H:$H,Proventos!$D:$D,"&gt;="&amp;CONCATENATE($J$6,"/",B100),Proventos!$D:$D,"&lt;"&amp;CONCATENATE($K$6,"/",B100),Proventos!$J:$J,"="&amp;$H$2),
AND($H$2=Data!$A$7,$K$2=Data!$A$2),SUMIFS(Proventos!$H:$H,Proventos!$D:$D,"&gt;="&amp;CONCATENATE($J$6,"/",B100),Proventos!$D:$D,"&lt;"&amp;CONCATENATE($K$6,"/",B100),Proventos!$J:$J,"="&amp;$H$2),
AND($H$2=Data!$A$8,$K$2=Data!$A$2),SUMIFS(Proventos!$H:$H,Proventos!$D:$D,"&gt;="&amp;CONCATENATE($J$6,"/",B100),Proventos!$D:$D,"&lt;"&amp;CONCATENATE($K$6,"/",B100),Proventos!$J:$J,"="&amp;$H$2),
AND($H$2=Data!$A$9,$K$2=Data!$A$2),SUMIFS(Proventos!$H:$H,Proventos!$D:$D,"&gt;="&amp;CONCATENATE($J$6,"/",B100),Proventos!$D:$D,"&lt;"&amp;CONCATENATE($K$6,"/",B100),Proventos!$J:$J,"="&amp;$H$2),
AND($H$2=Data!$A$10,$K$2=Data!$A$2),SUMIFS(Proventos!$H:$H,Proventos!$D:$D,"&gt;="&amp;CONCATENATE($J$6,"/",B100),Proventos!$D:$D,"&lt;"&amp;CONCATENATE($K$6,"/",B100),Proventos!$J:$J,"="&amp;$H$2),
AND($H$2=Data!$A$11,$K$2=Data!$A$2),SUMIFS(Proventos!$H:$H,Proventos!$D:$D,"&gt;="&amp;CONCATENATE($J$6,"/",B100),Proventos!$D:$D,"&lt;"&amp;CONCATENATE($K$6,"/",B100),Proventos!$J:$J,"="&amp;$H$2),
$K$2=Data!$A$2,SUMIFS(Proventos!$H:$H,Proventos!$D:$D,"&gt;="&amp;CONCATENATE($J$6,"/",B100),Proventos!$D:$D,"&lt;"&amp;CONCATENATE($K$6,"/",B100)),
$K$2&lt;&gt;Data!$A$2,SUMIFS(Proventos!$H:$H,Proventos!$D:$D,"&gt;="&amp;CONCATENATE($J$6,"/",B100),Proventos!$D:$D,"&lt;"&amp;CONCATENATE($K$6,"/",B100),Proventos!$A:$A,"="&amp;$K$2))</f>
        <v>0</v>
      </c>
      <c r="K100" s="245">
        <f>IFS(
AND($H$2=Data!$A$3,$K$2=Data!$A$2),SUMIFS(Proventos!$H:$H,Proventos!$D:$D,"&gt;="&amp;CONCATENATE($K$6,"/",B100),Proventos!$D:$D,"&lt;"&amp;CONCATENATE($L$6,"/",B100),Proventos!$J:$J,"="&amp;$H$2),
AND($H$2=Data!$A$4,$K$2=Data!$A$2),SUMIFS(Proventos!$H:$H,Proventos!$D:$D,"&gt;="&amp;CONCATENATE($K$6,"/",B100),Proventos!$D:$D,"&lt;"&amp;CONCATENATE($L$6,"/",B100),Proventos!$J:$J,"="&amp;$H$2),
AND($H$2=Data!$A$5,$K$2=Data!$A$2),SUMIFS(Proventos!$H:$H,Proventos!$D:$D,"&gt;="&amp;CONCATENATE($K$6,"/",B100),Proventos!$D:$D,"&lt;"&amp;CONCATENATE($L$6,"/",B100),Proventos!$J:$J,"="&amp;$H$2),
AND($H$2=Data!$A$6,$K$2=Data!$A$2),SUMIFS(Proventos!$H:$H,Proventos!$D:$D,"&gt;="&amp;CONCATENATE($K$6,"/",B100),Proventos!$D:$D,"&lt;"&amp;CONCATENATE($L$6,"/",B100),Proventos!$J:$J,"="&amp;$H$2),
AND($H$2=Data!$A$7,$K$2=Data!$A$2),SUMIFS(Proventos!$H:$H,Proventos!$D:$D,"&gt;="&amp;CONCATENATE($K$6,"/",B100),Proventos!$D:$D,"&lt;"&amp;CONCATENATE($L$6,"/",B100),Proventos!$J:$J,"="&amp;$H$2),
AND($H$2=Data!$A$8,$K$2=Data!$A$2),SUMIFS(Proventos!$H:$H,Proventos!$D:$D,"&gt;="&amp;CONCATENATE($K$6,"/",B100),Proventos!$D:$D,"&lt;"&amp;CONCATENATE($L$6,"/",B100),Proventos!$J:$J,"="&amp;$H$2),
AND($H$2=Data!$A$9,$K$2=Data!$A$2),SUMIFS(Proventos!$H:$H,Proventos!$D:$D,"&gt;="&amp;CONCATENATE($K$6,"/",B100),Proventos!$D:$D,"&lt;"&amp;CONCATENATE($L$6,"/",B100),Proventos!$J:$J,"="&amp;$H$2),
AND($H$2=Data!$A$10,$K$2=Data!$A$2),SUMIFS(Proventos!$H:$H,Proventos!$D:$D,"&gt;="&amp;CONCATENATE($K$6,"/",B100),Proventos!$D:$D,"&lt;"&amp;CONCATENATE($L$6,"/",B100),Proventos!$J:$J,"="&amp;$H$2),
AND($H$2=Data!$A$11,$K$2=Data!$A$2),SUMIFS(Proventos!$H:$H,Proventos!$D:$D,"&gt;="&amp;CONCATENATE($K$6,"/",B100),Proventos!$D:$D,"&lt;"&amp;CONCATENATE($L$6,"/",B100),Proventos!$J:$J,"="&amp;$H$2),
$K$2=Data!$A$2,SUMIFS(Proventos!$H:$H,Proventos!$D:$D,"&gt;="&amp;CONCATENATE($K$6,"/",B100),Proventos!$D:$D,"&lt;"&amp;CONCATENATE($L$6,"/",B100)),
$K$2&lt;&gt;Data!$A$2,SUMIFS(Proventos!$H:$H,Proventos!$D:$D,"&gt;="&amp;CONCATENATE($K$6,"/",B100),Proventos!$D:$D,"&lt;"&amp;CONCATENATE($L$6,"/",B100),Proventos!$A:$A,"="&amp;$K$2))</f>
        <v>0</v>
      </c>
      <c r="L100" s="245">
        <f>IFS(
AND($H$2=Data!$A$3,$K$2=Data!$A$2),SUMIFS(Proventos!$H:$H,Proventos!$D:$D,"&gt;="&amp;CONCATENATE($L$6,"/",B100),Proventos!$D:$D,"&lt;"&amp;CONCATENATE($M$6,"/",B100),Proventos!$J:$J,"="&amp;$H$2),
AND($H$2=Data!$A$4,$K$2=Data!$A$2),SUMIFS(Proventos!$H:$H,Proventos!$D:$D,"&gt;="&amp;CONCATENATE($L$6,"/",B100),Proventos!$D:$D,"&lt;"&amp;CONCATENATE($M$6,"/",B100),Proventos!$J:$J,"="&amp;$H$2),
AND($H$2=Data!$A$5,$K$2=Data!$A$2),SUMIFS(Proventos!$H:$H,Proventos!$D:$D,"&gt;="&amp;CONCATENATE($L$6,"/",B100),Proventos!$D:$D,"&lt;"&amp;CONCATENATE($M$6,"/",B100),Proventos!$J:$J,"="&amp;$H$2),
AND($H$2=Data!$A$6,$K$2=Data!$A$2),SUMIFS(Proventos!$H:$H,Proventos!$D:$D,"&gt;="&amp;CONCATENATE($L$6,"/",B100),Proventos!$D:$D,"&lt;"&amp;CONCATENATE($M$6,"/",B100),Proventos!$J:$J,"="&amp;$H$2),
AND($H$2=Data!$A$7,$K$2=Data!$A$2),SUMIFS(Proventos!$H:$H,Proventos!$D:$D,"&gt;="&amp;CONCATENATE($L$6,"/",B100),Proventos!$D:$D,"&lt;"&amp;CONCATENATE($M$6,"/",B100),Proventos!$J:$J,"="&amp;$H$2),
AND($H$2=Data!$A$8,$K$2=Data!$A$2),SUMIFS(Proventos!$H:$H,Proventos!$D:$D,"&gt;="&amp;CONCATENATE($L$6,"/",B100),Proventos!$D:$D,"&lt;"&amp;CONCATENATE($M$6,"/",B100),Proventos!$J:$J,"="&amp;$H$2),
AND($H$2=Data!$A$9,$K$2=Data!$A$2),SUMIFS(Proventos!$H:$H,Proventos!$D:$D,"&gt;="&amp;CONCATENATE($L$6,"/",B100),Proventos!$D:$D,"&lt;"&amp;CONCATENATE($M$6,"/",B100),Proventos!$J:$J,"="&amp;$H$2),
AND($H$2=Data!$A$10,$K$2=Data!$A$2),SUMIFS(Proventos!$H:$H,Proventos!$D:$D,"&gt;="&amp;CONCATENATE($L$6,"/",B100),Proventos!$D:$D,"&lt;"&amp;CONCATENATE($M$6,"/",B100),Proventos!$J:$J,"="&amp;$H$2),
AND($H$2=Data!$A$11,$K$2=Data!$A$2),SUMIFS(Proventos!$H:$H,Proventos!$D:$D,"&gt;="&amp;CONCATENATE($L$6,"/",B100),Proventos!$D:$D,"&lt;"&amp;CONCATENATE($M$6,"/",B100),Proventos!$J:$J,"="&amp;$H$2),
$K$2=Data!$A$2,SUMIFS(Proventos!$H:$H,Proventos!$D:$D,"&gt;="&amp;CONCATENATE($L$6,"/",B100),Proventos!$D:$D,"&lt;"&amp;CONCATENATE($M$6,"/",B100)),
$K$2&lt;&gt;Data!$A$2,SUMIFS(Proventos!$H:$H,Proventos!$D:$D,"&gt;="&amp;CONCATENATE($L$6,"/",B100),Proventos!$D:$D,"&lt;"&amp;CONCATENATE($M$6,"/",B100),Proventos!$A:$A,"="&amp;$K$2))</f>
        <v>0</v>
      </c>
      <c r="M100" s="245">
        <f>IFS(
AND($H$2=Data!$A$3,$K$2=Data!$A$2),SUMIFS(Proventos!$H:$H,Proventos!$D:$D,"&gt;="&amp;CONCATENATE($M$6,"/",B100),Proventos!$D:$D,"&lt;"&amp;CONCATENATE($N$6,"/",B100),Proventos!$J:$J,"="&amp;$H$2),
AND($H$2=Data!$A$4,$K$2=Data!$A$2),SUMIFS(Proventos!$H:$H,Proventos!$D:$D,"&gt;="&amp;CONCATENATE($M$6,"/",B100),Proventos!$D:$D,"&lt;"&amp;CONCATENATE($N$6,"/",B100),Proventos!$J:$J,"="&amp;$H$2),
AND($H$2=Data!$A$5,$K$2=Data!$A$2),SUMIFS(Proventos!$H:$H,Proventos!$D:$D,"&gt;="&amp;CONCATENATE($M$6,"/",B100),Proventos!$D:$D,"&lt;"&amp;CONCATENATE($N$6,"/",B100),Proventos!$J:$J,"="&amp;$H$2),
AND($H$2=Data!$A$6,$K$2=Data!$A$2),SUMIFS(Proventos!$H:$H,Proventos!$D:$D,"&gt;="&amp;CONCATENATE($M$6,"/",B100),Proventos!$D:$D,"&lt;"&amp;CONCATENATE($N$6,"/",B100),Proventos!$J:$J,"="&amp;$H$2),
AND($H$2=Data!$A$7,$K$2=Data!$A$2),SUMIFS(Proventos!$H:$H,Proventos!$D:$D,"&gt;="&amp;CONCATENATE($M$6,"/",B100),Proventos!$D:$D,"&lt;"&amp;CONCATENATE($N$6,"/",B100),Proventos!$J:$J,"="&amp;$H$2),
AND($H$2=Data!$A$8,$K$2=Data!$A$2),SUMIFS(Proventos!$H:$H,Proventos!$D:$D,"&gt;="&amp;CONCATENATE($M$6,"/",B100),Proventos!$D:$D,"&lt;"&amp;CONCATENATE($N$6,"/",B100),Proventos!$J:$J,"="&amp;$H$2),
AND($H$2=Data!$A$9,$K$2=Data!$A$2),SUMIFS(Proventos!$H:$H,Proventos!$D:$D,"&gt;="&amp;CONCATENATE($M$6,"/",B100),Proventos!$D:$D,"&lt;"&amp;CONCATENATE($N$6,"/",B100),Proventos!$J:$J,"="&amp;$H$2),
AND($H$2=Data!$A$10,$K$2=Data!$A$2),SUMIFS(Proventos!$H:$H,Proventos!$D:$D,"&gt;="&amp;CONCATENATE($M$6,"/",B100),Proventos!$D:$D,"&lt;"&amp;CONCATENATE($N$6,"/",B100),Proventos!$J:$J,"="&amp;$H$2),
AND($H$2=Data!$A$11,$K$2=Data!$A$2),SUMIFS(Proventos!$H:$H,Proventos!$D:$D,"&gt;="&amp;CONCATENATE($M$6,"/",B100),Proventos!$D:$D,"&lt;"&amp;CONCATENATE($N$6,"/",B100),Proventos!$J:$J,"="&amp;$H$2),
$K$2=Data!$A$2,SUMIFS(Proventos!$H:$H,Proventos!$D:$D,"&gt;="&amp;CONCATENATE($M$6,"/",B100),Proventos!$D:$D,"&lt;"&amp;CONCATENATE($N$6,"/",B100)),
$K$2&lt;&gt;Data!$A$2,SUMIFS(Proventos!$H:$H,Proventos!$D:$D,"&gt;="&amp;CONCATENATE($M$6,"/",B100),Proventos!$D:$D,"&lt;"&amp;CONCATENATE($N$6,"/",B100),Proventos!$A:$A,"="&amp;$K$2))</f>
        <v>0</v>
      </c>
      <c r="N100" s="245">
        <f>IFS(
AND($H$2=Data!$A$3,$K$2=Data!$A$2),SUMIFS(Proventos!$H:$H,Proventos!$D:$D,"&gt;="&amp;CONCATENATE($N$6,"/",B100),Proventos!$D:$D,"&lt;"&amp;CONCATENATE($C$6,"/",B101),Proventos!$J:$J,"="&amp;$H$2),
AND($H$2=Data!$A$4,$K$2=Data!$A$2),SUMIFS(Proventos!$H:$H,Proventos!$D:$D,"&gt;="&amp;CONCATENATE($N$6,"/",B100),Proventos!$D:$D,"&lt;"&amp;CONCATENATE($C$6,"/",B101),Proventos!$J:$J,"="&amp;$H$2),
AND($H$2=Data!$A$5,$K$2=Data!$A$2),SUMIFS(Proventos!$H:$H,Proventos!$D:$D,"&gt;="&amp;CONCATENATE($N$6,"/",B100),Proventos!$D:$D,"&lt;"&amp;CONCATENATE($C$6,"/",B101),Proventos!$J:$J,"="&amp;$H$2),
AND($H$2=Data!$A$6,$K$2=Data!$A$2),SUMIFS(Proventos!$H:$H,Proventos!$D:$D,"&gt;="&amp;CONCATENATE($N$6,"/",B100),Proventos!$D:$D,"&lt;"&amp;CONCATENATE($C$6,"/",B101),Proventos!$J:$J,"="&amp;$H$2),
AND($H$2=Data!$A$7,$K$2=Data!$A$2),SUMIFS(Proventos!$H:$H,Proventos!$D:$D,"&gt;="&amp;CONCATENATE($N$6,"/",B100),Proventos!$D:$D,"&lt;"&amp;CONCATENATE($C$6,"/",B101),Proventos!$J:$J,"="&amp;$H$2),
AND($H$2=Data!$A$8,$K$2=Data!$A$2),SUMIFS(Proventos!$H:$H,Proventos!$D:$D,"&gt;="&amp;CONCATENATE($N$6,"/",B100),Proventos!$D:$D,"&lt;"&amp;CONCATENATE($C$6,"/",B101),Proventos!$J:$J,"="&amp;$H$2),
AND($H$2=Data!$A$9,$K$2=Data!$A$2),SUMIFS(Proventos!$H:$H,Proventos!$D:$D,"&gt;="&amp;CONCATENATE($N$6,"/",B100),Proventos!$D:$D,"&lt;"&amp;CONCATENATE($C$6,"/",B101),Proventos!$J:$J,"="&amp;$H$2),
AND($H$2=Data!$A$10,$K$2=Data!$A$2),SUMIFS(Proventos!$H:$H,Proventos!$D:$D,"&gt;="&amp;CONCATENATE($N$6,"/",B100),Proventos!$D:$D,"&lt;"&amp;CONCATENATE($C$6,"/",B101),Proventos!$J:$J,"="&amp;$H$2),
AND($H$2=Data!$A$11,$K$2=Data!$A$2),SUMIFS(Proventos!$H:$H,Proventos!$D:$D,"&gt;="&amp;CONCATENATE($N$6,"/",B100),Proventos!$D:$D,"&lt;"&amp;CONCATENATE($C$6,"/",B101),Proventos!$J:$J,"="&amp;$H$2),
$K$2=Data!$A$2,SUMIFS(Proventos!$H:$H,Proventos!$D:$D,"&gt;="&amp;CONCATENATE($N$6,"/",B100),Proventos!$D:$D,"&lt;"&amp;CONCATENATE($C$6,"/",B101)),
$K$2&lt;&gt;Data!$A$2,SUMIFS(Proventos!$H:$H,Proventos!$D:$D,"&gt;="&amp;CONCATENATE($N$6,"/",B100),Proventos!$D:$D,"&lt;"&amp;CONCATENATE($C$6,"/",B101),Proventos!$A:$A,"="&amp;$K$2))</f>
        <v>0</v>
      </c>
      <c r="O100" s="245"/>
      <c r="P100" s="245">
        <f t="shared" si="1"/>
        <v>0</v>
      </c>
      <c r="Q100" s="245">
        <f t="shared" si="2"/>
        <v>0</v>
      </c>
    </row>
    <row r="101" ht="32.25" customHeight="1">
      <c r="A101" s="230"/>
      <c r="B101" s="244"/>
      <c r="C101" s="245">
        <f>IFS(
AND($H$2=Data!$A$3,$K$2=Data!$A$2),SUMIFS(Proventos!$H:$H,Proventos!$D:$D,"&gt;="&amp;CONCATENATE($C$6,"/",B101),Proventos!$D:$D,"&lt;"&amp;CONCATENATE($D$6,"/",B101),Proventos!$J:$J,"="&amp;$H$2),
AND($H$2=Data!$A$4,$K$2=Data!$A$2),SUMIFS(Proventos!$H:$H,Proventos!$D:$D,"&gt;="&amp;CONCATENATE($C$6,"/",B101),Proventos!$D:$D,"&lt;"&amp;CONCATENATE($D$6,"/",B101),Proventos!$J:$J,"="&amp;$H$2),
AND($H$2=Data!$A$5,$K$2=Data!$A$2),SUMIFS(Proventos!$H:$H,Proventos!$D:$D,"&gt;="&amp;CONCATENATE($C$6,"/",B101),Proventos!$D:$D,"&lt;"&amp;CONCATENATE($D$6,"/",B101),Proventos!$J:$J,"="&amp;$H$2),
AND($H$2=Data!$A$6,$K$2=Data!$A$2),SUMIFS(Proventos!$H:$H,Proventos!$D:$D,"&gt;="&amp;CONCATENATE($C$6,"/",B101),Proventos!$D:$D,"&lt;"&amp;CONCATENATE($D$6,"/",B101),Proventos!$J:$J,"="&amp;$H$2),
AND($H$2=Data!$A$7,$K$2=Data!$A$2),SUMIFS(Proventos!$H:$H,Proventos!$D:$D,"&gt;="&amp;CONCATENATE($C$6,"/",B101),Proventos!$D:$D,"&lt;"&amp;CONCATENATE($D$6,"/",B101),Proventos!$J:$J,"="&amp;$H$2),
AND($H$2=Data!$A$8,$K$2=Data!$A$2),SUMIFS(Proventos!$H:$H,Proventos!$D:$D,"&gt;="&amp;CONCATENATE($C$6,"/",B101),Proventos!$D:$D,"&lt;"&amp;CONCATENATE($D$6,"/",B101),Proventos!$J:$J,"="&amp;$H$2),
AND($H$2=Data!$A$9,$K$2=Data!$A$2),SUMIFS(Proventos!$H:$H,Proventos!$D:$D,"&gt;="&amp;CONCATENATE($C$6,"/",B101),Proventos!$D:$D,"&lt;"&amp;CONCATENATE($D$6,"/",B101),Proventos!$J:$J,"="&amp;$H$2),
AND($H$2=Data!$A$10,$K$2=Data!$A$2),SUMIFS(Proventos!$H:$H,Proventos!$D:$D,"&gt;="&amp;CONCATENATE($C$6,"/",B101),Proventos!$D:$D,"&lt;"&amp;CONCATENATE($D$6,"/",B101),Proventos!$J:$J,"="&amp;$H$2),
AND($H$2=Data!$A$11,$K$2=Data!$A$2),SUMIFS(Proventos!$H:$H,Proventos!$D:$D,"&gt;="&amp;CONCATENATE($C$6,"/",B101),Proventos!$D:$D,"&lt;"&amp;CONCATENATE($D$6,"/",B101),Proventos!$J:$J,"="&amp;$H$2),
$K$2=Data!$A$2,SUMIFS(Proventos!$H:$H,Proventos!$D:$D,"&gt;="&amp;CONCATENATE($C$6,"/",B101),Proventos!$D:$D,"&lt;"&amp;CONCATENATE($D$6,"/",B101)),
$K$2&lt;&gt;Data!$A$2,SUMIFS(Proventos!$H:$H,Proventos!$D:$D,"&gt;="&amp;CONCATENATE($C$6,"/",B101),Proventos!$D:$D,"&lt;"&amp;CONCATENATE($D$6,"/",B101),Proventos!$A:$A,"="&amp;$K$2))</f>
        <v>0</v>
      </c>
      <c r="D101" s="245">
        <f>IFS(
AND($H$2=Data!$A$3,$K$2=Data!$A$2),SUMIFS(Proventos!$H:$H,Proventos!$D:$D,"&gt;="&amp;CONCATENATE($D$6,"/",B101),Proventos!$D:$D,"&lt;"&amp;CONCATENATE($E$6,"/",B101),Proventos!$J:$J,"="&amp;$H$2),
AND($H$2=Data!$A$4,$K$2=Data!$A$2),SUMIFS(Proventos!$H:$H,Proventos!$D:$D,"&gt;="&amp;CONCATENATE($D$6,"/",B101),Proventos!$D:$D,"&lt;"&amp;CONCATENATE($E$6,"/",B101),Proventos!$J:$J,"="&amp;$H$2),
AND($H$2=Data!$A$5,$K$2=Data!$A$2),SUMIFS(Proventos!$H:$H,Proventos!$D:$D,"&gt;="&amp;CONCATENATE($D$6,"/",B101),Proventos!$D:$D,"&lt;"&amp;CONCATENATE($E$6,"/",B101),Proventos!$J:$J,"="&amp;$H$2),
AND($H$2=Data!$A$6,$K$2=Data!$A$2),SUMIFS(Proventos!$H:$H,Proventos!$D:$D,"&gt;="&amp;CONCATENATE($D$6,"/",B101),Proventos!$D:$D,"&lt;"&amp;CONCATENATE($E$6,"/",B101),Proventos!$J:$J,"="&amp;$H$2),
AND($H$2=Data!$A$7,$K$2=Data!$A$2),SUMIFS(Proventos!$H:$H,Proventos!$D:$D,"&gt;="&amp;CONCATENATE($D$6,"/",B101),Proventos!$D:$D,"&lt;"&amp;CONCATENATE($E$6,"/",B101),Proventos!$J:$J,"="&amp;$H$2),
AND($H$2=Data!$A$8,$K$2=Data!$A$2),SUMIFS(Proventos!$H:$H,Proventos!$D:$D,"&gt;="&amp;CONCATENATE($D$6,"/",B101),Proventos!$D:$D,"&lt;"&amp;CONCATENATE($E$6,"/",B101),Proventos!$J:$J,"="&amp;$H$2),
AND($H$2=Data!$A$9,$K$2=Data!$A$2),SUMIFS(Proventos!$H:$H,Proventos!$D:$D,"&gt;="&amp;CONCATENATE($D$6,"/",B101),Proventos!$D:$D,"&lt;"&amp;CONCATENATE($E$6,"/",B101),Proventos!$J:$J,"="&amp;$H$2),
AND($H$2=Data!$A$10,$K$2=Data!$A$2),SUMIFS(Proventos!$H:$H,Proventos!$D:$D,"&gt;="&amp;CONCATENATE($D$6,"/",B101),Proventos!$D:$D,"&lt;"&amp;CONCATENATE($E$6,"/",B101),Proventos!$J:$J,"="&amp;$H$2),
AND($H$2=Data!$A$11,$K$2=Data!$A$2),SUMIFS(Proventos!$H:$H,Proventos!$D:$D,"&gt;="&amp;CONCATENATE($D$6,"/",B101),Proventos!$D:$D,"&lt;"&amp;CONCATENATE($E$6,"/",B101),Proventos!$J:$J,"="&amp;$H$2),
$K$2=Data!$A$2,SUMIFS(Proventos!$H:$H,Proventos!$D:$D,"&gt;="&amp;CONCATENATE($D$6,"/",B101),Proventos!$D:$D,"&lt;"&amp;CONCATENATE($E$6,"/",B101)),
$K$2&lt;&gt;Data!$A$2,SUMIFS(Proventos!$H:$H,Proventos!$D:$D,"&gt;="&amp;CONCATENATE($D$6,"/",B101),Proventos!$D:$D,"&lt;"&amp;CONCATENATE($E$6,"/",B101),Proventos!$A:$A,"="&amp;$K$2))</f>
        <v>0</v>
      </c>
      <c r="E101" s="245">
        <f>IFS(
AND($H$2=Data!$A$3,$K$2=Data!$A$2),SUMIFS(Proventos!$H:$H,Proventos!$D:$D,"&gt;="&amp;CONCATENATE($E$6,"/",B101),Proventos!$D:$D,"&lt;"&amp;CONCATENATE($F$6,"/",B101),Proventos!$J:$J,"="&amp;$H$2),
AND($H$2=Data!$A$4,$K$2=Data!$A$2),SUMIFS(Proventos!$H:$H,Proventos!$D:$D,"&gt;="&amp;CONCATENATE($E$6,"/",B101),Proventos!$D:$D,"&lt;"&amp;CONCATENATE($F$6,"/",B101),Proventos!$J:$J,"="&amp;$H$2),
AND($H$2=Data!$A$5,$K$2=Data!$A$2),SUMIFS(Proventos!$H:$H,Proventos!$D:$D,"&gt;="&amp;CONCATENATE($E$6,"/",B101),Proventos!$D:$D,"&lt;"&amp;CONCATENATE($F$6,"/",B101),Proventos!$J:$J,"="&amp;$H$2),
AND($H$2=Data!$A$6,$K$2=Data!$A$2),SUMIFS(Proventos!$H:$H,Proventos!$D:$D,"&gt;="&amp;CONCATENATE($E$6,"/",B101),Proventos!$D:$D,"&lt;"&amp;CONCATENATE($F$6,"/",B101),Proventos!$J:$J,"="&amp;$H$2),
AND($H$2=Data!$A$7,$K$2=Data!$A$2),SUMIFS(Proventos!$H:$H,Proventos!$D:$D,"&gt;="&amp;CONCATENATE($E$6,"/",B101),Proventos!$D:$D,"&lt;"&amp;CONCATENATE($F$6,"/",B101),Proventos!$J:$J,"="&amp;$H$2),
AND($H$2=Data!$A$8,$K$2=Data!$A$2),SUMIFS(Proventos!$H:$H,Proventos!$D:$D,"&gt;="&amp;CONCATENATE($E$6,"/",B101),Proventos!$D:$D,"&lt;"&amp;CONCATENATE($F$6,"/",B101),Proventos!$J:$J,"="&amp;$H$2),
AND($H$2=Data!$A$9,$K$2=Data!$A$2),SUMIFS(Proventos!$H:$H,Proventos!$D:$D,"&gt;="&amp;CONCATENATE($E$6,"/",B101),Proventos!$D:$D,"&lt;"&amp;CONCATENATE($F$6,"/",B101),Proventos!$J:$J,"="&amp;$H$2),
AND($H$2=Data!$A$10,$K$2=Data!$A$2),SUMIFS(Proventos!$H:$H,Proventos!$D:$D,"&gt;="&amp;CONCATENATE($E$6,"/",B101),Proventos!$D:$D,"&lt;"&amp;CONCATENATE($F$6,"/",B101),Proventos!$J:$J,"="&amp;$H$2),
AND($H$2=Data!$A$11,$K$2=Data!$A$2),SUMIFS(Proventos!$H:$H,Proventos!$D:$D,"&gt;="&amp;CONCATENATE($E$6,"/",B101),Proventos!$D:$D,"&lt;"&amp;CONCATENATE($F$6,"/",B101),Proventos!$J:$J,"="&amp;$H$2),
$K$2=Data!$A$2,SUMIFS(Proventos!$H:$H,Proventos!$D:$D,"&gt;="&amp;CONCATENATE($E$6,"/",B101),Proventos!$D:$D,"&lt;"&amp;CONCATENATE($F$6,"/",B101)),
$K$2&lt;&gt;Data!$A$2,SUMIFS(Proventos!$H:$H,Proventos!$D:$D,"&gt;="&amp;CONCATENATE($E$6,"/",B101),Proventos!$D:$D,"&lt;"&amp;CONCATENATE($F$6,"/",B101),Proventos!$A:$A,"="&amp;$K$2))</f>
        <v>0</v>
      </c>
      <c r="F101" s="245">
        <f>IFS(
AND($H$2=Data!$A$3,$K$2=Data!$A$2),SUMIFS(Proventos!$H:$H,Proventos!$D:$D,"&gt;="&amp;CONCATENATE($F$6,"/",B101),Proventos!$D:$D,"&lt;"&amp;CONCATENATE($G$6,"/",B101),Proventos!$J:$J,"="&amp;$H$2),
AND($H$2=Data!$A$4,$K$2=Data!$A$2),SUMIFS(Proventos!$H:$H,Proventos!$D:$D,"&gt;="&amp;CONCATENATE($F$6,"/",B101),Proventos!$D:$D,"&lt;"&amp;CONCATENATE($G$6,"/",B101),Proventos!$J:$J,"="&amp;$H$2),
AND($H$2=Data!$A$5,$K$2=Data!$A$2),SUMIFS(Proventos!$H:$H,Proventos!$D:$D,"&gt;="&amp;CONCATENATE($F$6,"/",B101),Proventos!$D:$D,"&lt;"&amp;CONCATENATE($G$6,"/",B101),Proventos!$J:$J,"="&amp;$H$2),
AND($H$2=Data!$A$6,$K$2=Data!$A$2),SUMIFS(Proventos!$H:$H,Proventos!$D:$D,"&gt;="&amp;CONCATENATE($F$6,"/",B101),Proventos!$D:$D,"&lt;"&amp;CONCATENATE($G$6,"/",B101),Proventos!$J:$J,"="&amp;$H$2),
AND($H$2=Data!$A$7,$K$2=Data!$A$2),SUMIFS(Proventos!$H:$H,Proventos!$D:$D,"&gt;="&amp;CONCATENATE($F$6,"/",B101),Proventos!$D:$D,"&lt;"&amp;CONCATENATE($G$6,"/",B101),Proventos!$J:$J,"="&amp;$H$2),
AND($H$2=Data!$A$8,$K$2=Data!$A$2),SUMIFS(Proventos!$H:$H,Proventos!$D:$D,"&gt;="&amp;CONCATENATE($F$6,"/",B101),Proventos!$D:$D,"&lt;"&amp;CONCATENATE($G$6,"/",B101),Proventos!$J:$J,"="&amp;$H$2),
AND($H$2=Data!$A$9,$K$2=Data!$A$2),SUMIFS(Proventos!$H:$H,Proventos!$D:$D,"&gt;="&amp;CONCATENATE($F$6,"/",B101),Proventos!$D:$D,"&lt;"&amp;CONCATENATE($G$6,"/",B101),Proventos!$J:$J,"="&amp;$H$2),
AND($H$2=Data!$A$10,$K$2=Data!$A$2),SUMIFS(Proventos!$H:$H,Proventos!$D:$D,"&gt;="&amp;CONCATENATE($F$6,"/",B101),Proventos!$D:$D,"&lt;"&amp;CONCATENATE($G$6,"/",B101),Proventos!$J:$J,"="&amp;$H$2),
AND($H$2=Data!$A$11,$K$2=Data!$A$2),SUMIFS(Proventos!$H:$H,Proventos!$D:$D,"&gt;="&amp;CONCATENATE($F$6,"/",B101),Proventos!$D:$D,"&lt;"&amp;CONCATENATE($G$6,"/",B101),Proventos!$J:$J,"="&amp;$H$2),
$K$2=Data!$A$2,SUMIFS(Proventos!$H:$H,Proventos!$D:$D,"&gt;="&amp;CONCATENATE($F$6,"/",B101),Proventos!$D:$D,"&lt;"&amp;CONCATENATE($G$6,"/",B101)),
$K$2&lt;&gt;Data!$A$2,SUMIFS(Proventos!$H:$H,Proventos!$D:$D,"&gt;="&amp;CONCATENATE($F$6,"/",B101),Proventos!$D:$D,"&lt;"&amp;CONCATENATE($G$6,"/",B101),Proventos!$A:$A,"="&amp;$K$2))</f>
        <v>0</v>
      </c>
      <c r="G101" s="245">
        <f>IFS(
AND($H$2=Data!$A$3,$K$2=Data!$A$2),SUMIFS(Proventos!$H:$H,Proventos!$D:$D,"&gt;="&amp;CONCATENATE($G$6,"/",B101),Proventos!$D:$D,"&lt;"&amp;CONCATENATE($H$6,"/",B101),Proventos!$J:$J,"="&amp;$H$2),
AND($H$2=Data!$A$4,$K$2=Data!$A$2),SUMIFS(Proventos!$H:$H,Proventos!$D:$D,"&gt;="&amp;CONCATENATE($G$6,"/",B101),Proventos!$D:$D,"&lt;"&amp;CONCATENATE($H$6,"/",B101),Proventos!$J:$J,"="&amp;$H$2),
AND($H$2=Data!$A$5,$K$2=Data!$A$2),SUMIFS(Proventos!$H:$H,Proventos!$D:$D,"&gt;="&amp;CONCATENATE($G$6,"/",B101),Proventos!$D:$D,"&lt;"&amp;CONCATENATE($H$6,"/",B101),Proventos!$J:$J,"="&amp;$H$2),
AND($H$2=Data!$A$6,$K$2=Data!$A$2),SUMIFS(Proventos!$H:$H,Proventos!$D:$D,"&gt;="&amp;CONCATENATE($G$6,"/",B101),Proventos!$D:$D,"&lt;"&amp;CONCATENATE($H$6,"/",B101),Proventos!$J:$J,"="&amp;$H$2),
AND($H$2=Data!$A$7,$K$2=Data!$A$2),SUMIFS(Proventos!$H:$H,Proventos!$D:$D,"&gt;="&amp;CONCATENATE($G$6,"/",B101),Proventos!$D:$D,"&lt;"&amp;CONCATENATE($H$6,"/",B101),Proventos!$J:$J,"="&amp;$H$2),
AND($H$2=Data!$A$8,$K$2=Data!$A$2),SUMIFS(Proventos!$H:$H,Proventos!$D:$D,"&gt;="&amp;CONCATENATE($G$6,"/",B101),Proventos!$D:$D,"&lt;"&amp;CONCATENATE($H$6,"/",B101),Proventos!$J:$J,"="&amp;$H$2),
AND($H$2=Data!$A$9,$K$2=Data!$A$2),SUMIFS(Proventos!$H:$H,Proventos!$D:$D,"&gt;="&amp;CONCATENATE($G$6,"/",B101),Proventos!$D:$D,"&lt;"&amp;CONCATENATE($H$6,"/",B101),Proventos!$J:$J,"="&amp;$H$2),
AND($H$2=Data!$A$10,$K$2=Data!$A$2),SUMIFS(Proventos!$H:$H,Proventos!$D:$D,"&gt;="&amp;CONCATENATE($G$6,"/",B101),Proventos!$D:$D,"&lt;"&amp;CONCATENATE($H$6,"/",B101),Proventos!$J:$J,"="&amp;$H$2),
AND($H$2=Data!$A$11,$K$2=Data!$A$2),SUMIFS(Proventos!$H:$H,Proventos!$D:$D,"&gt;="&amp;CONCATENATE($G$6,"/",B101),Proventos!$D:$D,"&lt;"&amp;CONCATENATE($H$6,"/",B101),Proventos!$J:$J,"="&amp;$H$2),
$K$2=Data!$A$2,SUMIFS(Proventos!$H:$H,Proventos!$D:$D,"&gt;="&amp;CONCATENATE($G$6,"/",B101),Proventos!$D:$D,"&lt;"&amp;CONCATENATE($H$6,"/",B101)),
$K$2&lt;&gt;Data!$A$2,SUMIFS(Proventos!$H:$H,Proventos!$D:$D,"&gt;="&amp;CONCATENATE($G$6,"/",B101),Proventos!$D:$D,"&lt;"&amp;CONCATENATE($H$6,"/",B101),Proventos!$A:$A,"="&amp;$K$2))</f>
        <v>0</v>
      </c>
      <c r="H101" s="245">
        <f>IFS(
AND($H$2=Data!$A$3,$K$2=Data!$A$2),SUMIFS(Proventos!$H:$H,Proventos!$D:$D,"&gt;="&amp;CONCATENATE($H$6,"/",B101),Proventos!$D:$D,"&lt;"&amp;CONCATENATE($I$6,"/",B101),Proventos!$J:$J,"="&amp;$H$2),
AND($H$2=Data!$A$4,$K$2=Data!$A$2),SUMIFS(Proventos!$H:$H,Proventos!$D:$D,"&gt;="&amp;CONCATENATE($H$6,"/",B101),Proventos!$D:$D,"&lt;"&amp;CONCATENATE($I$6,"/",B101),Proventos!$J:$J,"="&amp;$H$2),
AND($H$2=Data!$A$5,$K$2=Data!$A$2),SUMIFS(Proventos!$H:$H,Proventos!$D:$D,"&gt;="&amp;CONCATENATE($H$6,"/",B101),Proventos!$D:$D,"&lt;"&amp;CONCATENATE($I$6,"/",B101),Proventos!$J:$J,"="&amp;$H$2),
AND($H$2=Data!$A$6,$K$2=Data!$A$2),SUMIFS(Proventos!$H:$H,Proventos!$D:$D,"&gt;="&amp;CONCATENATE($H$6,"/",B101),Proventos!$D:$D,"&lt;"&amp;CONCATENATE($I$6,"/",B101),Proventos!$J:$J,"="&amp;$H$2),
AND($H$2=Data!$A$7,$K$2=Data!$A$2),SUMIFS(Proventos!$H:$H,Proventos!$D:$D,"&gt;="&amp;CONCATENATE($H$6,"/",B101),Proventos!$D:$D,"&lt;"&amp;CONCATENATE($I$6,"/",B101),Proventos!$J:$J,"="&amp;$H$2),
AND($H$2=Data!$A$8,$K$2=Data!$A$2),SUMIFS(Proventos!$H:$H,Proventos!$D:$D,"&gt;="&amp;CONCATENATE($H$6,"/",B101),Proventos!$D:$D,"&lt;"&amp;CONCATENATE($I$6,"/",B101),Proventos!$J:$J,"="&amp;$H$2),
AND($H$2=Data!$A$9,$K$2=Data!$A$2),SUMIFS(Proventos!$H:$H,Proventos!$D:$D,"&gt;="&amp;CONCATENATE($H$6,"/",B101),Proventos!$D:$D,"&lt;"&amp;CONCATENATE($I$6,"/",B101),Proventos!$J:$J,"="&amp;$H$2),
AND($H$2=Data!$A$10,$K$2=Data!$A$2),SUMIFS(Proventos!$H:$H,Proventos!$D:$D,"&gt;="&amp;CONCATENATE($H$6,"/",B101),Proventos!$D:$D,"&lt;"&amp;CONCATENATE($I$6,"/",B101),Proventos!$J:$J,"="&amp;$H$2),
AND($H$2=Data!$A$11,$K$2=Data!$A$2),SUMIFS(Proventos!$H:$H,Proventos!$D:$D,"&gt;="&amp;CONCATENATE($H$6,"/",B101),Proventos!$D:$D,"&lt;"&amp;CONCATENATE($I$6,"/",B101),Proventos!$J:$J,"="&amp;$H$2),
$K$2=Data!$A$2,SUMIFS(Proventos!$H:$H,Proventos!$D:$D,"&gt;="&amp;CONCATENATE($H$6,"/",B101),Proventos!$D:$D,"&lt;"&amp;CONCATENATE($I$6,"/",B101)),
$K$2&lt;&gt;Data!$A$2,SUMIFS(Proventos!$H:$H,Proventos!$D:$D,"&gt;="&amp;CONCATENATE($H$6,"/",B101),Proventos!$D:$D,"&lt;"&amp;CONCATENATE($I$6,"/",B101),Proventos!$A:$A,"="&amp;$K$2))</f>
        <v>0</v>
      </c>
      <c r="I101" s="245">
        <f>IFS(
AND($H$2=Data!$A$3,$K$2=Data!$A$2),SUMIFS(Proventos!$H:$H,Proventos!$D:$D,"&gt;="&amp;CONCATENATE($I$6,"/",B101),Proventos!$D:$D,"&lt;"&amp;CONCATENATE($J$6,"/",B101),Proventos!$J:$J,"="&amp;$H$2),
AND($H$2=Data!$A$4,$K$2=Data!$A$2),SUMIFS(Proventos!$H:$H,Proventos!$D:$D,"&gt;="&amp;CONCATENATE($I$6,"/",B101),Proventos!$D:$D,"&lt;"&amp;CONCATENATE($J$6,"/",B101),Proventos!$J:$J,"="&amp;$H$2),
AND($H$2=Data!$A$5,$K$2=Data!$A$2),SUMIFS(Proventos!$H:$H,Proventos!$D:$D,"&gt;="&amp;CONCATENATE($I$6,"/",B101),Proventos!$D:$D,"&lt;"&amp;CONCATENATE($J$6,"/",B101),Proventos!$J:$J,"="&amp;$H$2),
AND($H$2=Data!$A$6,$K$2=Data!$A$2),SUMIFS(Proventos!$H:$H,Proventos!$D:$D,"&gt;="&amp;CONCATENATE($I$6,"/",B101),Proventos!$D:$D,"&lt;"&amp;CONCATENATE($J$6,"/",B101),Proventos!$J:$J,"="&amp;$H$2),
AND($H$2=Data!$A$7,$K$2=Data!$A$2),SUMIFS(Proventos!$H:$H,Proventos!$D:$D,"&gt;="&amp;CONCATENATE($I$6,"/",B101),Proventos!$D:$D,"&lt;"&amp;CONCATENATE($J$6,"/",B101),Proventos!$J:$J,"="&amp;$H$2),
AND($H$2=Data!$A$8,$K$2=Data!$A$2),SUMIFS(Proventos!$H:$H,Proventos!$D:$D,"&gt;="&amp;CONCATENATE($I$6,"/",B101),Proventos!$D:$D,"&lt;"&amp;CONCATENATE($J$6,"/",B101),Proventos!$J:$J,"="&amp;$H$2),
AND($H$2=Data!$A$9,$K$2=Data!$A$2),SUMIFS(Proventos!$H:$H,Proventos!$D:$D,"&gt;="&amp;CONCATENATE($I$6,"/",B101),Proventos!$D:$D,"&lt;"&amp;CONCATENATE($J$6,"/",B101),Proventos!$J:$J,"="&amp;$H$2),
AND($H$2=Data!$A$10,$K$2=Data!$A$2),SUMIFS(Proventos!$H:$H,Proventos!$D:$D,"&gt;="&amp;CONCATENATE($I$6,"/",B101),Proventos!$D:$D,"&lt;"&amp;CONCATENATE($J$6,"/",B101),Proventos!$J:$J,"="&amp;$H$2),
AND($H$2=Data!$A$11,$K$2=Data!$A$2),SUMIFS(Proventos!$H:$H,Proventos!$D:$D,"&gt;="&amp;CONCATENATE($I$6,"/",B101),Proventos!$D:$D,"&lt;"&amp;CONCATENATE($J$6,"/",B101),Proventos!$J:$J,"="&amp;$H$2),
$K$2=Data!$A$2,SUMIFS(Proventos!$H:$H,Proventos!$D:$D,"&gt;="&amp;CONCATENATE($I$6,"/",B101),Proventos!$D:$D,"&lt;"&amp;CONCATENATE($J$6,"/",B101)),
$K$2&lt;&gt;Data!$A$2,SUMIFS(Proventos!$H:$H,Proventos!$D:$D,"&gt;="&amp;CONCATENATE($I$6,"/",B101),Proventos!$D:$D,"&lt;"&amp;CONCATENATE($J$6,"/",B101),Proventos!$A:$A,"="&amp;$K$2))</f>
        <v>0</v>
      </c>
      <c r="J101" s="245">
        <f>IFS(
AND($H$2=Data!$A$3,$K$2=Data!$A$2),SUMIFS(Proventos!$H:$H,Proventos!$D:$D,"&gt;="&amp;CONCATENATE($J$6,"/",B101),Proventos!$D:$D,"&lt;"&amp;CONCATENATE($K$6,"/",B101),Proventos!$J:$J,"="&amp;$H$2),
AND($H$2=Data!$A$4,$K$2=Data!$A$2),SUMIFS(Proventos!$H:$H,Proventos!$D:$D,"&gt;="&amp;CONCATENATE($J$6,"/",B101),Proventos!$D:$D,"&lt;"&amp;CONCATENATE($K$6,"/",B101),Proventos!$J:$J,"="&amp;$H$2),
AND($H$2=Data!$A$5,$K$2=Data!$A$2),SUMIFS(Proventos!$H:$H,Proventos!$D:$D,"&gt;="&amp;CONCATENATE($J$6,"/",B101),Proventos!$D:$D,"&lt;"&amp;CONCATENATE($K$6,"/",B101),Proventos!$J:$J,"="&amp;$H$2),
AND($H$2=Data!$A$6,$K$2=Data!$A$2),SUMIFS(Proventos!$H:$H,Proventos!$D:$D,"&gt;="&amp;CONCATENATE($J$6,"/",B101),Proventos!$D:$D,"&lt;"&amp;CONCATENATE($K$6,"/",B101),Proventos!$J:$J,"="&amp;$H$2),
AND($H$2=Data!$A$7,$K$2=Data!$A$2),SUMIFS(Proventos!$H:$H,Proventos!$D:$D,"&gt;="&amp;CONCATENATE($J$6,"/",B101),Proventos!$D:$D,"&lt;"&amp;CONCATENATE($K$6,"/",B101),Proventos!$J:$J,"="&amp;$H$2),
AND($H$2=Data!$A$8,$K$2=Data!$A$2),SUMIFS(Proventos!$H:$H,Proventos!$D:$D,"&gt;="&amp;CONCATENATE($J$6,"/",B101),Proventos!$D:$D,"&lt;"&amp;CONCATENATE($K$6,"/",B101),Proventos!$J:$J,"="&amp;$H$2),
AND($H$2=Data!$A$9,$K$2=Data!$A$2),SUMIFS(Proventos!$H:$H,Proventos!$D:$D,"&gt;="&amp;CONCATENATE($J$6,"/",B101),Proventos!$D:$D,"&lt;"&amp;CONCATENATE($K$6,"/",B101),Proventos!$J:$J,"="&amp;$H$2),
AND($H$2=Data!$A$10,$K$2=Data!$A$2),SUMIFS(Proventos!$H:$H,Proventos!$D:$D,"&gt;="&amp;CONCATENATE($J$6,"/",B101),Proventos!$D:$D,"&lt;"&amp;CONCATENATE($K$6,"/",B101),Proventos!$J:$J,"="&amp;$H$2),
AND($H$2=Data!$A$11,$K$2=Data!$A$2),SUMIFS(Proventos!$H:$H,Proventos!$D:$D,"&gt;="&amp;CONCATENATE($J$6,"/",B101),Proventos!$D:$D,"&lt;"&amp;CONCATENATE($K$6,"/",B101),Proventos!$J:$J,"="&amp;$H$2),
$K$2=Data!$A$2,SUMIFS(Proventos!$H:$H,Proventos!$D:$D,"&gt;="&amp;CONCATENATE($J$6,"/",B101),Proventos!$D:$D,"&lt;"&amp;CONCATENATE($K$6,"/",B101)),
$K$2&lt;&gt;Data!$A$2,SUMIFS(Proventos!$H:$H,Proventos!$D:$D,"&gt;="&amp;CONCATENATE($J$6,"/",B101),Proventos!$D:$D,"&lt;"&amp;CONCATENATE($K$6,"/",B101),Proventos!$A:$A,"="&amp;$K$2))</f>
        <v>0</v>
      </c>
      <c r="K101" s="245">
        <f>IFS(
AND($H$2=Data!$A$3,$K$2=Data!$A$2),SUMIFS(Proventos!$H:$H,Proventos!$D:$D,"&gt;="&amp;CONCATENATE($K$6,"/",B101),Proventos!$D:$D,"&lt;"&amp;CONCATENATE($L$6,"/",B101),Proventos!$J:$J,"="&amp;$H$2),
AND($H$2=Data!$A$4,$K$2=Data!$A$2),SUMIFS(Proventos!$H:$H,Proventos!$D:$D,"&gt;="&amp;CONCATENATE($K$6,"/",B101),Proventos!$D:$D,"&lt;"&amp;CONCATENATE($L$6,"/",B101),Proventos!$J:$J,"="&amp;$H$2),
AND($H$2=Data!$A$5,$K$2=Data!$A$2),SUMIFS(Proventos!$H:$H,Proventos!$D:$D,"&gt;="&amp;CONCATENATE($K$6,"/",B101),Proventos!$D:$D,"&lt;"&amp;CONCATENATE($L$6,"/",B101),Proventos!$J:$J,"="&amp;$H$2),
AND($H$2=Data!$A$6,$K$2=Data!$A$2),SUMIFS(Proventos!$H:$H,Proventos!$D:$D,"&gt;="&amp;CONCATENATE($K$6,"/",B101),Proventos!$D:$D,"&lt;"&amp;CONCATENATE($L$6,"/",B101),Proventos!$J:$J,"="&amp;$H$2),
AND($H$2=Data!$A$7,$K$2=Data!$A$2),SUMIFS(Proventos!$H:$H,Proventos!$D:$D,"&gt;="&amp;CONCATENATE($K$6,"/",B101),Proventos!$D:$D,"&lt;"&amp;CONCATENATE($L$6,"/",B101),Proventos!$J:$J,"="&amp;$H$2),
AND($H$2=Data!$A$8,$K$2=Data!$A$2),SUMIFS(Proventos!$H:$H,Proventos!$D:$D,"&gt;="&amp;CONCATENATE($K$6,"/",B101),Proventos!$D:$D,"&lt;"&amp;CONCATENATE($L$6,"/",B101),Proventos!$J:$J,"="&amp;$H$2),
AND($H$2=Data!$A$9,$K$2=Data!$A$2),SUMIFS(Proventos!$H:$H,Proventos!$D:$D,"&gt;="&amp;CONCATENATE($K$6,"/",B101),Proventos!$D:$D,"&lt;"&amp;CONCATENATE($L$6,"/",B101),Proventos!$J:$J,"="&amp;$H$2),
AND($H$2=Data!$A$10,$K$2=Data!$A$2),SUMIFS(Proventos!$H:$H,Proventos!$D:$D,"&gt;="&amp;CONCATENATE($K$6,"/",B101),Proventos!$D:$D,"&lt;"&amp;CONCATENATE($L$6,"/",B101),Proventos!$J:$J,"="&amp;$H$2),
AND($H$2=Data!$A$11,$K$2=Data!$A$2),SUMIFS(Proventos!$H:$H,Proventos!$D:$D,"&gt;="&amp;CONCATENATE($K$6,"/",B101),Proventos!$D:$D,"&lt;"&amp;CONCATENATE($L$6,"/",B101),Proventos!$J:$J,"="&amp;$H$2),
$K$2=Data!$A$2,SUMIFS(Proventos!$H:$H,Proventos!$D:$D,"&gt;="&amp;CONCATENATE($K$6,"/",B101),Proventos!$D:$D,"&lt;"&amp;CONCATENATE($L$6,"/",B101)),
$K$2&lt;&gt;Data!$A$2,SUMIFS(Proventos!$H:$H,Proventos!$D:$D,"&gt;="&amp;CONCATENATE($K$6,"/",B101),Proventos!$D:$D,"&lt;"&amp;CONCATENATE($L$6,"/",B101),Proventos!$A:$A,"="&amp;$K$2))</f>
        <v>0</v>
      </c>
      <c r="L101" s="245">
        <f>IFS(
AND($H$2=Data!$A$3,$K$2=Data!$A$2),SUMIFS(Proventos!$H:$H,Proventos!$D:$D,"&gt;="&amp;CONCATENATE($L$6,"/",B101),Proventos!$D:$D,"&lt;"&amp;CONCATENATE($M$6,"/",B101),Proventos!$J:$J,"="&amp;$H$2),
AND($H$2=Data!$A$4,$K$2=Data!$A$2),SUMIFS(Proventos!$H:$H,Proventos!$D:$D,"&gt;="&amp;CONCATENATE($L$6,"/",B101),Proventos!$D:$D,"&lt;"&amp;CONCATENATE($M$6,"/",B101),Proventos!$J:$J,"="&amp;$H$2),
AND($H$2=Data!$A$5,$K$2=Data!$A$2),SUMIFS(Proventos!$H:$H,Proventos!$D:$D,"&gt;="&amp;CONCATENATE($L$6,"/",B101),Proventos!$D:$D,"&lt;"&amp;CONCATENATE($M$6,"/",B101),Proventos!$J:$J,"="&amp;$H$2),
AND($H$2=Data!$A$6,$K$2=Data!$A$2),SUMIFS(Proventos!$H:$H,Proventos!$D:$D,"&gt;="&amp;CONCATENATE($L$6,"/",B101),Proventos!$D:$D,"&lt;"&amp;CONCATENATE($M$6,"/",B101),Proventos!$J:$J,"="&amp;$H$2),
AND($H$2=Data!$A$7,$K$2=Data!$A$2),SUMIFS(Proventos!$H:$H,Proventos!$D:$D,"&gt;="&amp;CONCATENATE($L$6,"/",B101),Proventos!$D:$D,"&lt;"&amp;CONCATENATE($M$6,"/",B101),Proventos!$J:$J,"="&amp;$H$2),
AND($H$2=Data!$A$8,$K$2=Data!$A$2),SUMIFS(Proventos!$H:$H,Proventos!$D:$D,"&gt;="&amp;CONCATENATE($L$6,"/",B101),Proventos!$D:$D,"&lt;"&amp;CONCATENATE($M$6,"/",B101),Proventos!$J:$J,"="&amp;$H$2),
AND($H$2=Data!$A$9,$K$2=Data!$A$2),SUMIFS(Proventos!$H:$H,Proventos!$D:$D,"&gt;="&amp;CONCATENATE($L$6,"/",B101),Proventos!$D:$D,"&lt;"&amp;CONCATENATE($M$6,"/",B101),Proventos!$J:$J,"="&amp;$H$2),
AND($H$2=Data!$A$10,$K$2=Data!$A$2),SUMIFS(Proventos!$H:$H,Proventos!$D:$D,"&gt;="&amp;CONCATENATE($L$6,"/",B101),Proventos!$D:$D,"&lt;"&amp;CONCATENATE($M$6,"/",B101),Proventos!$J:$J,"="&amp;$H$2),
AND($H$2=Data!$A$11,$K$2=Data!$A$2),SUMIFS(Proventos!$H:$H,Proventos!$D:$D,"&gt;="&amp;CONCATENATE($L$6,"/",B101),Proventos!$D:$D,"&lt;"&amp;CONCATENATE($M$6,"/",B101),Proventos!$J:$J,"="&amp;$H$2),
$K$2=Data!$A$2,SUMIFS(Proventos!$H:$H,Proventos!$D:$D,"&gt;="&amp;CONCATENATE($L$6,"/",B101),Proventos!$D:$D,"&lt;"&amp;CONCATENATE($M$6,"/",B101)),
$K$2&lt;&gt;Data!$A$2,SUMIFS(Proventos!$H:$H,Proventos!$D:$D,"&gt;="&amp;CONCATENATE($L$6,"/",B101),Proventos!$D:$D,"&lt;"&amp;CONCATENATE($M$6,"/",B101),Proventos!$A:$A,"="&amp;$K$2))</f>
        <v>0</v>
      </c>
      <c r="M101" s="245">
        <f>IFS(
AND($H$2=Data!$A$3,$K$2=Data!$A$2),SUMIFS(Proventos!$H:$H,Proventos!$D:$D,"&gt;="&amp;CONCATENATE($M$6,"/",B101),Proventos!$D:$D,"&lt;"&amp;CONCATENATE($N$6,"/",B101),Proventos!$J:$J,"="&amp;$H$2),
AND($H$2=Data!$A$4,$K$2=Data!$A$2),SUMIFS(Proventos!$H:$H,Proventos!$D:$D,"&gt;="&amp;CONCATENATE($M$6,"/",B101),Proventos!$D:$D,"&lt;"&amp;CONCATENATE($N$6,"/",B101),Proventos!$J:$J,"="&amp;$H$2),
AND($H$2=Data!$A$5,$K$2=Data!$A$2),SUMIFS(Proventos!$H:$H,Proventos!$D:$D,"&gt;="&amp;CONCATENATE($M$6,"/",B101),Proventos!$D:$D,"&lt;"&amp;CONCATENATE($N$6,"/",B101),Proventos!$J:$J,"="&amp;$H$2),
AND($H$2=Data!$A$6,$K$2=Data!$A$2),SUMIFS(Proventos!$H:$H,Proventos!$D:$D,"&gt;="&amp;CONCATENATE($M$6,"/",B101),Proventos!$D:$D,"&lt;"&amp;CONCATENATE($N$6,"/",B101),Proventos!$J:$J,"="&amp;$H$2),
AND($H$2=Data!$A$7,$K$2=Data!$A$2),SUMIFS(Proventos!$H:$H,Proventos!$D:$D,"&gt;="&amp;CONCATENATE($M$6,"/",B101),Proventos!$D:$D,"&lt;"&amp;CONCATENATE($N$6,"/",B101),Proventos!$J:$J,"="&amp;$H$2),
AND($H$2=Data!$A$8,$K$2=Data!$A$2),SUMIFS(Proventos!$H:$H,Proventos!$D:$D,"&gt;="&amp;CONCATENATE($M$6,"/",B101),Proventos!$D:$D,"&lt;"&amp;CONCATENATE($N$6,"/",B101),Proventos!$J:$J,"="&amp;$H$2),
AND($H$2=Data!$A$9,$K$2=Data!$A$2),SUMIFS(Proventos!$H:$H,Proventos!$D:$D,"&gt;="&amp;CONCATENATE($M$6,"/",B101),Proventos!$D:$D,"&lt;"&amp;CONCATENATE($N$6,"/",B101),Proventos!$J:$J,"="&amp;$H$2),
AND($H$2=Data!$A$10,$K$2=Data!$A$2),SUMIFS(Proventos!$H:$H,Proventos!$D:$D,"&gt;="&amp;CONCATENATE($M$6,"/",B101),Proventos!$D:$D,"&lt;"&amp;CONCATENATE($N$6,"/",B101),Proventos!$J:$J,"="&amp;$H$2),
AND($H$2=Data!$A$11,$K$2=Data!$A$2),SUMIFS(Proventos!$H:$H,Proventos!$D:$D,"&gt;="&amp;CONCATENATE($M$6,"/",B101),Proventos!$D:$D,"&lt;"&amp;CONCATENATE($N$6,"/",B101),Proventos!$J:$J,"="&amp;$H$2),
$K$2=Data!$A$2,SUMIFS(Proventos!$H:$H,Proventos!$D:$D,"&gt;="&amp;CONCATENATE($M$6,"/",B101),Proventos!$D:$D,"&lt;"&amp;CONCATENATE($N$6,"/",B101)),
$K$2&lt;&gt;Data!$A$2,SUMIFS(Proventos!$H:$H,Proventos!$D:$D,"&gt;="&amp;CONCATENATE($M$6,"/",B101),Proventos!$D:$D,"&lt;"&amp;CONCATENATE($N$6,"/",B101),Proventos!$A:$A,"="&amp;$K$2))</f>
        <v>0</v>
      </c>
      <c r="N101" s="245">
        <f>IFS(
AND($H$2=Data!$A$3,$K$2=Data!$A$2),SUMIFS(Proventos!$H:$H,Proventos!$D:$D,"&gt;="&amp;CONCATENATE($N$6,"/",B101),Proventos!$D:$D,"&lt;"&amp;CONCATENATE($C$6,"/",B102),Proventos!$J:$J,"="&amp;$H$2),
AND($H$2=Data!$A$4,$K$2=Data!$A$2),SUMIFS(Proventos!$H:$H,Proventos!$D:$D,"&gt;="&amp;CONCATENATE($N$6,"/",B101),Proventos!$D:$D,"&lt;"&amp;CONCATENATE($C$6,"/",B102),Proventos!$J:$J,"="&amp;$H$2),
AND($H$2=Data!$A$5,$K$2=Data!$A$2),SUMIFS(Proventos!$H:$H,Proventos!$D:$D,"&gt;="&amp;CONCATENATE($N$6,"/",B101),Proventos!$D:$D,"&lt;"&amp;CONCATENATE($C$6,"/",B102),Proventos!$J:$J,"="&amp;$H$2),
AND($H$2=Data!$A$6,$K$2=Data!$A$2),SUMIFS(Proventos!$H:$H,Proventos!$D:$D,"&gt;="&amp;CONCATENATE($N$6,"/",B101),Proventos!$D:$D,"&lt;"&amp;CONCATENATE($C$6,"/",B102),Proventos!$J:$J,"="&amp;$H$2),
AND($H$2=Data!$A$7,$K$2=Data!$A$2),SUMIFS(Proventos!$H:$H,Proventos!$D:$D,"&gt;="&amp;CONCATENATE($N$6,"/",B101),Proventos!$D:$D,"&lt;"&amp;CONCATENATE($C$6,"/",B102),Proventos!$J:$J,"="&amp;$H$2),
AND($H$2=Data!$A$8,$K$2=Data!$A$2),SUMIFS(Proventos!$H:$H,Proventos!$D:$D,"&gt;="&amp;CONCATENATE($N$6,"/",B101),Proventos!$D:$D,"&lt;"&amp;CONCATENATE($C$6,"/",B102),Proventos!$J:$J,"="&amp;$H$2),
AND($H$2=Data!$A$9,$K$2=Data!$A$2),SUMIFS(Proventos!$H:$H,Proventos!$D:$D,"&gt;="&amp;CONCATENATE($N$6,"/",B101),Proventos!$D:$D,"&lt;"&amp;CONCATENATE($C$6,"/",B102),Proventos!$J:$J,"="&amp;$H$2),
AND($H$2=Data!$A$10,$K$2=Data!$A$2),SUMIFS(Proventos!$H:$H,Proventos!$D:$D,"&gt;="&amp;CONCATENATE($N$6,"/",B101),Proventos!$D:$D,"&lt;"&amp;CONCATENATE($C$6,"/",B102),Proventos!$J:$J,"="&amp;$H$2),
AND($H$2=Data!$A$11,$K$2=Data!$A$2),SUMIFS(Proventos!$H:$H,Proventos!$D:$D,"&gt;="&amp;CONCATENATE($N$6,"/",B101),Proventos!$D:$D,"&lt;"&amp;CONCATENATE($C$6,"/",B102),Proventos!$J:$J,"="&amp;$H$2),
$K$2=Data!$A$2,SUMIFS(Proventos!$H:$H,Proventos!$D:$D,"&gt;="&amp;CONCATENATE($N$6,"/",B101),Proventos!$D:$D,"&lt;"&amp;CONCATENATE($C$6,"/",B102)),
$K$2&lt;&gt;Data!$A$2,SUMIFS(Proventos!$H:$H,Proventos!$D:$D,"&gt;="&amp;CONCATENATE($N$6,"/",B101),Proventos!$D:$D,"&lt;"&amp;CONCATENATE($C$6,"/",B102),Proventos!$A:$A,"="&amp;$K$2))</f>
        <v>0</v>
      </c>
      <c r="O101" s="245"/>
      <c r="P101" s="245">
        <f t="shared" si="1"/>
        <v>0</v>
      </c>
      <c r="Q101" s="245">
        <f t="shared" si="2"/>
        <v>0</v>
      </c>
    </row>
    <row r="102" ht="32.25" customHeight="1">
      <c r="A102" s="230"/>
      <c r="B102" s="244"/>
      <c r="C102" s="245">
        <f>IFS(
AND($H$2=Data!$A$3,$K$2=Data!$A$2),SUMIFS(Proventos!$H:$H,Proventos!$D:$D,"&gt;="&amp;CONCATENATE($C$6,"/",B102),Proventos!$D:$D,"&lt;"&amp;CONCATENATE($D$6,"/",B102),Proventos!$J:$J,"="&amp;$H$2),
AND($H$2=Data!$A$4,$K$2=Data!$A$2),SUMIFS(Proventos!$H:$H,Proventos!$D:$D,"&gt;="&amp;CONCATENATE($C$6,"/",B102),Proventos!$D:$D,"&lt;"&amp;CONCATENATE($D$6,"/",B102),Proventos!$J:$J,"="&amp;$H$2),
AND($H$2=Data!$A$5,$K$2=Data!$A$2),SUMIFS(Proventos!$H:$H,Proventos!$D:$D,"&gt;="&amp;CONCATENATE($C$6,"/",B102),Proventos!$D:$D,"&lt;"&amp;CONCATENATE($D$6,"/",B102),Proventos!$J:$J,"="&amp;$H$2),
AND($H$2=Data!$A$6,$K$2=Data!$A$2),SUMIFS(Proventos!$H:$H,Proventos!$D:$D,"&gt;="&amp;CONCATENATE($C$6,"/",B102),Proventos!$D:$D,"&lt;"&amp;CONCATENATE($D$6,"/",B102),Proventos!$J:$J,"="&amp;$H$2),
AND($H$2=Data!$A$7,$K$2=Data!$A$2),SUMIFS(Proventos!$H:$H,Proventos!$D:$D,"&gt;="&amp;CONCATENATE($C$6,"/",B102),Proventos!$D:$D,"&lt;"&amp;CONCATENATE($D$6,"/",B102),Proventos!$J:$J,"="&amp;$H$2),
AND($H$2=Data!$A$8,$K$2=Data!$A$2),SUMIFS(Proventos!$H:$H,Proventos!$D:$D,"&gt;="&amp;CONCATENATE($C$6,"/",B102),Proventos!$D:$D,"&lt;"&amp;CONCATENATE($D$6,"/",B102),Proventos!$J:$J,"="&amp;$H$2),
AND($H$2=Data!$A$9,$K$2=Data!$A$2),SUMIFS(Proventos!$H:$H,Proventos!$D:$D,"&gt;="&amp;CONCATENATE($C$6,"/",B102),Proventos!$D:$D,"&lt;"&amp;CONCATENATE($D$6,"/",B102),Proventos!$J:$J,"="&amp;$H$2),
AND($H$2=Data!$A$10,$K$2=Data!$A$2),SUMIFS(Proventos!$H:$H,Proventos!$D:$D,"&gt;="&amp;CONCATENATE($C$6,"/",B102),Proventos!$D:$D,"&lt;"&amp;CONCATENATE($D$6,"/",B102),Proventos!$J:$J,"="&amp;$H$2),
AND($H$2=Data!$A$11,$K$2=Data!$A$2),SUMIFS(Proventos!$H:$H,Proventos!$D:$D,"&gt;="&amp;CONCATENATE($C$6,"/",B102),Proventos!$D:$D,"&lt;"&amp;CONCATENATE($D$6,"/",B102),Proventos!$J:$J,"="&amp;$H$2),
$K$2=Data!$A$2,SUMIFS(Proventos!$H:$H,Proventos!$D:$D,"&gt;="&amp;CONCATENATE($C$6,"/",B102),Proventos!$D:$D,"&lt;"&amp;CONCATENATE($D$6,"/",B102)),
$K$2&lt;&gt;Data!$A$2,SUMIFS(Proventos!$H:$H,Proventos!$D:$D,"&gt;="&amp;CONCATENATE($C$6,"/",B102),Proventos!$D:$D,"&lt;"&amp;CONCATENATE($D$6,"/",B102),Proventos!$A:$A,"="&amp;$K$2))</f>
        <v>0</v>
      </c>
      <c r="D102" s="245">
        <f>IFS(
AND($H$2=Data!$A$3,$K$2=Data!$A$2),SUMIFS(Proventos!$H:$H,Proventos!$D:$D,"&gt;="&amp;CONCATENATE($D$6,"/",B102),Proventos!$D:$D,"&lt;"&amp;CONCATENATE($E$6,"/",B102),Proventos!$J:$J,"="&amp;$H$2),
AND($H$2=Data!$A$4,$K$2=Data!$A$2),SUMIFS(Proventos!$H:$H,Proventos!$D:$D,"&gt;="&amp;CONCATENATE($D$6,"/",B102),Proventos!$D:$D,"&lt;"&amp;CONCATENATE($E$6,"/",B102),Proventos!$J:$J,"="&amp;$H$2),
AND($H$2=Data!$A$5,$K$2=Data!$A$2),SUMIFS(Proventos!$H:$H,Proventos!$D:$D,"&gt;="&amp;CONCATENATE($D$6,"/",B102),Proventos!$D:$D,"&lt;"&amp;CONCATENATE($E$6,"/",B102),Proventos!$J:$J,"="&amp;$H$2),
AND($H$2=Data!$A$6,$K$2=Data!$A$2),SUMIFS(Proventos!$H:$H,Proventos!$D:$D,"&gt;="&amp;CONCATENATE($D$6,"/",B102),Proventos!$D:$D,"&lt;"&amp;CONCATENATE($E$6,"/",B102),Proventos!$J:$J,"="&amp;$H$2),
AND($H$2=Data!$A$7,$K$2=Data!$A$2),SUMIFS(Proventos!$H:$H,Proventos!$D:$D,"&gt;="&amp;CONCATENATE($D$6,"/",B102),Proventos!$D:$D,"&lt;"&amp;CONCATENATE($E$6,"/",B102),Proventos!$J:$J,"="&amp;$H$2),
AND($H$2=Data!$A$8,$K$2=Data!$A$2),SUMIFS(Proventos!$H:$H,Proventos!$D:$D,"&gt;="&amp;CONCATENATE($D$6,"/",B102),Proventos!$D:$D,"&lt;"&amp;CONCATENATE($E$6,"/",B102),Proventos!$J:$J,"="&amp;$H$2),
AND($H$2=Data!$A$9,$K$2=Data!$A$2),SUMIFS(Proventos!$H:$H,Proventos!$D:$D,"&gt;="&amp;CONCATENATE($D$6,"/",B102),Proventos!$D:$D,"&lt;"&amp;CONCATENATE($E$6,"/",B102),Proventos!$J:$J,"="&amp;$H$2),
AND($H$2=Data!$A$10,$K$2=Data!$A$2),SUMIFS(Proventos!$H:$H,Proventos!$D:$D,"&gt;="&amp;CONCATENATE($D$6,"/",B102),Proventos!$D:$D,"&lt;"&amp;CONCATENATE($E$6,"/",B102),Proventos!$J:$J,"="&amp;$H$2),
AND($H$2=Data!$A$11,$K$2=Data!$A$2),SUMIFS(Proventos!$H:$H,Proventos!$D:$D,"&gt;="&amp;CONCATENATE($D$6,"/",B102),Proventos!$D:$D,"&lt;"&amp;CONCATENATE($E$6,"/",B102),Proventos!$J:$J,"="&amp;$H$2),
$K$2=Data!$A$2,SUMIFS(Proventos!$H:$H,Proventos!$D:$D,"&gt;="&amp;CONCATENATE($D$6,"/",B102),Proventos!$D:$D,"&lt;"&amp;CONCATENATE($E$6,"/",B102)),
$K$2&lt;&gt;Data!$A$2,SUMIFS(Proventos!$H:$H,Proventos!$D:$D,"&gt;="&amp;CONCATENATE($D$6,"/",B102),Proventos!$D:$D,"&lt;"&amp;CONCATENATE($E$6,"/",B102),Proventos!$A:$A,"="&amp;$K$2))</f>
        <v>0</v>
      </c>
      <c r="E102" s="245">
        <f>IFS(
AND($H$2=Data!$A$3,$K$2=Data!$A$2),SUMIFS(Proventos!$H:$H,Proventos!$D:$D,"&gt;="&amp;CONCATENATE($E$6,"/",B102),Proventos!$D:$D,"&lt;"&amp;CONCATENATE($F$6,"/",B102),Proventos!$J:$J,"="&amp;$H$2),
AND($H$2=Data!$A$4,$K$2=Data!$A$2),SUMIFS(Proventos!$H:$H,Proventos!$D:$D,"&gt;="&amp;CONCATENATE($E$6,"/",B102),Proventos!$D:$D,"&lt;"&amp;CONCATENATE($F$6,"/",B102),Proventos!$J:$J,"="&amp;$H$2),
AND($H$2=Data!$A$5,$K$2=Data!$A$2),SUMIFS(Proventos!$H:$H,Proventos!$D:$D,"&gt;="&amp;CONCATENATE($E$6,"/",B102),Proventos!$D:$D,"&lt;"&amp;CONCATENATE($F$6,"/",B102),Proventos!$J:$J,"="&amp;$H$2),
AND($H$2=Data!$A$6,$K$2=Data!$A$2),SUMIFS(Proventos!$H:$H,Proventos!$D:$D,"&gt;="&amp;CONCATENATE($E$6,"/",B102),Proventos!$D:$D,"&lt;"&amp;CONCATENATE($F$6,"/",B102),Proventos!$J:$J,"="&amp;$H$2),
AND($H$2=Data!$A$7,$K$2=Data!$A$2),SUMIFS(Proventos!$H:$H,Proventos!$D:$D,"&gt;="&amp;CONCATENATE($E$6,"/",B102),Proventos!$D:$D,"&lt;"&amp;CONCATENATE($F$6,"/",B102),Proventos!$J:$J,"="&amp;$H$2),
AND($H$2=Data!$A$8,$K$2=Data!$A$2),SUMIFS(Proventos!$H:$H,Proventos!$D:$D,"&gt;="&amp;CONCATENATE($E$6,"/",B102),Proventos!$D:$D,"&lt;"&amp;CONCATENATE($F$6,"/",B102),Proventos!$J:$J,"="&amp;$H$2),
AND($H$2=Data!$A$9,$K$2=Data!$A$2),SUMIFS(Proventos!$H:$H,Proventos!$D:$D,"&gt;="&amp;CONCATENATE($E$6,"/",B102),Proventos!$D:$D,"&lt;"&amp;CONCATENATE($F$6,"/",B102),Proventos!$J:$J,"="&amp;$H$2),
AND($H$2=Data!$A$10,$K$2=Data!$A$2),SUMIFS(Proventos!$H:$H,Proventos!$D:$D,"&gt;="&amp;CONCATENATE($E$6,"/",B102),Proventos!$D:$D,"&lt;"&amp;CONCATENATE($F$6,"/",B102),Proventos!$J:$J,"="&amp;$H$2),
AND($H$2=Data!$A$11,$K$2=Data!$A$2),SUMIFS(Proventos!$H:$H,Proventos!$D:$D,"&gt;="&amp;CONCATENATE($E$6,"/",B102),Proventos!$D:$D,"&lt;"&amp;CONCATENATE($F$6,"/",B102),Proventos!$J:$J,"="&amp;$H$2),
$K$2=Data!$A$2,SUMIFS(Proventos!$H:$H,Proventos!$D:$D,"&gt;="&amp;CONCATENATE($E$6,"/",B102),Proventos!$D:$D,"&lt;"&amp;CONCATENATE($F$6,"/",B102)),
$K$2&lt;&gt;Data!$A$2,SUMIFS(Proventos!$H:$H,Proventos!$D:$D,"&gt;="&amp;CONCATENATE($E$6,"/",B102),Proventos!$D:$D,"&lt;"&amp;CONCATENATE($F$6,"/",B102),Proventos!$A:$A,"="&amp;$K$2))</f>
        <v>0</v>
      </c>
      <c r="F102" s="245">
        <f>IFS(
AND($H$2=Data!$A$3,$K$2=Data!$A$2),SUMIFS(Proventos!$H:$H,Proventos!$D:$D,"&gt;="&amp;CONCATENATE($F$6,"/",B102),Proventos!$D:$D,"&lt;"&amp;CONCATENATE($G$6,"/",B102),Proventos!$J:$J,"="&amp;$H$2),
AND($H$2=Data!$A$4,$K$2=Data!$A$2),SUMIFS(Proventos!$H:$H,Proventos!$D:$D,"&gt;="&amp;CONCATENATE($F$6,"/",B102),Proventos!$D:$D,"&lt;"&amp;CONCATENATE($G$6,"/",B102),Proventos!$J:$J,"="&amp;$H$2),
AND($H$2=Data!$A$5,$K$2=Data!$A$2),SUMIFS(Proventos!$H:$H,Proventos!$D:$D,"&gt;="&amp;CONCATENATE($F$6,"/",B102),Proventos!$D:$D,"&lt;"&amp;CONCATENATE($G$6,"/",B102),Proventos!$J:$J,"="&amp;$H$2),
AND($H$2=Data!$A$6,$K$2=Data!$A$2),SUMIFS(Proventos!$H:$H,Proventos!$D:$D,"&gt;="&amp;CONCATENATE($F$6,"/",B102),Proventos!$D:$D,"&lt;"&amp;CONCATENATE($G$6,"/",B102),Proventos!$J:$J,"="&amp;$H$2),
AND($H$2=Data!$A$7,$K$2=Data!$A$2),SUMIFS(Proventos!$H:$H,Proventos!$D:$D,"&gt;="&amp;CONCATENATE($F$6,"/",B102),Proventos!$D:$D,"&lt;"&amp;CONCATENATE($G$6,"/",B102),Proventos!$J:$J,"="&amp;$H$2),
AND($H$2=Data!$A$8,$K$2=Data!$A$2),SUMIFS(Proventos!$H:$H,Proventos!$D:$D,"&gt;="&amp;CONCATENATE($F$6,"/",B102),Proventos!$D:$D,"&lt;"&amp;CONCATENATE($G$6,"/",B102),Proventos!$J:$J,"="&amp;$H$2),
AND($H$2=Data!$A$9,$K$2=Data!$A$2),SUMIFS(Proventos!$H:$H,Proventos!$D:$D,"&gt;="&amp;CONCATENATE($F$6,"/",B102),Proventos!$D:$D,"&lt;"&amp;CONCATENATE($G$6,"/",B102),Proventos!$J:$J,"="&amp;$H$2),
AND($H$2=Data!$A$10,$K$2=Data!$A$2),SUMIFS(Proventos!$H:$H,Proventos!$D:$D,"&gt;="&amp;CONCATENATE($F$6,"/",B102),Proventos!$D:$D,"&lt;"&amp;CONCATENATE($G$6,"/",B102),Proventos!$J:$J,"="&amp;$H$2),
AND($H$2=Data!$A$11,$K$2=Data!$A$2),SUMIFS(Proventos!$H:$H,Proventos!$D:$D,"&gt;="&amp;CONCATENATE($F$6,"/",B102),Proventos!$D:$D,"&lt;"&amp;CONCATENATE($G$6,"/",B102),Proventos!$J:$J,"="&amp;$H$2),
$K$2=Data!$A$2,SUMIFS(Proventos!$H:$H,Proventos!$D:$D,"&gt;="&amp;CONCATENATE($F$6,"/",B102),Proventos!$D:$D,"&lt;"&amp;CONCATENATE($G$6,"/",B102)),
$K$2&lt;&gt;Data!$A$2,SUMIFS(Proventos!$H:$H,Proventos!$D:$D,"&gt;="&amp;CONCATENATE($F$6,"/",B102),Proventos!$D:$D,"&lt;"&amp;CONCATENATE($G$6,"/",B102),Proventos!$A:$A,"="&amp;$K$2))</f>
        <v>0</v>
      </c>
      <c r="G102" s="245">
        <f>IFS(
AND($H$2=Data!$A$3,$K$2=Data!$A$2),SUMIFS(Proventos!$H:$H,Proventos!$D:$D,"&gt;="&amp;CONCATENATE($G$6,"/",B102),Proventos!$D:$D,"&lt;"&amp;CONCATENATE($H$6,"/",B102),Proventos!$J:$J,"="&amp;$H$2),
AND($H$2=Data!$A$4,$K$2=Data!$A$2),SUMIFS(Proventos!$H:$H,Proventos!$D:$D,"&gt;="&amp;CONCATENATE($G$6,"/",B102),Proventos!$D:$D,"&lt;"&amp;CONCATENATE($H$6,"/",B102),Proventos!$J:$J,"="&amp;$H$2),
AND($H$2=Data!$A$5,$K$2=Data!$A$2),SUMIFS(Proventos!$H:$H,Proventos!$D:$D,"&gt;="&amp;CONCATENATE($G$6,"/",B102),Proventos!$D:$D,"&lt;"&amp;CONCATENATE($H$6,"/",B102),Proventos!$J:$J,"="&amp;$H$2),
AND($H$2=Data!$A$6,$K$2=Data!$A$2),SUMIFS(Proventos!$H:$H,Proventos!$D:$D,"&gt;="&amp;CONCATENATE($G$6,"/",B102),Proventos!$D:$D,"&lt;"&amp;CONCATENATE($H$6,"/",B102),Proventos!$J:$J,"="&amp;$H$2),
AND($H$2=Data!$A$7,$K$2=Data!$A$2),SUMIFS(Proventos!$H:$H,Proventos!$D:$D,"&gt;="&amp;CONCATENATE($G$6,"/",B102),Proventos!$D:$D,"&lt;"&amp;CONCATENATE($H$6,"/",B102),Proventos!$J:$J,"="&amp;$H$2),
AND($H$2=Data!$A$8,$K$2=Data!$A$2),SUMIFS(Proventos!$H:$H,Proventos!$D:$D,"&gt;="&amp;CONCATENATE($G$6,"/",B102),Proventos!$D:$D,"&lt;"&amp;CONCATENATE($H$6,"/",B102),Proventos!$J:$J,"="&amp;$H$2),
AND($H$2=Data!$A$9,$K$2=Data!$A$2),SUMIFS(Proventos!$H:$H,Proventos!$D:$D,"&gt;="&amp;CONCATENATE($G$6,"/",B102),Proventos!$D:$D,"&lt;"&amp;CONCATENATE($H$6,"/",B102),Proventos!$J:$J,"="&amp;$H$2),
AND($H$2=Data!$A$10,$K$2=Data!$A$2),SUMIFS(Proventos!$H:$H,Proventos!$D:$D,"&gt;="&amp;CONCATENATE($G$6,"/",B102),Proventos!$D:$D,"&lt;"&amp;CONCATENATE($H$6,"/",B102),Proventos!$J:$J,"="&amp;$H$2),
AND($H$2=Data!$A$11,$K$2=Data!$A$2),SUMIFS(Proventos!$H:$H,Proventos!$D:$D,"&gt;="&amp;CONCATENATE($G$6,"/",B102),Proventos!$D:$D,"&lt;"&amp;CONCATENATE($H$6,"/",B102),Proventos!$J:$J,"="&amp;$H$2),
$K$2=Data!$A$2,SUMIFS(Proventos!$H:$H,Proventos!$D:$D,"&gt;="&amp;CONCATENATE($G$6,"/",B102),Proventos!$D:$D,"&lt;"&amp;CONCATENATE($H$6,"/",B102)),
$K$2&lt;&gt;Data!$A$2,SUMIFS(Proventos!$H:$H,Proventos!$D:$D,"&gt;="&amp;CONCATENATE($G$6,"/",B102),Proventos!$D:$D,"&lt;"&amp;CONCATENATE($H$6,"/",B102),Proventos!$A:$A,"="&amp;$K$2))</f>
        <v>0</v>
      </c>
      <c r="H102" s="245">
        <f>IFS(
AND($H$2=Data!$A$3,$K$2=Data!$A$2),SUMIFS(Proventos!$H:$H,Proventos!$D:$D,"&gt;="&amp;CONCATENATE($H$6,"/",B102),Proventos!$D:$D,"&lt;"&amp;CONCATENATE($I$6,"/",B102),Proventos!$J:$J,"="&amp;$H$2),
AND($H$2=Data!$A$4,$K$2=Data!$A$2),SUMIFS(Proventos!$H:$H,Proventos!$D:$D,"&gt;="&amp;CONCATENATE($H$6,"/",B102),Proventos!$D:$D,"&lt;"&amp;CONCATENATE($I$6,"/",B102),Proventos!$J:$J,"="&amp;$H$2),
AND($H$2=Data!$A$5,$K$2=Data!$A$2),SUMIFS(Proventos!$H:$H,Proventos!$D:$D,"&gt;="&amp;CONCATENATE($H$6,"/",B102),Proventos!$D:$D,"&lt;"&amp;CONCATENATE($I$6,"/",B102),Proventos!$J:$J,"="&amp;$H$2),
AND($H$2=Data!$A$6,$K$2=Data!$A$2),SUMIFS(Proventos!$H:$H,Proventos!$D:$D,"&gt;="&amp;CONCATENATE($H$6,"/",B102),Proventos!$D:$D,"&lt;"&amp;CONCATENATE($I$6,"/",B102),Proventos!$J:$J,"="&amp;$H$2),
AND($H$2=Data!$A$7,$K$2=Data!$A$2),SUMIFS(Proventos!$H:$H,Proventos!$D:$D,"&gt;="&amp;CONCATENATE($H$6,"/",B102),Proventos!$D:$D,"&lt;"&amp;CONCATENATE($I$6,"/",B102),Proventos!$J:$J,"="&amp;$H$2),
AND($H$2=Data!$A$8,$K$2=Data!$A$2),SUMIFS(Proventos!$H:$H,Proventos!$D:$D,"&gt;="&amp;CONCATENATE($H$6,"/",B102),Proventos!$D:$D,"&lt;"&amp;CONCATENATE($I$6,"/",B102),Proventos!$J:$J,"="&amp;$H$2),
AND($H$2=Data!$A$9,$K$2=Data!$A$2),SUMIFS(Proventos!$H:$H,Proventos!$D:$D,"&gt;="&amp;CONCATENATE($H$6,"/",B102),Proventos!$D:$D,"&lt;"&amp;CONCATENATE($I$6,"/",B102),Proventos!$J:$J,"="&amp;$H$2),
AND($H$2=Data!$A$10,$K$2=Data!$A$2),SUMIFS(Proventos!$H:$H,Proventos!$D:$D,"&gt;="&amp;CONCATENATE($H$6,"/",B102),Proventos!$D:$D,"&lt;"&amp;CONCATENATE($I$6,"/",B102),Proventos!$J:$J,"="&amp;$H$2),
AND($H$2=Data!$A$11,$K$2=Data!$A$2),SUMIFS(Proventos!$H:$H,Proventos!$D:$D,"&gt;="&amp;CONCATENATE($H$6,"/",B102),Proventos!$D:$D,"&lt;"&amp;CONCATENATE($I$6,"/",B102),Proventos!$J:$J,"="&amp;$H$2),
$K$2=Data!$A$2,SUMIFS(Proventos!$H:$H,Proventos!$D:$D,"&gt;="&amp;CONCATENATE($H$6,"/",B102),Proventos!$D:$D,"&lt;"&amp;CONCATENATE($I$6,"/",B102)),
$K$2&lt;&gt;Data!$A$2,SUMIFS(Proventos!$H:$H,Proventos!$D:$D,"&gt;="&amp;CONCATENATE($H$6,"/",B102),Proventos!$D:$D,"&lt;"&amp;CONCATENATE($I$6,"/",B102),Proventos!$A:$A,"="&amp;$K$2))</f>
        <v>0</v>
      </c>
      <c r="I102" s="245">
        <f>IFS(
AND($H$2=Data!$A$3,$K$2=Data!$A$2),SUMIFS(Proventos!$H:$H,Proventos!$D:$D,"&gt;="&amp;CONCATENATE($I$6,"/",B102),Proventos!$D:$D,"&lt;"&amp;CONCATENATE($J$6,"/",B102),Proventos!$J:$J,"="&amp;$H$2),
AND($H$2=Data!$A$4,$K$2=Data!$A$2),SUMIFS(Proventos!$H:$H,Proventos!$D:$D,"&gt;="&amp;CONCATENATE($I$6,"/",B102),Proventos!$D:$D,"&lt;"&amp;CONCATENATE($J$6,"/",B102),Proventos!$J:$J,"="&amp;$H$2),
AND($H$2=Data!$A$5,$K$2=Data!$A$2),SUMIFS(Proventos!$H:$H,Proventos!$D:$D,"&gt;="&amp;CONCATENATE($I$6,"/",B102),Proventos!$D:$D,"&lt;"&amp;CONCATENATE($J$6,"/",B102),Proventos!$J:$J,"="&amp;$H$2),
AND($H$2=Data!$A$6,$K$2=Data!$A$2),SUMIFS(Proventos!$H:$H,Proventos!$D:$D,"&gt;="&amp;CONCATENATE($I$6,"/",B102),Proventos!$D:$D,"&lt;"&amp;CONCATENATE($J$6,"/",B102),Proventos!$J:$J,"="&amp;$H$2),
AND($H$2=Data!$A$7,$K$2=Data!$A$2),SUMIFS(Proventos!$H:$H,Proventos!$D:$D,"&gt;="&amp;CONCATENATE($I$6,"/",B102),Proventos!$D:$D,"&lt;"&amp;CONCATENATE($J$6,"/",B102),Proventos!$J:$J,"="&amp;$H$2),
AND($H$2=Data!$A$8,$K$2=Data!$A$2),SUMIFS(Proventos!$H:$H,Proventos!$D:$D,"&gt;="&amp;CONCATENATE($I$6,"/",B102),Proventos!$D:$D,"&lt;"&amp;CONCATENATE($J$6,"/",B102),Proventos!$J:$J,"="&amp;$H$2),
AND($H$2=Data!$A$9,$K$2=Data!$A$2),SUMIFS(Proventos!$H:$H,Proventos!$D:$D,"&gt;="&amp;CONCATENATE($I$6,"/",B102),Proventos!$D:$D,"&lt;"&amp;CONCATENATE($J$6,"/",B102),Proventos!$J:$J,"="&amp;$H$2),
AND($H$2=Data!$A$10,$K$2=Data!$A$2),SUMIFS(Proventos!$H:$H,Proventos!$D:$D,"&gt;="&amp;CONCATENATE($I$6,"/",B102),Proventos!$D:$D,"&lt;"&amp;CONCATENATE($J$6,"/",B102),Proventos!$J:$J,"="&amp;$H$2),
AND($H$2=Data!$A$11,$K$2=Data!$A$2),SUMIFS(Proventos!$H:$H,Proventos!$D:$D,"&gt;="&amp;CONCATENATE($I$6,"/",B102),Proventos!$D:$D,"&lt;"&amp;CONCATENATE($J$6,"/",B102),Proventos!$J:$J,"="&amp;$H$2),
$K$2=Data!$A$2,SUMIFS(Proventos!$H:$H,Proventos!$D:$D,"&gt;="&amp;CONCATENATE($I$6,"/",B102),Proventos!$D:$D,"&lt;"&amp;CONCATENATE($J$6,"/",B102)),
$K$2&lt;&gt;Data!$A$2,SUMIFS(Proventos!$H:$H,Proventos!$D:$D,"&gt;="&amp;CONCATENATE($I$6,"/",B102),Proventos!$D:$D,"&lt;"&amp;CONCATENATE($J$6,"/",B102),Proventos!$A:$A,"="&amp;$K$2))</f>
        <v>0</v>
      </c>
      <c r="J102" s="245">
        <f>IFS(
AND($H$2=Data!$A$3,$K$2=Data!$A$2),SUMIFS(Proventos!$H:$H,Proventos!$D:$D,"&gt;="&amp;CONCATENATE($J$6,"/",B102),Proventos!$D:$D,"&lt;"&amp;CONCATENATE($K$6,"/",B102),Proventos!$J:$J,"="&amp;$H$2),
AND($H$2=Data!$A$4,$K$2=Data!$A$2),SUMIFS(Proventos!$H:$H,Proventos!$D:$D,"&gt;="&amp;CONCATENATE($J$6,"/",B102),Proventos!$D:$D,"&lt;"&amp;CONCATENATE($K$6,"/",B102),Proventos!$J:$J,"="&amp;$H$2),
AND($H$2=Data!$A$5,$K$2=Data!$A$2),SUMIFS(Proventos!$H:$H,Proventos!$D:$D,"&gt;="&amp;CONCATENATE($J$6,"/",B102),Proventos!$D:$D,"&lt;"&amp;CONCATENATE($K$6,"/",B102),Proventos!$J:$J,"="&amp;$H$2),
AND($H$2=Data!$A$6,$K$2=Data!$A$2),SUMIFS(Proventos!$H:$H,Proventos!$D:$D,"&gt;="&amp;CONCATENATE($J$6,"/",B102),Proventos!$D:$D,"&lt;"&amp;CONCATENATE($K$6,"/",B102),Proventos!$J:$J,"="&amp;$H$2),
AND($H$2=Data!$A$7,$K$2=Data!$A$2),SUMIFS(Proventos!$H:$H,Proventos!$D:$D,"&gt;="&amp;CONCATENATE($J$6,"/",B102),Proventos!$D:$D,"&lt;"&amp;CONCATENATE($K$6,"/",B102),Proventos!$J:$J,"="&amp;$H$2),
AND($H$2=Data!$A$8,$K$2=Data!$A$2),SUMIFS(Proventos!$H:$H,Proventos!$D:$D,"&gt;="&amp;CONCATENATE($J$6,"/",B102),Proventos!$D:$D,"&lt;"&amp;CONCATENATE($K$6,"/",B102),Proventos!$J:$J,"="&amp;$H$2),
AND($H$2=Data!$A$9,$K$2=Data!$A$2),SUMIFS(Proventos!$H:$H,Proventos!$D:$D,"&gt;="&amp;CONCATENATE($J$6,"/",B102),Proventos!$D:$D,"&lt;"&amp;CONCATENATE($K$6,"/",B102),Proventos!$J:$J,"="&amp;$H$2),
AND($H$2=Data!$A$10,$K$2=Data!$A$2),SUMIFS(Proventos!$H:$H,Proventos!$D:$D,"&gt;="&amp;CONCATENATE($J$6,"/",B102),Proventos!$D:$D,"&lt;"&amp;CONCATENATE($K$6,"/",B102),Proventos!$J:$J,"="&amp;$H$2),
AND($H$2=Data!$A$11,$K$2=Data!$A$2),SUMIFS(Proventos!$H:$H,Proventos!$D:$D,"&gt;="&amp;CONCATENATE($J$6,"/",B102),Proventos!$D:$D,"&lt;"&amp;CONCATENATE($K$6,"/",B102),Proventos!$J:$J,"="&amp;$H$2),
$K$2=Data!$A$2,SUMIFS(Proventos!$H:$H,Proventos!$D:$D,"&gt;="&amp;CONCATENATE($J$6,"/",B102),Proventos!$D:$D,"&lt;"&amp;CONCATENATE($K$6,"/",B102)),
$K$2&lt;&gt;Data!$A$2,SUMIFS(Proventos!$H:$H,Proventos!$D:$D,"&gt;="&amp;CONCATENATE($J$6,"/",B102),Proventos!$D:$D,"&lt;"&amp;CONCATENATE($K$6,"/",B102),Proventos!$A:$A,"="&amp;$K$2))</f>
        <v>0</v>
      </c>
      <c r="K102" s="245">
        <f>IFS(
AND($H$2=Data!$A$3,$K$2=Data!$A$2),SUMIFS(Proventos!$H:$H,Proventos!$D:$D,"&gt;="&amp;CONCATENATE($K$6,"/",B102),Proventos!$D:$D,"&lt;"&amp;CONCATENATE($L$6,"/",B102),Proventos!$J:$J,"="&amp;$H$2),
AND($H$2=Data!$A$4,$K$2=Data!$A$2),SUMIFS(Proventos!$H:$H,Proventos!$D:$D,"&gt;="&amp;CONCATENATE($K$6,"/",B102),Proventos!$D:$D,"&lt;"&amp;CONCATENATE($L$6,"/",B102),Proventos!$J:$J,"="&amp;$H$2),
AND($H$2=Data!$A$5,$K$2=Data!$A$2),SUMIFS(Proventos!$H:$H,Proventos!$D:$D,"&gt;="&amp;CONCATENATE($K$6,"/",B102),Proventos!$D:$D,"&lt;"&amp;CONCATENATE($L$6,"/",B102),Proventos!$J:$J,"="&amp;$H$2),
AND($H$2=Data!$A$6,$K$2=Data!$A$2),SUMIFS(Proventos!$H:$H,Proventos!$D:$D,"&gt;="&amp;CONCATENATE($K$6,"/",B102),Proventos!$D:$D,"&lt;"&amp;CONCATENATE($L$6,"/",B102),Proventos!$J:$J,"="&amp;$H$2),
AND($H$2=Data!$A$7,$K$2=Data!$A$2),SUMIFS(Proventos!$H:$H,Proventos!$D:$D,"&gt;="&amp;CONCATENATE($K$6,"/",B102),Proventos!$D:$D,"&lt;"&amp;CONCATENATE($L$6,"/",B102),Proventos!$J:$J,"="&amp;$H$2),
AND($H$2=Data!$A$8,$K$2=Data!$A$2),SUMIFS(Proventos!$H:$H,Proventos!$D:$D,"&gt;="&amp;CONCATENATE($K$6,"/",B102),Proventos!$D:$D,"&lt;"&amp;CONCATENATE($L$6,"/",B102),Proventos!$J:$J,"="&amp;$H$2),
AND($H$2=Data!$A$9,$K$2=Data!$A$2),SUMIFS(Proventos!$H:$H,Proventos!$D:$D,"&gt;="&amp;CONCATENATE($K$6,"/",B102),Proventos!$D:$D,"&lt;"&amp;CONCATENATE($L$6,"/",B102),Proventos!$J:$J,"="&amp;$H$2),
AND($H$2=Data!$A$10,$K$2=Data!$A$2),SUMIFS(Proventos!$H:$H,Proventos!$D:$D,"&gt;="&amp;CONCATENATE($K$6,"/",B102),Proventos!$D:$D,"&lt;"&amp;CONCATENATE($L$6,"/",B102),Proventos!$J:$J,"="&amp;$H$2),
AND($H$2=Data!$A$11,$K$2=Data!$A$2),SUMIFS(Proventos!$H:$H,Proventos!$D:$D,"&gt;="&amp;CONCATENATE($K$6,"/",B102),Proventos!$D:$D,"&lt;"&amp;CONCATENATE($L$6,"/",B102),Proventos!$J:$J,"="&amp;$H$2),
$K$2=Data!$A$2,SUMIFS(Proventos!$H:$H,Proventos!$D:$D,"&gt;="&amp;CONCATENATE($K$6,"/",B102),Proventos!$D:$D,"&lt;"&amp;CONCATENATE($L$6,"/",B102)),
$K$2&lt;&gt;Data!$A$2,SUMIFS(Proventos!$H:$H,Proventos!$D:$D,"&gt;="&amp;CONCATENATE($K$6,"/",B102),Proventos!$D:$D,"&lt;"&amp;CONCATENATE($L$6,"/",B102),Proventos!$A:$A,"="&amp;$K$2))</f>
        <v>0</v>
      </c>
      <c r="L102" s="245">
        <f>IFS(
AND($H$2=Data!$A$3,$K$2=Data!$A$2),SUMIFS(Proventos!$H:$H,Proventos!$D:$D,"&gt;="&amp;CONCATENATE($L$6,"/",B102),Proventos!$D:$D,"&lt;"&amp;CONCATENATE($M$6,"/",B102),Proventos!$J:$J,"="&amp;$H$2),
AND($H$2=Data!$A$4,$K$2=Data!$A$2),SUMIFS(Proventos!$H:$H,Proventos!$D:$D,"&gt;="&amp;CONCATENATE($L$6,"/",B102),Proventos!$D:$D,"&lt;"&amp;CONCATENATE($M$6,"/",B102),Proventos!$J:$J,"="&amp;$H$2),
AND($H$2=Data!$A$5,$K$2=Data!$A$2),SUMIFS(Proventos!$H:$H,Proventos!$D:$D,"&gt;="&amp;CONCATENATE($L$6,"/",B102),Proventos!$D:$D,"&lt;"&amp;CONCATENATE($M$6,"/",B102),Proventos!$J:$J,"="&amp;$H$2),
AND($H$2=Data!$A$6,$K$2=Data!$A$2),SUMIFS(Proventos!$H:$H,Proventos!$D:$D,"&gt;="&amp;CONCATENATE($L$6,"/",B102),Proventos!$D:$D,"&lt;"&amp;CONCATENATE($M$6,"/",B102),Proventos!$J:$J,"="&amp;$H$2),
AND($H$2=Data!$A$7,$K$2=Data!$A$2),SUMIFS(Proventos!$H:$H,Proventos!$D:$D,"&gt;="&amp;CONCATENATE($L$6,"/",B102),Proventos!$D:$D,"&lt;"&amp;CONCATENATE($M$6,"/",B102),Proventos!$J:$J,"="&amp;$H$2),
AND($H$2=Data!$A$8,$K$2=Data!$A$2),SUMIFS(Proventos!$H:$H,Proventos!$D:$D,"&gt;="&amp;CONCATENATE($L$6,"/",B102),Proventos!$D:$D,"&lt;"&amp;CONCATENATE($M$6,"/",B102),Proventos!$J:$J,"="&amp;$H$2),
AND($H$2=Data!$A$9,$K$2=Data!$A$2),SUMIFS(Proventos!$H:$H,Proventos!$D:$D,"&gt;="&amp;CONCATENATE($L$6,"/",B102),Proventos!$D:$D,"&lt;"&amp;CONCATENATE($M$6,"/",B102),Proventos!$J:$J,"="&amp;$H$2),
AND($H$2=Data!$A$10,$K$2=Data!$A$2),SUMIFS(Proventos!$H:$H,Proventos!$D:$D,"&gt;="&amp;CONCATENATE($L$6,"/",B102),Proventos!$D:$D,"&lt;"&amp;CONCATENATE($M$6,"/",B102),Proventos!$J:$J,"="&amp;$H$2),
AND($H$2=Data!$A$11,$K$2=Data!$A$2),SUMIFS(Proventos!$H:$H,Proventos!$D:$D,"&gt;="&amp;CONCATENATE($L$6,"/",B102),Proventos!$D:$D,"&lt;"&amp;CONCATENATE($M$6,"/",B102),Proventos!$J:$J,"="&amp;$H$2),
$K$2=Data!$A$2,SUMIFS(Proventos!$H:$H,Proventos!$D:$D,"&gt;="&amp;CONCATENATE($L$6,"/",B102),Proventos!$D:$D,"&lt;"&amp;CONCATENATE($M$6,"/",B102)),
$K$2&lt;&gt;Data!$A$2,SUMIFS(Proventos!$H:$H,Proventos!$D:$D,"&gt;="&amp;CONCATENATE($L$6,"/",B102),Proventos!$D:$D,"&lt;"&amp;CONCATENATE($M$6,"/",B102),Proventos!$A:$A,"="&amp;$K$2))</f>
        <v>0</v>
      </c>
      <c r="M102" s="245">
        <f>IFS(
AND($H$2=Data!$A$3,$K$2=Data!$A$2),SUMIFS(Proventos!$H:$H,Proventos!$D:$D,"&gt;="&amp;CONCATENATE($M$6,"/",B102),Proventos!$D:$D,"&lt;"&amp;CONCATENATE($N$6,"/",B102),Proventos!$J:$J,"="&amp;$H$2),
AND($H$2=Data!$A$4,$K$2=Data!$A$2),SUMIFS(Proventos!$H:$H,Proventos!$D:$D,"&gt;="&amp;CONCATENATE($M$6,"/",B102),Proventos!$D:$D,"&lt;"&amp;CONCATENATE($N$6,"/",B102),Proventos!$J:$J,"="&amp;$H$2),
AND($H$2=Data!$A$5,$K$2=Data!$A$2),SUMIFS(Proventos!$H:$H,Proventos!$D:$D,"&gt;="&amp;CONCATENATE($M$6,"/",B102),Proventos!$D:$D,"&lt;"&amp;CONCATENATE($N$6,"/",B102),Proventos!$J:$J,"="&amp;$H$2),
AND($H$2=Data!$A$6,$K$2=Data!$A$2),SUMIFS(Proventos!$H:$H,Proventos!$D:$D,"&gt;="&amp;CONCATENATE($M$6,"/",B102),Proventos!$D:$D,"&lt;"&amp;CONCATENATE($N$6,"/",B102),Proventos!$J:$J,"="&amp;$H$2),
AND($H$2=Data!$A$7,$K$2=Data!$A$2),SUMIFS(Proventos!$H:$H,Proventos!$D:$D,"&gt;="&amp;CONCATENATE($M$6,"/",B102),Proventos!$D:$D,"&lt;"&amp;CONCATENATE($N$6,"/",B102),Proventos!$J:$J,"="&amp;$H$2),
AND($H$2=Data!$A$8,$K$2=Data!$A$2),SUMIFS(Proventos!$H:$H,Proventos!$D:$D,"&gt;="&amp;CONCATENATE($M$6,"/",B102),Proventos!$D:$D,"&lt;"&amp;CONCATENATE($N$6,"/",B102),Proventos!$J:$J,"="&amp;$H$2),
AND($H$2=Data!$A$9,$K$2=Data!$A$2),SUMIFS(Proventos!$H:$H,Proventos!$D:$D,"&gt;="&amp;CONCATENATE($M$6,"/",B102),Proventos!$D:$D,"&lt;"&amp;CONCATENATE($N$6,"/",B102),Proventos!$J:$J,"="&amp;$H$2),
AND($H$2=Data!$A$10,$K$2=Data!$A$2),SUMIFS(Proventos!$H:$H,Proventos!$D:$D,"&gt;="&amp;CONCATENATE($M$6,"/",B102),Proventos!$D:$D,"&lt;"&amp;CONCATENATE($N$6,"/",B102),Proventos!$J:$J,"="&amp;$H$2),
AND($H$2=Data!$A$11,$K$2=Data!$A$2),SUMIFS(Proventos!$H:$H,Proventos!$D:$D,"&gt;="&amp;CONCATENATE($M$6,"/",B102),Proventos!$D:$D,"&lt;"&amp;CONCATENATE($N$6,"/",B102),Proventos!$J:$J,"="&amp;$H$2),
$K$2=Data!$A$2,SUMIFS(Proventos!$H:$H,Proventos!$D:$D,"&gt;="&amp;CONCATENATE($M$6,"/",B102),Proventos!$D:$D,"&lt;"&amp;CONCATENATE($N$6,"/",B102)),
$K$2&lt;&gt;Data!$A$2,SUMIFS(Proventos!$H:$H,Proventos!$D:$D,"&gt;="&amp;CONCATENATE($M$6,"/",B102),Proventos!$D:$D,"&lt;"&amp;CONCATENATE($N$6,"/",B102),Proventos!$A:$A,"="&amp;$K$2))</f>
        <v>0</v>
      </c>
      <c r="N102" s="245">
        <f>IFS(
AND($H$2=Data!$A$3,$K$2=Data!$A$2),SUMIFS(Proventos!$H:$H,Proventos!$D:$D,"&gt;="&amp;CONCATENATE($N$6,"/",B102),Proventos!$D:$D,"&lt;"&amp;CONCATENATE($C$6,"/",B103),Proventos!$J:$J,"="&amp;$H$2),
AND($H$2=Data!$A$4,$K$2=Data!$A$2),SUMIFS(Proventos!$H:$H,Proventos!$D:$D,"&gt;="&amp;CONCATENATE($N$6,"/",B102),Proventos!$D:$D,"&lt;"&amp;CONCATENATE($C$6,"/",B103),Proventos!$J:$J,"="&amp;$H$2),
AND($H$2=Data!$A$5,$K$2=Data!$A$2),SUMIFS(Proventos!$H:$H,Proventos!$D:$D,"&gt;="&amp;CONCATENATE($N$6,"/",B102),Proventos!$D:$D,"&lt;"&amp;CONCATENATE($C$6,"/",B103),Proventos!$J:$J,"="&amp;$H$2),
AND($H$2=Data!$A$6,$K$2=Data!$A$2),SUMIFS(Proventos!$H:$H,Proventos!$D:$D,"&gt;="&amp;CONCATENATE($N$6,"/",B102),Proventos!$D:$D,"&lt;"&amp;CONCATENATE($C$6,"/",B103),Proventos!$J:$J,"="&amp;$H$2),
AND($H$2=Data!$A$7,$K$2=Data!$A$2),SUMIFS(Proventos!$H:$H,Proventos!$D:$D,"&gt;="&amp;CONCATENATE($N$6,"/",B102),Proventos!$D:$D,"&lt;"&amp;CONCATENATE($C$6,"/",B103),Proventos!$J:$J,"="&amp;$H$2),
AND($H$2=Data!$A$8,$K$2=Data!$A$2),SUMIFS(Proventos!$H:$H,Proventos!$D:$D,"&gt;="&amp;CONCATENATE($N$6,"/",B102),Proventos!$D:$D,"&lt;"&amp;CONCATENATE($C$6,"/",B103),Proventos!$J:$J,"="&amp;$H$2),
AND($H$2=Data!$A$9,$K$2=Data!$A$2),SUMIFS(Proventos!$H:$H,Proventos!$D:$D,"&gt;="&amp;CONCATENATE($N$6,"/",B102),Proventos!$D:$D,"&lt;"&amp;CONCATENATE($C$6,"/",B103),Proventos!$J:$J,"="&amp;$H$2),
AND($H$2=Data!$A$10,$K$2=Data!$A$2),SUMIFS(Proventos!$H:$H,Proventos!$D:$D,"&gt;="&amp;CONCATENATE($N$6,"/",B102),Proventos!$D:$D,"&lt;"&amp;CONCATENATE($C$6,"/",B103),Proventos!$J:$J,"="&amp;$H$2),
AND($H$2=Data!$A$11,$K$2=Data!$A$2),SUMIFS(Proventos!$H:$H,Proventos!$D:$D,"&gt;="&amp;CONCATENATE($N$6,"/",B102),Proventos!$D:$D,"&lt;"&amp;CONCATENATE($C$6,"/",B103),Proventos!$J:$J,"="&amp;$H$2),
$K$2=Data!$A$2,SUMIFS(Proventos!$H:$H,Proventos!$D:$D,"&gt;="&amp;CONCATENATE($N$6,"/",B102),Proventos!$D:$D,"&lt;"&amp;CONCATENATE($C$6,"/",B103)),
$K$2&lt;&gt;Data!$A$2,SUMIFS(Proventos!$H:$H,Proventos!$D:$D,"&gt;="&amp;CONCATENATE($N$6,"/",B102),Proventos!$D:$D,"&lt;"&amp;CONCATENATE($C$6,"/",B103),Proventos!$A:$A,"="&amp;$K$2))</f>
        <v>0</v>
      </c>
      <c r="O102" s="245"/>
      <c r="P102" s="245">
        <f t="shared" si="1"/>
        <v>0</v>
      </c>
      <c r="Q102" s="245">
        <f t="shared" si="2"/>
        <v>0</v>
      </c>
    </row>
    <row r="103" ht="32.25" customHeight="1">
      <c r="A103" s="230"/>
      <c r="B103" s="244"/>
      <c r="C103" s="245">
        <f>IFS(
AND($H$2=Data!$A$3,$K$2=Data!$A$2),SUMIFS(Proventos!$H:$H,Proventos!$D:$D,"&gt;="&amp;CONCATENATE($C$6,"/",B103),Proventos!$D:$D,"&lt;"&amp;CONCATENATE($D$6,"/",B103),Proventos!$J:$J,"="&amp;$H$2),
AND($H$2=Data!$A$4,$K$2=Data!$A$2),SUMIFS(Proventos!$H:$H,Proventos!$D:$D,"&gt;="&amp;CONCATENATE($C$6,"/",B103),Proventos!$D:$D,"&lt;"&amp;CONCATENATE($D$6,"/",B103),Proventos!$J:$J,"="&amp;$H$2),
AND($H$2=Data!$A$5,$K$2=Data!$A$2),SUMIFS(Proventos!$H:$H,Proventos!$D:$D,"&gt;="&amp;CONCATENATE($C$6,"/",B103),Proventos!$D:$D,"&lt;"&amp;CONCATENATE($D$6,"/",B103),Proventos!$J:$J,"="&amp;$H$2),
AND($H$2=Data!$A$6,$K$2=Data!$A$2),SUMIFS(Proventos!$H:$H,Proventos!$D:$D,"&gt;="&amp;CONCATENATE($C$6,"/",B103),Proventos!$D:$D,"&lt;"&amp;CONCATENATE($D$6,"/",B103),Proventos!$J:$J,"="&amp;$H$2),
AND($H$2=Data!$A$7,$K$2=Data!$A$2),SUMIFS(Proventos!$H:$H,Proventos!$D:$D,"&gt;="&amp;CONCATENATE($C$6,"/",B103),Proventos!$D:$D,"&lt;"&amp;CONCATENATE($D$6,"/",B103),Proventos!$J:$J,"="&amp;$H$2),
AND($H$2=Data!$A$8,$K$2=Data!$A$2),SUMIFS(Proventos!$H:$H,Proventos!$D:$D,"&gt;="&amp;CONCATENATE($C$6,"/",B103),Proventos!$D:$D,"&lt;"&amp;CONCATENATE($D$6,"/",B103),Proventos!$J:$J,"="&amp;$H$2),
AND($H$2=Data!$A$9,$K$2=Data!$A$2),SUMIFS(Proventos!$H:$H,Proventos!$D:$D,"&gt;="&amp;CONCATENATE($C$6,"/",B103),Proventos!$D:$D,"&lt;"&amp;CONCATENATE($D$6,"/",B103),Proventos!$J:$J,"="&amp;$H$2),
AND($H$2=Data!$A$10,$K$2=Data!$A$2),SUMIFS(Proventos!$H:$H,Proventos!$D:$D,"&gt;="&amp;CONCATENATE($C$6,"/",B103),Proventos!$D:$D,"&lt;"&amp;CONCATENATE($D$6,"/",B103),Proventos!$J:$J,"="&amp;$H$2),
AND($H$2=Data!$A$11,$K$2=Data!$A$2),SUMIFS(Proventos!$H:$H,Proventos!$D:$D,"&gt;="&amp;CONCATENATE($C$6,"/",B103),Proventos!$D:$D,"&lt;"&amp;CONCATENATE($D$6,"/",B103),Proventos!$J:$J,"="&amp;$H$2),
$K$2=Data!$A$2,SUMIFS(Proventos!$H:$H,Proventos!$D:$D,"&gt;="&amp;CONCATENATE($C$6,"/",B103),Proventos!$D:$D,"&lt;"&amp;CONCATENATE($D$6,"/",B103)),
$K$2&lt;&gt;Data!$A$2,SUMIFS(Proventos!$H:$H,Proventos!$D:$D,"&gt;="&amp;CONCATENATE($C$6,"/",B103),Proventos!$D:$D,"&lt;"&amp;CONCATENATE($D$6,"/",B103),Proventos!$A:$A,"="&amp;$K$2))</f>
        <v>0</v>
      </c>
      <c r="D103" s="245">
        <f>IFS(
AND($H$2=Data!$A$3,$K$2=Data!$A$2),SUMIFS(Proventos!$H:$H,Proventos!$D:$D,"&gt;="&amp;CONCATENATE($D$6,"/",B103),Proventos!$D:$D,"&lt;"&amp;CONCATENATE($E$6,"/",B103),Proventos!$J:$J,"="&amp;$H$2),
AND($H$2=Data!$A$4,$K$2=Data!$A$2),SUMIFS(Proventos!$H:$H,Proventos!$D:$D,"&gt;="&amp;CONCATENATE($D$6,"/",B103),Proventos!$D:$D,"&lt;"&amp;CONCATENATE($E$6,"/",B103),Proventos!$J:$J,"="&amp;$H$2),
AND($H$2=Data!$A$5,$K$2=Data!$A$2),SUMIFS(Proventos!$H:$H,Proventos!$D:$D,"&gt;="&amp;CONCATENATE($D$6,"/",B103),Proventos!$D:$D,"&lt;"&amp;CONCATENATE($E$6,"/",B103),Proventos!$J:$J,"="&amp;$H$2),
AND($H$2=Data!$A$6,$K$2=Data!$A$2),SUMIFS(Proventos!$H:$H,Proventos!$D:$D,"&gt;="&amp;CONCATENATE($D$6,"/",B103),Proventos!$D:$D,"&lt;"&amp;CONCATENATE($E$6,"/",B103),Proventos!$J:$J,"="&amp;$H$2),
AND($H$2=Data!$A$7,$K$2=Data!$A$2),SUMIFS(Proventos!$H:$H,Proventos!$D:$D,"&gt;="&amp;CONCATENATE($D$6,"/",B103),Proventos!$D:$D,"&lt;"&amp;CONCATENATE($E$6,"/",B103),Proventos!$J:$J,"="&amp;$H$2),
AND($H$2=Data!$A$8,$K$2=Data!$A$2),SUMIFS(Proventos!$H:$H,Proventos!$D:$D,"&gt;="&amp;CONCATENATE($D$6,"/",B103),Proventos!$D:$D,"&lt;"&amp;CONCATENATE($E$6,"/",B103),Proventos!$J:$J,"="&amp;$H$2),
AND($H$2=Data!$A$9,$K$2=Data!$A$2),SUMIFS(Proventos!$H:$H,Proventos!$D:$D,"&gt;="&amp;CONCATENATE($D$6,"/",B103),Proventos!$D:$D,"&lt;"&amp;CONCATENATE($E$6,"/",B103),Proventos!$J:$J,"="&amp;$H$2),
AND($H$2=Data!$A$10,$K$2=Data!$A$2),SUMIFS(Proventos!$H:$H,Proventos!$D:$D,"&gt;="&amp;CONCATENATE($D$6,"/",B103),Proventos!$D:$D,"&lt;"&amp;CONCATENATE($E$6,"/",B103),Proventos!$J:$J,"="&amp;$H$2),
AND($H$2=Data!$A$11,$K$2=Data!$A$2),SUMIFS(Proventos!$H:$H,Proventos!$D:$D,"&gt;="&amp;CONCATENATE($D$6,"/",B103),Proventos!$D:$D,"&lt;"&amp;CONCATENATE($E$6,"/",B103),Proventos!$J:$J,"="&amp;$H$2),
$K$2=Data!$A$2,SUMIFS(Proventos!$H:$H,Proventos!$D:$D,"&gt;="&amp;CONCATENATE($D$6,"/",B103),Proventos!$D:$D,"&lt;"&amp;CONCATENATE($E$6,"/",B103)),
$K$2&lt;&gt;Data!$A$2,SUMIFS(Proventos!$H:$H,Proventos!$D:$D,"&gt;="&amp;CONCATENATE($D$6,"/",B103),Proventos!$D:$D,"&lt;"&amp;CONCATENATE($E$6,"/",B103),Proventos!$A:$A,"="&amp;$K$2))</f>
        <v>0</v>
      </c>
      <c r="E103" s="245">
        <f>IFS(
AND($H$2=Data!$A$3,$K$2=Data!$A$2),SUMIFS(Proventos!$H:$H,Proventos!$D:$D,"&gt;="&amp;CONCATENATE($E$6,"/",B103),Proventos!$D:$D,"&lt;"&amp;CONCATENATE($F$6,"/",B103),Proventos!$J:$J,"="&amp;$H$2),
AND($H$2=Data!$A$4,$K$2=Data!$A$2),SUMIFS(Proventos!$H:$H,Proventos!$D:$D,"&gt;="&amp;CONCATENATE($E$6,"/",B103),Proventos!$D:$D,"&lt;"&amp;CONCATENATE($F$6,"/",B103),Proventos!$J:$J,"="&amp;$H$2),
AND($H$2=Data!$A$5,$K$2=Data!$A$2),SUMIFS(Proventos!$H:$H,Proventos!$D:$D,"&gt;="&amp;CONCATENATE($E$6,"/",B103),Proventos!$D:$D,"&lt;"&amp;CONCATENATE($F$6,"/",B103),Proventos!$J:$J,"="&amp;$H$2),
AND($H$2=Data!$A$6,$K$2=Data!$A$2),SUMIFS(Proventos!$H:$H,Proventos!$D:$D,"&gt;="&amp;CONCATENATE($E$6,"/",B103),Proventos!$D:$D,"&lt;"&amp;CONCATENATE($F$6,"/",B103),Proventos!$J:$J,"="&amp;$H$2),
AND($H$2=Data!$A$7,$K$2=Data!$A$2),SUMIFS(Proventos!$H:$H,Proventos!$D:$D,"&gt;="&amp;CONCATENATE($E$6,"/",B103),Proventos!$D:$D,"&lt;"&amp;CONCATENATE($F$6,"/",B103),Proventos!$J:$J,"="&amp;$H$2),
AND($H$2=Data!$A$8,$K$2=Data!$A$2),SUMIFS(Proventos!$H:$H,Proventos!$D:$D,"&gt;="&amp;CONCATENATE($E$6,"/",B103),Proventos!$D:$D,"&lt;"&amp;CONCATENATE($F$6,"/",B103),Proventos!$J:$J,"="&amp;$H$2),
AND($H$2=Data!$A$9,$K$2=Data!$A$2),SUMIFS(Proventos!$H:$H,Proventos!$D:$D,"&gt;="&amp;CONCATENATE($E$6,"/",B103),Proventos!$D:$D,"&lt;"&amp;CONCATENATE($F$6,"/",B103),Proventos!$J:$J,"="&amp;$H$2),
AND($H$2=Data!$A$10,$K$2=Data!$A$2),SUMIFS(Proventos!$H:$H,Proventos!$D:$D,"&gt;="&amp;CONCATENATE($E$6,"/",B103),Proventos!$D:$D,"&lt;"&amp;CONCATENATE($F$6,"/",B103),Proventos!$J:$J,"="&amp;$H$2),
AND($H$2=Data!$A$11,$K$2=Data!$A$2),SUMIFS(Proventos!$H:$H,Proventos!$D:$D,"&gt;="&amp;CONCATENATE($E$6,"/",B103),Proventos!$D:$D,"&lt;"&amp;CONCATENATE($F$6,"/",B103),Proventos!$J:$J,"="&amp;$H$2),
$K$2=Data!$A$2,SUMIFS(Proventos!$H:$H,Proventos!$D:$D,"&gt;="&amp;CONCATENATE($E$6,"/",B103),Proventos!$D:$D,"&lt;"&amp;CONCATENATE($F$6,"/",B103)),
$K$2&lt;&gt;Data!$A$2,SUMIFS(Proventos!$H:$H,Proventos!$D:$D,"&gt;="&amp;CONCATENATE($E$6,"/",B103),Proventos!$D:$D,"&lt;"&amp;CONCATENATE($F$6,"/",B103),Proventos!$A:$A,"="&amp;$K$2))</f>
        <v>0</v>
      </c>
      <c r="F103" s="245">
        <f>IFS(
AND($H$2=Data!$A$3,$K$2=Data!$A$2),SUMIFS(Proventos!$H:$H,Proventos!$D:$D,"&gt;="&amp;CONCATENATE($F$6,"/",B103),Proventos!$D:$D,"&lt;"&amp;CONCATENATE($G$6,"/",B103),Proventos!$J:$J,"="&amp;$H$2),
AND($H$2=Data!$A$4,$K$2=Data!$A$2),SUMIFS(Proventos!$H:$H,Proventos!$D:$D,"&gt;="&amp;CONCATENATE($F$6,"/",B103),Proventos!$D:$D,"&lt;"&amp;CONCATENATE($G$6,"/",B103),Proventos!$J:$J,"="&amp;$H$2),
AND($H$2=Data!$A$5,$K$2=Data!$A$2),SUMIFS(Proventos!$H:$H,Proventos!$D:$D,"&gt;="&amp;CONCATENATE($F$6,"/",B103),Proventos!$D:$D,"&lt;"&amp;CONCATENATE($G$6,"/",B103),Proventos!$J:$J,"="&amp;$H$2),
AND($H$2=Data!$A$6,$K$2=Data!$A$2),SUMIFS(Proventos!$H:$H,Proventos!$D:$D,"&gt;="&amp;CONCATENATE($F$6,"/",B103),Proventos!$D:$D,"&lt;"&amp;CONCATENATE($G$6,"/",B103),Proventos!$J:$J,"="&amp;$H$2),
AND($H$2=Data!$A$7,$K$2=Data!$A$2),SUMIFS(Proventos!$H:$H,Proventos!$D:$D,"&gt;="&amp;CONCATENATE($F$6,"/",B103),Proventos!$D:$D,"&lt;"&amp;CONCATENATE($G$6,"/",B103),Proventos!$J:$J,"="&amp;$H$2),
AND($H$2=Data!$A$8,$K$2=Data!$A$2),SUMIFS(Proventos!$H:$H,Proventos!$D:$D,"&gt;="&amp;CONCATENATE($F$6,"/",B103),Proventos!$D:$D,"&lt;"&amp;CONCATENATE($G$6,"/",B103),Proventos!$J:$J,"="&amp;$H$2),
AND($H$2=Data!$A$9,$K$2=Data!$A$2),SUMIFS(Proventos!$H:$H,Proventos!$D:$D,"&gt;="&amp;CONCATENATE($F$6,"/",B103),Proventos!$D:$D,"&lt;"&amp;CONCATENATE($G$6,"/",B103),Proventos!$J:$J,"="&amp;$H$2),
AND($H$2=Data!$A$10,$K$2=Data!$A$2),SUMIFS(Proventos!$H:$H,Proventos!$D:$D,"&gt;="&amp;CONCATENATE($F$6,"/",B103),Proventos!$D:$D,"&lt;"&amp;CONCATENATE($G$6,"/",B103),Proventos!$J:$J,"="&amp;$H$2),
AND($H$2=Data!$A$11,$K$2=Data!$A$2),SUMIFS(Proventos!$H:$H,Proventos!$D:$D,"&gt;="&amp;CONCATENATE($F$6,"/",B103),Proventos!$D:$D,"&lt;"&amp;CONCATENATE($G$6,"/",B103),Proventos!$J:$J,"="&amp;$H$2),
$K$2=Data!$A$2,SUMIFS(Proventos!$H:$H,Proventos!$D:$D,"&gt;="&amp;CONCATENATE($F$6,"/",B103),Proventos!$D:$D,"&lt;"&amp;CONCATENATE($G$6,"/",B103)),
$K$2&lt;&gt;Data!$A$2,SUMIFS(Proventos!$H:$H,Proventos!$D:$D,"&gt;="&amp;CONCATENATE($F$6,"/",B103),Proventos!$D:$D,"&lt;"&amp;CONCATENATE($G$6,"/",B103),Proventos!$A:$A,"="&amp;$K$2))</f>
        <v>0</v>
      </c>
      <c r="G103" s="245">
        <f>IFS(
AND($H$2=Data!$A$3,$K$2=Data!$A$2),SUMIFS(Proventos!$H:$H,Proventos!$D:$D,"&gt;="&amp;CONCATENATE($G$6,"/",B103),Proventos!$D:$D,"&lt;"&amp;CONCATENATE($H$6,"/",B103),Proventos!$J:$J,"="&amp;$H$2),
AND($H$2=Data!$A$4,$K$2=Data!$A$2),SUMIFS(Proventos!$H:$H,Proventos!$D:$D,"&gt;="&amp;CONCATENATE($G$6,"/",B103),Proventos!$D:$D,"&lt;"&amp;CONCATENATE($H$6,"/",B103),Proventos!$J:$J,"="&amp;$H$2),
AND($H$2=Data!$A$5,$K$2=Data!$A$2),SUMIFS(Proventos!$H:$H,Proventos!$D:$D,"&gt;="&amp;CONCATENATE($G$6,"/",B103),Proventos!$D:$D,"&lt;"&amp;CONCATENATE($H$6,"/",B103),Proventos!$J:$J,"="&amp;$H$2),
AND($H$2=Data!$A$6,$K$2=Data!$A$2),SUMIFS(Proventos!$H:$H,Proventos!$D:$D,"&gt;="&amp;CONCATENATE($G$6,"/",B103),Proventos!$D:$D,"&lt;"&amp;CONCATENATE($H$6,"/",B103),Proventos!$J:$J,"="&amp;$H$2),
AND($H$2=Data!$A$7,$K$2=Data!$A$2),SUMIFS(Proventos!$H:$H,Proventos!$D:$D,"&gt;="&amp;CONCATENATE($G$6,"/",B103),Proventos!$D:$D,"&lt;"&amp;CONCATENATE($H$6,"/",B103),Proventos!$J:$J,"="&amp;$H$2),
AND($H$2=Data!$A$8,$K$2=Data!$A$2),SUMIFS(Proventos!$H:$H,Proventos!$D:$D,"&gt;="&amp;CONCATENATE($G$6,"/",B103),Proventos!$D:$D,"&lt;"&amp;CONCATENATE($H$6,"/",B103),Proventos!$J:$J,"="&amp;$H$2),
AND($H$2=Data!$A$9,$K$2=Data!$A$2),SUMIFS(Proventos!$H:$H,Proventos!$D:$D,"&gt;="&amp;CONCATENATE($G$6,"/",B103),Proventos!$D:$D,"&lt;"&amp;CONCATENATE($H$6,"/",B103),Proventos!$J:$J,"="&amp;$H$2),
AND($H$2=Data!$A$10,$K$2=Data!$A$2),SUMIFS(Proventos!$H:$H,Proventos!$D:$D,"&gt;="&amp;CONCATENATE($G$6,"/",B103),Proventos!$D:$D,"&lt;"&amp;CONCATENATE($H$6,"/",B103),Proventos!$J:$J,"="&amp;$H$2),
AND($H$2=Data!$A$11,$K$2=Data!$A$2),SUMIFS(Proventos!$H:$H,Proventos!$D:$D,"&gt;="&amp;CONCATENATE($G$6,"/",B103),Proventos!$D:$D,"&lt;"&amp;CONCATENATE($H$6,"/",B103),Proventos!$J:$J,"="&amp;$H$2),
$K$2=Data!$A$2,SUMIFS(Proventos!$H:$H,Proventos!$D:$D,"&gt;="&amp;CONCATENATE($G$6,"/",B103),Proventos!$D:$D,"&lt;"&amp;CONCATENATE($H$6,"/",B103)),
$K$2&lt;&gt;Data!$A$2,SUMIFS(Proventos!$H:$H,Proventos!$D:$D,"&gt;="&amp;CONCATENATE($G$6,"/",B103),Proventos!$D:$D,"&lt;"&amp;CONCATENATE($H$6,"/",B103),Proventos!$A:$A,"="&amp;$K$2))</f>
        <v>0</v>
      </c>
      <c r="H103" s="245">
        <f>IFS(
AND($H$2=Data!$A$3,$K$2=Data!$A$2),SUMIFS(Proventos!$H:$H,Proventos!$D:$D,"&gt;="&amp;CONCATENATE($H$6,"/",B103),Proventos!$D:$D,"&lt;"&amp;CONCATENATE($I$6,"/",B103),Proventos!$J:$J,"="&amp;$H$2),
AND($H$2=Data!$A$4,$K$2=Data!$A$2),SUMIFS(Proventos!$H:$H,Proventos!$D:$D,"&gt;="&amp;CONCATENATE($H$6,"/",B103),Proventos!$D:$D,"&lt;"&amp;CONCATENATE($I$6,"/",B103),Proventos!$J:$J,"="&amp;$H$2),
AND($H$2=Data!$A$5,$K$2=Data!$A$2),SUMIFS(Proventos!$H:$H,Proventos!$D:$D,"&gt;="&amp;CONCATENATE($H$6,"/",B103),Proventos!$D:$D,"&lt;"&amp;CONCATENATE($I$6,"/",B103),Proventos!$J:$J,"="&amp;$H$2),
AND($H$2=Data!$A$6,$K$2=Data!$A$2),SUMIFS(Proventos!$H:$H,Proventos!$D:$D,"&gt;="&amp;CONCATENATE($H$6,"/",B103),Proventos!$D:$D,"&lt;"&amp;CONCATENATE($I$6,"/",B103),Proventos!$J:$J,"="&amp;$H$2),
AND($H$2=Data!$A$7,$K$2=Data!$A$2),SUMIFS(Proventos!$H:$H,Proventos!$D:$D,"&gt;="&amp;CONCATENATE($H$6,"/",B103),Proventos!$D:$D,"&lt;"&amp;CONCATENATE($I$6,"/",B103),Proventos!$J:$J,"="&amp;$H$2),
AND($H$2=Data!$A$8,$K$2=Data!$A$2),SUMIFS(Proventos!$H:$H,Proventos!$D:$D,"&gt;="&amp;CONCATENATE($H$6,"/",B103),Proventos!$D:$D,"&lt;"&amp;CONCATENATE($I$6,"/",B103),Proventos!$J:$J,"="&amp;$H$2),
AND($H$2=Data!$A$9,$K$2=Data!$A$2),SUMIFS(Proventos!$H:$H,Proventos!$D:$D,"&gt;="&amp;CONCATENATE($H$6,"/",B103),Proventos!$D:$D,"&lt;"&amp;CONCATENATE($I$6,"/",B103),Proventos!$J:$J,"="&amp;$H$2),
AND($H$2=Data!$A$10,$K$2=Data!$A$2),SUMIFS(Proventos!$H:$H,Proventos!$D:$D,"&gt;="&amp;CONCATENATE($H$6,"/",B103),Proventos!$D:$D,"&lt;"&amp;CONCATENATE($I$6,"/",B103),Proventos!$J:$J,"="&amp;$H$2),
AND($H$2=Data!$A$11,$K$2=Data!$A$2),SUMIFS(Proventos!$H:$H,Proventos!$D:$D,"&gt;="&amp;CONCATENATE($H$6,"/",B103),Proventos!$D:$D,"&lt;"&amp;CONCATENATE($I$6,"/",B103),Proventos!$J:$J,"="&amp;$H$2),
$K$2=Data!$A$2,SUMIFS(Proventos!$H:$H,Proventos!$D:$D,"&gt;="&amp;CONCATENATE($H$6,"/",B103),Proventos!$D:$D,"&lt;"&amp;CONCATENATE($I$6,"/",B103)),
$K$2&lt;&gt;Data!$A$2,SUMIFS(Proventos!$H:$H,Proventos!$D:$D,"&gt;="&amp;CONCATENATE($H$6,"/",B103),Proventos!$D:$D,"&lt;"&amp;CONCATENATE($I$6,"/",B103),Proventos!$A:$A,"="&amp;$K$2))</f>
        <v>0</v>
      </c>
      <c r="I103" s="245">
        <f>IFS(
AND($H$2=Data!$A$3,$K$2=Data!$A$2),SUMIFS(Proventos!$H:$H,Proventos!$D:$D,"&gt;="&amp;CONCATENATE($I$6,"/",B103),Proventos!$D:$D,"&lt;"&amp;CONCATENATE($J$6,"/",B103),Proventos!$J:$J,"="&amp;$H$2),
AND($H$2=Data!$A$4,$K$2=Data!$A$2),SUMIFS(Proventos!$H:$H,Proventos!$D:$D,"&gt;="&amp;CONCATENATE($I$6,"/",B103),Proventos!$D:$D,"&lt;"&amp;CONCATENATE($J$6,"/",B103),Proventos!$J:$J,"="&amp;$H$2),
AND($H$2=Data!$A$5,$K$2=Data!$A$2),SUMIFS(Proventos!$H:$H,Proventos!$D:$D,"&gt;="&amp;CONCATENATE($I$6,"/",B103),Proventos!$D:$D,"&lt;"&amp;CONCATENATE($J$6,"/",B103),Proventos!$J:$J,"="&amp;$H$2),
AND($H$2=Data!$A$6,$K$2=Data!$A$2),SUMIFS(Proventos!$H:$H,Proventos!$D:$D,"&gt;="&amp;CONCATENATE($I$6,"/",B103),Proventos!$D:$D,"&lt;"&amp;CONCATENATE($J$6,"/",B103),Proventos!$J:$J,"="&amp;$H$2),
AND($H$2=Data!$A$7,$K$2=Data!$A$2),SUMIFS(Proventos!$H:$H,Proventos!$D:$D,"&gt;="&amp;CONCATENATE($I$6,"/",B103),Proventos!$D:$D,"&lt;"&amp;CONCATENATE($J$6,"/",B103),Proventos!$J:$J,"="&amp;$H$2),
AND($H$2=Data!$A$8,$K$2=Data!$A$2),SUMIFS(Proventos!$H:$H,Proventos!$D:$D,"&gt;="&amp;CONCATENATE($I$6,"/",B103),Proventos!$D:$D,"&lt;"&amp;CONCATENATE($J$6,"/",B103),Proventos!$J:$J,"="&amp;$H$2),
AND($H$2=Data!$A$9,$K$2=Data!$A$2),SUMIFS(Proventos!$H:$H,Proventos!$D:$D,"&gt;="&amp;CONCATENATE($I$6,"/",B103),Proventos!$D:$D,"&lt;"&amp;CONCATENATE($J$6,"/",B103),Proventos!$J:$J,"="&amp;$H$2),
AND($H$2=Data!$A$10,$K$2=Data!$A$2),SUMIFS(Proventos!$H:$H,Proventos!$D:$D,"&gt;="&amp;CONCATENATE($I$6,"/",B103),Proventos!$D:$D,"&lt;"&amp;CONCATENATE($J$6,"/",B103),Proventos!$J:$J,"="&amp;$H$2),
AND($H$2=Data!$A$11,$K$2=Data!$A$2),SUMIFS(Proventos!$H:$H,Proventos!$D:$D,"&gt;="&amp;CONCATENATE($I$6,"/",B103),Proventos!$D:$D,"&lt;"&amp;CONCATENATE($J$6,"/",B103),Proventos!$J:$J,"="&amp;$H$2),
$K$2=Data!$A$2,SUMIFS(Proventos!$H:$H,Proventos!$D:$D,"&gt;="&amp;CONCATENATE($I$6,"/",B103),Proventos!$D:$D,"&lt;"&amp;CONCATENATE($J$6,"/",B103)),
$K$2&lt;&gt;Data!$A$2,SUMIFS(Proventos!$H:$H,Proventos!$D:$D,"&gt;="&amp;CONCATENATE($I$6,"/",B103),Proventos!$D:$D,"&lt;"&amp;CONCATENATE($J$6,"/",B103),Proventos!$A:$A,"="&amp;$K$2))</f>
        <v>0</v>
      </c>
      <c r="J103" s="245">
        <f>IFS(
AND($H$2=Data!$A$3,$K$2=Data!$A$2),SUMIFS(Proventos!$H:$H,Proventos!$D:$D,"&gt;="&amp;CONCATENATE($J$6,"/",B103),Proventos!$D:$D,"&lt;"&amp;CONCATENATE($K$6,"/",B103),Proventos!$J:$J,"="&amp;$H$2),
AND($H$2=Data!$A$4,$K$2=Data!$A$2),SUMIFS(Proventos!$H:$H,Proventos!$D:$D,"&gt;="&amp;CONCATENATE($J$6,"/",B103),Proventos!$D:$D,"&lt;"&amp;CONCATENATE($K$6,"/",B103),Proventos!$J:$J,"="&amp;$H$2),
AND($H$2=Data!$A$5,$K$2=Data!$A$2),SUMIFS(Proventos!$H:$H,Proventos!$D:$D,"&gt;="&amp;CONCATENATE($J$6,"/",B103),Proventos!$D:$D,"&lt;"&amp;CONCATENATE($K$6,"/",B103),Proventos!$J:$J,"="&amp;$H$2),
AND($H$2=Data!$A$6,$K$2=Data!$A$2),SUMIFS(Proventos!$H:$H,Proventos!$D:$D,"&gt;="&amp;CONCATENATE($J$6,"/",B103),Proventos!$D:$D,"&lt;"&amp;CONCATENATE($K$6,"/",B103),Proventos!$J:$J,"="&amp;$H$2),
AND($H$2=Data!$A$7,$K$2=Data!$A$2),SUMIFS(Proventos!$H:$H,Proventos!$D:$D,"&gt;="&amp;CONCATENATE($J$6,"/",B103),Proventos!$D:$D,"&lt;"&amp;CONCATENATE($K$6,"/",B103),Proventos!$J:$J,"="&amp;$H$2),
AND($H$2=Data!$A$8,$K$2=Data!$A$2),SUMIFS(Proventos!$H:$H,Proventos!$D:$D,"&gt;="&amp;CONCATENATE($J$6,"/",B103),Proventos!$D:$D,"&lt;"&amp;CONCATENATE($K$6,"/",B103),Proventos!$J:$J,"="&amp;$H$2),
AND($H$2=Data!$A$9,$K$2=Data!$A$2),SUMIFS(Proventos!$H:$H,Proventos!$D:$D,"&gt;="&amp;CONCATENATE($J$6,"/",B103),Proventos!$D:$D,"&lt;"&amp;CONCATENATE($K$6,"/",B103),Proventos!$J:$J,"="&amp;$H$2),
AND($H$2=Data!$A$10,$K$2=Data!$A$2),SUMIFS(Proventos!$H:$H,Proventos!$D:$D,"&gt;="&amp;CONCATENATE($J$6,"/",B103),Proventos!$D:$D,"&lt;"&amp;CONCATENATE($K$6,"/",B103),Proventos!$J:$J,"="&amp;$H$2),
AND($H$2=Data!$A$11,$K$2=Data!$A$2),SUMIFS(Proventos!$H:$H,Proventos!$D:$D,"&gt;="&amp;CONCATENATE($J$6,"/",B103),Proventos!$D:$D,"&lt;"&amp;CONCATENATE($K$6,"/",B103),Proventos!$J:$J,"="&amp;$H$2),
$K$2=Data!$A$2,SUMIFS(Proventos!$H:$H,Proventos!$D:$D,"&gt;="&amp;CONCATENATE($J$6,"/",B103),Proventos!$D:$D,"&lt;"&amp;CONCATENATE($K$6,"/",B103)),
$K$2&lt;&gt;Data!$A$2,SUMIFS(Proventos!$H:$H,Proventos!$D:$D,"&gt;="&amp;CONCATENATE($J$6,"/",B103),Proventos!$D:$D,"&lt;"&amp;CONCATENATE($K$6,"/",B103),Proventos!$A:$A,"="&amp;$K$2))</f>
        <v>0</v>
      </c>
      <c r="K103" s="245">
        <f>IFS(
AND($H$2=Data!$A$3,$K$2=Data!$A$2),SUMIFS(Proventos!$H:$H,Proventos!$D:$D,"&gt;="&amp;CONCATENATE($K$6,"/",B103),Proventos!$D:$D,"&lt;"&amp;CONCATENATE($L$6,"/",B103),Proventos!$J:$J,"="&amp;$H$2),
AND($H$2=Data!$A$4,$K$2=Data!$A$2),SUMIFS(Proventos!$H:$H,Proventos!$D:$D,"&gt;="&amp;CONCATENATE($K$6,"/",B103),Proventos!$D:$D,"&lt;"&amp;CONCATENATE($L$6,"/",B103),Proventos!$J:$J,"="&amp;$H$2),
AND($H$2=Data!$A$5,$K$2=Data!$A$2),SUMIFS(Proventos!$H:$H,Proventos!$D:$D,"&gt;="&amp;CONCATENATE($K$6,"/",B103),Proventos!$D:$D,"&lt;"&amp;CONCATENATE($L$6,"/",B103),Proventos!$J:$J,"="&amp;$H$2),
AND($H$2=Data!$A$6,$K$2=Data!$A$2),SUMIFS(Proventos!$H:$H,Proventos!$D:$D,"&gt;="&amp;CONCATENATE($K$6,"/",B103),Proventos!$D:$D,"&lt;"&amp;CONCATENATE($L$6,"/",B103),Proventos!$J:$J,"="&amp;$H$2),
AND($H$2=Data!$A$7,$K$2=Data!$A$2),SUMIFS(Proventos!$H:$H,Proventos!$D:$D,"&gt;="&amp;CONCATENATE($K$6,"/",B103),Proventos!$D:$D,"&lt;"&amp;CONCATENATE($L$6,"/",B103),Proventos!$J:$J,"="&amp;$H$2),
AND($H$2=Data!$A$8,$K$2=Data!$A$2),SUMIFS(Proventos!$H:$H,Proventos!$D:$D,"&gt;="&amp;CONCATENATE($K$6,"/",B103),Proventos!$D:$D,"&lt;"&amp;CONCATENATE($L$6,"/",B103),Proventos!$J:$J,"="&amp;$H$2),
AND($H$2=Data!$A$9,$K$2=Data!$A$2),SUMIFS(Proventos!$H:$H,Proventos!$D:$D,"&gt;="&amp;CONCATENATE($K$6,"/",B103),Proventos!$D:$D,"&lt;"&amp;CONCATENATE($L$6,"/",B103),Proventos!$J:$J,"="&amp;$H$2),
AND($H$2=Data!$A$10,$K$2=Data!$A$2),SUMIFS(Proventos!$H:$H,Proventos!$D:$D,"&gt;="&amp;CONCATENATE($K$6,"/",B103),Proventos!$D:$D,"&lt;"&amp;CONCATENATE($L$6,"/",B103),Proventos!$J:$J,"="&amp;$H$2),
AND($H$2=Data!$A$11,$K$2=Data!$A$2),SUMIFS(Proventos!$H:$H,Proventos!$D:$D,"&gt;="&amp;CONCATENATE($K$6,"/",B103),Proventos!$D:$D,"&lt;"&amp;CONCATENATE($L$6,"/",B103),Proventos!$J:$J,"="&amp;$H$2),
$K$2=Data!$A$2,SUMIFS(Proventos!$H:$H,Proventos!$D:$D,"&gt;="&amp;CONCATENATE($K$6,"/",B103),Proventos!$D:$D,"&lt;"&amp;CONCATENATE($L$6,"/",B103)),
$K$2&lt;&gt;Data!$A$2,SUMIFS(Proventos!$H:$H,Proventos!$D:$D,"&gt;="&amp;CONCATENATE($K$6,"/",B103),Proventos!$D:$D,"&lt;"&amp;CONCATENATE($L$6,"/",B103),Proventos!$A:$A,"="&amp;$K$2))</f>
        <v>0</v>
      </c>
      <c r="L103" s="245">
        <f>IFS(
AND($H$2=Data!$A$3,$K$2=Data!$A$2),SUMIFS(Proventos!$H:$H,Proventos!$D:$D,"&gt;="&amp;CONCATENATE($L$6,"/",B103),Proventos!$D:$D,"&lt;"&amp;CONCATENATE($M$6,"/",B103),Proventos!$J:$J,"="&amp;$H$2),
AND($H$2=Data!$A$4,$K$2=Data!$A$2),SUMIFS(Proventos!$H:$H,Proventos!$D:$D,"&gt;="&amp;CONCATENATE($L$6,"/",B103),Proventos!$D:$D,"&lt;"&amp;CONCATENATE($M$6,"/",B103),Proventos!$J:$J,"="&amp;$H$2),
AND($H$2=Data!$A$5,$K$2=Data!$A$2),SUMIFS(Proventos!$H:$H,Proventos!$D:$D,"&gt;="&amp;CONCATENATE($L$6,"/",B103),Proventos!$D:$D,"&lt;"&amp;CONCATENATE($M$6,"/",B103),Proventos!$J:$J,"="&amp;$H$2),
AND($H$2=Data!$A$6,$K$2=Data!$A$2),SUMIFS(Proventos!$H:$H,Proventos!$D:$D,"&gt;="&amp;CONCATENATE($L$6,"/",B103),Proventos!$D:$D,"&lt;"&amp;CONCATENATE($M$6,"/",B103),Proventos!$J:$J,"="&amp;$H$2),
AND($H$2=Data!$A$7,$K$2=Data!$A$2),SUMIFS(Proventos!$H:$H,Proventos!$D:$D,"&gt;="&amp;CONCATENATE($L$6,"/",B103),Proventos!$D:$D,"&lt;"&amp;CONCATENATE($M$6,"/",B103),Proventos!$J:$J,"="&amp;$H$2),
AND($H$2=Data!$A$8,$K$2=Data!$A$2),SUMIFS(Proventos!$H:$H,Proventos!$D:$D,"&gt;="&amp;CONCATENATE($L$6,"/",B103),Proventos!$D:$D,"&lt;"&amp;CONCATENATE($M$6,"/",B103),Proventos!$J:$J,"="&amp;$H$2),
AND($H$2=Data!$A$9,$K$2=Data!$A$2),SUMIFS(Proventos!$H:$H,Proventos!$D:$D,"&gt;="&amp;CONCATENATE($L$6,"/",B103),Proventos!$D:$D,"&lt;"&amp;CONCATENATE($M$6,"/",B103),Proventos!$J:$J,"="&amp;$H$2),
AND($H$2=Data!$A$10,$K$2=Data!$A$2),SUMIFS(Proventos!$H:$H,Proventos!$D:$D,"&gt;="&amp;CONCATENATE($L$6,"/",B103),Proventos!$D:$D,"&lt;"&amp;CONCATENATE($M$6,"/",B103),Proventos!$J:$J,"="&amp;$H$2),
AND($H$2=Data!$A$11,$K$2=Data!$A$2),SUMIFS(Proventos!$H:$H,Proventos!$D:$D,"&gt;="&amp;CONCATENATE($L$6,"/",B103),Proventos!$D:$D,"&lt;"&amp;CONCATENATE($M$6,"/",B103),Proventos!$J:$J,"="&amp;$H$2),
$K$2=Data!$A$2,SUMIFS(Proventos!$H:$H,Proventos!$D:$D,"&gt;="&amp;CONCATENATE($L$6,"/",B103),Proventos!$D:$D,"&lt;"&amp;CONCATENATE($M$6,"/",B103)),
$K$2&lt;&gt;Data!$A$2,SUMIFS(Proventos!$H:$H,Proventos!$D:$D,"&gt;="&amp;CONCATENATE($L$6,"/",B103),Proventos!$D:$D,"&lt;"&amp;CONCATENATE($M$6,"/",B103),Proventos!$A:$A,"="&amp;$K$2))</f>
        <v>0</v>
      </c>
      <c r="M103" s="245">
        <f>IFS(
AND($H$2=Data!$A$3,$K$2=Data!$A$2),SUMIFS(Proventos!$H:$H,Proventos!$D:$D,"&gt;="&amp;CONCATENATE($M$6,"/",B103),Proventos!$D:$D,"&lt;"&amp;CONCATENATE($N$6,"/",B103),Proventos!$J:$J,"="&amp;$H$2),
AND($H$2=Data!$A$4,$K$2=Data!$A$2),SUMIFS(Proventos!$H:$H,Proventos!$D:$D,"&gt;="&amp;CONCATENATE($M$6,"/",B103),Proventos!$D:$D,"&lt;"&amp;CONCATENATE($N$6,"/",B103),Proventos!$J:$J,"="&amp;$H$2),
AND($H$2=Data!$A$5,$K$2=Data!$A$2),SUMIFS(Proventos!$H:$H,Proventos!$D:$D,"&gt;="&amp;CONCATENATE($M$6,"/",B103),Proventos!$D:$D,"&lt;"&amp;CONCATENATE($N$6,"/",B103),Proventos!$J:$J,"="&amp;$H$2),
AND($H$2=Data!$A$6,$K$2=Data!$A$2),SUMIFS(Proventos!$H:$H,Proventos!$D:$D,"&gt;="&amp;CONCATENATE($M$6,"/",B103),Proventos!$D:$D,"&lt;"&amp;CONCATENATE($N$6,"/",B103),Proventos!$J:$J,"="&amp;$H$2),
AND($H$2=Data!$A$7,$K$2=Data!$A$2),SUMIFS(Proventos!$H:$H,Proventos!$D:$D,"&gt;="&amp;CONCATENATE($M$6,"/",B103),Proventos!$D:$D,"&lt;"&amp;CONCATENATE($N$6,"/",B103),Proventos!$J:$J,"="&amp;$H$2),
AND($H$2=Data!$A$8,$K$2=Data!$A$2),SUMIFS(Proventos!$H:$H,Proventos!$D:$D,"&gt;="&amp;CONCATENATE($M$6,"/",B103),Proventos!$D:$D,"&lt;"&amp;CONCATENATE($N$6,"/",B103),Proventos!$J:$J,"="&amp;$H$2),
AND($H$2=Data!$A$9,$K$2=Data!$A$2),SUMIFS(Proventos!$H:$H,Proventos!$D:$D,"&gt;="&amp;CONCATENATE($M$6,"/",B103),Proventos!$D:$D,"&lt;"&amp;CONCATENATE($N$6,"/",B103),Proventos!$J:$J,"="&amp;$H$2),
AND($H$2=Data!$A$10,$K$2=Data!$A$2),SUMIFS(Proventos!$H:$H,Proventos!$D:$D,"&gt;="&amp;CONCATENATE($M$6,"/",B103),Proventos!$D:$D,"&lt;"&amp;CONCATENATE($N$6,"/",B103),Proventos!$J:$J,"="&amp;$H$2),
AND($H$2=Data!$A$11,$K$2=Data!$A$2),SUMIFS(Proventos!$H:$H,Proventos!$D:$D,"&gt;="&amp;CONCATENATE($M$6,"/",B103),Proventos!$D:$D,"&lt;"&amp;CONCATENATE($N$6,"/",B103),Proventos!$J:$J,"="&amp;$H$2),
$K$2=Data!$A$2,SUMIFS(Proventos!$H:$H,Proventos!$D:$D,"&gt;="&amp;CONCATENATE($M$6,"/",B103),Proventos!$D:$D,"&lt;"&amp;CONCATENATE($N$6,"/",B103)),
$K$2&lt;&gt;Data!$A$2,SUMIFS(Proventos!$H:$H,Proventos!$D:$D,"&gt;="&amp;CONCATENATE($M$6,"/",B103),Proventos!$D:$D,"&lt;"&amp;CONCATENATE($N$6,"/",B103),Proventos!$A:$A,"="&amp;$K$2))</f>
        <v>0</v>
      </c>
      <c r="N103" s="245">
        <f>IFS(
AND($H$2=Data!$A$3,$K$2=Data!$A$2),SUMIFS(Proventos!$H:$H,Proventos!$D:$D,"&gt;="&amp;CONCATENATE($N$6,"/",B103),Proventos!$D:$D,"&lt;"&amp;CONCATENATE($C$6,"/",B104),Proventos!$J:$J,"="&amp;$H$2),
AND($H$2=Data!$A$4,$K$2=Data!$A$2),SUMIFS(Proventos!$H:$H,Proventos!$D:$D,"&gt;="&amp;CONCATENATE($N$6,"/",B103),Proventos!$D:$D,"&lt;"&amp;CONCATENATE($C$6,"/",B104),Proventos!$J:$J,"="&amp;$H$2),
AND($H$2=Data!$A$5,$K$2=Data!$A$2),SUMIFS(Proventos!$H:$H,Proventos!$D:$D,"&gt;="&amp;CONCATENATE($N$6,"/",B103),Proventos!$D:$D,"&lt;"&amp;CONCATENATE($C$6,"/",B104),Proventos!$J:$J,"="&amp;$H$2),
AND($H$2=Data!$A$6,$K$2=Data!$A$2),SUMIFS(Proventos!$H:$H,Proventos!$D:$D,"&gt;="&amp;CONCATENATE($N$6,"/",B103),Proventos!$D:$D,"&lt;"&amp;CONCATENATE($C$6,"/",B104),Proventos!$J:$J,"="&amp;$H$2),
AND($H$2=Data!$A$7,$K$2=Data!$A$2),SUMIFS(Proventos!$H:$H,Proventos!$D:$D,"&gt;="&amp;CONCATENATE($N$6,"/",B103),Proventos!$D:$D,"&lt;"&amp;CONCATENATE($C$6,"/",B104),Proventos!$J:$J,"="&amp;$H$2),
AND($H$2=Data!$A$8,$K$2=Data!$A$2),SUMIFS(Proventos!$H:$H,Proventos!$D:$D,"&gt;="&amp;CONCATENATE($N$6,"/",B103),Proventos!$D:$D,"&lt;"&amp;CONCATENATE($C$6,"/",B104),Proventos!$J:$J,"="&amp;$H$2),
AND($H$2=Data!$A$9,$K$2=Data!$A$2),SUMIFS(Proventos!$H:$H,Proventos!$D:$D,"&gt;="&amp;CONCATENATE($N$6,"/",B103),Proventos!$D:$D,"&lt;"&amp;CONCATENATE($C$6,"/",B104),Proventos!$J:$J,"="&amp;$H$2),
AND($H$2=Data!$A$10,$K$2=Data!$A$2),SUMIFS(Proventos!$H:$H,Proventos!$D:$D,"&gt;="&amp;CONCATENATE($N$6,"/",B103),Proventos!$D:$D,"&lt;"&amp;CONCATENATE($C$6,"/",B104),Proventos!$J:$J,"="&amp;$H$2),
AND($H$2=Data!$A$11,$K$2=Data!$A$2),SUMIFS(Proventos!$H:$H,Proventos!$D:$D,"&gt;="&amp;CONCATENATE($N$6,"/",B103),Proventos!$D:$D,"&lt;"&amp;CONCATENATE($C$6,"/",B104),Proventos!$J:$J,"="&amp;$H$2),
$K$2=Data!$A$2,SUMIFS(Proventos!$H:$H,Proventos!$D:$D,"&gt;="&amp;CONCATENATE($N$6,"/",B103),Proventos!$D:$D,"&lt;"&amp;CONCATENATE($C$6,"/",B104)),
$K$2&lt;&gt;Data!$A$2,SUMIFS(Proventos!$H:$H,Proventos!$D:$D,"&gt;="&amp;CONCATENATE($N$6,"/",B103),Proventos!$D:$D,"&lt;"&amp;CONCATENATE($C$6,"/",B104),Proventos!$A:$A,"="&amp;$K$2))</f>
        <v>0</v>
      </c>
      <c r="O103" s="245"/>
      <c r="P103" s="245">
        <f t="shared" si="1"/>
        <v>0</v>
      </c>
      <c r="Q103" s="245">
        <f t="shared" si="2"/>
        <v>0</v>
      </c>
    </row>
    <row r="104" ht="32.25" customHeight="1">
      <c r="A104" s="230"/>
      <c r="B104" s="244"/>
      <c r="C104" s="245">
        <f>IFS(
AND($H$2=Data!$A$3,$K$2=Data!$A$2),SUMIFS(Proventos!$H:$H,Proventos!$D:$D,"&gt;="&amp;CONCATENATE($C$6,"/",B104),Proventos!$D:$D,"&lt;"&amp;CONCATENATE($D$6,"/",B104),Proventos!$J:$J,"="&amp;$H$2),
AND($H$2=Data!$A$4,$K$2=Data!$A$2),SUMIFS(Proventos!$H:$H,Proventos!$D:$D,"&gt;="&amp;CONCATENATE($C$6,"/",B104),Proventos!$D:$D,"&lt;"&amp;CONCATENATE($D$6,"/",B104),Proventos!$J:$J,"="&amp;$H$2),
AND($H$2=Data!$A$5,$K$2=Data!$A$2),SUMIFS(Proventos!$H:$H,Proventos!$D:$D,"&gt;="&amp;CONCATENATE($C$6,"/",B104),Proventos!$D:$D,"&lt;"&amp;CONCATENATE($D$6,"/",B104),Proventos!$J:$J,"="&amp;$H$2),
AND($H$2=Data!$A$6,$K$2=Data!$A$2),SUMIFS(Proventos!$H:$H,Proventos!$D:$D,"&gt;="&amp;CONCATENATE($C$6,"/",B104),Proventos!$D:$D,"&lt;"&amp;CONCATENATE($D$6,"/",B104),Proventos!$J:$J,"="&amp;$H$2),
AND($H$2=Data!$A$7,$K$2=Data!$A$2),SUMIFS(Proventos!$H:$H,Proventos!$D:$D,"&gt;="&amp;CONCATENATE($C$6,"/",B104),Proventos!$D:$D,"&lt;"&amp;CONCATENATE($D$6,"/",B104),Proventos!$J:$J,"="&amp;$H$2),
AND($H$2=Data!$A$8,$K$2=Data!$A$2),SUMIFS(Proventos!$H:$H,Proventos!$D:$D,"&gt;="&amp;CONCATENATE($C$6,"/",B104),Proventos!$D:$D,"&lt;"&amp;CONCATENATE($D$6,"/",B104),Proventos!$J:$J,"="&amp;$H$2),
AND($H$2=Data!$A$9,$K$2=Data!$A$2),SUMIFS(Proventos!$H:$H,Proventos!$D:$D,"&gt;="&amp;CONCATENATE($C$6,"/",B104),Proventos!$D:$D,"&lt;"&amp;CONCATENATE($D$6,"/",B104),Proventos!$J:$J,"="&amp;$H$2),
AND($H$2=Data!$A$10,$K$2=Data!$A$2),SUMIFS(Proventos!$H:$H,Proventos!$D:$D,"&gt;="&amp;CONCATENATE($C$6,"/",B104),Proventos!$D:$D,"&lt;"&amp;CONCATENATE($D$6,"/",B104),Proventos!$J:$J,"="&amp;$H$2),
AND($H$2=Data!$A$11,$K$2=Data!$A$2),SUMIFS(Proventos!$H:$H,Proventos!$D:$D,"&gt;="&amp;CONCATENATE($C$6,"/",B104),Proventos!$D:$D,"&lt;"&amp;CONCATENATE($D$6,"/",B104),Proventos!$J:$J,"="&amp;$H$2),
$K$2=Data!$A$2,SUMIFS(Proventos!$H:$H,Proventos!$D:$D,"&gt;="&amp;CONCATENATE($C$6,"/",B104),Proventos!$D:$D,"&lt;"&amp;CONCATENATE($D$6,"/",B104)),
$K$2&lt;&gt;Data!$A$2,SUMIFS(Proventos!$H:$H,Proventos!$D:$D,"&gt;="&amp;CONCATENATE($C$6,"/",B104),Proventos!$D:$D,"&lt;"&amp;CONCATENATE($D$6,"/",B104),Proventos!$A:$A,"="&amp;$K$2))</f>
        <v>0</v>
      </c>
      <c r="D104" s="245">
        <f>IFS(
AND($H$2=Data!$A$3,$K$2=Data!$A$2),SUMIFS(Proventos!$H:$H,Proventos!$D:$D,"&gt;="&amp;CONCATENATE($D$6,"/",B104),Proventos!$D:$D,"&lt;"&amp;CONCATENATE($E$6,"/",B104),Proventos!$J:$J,"="&amp;$H$2),
AND($H$2=Data!$A$4,$K$2=Data!$A$2),SUMIFS(Proventos!$H:$H,Proventos!$D:$D,"&gt;="&amp;CONCATENATE($D$6,"/",B104),Proventos!$D:$D,"&lt;"&amp;CONCATENATE($E$6,"/",B104),Proventos!$J:$J,"="&amp;$H$2),
AND($H$2=Data!$A$5,$K$2=Data!$A$2),SUMIFS(Proventos!$H:$H,Proventos!$D:$D,"&gt;="&amp;CONCATENATE($D$6,"/",B104),Proventos!$D:$D,"&lt;"&amp;CONCATENATE($E$6,"/",B104),Proventos!$J:$J,"="&amp;$H$2),
AND($H$2=Data!$A$6,$K$2=Data!$A$2),SUMIFS(Proventos!$H:$H,Proventos!$D:$D,"&gt;="&amp;CONCATENATE($D$6,"/",B104),Proventos!$D:$D,"&lt;"&amp;CONCATENATE($E$6,"/",B104),Proventos!$J:$J,"="&amp;$H$2),
AND($H$2=Data!$A$7,$K$2=Data!$A$2),SUMIFS(Proventos!$H:$H,Proventos!$D:$D,"&gt;="&amp;CONCATENATE($D$6,"/",B104),Proventos!$D:$D,"&lt;"&amp;CONCATENATE($E$6,"/",B104),Proventos!$J:$J,"="&amp;$H$2),
AND($H$2=Data!$A$8,$K$2=Data!$A$2),SUMIFS(Proventos!$H:$H,Proventos!$D:$D,"&gt;="&amp;CONCATENATE($D$6,"/",B104),Proventos!$D:$D,"&lt;"&amp;CONCATENATE($E$6,"/",B104),Proventos!$J:$J,"="&amp;$H$2),
AND($H$2=Data!$A$9,$K$2=Data!$A$2),SUMIFS(Proventos!$H:$H,Proventos!$D:$D,"&gt;="&amp;CONCATENATE($D$6,"/",B104),Proventos!$D:$D,"&lt;"&amp;CONCATENATE($E$6,"/",B104),Proventos!$J:$J,"="&amp;$H$2),
AND($H$2=Data!$A$10,$K$2=Data!$A$2),SUMIFS(Proventos!$H:$H,Proventos!$D:$D,"&gt;="&amp;CONCATENATE($D$6,"/",B104),Proventos!$D:$D,"&lt;"&amp;CONCATENATE($E$6,"/",B104),Proventos!$J:$J,"="&amp;$H$2),
AND($H$2=Data!$A$11,$K$2=Data!$A$2),SUMIFS(Proventos!$H:$H,Proventos!$D:$D,"&gt;="&amp;CONCATENATE($D$6,"/",B104),Proventos!$D:$D,"&lt;"&amp;CONCATENATE($E$6,"/",B104),Proventos!$J:$J,"="&amp;$H$2),
$K$2=Data!$A$2,SUMIFS(Proventos!$H:$H,Proventos!$D:$D,"&gt;="&amp;CONCATENATE($D$6,"/",B104),Proventos!$D:$D,"&lt;"&amp;CONCATENATE($E$6,"/",B104)),
$K$2&lt;&gt;Data!$A$2,SUMIFS(Proventos!$H:$H,Proventos!$D:$D,"&gt;="&amp;CONCATENATE($D$6,"/",B104),Proventos!$D:$D,"&lt;"&amp;CONCATENATE($E$6,"/",B104),Proventos!$A:$A,"="&amp;$K$2))</f>
        <v>0</v>
      </c>
      <c r="E104" s="245">
        <f>IFS(
AND($H$2=Data!$A$3,$K$2=Data!$A$2),SUMIFS(Proventos!$H:$H,Proventos!$D:$D,"&gt;="&amp;CONCATENATE($E$6,"/",B104),Proventos!$D:$D,"&lt;"&amp;CONCATENATE($F$6,"/",B104),Proventos!$J:$J,"="&amp;$H$2),
AND($H$2=Data!$A$4,$K$2=Data!$A$2),SUMIFS(Proventos!$H:$H,Proventos!$D:$D,"&gt;="&amp;CONCATENATE($E$6,"/",B104),Proventos!$D:$D,"&lt;"&amp;CONCATENATE($F$6,"/",B104),Proventos!$J:$J,"="&amp;$H$2),
AND($H$2=Data!$A$5,$K$2=Data!$A$2),SUMIFS(Proventos!$H:$H,Proventos!$D:$D,"&gt;="&amp;CONCATENATE($E$6,"/",B104),Proventos!$D:$D,"&lt;"&amp;CONCATENATE($F$6,"/",B104),Proventos!$J:$J,"="&amp;$H$2),
AND($H$2=Data!$A$6,$K$2=Data!$A$2),SUMIFS(Proventos!$H:$H,Proventos!$D:$D,"&gt;="&amp;CONCATENATE($E$6,"/",B104),Proventos!$D:$D,"&lt;"&amp;CONCATENATE($F$6,"/",B104),Proventos!$J:$J,"="&amp;$H$2),
AND($H$2=Data!$A$7,$K$2=Data!$A$2),SUMIFS(Proventos!$H:$H,Proventos!$D:$D,"&gt;="&amp;CONCATENATE($E$6,"/",B104),Proventos!$D:$D,"&lt;"&amp;CONCATENATE($F$6,"/",B104),Proventos!$J:$J,"="&amp;$H$2),
AND($H$2=Data!$A$8,$K$2=Data!$A$2),SUMIFS(Proventos!$H:$H,Proventos!$D:$D,"&gt;="&amp;CONCATENATE($E$6,"/",B104),Proventos!$D:$D,"&lt;"&amp;CONCATENATE($F$6,"/",B104),Proventos!$J:$J,"="&amp;$H$2),
AND($H$2=Data!$A$9,$K$2=Data!$A$2),SUMIFS(Proventos!$H:$H,Proventos!$D:$D,"&gt;="&amp;CONCATENATE($E$6,"/",B104),Proventos!$D:$D,"&lt;"&amp;CONCATENATE($F$6,"/",B104),Proventos!$J:$J,"="&amp;$H$2),
AND($H$2=Data!$A$10,$K$2=Data!$A$2),SUMIFS(Proventos!$H:$H,Proventos!$D:$D,"&gt;="&amp;CONCATENATE($E$6,"/",B104),Proventos!$D:$D,"&lt;"&amp;CONCATENATE($F$6,"/",B104),Proventos!$J:$J,"="&amp;$H$2),
AND($H$2=Data!$A$11,$K$2=Data!$A$2),SUMIFS(Proventos!$H:$H,Proventos!$D:$D,"&gt;="&amp;CONCATENATE($E$6,"/",B104),Proventos!$D:$D,"&lt;"&amp;CONCATENATE($F$6,"/",B104),Proventos!$J:$J,"="&amp;$H$2),
$K$2=Data!$A$2,SUMIFS(Proventos!$H:$H,Proventos!$D:$D,"&gt;="&amp;CONCATENATE($E$6,"/",B104),Proventos!$D:$D,"&lt;"&amp;CONCATENATE($F$6,"/",B104)),
$K$2&lt;&gt;Data!$A$2,SUMIFS(Proventos!$H:$H,Proventos!$D:$D,"&gt;="&amp;CONCATENATE($E$6,"/",B104),Proventos!$D:$D,"&lt;"&amp;CONCATENATE($F$6,"/",B104),Proventos!$A:$A,"="&amp;$K$2))</f>
        <v>0</v>
      </c>
      <c r="F104" s="245">
        <f>IFS(
AND($H$2=Data!$A$3,$K$2=Data!$A$2),SUMIFS(Proventos!$H:$H,Proventos!$D:$D,"&gt;="&amp;CONCATENATE($F$6,"/",B104),Proventos!$D:$D,"&lt;"&amp;CONCATENATE($G$6,"/",B104),Proventos!$J:$J,"="&amp;$H$2),
AND($H$2=Data!$A$4,$K$2=Data!$A$2),SUMIFS(Proventos!$H:$H,Proventos!$D:$D,"&gt;="&amp;CONCATENATE($F$6,"/",B104),Proventos!$D:$D,"&lt;"&amp;CONCATENATE($G$6,"/",B104),Proventos!$J:$J,"="&amp;$H$2),
AND($H$2=Data!$A$5,$K$2=Data!$A$2),SUMIFS(Proventos!$H:$H,Proventos!$D:$D,"&gt;="&amp;CONCATENATE($F$6,"/",B104),Proventos!$D:$D,"&lt;"&amp;CONCATENATE($G$6,"/",B104),Proventos!$J:$J,"="&amp;$H$2),
AND($H$2=Data!$A$6,$K$2=Data!$A$2),SUMIFS(Proventos!$H:$H,Proventos!$D:$D,"&gt;="&amp;CONCATENATE($F$6,"/",B104),Proventos!$D:$D,"&lt;"&amp;CONCATENATE($G$6,"/",B104),Proventos!$J:$J,"="&amp;$H$2),
AND($H$2=Data!$A$7,$K$2=Data!$A$2),SUMIFS(Proventos!$H:$H,Proventos!$D:$D,"&gt;="&amp;CONCATENATE($F$6,"/",B104),Proventos!$D:$D,"&lt;"&amp;CONCATENATE($G$6,"/",B104),Proventos!$J:$J,"="&amp;$H$2),
AND($H$2=Data!$A$8,$K$2=Data!$A$2),SUMIFS(Proventos!$H:$H,Proventos!$D:$D,"&gt;="&amp;CONCATENATE($F$6,"/",B104),Proventos!$D:$D,"&lt;"&amp;CONCATENATE($G$6,"/",B104),Proventos!$J:$J,"="&amp;$H$2),
AND($H$2=Data!$A$9,$K$2=Data!$A$2),SUMIFS(Proventos!$H:$H,Proventos!$D:$D,"&gt;="&amp;CONCATENATE($F$6,"/",B104),Proventos!$D:$D,"&lt;"&amp;CONCATENATE($G$6,"/",B104),Proventos!$J:$J,"="&amp;$H$2),
AND($H$2=Data!$A$10,$K$2=Data!$A$2),SUMIFS(Proventos!$H:$H,Proventos!$D:$D,"&gt;="&amp;CONCATENATE($F$6,"/",B104),Proventos!$D:$D,"&lt;"&amp;CONCATENATE($G$6,"/",B104),Proventos!$J:$J,"="&amp;$H$2),
AND($H$2=Data!$A$11,$K$2=Data!$A$2),SUMIFS(Proventos!$H:$H,Proventos!$D:$D,"&gt;="&amp;CONCATENATE($F$6,"/",B104),Proventos!$D:$D,"&lt;"&amp;CONCATENATE($G$6,"/",B104),Proventos!$J:$J,"="&amp;$H$2),
$K$2=Data!$A$2,SUMIFS(Proventos!$H:$H,Proventos!$D:$D,"&gt;="&amp;CONCATENATE($F$6,"/",B104),Proventos!$D:$D,"&lt;"&amp;CONCATENATE($G$6,"/",B104)),
$K$2&lt;&gt;Data!$A$2,SUMIFS(Proventos!$H:$H,Proventos!$D:$D,"&gt;="&amp;CONCATENATE($F$6,"/",B104),Proventos!$D:$D,"&lt;"&amp;CONCATENATE($G$6,"/",B104),Proventos!$A:$A,"="&amp;$K$2))</f>
        <v>0</v>
      </c>
      <c r="G104" s="245">
        <f>IFS(
AND($H$2=Data!$A$3,$K$2=Data!$A$2),SUMIFS(Proventos!$H:$H,Proventos!$D:$D,"&gt;="&amp;CONCATENATE($G$6,"/",B104),Proventos!$D:$D,"&lt;"&amp;CONCATENATE($H$6,"/",B104),Proventos!$J:$J,"="&amp;$H$2),
AND($H$2=Data!$A$4,$K$2=Data!$A$2),SUMIFS(Proventos!$H:$H,Proventos!$D:$D,"&gt;="&amp;CONCATENATE($G$6,"/",B104),Proventos!$D:$D,"&lt;"&amp;CONCATENATE($H$6,"/",B104),Proventos!$J:$J,"="&amp;$H$2),
AND($H$2=Data!$A$5,$K$2=Data!$A$2),SUMIFS(Proventos!$H:$H,Proventos!$D:$D,"&gt;="&amp;CONCATENATE($G$6,"/",B104),Proventos!$D:$D,"&lt;"&amp;CONCATENATE($H$6,"/",B104),Proventos!$J:$J,"="&amp;$H$2),
AND($H$2=Data!$A$6,$K$2=Data!$A$2),SUMIFS(Proventos!$H:$H,Proventos!$D:$D,"&gt;="&amp;CONCATENATE($G$6,"/",B104),Proventos!$D:$D,"&lt;"&amp;CONCATENATE($H$6,"/",B104),Proventos!$J:$J,"="&amp;$H$2),
AND($H$2=Data!$A$7,$K$2=Data!$A$2),SUMIFS(Proventos!$H:$H,Proventos!$D:$D,"&gt;="&amp;CONCATENATE($G$6,"/",B104),Proventos!$D:$D,"&lt;"&amp;CONCATENATE($H$6,"/",B104),Proventos!$J:$J,"="&amp;$H$2),
AND($H$2=Data!$A$8,$K$2=Data!$A$2),SUMIFS(Proventos!$H:$H,Proventos!$D:$D,"&gt;="&amp;CONCATENATE($G$6,"/",B104),Proventos!$D:$D,"&lt;"&amp;CONCATENATE($H$6,"/",B104),Proventos!$J:$J,"="&amp;$H$2),
AND($H$2=Data!$A$9,$K$2=Data!$A$2),SUMIFS(Proventos!$H:$H,Proventos!$D:$D,"&gt;="&amp;CONCATENATE($G$6,"/",B104),Proventos!$D:$D,"&lt;"&amp;CONCATENATE($H$6,"/",B104),Proventos!$J:$J,"="&amp;$H$2),
AND($H$2=Data!$A$10,$K$2=Data!$A$2),SUMIFS(Proventos!$H:$H,Proventos!$D:$D,"&gt;="&amp;CONCATENATE($G$6,"/",B104),Proventos!$D:$D,"&lt;"&amp;CONCATENATE($H$6,"/",B104),Proventos!$J:$J,"="&amp;$H$2),
AND($H$2=Data!$A$11,$K$2=Data!$A$2),SUMIFS(Proventos!$H:$H,Proventos!$D:$D,"&gt;="&amp;CONCATENATE($G$6,"/",B104),Proventos!$D:$D,"&lt;"&amp;CONCATENATE($H$6,"/",B104),Proventos!$J:$J,"="&amp;$H$2),
$K$2=Data!$A$2,SUMIFS(Proventos!$H:$H,Proventos!$D:$D,"&gt;="&amp;CONCATENATE($G$6,"/",B104),Proventos!$D:$D,"&lt;"&amp;CONCATENATE($H$6,"/",B104)),
$K$2&lt;&gt;Data!$A$2,SUMIFS(Proventos!$H:$H,Proventos!$D:$D,"&gt;="&amp;CONCATENATE($G$6,"/",B104),Proventos!$D:$D,"&lt;"&amp;CONCATENATE($H$6,"/",B104),Proventos!$A:$A,"="&amp;$K$2))</f>
        <v>0</v>
      </c>
      <c r="H104" s="245">
        <f>IFS(
AND($H$2=Data!$A$3,$K$2=Data!$A$2),SUMIFS(Proventos!$H:$H,Proventos!$D:$D,"&gt;="&amp;CONCATENATE($H$6,"/",B104),Proventos!$D:$D,"&lt;"&amp;CONCATENATE($I$6,"/",B104),Proventos!$J:$J,"="&amp;$H$2),
AND($H$2=Data!$A$4,$K$2=Data!$A$2),SUMIFS(Proventos!$H:$H,Proventos!$D:$D,"&gt;="&amp;CONCATENATE($H$6,"/",B104),Proventos!$D:$D,"&lt;"&amp;CONCATENATE($I$6,"/",B104),Proventos!$J:$J,"="&amp;$H$2),
AND($H$2=Data!$A$5,$K$2=Data!$A$2),SUMIFS(Proventos!$H:$H,Proventos!$D:$D,"&gt;="&amp;CONCATENATE($H$6,"/",B104),Proventos!$D:$D,"&lt;"&amp;CONCATENATE($I$6,"/",B104),Proventos!$J:$J,"="&amp;$H$2),
AND($H$2=Data!$A$6,$K$2=Data!$A$2),SUMIFS(Proventos!$H:$H,Proventos!$D:$D,"&gt;="&amp;CONCATENATE($H$6,"/",B104),Proventos!$D:$D,"&lt;"&amp;CONCATENATE($I$6,"/",B104),Proventos!$J:$J,"="&amp;$H$2),
AND($H$2=Data!$A$7,$K$2=Data!$A$2),SUMIFS(Proventos!$H:$H,Proventos!$D:$D,"&gt;="&amp;CONCATENATE($H$6,"/",B104),Proventos!$D:$D,"&lt;"&amp;CONCATENATE($I$6,"/",B104),Proventos!$J:$J,"="&amp;$H$2),
AND($H$2=Data!$A$8,$K$2=Data!$A$2),SUMIFS(Proventos!$H:$H,Proventos!$D:$D,"&gt;="&amp;CONCATENATE($H$6,"/",B104),Proventos!$D:$D,"&lt;"&amp;CONCATENATE($I$6,"/",B104),Proventos!$J:$J,"="&amp;$H$2),
AND($H$2=Data!$A$9,$K$2=Data!$A$2),SUMIFS(Proventos!$H:$H,Proventos!$D:$D,"&gt;="&amp;CONCATENATE($H$6,"/",B104),Proventos!$D:$D,"&lt;"&amp;CONCATENATE($I$6,"/",B104),Proventos!$J:$J,"="&amp;$H$2),
AND($H$2=Data!$A$10,$K$2=Data!$A$2),SUMIFS(Proventos!$H:$H,Proventos!$D:$D,"&gt;="&amp;CONCATENATE($H$6,"/",B104),Proventos!$D:$D,"&lt;"&amp;CONCATENATE($I$6,"/",B104),Proventos!$J:$J,"="&amp;$H$2),
AND($H$2=Data!$A$11,$K$2=Data!$A$2),SUMIFS(Proventos!$H:$H,Proventos!$D:$D,"&gt;="&amp;CONCATENATE($H$6,"/",B104),Proventos!$D:$D,"&lt;"&amp;CONCATENATE($I$6,"/",B104),Proventos!$J:$J,"="&amp;$H$2),
$K$2=Data!$A$2,SUMIFS(Proventos!$H:$H,Proventos!$D:$D,"&gt;="&amp;CONCATENATE($H$6,"/",B104),Proventos!$D:$D,"&lt;"&amp;CONCATENATE($I$6,"/",B104)),
$K$2&lt;&gt;Data!$A$2,SUMIFS(Proventos!$H:$H,Proventos!$D:$D,"&gt;="&amp;CONCATENATE($H$6,"/",B104),Proventos!$D:$D,"&lt;"&amp;CONCATENATE($I$6,"/",B104),Proventos!$A:$A,"="&amp;$K$2))</f>
        <v>0</v>
      </c>
      <c r="I104" s="245">
        <f>IFS(
AND($H$2=Data!$A$3,$K$2=Data!$A$2),SUMIFS(Proventos!$H:$H,Proventos!$D:$D,"&gt;="&amp;CONCATENATE($I$6,"/",B104),Proventos!$D:$D,"&lt;"&amp;CONCATENATE($J$6,"/",B104),Proventos!$J:$J,"="&amp;$H$2),
AND($H$2=Data!$A$4,$K$2=Data!$A$2),SUMIFS(Proventos!$H:$H,Proventos!$D:$D,"&gt;="&amp;CONCATENATE($I$6,"/",B104),Proventos!$D:$D,"&lt;"&amp;CONCATENATE($J$6,"/",B104),Proventos!$J:$J,"="&amp;$H$2),
AND($H$2=Data!$A$5,$K$2=Data!$A$2),SUMIFS(Proventos!$H:$H,Proventos!$D:$D,"&gt;="&amp;CONCATENATE($I$6,"/",B104),Proventos!$D:$D,"&lt;"&amp;CONCATENATE($J$6,"/",B104),Proventos!$J:$J,"="&amp;$H$2),
AND($H$2=Data!$A$6,$K$2=Data!$A$2),SUMIFS(Proventos!$H:$H,Proventos!$D:$D,"&gt;="&amp;CONCATENATE($I$6,"/",B104),Proventos!$D:$D,"&lt;"&amp;CONCATENATE($J$6,"/",B104),Proventos!$J:$J,"="&amp;$H$2),
AND($H$2=Data!$A$7,$K$2=Data!$A$2),SUMIFS(Proventos!$H:$H,Proventos!$D:$D,"&gt;="&amp;CONCATENATE($I$6,"/",B104),Proventos!$D:$D,"&lt;"&amp;CONCATENATE($J$6,"/",B104),Proventos!$J:$J,"="&amp;$H$2),
AND($H$2=Data!$A$8,$K$2=Data!$A$2),SUMIFS(Proventos!$H:$H,Proventos!$D:$D,"&gt;="&amp;CONCATENATE($I$6,"/",B104),Proventos!$D:$D,"&lt;"&amp;CONCATENATE($J$6,"/",B104),Proventos!$J:$J,"="&amp;$H$2),
AND($H$2=Data!$A$9,$K$2=Data!$A$2),SUMIFS(Proventos!$H:$H,Proventos!$D:$D,"&gt;="&amp;CONCATENATE($I$6,"/",B104),Proventos!$D:$D,"&lt;"&amp;CONCATENATE($J$6,"/",B104),Proventos!$J:$J,"="&amp;$H$2),
AND($H$2=Data!$A$10,$K$2=Data!$A$2),SUMIFS(Proventos!$H:$H,Proventos!$D:$D,"&gt;="&amp;CONCATENATE($I$6,"/",B104),Proventos!$D:$D,"&lt;"&amp;CONCATENATE($J$6,"/",B104),Proventos!$J:$J,"="&amp;$H$2),
AND($H$2=Data!$A$11,$K$2=Data!$A$2),SUMIFS(Proventos!$H:$H,Proventos!$D:$D,"&gt;="&amp;CONCATENATE($I$6,"/",B104),Proventos!$D:$D,"&lt;"&amp;CONCATENATE($J$6,"/",B104),Proventos!$J:$J,"="&amp;$H$2),
$K$2=Data!$A$2,SUMIFS(Proventos!$H:$H,Proventos!$D:$D,"&gt;="&amp;CONCATENATE($I$6,"/",B104),Proventos!$D:$D,"&lt;"&amp;CONCATENATE($J$6,"/",B104)),
$K$2&lt;&gt;Data!$A$2,SUMIFS(Proventos!$H:$H,Proventos!$D:$D,"&gt;="&amp;CONCATENATE($I$6,"/",B104),Proventos!$D:$D,"&lt;"&amp;CONCATENATE($J$6,"/",B104),Proventos!$A:$A,"="&amp;$K$2))</f>
        <v>0</v>
      </c>
      <c r="J104" s="245">
        <f>IFS(
AND($H$2=Data!$A$3,$K$2=Data!$A$2),SUMIFS(Proventos!$H:$H,Proventos!$D:$D,"&gt;="&amp;CONCATENATE($J$6,"/",B104),Proventos!$D:$D,"&lt;"&amp;CONCATENATE($K$6,"/",B104),Proventos!$J:$J,"="&amp;$H$2),
AND($H$2=Data!$A$4,$K$2=Data!$A$2),SUMIFS(Proventos!$H:$H,Proventos!$D:$D,"&gt;="&amp;CONCATENATE($J$6,"/",B104),Proventos!$D:$D,"&lt;"&amp;CONCATENATE($K$6,"/",B104),Proventos!$J:$J,"="&amp;$H$2),
AND($H$2=Data!$A$5,$K$2=Data!$A$2),SUMIFS(Proventos!$H:$H,Proventos!$D:$D,"&gt;="&amp;CONCATENATE($J$6,"/",B104),Proventos!$D:$D,"&lt;"&amp;CONCATENATE($K$6,"/",B104),Proventos!$J:$J,"="&amp;$H$2),
AND($H$2=Data!$A$6,$K$2=Data!$A$2),SUMIFS(Proventos!$H:$H,Proventos!$D:$D,"&gt;="&amp;CONCATENATE($J$6,"/",B104),Proventos!$D:$D,"&lt;"&amp;CONCATENATE($K$6,"/",B104),Proventos!$J:$J,"="&amp;$H$2),
AND($H$2=Data!$A$7,$K$2=Data!$A$2),SUMIFS(Proventos!$H:$H,Proventos!$D:$D,"&gt;="&amp;CONCATENATE($J$6,"/",B104),Proventos!$D:$D,"&lt;"&amp;CONCATENATE($K$6,"/",B104),Proventos!$J:$J,"="&amp;$H$2),
AND($H$2=Data!$A$8,$K$2=Data!$A$2),SUMIFS(Proventos!$H:$H,Proventos!$D:$D,"&gt;="&amp;CONCATENATE($J$6,"/",B104),Proventos!$D:$D,"&lt;"&amp;CONCATENATE($K$6,"/",B104),Proventos!$J:$J,"="&amp;$H$2),
AND($H$2=Data!$A$9,$K$2=Data!$A$2),SUMIFS(Proventos!$H:$H,Proventos!$D:$D,"&gt;="&amp;CONCATENATE($J$6,"/",B104),Proventos!$D:$D,"&lt;"&amp;CONCATENATE($K$6,"/",B104),Proventos!$J:$J,"="&amp;$H$2),
AND($H$2=Data!$A$10,$K$2=Data!$A$2),SUMIFS(Proventos!$H:$H,Proventos!$D:$D,"&gt;="&amp;CONCATENATE($J$6,"/",B104),Proventos!$D:$D,"&lt;"&amp;CONCATENATE($K$6,"/",B104),Proventos!$J:$J,"="&amp;$H$2),
AND($H$2=Data!$A$11,$K$2=Data!$A$2),SUMIFS(Proventos!$H:$H,Proventos!$D:$D,"&gt;="&amp;CONCATENATE($J$6,"/",B104),Proventos!$D:$D,"&lt;"&amp;CONCATENATE($K$6,"/",B104),Proventos!$J:$J,"="&amp;$H$2),
$K$2=Data!$A$2,SUMIFS(Proventos!$H:$H,Proventos!$D:$D,"&gt;="&amp;CONCATENATE($J$6,"/",B104),Proventos!$D:$D,"&lt;"&amp;CONCATENATE($K$6,"/",B104)),
$K$2&lt;&gt;Data!$A$2,SUMIFS(Proventos!$H:$H,Proventos!$D:$D,"&gt;="&amp;CONCATENATE($J$6,"/",B104),Proventos!$D:$D,"&lt;"&amp;CONCATENATE($K$6,"/",B104),Proventos!$A:$A,"="&amp;$K$2))</f>
        <v>0</v>
      </c>
      <c r="K104" s="245">
        <f>IFS(
AND($H$2=Data!$A$3,$K$2=Data!$A$2),SUMIFS(Proventos!$H:$H,Proventos!$D:$D,"&gt;="&amp;CONCATENATE($K$6,"/",B104),Proventos!$D:$D,"&lt;"&amp;CONCATENATE($L$6,"/",B104),Proventos!$J:$J,"="&amp;$H$2),
AND($H$2=Data!$A$4,$K$2=Data!$A$2),SUMIFS(Proventos!$H:$H,Proventos!$D:$D,"&gt;="&amp;CONCATENATE($K$6,"/",B104),Proventos!$D:$D,"&lt;"&amp;CONCATENATE($L$6,"/",B104),Proventos!$J:$J,"="&amp;$H$2),
AND($H$2=Data!$A$5,$K$2=Data!$A$2),SUMIFS(Proventos!$H:$H,Proventos!$D:$D,"&gt;="&amp;CONCATENATE($K$6,"/",B104),Proventos!$D:$D,"&lt;"&amp;CONCATENATE($L$6,"/",B104),Proventos!$J:$J,"="&amp;$H$2),
AND($H$2=Data!$A$6,$K$2=Data!$A$2),SUMIFS(Proventos!$H:$H,Proventos!$D:$D,"&gt;="&amp;CONCATENATE($K$6,"/",B104),Proventos!$D:$D,"&lt;"&amp;CONCATENATE($L$6,"/",B104),Proventos!$J:$J,"="&amp;$H$2),
AND($H$2=Data!$A$7,$K$2=Data!$A$2),SUMIFS(Proventos!$H:$H,Proventos!$D:$D,"&gt;="&amp;CONCATENATE($K$6,"/",B104),Proventos!$D:$D,"&lt;"&amp;CONCATENATE($L$6,"/",B104),Proventos!$J:$J,"="&amp;$H$2),
AND($H$2=Data!$A$8,$K$2=Data!$A$2),SUMIFS(Proventos!$H:$H,Proventos!$D:$D,"&gt;="&amp;CONCATENATE($K$6,"/",B104),Proventos!$D:$D,"&lt;"&amp;CONCATENATE($L$6,"/",B104),Proventos!$J:$J,"="&amp;$H$2),
AND($H$2=Data!$A$9,$K$2=Data!$A$2),SUMIFS(Proventos!$H:$H,Proventos!$D:$D,"&gt;="&amp;CONCATENATE($K$6,"/",B104),Proventos!$D:$D,"&lt;"&amp;CONCATENATE($L$6,"/",B104),Proventos!$J:$J,"="&amp;$H$2),
AND($H$2=Data!$A$10,$K$2=Data!$A$2),SUMIFS(Proventos!$H:$H,Proventos!$D:$D,"&gt;="&amp;CONCATENATE($K$6,"/",B104),Proventos!$D:$D,"&lt;"&amp;CONCATENATE($L$6,"/",B104),Proventos!$J:$J,"="&amp;$H$2),
AND($H$2=Data!$A$11,$K$2=Data!$A$2),SUMIFS(Proventos!$H:$H,Proventos!$D:$D,"&gt;="&amp;CONCATENATE($K$6,"/",B104),Proventos!$D:$D,"&lt;"&amp;CONCATENATE($L$6,"/",B104),Proventos!$J:$J,"="&amp;$H$2),
$K$2=Data!$A$2,SUMIFS(Proventos!$H:$H,Proventos!$D:$D,"&gt;="&amp;CONCATENATE($K$6,"/",B104),Proventos!$D:$D,"&lt;"&amp;CONCATENATE($L$6,"/",B104)),
$K$2&lt;&gt;Data!$A$2,SUMIFS(Proventos!$H:$H,Proventos!$D:$D,"&gt;="&amp;CONCATENATE($K$6,"/",B104),Proventos!$D:$D,"&lt;"&amp;CONCATENATE($L$6,"/",B104),Proventos!$A:$A,"="&amp;$K$2))</f>
        <v>0</v>
      </c>
      <c r="L104" s="245">
        <f>IFS(
AND($H$2=Data!$A$3,$K$2=Data!$A$2),SUMIFS(Proventos!$H:$H,Proventos!$D:$D,"&gt;="&amp;CONCATENATE($L$6,"/",B104),Proventos!$D:$D,"&lt;"&amp;CONCATENATE($M$6,"/",B104),Proventos!$J:$J,"="&amp;$H$2),
AND($H$2=Data!$A$4,$K$2=Data!$A$2),SUMIFS(Proventos!$H:$H,Proventos!$D:$D,"&gt;="&amp;CONCATENATE($L$6,"/",B104),Proventos!$D:$D,"&lt;"&amp;CONCATENATE($M$6,"/",B104),Proventos!$J:$J,"="&amp;$H$2),
AND($H$2=Data!$A$5,$K$2=Data!$A$2),SUMIFS(Proventos!$H:$H,Proventos!$D:$D,"&gt;="&amp;CONCATENATE($L$6,"/",B104),Proventos!$D:$D,"&lt;"&amp;CONCATENATE($M$6,"/",B104),Proventos!$J:$J,"="&amp;$H$2),
AND($H$2=Data!$A$6,$K$2=Data!$A$2),SUMIFS(Proventos!$H:$H,Proventos!$D:$D,"&gt;="&amp;CONCATENATE($L$6,"/",B104),Proventos!$D:$D,"&lt;"&amp;CONCATENATE($M$6,"/",B104),Proventos!$J:$J,"="&amp;$H$2),
AND($H$2=Data!$A$7,$K$2=Data!$A$2),SUMIFS(Proventos!$H:$H,Proventos!$D:$D,"&gt;="&amp;CONCATENATE($L$6,"/",B104),Proventos!$D:$D,"&lt;"&amp;CONCATENATE($M$6,"/",B104),Proventos!$J:$J,"="&amp;$H$2),
AND($H$2=Data!$A$8,$K$2=Data!$A$2),SUMIFS(Proventos!$H:$H,Proventos!$D:$D,"&gt;="&amp;CONCATENATE($L$6,"/",B104),Proventos!$D:$D,"&lt;"&amp;CONCATENATE($M$6,"/",B104),Proventos!$J:$J,"="&amp;$H$2),
AND($H$2=Data!$A$9,$K$2=Data!$A$2),SUMIFS(Proventos!$H:$H,Proventos!$D:$D,"&gt;="&amp;CONCATENATE($L$6,"/",B104),Proventos!$D:$D,"&lt;"&amp;CONCATENATE($M$6,"/",B104),Proventos!$J:$J,"="&amp;$H$2),
AND($H$2=Data!$A$10,$K$2=Data!$A$2),SUMIFS(Proventos!$H:$H,Proventos!$D:$D,"&gt;="&amp;CONCATENATE($L$6,"/",B104),Proventos!$D:$D,"&lt;"&amp;CONCATENATE($M$6,"/",B104),Proventos!$J:$J,"="&amp;$H$2),
AND($H$2=Data!$A$11,$K$2=Data!$A$2),SUMIFS(Proventos!$H:$H,Proventos!$D:$D,"&gt;="&amp;CONCATENATE($L$6,"/",B104),Proventos!$D:$D,"&lt;"&amp;CONCATENATE($M$6,"/",B104),Proventos!$J:$J,"="&amp;$H$2),
$K$2=Data!$A$2,SUMIFS(Proventos!$H:$H,Proventos!$D:$D,"&gt;="&amp;CONCATENATE($L$6,"/",B104),Proventos!$D:$D,"&lt;"&amp;CONCATENATE($M$6,"/",B104)),
$K$2&lt;&gt;Data!$A$2,SUMIFS(Proventos!$H:$H,Proventos!$D:$D,"&gt;="&amp;CONCATENATE($L$6,"/",B104),Proventos!$D:$D,"&lt;"&amp;CONCATENATE($M$6,"/",B104),Proventos!$A:$A,"="&amp;$K$2))</f>
        <v>0</v>
      </c>
      <c r="M104" s="245">
        <f>IFS(
AND($H$2=Data!$A$3,$K$2=Data!$A$2),SUMIFS(Proventos!$H:$H,Proventos!$D:$D,"&gt;="&amp;CONCATENATE($M$6,"/",B104),Proventos!$D:$D,"&lt;"&amp;CONCATENATE($N$6,"/",B104),Proventos!$J:$J,"="&amp;$H$2),
AND($H$2=Data!$A$4,$K$2=Data!$A$2),SUMIFS(Proventos!$H:$H,Proventos!$D:$D,"&gt;="&amp;CONCATENATE($M$6,"/",B104),Proventos!$D:$D,"&lt;"&amp;CONCATENATE($N$6,"/",B104),Proventos!$J:$J,"="&amp;$H$2),
AND($H$2=Data!$A$5,$K$2=Data!$A$2),SUMIFS(Proventos!$H:$H,Proventos!$D:$D,"&gt;="&amp;CONCATENATE($M$6,"/",B104),Proventos!$D:$D,"&lt;"&amp;CONCATENATE($N$6,"/",B104),Proventos!$J:$J,"="&amp;$H$2),
AND($H$2=Data!$A$6,$K$2=Data!$A$2),SUMIFS(Proventos!$H:$H,Proventos!$D:$D,"&gt;="&amp;CONCATENATE($M$6,"/",B104),Proventos!$D:$D,"&lt;"&amp;CONCATENATE($N$6,"/",B104),Proventos!$J:$J,"="&amp;$H$2),
AND($H$2=Data!$A$7,$K$2=Data!$A$2),SUMIFS(Proventos!$H:$H,Proventos!$D:$D,"&gt;="&amp;CONCATENATE($M$6,"/",B104),Proventos!$D:$D,"&lt;"&amp;CONCATENATE($N$6,"/",B104),Proventos!$J:$J,"="&amp;$H$2),
AND($H$2=Data!$A$8,$K$2=Data!$A$2),SUMIFS(Proventos!$H:$H,Proventos!$D:$D,"&gt;="&amp;CONCATENATE($M$6,"/",B104),Proventos!$D:$D,"&lt;"&amp;CONCATENATE($N$6,"/",B104),Proventos!$J:$J,"="&amp;$H$2),
AND($H$2=Data!$A$9,$K$2=Data!$A$2),SUMIFS(Proventos!$H:$H,Proventos!$D:$D,"&gt;="&amp;CONCATENATE($M$6,"/",B104),Proventos!$D:$D,"&lt;"&amp;CONCATENATE($N$6,"/",B104),Proventos!$J:$J,"="&amp;$H$2),
AND($H$2=Data!$A$10,$K$2=Data!$A$2),SUMIFS(Proventos!$H:$H,Proventos!$D:$D,"&gt;="&amp;CONCATENATE($M$6,"/",B104),Proventos!$D:$D,"&lt;"&amp;CONCATENATE($N$6,"/",B104),Proventos!$J:$J,"="&amp;$H$2),
AND($H$2=Data!$A$11,$K$2=Data!$A$2),SUMIFS(Proventos!$H:$H,Proventos!$D:$D,"&gt;="&amp;CONCATENATE($M$6,"/",B104),Proventos!$D:$D,"&lt;"&amp;CONCATENATE($N$6,"/",B104),Proventos!$J:$J,"="&amp;$H$2),
$K$2=Data!$A$2,SUMIFS(Proventos!$H:$H,Proventos!$D:$D,"&gt;="&amp;CONCATENATE($M$6,"/",B104),Proventos!$D:$D,"&lt;"&amp;CONCATENATE($N$6,"/",B104)),
$K$2&lt;&gt;Data!$A$2,SUMIFS(Proventos!$H:$H,Proventos!$D:$D,"&gt;="&amp;CONCATENATE($M$6,"/",B104),Proventos!$D:$D,"&lt;"&amp;CONCATENATE($N$6,"/",B104),Proventos!$A:$A,"="&amp;$K$2))</f>
        <v>0</v>
      </c>
      <c r="N104" s="245">
        <f>IFS(
AND($H$2=Data!$A$3,$K$2=Data!$A$2),SUMIFS(Proventos!$H:$H,Proventos!$D:$D,"&gt;="&amp;CONCATENATE($N$6,"/",B104),Proventos!$D:$D,"&lt;"&amp;CONCATENATE($C$6,"/",B105),Proventos!$J:$J,"="&amp;$H$2),
AND($H$2=Data!$A$4,$K$2=Data!$A$2),SUMIFS(Proventos!$H:$H,Proventos!$D:$D,"&gt;="&amp;CONCATENATE($N$6,"/",B104),Proventos!$D:$D,"&lt;"&amp;CONCATENATE($C$6,"/",B105),Proventos!$J:$J,"="&amp;$H$2),
AND($H$2=Data!$A$5,$K$2=Data!$A$2),SUMIFS(Proventos!$H:$H,Proventos!$D:$D,"&gt;="&amp;CONCATENATE($N$6,"/",B104),Proventos!$D:$D,"&lt;"&amp;CONCATENATE($C$6,"/",B105),Proventos!$J:$J,"="&amp;$H$2),
AND($H$2=Data!$A$6,$K$2=Data!$A$2),SUMIFS(Proventos!$H:$H,Proventos!$D:$D,"&gt;="&amp;CONCATENATE($N$6,"/",B104),Proventos!$D:$D,"&lt;"&amp;CONCATENATE($C$6,"/",B105),Proventos!$J:$J,"="&amp;$H$2),
AND($H$2=Data!$A$7,$K$2=Data!$A$2),SUMIFS(Proventos!$H:$H,Proventos!$D:$D,"&gt;="&amp;CONCATENATE($N$6,"/",B104),Proventos!$D:$D,"&lt;"&amp;CONCATENATE($C$6,"/",B105),Proventos!$J:$J,"="&amp;$H$2),
AND($H$2=Data!$A$8,$K$2=Data!$A$2),SUMIFS(Proventos!$H:$H,Proventos!$D:$D,"&gt;="&amp;CONCATENATE($N$6,"/",B104),Proventos!$D:$D,"&lt;"&amp;CONCATENATE($C$6,"/",B105),Proventos!$J:$J,"="&amp;$H$2),
AND($H$2=Data!$A$9,$K$2=Data!$A$2),SUMIFS(Proventos!$H:$H,Proventos!$D:$D,"&gt;="&amp;CONCATENATE($N$6,"/",B104),Proventos!$D:$D,"&lt;"&amp;CONCATENATE($C$6,"/",B105),Proventos!$J:$J,"="&amp;$H$2),
AND($H$2=Data!$A$10,$K$2=Data!$A$2),SUMIFS(Proventos!$H:$H,Proventos!$D:$D,"&gt;="&amp;CONCATENATE($N$6,"/",B104),Proventos!$D:$D,"&lt;"&amp;CONCATENATE($C$6,"/",B105),Proventos!$J:$J,"="&amp;$H$2),
AND($H$2=Data!$A$11,$K$2=Data!$A$2),SUMIFS(Proventos!$H:$H,Proventos!$D:$D,"&gt;="&amp;CONCATENATE($N$6,"/",B104),Proventos!$D:$D,"&lt;"&amp;CONCATENATE($C$6,"/",B105),Proventos!$J:$J,"="&amp;$H$2),
$K$2=Data!$A$2,SUMIFS(Proventos!$H:$H,Proventos!$D:$D,"&gt;="&amp;CONCATENATE($N$6,"/",B104),Proventos!$D:$D,"&lt;"&amp;CONCATENATE($C$6,"/",B105)),
$K$2&lt;&gt;Data!$A$2,SUMIFS(Proventos!$H:$H,Proventos!$D:$D,"&gt;="&amp;CONCATENATE($N$6,"/",B104),Proventos!$D:$D,"&lt;"&amp;CONCATENATE($C$6,"/",B105),Proventos!$A:$A,"="&amp;$K$2))</f>
        <v>0</v>
      </c>
      <c r="O104" s="245"/>
      <c r="P104" s="245">
        <f t="shared" si="1"/>
        <v>0</v>
      </c>
      <c r="Q104" s="245">
        <f t="shared" si="2"/>
        <v>0</v>
      </c>
    </row>
    <row r="105" ht="32.25" customHeight="1">
      <c r="A105" s="230"/>
      <c r="B105" s="244"/>
      <c r="C105" s="245">
        <f>IFS(
AND($H$2=Data!$A$3,$K$2=Data!$A$2),SUMIFS(Proventos!$H:$H,Proventos!$D:$D,"&gt;="&amp;CONCATENATE($C$6,"/",B105),Proventos!$D:$D,"&lt;"&amp;CONCATENATE($D$6,"/",B105),Proventos!$J:$J,"="&amp;$H$2),
AND($H$2=Data!$A$4,$K$2=Data!$A$2),SUMIFS(Proventos!$H:$H,Proventos!$D:$D,"&gt;="&amp;CONCATENATE($C$6,"/",B105),Proventos!$D:$D,"&lt;"&amp;CONCATENATE($D$6,"/",B105),Proventos!$J:$J,"="&amp;$H$2),
AND($H$2=Data!$A$5,$K$2=Data!$A$2),SUMIFS(Proventos!$H:$H,Proventos!$D:$D,"&gt;="&amp;CONCATENATE($C$6,"/",B105),Proventos!$D:$D,"&lt;"&amp;CONCATENATE($D$6,"/",B105),Proventos!$J:$J,"="&amp;$H$2),
AND($H$2=Data!$A$6,$K$2=Data!$A$2),SUMIFS(Proventos!$H:$H,Proventos!$D:$D,"&gt;="&amp;CONCATENATE($C$6,"/",B105),Proventos!$D:$D,"&lt;"&amp;CONCATENATE($D$6,"/",B105),Proventos!$J:$J,"="&amp;$H$2),
AND($H$2=Data!$A$7,$K$2=Data!$A$2),SUMIFS(Proventos!$H:$H,Proventos!$D:$D,"&gt;="&amp;CONCATENATE($C$6,"/",B105),Proventos!$D:$D,"&lt;"&amp;CONCATENATE($D$6,"/",B105),Proventos!$J:$J,"="&amp;$H$2),
AND($H$2=Data!$A$8,$K$2=Data!$A$2),SUMIFS(Proventos!$H:$H,Proventos!$D:$D,"&gt;="&amp;CONCATENATE($C$6,"/",B105),Proventos!$D:$D,"&lt;"&amp;CONCATENATE($D$6,"/",B105),Proventos!$J:$J,"="&amp;$H$2),
AND($H$2=Data!$A$9,$K$2=Data!$A$2),SUMIFS(Proventos!$H:$H,Proventos!$D:$D,"&gt;="&amp;CONCATENATE($C$6,"/",B105),Proventos!$D:$D,"&lt;"&amp;CONCATENATE($D$6,"/",B105),Proventos!$J:$J,"="&amp;$H$2),
AND($H$2=Data!$A$10,$K$2=Data!$A$2),SUMIFS(Proventos!$H:$H,Proventos!$D:$D,"&gt;="&amp;CONCATENATE($C$6,"/",B105),Proventos!$D:$D,"&lt;"&amp;CONCATENATE($D$6,"/",B105),Proventos!$J:$J,"="&amp;$H$2),
AND($H$2=Data!$A$11,$K$2=Data!$A$2),SUMIFS(Proventos!$H:$H,Proventos!$D:$D,"&gt;="&amp;CONCATENATE($C$6,"/",B105),Proventos!$D:$D,"&lt;"&amp;CONCATENATE($D$6,"/",B105),Proventos!$J:$J,"="&amp;$H$2),
$K$2=Data!$A$2,SUMIFS(Proventos!$H:$H,Proventos!$D:$D,"&gt;="&amp;CONCATENATE($C$6,"/",B105),Proventos!$D:$D,"&lt;"&amp;CONCATENATE($D$6,"/",B105)),
$K$2&lt;&gt;Data!$A$2,SUMIFS(Proventos!$H:$H,Proventos!$D:$D,"&gt;="&amp;CONCATENATE($C$6,"/",B105),Proventos!$D:$D,"&lt;"&amp;CONCATENATE($D$6,"/",B105),Proventos!$A:$A,"="&amp;$K$2))</f>
        <v>0</v>
      </c>
      <c r="D105" s="245">
        <f>IFS(
AND($H$2=Data!$A$3,$K$2=Data!$A$2),SUMIFS(Proventos!$H:$H,Proventos!$D:$D,"&gt;="&amp;CONCATENATE($D$6,"/",B105),Proventos!$D:$D,"&lt;"&amp;CONCATENATE($E$6,"/",B105),Proventos!$J:$J,"="&amp;$H$2),
AND($H$2=Data!$A$4,$K$2=Data!$A$2),SUMIFS(Proventos!$H:$H,Proventos!$D:$D,"&gt;="&amp;CONCATENATE($D$6,"/",B105),Proventos!$D:$D,"&lt;"&amp;CONCATENATE($E$6,"/",B105),Proventos!$J:$J,"="&amp;$H$2),
AND($H$2=Data!$A$5,$K$2=Data!$A$2),SUMIFS(Proventos!$H:$H,Proventos!$D:$D,"&gt;="&amp;CONCATENATE($D$6,"/",B105),Proventos!$D:$D,"&lt;"&amp;CONCATENATE($E$6,"/",B105),Proventos!$J:$J,"="&amp;$H$2),
AND($H$2=Data!$A$6,$K$2=Data!$A$2),SUMIFS(Proventos!$H:$H,Proventos!$D:$D,"&gt;="&amp;CONCATENATE($D$6,"/",B105),Proventos!$D:$D,"&lt;"&amp;CONCATENATE($E$6,"/",B105),Proventos!$J:$J,"="&amp;$H$2),
AND($H$2=Data!$A$7,$K$2=Data!$A$2),SUMIFS(Proventos!$H:$H,Proventos!$D:$D,"&gt;="&amp;CONCATENATE($D$6,"/",B105),Proventos!$D:$D,"&lt;"&amp;CONCATENATE($E$6,"/",B105),Proventos!$J:$J,"="&amp;$H$2),
AND($H$2=Data!$A$8,$K$2=Data!$A$2),SUMIFS(Proventos!$H:$H,Proventos!$D:$D,"&gt;="&amp;CONCATENATE($D$6,"/",B105),Proventos!$D:$D,"&lt;"&amp;CONCATENATE($E$6,"/",B105),Proventos!$J:$J,"="&amp;$H$2),
AND($H$2=Data!$A$9,$K$2=Data!$A$2),SUMIFS(Proventos!$H:$H,Proventos!$D:$D,"&gt;="&amp;CONCATENATE($D$6,"/",B105),Proventos!$D:$D,"&lt;"&amp;CONCATENATE($E$6,"/",B105),Proventos!$J:$J,"="&amp;$H$2),
AND($H$2=Data!$A$10,$K$2=Data!$A$2),SUMIFS(Proventos!$H:$H,Proventos!$D:$D,"&gt;="&amp;CONCATENATE($D$6,"/",B105),Proventos!$D:$D,"&lt;"&amp;CONCATENATE($E$6,"/",B105),Proventos!$J:$J,"="&amp;$H$2),
AND($H$2=Data!$A$11,$K$2=Data!$A$2),SUMIFS(Proventos!$H:$H,Proventos!$D:$D,"&gt;="&amp;CONCATENATE($D$6,"/",B105),Proventos!$D:$D,"&lt;"&amp;CONCATENATE($E$6,"/",B105),Proventos!$J:$J,"="&amp;$H$2),
$K$2=Data!$A$2,SUMIFS(Proventos!$H:$H,Proventos!$D:$D,"&gt;="&amp;CONCATENATE($D$6,"/",B105),Proventos!$D:$D,"&lt;"&amp;CONCATENATE($E$6,"/",B105)),
$K$2&lt;&gt;Data!$A$2,SUMIFS(Proventos!$H:$H,Proventos!$D:$D,"&gt;="&amp;CONCATENATE($D$6,"/",B105),Proventos!$D:$D,"&lt;"&amp;CONCATENATE($E$6,"/",B105),Proventos!$A:$A,"="&amp;$K$2))</f>
        <v>0</v>
      </c>
      <c r="E105" s="245">
        <f>IFS(
AND($H$2=Data!$A$3,$K$2=Data!$A$2),SUMIFS(Proventos!$H:$H,Proventos!$D:$D,"&gt;="&amp;CONCATENATE($E$6,"/",B105),Proventos!$D:$D,"&lt;"&amp;CONCATENATE($F$6,"/",B105),Proventos!$J:$J,"="&amp;$H$2),
AND($H$2=Data!$A$4,$K$2=Data!$A$2),SUMIFS(Proventos!$H:$H,Proventos!$D:$D,"&gt;="&amp;CONCATENATE($E$6,"/",B105),Proventos!$D:$D,"&lt;"&amp;CONCATENATE($F$6,"/",B105),Proventos!$J:$J,"="&amp;$H$2),
AND($H$2=Data!$A$5,$K$2=Data!$A$2),SUMIFS(Proventos!$H:$H,Proventos!$D:$D,"&gt;="&amp;CONCATENATE($E$6,"/",B105),Proventos!$D:$D,"&lt;"&amp;CONCATENATE($F$6,"/",B105),Proventos!$J:$J,"="&amp;$H$2),
AND($H$2=Data!$A$6,$K$2=Data!$A$2),SUMIFS(Proventos!$H:$H,Proventos!$D:$D,"&gt;="&amp;CONCATENATE($E$6,"/",B105),Proventos!$D:$D,"&lt;"&amp;CONCATENATE($F$6,"/",B105),Proventos!$J:$J,"="&amp;$H$2),
AND($H$2=Data!$A$7,$K$2=Data!$A$2),SUMIFS(Proventos!$H:$H,Proventos!$D:$D,"&gt;="&amp;CONCATENATE($E$6,"/",B105),Proventos!$D:$D,"&lt;"&amp;CONCATENATE($F$6,"/",B105),Proventos!$J:$J,"="&amp;$H$2),
AND($H$2=Data!$A$8,$K$2=Data!$A$2),SUMIFS(Proventos!$H:$H,Proventos!$D:$D,"&gt;="&amp;CONCATENATE($E$6,"/",B105),Proventos!$D:$D,"&lt;"&amp;CONCATENATE($F$6,"/",B105),Proventos!$J:$J,"="&amp;$H$2),
AND($H$2=Data!$A$9,$K$2=Data!$A$2),SUMIFS(Proventos!$H:$H,Proventos!$D:$D,"&gt;="&amp;CONCATENATE($E$6,"/",B105),Proventos!$D:$D,"&lt;"&amp;CONCATENATE($F$6,"/",B105),Proventos!$J:$J,"="&amp;$H$2),
AND($H$2=Data!$A$10,$K$2=Data!$A$2),SUMIFS(Proventos!$H:$H,Proventos!$D:$D,"&gt;="&amp;CONCATENATE($E$6,"/",B105),Proventos!$D:$D,"&lt;"&amp;CONCATENATE($F$6,"/",B105),Proventos!$J:$J,"="&amp;$H$2),
AND($H$2=Data!$A$11,$K$2=Data!$A$2),SUMIFS(Proventos!$H:$H,Proventos!$D:$D,"&gt;="&amp;CONCATENATE($E$6,"/",B105),Proventos!$D:$D,"&lt;"&amp;CONCATENATE($F$6,"/",B105),Proventos!$J:$J,"="&amp;$H$2),
$K$2=Data!$A$2,SUMIFS(Proventos!$H:$H,Proventos!$D:$D,"&gt;="&amp;CONCATENATE($E$6,"/",B105),Proventos!$D:$D,"&lt;"&amp;CONCATENATE($F$6,"/",B105)),
$K$2&lt;&gt;Data!$A$2,SUMIFS(Proventos!$H:$H,Proventos!$D:$D,"&gt;="&amp;CONCATENATE($E$6,"/",B105),Proventos!$D:$D,"&lt;"&amp;CONCATENATE($F$6,"/",B105),Proventos!$A:$A,"="&amp;$K$2))</f>
        <v>0</v>
      </c>
      <c r="F105" s="245">
        <f>IFS(
AND($H$2=Data!$A$3,$K$2=Data!$A$2),SUMIFS(Proventos!$H:$H,Proventos!$D:$D,"&gt;="&amp;CONCATENATE($F$6,"/",B105),Proventos!$D:$D,"&lt;"&amp;CONCATENATE($G$6,"/",B105),Proventos!$J:$J,"="&amp;$H$2),
AND($H$2=Data!$A$4,$K$2=Data!$A$2),SUMIFS(Proventos!$H:$H,Proventos!$D:$D,"&gt;="&amp;CONCATENATE($F$6,"/",B105),Proventos!$D:$D,"&lt;"&amp;CONCATENATE($G$6,"/",B105),Proventos!$J:$J,"="&amp;$H$2),
AND($H$2=Data!$A$5,$K$2=Data!$A$2),SUMIFS(Proventos!$H:$H,Proventos!$D:$D,"&gt;="&amp;CONCATENATE($F$6,"/",B105),Proventos!$D:$D,"&lt;"&amp;CONCATENATE($G$6,"/",B105),Proventos!$J:$J,"="&amp;$H$2),
AND($H$2=Data!$A$6,$K$2=Data!$A$2),SUMIFS(Proventos!$H:$H,Proventos!$D:$D,"&gt;="&amp;CONCATENATE($F$6,"/",B105),Proventos!$D:$D,"&lt;"&amp;CONCATENATE($G$6,"/",B105),Proventos!$J:$J,"="&amp;$H$2),
AND($H$2=Data!$A$7,$K$2=Data!$A$2),SUMIFS(Proventos!$H:$H,Proventos!$D:$D,"&gt;="&amp;CONCATENATE($F$6,"/",B105),Proventos!$D:$D,"&lt;"&amp;CONCATENATE($G$6,"/",B105),Proventos!$J:$J,"="&amp;$H$2),
AND($H$2=Data!$A$8,$K$2=Data!$A$2),SUMIFS(Proventos!$H:$H,Proventos!$D:$D,"&gt;="&amp;CONCATENATE($F$6,"/",B105),Proventos!$D:$D,"&lt;"&amp;CONCATENATE($G$6,"/",B105),Proventos!$J:$J,"="&amp;$H$2),
AND($H$2=Data!$A$9,$K$2=Data!$A$2),SUMIFS(Proventos!$H:$H,Proventos!$D:$D,"&gt;="&amp;CONCATENATE($F$6,"/",B105),Proventos!$D:$D,"&lt;"&amp;CONCATENATE($G$6,"/",B105),Proventos!$J:$J,"="&amp;$H$2),
AND($H$2=Data!$A$10,$K$2=Data!$A$2),SUMIFS(Proventos!$H:$H,Proventos!$D:$D,"&gt;="&amp;CONCATENATE($F$6,"/",B105),Proventos!$D:$D,"&lt;"&amp;CONCATENATE($G$6,"/",B105),Proventos!$J:$J,"="&amp;$H$2),
AND($H$2=Data!$A$11,$K$2=Data!$A$2),SUMIFS(Proventos!$H:$H,Proventos!$D:$D,"&gt;="&amp;CONCATENATE($F$6,"/",B105),Proventos!$D:$D,"&lt;"&amp;CONCATENATE($G$6,"/",B105),Proventos!$J:$J,"="&amp;$H$2),
$K$2=Data!$A$2,SUMIFS(Proventos!$H:$H,Proventos!$D:$D,"&gt;="&amp;CONCATENATE($F$6,"/",B105),Proventos!$D:$D,"&lt;"&amp;CONCATENATE($G$6,"/",B105)),
$K$2&lt;&gt;Data!$A$2,SUMIFS(Proventos!$H:$H,Proventos!$D:$D,"&gt;="&amp;CONCATENATE($F$6,"/",B105),Proventos!$D:$D,"&lt;"&amp;CONCATENATE($G$6,"/",B105),Proventos!$A:$A,"="&amp;$K$2))</f>
        <v>0</v>
      </c>
      <c r="G105" s="245">
        <f>IFS(
AND($H$2=Data!$A$3,$K$2=Data!$A$2),SUMIFS(Proventos!$H:$H,Proventos!$D:$D,"&gt;="&amp;CONCATENATE($G$6,"/",B105),Proventos!$D:$D,"&lt;"&amp;CONCATENATE($H$6,"/",B105),Proventos!$J:$J,"="&amp;$H$2),
AND($H$2=Data!$A$4,$K$2=Data!$A$2),SUMIFS(Proventos!$H:$H,Proventos!$D:$D,"&gt;="&amp;CONCATENATE($G$6,"/",B105),Proventos!$D:$D,"&lt;"&amp;CONCATENATE($H$6,"/",B105),Proventos!$J:$J,"="&amp;$H$2),
AND($H$2=Data!$A$5,$K$2=Data!$A$2),SUMIFS(Proventos!$H:$H,Proventos!$D:$D,"&gt;="&amp;CONCATENATE($G$6,"/",B105),Proventos!$D:$D,"&lt;"&amp;CONCATENATE($H$6,"/",B105),Proventos!$J:$J,"="&amp;$H$2),
AND($H$2=Data!$A$6,$K$2=Data!$A$2),SUMIFS(Proventos!$H:$H,Proventos!$D:$D,"&gt;="&amp;CONCATENATE($G$6,"/",B105),Proventos!$D:$D,"&lt;"&amp;CONCATENATE($H$6,"/",B105),Proventos!$J:$J,"="&amp;$H$2),
AND($H$2=Data!$A$7,$K$2=Data!$A$2),SUMIFS(Proventos!$H:$H,Proventos!$D:$D,"&gt;="&amp;CONCATENATE($G$6,"/",B105),Proventos!$D:$D,"&lt;"&amp;CONCATENATE($H$6,"/",B105),Proventos!$J:$J,"="&amp;$H$2),
AND($H$2=Data!$A$8,$K$2=Data!$A$2),SUMIFS(Proventos!$H:$H,Proventos!$D:$D,"&gt;="&amp;CONCATENATE($G$6,"/",B105),Proventos!$D:$D,"&lt;"&amp;CONCATENATE($H$6,"/",B105),Proventos!$J:$J,"="&amp;$H$2),
AND($H$2=Data!$A$9,$K$2=Data!$A$2),SUMIFS(Proventos!$H:$H,Proventos!$D:$D,"&gt;="&amp;CONCATENATE($G$6,"/",B105),Proventos!$D:$D,"&lt;"&amp;CONCATENATE($H$6,"/",B105),Proventos!$J:$J,"="&amp;$H$2),
AND($H$2=Data!$A$10,$K$2=Data!$A$2),SUMIFS(Proventos!$H:$H,Proventos!$D:$D,"&gt;="&amp;CONCATENATE($G$6,"/",B105),Proventos!$D:$D,"&lt;"&amp;CONCATENATE($H$6,"/",B105),Proventos!$J:$J,"="&amp;$H$2),
AND($H$2=Data!$A$11,$K$2=Data!$A$2),SUMIFS(Proventos!$H:$H,Proventos!$D:$D,"&gt;="&amp;CONCATENATE($G$6,"/",B105),Proventos!$D:$D,"&lt;"&amp;CONCATENATE($H$6,"/",B105),Proventos!$J:$J,"="&amp;$H$2),
$K$2=Data!$A$2,SUMIFS(Proventos!$H:$H,Proventos!$D:$D,"&gt;="&amp;CONCATENATE($G$6,"/",B105),Proventos!$D:$D,"&lt;"&amp;CONCATENATE($H$6,"/",B105)),
$K$2&lt;&gt;Data!$A$2,SUMIFS(Proventos!$H:$H,Proventos!$D:$D,"&gt;="&amp;CONCATENATE($G$6,"/",B105),Proventos!$D:$D,"&lt;"&amp;CONCATENATE($H$6,"/",B105),Proventos!$A:$A,"="&amp;$K$2))</f>
        <v>0</v>
      </c>
      <c r="H105" s="245">
        <f>IFS(
AND($H$2=Data!$A$3,$K$2=Data!$A$2),SUMIFS(Proventos!$H:$H,Proventos!$D:$D,"&gt;="&amp;CONCATENATE($H$6,"/",B105),Proventos!$D:$D,"&lt;"&amp;CONCATENATE($I$6,"/",B105),Proventos!$J:$J,"="&amp;$H$2),
AND($H$2=Data!$A$4,$K$2=Data!$A$2),SUMIFS(Proventos!$H:$H,Proventos!$D:$D,"&gt;="&amp;CONCATENATE($H$6,"/",B105),Proventos!$D:$D,"&lt;"&amp;CONCATENATE($I$6,"/",B105),Proventos!$J:$J,"="&amp;$H$2),
AND($H$2=Data!$A$5,$K$2=Data!$A$2),SUMIFS(Proventos!$H:$H,Proventos!$D:$D,"&gt;="&amp;CONCATENATE($H$6,"/",B105),Proventos!$D:$D,"&lt;"&amp;CONCATENATE($I$6,"/",B105),Proventos!$J:$J,"="&amp;$H$2),
AND($H$2=Data!$A$6,$K$2=Data!$A$2),SUMIFS(Proventos!$H:$H,Proventos!$D:$D,"&gt;="&amp;CONCATENATE($H$6,"/",B105),Proventos!$D:$D,"&lt;"&amp;CONCATENATE($I$6,"/",B105),Proventos!$J:$J,"="&amp;$H$2),
AND($H$2=Data!$A$7,$K$2=Data!$A$2),SUMIFS(Proventos!$H:$H,Proventos!$D:$D,"&gt;="&amp;CONCATENATE($H$6,"/",B105),Proventos!$D:$D,"&lt;"&amp;CONCATENATE($I$6,"/",B105),Proventos!$J:$J,"="&amp;$H$2),
AND($H$2=Data!$A$8,$K$2=Data!$A$2),SUMIFS(Proventos!$H:$H,Proventos!$D:$D,"&gt;="&amp;CONCATENATE($H$6,"/",B105),Proventos!$D:$D,"&lt;"&amp;CONCATENATE($I$6,"/",B105),Proventos!$J:$J,"="&amp;$H$2),
AND($H$2=Data!$A$9,$K$2=Data!$A$2),SUMIFS(Proventos!$H:$H,Proventos!$D:$D,"&gt;="&amp;CONCATENATE($H$6,"/",B105),Proventos!$D:$D,"&lt;"&amp;CONCATENATE($I$6,"/",B105),Proventos!$J:$J,"="&amp;$H$2),
AND($H$2=Data!$A$10,$K$2=Data!$A$2),SUMIFS(Proventos!$H:$H,Proventos!$D:$D,"&gt;="&amp;CONCATENATE($H$6,"/",B105),Proventos!$D:$D,"&lt;"&amp;CONCATENATE($I$6,"/",B105),Proventos!$J:$J,"="&amp;$H$2),
AND($H$2=Data!$A$11,$K$2=Data!$A$2),SUMIFS(Proventos!$H:$H,Proventos!$D:$D,"&gt;="&amp;CONCATENATE($H$6,"/",B105),Proventos!$D:$D,"&lt;"&amp;CONCATENATE($I$6,"/",B105),Proventos!$J:$J,"="&amp;$H$2),
$K$2=Data!$A$2,SUMIFS(Proventos!$H:$H,Proventos!$D:$D,"&gt;="&amp;CONCATENATE($H$6,"/",B105),Proventos!$D:$D,"&lt;"&amp;CONCATENATE($I$6,"/",B105)),
$K$2&lt;&gt;Data!$A$2,SUMIFS(Proventos!$H:$H,Proventos!$D:$D,"&gt;="&amp;CONCATENATE($H$6,"/",B105),Proventos!$D:$D,"&lt;"&amp;CONCATENATE($I$6,"/",B105),Proventos!$A:$A,"="&amp;$K$2))</f>
        <v>0</v>
      </c>
      <c r="I105" s="245">
        <f>IFS(
AND($H$2=Data!$A$3,$K$2=Data!$A$2),SUMIFS(Proventos!$H:$H,Proventos!$D:$D,"&gt;="&amp;CONCATENATE($I$6,"/",B105),Proventos!$D:$D,"&lt;"&amp;CONCATENATE($J$6,"/",B105),Proventos!$J:$J,"="&amp;$H$2),
AND($H$2=Data!$A$4,$K$2=Data!$A$2),SUMIFS(Proventos!$H:$H,Proventos!$D:$D,"&gt;="&amp;CONCATENATE($I$6,"/",B105),Proventos!$D:$D,"&lt;"&amp;CONCATENATE($J$6,"/",B105),Proventos!$J:$J,"="&amp;$H$2),
AND($H$2=Data!$A$5,$K$2=Data!$A$2),SUMIFS(Proventos!$H:$H,Proventos!$D:$D,"&gt;="&amp;CONCATENATE($I$6,"/",B105),Proventos!$D:$D,"&lt;"&amp;CONCATENATE($J$6,"/",B105),Proventos!$J:$J,"="&amp;$H$2),
AND($H$2=Data!$A$6,$K$2=Data!$A$2),SUMIFS(Proventos!$H:$H,Proventos!$D:$D,"&gt;="&amp;CONCATENATE($I$6,"/",B105),Proventos!$D:$D,"&lt;"&amp;CONCATENATE($J$6,"/",B105),Proventos!$J:$J,"="&amp;$H$2),
AND($H$2=Data!$A$7,$K$2=Data!$A$2),SUMIFS(Proventos!$H:$H,Proventos!$D:$D,"&gt;="&amp;CONCATENATE($I$6,"/",B105),Proventos!$D:$D,"&lt;"&amp;CONCATENATE($J$6,"/",B105),Proventos!$J:$J,"="&amp;$H$2),
AND($H$2=Data!$A$8,$K$2=Data!$A$2),SUMIFS(Proventos!$H:$H,Proventos!$D:$D,"&gt;="&amp;CONCATENATE($I$6,"/",B105),Proventos!$D:$D,"&lt;"&amp;CONCATENATE($J$6,"/",B105),Proventos!$J:$J,"="&amp;$H$2),
AND($H$2=Data!$A$9,$K$2=Data!$A$2),SUMIFS(Proventos!$H:$H,Proventos!$D:$D,"&gt;="&amp;CONCATENATE($I$6,"/",B105),Proventos!$D:$D,"&lt;"&amp;CONCATENATE($J$6,"/",B105),Proventos!$J:$J,"="&amp;$H$2),
AND($H$2=Data!$A$10,$K$2=Data!$A$2),SUMIFS(Proventos!$H:$H,Proventos!$D:$D,"&gt;="&amp;CONCATENATE($I$6,"/",B105),Proventos!$D:$D,"&lt;"&amp;CONCATENATE($J$6,"/",B105),Proventos!$J:$J,"="&amp;$H$2),
AND($H$2=Data!$A$11,$K$2=Data!$A$2),SUMIFS(Proventos!$H:$H,Proventos!$D:$D,"&gt;="&amp;CONCATENATE($I$6,"/",B105),Proventos!$D:$D,"&lt;"&amp;CONCATENATE($J$6,"/",B105),Proventos!$J:$J,"="&amp;$H$2),
$K$2=Data!$A$2,SUMIFS(Proventos!$H:$H,Proventos!$D:$D,"&gt;="&amp;CONCATENATE($I$6,"/",B105),Proventos!$D:$D,"&lt;"&amp;CONCATENATE($J$6,"/",B105)),
$K$2&lt;&gt;Data!$A$2,SUMIFS(Proventos!$H:$H,Proventos!$D:$D,"&gt;="&amp;CONCATENATE($I$6,"/",B105),Proventos!$D:$D,"&lt;"&amp;CONCATENATE($J$6,"/",B105),Proventos!$A:$A,"="&amp;$K$2))</f>
        <v>0</v>
      </c>
      <c r="J105" s="245">
        <f>IFS(
AND($H$2=Data!$A$3,$K$2=Data!$A$2),SUMIFS(Proventos!$H:$H,Proventos!$D:$D,"&gt;="&amp;CONCATENATE($J$6,"/",B105),Proventos!$D:$D,"&lt;"&amp;CONCATENATE($K$6,"/",B105),Proventos!$J:$J,"="&amp;$H$2),
AND($H$2=Data!$A$4,$K$2=Data!$A$2),SUMIFS(Proventos!$H:$H,Proventos!$D:$D,"&gt;="&amp;CONCATENATE($J$6,"/",B105),Proventos!$D:$D,"&lt;"&amp;CONCATENATE($K$6,"/",B105),Proventos!$J:$J,"="&amp;$H$2),
AND($H$2=Data!$A$5,$K$2=Data!$A$2),SUMIFS(Proventos!$H:$H,Proventos!$D:$D,"&gt;="&amp;CONCATENATE($J$6,"/",B105),Proventos!$D:$D,"&lt;"&amp;CONCATENATE($K$6,"/",B105),Proventos!$J:$J,"="&amp;$H$2),
AND($H$2=Data!$A$6,$K$2=Data!$A$2),SUMIFS(Proventos!$H:$H,Proventos!$D:$D,"&gt;="&amp;CONCATENATE($J$6,"/",B105),Proventos!$D:$D,"&lt;"&amp;CONCATENATE($K$6,"/",B105),Proventos!$J:$J,"="&amp;$H$2),
AND($H$2=Data!$A$7,$K$2=Data!$A$2),SUMIFS(Proventos!$H:$H,Proventos!$D:$D,"&gt;="&amp;CONCATENATE($J$6,"/",B105),Proventos!$D:$D,"&lt;"&amp;CONCATENATE($K$6,"/",B105),Proventos!$J:$J,"="&amp;$H$2),
AND($H$2=Data!$A$8,$K$2=Data!$A$2),SUMIFS(Proventos!$H:$H,Proventos!$D:$D,"&gt;="&amp;CONCATENATE($J$6,"/",B105),Proventos!$D:$D,"&lt;"&amp;CONCATENATE($K$6,"/",B105),Proventos!$J:$J,"="&amp;$H$2),
AND($H$2=Data!$A$9,$K$2=Data!$A$2),SUMIFS(Proventos!$H:$H,Proventos!$D:$D,"&gt;="&amp;CONCATENATE($J$6,"/",B105),Proventos!$D:$D,"&lt;"&amp;CONCATENATE($K$6,"/",B105),Proventos!$J:$J,"="&amp;$H$2),
AND($H$2=Data!$A$10,$K$2=Data!$A$2),SUMIFS(Proventos!$H:$H,Proventos!$D:$D,"&gt;="&amp;CONCATENATE($J$6,"/",B105),Proventos!$D:$D,"&lt;"&amp;CONCATENATE($K$6,"/",B105),Proventos!$J:$J,"="&amp;$H$2),
AND($H$2=Data!$A$11,$K$2=Data!$A$2),SUMIFS(Proventos!$H:$H,Proventos!$D:$D,"&gt;="&amp;CONCATENATE($J$6,"/",B105),Proventos!$D:$D,"&lt;"&amp;CONCATENATE($K$6,"/",B105),Proventos!$J:$J,"="&amp;$H$2),
$K$2=Data!$A$2,SUMIFS(Proventos!$H:$H,Proventos!$D:$D,"&gt;="&amp;CONCATENATE($J$6,"/",B105),Proventos!$D:$D,"&lt;"&amp;CONCATENATE($K$6,"/",B105)),
$K$2&lt;&gt;Data!$A$2,SUMIFS(Proventos!$H:$H,Proventos!$D:$D,"&gt;="&amp;CONCATENATE($J$6,"/",B105),Proventos!$D:$D,"&lt;"&amp;CONCATENATE($K$6,"/",B105),Proventos!$A:$A,"="&amp;$K$2))</f>
        <v>0</v>
      </c>
      <c r="K105" s="245">
        <f>IFS(
AND($H$2=Data!$A$3,$K$2=Data!$A$2),SUMIFS(Proventos!$H:$H,Proventos!$D:$D,"&gt;="&amp;CONCATENATE($K$6,"/",B105),Proventos!$D:$D,"&lt;"&amp;CONCATENATE($L$6,"/",B105),Proventos!$J:$J,"="&amp;$H$2),
AND($H$2=Data!$A$4,$K$2=Data!$A$2),SUMIFS(Proventos!$H:$H,Proventos!$D:$D,"&gt;="&amp;CONCATENATE($K$6,"/",B105),Proventos!$D:$D,"&lt;"&amp;CONCATENATE($L$6,"/",B105),Proventos!$J:$J,"="&amp;$H$2),
AND($H$2=Data!$A$5,$K$2=Data!$A$2),SUMIFS(Proventos!$H:$H,Proventos!$D:$D,"&gt;="&amp;CONCATENATE($K$6,"/",B105),Proventos!$D:$D,"&lt;"&amp;CONCATENATE($L$6,"/",B105),Proventos!$J:$J,"="&amp;$H$2),
AND($H$2=Data!$A$6,$K$2=Data!$A$2),SUMIFS(Proventos!$H:$H,Proventos!$D:$D,"&gt;="&amp;CONCATENATE($K$6,"/",B105),Proventos!$D:$D,"&lt;"&amp;CONCATENATE($L$6,"/",B105),Proventos!$J:$J,"="&amp;$H$2),
AND($H$2=Data!$A$7,$K$2=Data!$A$2),SUMIFS(Proventos!$H:$H,Proventos!$D:$D,"&gt;="&amp;CONCATENATE($K$6,"/",B105),Proventos!$D:$D,"&lt;"&amp;CONCATENATE($L$6,"/",B105),Proventos!$J:$J,"="&amp;$H$2),
AND($H$2=Data!$A$8,$K$2=Data!$A$2),SUMIFS(Proventos!$H:$H,Proventos!$D:$D,"&gt;="&amp;CONCATENATE($K$6,"/",B105),Proventos!$D:$D,"&lt;"&amp;CONCATENATE($L$6,"/",B105),Proventos!$J:$J,"="&amp;$H$2),
AND($H$2=Data!$A$9,$K$2=Data!$A$2),SUMIFS(Proventos!$H:$H,Proventos!$D:$D,"&gt;="&amp;CONCATENATE($K$6,"/",B105),Proventos!$D:$D,"&lt;"&amp;CONCATENATE($L$6,"/",B105),Proventos!$J:$J,"="&amp;$H$2),
AND($H$2=Data!$A$10,$K$2=Data!$A$2),SUMIFS(Proventos!$H:$H,Proventos!$D:$D,"&gt;="&amp;CONCATENATE($K$6,"/",B105),Proventos!$D:$D,"&lt;"&amp;CONCATENATE($L$6,"/",B105),Proventos!$J:$J,"="&amp;$H$2),
AND($H$2=Data!$A$11,$K$2=Data!$A$2),SUMIFS(Proventos!$H:$H,Proventos!$D:$D,"&gt;="&amp;CONCATENATE($K$6,"/",B105),Proventos!$D:$D,"&lt;"&amp;CONCATENATE($L$6,"/",B105),Proventos!$J:$J,"="&amp;$H$2),
$K$2=Data!$A$2,SUMIFS(Proventos!$H:$H,Proventos!$D:$D,"&gt;="&amp;CONCATENATE($K$6,"/",B105),Proventos!$D:$D,"&lt;"&amp;CONCATENATE($L$6,"/",B105)),
$K$2&lt;&gt;Data!$A$2,SUMIFS(Proventos!$H:$H,Proventos!$D:$D,"&gt;="&amp;CONCATENATE($K$6,"/",B105),Proventos!$D:$D,"&lt;"&amp;CONCATENATE($L$6,"/",B105),Proventos!$A:$A,"="&amp;$K$2))</f>
        <v>0</v>
      </c>
      <c r="L105" s="245">
        <f>IFS(
AND($H$2=Data!$A$3,$K$2=Data!$A$2),SUMIFS(Proventos!$H:$H,Proventos!$D:$D,"&gt;="&amp;CONCATENATE($L$6,"/",B105),Proventos!$D:$D,"&lt;"&amp;CONCATENATE($M$6,"/",B105),Proventos!$J:$J,"="&amp;$H$2),
AND($H$2=Data!$A$4,$K$2=Data!$A$2),SUMIFS(Proventos!$H:$H,Proventos!$D:$D,"&gt;="&amp;CONCATENATE($L$6,"/",B105),Proventos!$D:$D,"&lt;"&amp;CONCATENATE($M$6,"/",B105),Proventos!$J:$J,"="&amp;$H$2),
AND($H$2=Data!$A$5,$K$2=Data!$A$2),SUMIFS(Proventos!$H:$H,Proventos!$D:$D,"&gt;="&amp;CONCATENATE($L$6,"/",B105),Proventos!$D:$D,"&lt;"&amp;CONCATENATE($M$6,"/",B105),Proventos!$J:$J,"="&amp;$H$2),
AND($H$2=Data!$A$6,$K$2=Data!$A$2),SUMIFS(Proventos!$H:$H,Proventos!$D:$D,"&gt;="&amp;CONCATENATE($L$6,"/",B105),Proventos!$D:$D,"&lt;"&amp;CONCATENATE($M$6,"/",B105),Proventos!$J:$J,"="&amp;$H$2),
AND($H$2=Data!$A$7,$K$2=Data!$A$2),SUMIFS(Proventos!$H:$H,Proventos!$D:$D,"&gt;="&amp;CONCATENATE($L$6,"/",B105),Proventos!$D:$D,"&lt;"&amp;CONCATENATE($M$6,"/",B105),Proventos!$J:$J,"="&amp;$H$2),
AND($H$2=Data!$A$8,$K$2=Data!$A$2),SUMIFS(Proventos!$H:$H,Proventos!$D:$D,"&gt;="&amp;CONCATENATE($L$6,"/",B105),Proventos!$D:$D,"&lt;"&amp;CONCATENATE($M$6,"/",B105),Proventos!$J:$J,"="&amp;$H$2),
AND($H$2=Data!$A$9,$K$2=Data!$A$2),SUMIFS(Proventos!$H:$H,Proventos!$D:$D,"&gt;="&amp;CONCATENATE($L$6,"/",B105),Proventos!$D:$D,"&lt;"&amp;CONCATENATE($M$6,"/",B105),Proventos!$J:$J,"="&amp;$H$2),
AND($H$2=Data!$A$10,$K$2=Data!$A$2),SUMIFS(Proventos!$H:$H,Proventos!$D:$D,"&gt;="&amp;CONCATENATE($L$6,"/",B105),Proventos!$D:$D,"&lt;"&amp;CONCATENATE($M$6,"/",B105),Proventos!$J:$J,"="&amp;$H$2),
AND($H$2=Data!$A$11,$K$2=Data!$A$2),SUMIFS(Proventos!$H:$H,Proventos!$D:$D,"&gt;="&amp;CONCATENATE($L$6,"/",B105),Proventos!$D:$D,"&lt;"&amp;CONCATENATE($M$6,"/",B105),Proventos!$J:$J,"="&amp;$H$2),
$K$2=Data!$A$2,SUMIFS(Proventos!$H:$H,Proventos!$D:$D,"&gt;="&amp;CONCATENATE($L$6,"/",B105),Proventos!$D:$D,"&lt;"&amp;CONCATENATE($M$6,"/",B105)),
$K$2&lt;&gt;Data!$A$2,SUMIFS(Proventos!$H:$H,Proventos!$D:$D,"&gt;="&amp;CONCATENATE($L$6,"/",B105),Proventos!$D:$D,"&lt;"&amp;CONCATENATE($M$6,"/",B105),Proventos!$A:$A,"="&amp;$K$2))</f>
        <v>0</v>
      </c>
      <c r="M105" s="245">
        <f>IFS(
AND($H$2=Data!$A$3,$K$2=Data!$A$2),SUMIFS(Proventos!$H:$H,Proventos!$D:$D,"&gt;="&amp;CONCATENATE($M$6,"/",B105),Proventos!$D:$D,"&lt;"&amp;CONCATENATE($N$6,"/",B105),Proventos!$J:$J,"="&amp;$H$2),
AND($H$2=Data!$A$4,$K$2=Data!$A$2),SUMIFS(Proventos!$H:$H,Proventos!$D:$D,"&gt;="&amp;CONCATENATE($M$6,"/",B105),Proventos!$D:$D,"&lt;"&amp;CONCATENATE($N$6,"/",B105),Proventos!$J:$J,"="&amp;$H$2),
AND($H$2=Data!$A$5,$K$2=Data!$A$2),SUMIFS(Proventos!$H:$H,Proventos!$D:$D,"&gt;="&amp;CONCATENATE($M$6,"/",B105),Proventos!$D:$D,"&lt;"&amp;CONCATENATE($N$6,"/",B105),Proventos!$J:$J,"="&amp;$H$2),
AND($H$2=Data!$A$6,$K$2=Data!$A$2),SUMIFS(Proventos!$H:$H,Proventos!$D:$D,"&gt;="&amp;CONCATENATE($M$6,"/",B105),Proventos!$D:$D,"&lt;"&amp;CONCATENATE($N$6,"/",B105),Proventos!$J:$J,"="&amp;$H$2),
AND($H$2=Data!$A$7,$K$2=Data!$A$2),SUMIFS(Proventos!$H:$H,Proventos!$D:$D,"&gt;="&amp;CONCATENATE($M$6,"/",B105),Proventos!$D:$D,"&lt;"&amp;CONCATENATE($N$6,"/",B105),Proventos!$J:$J,"="&amp;$H$2),
AND($H$2=Data!$A$8,$K$2=Data!$A$2),SUMIFS(Proventos!$H:$H,Proventos!$D:$D,"&gt;="&amp;CONCATENATE($M$6,"/",B105),Proventos!$D:$D,"&lt;"&amp;CONCATENATE($N$6,"/",B105),Proventos!$J:$J,"="&amp;$H$2),
AND($H$2=Data!$A$9,$K$2=Data!$A$2),SUMIFS(Proventos!$H:$H,Proventos!$D:$D,"&gt;="&amp;CONCATENATE($M$6,"/",B105),Proventos!$D:$D,"&lt;"&amp;CONCATENATE($N$6,"/",B105),Proventos!$J:$J,"="&amp;$H$2),
AND($H$2=Data!$A$10,$K$2=Data!$A$2),SUMIFS(Proventos!$H:$H,Proventos!$D:$D,"&gt;="&amp;CONCATENATE($M$6,"/",B105),Proventos!$D:$D,"&lt;"&amp;CONCATENATE($N$6,"/",B105),Proventos!$J:$J,"="&amp;$H$2),
AND($H$2=Data!$A$11,$K$2=Data!$A$2),SUMIFS(Proventos!$H:$H,Proventos!$D:$D,"&gt;="&amp;CONCATENATE($M$6,"/",B105),Proventos!$D:$D,"&lt;"&amp;CONCATENATE($N$6,"/",B105),Proventos!$J:$J,"="&amp;$H$2),
$K$2=Data!$A$2,SUMIFS(Proventos!$H:$H,Proventos!$D:$D,"&gt;="&amp;CONCATENATE($M$6,"/",B105),Proventos!$D:$D,"&lt;"&amp;CONCATENATE($N$6,"/",B105)),
$K$2&lt;&gt;Data!$A$2,SUMIFS(Proventos!$H:$H,Proventos!$D:$D,"&gt;="&amp;CONCATENATE($M$6,"/",B105),Proventos!$D:$D,"&lt;"&amp;CONCATENATE($N$6,"/",B105),Proventos!$A:$A,"="&amp;$K$2))</f>
        <v>0</v>
      </c>
      <c r="N105" s="245">
        <f>IFS(
AND($H$2=Data!$A$3,$K$2=Data!$A$2),SUMIFS(Proventos!$H:$H,Proventos!$D:$D,"&gt;="&amp;CONCATENATE($N$6,"/",B105),Proventos!$D:$D,"&lt;"&amp;CONCATENATE($C$6,"/",B106),Proventos!$J:$J,"="&amp;$H$2),
AND($H$2=Data!$A$4,$K$2=Data!$A$2),SUMIFS(Proventos!$H:$H,Proventos!$D:$D,"&gt;="&amp;CONCATENATE($N$6,"/",B105),Proventos!$D:$D,"&lt;"&amp;CONCATENATE($C$6,"/",B106),Proventos!$J:$J,"="&amp;$H$2),
AND($H$2=Data!$A$5,$K$2=Data!$A$2),SUMIFS(Proventos!$H:$H,Proventos!$D:$D,"&gt;="&amp;CONCATENATE($N$6,"/",B105),Proventos!$D:$D,"&lt;"&amp;CONCATENATE($C$6,"/",B106),Proventos!$J:$J,"="&amp;$H$2),
AND($H$2=Data!$A$6,$K$2=Data!$A$2),SUMIFS(Proventos!$H:$H,Proventos!$D:$D,"&gt;="&amp;CONCATENATE($N$6,"/",B105),Proventos!$D:$D,"&lt;"&amp;CONCATENATE($C$6,"/",B106),Proventos!$J:$J,"="&amp;$H$2),
AND($H$2=Data!$A$7,$K$2=Data!$A$2),SUMIFS(Proventos!$H:$H,Proventos!$D:$D,"&gt;="&amp;CONCATENATE($N$6,"/",B105),Proventos!$D:$D,"&lt;"&amp;CONCATENATE($C$6,"/",B106),Proventos!$J:$J,"="&amp;$H$2),
AND($H$2=Data!$A$8,$K$2=Data!$A$2),SUMIFS(Proventos!$H:$H,Proventos!$D:$D,"&gt;="&amp;CONCATENATE($N$6,"/",B105),Proventos!$D:$D,"&lt;"&amp;CONCATENATE($C$6,"/",B106),Proventos!$J:$J,"="&amp;$H$2),
AND($H$2=Data!$A$9,$K$2=Data!$A$2),SUMIFS(Proventos!$H:$H,Proventos!$D:$D,"&gt;="&amp;CONCATENATE($N$6,"/",B105),Proventos!$D:$D,"&lt;"&amp;CONCATENATE($C$6,"/",B106),Proventos!$J:$J,"="&amp;$H$2),
AND($H$2=Data!$A$10,$K$2=Data!$A$2),SUMIFS(Proventos!$H:$H,Proventos!$D:$D,"&gt;="&amp;CONCATENATE($N$6,"/",B105),Proventos!$D:$D,"&lt;"&amp;CONCATENATE($C$6,"/",B106),Proventos!$J:$J,"="&amp;$H$2),
AND($H$2=Data!$A$11,$K$2=Data!$A$2),SUMIFS(Proventos!$H:$H,Proventos!$D:$D,"&gt;="&amp;CONCATENATE($N$6,"/",B105),Proventos!$D:$D,"&lt;"&amp;CONCATENATE($C$6,"/",B106),Proventos!$J:$J,"="&amp;$H$2),
$K$2=Data!$A$2,SUMIFS(Proventos!$H:$H,Proventos!$D:$D,"&gt;="&amp;CONCATENATE($N$6,"/",B105),Proventos!$D:$D,"&lt;"&amp;CONCATENATE($C$6,"/",B106)),
$K$2&lt;&gt;Data!$A$2,SUMIFS(Proventos!$H:$H,Proventos!$D:$D,"&gt;="&amp;CONCATENATE($N$6,"/",B105),Proventos!$D:$D,"&lt;"&amp;CONCATENATE($C$6,"/",B106),Proventos!$A:$A,"="&amp;$K$2))</f>
        <v>0</v>
      </c>
      <c r="O105" s="245"/>
      <c r="P105" s="245">
        <f t="shared" si="1"/>
        <v>0</v>
      </c>
      <c r="Q105" s="245">
        <f t="shared" si="2"/>
        <v>0</v>
      </c>
    </row>
    <row r="106" ht="32.25" customHeight="1">
      <c r="A106" s="230"/>
      <c r="B106" s="244"/>
      <c r="C106" s="245">
        <f>IFS(
AND($H$2=Data!$A$3,$K$2=Data!$A$2),SUMIFS(Proventos!$H:$H,Proventos!$D:$D,"&gt;="&amp;CONCATENATE($C$6,"/",B106),Proventos!$D:$D,"&lt;"&amp;CONCATENATE($D$6,"/",B106),Proventos!$J:$J,"="&amp;$H$2),
AND($H$2=Data!$A$4,$K$2=Data!$A$2),SUMIFS(Proventos!$H:$H,Proventos!$D:$D,"&gt;="&amp;CONCATENATE($C$6,"/",B106),Proventos!$D:$D,"&lt;"&amp;CONCATENATE($D$6,"/",B106),Proventos!$J:$J,"="&amp;$H$2),
AND($H$2=Data!$A$5,$K$2=Data!$A$2),SUMIFS(Proventos!$H:$H,Proventos!$D:$D,"&gt;="&amp;CONCATENATE($C$6,"/",B106),Proventos!$D:$D,"&lt;"&amp;CONCATENATE($D$6,"/",B106),Proventos!$J:$J,"="&amp;$H$2),
AND($H$2=Data!$A$6,$K$2=Data!$A$2),SUMIFS(Proventos!$H:$H,Proventos!$D:$D,"&gt;="&amp;CONCATENATE($C$6,"/",B106),Proventos!$D:$D,"&lt;"&amp;CONCATENATE($D$6,"/",B106),Proventos!$J:$J,"="&amp;$H$2),
AND($H$2=Data!$A$7,$K$2=Data!$A$2),SUMIFS(Proventos!$H:$H,Proventos!$D:$D,"&gt;="&amp;CONCATENATE($C$6,"/",B106),Proventos!$D:$D,"&lt;"&amp;CONCATENATE($D$6,"/",B106),Proventos!$J:$J,"="&amp;$H$2),
AND($H$2=Data!$A$8,$K$2=Data!$A$2),SUMIFS(Proventos!$H:$H,Proventos!$D:$D,"&gt;="&amp;CONCATENATE($C$6,"/",B106),Proventos!$D:$D,"&lt;"&amp;CONCATENATE($D$6,"/",B106),Proventos!$J:$J,"="&amp;$H$2),
AND($H$2=Data!$A$9,$K$2=Data!$A$2),SUMIFS(Proventos!$H:$H,Proventos!$D:$D,"&gt;="&amp;CONCATENATE($C$6,"/",B106),Proventos!$D:$D,"&lt;"&amp;CONCATENATE($D$6,"/",B106),Proventos!$J:$J,"="&amp;$H$2),
AND($H$2=Data!$A$10,$K$2=Data!$A$2),SUMIFS(Proventos!$H:$H,Proventos!$D:$D,"&gt;="&amp;CONCATENATE($C$6,"/",B106),Proventos!$D:$D,"&lt;"&amp;CONCATENATE($D$6,"/",B106),Proventos!$J:$J,"="&amp;$H$2),
AND($H$2=Data!$A$11,$K$2=Data!$A$2),SUMIFS(Proventos!$H:$H,Proventos!$D:$D,"&gt;="&amp;CONCATENATE($C$6,"/",B106),Proventos!$D:$D,"&lt;"&amp;CONCATENATE($D$6,"/",B106),Proventos!$J:$J,"="&amp;$H$2),
$K$2=Data!$A$2,SUMIFS(Proventos!$H:$H,Proventos!$D:$D,"&gt;="&amp;CONCATENATE($C$6,"/",B106),Proventos!$D:$D,"&lt;"&amp;CONCATENATE($D$6,"/",B106)),
$K$2&lt;&gt;Data!$A$2,SUMIFS(Proventos!$H:$H,Proventos!$D:$D,"&gt;="&amp;CONCATENATE($C$6,"/",B106),Proventos!$D:$D,"&lt;"&amp;CONCATENATE($D$6,"/",B106),Proventos!$A:$A,"="&amp;$K$2))</f>
        <v>0</v>
      </c>
      <c r="D106" s="245">
        <f>IFS(
AND($H$2=Data!$A$3,$K$2=Data!$A$2),SUMIFS(Proventos!$H:$H,Proventos!$D:$D,"&gt;="&amp;CONCATENATE($D$6,"/",B106),Proventos!$D:$D,"&lt;"&amp;CONCATENATE($E$6,"/",B106),Proventos!$J:$J,"="&amp;$H$2),
AND($H$2=Data!$A$4,$K$2=Data!$A$2),SUMIFS(Proventos!$H:$H,Proventos!$D:$D,"&gt;="&amp;CONCATENATE($D$6,"/",B106),Proventos!$D:$D,"&lt;"&amp;CONCATENATE($E$6,"/",B106),Proventos!$J:$J,"="&amp;$H$2),
AND($H$2=Data!$A$5,$K$2=Data!$A$2),SUMIFS(Proventos!$H:$H,Proventos!$D:$D,"&gt;="&amp;CONCATENATE($D$6,"/",B106),Proventos!$D:$D,"&lt;"&amp;CONCATENATE($E$6,"/",B106),Proventos!$J:$J,"="&amp;$H$2),
AND($H$2=Data!$A$6,$K$2=Data!$A$2),SUMIFS(Proventos!$H:$H,Proventos!$D:$D,"&gt;="&amp;CONCATENATE($D$6,"/",B106),Proventos!$D:$D,"&lt;"&amp;CONCATENATE($E$6,"/",B106),Proventos!$J:$J,"="&amp;$H$2),
AND($H$2=Data!$A$7,$K$2=Data!$A$2),SUMIFS(Proventos!$H:$H,Proventos!$D:$D,"&gt;="&amp;CONCATENATE($D$6,"/",B106),Proventos!$D:$D,"&lt;"&amp;CONCATENATE($E$6,"/",B106),Proventos!$J:$J,"="&amp;$H$2),
AND($H$2=Data!$A$8,$K$2=Data!$A$2),SUMIFS(Proventos!$H:$H,Proventos!$D:$D,"&gt;="&amp;CONCATENATE($D$6,"/",B106),Proventos!$D:$D,"&lt;"&amp;CONCATENATE($E$6,"/",B106),Proventos!$J:$J,"="&amp;$H$2),
AND($H$2=Data!$A$9,$K$2=Data!$A$2),SUMIFS(Proventos!$H:$H,Proventos!$D:$D,"&gt;="&amp;CONCATENATE($D$6,"/",B106),Proventos!$D:$D,"&lt;"&amp;CONCATENATE($E$6,"/",B106),Proventos!$J:$J,"="&amp;$H$2),
AND($H$2=Data!$A$10,$K$2=Data!$A$2),SUMIFS(Proventos!$H:$H,Proventos!$D:$D,"&gt;="&amp;CONCATENATE($D$6,"/",B106),Proventos!$D:$D,"&lt;"&amp;CONCATENATE($E$6,"/",B106),Proventos!$J:$J,"="&amp;$H$2),
AND($H$2=Data!$A$11,$K$2=Data!$A$2),SUMIFS(Proventos!$H:$H,Proventos!$D:$D,"&gt;="&amp;CONCATENATE($D$6,"/",B106),Proventos!$D:$D,"&lt;"&amp;CONCATENATE($E$6,"/",B106),Proventos!$J:$J,"="&amp;$H$2),
$K$2=Data!$A$2,SUMIFS(Proventos!$H:$H,Proventos!$D:$D,"&gt;="&amp;CONCATENATE($D$6,"/",B106),Proventos!$D:$D,"&lt;"&amp;CONCATENATE($E$6,"/",B106)),
$K$2&lt;&gt;Data!$A$2,SUMIFS(Proventos!$H:$H,Proventos!$D:$D,"&gt;="&amp;CONCATENATE($D$6,"/",B106),Proventos!$D:$D,"&lt;"&amp;CONCATENATE($E$6,"/",B106),Proventos!$A:$A,"="&amp;$K$2))</f>
        <v>0</v>
      </c>
      <c r="E106" s="245">
        <f>IFS(
AND($H$2=Data!$A$3,$K$2=Data!$A$2),SUMIFS(Proventos!$H:$H,Proventos!$D:$D,"&gt;="&amp;CONCATENATE($E$6,"/",B106),Proventos!$D:$D,"&lt;"&amp;CONCATENATE($F$6,"/",B106),Proventos!$J:$J,"="&amp;$H$2),
AND($H$2=Data!$A$4,$K$2=Data!$A$2),SUMIFS(Proventos!$H:$H,Proventos!$D:$D,"&gt;="&amp;CONCATENATE($E$6,"/",B106),Proventos!$D:$D,"&lt;"&amp;CONCATENATE($F$6,"/",B106),Proventos!$J:$J,"="&amp;$H$2),
AND($H$2=Data!$A$5,$K$2=Data!$A$2),SUMIFS(Proventos!$H:$H,Proventos!$D:$D,"&gt;="&amp;CONCATENATE($E$6,"/",B106),Proventos!$D:$D,"&lt;"&amp;CONCATENATE($F$6,"/",B106),Proventos!$J:$J,"="&amp;$H$2),
AND($H$2=Data!$A$6,$K$2=Data!$A$2),SUMIFS(Proventos!$H:$H,Proventos!$D:$D,"&gt;="&amp;CONCATENATE($E$6,"/",B106),Proventos!$D:$D,"&lt;"&amp;CONCATENATE($F$6,"/",B106),Proventos!$J:$J,"="&amp;$H$2),
AND($H$2=Data!$A$7,$K$2=Data!$A$2),SUMIFS(Proventos!$H:$H,Proventos!$D:$D,"&gt;="&amp;CONCATENATE($E$6,"/",B106),Proventos!$D:$D,"&lt;"&amp;CONCATENATE($F$6,"/",B106),Proventos!$J:$J,"="&amp;$H$2),
AND($H$2=Data!$A$8,$K$2=Data!$A$2),SUMIFS(Proventos!$H:$H,Proventos!$D:$D,"&gt;="&amp;CONCATENATE($E$6,"/",B106),Proventos!$D:$D,"&lt;"&amp;CONCATENATE($F$6,"/",B106),Proventos!$J:$J,"="&amp;$H$2),
AND($H$2=Data!$A$9,$K$2=Data!$A$2),SUMIFS(Proventos!$H:$H,Proventos!$D:$D,"&gt;="&amp;CONCATENATE($E$6,"/",B106),Proventos!$D:$D,"&lt;"&amp;CONCATENATE($F$6,"/",B106),Proventos!$J:$J,"="&amp;$H$2),
AND($H$2=Data!$A$10,$K$2=Data!$A$2),SUMIFS(Proventos!$H:$H,Proventos!$D:$D,"&gt;="&amp;CONCATENATE($E$6,"/",B106),Proventos!$D:$D,"&lt;"&amp;CONCATENATE($F$6,"/",B106),Proventos!$J:$J,"="&amp;$H$2),
AND($H$2=Data!$A$11,$K$2=Data!$A$2),SUMIFS(Proventos!$H:$H,Proventos!$D:$D,"&gt;="&amp;CONCATENATE($E$6,"/",B106),Proventos!$D:$D,"&lt;"&amp;CONCATENATE($F$6,"/",B106),Proventos!$J:$J,"="&amp;$H$2),
$K$2=Data!$A$2,SUMIFS(Proventos!$H:$H,Proventos!$D:$D,"&gt;="&amp;CONCATENATE($E$6,"/",B106),Proventos!$D:$D,"&lt;"&amp;CONCATENATE($F$6,"/",B106)),
$K$2&lt;&gt;Data!$A$2,SUMIFS(Proventos!$H:$H,Proventos!$D:$D,"&gt;="&amp;CONCATENATE($E$6,"/",B106),Proventos!$D:$D,"&lt;"&amp;CONCATENATE($F$6,"/",B106),Proventos!$A:$A,"="&amp;$K$2))</f>
        <v>0</v>
      </c>
      <c r="F106" s="245">
        <f>IFS(
AND($H$2=Data!$A$3,$K$2=Data!$A$2),SUMIFS(Proventos!$H:$H,Proventos!$D:$D,"&gt;="&amp;CONCATENATE($F$6,"/",B106),Proventos!$D:$D,"&lt;"&amp;CONCATENATE($G$6,"/",B106),Proventos!$J:$J,"="&amp;$H$2),
AND($H$2=Data!$A$4,$K$2=Data!$A$2),SUMIFS(Proventos!$H:$H,Proventos!$D:$D,"&gt;="&amp;CONCATENATE($F$6,"/",B106),Proventos!$D:$D,"&lt;"&amp;CONCATENATE($G$6,"/",B106),Proventos!$J:$J,"="&amp;$H$2),
AND($H$2=Data!$A$5,$K$2=Data!$A$2),SUMIFS(Proventos!$H:$H,Proventos!$D:$D,"&gt;="&amp;CONCATENATE($F$6,"/",B106),Proventos!$D:$D,"&lt;"&amp;CONCATENATE($G$6,"/",B106),Proventos!$J:$J,"="&amp;$H$2),
AND($H$2=Data!$A$6,$K$2=Data!$A$2),SUMIFS(Proventos!$H:$H,Proventos!$D:$D,"&gt;="&amp;CONCATENATE($F$6,"/",B106),Proventos!$D:$D,"&lt;"&amp;CONCATENATE($G$6,"/",B106),Proventos!$J:$J,"="&amp;$H$2),
AND($H$2=Data!$A$7,$K$2=Data!$A$2),SUMIFS(Proventos!$H:$H,Proventos!$D:$D,"&gt;="&amp;CONCATENATE($F$6,"/",B106),Proventos!$D:$D,"&lt;"&amp;CONCATENATE($G$6,"/",B106),Proventos!$J:$J,"="&amp;$H$2),
AND($H$2=Data!$A$8,$K$2=Data!$A$2),SUMIFS(Proventos!$H:$H,Proventos!$D:$D,"&gt;="&amp;CONCATENATE($F$6,"/",B106),Proventos!$D:$D,"&lt;"&amp;CONCATENATE($G$6,"/",B106),Proventos!$J:$J,"="&amp;$H$2),
AND($H$2=Data!$A$9,$K$2=Data!$A$2),SUMIFS(Proventos!$H:$H,Proventos!$D:$D,"&gt;="&amp;CONCATENATE($F$6,"/",B106),Proventos!$D:$D,"&lt;"&amp;CONCATENATE($G$6,"/",B106),Proventos!$J:$J,"="&amp;$H$2),
AND($H$2=Data!$A$10,$K$2=Data!$A$2),SUMIFS(Proventos!$H:$H,Proventos!$D:$D,"&gt;="&amp;CONCATENATE($F$6,"/",B106),Proventos!$D:$D,"&lt;"&amp;CONCATENATE($G$6,"/",B106),Proventos!$J:$J,"="&amp;$H$2),
AND($H$2=Data!$A$11,$K$2=Data!$A$2),SUMIFS(Proventos!$H:$H,Proventos!$D:$D,"&gt;="&amp;CONCATENATE($F$6,"/",B106),Proventos!$D:$D,"&lt;"&amp;CONCATENATE($G$6,"/",B106),Proventos!$J:$J,"="&amp;$H$2),
$K$2=Data!$A$2,SUMIFS(Proventos!$H:$H,Proventos!$D:$D,"&gt;="&amp;CONCATENATE($F$6,"/",B106),Proventos!$D:$D,"&lt;"&amp;CONCATENATE($G$6,"/",B106)),
$K$2&lt;&gt;Data!$A$2,SUMIFS(Proventos!$H:$H,Proventos!$D:$D,"&gt;="&amp;CONCATENATE($F$6,"/",B106),Proventos!$D:$D,"&lt;"&amp;CONCATENATE($G$6,"/",B106),Proventos!$A:$A,"="&amp;$K$2))</f>
        <v>0</v>
      </c>
      <c r="G106" s="245">
        <f>IFS(
AND($H$2=Data!$A$3,$K$2=Data!$A$2),SUMIFS(Proventos!$H:$H,Proventos!$D:$D,"&gt;="&amp;CONCATENATE($G$6,"/",B106),Proventos!$D:$D,"&lt;"&amp;CONCATENATE($H$6,"/",B106),Proventos!$J:$J,"="&amp;$H$2),
AND($H$2=Data!$A$4,$K$2=Data!$A$2),SUMIFS(Proventos!$H:$H,Proventos!$D:$D,"&gt;="&amp;CONCATENATE($G$6,"/",B106),Proventos!$D:$D,"&lt;"&amp;CONCATENATE($H$6,"/",B106),Proventos!$J:$J,"="&amp;$H$2),
AND($H$2=Data!$A$5,$K$2=Data!$A$2),SUMIFS(Proventos!$H:$H,Proventos!$D:$D,"&gt;="&amp;CONCATENATE($G$6,"/",B106),Proventos!$D:$D,"&lt;"&amp;CONCATENATE($H$6,"/",B106),Proventos!$J:$J,"="&amp;$H$2),
AND($H$2=Data!$A$6,$K$2=Data!$A$2),SUMIFS(Proventos!$H:$H,Proventos!$D:$D,"&gt;="&amp;CONCATENATE($G$6,"/",B106),Proventos!$D:$D,"&lt;"&amp;CONCATENATE($H$6,"/",B106),Proventos!$J:$J,"="&amp;$H$2),
AND($H$2=Data!$A$7,$K$2=Data!$A$2),SUMIFS(Proventos!$H:$H,Proventos!$D:$D,"&gt;="&amp;CONCATENATE($G$6,"/",B106),Proventos!$D:$D,"&lt;"&amp;CONCATENATE($H$6,"/",B106),Proventos!$J:$J,"="&amp;$H$2),
AND($H$2=Data!$A$8,$K$2=Data!$A$2),SUMIFS(Proventos!$H:$H,Proventos!$D:$D,"&gt;="&amp;CONCATENATE($G$6,"/",B106),Proventos!$D:$D,"&lt;"&amp;CONCATENATE($H$6,"/",B106),Proventos!$J:$J,"="&amp;$H$2),
AND($H$2=Data!$A$9,$K$2=Data!$A$2),SUMIFS(Proventos!$H:$H,Proventos!$D:$D,"&gt;="&amp;CONCATENATE($G$6,"/",B106),Proventos!$D:$D,"&lt;"&amp;CONCATENATE($H$6,"/",B106),Proventos!$J:$J,"="&amp;$H$2),
AND($H$2=Data!$A$10,$K$2=Data!$A$2),SUMIFS(Proventos!$H:$H,Proventos!$D:$D,"&gt;="&amp;CONCATENATE($G$6,"/",B106),Proventos!$D:$D,"&lt;"&amp;CONCATENATE($H$6,"/",B106),Proventos!$J:$J,"="&amp;$H$2),
AND($H$2=Data!$A$11,$K$2=Data!$A$2),SUMIFS(Proventos!$H:$H,Proventos!$D:$D,"&gt;="&amp;CONCATENATE($G$6,"/",B106),Proventos!$D:$D,"&lt;"&amp;CONCATENATE($H$6,"/",B106),Proventos!$J:$J,"="&amp;$H$2),
$K$2=Data!$A$2,SUMIFS(Proventos!$H:$H,Proventos!$D:$D,"&gt;="&amp;CONCATENATE($G$6,"/",B106),Proventos!$D:$D,"&lt;"&amp;CONCATENATE($H$6,"/",B106)),
$K$2&lt;&gt;Data!$A$2,SUMIFS(Proventos!$H:$H,Proventos!$D:$D,"&gt;="&amp;CONCATENATE($G$6,"/",B106),Proventos!$D:$D,"&lt;"&amp;CONCATENATE($H$6,"/",B106),Proventos!$A:$A,"="&amp;$K$2))</f>
        <v>0</v>
      </c>
      <c r="H106" s="245">
        <f>IFS(
AND($H$2=Data!$A$3,$K$2=Data!$A$2),SUMIFS(Proventos!$H:$H,Proventos!$D:$D,"&gt;="&amp;CONCATENATE($H$6,"/",B106),Proventos!$D:$D,"&lt;"&amp;CONCATENATE($I$6,"/",B106),Proventos!$J:$J,"="&amp;$H$2),
AND($H$2=Data!$A$4,$K$2=Data!$A$2),SUMIFS(Proventos!$H:$H,Proventos!$D:$D,"&gt;="&amp;CONCATENATE($H$6,"/",B106),Proventos!$D:$D,"&lt;"&amp;CONCATENATE($I$6,"/",B106),Proventos!$J:$J,"="&amp;$H$2),
AND($H$2=Data!$A$5,$K$2=Data!$A$2),SUMIFS(Proventos!$H:$H,Proventos!$D:$D,"&gt;="&amp;CONCATENATE($H$6,"/",B106),Proventos!$D:$D,"&lt;"&amp;CONCATENATE($I$6,"/",B106),Proventos!$J:$J,"="&amp;$H$2),
AND($H$2=Data!$A$6,$K$2=Data!$A$2),SUMIFS(Proventos!$H:$H,Proventos!$D:$D,"&gt;="&amp;CONCATENATE($H$6,"/",B106),Proventos!$D:$D,"&lt;"&amp;CONCATENATE($I$6,"/",B106),Proventos!$J:$J,"="&amp;$H$2),
AND($H$2=Data!$A$7,$K$2=Data!$A$2),SUMIFS(Proventos!$H:$H,Proventos!$D:$D,"&gt;="&amp;CONCATENATE($H$6,"/",B106),Proventos!$D:$D,"&lt;"&amp;CONCATENATE($I$6,"/",B106),Proventos!$J:$J,"="&amp;$H$2),
AND($H$2=Data!$A$8,$K$2=Data!$A$2),SUMIFS(Proventos!$H:$H,Proventos!$D:$D,"&gt;="&amp;CONCATENATE($H$6,"/",B106),Proventos!$D:$D,"&lt;"&amp;CONCATENATE($I$6,"/",B106),Proventos!$J:$J,"="&amp;$H$2),
AND($H$2=Data!$A$9,$K$2=Data!$A$2),SUMIFS(Proventos!$H:$H,Proventos!$D:$D,"&gt;="&amp;CONCATENATE($H$6,"/",B106),Proventos!$D:$D,"&lt;"&amp;CONCATENATE($I$6,"/",B106),Proventos!$J:$J,"="&amp;$H$2),
AND($H$2=Data!$A$10,$K$2=Data!$A$2),SUMIFS(Proventos!$H:$H,Proventos!$D:$D,"&gt;="&amp;CONCATENATE($H$6,"/",B106),Proventos!$D:$D,"&lt;"&amp;CONCATENATE($I$6,"/",B106),Proventos!$J:$J,"="&amp;$H$2),
AND($H$2=Data!$A$11,$K$2=Data!$A$2),SUMIFS(Proventos!$H:$H,Proventos!$D:$D,"&gt;="&amp;CONCATENATE($H$6,"/",B106),Proventos!$D:$D,"&lt;"&amp;CONCATENATE($I$6,"/",B106),Proventos!$J:$J,"="&amp;$H$2),
$K$2=Data!$A$2,SUMIFS(Proventos!$H:$H,Proventos!$D:$D,"&gt;="&amp;CONCATENATE($H$6,"/",B106),Proventos!$D:$D,"&lt;"&amp;CONCATENATE($I$6,"/",B106)),
$K$2&lt;&gt;Data!$A$2,SUMIFS(Proventos!$H:$H,Proventos!$D:$D,"&gt;="&amp;CONCATENATE($H$6,"/",B106),Proventos!$D:$D,"&lt;"&amp;CONCATENATE($I$6,"/",B106),Proventos!$A:$A,"="&amp;$K$2))</f>
        <v>0</v>
      </c>
      <c r="I106" s="245">
        <f>IFS(
AND($H$2=Data!$A$3,$K$2=Data!$A$2),SUMIFS(Proventos!$H:$H,Proventos!$D:$D,"&gt;="&amp;CONCATENATE($I$6,"/",B106),Proventos!$D:$D,"&lt;"&amp;CONCATENATE($J$6,"/",B106),Proventos!$J:$J,"="&amp;$H$2),
AND($H$2=Data!$A$4,$K$2=Data!$A$2),SUMIFS(Proventos!$H:$H,Proventos!$D:$D,"&gt;="&amp;CONCATENATE($I$6,"/",B106),Proventos!$D:$D,"&lt;"&amp;CONCATENATE($J$6,"/",B106),Proventos!$J:$J,"="&amp;$H$2),
AND($H$2=Data!$A$5,$K$2=Data!$A$2),SUMIFS(Proventos!$H:$H,Proventos!$D:$D,"&gt;="&amp;CONCATENATE($I$6,"/",B106),Proventos!$D:$D,"&lt;"&amp;CONCATENATE($J$6,"/",B106),Proventos!$J:$J,"="&amp;$H$2),
AND($H$2=Data!$A$6,$K$2=Data!$A$2),SUMIFS(Proventos!$H:$H,Proventos!$D:$D,"&gt;="&amp;CONCATENATE($I$6,"/",B106),Proventos!$D:$D,"&lt;"&amp;CONCATENATE($J$6,"/",B106),Proventos!$J:$J,"="&amp;$H$2),
AND($H$2=Data!$A$7,$K$2=Data!$A$2),SUMIFS(Proventos!$H:$H,Proventos!$D:$D,"&gt;="&amp;CONCATENATE($I$6,"/",B106),Proventos!$D:$D,"&lt;"&amp;CONCATENATE($J$6,"/",B106),Proventos!$J:$J,"="&amp;$H$2),
AND($H$2=Data!$A$8,$K$2=Data!$A$2),SUMIFS(Proventos!$H:$H,Proventos!$D:$D,"&gt;="&amp;CONCATENATE($I$6,"/",B106),Proventos!$D:$D,"&lt;"&amp;CONCATENATE($J$6,"/",B106),Proventos!$J:$J,"="&amp;$H$2),
AND($H$2=Data!$A$9,$K$2=Data!$A$2),SUMIFS(Proventos!$H:$H,Proventos!$D:$D,"&gt;="&amp;CONCATENATE($I$6,"/",B106),Proventos!$D:$D,"&lt;"&amp;CONCATENATE($J$6,"/",B106),Proventos!$J:$J,"="&amp;$H$2),
AND($H$2=Data!$A$10,$K$2=Data!$A$2),SUMIFS(Proventos!$H:$H,Proventos!$D:$D,"&gt;="&amp;CONCATENATE($I$6,"/",B106),Proventos!$D:$D,"&lt;"&amp;CONCATENATE($J$6,"/",B106),Proventos!$J:$J,"="&amp;$H$2),
AND($H$2=Data!$A$11,$K$2=Data!$A$2),SUMIFS(Proventos!$H:$H,Proventos!$D:$D,"&gt;="&amp;CONCATENATE($I$6,"/",B106),Proventos!$D:$D,"&lt;"&amp;CONCATENATE($J$6,"/",B106),Proventos!$J:$J,"="&amp;$H$2),
$K$2=Data!$A$2,SUMIFS(Proventos!$H:$H,Proventos!$D:$D,"&gt;="&amp;CONCATENATE($I$6,"/",B106),Proventos!$D:$D,"&lt;"&amp;CONCATENATE($J$6,"/",B106)),
$K$2&lt;&gt;Data!$A$2,SUMIFS(Proventos!$H:$H,Proventos!$D:$D,"&gt;="&amp;CONCATENATE($I$6,"/",B106),Proventos!$D:$D,"&lt;"&amp;CONCATENATE($J$6,"/",B106),Proventos!$A:$A,"="&amp;$K$2))</f>
        <v>0</v>
      </c>
      <c r="J106" s="245">
        <f>IFS(
AND($H$2=Data!$A$3,$K$2=Data!$A$2),SUMIFS(Proventos!$H:$H,Proventos!$D:$D,"&gt;="&amp;CONCATENATE($J$6,"/",B106),Proventos!$D:$D,"&lt;"&amp;CONCATENATE($K$6,"/",B106),Proventos!$J:$J,"="&amp;$H$2),
AND($H$2=Data!$A$4,$K$2=Data!$A$2),SUMIFS(Proventos!$H:$H,Proventos!$D:$D,"&gt;="&amp;CONCATENATE($J$6,"/",B106),Proventos!$D:$D,"&lt;"&amp;CONCATENATE($K$6,"/",B106),Proventos!$J:$J,"="&amp;$H$2),
AND($H$2=Data!$A$5,$K$2=Data!$A$2),SUMIFS(Proventos!$H:$H,Proventos!$D:$D,"&gt;="&amp;CONCATENATE($J$6,"/",B106),Proventos!$D:$D,"&lt;"&amp;CONCATENATE($K$6,"/",B106),Proventos!$J:$J,"="&amp;$H$2),
AND($H$2=Data!$A$6,$K$2=Data!$A$2),SUMIFS(Proventos!$H:$H,Proventos!$D:$D,"&gt;="&amp;CONCATENATE($J$6,"/",B106),Proventos!$D:$D,"&lt;"&amp;CONCATENATE($K$6,"/",B106),Proventos!$J:$J,"="&amp;$H$2),
AND($H$2=Data!$A$7,$K$2=Data!$A$2),SUMIFS(Proventos!$H:$H,Proventos!$D:$D,"&gt;="&amp;CONCATENATE($J$6,"/",B106),Proventos!$D:$D,"&lt;"&amp;CONCATENATE($K$6,"/",B106),Proventos!$J:$J,"="&amp;$H$2),
AND($H$2=Data!$A$8,$K$2=Data!$A$2),SUMIFS(Proventos!$H:$H,Proventos!$D:$D,"&gt;="&amp;CONCATENATE($J$6,"/",B106),Proventos!$D:$D,"&lt;"&amp;CONCATENATE($K$6,"/",B106),Proventos!$J:$J,"="&amp;$H$2),
AND($H$2=Data!$A$9,$K$2=Data!$A$2),SUMIFS(Proventos!$H:$H,Proventos!$D:$D,"&gt;="&amp;CONCATENATE($J$6,"/",B106),Proventos!$D:$D,"&lt;"&amp;CONCATENATE($K$6,"/",B106),Proventos!$J:$J,"="&amp;$H$2),
AND($H$2=Data!$A$10,$K$2=Data!$A$2),SUMIFS(Proventos!$H:$H,Proventos!$D:$D,"&gt;="&amp;CONCATENATE($J$6,"/",B106),Proventos!$D:$D,"&lt;"&amp;CONCATENATE($K$6,"/",B106),Proventos!$J:$J,"="&amp;$H$2),
AND($H$2=Data!$A$11,$K$2=Data!$A$2),SUMIFS(Proventos!$H:$H,Proventos!$D:$D,"&gt;="&amp;CONCATENATE($J$6,"/",B106),Proventos!$D:$D,"&lt;"&amp;CONCATENATE($K$6,"/",B106),Proventos!$J:$J,"="&amp;$H$2),
$K$2=Data!$A$2,SUMIFS(Proventos!$H:$H,Proventos!$D:$D,"&gt;="&amp;CONCATENATE($J$6,"/",B106),Proventos!$D:$D,"&lt;"&amp;CONCATENATE($K$6,"/",B106)),
$K$2&lt;&gt;Data!$A$2,SUMIFS(Proventos!$H:$H,Proventos!$D:$D,"&gt;="&amp;CONCATENATE($J$6,"/",B106),Proventos!$D:$D,"&lt;"&amp;CONCATENATE($K$6,"/",B106),Proventos!$A:$A,"="&amp;$K$2))</f>
        <v>0</v>
      </c>
      <c r="K106" s="245">
        <f>IFS(
AND($H$2=Data!$A$3,$K$2=Data!$A$2),SUMIFS(Proventos!$H:$H,Proventos!$D:$D,"&gt;="&amp;CONCATENATE($K$6,"/",B106),Proventos!$D:$D,"&lt;"&amp;CONCATENATE($L$6,"/",B106),Proventos!$J:$J,"="&amp;$H$2),
AND($H$2=Data!$A$4,$K$2=Data!$A$2),SUMIFS(Proventos!$H:$H,Proventos!$D:$D,"&gt;="&amp;CONCATENATE($K$6,"/",B106),Proventos!$D:$D,"&lt;"&amp;CONCATENATE($L$6,"/",B106),Proventos!$J:$J,"="&amp;$H$2),
AND($H$2=Data!$A$5,$K$2=Data!$A$2),SUMIFS(Proventos!$H:$H,Proventos!$D:$D,"&gt;="&amp;CONCATENATE($K$6,"/",B106),Proventos!$D:$D,"&lt;"&amp;CONCATENATE($L$6,"/",B106),Proventos!$J:$J,"="&amp;$H$2),
AND($H$2=Data!$A$6,$K$2=Data!$A$2),SUMIFS(Proventos!$H:$H,Proventos!$D:$D,"&gt;="&amp;CONCATENATE($K$6,"/",B106),Proventos!$D:$D,"&lt;"&amp;CONCATENATE($L$6,"/",B106),Proventos!$J:$J,"="&amp;$H$2),
AND($H$2=Data!$A$7,$K$2=Data!$A$2),SUMIFS(Proventos!$H:$H,Proventos!$D:$D,"&gt;="&amp;CONCATENATE($K$6,"/",B106),Proventos!$D:$D,"&lt;"&amp;CONCATENATE($L$6,"/",B106),Proventos!$J:$J,"="&amp;$H$2),
AND($H$2=Data!$A$8,$K$2=Data!$A$2),SUMIFS(Proventos!$H:$H,Proventos!$D:$D,"&gt;="&amp;CONCATENATE($K$6,"/",B106),Proventos!$D:$D,"&lt;"&amp;CONCATENATE($L$6,"/",B106),Proventos!$J:$J,"="&amp;$H$2),
AND($H$2=Data!$A$9,$K$2=Data!$A$2),SUMIFS(Proventos!$H:$H,Proventos!$D:$D,"&gt;="&amp;CONCATENATE($K$6,"/",B106),Proventos!$D:$D,"&lt;"&amp;CONCATENATE($L$6,"/",B106),Proventos!$J:$J,"="&amp;$H$2),
AND($H$2=Data!$A$10,$K$2=Data!$A$2),SUMIFS(Proventos!$H:$H,Proventos!$D:$D,"&gt;="&amp;CONCATENATE($K$6,"/",B106),Proventos!$D:$D,"&lt;"&amp;CONCATENATE($L$6,"/",B106),Proventos!$J:$J,"="&amp;$H$2),
AND($H$2=Data!$A$11,$K$2=Data!$A$2),SUMIFS(Proventos!$H:$H,Proventos!$D:$D,"&gt;="&amp;CONCATENATE($K$6,"/",B106),Proventos!$D:$D,"&lt;"&amp;CONCATENATE($L$6,"/",B106),Proventos!$J:$J,"="&amp;$H$2),
$K$2=Data!$A$2,SUMIFS(Proventos!$H:$H,Proventos!$D:$D,"&gt;="&amp;CONCATENATE($K$6,"/",B106),Proventos!$D:$D,"&lt;"&amp;CONCATENATE($L$6,"/",B106)),
$K$2&lt;&gt;Data!$A$2,SUMIFS(Proventos!$H:$H,Proventos!$D:$D,"&gt;="&amp;CONCATENATE($K$6,"/",B106),Proventos!$D:$D,"&lt;"&amp;CONCATENATE($L$6,"/",B106),Proventos!$A:$A,"="&amp;$K$2))</f>
        <v>0</v>
      </c>
      <c r="L106" s="245">
        <f>IFS(
AND($H$2=Data!$A$3,$K$2=Data!$A$2),SUMIFS(Proventos!$H:$H,Proventos!$D:$D,"&gt;="&amp;CONCATENATE($L$6,"/",B106),Proventos!$D:$D,"&lt;"&amp;CONCATENATE($M$6,"/",B106),Proventos!$J:$J,"="&amp;$H$2),
AND($H$2=Data!$A$4,$K$2=Data!$A$2),SUMIFS(Proventos!$H:$H,Proventos!$D:$D,"&gt;="&amp;CONCATENATE($L$6,"/",B106),Proventos!$D:$D,"&lt;"&amp;CONCATENATE($M$6,"/",B106),Proventos!$J:$J,"="&amp;$H$2),
AND($H$2=Data!$A$5,$K$2=Data!$A$2),SUMIFS(Proventos!$H:$H,Proventos!$D:$D,"&gt;="&amp;CONCATENATE($L$6,"/",B106),Proventos!$D:$D,"&lt;"&amp;CONCATENATE($M$6,"/",B106),Proventos!$J:$J,"="&amp;$H$2),
AND($H$2=Data!$A$6,$K$2=Data!$A$2),SUMIFS(Proventos!$H:$H,Proventos!$D:$D,"&gt;="&amp;CONCATENATE($L$6,"/",B106),Proventos!$D:$D,"&lt;"&amp;CONCATENATE($M$6,"/",B106),Proventos!$J:$J,"="&amp;$H$2),
AND($H$2=Data!$A$7,$K$2=Data!$A$2),SUMIFS(Proventos!$H:$H,Proventos!$D:$D,"&gt;="&amp;CONCATENATE($L$6,"/",B106),Proventos!$D:$D,"&lt;"&amp;CONCATENATE($M$6,"/",B106),Proventos!$J:$J,"="&amp;$H$2),
AND($H$2=Data!$A$8,$K$2=Data!$A$2),SUMIFS(Proventos!$H:$H,Proventos!$D:$D,"&gt;="&amp;CONCATENATE($L$6,"/",B106),Proventos!$D:$D,"&lt;"&amp;CONCATENATE($M$6,"/",B106),Proventos!$J:$J,"="&amp;$H$2),
AND($H$2=Data!$A$9,$K$2=Data!$A$2),SUMIFS(Proventos!$H:$H,Proventos!$D:$D,"&gt;="&amp;CONCATENATE($L$6,"/",B106),Proventos!$D:$D,"&lt;"&amp;CONCATENATE($M$6,"/",B106),Proventos!$J:$J,"="&amp;$H$2),
AND($H$2=Data!$A$10,$K$2=Data!$A$2),SUMIFS(Proventos!$H:$H,Proventos!$D:$D,"&gt;="&amp;CONCATENATE($L$6,"/",B106),Proventos!$D:$D,"&lt;"&amp;CONCATENATE($M$6,"/",B106),Proventos!$J:$J,"="&amp;$H$2),
AND($H$2=Data!$A$11,$K$2=Data!$A$2),SUMIFS(Proventos!$H:$H,Proventos!$D:$D,"&gt;="&amp;CONCATENATE($L$6,"/",B106),Proventos!$D:$D,"&lt;"&amp;CONCATENATE($M$6,"/",B106),Proventos!$J:$J,"="&amp;$H$2),
$K$2=Data!$A$2,SUMIFS(Proventos!$H:$H,Proventos!$D:$D,"&gt;="&amp;CONCATENATE($L$6,"/",B106),Proventos!$D:$D,"&lt;"&amp;CONCATENATE($M$6,"/",B106)),
$K$2&lt;&gt;Data!$A$2,SUMIFS(Proventos!$H:$H,Proventos!$D:$D,"&gt;="&amp;CONCATENATE($L$6,"/",B106),Proventos!$D:$D,"&lt;"&amp;CONCATENATE($M$6,"/",B106),Proventos!$A:$A,"="&amp;$K$2))</f>
        <v>0</v>
      </c>
      <c r="M106" s="245">
        <f>IFS(
AND($H$2=Data!$A$3,$K$2=Data!$A$2),SUMIFS(Proventos!$H:$H,Proventos!$D:$D,"&gt;="&amp;CONCATENATE($M$6,"/",B106),Proventos!$D:$D,"&lt;"&amp;CONCATENATE($N$6,"/",B106),Proventos!$J:$J,"="&amp;$H$2),
AND($H$2=Data!$A$4,$K$2=Data!$A$2),SUMIFS(Proventos!$H:$H,Proventos!$D:$D,"&gt;="&amp;CONCATENATE($M$6,"/",B106),Proventos!$D:$D,"&lt;"&amp;CONCATENATE($N$6,"/",B106),Proventos!$J:$J,"="&amp;$H$2),
AND($H$2=Data!$A$5,$K$2=Data!$A$2),SUMIFS(Proventos!$H:$H,Proventos!$D:$D,"&gt;="&amp;CONCATENATE($M$6,"/",B106),Proventos!$D:$D,"&lt;"&amp;CONCATENATE($N$6,"/",B106),Proventos!$J:$J,"="&amp;$H$2),
AND($H$2=Data!$A$6,$K$2=Data!$A$2),SUMIFS(Proventos!$H:$H,Proventos!$D:$D,"&gt;="&amp;CONCATENATE($M$6,"/",B106),Proventos!$D:$D,"&lt;"&amp;CONCATENATE($N$6,"/",B106),Proventos!$J:$J,"="&amp;$H$2),
AND($H$2=Data!$A$7,$K$2=Data!$A$2),SUMIFS(Proventos!$H:$H,Proventos!$D:$D,"&gt;="&amp;CONCATENATE($M$6,"/",B106),Proventos!$D:$D,"&lt;"&amp;CONCATENATE($N$6,"/",B106),Proventos!$J:$J,"="&amp;$H$2),
AND($H$2=Data!$A$8,$K$2=Data!$A$2),SUMIFS(Proventos!$H:$H,Proventos!$D:$D,"&gt;="&amp;CONCATENATE($M$6,"/",B106),Proventos!$D:$D,"&lt;"&amp;CONCATENATE($N$6,"/",B106),Proventos!$J:$J,"="&amp;$H$2),
AND($H$2=Data!$A$9,$K$2=Data!$A$2),SUMIFS(Proventos!$H:$H,Proventos!$D:$D,"&gt;="&amp;CONCATENATE($M$6,"/",B106),Proventos!$D:$D,"&lt;"&amp;CONCATENATE($N$6,"/",B106),Proventos!$J:$J,"="&amp;$H$2),
AND($H$2=Data!$A$10,$K$2=Data!$A$2),SUMIFS(Proventos!$H:$H,Proventos!$D:$D,"&gt;="&amp;CONCATENATE($M$6,"/",B106),Proventos!$D:$D,"&lt;"&amp;CONCATENATE($N$6,"/",B106),Proventos!$J:$J,"="&amp;$H$2),
AND($H$2=Data!$A$11,$K$2=Data!$A$2),SUMIFS(Proventos!$H:$H,Proventos!$D:$D,"&gt;="&amp;CONCATENATE($M$6,"/",B106),Proventos!$D:$D,"&lt;"&amp;CONCATENATE($N$6,"/",B106),Proventos!$J:$J,"="&amp;$H$2),
$K$2=Data!$A$2,SUMIFS(Proventos!$H:$H,Proventos!$D:$D,"&gt;="&amp;CONCATENATE($M$6,"/",B106),Proventos!$D:$D,"&lt;"&amp;CONCATENATE($N$6,"/",B106)),
$K$2&lt;&gt;Data!$A$2,SUMIFS(Proventos!$H:$H,Proventos!$D:$D,"&gt;="&amp;CONCATENATE($M$6,"/",B106),Proventos!$D:$D,"&lt;"&amp;CONCATENATE($N$6,"/",B106),Proventos!$A:$A,"="&amp;$K$2))</f>
        <v>0</v>
      </c>
      <c r="N106" s="245">
        <f>IFS(
AND($H$2=Data!$A$3,$K$2=Data!$A$2),SUMIFS(Proventos!$H:$H,Proventos!$D:$D,"&gt;="&amp;CONCATENATE($N$6,"/",B106),Proventos!$D:$D,"&lt;"&amp;CONCATENATE($C$6,"/",B107),Proventos!$J:$J,"="&amp;$H$2),
AND($H$2=Data!$A$4,$K$2=Data!$A$2),SUMIFS(Proventos!$H:$H,Proventos!$D:$D,"&gt;="&amp;CONCATENATE($N$6,"/",B106),Proventos!$D:$D,"&lt;"&amp;CONCATENATE($C$6,"/",B107),Proventos!$J:$J,"="&amp;$H$2),
AND($H$2=Data!$A$5,$K$2=Data!$A$2),SUMIFS(Proventos!$H:$H,Proventos!$D:$D,"&gt;="&amp;CONCATENATE($N$6,"/",B106),Proventos!$D:$D,"&lt;"&amp;CONCATENATE($C$6,"/",B107),Proventos!$J:$J,"="&amp;$H$2),
AND($H$2=Data!$A$6,$K$2=Data!$A$2),SUMIFS(Proventos!$H:$H,Proventos!$D:$D,"&gt;="&amp;CONCATENATE($N$6,"/",B106),Proventos!$D:$D,"&lt;"&amp;CONCATENATE($C$6,"/",B107),Proventos!$J:$J,"="&amp;$H$2),
AND($H$2=Data!$A$7,$K$2=Data!$A$2),SUMIFS(Proventos!$H:$H,Proventos!$D:$D,"&gt;="&amp;CONCATENATE($N$6,"/",B106),Proventos!$D:$D,"&lt;"&amp;CONCATENATE($C$6,"/",B107),Proventos!$J:$J,"="&amp;$H$2),
AND($H$2=Data!$A$8,$K$2=Data!$A$2),SUMIFS(Proventos!$H:$H,Proventos!$D:$D,"&gt;="&amp;CONCATENATE($N$6,"/",B106),Proventos!$D:$D,"&lt;"&amp;CONCATENATE($C$6,"/",B107),Proventos!$J:$J,"="&amp;$H$2),
AND($H$2=Data!$A$9,$K$2=Data!$A$2),SUMIFS(Proventos!$H:$H,Proventos!$D:$D,"&gt;="&amp;CONCATENATE($N$6,"/",B106),Proventos!$D:$D,"&lt;"&amp;CONCATENATE($C$6,"/",B107),Proventos!$J:$J,"="&amp;$H$2),
AND($H$2=Data!$A$10,$K$2=Data!$A$2),SUMIFS(Proventos!$H:$H,Proventos!$D:$D,"&gt;="&amp;CONCATENATE($N$6,"/",B106),Proventos!$D:$D,"&lt;"&amp;CONCATENATE($C$6,"/",B107),Proventos!$J:$J,"="&amp;$H$2),
AND($H$2=Data!$A$11,$K$2=Data!$A$2),SUMIFS(Proventos!$H:$H,Proventos!$D:$D,"&gt;="&amp;CONCATENATE($N$6,"/",B106),Proventos!$D:$D,"&lt;"&amp;CONCATENATE($C$6,"/",B107),Proventos!$J:$J,"="&amp;$H$2),
$K$2=Data!$A$2,SUMIFS(Proventos!$H:$H,Proventos!$D:$D,"&gt;="&amp;CONCATENATE($N$6,"/",B106),Proventos!$D:$D,"&lt;"&amp;CONCATENATE($C$6,"/",B107)),
$K$2&lt;&gt;Data!$A$2,SUMIFS(Proventos!$H:$H,Proventos!$D:$D,"&gt;="&amp;CONCATENATE($N$6,"/",B106),Proventos!$D:$D,"&lt;"&amp;CONCATENATE($C$6,"/",B107),Proventos!$A:$A,"="&amp;$K$2))</f>
        <v>0</v>
      </c>
      <c r="O106" s="245"/>
      <c r="P106" s="245">
        <f t="shared" si="1"/>
        <v>0</v>
      </c>
      <c r="Q106" s="245">
        <f t="shared" si="2"/>
        <v>0</v>
      </c>
    </row>
    <row r="107" ht="32.25" customHeight="1">
      <c r="A107" s="230"/>
      <c r="B107" s="244"/>
      <c r="C107" s="245">
        <f>IFS(
AND($H$2=Data!$A$3,$K$2=Data!$A$2),SUMIFS(Proventos!$H:$H,Proventos!$D:$D,"&gt;="&amp;CONCATENATE($C$6,"/",B107),Proventos!$D:$D,"&lt;"&amp;CONCATENATE($D$6,"/",B107),Proventos!$J:$J,"="&amp;$H$2),
AND($H$2=Data!$A$4,$K$2=Data!$A$2),SUMIFS(Proventos!$H:$H,Proventos!$D:$D,"&gt;="&amp;CONCATENATE($C$6,"/",B107),Proventos!$D:$D,"&lt;"&amp;CONCATENATE($D$6,"/",B107),Proventos!$J:$J,"="&amp;$H$2),
AND($H$2=Data!$A$5,$K$2=Data!$A$2),SUMIFS(Proventos!$H:$H,Proventos!$D:$D,"&gt;="&amp;CONCATENATE($C$6,"/",B107),Proventos!$D:$D,"&lt;"&amp;CONCATENATE($D$6,"/",B107),Proventos!$J:$J,"="&amp;$H$2),
AND($H$2=Data!$A$6,$K$2=Data!$A$2),SUMIFS(Proventos!$H:$H,Proventos!$D:$D,"&gt;="&amp;CONCATENATE($C$6,"/",B107),Proventos!$D:$D,"&lt;"&amp;CONCATENATE($D$6,"/",B107),Proventos!$J:$J,"="&amp;$H$2),
AND($H$2=Data!$A$7,$K$2=Data!$A$2),SUMIFS(Proventos!$H:$H,Proventos!$D:$D,"&gt;="&amp;CONCATENATE($C$6,"/",B107),Proventos!$D:$D,"&lt;"&amp;CONCATENATE($D$6,"/",B107),Proventos!$J:$J,"="&amp;$H$2),
AND($H$2=Data!$A$8,$K$2=Data!$A$2),SUMIFS(Proventos!$H:$H,Proventos!$D:$D,"&gt;="&amp;CONCATENATE($C$6,"/",B107),Proventos!$D:$D,"&lt;"&amp;CONCATENATE($D$6,"/",B107),Proventos!$J:$J,"="&amp;$H$2),
AND($H$2=Data!$A$9,$K$2=Data!$A$2),SUMIFS(Proventos!$H:$H,Proventos!$D:$D,"&gt;="&amp;CONCATENATE($C$6,"/",B107),Proventos!$D:$D,"&lt;"&amp;CONCATENATE($D$6,"/",B107),Proventos!$J:$J,"="&amp;$H$2),
AND($H$2=Data!$A$10,$K$2=Data!$A$2),SUMIFS(Proventos!$H:$H,Proventos!$D:$D,"&gt;="&amp;CONCATENATE($C$6,"/",B107),Proventos!$D:$D,"&lt;"&amp;CONCATENATE($D$6,"/",B107),Proventos!$J:$J,"="&amp;$H$2),
AND($H$2=Data!$A$11,$K$2=Data!$A$2),SUMIFS(Proventos!$H:$H,Proventos!$D:$D,"&gt;="&amp;CONCATENATE($C$6,"/",B107),Proventos!$D:$D,"&lt;"&amp;CONCATENATE($D$6,"/",B107),Proventos!$J:$J,"="&amp;$H$2),
$K$2=Data!$A$2,SUMIFS(Proventos!$H:$H,Proventos!$D:$D,"&gt;="&amp;CONCATENATE($C$6,"/",B107),Proventos!$D:$D,"&lt;"&amp;CONCATENATE($D$6,"/",B107)),
$K$2&lt;&gt;Data!$A$2,SUMIFS(Proventos!$H:$H,Proventos!$D:$D,"&gt;="&amp;CONCATENATE($C$6,"/",B107),Proventos!$D:$D,"&lt;"&amp;CONCATENATE($D$6,"/",B107),Proventos!$A:$A,"="&amp;$K$2))</f>
        <v>0</v>
      </c>
      <c r="D107" s="245">
        <f>IFS(
AND($H$2=Data!$A$3,$K$2=Data!$A$2),SUMIFS(Proventos!$H:$H,Proventos!$D:$D,"&gt;="&amp;CONCATENATE($D$6,"/",B107),Proventos!$D:$D,"&lt;"&amp;CONCATENATE($E$6,"/",B107),Proventos!$J:$J,"="&amp;$H$2),
AND($H$2=Data!$A$4,$K$2=Data!$A$2),SUMIFS(Proventos!$H:$H,Proventos!$D:$D,"&gt;="&amp;CONCATENATE($D$6,"/",B107),Proventos!$D:$D,"&lt;"&amp;CONCATENATE($E$6,"/",B107),Proventos!$J:$J,"="&amp;$H$2),
AND($H$2=Data!$A$5,$K$2=Data!$A$2),SUMIFS(Proventos!$H:$H,Proventos!$D:$D,"&gt;="&amp;CONCATENATE($D$6,"/",B107),Proventos!$D:$D,"&lt;"&amp;CONCATENATE($E$6,"/",B107),Proventos!$J:$J,"="&amp;$H$2),
AND($H$2=Data!$A$6,$K$2=Data!$A$2),SUMIFS(Proventos!$H:$H,Proventos!$D:$D,"&gt;="&amp;CONCATENATE($D$6,"/",B107),Proventos!$D:$D,"&lt;"&amp;CONCATENATE($E$6,"/",B107),Proventos!$J:$J,"="&amp;$H$2),
AND($H$2=Data!$A$7,$K$2=Data!$A$2),SUMIFS(Proventos!$H:$H,Proventos!$D:$D,"&gt;="&amp;CONCATENATE($D$6,"/",B107),Proventos!$D:$D,"&lt;"&amp;CONCATENATE($E$6,"/",B107),Proventos!$J:$J,"="&amp;$H$2),
AND($H$2=Data!$A$8,$K$2=Data!$A$2),SUMIFS(Proventos!$H:$H,Proventos!$D:$D,"&gt;="&amp;CONCATENATE($D$6,"/",B107),Proventos!$D:$D,"&lt;"&amp;CONCATENATE($E$6,"/",B107),Proventos!$J:$J,"="&amp;$H$2),
AND($H$2=Data!$A$9,$K$2=Data!$A$2),SUMIFS(Proventos!$H:$H,Proventos!$D:$D,"&gt;="&amp;CONCATENATE($D$6,"/",B107),Proventos!$D:$D,"&lt;"&amp;CONCATENATE($E$6,"/",B107),Proventos!$J:$J,"="&amp;$H$2),
AND($H$2=Data!$A$10,$K$2=Data!$A$2),SUMIFS(Proventos!$H:$H,Proventos!$D:$D,"&gt;="&amp;CONCATENATE($D$6,"/",B107),Proventos!$D:$D,"&lt;"&amp;CONCATENATE($E$6,"/",B107),Proventos!$J:$J,"="&amp;$H$2),
AND($H$2=Data!$A$11,$K$2=Data!$A$2),SUMIFS(Proventos!$H:$H,Proventos!$D:$D,"&gt;="&amp;CONCATENATE($D$6,"/",B107),Proventos!$D:$D,"&lt;"&amp;CONCATENATE($E$6,"/",B107),Proventos!$J:$J,"="&amp;$H$2),
$K$2=Data!$A$2,SUMIFS(Proventos!$H:$H,Proventos!$D:$D,"&gt;="&amp;CONCATENATE($D$6,"/",B107),Proventos!$D:$D,"&lt;"&amp;CONCATENATE($E$6,"/",B107)),
$K$2&lt;&gt;Data!$A$2,SUMIFS(Proventos!$H:$H,Proventos!$D:$D,"&gt;="&amp;CONCATENATE($D$6,"/",B107),Proventos!$D:$D,"&lt;"&amp;CONCATENATE($E$6,"/",B107),Proventos!$A:$A,"="&amp;$K$2))</f>
        <v>0</v>
      </c>
      <c r="E107" s="245">
        <f>IFS(
AND($H$2=Data!$A$3,$K$2=Data!$A$2),SUMIFS(Proventos!$H:$H,Proventos!$D:$D,"&gt;="&amp;CONCATENATE($E$6,"/",B107),Proventos!$D:$D,"&lt;"&amp;CONCATENATE($F$6,"/",B107),Proventos!$J:$J,"="&amp;$H$2),
AND($H$2=Data!$A$4,$K$2=Data!$A$2),SUMIFS(Proventos!$H:$H,Proventos!$D:$D,"&gt;="&amp;CONCATENATE($E$6,"/",B107),Proventos!$D:$D,"&lt;"&amp;CONCATENATE($F$6,"/",B107),Proventos!$J:$J,"="&amp;$H$2),
AND($H$2=Data!$A$5,$K$2=Data!$A$2),SUMIFS(Proventos!$H:$H,Proventos!$D:$D,"&gt;="&amp;CONCATENATE($E$6,"/",B107),Proventos!$D:$D,"&lt;"&amp;CONCATENATE($F$6,"/",B107),Proventos!$J:$J,"="&amp;$H$2),
AND($H$2=Data!$A$6,$K$2=Data!$A$2),SUMIFS(Proventos!$H:$H,Proventos!$D:$D,"&gt;="&amp;CONCATENATE($E$6,"/",B107),Proventos!$D:$D,"&lt;"&amp;CONCATENATE($F$6,"/",B107),Proventos!$J:$J,"="&amp;$H$2),
AND($H$2=Data!$A$7,$K$2=Data!$A$2),SUMIFS(Proventos!$H:$H,Proventos!$D:$D,"&gt;="&amp;CONCATENATE($E$6,"/",B107),Proventos!$D:$D,"&lt;"&amp;CONCATENATE($F$6,"/",B107),Proventos!$J:$J,"="&amp;$H$2),
AND($H$2=Data!$A$8,$K$2=Data!$A$2),SUMIFS(Proventos!$H:$H,Proventos!$D:$D,"&gt;="&amp;CONCATENATE($E$6,"/",B107),Proventos!$D:$D,"&lt;"&amp;CONCATENATE($F$6,"/",B107),Proventos!$J:$J,"="&amp;$H$2),
AND($H$2=Data!$A$9,$K$2=Data!$A$2),SUMIFS(Proventos!$H:$H,Proventos!$D:$D,"&gt;="&amp;CONCATENATE($E$6,"/",B107),Proventos!$D:$D,"&lt;"&amp;CONCATENATE($F$6,"/",B107),Proventos!$J:$J,"="&amp;$H$2),
AND($H$2=Data!$A$10,$K$2=Data!$A$2),SUMIFS(Proventos!$H:$H,Proventos!$D:$D,"&gt;="&amp;CONCATENATE($E$6,"/",B107),Proventos!$D:$D,"&lt;"&amp;CONCATENATE($F$6,"/",B107),Proventos!$J:$J,"="&amp;$H$2),
AND($H$2=Data!$A$11,$K$2=Data!$A$2),SUMIFS(Proventos!$H:$H,Proventos!$D:$D,"&gt;="&amp;CONCATENATE($E$6,"/",B107),Proventos!$D:$D,"&lt;"&amp;CONCATENATE($F$6,"/",B107),Proventos!$J:$J,"="&amp;$H$2),
$K$2=Data!$A$2,SUMIFS(Proventos!$H:$H,Proventos!$D:$D,"&gt;="&amp;CONCATENATE($E$6,"/",B107),Proventos!$D:$D,"&lt;"&amp;CONCATENATE($F$6,"/",B107)),
$K$2&lt;&gt;Data!$A$2,SUMIFS(Proventos!$H:$H,Proventos!$D:$D,"&gt;="&amp;CONCATENATE($E$6,"/",B107),Proventos!$D:$D,"&lt;"&amp;CONCATENATE($F$6,"/",B107),Proventos!$A:$A,"="&amp;$K$2))</f>
        <v>0</v>
      </c>
      <c r="F107" s="245">
        <f>IFS(
AND($H$2=Data!$A$3,$K$2=Data!$A$2),SUMIFS(Proventos!$H:$H,Proventos!$D:$D,"&gt;="&amp;CONCATENATE($F$6,"/",B107),Proventos!$D:$D,"&lt;"&amp;CONCATENATE($G$6,"/",B107),Proventos!$J:$J,"="&amp;$H$2),
AND($H$2=Data!$A$4,$K$2=Data!$A$2),SUMIFS(Proventos!$H:$H,Proventos!$D:$D,"&gt;="&amp;CONCATENATE($F$6,"/",B107),Proventos!$D:$D,"&lt;"&amp;CONCATENATE($G$6,"/",B107),Proventos!$J:$J,"="&amp;$H$2),
AND($H$2=Data!$A$5,$K$2=Data!$A$2),SUMIFS(Proventos!$H:$H,Proventos!$D:$D,"&gt;="&amp;CONCATENATE($F$6,"/",B107),Proventos!$D:$D,"&lt;"&amp;CONCATENATE($G$6,"/",B107),Proventos!$J:$J,"="&amp;$H$2),
AND($H$2=Data!$A$6,$K$2=Data!$A$2),SUMIFS(Proventos!$H:$H,Proventos!$D:$D,"&gt;="&amp;CONCATENATE($F$6,"/",B107),Proventos!$D:$D,"&lt;"&amp;CONCATENATE($G$6,"/",B107),Proventos!$J:$J,"="&amp;$H$2),
AND($H$2=Data!$A$7,$K$2=Data!$A$2),SUMIFS(Proventos!$H:$H,Proventos!$D:$D,"&gt;="&amp;CONCATENATE($F$6,"/",B107),Proventos!$D:$D,"&lt;"&amp;CONCATENATE($G$6,"/",B107),Proventos!$J:$J,"="&amp;$H$2),
AND($H$2=Data!$A$8,$K$2=Data!$A$2),SUMIFS(Proventos!$H:$H,Proventos!$D:$D,"&gt;="&amp;CONCATENATE($F$6,"/",B107),Proventos!$D:$D,"&lt;"&amp;CONCATENATE($G$6,"/",B107),Proventos!$J:$J,"="&amp;$H$2),
AND($H$2=Data!$A$9,$K$2=Data!$A$2),SUMIFS(Proventos!$H:$H,Proventos!$D:$D,"&gt;="&amp;CONCATENATE($F$6,"/",B107),Proventos!$D:$D,"&lt;"&amp;CONCATENATE($G$6,"/",B107),Proventos!$J:$J,"="&amp;$H$2),
AND($H$2=Data!$A$10,$K$2=Data!$A$2),SUMIFS(Proventos!$H:$H,Proventos!$D:$D,"&gt;="&amp;CONCATENATE($F$6,"/",B107),Proventos!$D:$D,"&lt;"&amp;CONCATENATE($G$6,"/",B107),Proventos!$J:$J,"="&amp;$H$2),
AND($H$2=Data!$A$11,$K$2=Data!$A$2),SUMIFS(Proventos!$H:$H,Proventos!$D:$D,"&gt;="&amp;CONCATENATE($F$6,"/",B107),Proventos!$D:$D,"&lt;"&amp;CONCATENATE($G$6,"/",B107),Proventos!$J:$J,"="&amp;$H$2),
$K$2=Data!$A$2,SUMIFS(Proventos!$H:$H,Proventos!$D:$D,"&gt;="&amp;CONCATENATE($F$6,"/",B107),Proventos!$D:$D,"&lt;"&amp;CONCATENATE($G$6,"/",B107)),
$K$2&lt;&gt;Data!$A$2,SUMIFS(Proventos!$H:$H,Proventos!$D:$D,"&gt;="&amp;CONCATENATE($F$6,"/",B107),Proventos!$D:$D,"&lt;"&amp;CONCATENATE($G$6,"/",B107),Proventos!$A:$A,"="&amp;$K$2))</f>
        <v>0</v>
      </c>
      <c r="G107" s="245">
        <f>IFS(
AND($H$2=Data!$A$3,$K$2=Data!$A$2),SUMIFS(Proventos!$H:$H,Proventos!$D:$D,"&gt;="&amp;CONCATENATE($G$6,"/",B107),Proventos!$D:$D,"&lt;"&amp;CONCATENATE($H$6,"/",B107),Proventos!$J:$J,"="&amp;$H$2),
AND($H$2=Data!$A$4,$K$2=Data!$A$2),SUMIFS(Proventos!$H:$H,Proventos!$D:$D,"&gt;="&amp;CONCATENATE($G$6,"/",B107),Proventos!$D:$D,"&lt;"&amp;CONCATENATE($H$6,"/",B107),Proventos!$J:$J,"="&amp;$H$2),
AND($H$2=Data!$A$5,$K$2=Data!$A$2),SUMIFS(Proventos!$H:$H,Proventos!$D:$D,"&gt;="&amp;CONCATENATE($G$6,"/",B107),Proventos!$D:$D,"&lt;"&amp;CONCATENATE($H$6,"/",B107),Proventos!$J:$J,"="&amp;$H$2),
AND($H$2=Data!$A$6,$K$2=Data!$A$2),SUMIFS(Proventos!$H:$H,Proventos!$D:$D,"&gt;="&amp;CONCATENATE($G$6,"/",B107),Proventos!$D:$D,"&lt;"&amp;CONCATENATE($H$6,"/",B107),Proventos!$J:$J,"="&amp;$H$2),
AND($H$2=Data!$A$7,$K$2=Data!$A$2),SUMIFS(Proventos!$H:$H,Proventos!$D:$D,"&gt;="&amp;CONCATENATE($G$6,"/",B107),Proventos!$D:$D,"&lt;"&amp;CONCATENATE($H$6,"/",B107),Proventos!$J:$J,"="&amp;$H$2),
AND($H$2=Data!$A$8,$K$2=Data!$A$2),SUMIFS(Proventos!$H:$H,Proventos!$D:$D,"&gt;="&amp;CONCATENATE($G$6,"/",B107),Proventos!$D:$D,"&lt;"&amp;CONCATENATE($H$6,"/",B107),Proventos!$J:$J,"="&amp;$H$2),
AND($H$2=Data!$A$9,$K$2=Data!$A$2),SUMIFS(Proventos!$H:$H,Proventos!$D:$D,"&gt;="&amp;CONCATENATE($G$6,"/",B107),Proventos!$D:$D,"&lt;"&amp;CONCATENATE($H$6,"/",B107),Proventos!$J:$J,"="&amp;$H$2),
AND($H$2=Data!$A$10,$K$2=Data!$A$2),SUMIFS(Proventos!$H:$H,Proventos!$D:$D,"&gt;="&amp;CONCATENATE($G$6,"/",B107),Proventos!$D:$D,"&lt;"&amp;CONCATENATE($H$6,"/",B107),Proventos!$J:$J,"="&amp;$H$2),
AND($H$2=Data!$A$11,$K$2=Data!$A$2),SUMIFS(Proventos!$H:$H,Proventos!$D:$D,"&gt;="&amp;CONCATENATE($G$6,"/",B107),Proventos!$D:$D,"&lt;"&amp;CONCATENATE($H$6,"/",B107),Proventos!$J:$J,"="&amp;$H$2),
$K$2=Data!$A$2,SUMIFS(Proventos!$H:$H,Proventos!$D:$D,"&gt;="&amp;CONCATENATE($G$6,"/",B107),Proventos!$D:$D,"&lt;"&amp;CONCATENATE($H$6,"/",B107)),
$K$2&lt;&gt;Data!$A$2,SUMIFS(Proventos!$H:$H,Proventos!$D:$D,"&gt;="&amp;CONCATENATE($G$6,"/",B107),Proventos!$D:$D,"&lt;"&amp;CONCATENATE($H$6,"/",B107),Proventos!$A:$A,"="&amp;$K$2))</f>
        <v>0</v>
      </c>
      <c r="H107" s="245">
        <f>IFS(
AND($H$2=Data!$A$3,$K$2=Data!$A$2),SUMIFS(Proventos!$H:$H,Proventos!$D:$D,"&gt;="&amp;CONCATENATE($H$6,"/",B107),Proventos!$D:$D,"&lt;"&amp;CONCATENATE($I$6,"/",B107),Proventos!$J:$J,"="&amp;$H$2),
AND($H$2=Data!$A$4,$K$2=Data!$A$2),SUMIFS(Proventos!$H:$H,Proventos!$D:$D,"&gt;="&amp;CONCATENATE($H$6,"/",B107),Proventos!$D:$D,"&lt;"&amp;CONCATENATE($I$6,"/",B107),Proventos!$J:$J,"="&amp;$H$2),
AND($H$2=Data!$A$5,$K$2=Data!$A$2),SUMIFS(Proventos!$H:$H,Proventos!$D:$D,"&gt;="&amp;CONCATENATE($H$6,"/",B107),Proventos!$D:$D,"&lt;"&amp;CONCATENATE($I$6,"/",B107),Proventos!$J:$J,"="&amp;$H$2),
AND($H$2=Data!$A$6,$K$2=Data!$A$2),SUMIFS(Proventos!$H:$H,Proventos!$D:$D,"&gt;="&amp;CONCATENATE($H$6,"/",B107),Proventos!$D:$D,"&lt;"&amp;CONCATENATE($I$6,"/",B107),Proventos!$J:$J,"="&amp;$H$2),
AND($H$2=Data!$A$7,$K$2=Data!$A$2),SUMIFS(Proventos!$H:$H,Proventos!$D:$D,"&gt;="&amp;CONCATENATE($H$6,"/",B107),Proventos!$D:$D,"&lt;"&amp;CONCATENATE($I$6,"/",B107),Proventos!$J:$J,"="&amp;$H$2),
AND($H$2=Data!$A$8,$K$2=Data!$A$2),SUMIFS(Proventos!$H:$H,Proventos!$D:$D,"&gt;="&amp;CONCATENATE($H$6,"/",B107),Proventos!$D:$D,"&lt;"&amp;CONCATENATE($I$6,"/",B107),Proventos!$J:$J,"="&amp;$H$2),
AND($H$2=Data!$A$9,$K$2=Data!$A$2),SUMIFS(Proventos!$H:$H,Proventos!$D:$D,"&gt;="&amp;CONCATENATE($H$6,"/",B107),Proventos!$D:$D,"&lt;"&amp;CONCATENATE($I$6,"/",B107),Proventos!$J:$J,"="&amp;$H$2),
AND($H$2=Data!$A$10,$K$2=Data!$A$2),SUMIFS(Proventos!$H:$H,Proventos!$D:$D,"&gt;="&amp;CONCATENATE($H$6,"/",B107),Proventos!$D:$D,"&lt;"&amp;CONCATENATE($I$6,"/",B107),Proventos!$J:$J,"="&amp;$H$2),
AND($H$2=Data!$A$11,$K$2=Data!$A$2),SUMIFS(Proventos!$H:$H,Proventos!$D:$D,"&gt;="&amp;CONCATENATE($H$6,"/",B107),Proventos!$D:$D,"&lt;"&amp;CONCATENATE($I$6,"/",B107),Proventos!$J:$J,"="&amp;$H$2),
$K$2=Data!$A$2,SUMIFS(Proventos!$H:$H,Proventos!$D:$D,"&gt;="&amp;CONCATENATE($H$6,"/",B107),Proventos!$D:$D,"&lt;"&amp;CONCATENATE($I$6,"/",B107)),
$K$2&lt;&gt;Data!$A$2,SUMIFS(Proventos!$H:$H,Proventos!$D:$D,"&gt;="&amp;CONCATENATE($H$6,"/",B107),Proventos!$D:$D,"&lt;"&amp;CONCATENATE($I$6,"/",B107),Proventos!$A:$A,"="&amp;$K$2))</f>
        <v>0</v>
      </c>
      <c r="I107" s="245">
        <f>IFS(
AND($H$2=Data!$A$3,$K$2=Data!$A$2),SUMIFS(Proventos!$H:$H,Proventos!$D:$D,"&gt;="&amp;CONCATENATE($I$6,"/",B107),Proventos!$D:$D,"&lt;"&amp;CONCATENATE($J$6,"/",B107),Proventos!$J:$J,"="&amp;$H$2),
AND($H$2=Data!$A$4,$K$2=Data!$A$2),SUMIFS(Proventos!$H:$H,Proventos!$D:$D,"&gt;="&amp;CONCATENATE($I$6,"/",B107),Proventos!$D:$D,"&lt;"&amp;CONCATENATE($J$6,"/",B107),Proventos!$J:$J,"="&amp;$H$2),
AND($H$2=Data!$A$5,$K$2=Data!$A$2),SUMIFS(Proventos!$H:$H,Proventos!$D:$D,"&gt;="&amp;CONCATENATE($I$6,"/",B107),Proventos!$D:$D,"&lt;"&amp;CONCATENATE($J$6,"/",B107),Proventos!$J:$J,"="&amp;$H$2),
AND($H$2=Data!$A$6,$K$2=Data!$A$2),SUMIFS(Proventos!$H:$H,Proventos!$D:$D,"&gt;="&amp;CONCATENATE($I$6,"/",B107),Proventos!$D:$D,"&lt;"&amp;CONCATENATE($J$6,"/",B107),Proventos!$J:$J,"="&amp;$H$2),
AND($H$2=Data!$A$7,$K$2=Data!$A$2),SUMIFS(Proventos!$H:$H,Proventos!$D:$D,"&gt;="&amp;CONCATENATE($I$6,"/",B107),Proventos!$D:$D,"&lt;"&amp;CONCATENATE($J$6,"/",B107),Proventos!$J:$J,"="&amp;$H$2),
AND($H$2=Data!$A$8,$K$2=Data!$A$2),SUMIFS(Proventos!$H:$H,Proventos!$D:$D,"&gt;="&amp;CONCATENATE($I$6,"/",B107),Proventos!$D:$D,"&lt;"&amp;CONCATENATE($J$6,"/",B107),Proventos!$J:$J,"="&amp;$H$2),
AND($H$2=Data!$A$9,$K$2=Data!$A$2),SUMIFS(Proventos!$H:$H,Proventos!$D:$D,"&gt;="&amp;CONCATENATE($I$6,"/",B107),Proventos!$D:$D,"&lt;"&amp;CONCATENATE($J$6,"/",B107),Proventos!$J:$J,"="&amp;$H$2),
AND($H$2=Data!$A$10,$K$2=Data!$A$2),SUMIFS(Proventos!$H:$H,Proventos!$D:$D,"&gt;="&amp;CONCATENATE($I$6,"/",B107),Proventos!$D:$D,"&lt;"&amp;CONCATENATE($J$6,"/",B107),Proventos!$J:$J,"="&amp;$H$2),
AND($H$2=Data!$A$11,$K$2=Data!$A$2),SUMIFS(Proventos!$H:$H,Proventos!$D:$D,"&gt;="&amp;CONCATENATE($I$6,"/",B107),Proventos!$D:$D,"&lt;"&amp;CONCATENATE($J$6,"/",B107),Proventos!$J:$J,"="&amp;$H$2),
$K$2=Data!$A$2,SUMIFS(Proventos!$H:$H,Proventos!$D:$D,"&gt;="&amp;CONCATENATE($I$6,"/",B107),Proventos!$D:$D,"&lt;"&amp;CONCATENATE($J$6,"/",B107)),
$K$2&lt;&gt;Data!$A$2,SUMIFS(Proventos!$H:$H,Proventos!$D:$D,"&gt;="&amp;CONCATENATE($I$6,"/",B107),Proventos!$D:$D,"&lt;"&amp;CONCATENATE($J$6,"/",B107),Proventos!$A:$A,"="&amp;$K$2))</f>
        <v>0</v>
      </c>
      <c r="J107" s="245">
        <f>IFS(
AND($H$2=Data!$A$3,$K$2=Data!$A$2),SUMIFS(Proventos!$H:$H,Proventos!$D:$D,"&gt;="&amp;CONCATENATE($J$6,"/",B107),Proventos!$D:$D,"&lt;"&amp;CONCATENATE($K$6,"/",B107),Proventos!$J:$J,"="&amp;$H$2),
AND($H$2=Data!$A$4,$K$2=Data!$A$2),SUMIFS(Proventos!$H:$H,Proventos!$D:$D,"&gt;="&amp;CONCATENATE($J$6,"/",B107),Proventos!$D:$D,"&lt;"&amp;CONCATENATE($K$6,"/",B107),Proventos!$J:$J,"="&amp;$H$2),
AND($H$2=Data!$A$5,$K$2=Data!$A$2),SUMIFS(Proventos!$H:$H,Proventos!$D:$D,"&gt;="&amp;CONCATENATE($J$6,"/",B107),Proventos!$D:$D,"&lt;"&amp;CONCATENATE($K$6,"/",B107),Proventos!$J:$J,"="&amp;$H$2),
AND($H$2=Data!$A$6,$K$2=Data!$A$2),SUMIFS(Proventos!$H:$H,Proventos!$D:$D,"&gt;="&amp;CONCATENATE($J$6,"/",B107),Proventos!$D:$D,"&lt;"&amp;CONCATENATE($K$6,"/",B107),Proventos!$J:$J,"="&amp;$H$2),
AND($H$2=Data!$A$7,$K$2=Data!$A$2),SUMIFS(Proventos!$H:$H,Proventos!$D:$D,"&gt;="&amp;CONCATENATE($J$6,"/",B107),Proventos!$D:$D,"&lt;"&amp;CONCATENATE($K$6,"/",B107),Proventos!$J:$J,"="&amp;$H$2),
AND($H$2=Data!$A$8,$K$2=Data!$A$2),SUMIFS(Proventos!$H:$H,Proventos!$D:$D,"&gt;="&amp;CONCATENATE($J$6,"/",B107),Proventos!$D:$D,"&lt;"&amp;CONCATENATE($K$6,"/",B107),Proventos!$J:$J,"="&amp;$H$2),
AND($H$2=Data!$A$9,$K$2=Data!$A$2),SUMIFS(Proventos!$H:$H,Proventos!$D:$D,"&gt;="&amp;CONCATENATE($J$6,"/",B107),Proventos!$D:$D,"&lt;"&amp;CONCATENATE($K$6,"/",B107),Proventos!$J:$J,"="&amp;$H$2),
AND($H$2=Data!$A$10,$K$2=Data!$A$2),SUMIFS(Proventos!$H:$H,Proventos!$D:$D,"&gt;="&amp;CONCATENATE($J$6,"/",B107),Proventos!$D:$D,"&lt;"&amp;CONCATENATE($K$6,"/",B107),Proventos!$J:$J,"="&amp;$H$2),
AND($H$2=Data!$A$11,$K$2=Data!$A$2),SUMIFS(Proventos!$H:$H,Proventos!$D:$D,"&gt;="&amp;CONCATENATE($J$6,"/",B107),Proventos!$D:$D,"&lt;"&amp;CONCATENATE($K$6,"/",B107),Proventos!$J:$J,"="&amp;$H$2),
$K$2=Data!$A$2,SUMIFS(Proventos!$H:$H,Proventos!$D:$D,"&gt;="&amp;CONCATENATE($J$6,"/",B107),Proventos!$D:$D,"&lt;"&amp;CONCATENATE($K$6,"/",B107)),
$K$2&lt;&gt;Data!$A$2,SUMIFS(Proventos!$H:$H,Proventos!$D:$D,"&gt;="&amp;CONCATENATE($J$6,"/",B107),Proventos!$D:$D,"&lt;"&amp;CONCATENATE($K$6,"/",B107),Proventos!$A:$A,"="&amp;$K$2))</f>
        <v>0</v>
      </c>
      <c r="K107" s="245">
        <f>IFS(
AND($H$2=Data!$A$3,$K$2=Data!$A$2),SUMIFS(Proventos!$H:$H,Proventos!$D:$D,"&gt;="&amp;CONCATENATE($K$6,"/",B107),Proventos!$D:$D,"&lt;"&amp;CONCATENATE($L$6,"/",B107),Proventos!$J:$J,"="&amp;$H$2),
AND($H$2=Data!$A$4,$K$2=Data!$A$2),SUMIFS(Proventos!$H:$H,Proventos!$D:$D,"&gt;="&amp;CONCATENATE($K$6,"/",B107),Proventos!$D:$D,"&lt;"&amp;CONCATENATE($L$6,"/",B107),Proventos!$J:$J,"="&amp;$H$2),
AND($H$2=Data!$A$5,$K$2=Data!$A$2),SUMIFS(Proventos!$H:$H,Proventos!$D:$D,"&gt;="&amp;CONCATENATE($K$6,"/",B107),Proventos!$D:$D,"&lt;"&amp;CONCATENATE($L$6,"/",B107),Proventos!$J:$J,"="&amp;$H$2),
AND($H$2=Data!$A$6,$K$2=Data!$A$2),SUMIFS(Proventos!$H:$H,Proventos!$D:$D,"&gt;="&amp;CONCATENATE($K$6,"/",B107),Proventos!$D:$D,"&lt;"&amp;CONCATENATE($L$6,"/",B107),Proventos!$J:$J,"="&amp;$H$2),
AND($H$2=Data!$A$7,$K$2=Data!$A$2),SUMIFS(Proventos!$H:$H,Proventos!$D:$D,"&gt;="&amp;CONCATENATE($K$6,"/",B107),Proventos!$D:$D,"&lt;"&amp;CONCATENATE($L$6,"/",B107),Proventos!$J:$J,"="&amp;$H$2),
AND($H$2=Data!$A$8,$K$2=Data!$A$2),SUMIFS(Proventos!$H:$H,Proventos!$D:$D,"&gt;="&amp;CONCATENATE($K$6,"/",B107),Proventos!$D:$D,"&lt;"&amp;CONCATENATE($L$6,"/",B107),Proventos!$J:$J,"="&amp;$H$2),
AND($H$2=Data!$A$9,$K$2=Data!$A$2),SUMIFS(Proventos!$H:$H,Proventos!$D:$D,"&gt;="&amp;CONCATENATE($K$6,"/",B107),Proventos!$D:$D,"&lt;"&amp;CONCATENATE($L$6,"/",B107),Proventos!$J:$J,"="&amp;$H$2),
AND($H$2=Data!$A$10,$K$2=Data!$A$2),SUMIFS(Proventos!$H:$H,Proventos!$D:$D,"&gt;="&amp;CONCATENATE($K$6,"/",B107),Proventos!$D:$D,"&lt;"&amp;CONCATENATE($L$6,"/",B107),Proventos!$J:$J,"="&amp;$H$2),
AND($H$2=Data!$A$11,$K$2=Data!$A$2),SUMIFS(Proventos!$H:$H,Proventos!$D:$D,"&gt;="&amp;CONCATENATE($K$6,"/",B107),Proventos!$D:$D,"&lt;"&amp;CONCATENATE($L$6,"/",B107),Proventos!$J:$J,"="&amp;$H$2),
$K$2=Data!$A$2,SUMIFS(Proventos!$H:$H,Proventos!$D:$D,"&gt;="&amp;CONCATENATE($K$6,"/",B107),Proventos!$D:$D,"&lt;"&amp;CONCATENATE($L$6,"/",B107)),
$K$2&lt;&gt;Data!$A$2,SUMIFS(Proventos!$H:$H,Proventos!$D:$D,"&gt;="&amp;CONCATENATE($K$6,"/",B107),Proventos!$D:$D,"&lt;"&amp;CONCATENATE($L$6,"/",B107),Proventos!$A:$A,"="&amp;$K$2))</f>
        <v>0</v>
      </c>
      <c r="L107" s="245">
        <f>IFS(
AND($H$2=Data!$A$3,$K$2=Data!$A$2),SUMIFS(Proventos!$H:$H,Proventos!$D:$D,"&gt;="&amp;CONCATENATE($L$6,"/",B107),Proventos!$D:$D,"&lt;"&amp;CONCATENATE($M$6,"/",B107),Proventos!$J:$J,"="&amp;$H$2),
AND($H$2=Data!$A$4,$K$2=Data!$A$2),SUMIFS(Proventos!$H:$H,Proventos!$D:$D,"&gt;="&amp;CONCATENATE($L$6,"/",B107),Proventos!$D:$D,"&lt;"&amp;CONCATENATE($M$6,"/",B107),Proventos!$J:$J,"="&amp;$H$2),
AND($H$2=Data!$A$5,$K$2=Data!$A$2),SUMIFS(Proventos!$H:$H,Proventos!$D:$D,"&gt;="&amp;CONCATENATE($L$6,"/",B107),Proventos!$D:$D,"&lt;"&amp;CONCATENATE($M$6,"/",B107),Proventos!$J:$J,"="&amp;$H$2),
AND($H$2=Data!$A$6,$K$2=Data!$A$2),SUMIFS(Proventos!$H:$H,Proventos!$D:$D,"&gt;="&amp;CONCATENATE($L$6,"/",B107),Proventos!$D:$D,"&lt;"&amp;CONCATENATE($M$6,"/",B107),Proventos!$J:$J,"="&amp;$H$2),
AND($H$2=Data!$A$7,$K$2=Data!$A$2),SUMIFS(Proventos!$H:$H,Proventos!$D:$D,"&gt;="&amp;CONCATENATE($L$6,"/",B107),Proventos!$D:$D,"&lt;"&amp;CONCATENATE($M$6,"/",B107),Proventos!$J:$J,"="&amp;$H$2),
AND($H$2=Data!$A$8,$K$2=Data!$A$2),SUMIFS(Proventos!$H:$H,Proventos!$D:$D,"&gt;="&amp;CONCATENATE($L$6,"/",B107),Proventos!$D:$D,"&lt;"&amp;CONCATENATE($M$6,"/",B107),Proventos!$J:$J,"="&amp;$H$2),
AND($H$2=Data!$A$9,$K$2=Data!$A$2),SUMIFS(Proventos!$H:$H,Proventos!$D:$D,"&gt;="&amp;CONCATENATE($L$6,"/",B107),Proventos!$D:$D,"&lt;"&amp;CONCATENATE($M$6,"/",B107),Proventos!$J:$J,"="&amp;$H$2),
AND($H$2=Data!$A$10,$K$2=Data!$A$2),SUMIFS(Proventos!$H:$H,Proventos!$D:$D,"&gt;="&amp;CONCATENATE($L$6,"/",B107),Proventos!$D:$D,"&lt;"&amp;CONCATENATE($M$6,"/",B107),Proventos!$J:$J,"="&amp;$H$2),
AND($H$2=Data!$A$11,$K$2=Data!$A$2),SUMIFS(Proventos!$H:$H,Proventos!$D:$D,"&gt;="&amp;CONCATENATE($L$6,"/",B107),Proventos!$D:$D,"&lt;"&amp;CONCATENATE($M$6,"/",B107),Proventos!$J:$J,"="&amp;$H$2),
$K$2=Data!$A$2,SUMIFS(Proventos!$H:$H,Proventos!$D:$D,"&gt;="&amp;CONCATENATE($L$6,"/",B107),Proventos!$D:$D,"&lt;"&amp;CONCATENATE($M$6,"/",B107)),
$K$2&lt;&gt;Data!$A$2,SUMIFS(Proventos!$H:$H,Proventos!$D:$D,"&gt;="&amp;CONCATENATE($L$6,"/",B107),Proventos!$D:$D,"&lt;"&amp;CONCATENATE($M$6,"/",B107),Proventos!$A:$A,"="&amp;$K$2))</f>
        <v>0</v>
      </c>
      <c r="M107" s="245">
        <f>IFS(
AND($H$2=Data!$A$3,$K$2=Data!$A$2),SUMIFS(Proventos!$H:$H,Proventos!$D:$D,"&gt;="&amp;CONCATENATE($M$6,"/",B107),Proventos!$D:$D,"&lt;"&amp;CONCATENATE($N$6,"/",B107),Proventos!$J:$J,"="&amp;$H$2),
AND($H$2=Data!$A$4,$K$2=Data!$A$2),SUMIFS(Proventos!$H:$H,Proventos!$D:$D,"&gt;="&amp;CONCATENATE($M$6,"/",B107),Proventos!$D:$D,"&lt;"&amp;CONCATENATE($N$6,"/",B107),Proventos!$J:$J,"="&amp;$H$2),
AND($H$2=Data!$A$5,$K$2=Data!$A$2),SUMIFS(Proventos!$H:$H,Proventos!$D:$D,"&gt;="&amp;CONCATENATE($M$6,"/",B107),Proventos!$D:$D,"&lt;"&amp;CONCATENATE($N$6,"/",B107),Proventos!$J:$J,"="&amp;$H$2),
AND($H$2=Data!$A$6,$K$2=Data!$A$2),SUMIFS(Proventos!$H:$H,Proventos!$D:$D,"&gt;="&amp;CONCATENATE($M$6,"/",B107),Proventos!$D:$D,"&lt;"&amp;CONCATENATE($N$6,"/",B107),Proventos!$J:$J,"="&amp;$H$2),
AND($H$2=Data!$A$7,$K$2=Data!$A$2),SUMIFS(Proventos!$H:$H,Proventos!$D:$D,"&gt;="&amp;CONCATENATE($M$6,"/",B107),Proventos!$D:$D,"&lt;"&amp;CONCATENATE($N$6,"/",B107),Proventos!$J:$J,"="&amp;$H$2),
AND($H$2=Data!$A$8,$K$2=Data!$A$2),SUMIFS(Proventos!$H:$H,Proventos!$D:$D,"&gt;="&amp;CONCATENATE($M$6,"/",B107),Proventos!$D:$D,"&lt;"&amp;CONCATENATE($N$6,"/",B107),Proventos!$J:$J,"="&amp;$H$2),
AND($H$2=Data!$A$9,$K$2=Data!$A$2),SUMIFS(Proventos!$H:$H,Proventos!$D:$D,"&gt;="&amp;CONCATENATE($M$6,"/",B107),Proventos!$D:$D,"&lt;"&amp;CONCATENATE($N$6,"/",B107),Proventos!$J:$J,"="&amp;$H$2),
AND($H$2=Data!$A$10,$K$2=Data!$A$2),SUMIFS(Proventos!$H:$H,Proventos!$D:$D,"&gt;="&amp;CONCATENATE($M$6,"/",B107),Proventos!$D:$D,"&lt;"&amp;CONCATENATE($N$6,"/",B107),Proventos!$J:$J,"="&amp;$H$2),
AND($H$2=Data!$A$11,$K$2=Data!$A$2),SUMIFS(Proventos!$H:$H,Proventos!$D:$D,"&gt;="&amp;CONCATENATE($M$6,"/",B107),Proventos!$D:$D,"&lt;"&amp;CONCATENATE($N$6,"/",B107),Proventos!$J:$J,"="&amp;$H$2),
$K$2=Data!$A$2,SUMIFS(Proventos!$H:$H,Proventos!$D:$D,"&gt;="&amp;CONCATENATE($M$6,"/",B107),Proventos!$D:$D,"&lt;"&amp;CONCATENATE($N$6,"/",B107)),
$K$2&lt;&gt;Data!$A$2,SUMIFS(Proventos!$H:$H,Proventos!$D:$D,"&gt;="&amp;CONCATENATE($M$6,"/",B107),Proventos!$D:$D,"&lt;"&amp;CONCATENATE($N$6,"/",B107),Proventos!$A:$A,"="&amp;$K$2))</f>
        <v>0</v>
      </c>
      <c r="N107" s="245">
        <f>IFS(
AND($H$2=Data!$A$3,$K$2=Data!$A$2),SUMIFS(Proventos!$H:$H,Proventos!$D:$D,"&gt;="&amp;CONCATENATE($N$6,"/",B107),Proventos!$D:$D,"&lt;"&amp;CONCATENATE($C$6,"/",B108),Proventos!$J:$J,"="&amp;$H$2),
AND($H$2=Data!$A$4,$K$2=Data!$A$2),SUMIFS(Proventos!$H:$H,Proventos!$D:$D,"&gt;="&amp;CONCATENATE($N$6,"/",B107),Proventos!$D:$D,"&lt;"&amp;CONCATENATE($C$6,"/",B108),Proventos!$J:$J,"="&amp;$H$2),
AND($H$2=Data!$A$5,$K$2=Data!$A$2),SUMIFS(Proventos!$H:$H,Proventos!$D:$D,"&gt;="&amp;CONCATENATE($N$6,"/",B107),Proventos!$D:$D,"&lt;"&amp;CONCATENATE($C$6,"/",B108),Proventos!$J:$J,"="&amp;$H$2),
AND($H$2=Data!$A$6,$K$2=Data!$A$2),SUMIFS(Proventos!$H:$H,Proventos!$D:$D,"&gt;="&amp;CONCATENATE($N$6,"/",B107),Proventos!$D:$D,"&lt;"&amp;CONCATENATE($C$6,"/",B108),Proventos!$J:$J,"="&amp;$H$2),
AND($H$2=Data!$A$7,$K$2=Data!$A$2),SUMIFS(Proventos!$H:$H,Proventos!$D:$D,"&gt;="&amp;CONCATENATE($N$6,"/",B107),Proventos!$D:$D,"&lt;"&amp;CONCATENATE($C$6,"/",B108),Proventos!$J:$J,"="&amp;$H$2),
AND($H$2=Data!$A$8,$K$2=Data!$A$2),SUMIFS(Proventos!$H:$H,Proventos!$D:$D,"&gt;="&amp;CONCATENATE($N$6,"/",B107),Proventos!$D:$D,"&lt;"&amp;CONCATENATE($C$6,"/",B108),Proventos!$J:$J,"="&amp;$H$2),
AND($H$2=Data!$A$9,$K$2=Data!$A$2),SUMIFS(Proventos!$H:$H,Proventos!$D:$D,"&gt;="&amp;CONCATENATE($N$6,"/",B107),Proventos!$D:$D,"&lt;"&amp;CONCATENATE($C$6,"/",B108),Proventos!$J:$J,"="&amp;$H$2),
AND($H$2=Data!$A$10,$K$2=Data!$A$2),SUMIFS(Proventos!$H:$H,Proventos!$D:$D,"&gt;="&amp;CONCATENATE($N$6,"/",B107),Proventos!$D:$D,"&lt;"&amp;CONCATENATE($C$6,"/",B108),Proventos!$J:$J,"="&amp;$H$2),
AND($H$2=Data!$A$11,$K$2=Data!$A$2),SUMIFS(Proventos!$H:$H,Proventos!$D:$D,"&gt;="&amp;CONCATENATE($N$6,"/",B107),Proventos!$D:$D,"&lt;"&amp;CONCATENATE($C$6,"/",B108),Proventos!$J:$J,"="&amp;$H$2),
$K$2=Data!$A$2,SUMIFS(Proventos!$H:$H,Proventos!$D:$D,"&gt;="&amp;CONCATENATE($N$6,"/",B107),Proventos!$D:$D,"&lt;"&amp;CONCATENATE($C$6,"/",B108)),
$K$2&lt;&gt;Data!$A$2,SUMIFS(Proventos!$H:$H,Proventos!$D:$D,"&gt;="&amp;CONCATENATE($N$6,"/",B107),Proventos!$D:$D,"&lt;"&amp;CONCATENATE($C$6,"/",B108),Proventos!$A:$A,"="&amp;$K$2))</f>
        <v>0</v>
      </c>
      <c r="O107" s="245"/>
      <c r="P107" s="245">
        <f t="shared" si="1"/>
        <v>0</v>
      </c>
      <c r="Q107" s="245">
        <f t="shared" si="2"/>
        <v>0</v>
      </c>
    </row>
    <row r="108" ht="32.25" customHeight="1">
      <c r="A108" s="230"/>
      <c r="B108" s="244"/>
      <c r="C108" s="245"/>
      <c r="D108" s="245"/>
      <c r="E108" s="245"/>
      <c r="F108" s="245"/>
      <c r="G108" s="245"/>
      <c r="H108" s="245"/>
      <c r="I108" s="245"/>
      <c r="J108" s="245"/>
      <c r="K108" s="245"/>
      <c r="L108" s="245"/>
      <c r="M108" s="245"/>
      <c r="N108" s="245"/>
      <c r="O108" s="245"/>
      <c r="P108" s="245"/>
      <c r="Q108" s="245"/>
    </row>
  </sheetData>
  <mergeCells count="2">
    <mergeCell ref="G3:K3"/>
    <mergeCell ref="G4:K4"/>
  </mergeCells>
  <conditionalFormatting sqref="A1:Q108">
    <cfRule type="cellIs" dxfId="28" priority="1" operator="lessThanOrEqual">
      <formula>0</formula>
    </cfRule>
  </conditionalFormatting>
  <dataValidations>
    <dataValidation type="list" allowBlank="1" sqref="H2">
      <formula1>Data!$A$2:$A108</formula1>
    </dataValidation>
    <dataValidation type="list" allowBlank="1" sqref="K2">
      <formula1>Pagamentos!$A$7:$A108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61C00"/>
    <outlinePr summaryBelow="0" summaryRight="0"/>
    <pageSetUpPr fitToPage="1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1.43"/>
    <col customWidth="1" min="2" max="9" width="12.57"/>
    <col customWidth="1" min="10" max="10" width="9.29"/>
    <col customWidth="1" min="11" max="11" width="20.43"/>
  </cols>
  <sheetData>
    <row r="1">
      <c r="A1" s="247" t="s">
        <v>57</v>
      </c>
      <c r="B1" s="248" t="s">
        <v>11</v>
      </c>
      <c r="C1" s="247" t="s">
        <v>13</v>
      </c>
      <c r="D1" s="248" t="s">
        <v>183</v>
      </c>
      <c r="E1" s="248" t="s">
        <v>20</v>
      </c>
      <c r="F1" s="248" t="s">
        <v>14</v>
      </c>
      <c r="G1" s="248" t="s">
        <v>187</v>
      </c>
      <c r="H1" s="248" t="s">
        <v>188</v>
      </c>
      <c r="I1" s="249" t="s">
        <v>193</v>
      </c>
      <c r="J1" s="249" t="s">
        <v>62</v>
      </c>
      <c r="K1" s="249" t="s">
        <v>207</v>
      </c>
    </row>
    <row r="2">
      <c r="A2" s="250" t="str">
        <f>IFERROR(__xludf.DUMMYFUNCTION("SORT(UNIQUE('Operações-BR'!C2:C200),1,TRUE,2,FALSE)"),"AAPL34")</f>
        <v>AAPL34</v>
      </c>
      <c r="B2" s="251">
        <f>IFERROR(__xludf.DUMMYFUNCTION("IF(A2&lt;&gt;"""",IFERROR(IFERROR(IFERROR(IFERROR(GOOGLEFINANCE(A2),SUBSTITUTE(IMPORTXML(""https://sg.finance.yahoo.com/quote/""&amp;A2&amp;"".SA""&amp;""/history?p=""&amp;A2&amp;"".SA"",""//tbody/tr[1]/td[6]""),""."","","")),IMPORTXML(""https://www.infomoney.com.br/""&amp;A2,""//div["&amp;"@class='value']/p"")),IMPORTXML(""https://statusinvest.com.br/acoes/""&amp;LOWER(A2),""//div[ @title ='Valor atual do ativo']/strong"")),INDEX(IMPORTHTML(CONCATENATE(""https://www.guiainvest.com.br/raiox/default.aspx?sigla="",A2),""list"",8),2,1)),0)"),79.19)</f>
        <v>79.19</v>
      </c>
      <c r="C2" s="252">
        <f>IFERROR(__xludf.DUMMYFUNCTION("iferror(INDEX(arrayformula(filter('Operações-BR'!M:M,'Operações-BR'!C:C&lt;&gt;"""",row('Operações-BR'!C:C)=max(if('Operações-BR'!C:C=A2,row('Operações-BR'!C:C),0)))) ,1),0)"),100.0)</f>
        <v>100</v>
      </c>
      <c r="D2" s="251">
        <f t="shared" ref="D2:D200" si="1">B2*C2</f>
        <v>7919</v>
      </c>
      <c r="E2" s="251">
        <f>IFERROR(__xludf.DUMMYFUNCTION("iferror(INDEX(arrayformula(filter('Operações-BR'!Q:Q,'Operações-BR'!C:C&lt;&gt;"""",row('Operações-BR'!C:C)=max(if('Operações-BR'!C:C=A2,row('Operações-BR'!C:C),0)))) ,1),0)"),7500.0)</f>
        <v>7500</v>
      </c>
      <c r="F2" s="251">
        <f t="shared" ref="F2:F200" si="2">IFERROR(IF(C2=0,0,E2/C2),0)</f>
        <v>75</v>
      </c>
      <c r="G2" s="251">
        <f>SUMIF(Proventos!$A$2:$A200,A2,Proventos!$H$2:$H200)</f>
        <v>0</v>
      </c>
      <c r="H2" s="251">
        <f t="shared" ref="H2:H200" si="3">IFERROR((E2-G2)/C2,0)</f>
        <v>75</v>
      </c>
      <c r="I2" s="253" t="str">
        <f>IFERROR(VLOOKUP(A2,Ativos!$A$1:$G200,5,),)</f>
        <v>BDR</v>
      </c>
      <c r="J2" s="254" t="str">
        <f>IFERROR(VLOOKUP(A2,Ativos!A:H,8,),"")</f>
        <v>Brasil</v>
      </c>
      <c r="K2" s="251">
        <f>IFERROR(SUMIF('Operações-BR'!C:C,"="&amp;A2,'Operações-BR'!T:T),0)</f>
        <v>0</v>
      </c>
    </row>
    <row r="3">
      <c r="A3" s="250" t="str">
        <f>IFERROR(__xludf.DUMMYFUNCTION("""COMPUTED_VALUE"""),"ABEV3")</f>
        <v>ABEV3</v>
      </c>
      <c r="B3" s="251">
        <f>IFERROR(__xludf.DUMMYFUNCTION("IF(A3&lt;&gt;"""",IFERROR(IFERROR(IFERROR(IFERROR(GOOGLEFINANCE(A3),SUBSTITUTE(IMPORTXML(""https://sg.finance.yahoo.com/quote/""&amp;A3&amp;"".SA""&amp;""/history?p=""&amp;A3&amp;"".SA"",""//tbody/tr[1]/td[6]""),""."","","")),IMPORTXML(""https://www.infomoney.com.br/""&amp;A3,""//div["&amp;"@class='value']/p"")),IMPORTXML(""https://statusinvest.com.br/acoes/""&amp;LOWER(A3),""//div[ @title ='Valor atual do ativo']/strong"")),INDEX(IMPORTHTML(CONCATENATE(""https://www.guiainvest.com.br/raiox/default.aspx?sigla="",A3),""list"",8),2,1)),0)"),13.38)</f>
        <v>13.38</v>
      </c>
      <c r="C3" s="252">
        <f>IFERROR(__xludf.DUMMYFUNCTION("iferror(INDEX(arrayformula(filter('Operações-BR'!M:M,'Operações-BR'!C:C&lt;&gt;"""",row('Operações-BR'!C:C)=max(if('Operações-BR'!C:C=A3,row('Operações-BR'!C:C),0)))) ,1),0)"),100.0)</f>
        <v>100</v>
      </c>
      <c r="D3" s="251">
        <f t="shared" si="1"/>
        <v>1338</v>
      </c>
      <c r="E3" s="251">
        <f>IFERROR(__xludf.DUMMYFUNCTION("iferror(INDEX(arrayformula(filter('Operações-BR'!Q:Q,'Operações-BR'!C:C&lt;&gt;"""",row('Operações-BR'!C:C)=max(if('Operações-BR'!C:C=A3,row('Operações-BR'!C:C),0)))) ,1),0)"),1500.0)</f>
        <v>1500</v>
      </c>
      <c r="F3" s="251">
        <f t="shared" si="2"/>
        <v>15</v>
      </c>
      <c r="G3" s="251">
        <f>SUMIF(Proventos!$A$2:$A200,A3,Proventos!$H$2:$H200)</f>
        <v>1150.5</v>
      </c>
      <c r="H3" s="251">
        <f t="shared" si="3"/>
        <v>3.495</v>
      </c>
      <c r="I3" s="253" t="str">
        <f>IFERROR(VLOOKUP(A3,Ativos!$A$1:$G200,5,),)</f>
        <v>AÇÃO</v>
      </c>
      <c r="J3" s="254" t="str">
        <f>IFERROR(VLOOKUP(A3,Ativos!A:H,8,),"")</f>
        <v>Brasil</v>
      </c>
      <c r="K3" s="251">
        <f>IFERROR(SUMIF('Operações-BR'!C:C,"="&amp;A3,'Operações-BR'!T:T),0)</f>
        <v>0</v>
      </c>
    </row>
    <row r="4">
      <c r="A4" s="250" t="str">
        <f>IFERROR(__xludf.DUMMYFUNCTION("""COMPUTED_VALUE"""),"EGIE3")</f>
        <v>EGIE3</v>
      </c>
      <c r="B4" s="251">
        <f>IFERROR(__xludf.DUMMYFUNCTION("IF(A4&lt;&gt;"""",IFERROR(IFERROR(IFERROR(IFERROR(GOOGLEFINANCE(A4),SUBSTITUTE(IMPORTXML(""https://sg.finance.yahoo.com/quote/""&amp;A4&amp;"".SA""&amp;""/history?p=""&amp;A4&amp;"".SA"",""//tbody/tr[1]/td[6]""),""."","","")),IMPORTXML(""https://www.infomoney.com.br/""&amp;A4,""//div["&amp;"@class='value']/p"")),IMPORTXML(""https://statusinvest.com.br/acoes/""&amp;LOWER(A4),""//div[ @title ='Valor atual do ativo']/strong"")),INDEX(IMPORTHTML(CONCATENATE(""https://www.guiainvest.com.br/raiox/default.aspx?sigla="",A4),""list"",8),2,1)),0)"),39.94)</f>
        <v>39.94</v>
      </c>
      <c r="C4" s="252">
        <f>IFERROR(__xludf.DUMMYFUNCTION("iferror(INDEX(arrayformula(filter('Operações-BR'!M:M,'Operações-BR'!C:C&lt;&gt;"""",row('Operações-BR'!C:C)=max(if('Operações-BR'!C:C=A4,row('Operações-BR'!C:C),0)))) ,1),0)"),0.0)</f>
        <v>0</v>
      </c>
      <c r="D4" s="251">
        <f t="shared" si="1"/>
        <v>0</v>
      </c>
      <c r="E4" s="251">
        <f>IFERROR(__xludf.DUMMYFUNCTION("iferror(INDEX(arrayformula(filter('Operações-BR'!Q:Q,'Operações-BR'!C:C&lt;&gt;"""",row('Operações-BR'!C:C)=max(if('Operações-BR'!C:C=A4,row('Operações-BR'!C:C),0)))) ,1),0)"),0.0)</f>
        <v>0</v>
      </c>
      <c r="F4" s="251">
        <f t="shared" si="2"/>
        <v>0</v>
      </c>
      <c r="G4" s="251">
        <f>SUMIF(Proventos!$A$2:$A200,A4,Proventos!$H$2:$H200)</f>
        <v>1065.5</v>
      </c>
      <c r="H4" s="251">
        <f t="shared" si="3"/>
        <v>0</v>
      </c>
      <c r="I4" s="253" t="str">
        <f>IFERROR(VLOOKUP(A4,Ativos!$A$1:$G200,5,),)</f>
        <v>AÇÃO</v>
      </c>
      <c r="J4" s="254" t="str">
        <f>IFERROR(VLOOKUP(A4,Ativos!A:H,8,),"")</f>
        <v>Brasil</v>
      </c>
      <c r="K4" s="251">
        <f>IFERROR(SUMIF('Operações-BR'!C:C,"="&amp;A4,'Operações-BR'!T:T),0)</f>
        <v>-5000</v>
      </c>
    </row>
    <row r="5">
      <c r="A5" s="250" t="str">
        <f>IFERROR(__xludf.DUMMYFUNCTION("""COMPUTED_VALUE"""),"HGBS11")</f>
        <v>HGBS11</v>
      </c>
      <c r="B5" s="251">
        <f>IFERROR(__xludf.DUMMYFUNCTION("IF(A5&lt;&gt;"""",IFERROR(IFERROR(IFERROR(IFERROR(GOOGLEFINANCE(A5),SUBSTITUTE(IMPORTXML(""https://sg.finance.yahoo.com/quote/""&amp;A5&amp;"".SA""&amp;""/history?p=""&amp;A5&amp;"".SA"",""//tbody/tr[1]/td[6]""),""."","","")),IMPORTXML(""https://www.infomoney.com.br/""&amp;A5,""//div["&amp;"@class='value']/p"")),IMPORTXML(""https://statusinvest.com.br/acoes/""&amp;LOWER(A5),""//div[ @title ='Valor atual do ativo']/strong"")),INDEX(IMPORTHTML(CONCATENATE(""https://www.guiainvest.com.br/raiox/default.aspx?sigla="",A5),""list"",8),2,1)),0)"),163.7)</f>
        <v>163.7</v>
      </c>
      <c r="C5" s="252">
        <f>IFERROR(__xludf.DUMMYFUNCTION("iferror(INDEX(arrayformula(filter('Operações-BR'!M:M,'Operações-BR'!C:C&lt;&gt;"""",row('Operações-BR'!C:C)=max(if('Operações-BR'!C:C=A5,row('Operações-BR'!C:C),0)))) ,1),0)"),50.0)</f>
        <v>50</v>
      </c>
      <c r="D5" s="251">
        <f t="shared" si="1"/>
        <v>8185</v>
      </c>
      <c r="E5" s="251">
        <f>IFERROR(__xludf.DUMMYFUNCTION("iferror(INDEX(arrayformula(filter('Operações-BR'!Q:Q,'Operações-BR'!C:C&lt;&gt;"""",row('Operações-BR'!C:C)=max(if('Operações-BR'!C:C=A5,row('Operações-BR'!C:C),0)))) ,1),0)"),8500.0)</f>
        <v>8500</v>
      </c>
      <c r="F5" s="251">
        <f t="shared" si="2"/>
        <v>170</v>
      </c>
      <c r="G5" s="251">
        <f>SUMIF(Proventos!$A$2:$A200,A5,Proventos!$H$2:$H200)</f>
        <v>1332</v>
      </c>
      <c r="H5" s="251">
        <f t="shared" si="3"/>
        <v>143.36</v>
      </c>
      <c r="I5" s="253" t="str">
        <f>IFERROR(VLOOKUP(A5,Ativos!$A$1:$G200,5,),)</f>
        <v>FII</v>
      </c>
      <c r="J5" s="254" t="str">
        <f>IFERROR(VLOOKUP(A5,Ativos!A:H,8,),"")</f>
        <v>Brasil</v>
      </c>
      <c r="K5" s="251">
        <f>IFERROR(SUMIF('Operações-BR'!C:C,"="&amp;A5,'Operações-BR'!T:T),0)</f>
        <v>2500</v>
      </c>
    </row>
    <row r="6">
      <c r="A6" s="250" t="str">
        <f>IFERROR(__xludf.DUMMYFUNCTION("""COMPUTED_VALUE"""),"HGLG11")</f>
        <v>HGLG11</v>
      </c>
      <c r="B6" s="251">
        <f>IFERROR(__xludf.DUMMYFUNCTION("IF(A6&lt;&gt;"""",IFERROR(IFERROR(IFERROR(IFERROR(GOOGLEFINANCE(A6),SUBSTITUTE(IMPORTXML(""https://sg.finance.yahoo.com/quote/""&amp;A6&amp;"".SA""&amp;""/history?p=""&amp;A6&amp;"".SA"",""//tbody/tr[1]/td[6]""),""."","","")),IMPORTXML(""https://www.infomoney.com.br/""&amp;A6,""//div["&amp;"@class='value']/p"")),IMPORTXML(""https://statusinvest.com.br/acoes/""&amp;LOWER(A6),""//div[ @title ='Valor atual do ativo']/strong"")),INDEX(IMPORTHTML(CONCATENATE(""https://www.guiainvest.com.br/raiox/default.aspx?sigla="",A6),""list"",8),2,1)),0)"),161.05)</f>
        <v>161.05</v>
      </c>
      <c r="C6" s="252">
        <f>IFERROR(__xludf.DUMMYFUNCTION("iferror(INDEX(arrayformula(filter('Operações-BR'!M:M,'Operações-BR'!C:C&lt;&gt;"""",row('Operações-BR'!C:C)=max(if('Operações-BR'!C:C=A6,row('Operações-BR'!C:C),0)))) ,1),0)"),100.0)</f>
        <v>100</v>
      </c>
      <c r="D6" s="251">
        <f t="shared" si="1"/>
        <v>16105</v>
      </c>
      <c r="E6" s="251">
        <f>IFERROR(__xludf.DUMMYFUNCTION("iferror(INDEX(arrayformula(filter('Operações-BR'!Q:Q,'Operações-BR'!C:C&lt;&gt;"""",row('Operações-BR'!C:C)=max(if('Operações-BR'!C:C=A6,row('Operações-BR'!C:C),0)))) ,1),0)"),15000.0)</f>
        <v>15000</v>
      </c>
      <c r="F6" s="251">
        <f t="shared" si="2"/>
        <v>150</v>
      </c>
      <c r="G6" s="251">
        <f>SUMIF(Proventos!$A$2:$A200,A6,Proventos!$H$2:$H200)</f>
        <v>1365</v>
      </c>
      <c r="H6" s="251">
        <f t="shared" si="3"/>
        <v>136.35</v>
      </c>
      <c r="I6" s="253" t="str">
        <f>IFERROR(VLOOKUP(A6,Ativos!$A$1:$G200,5,),)</f>
        <v>FII</v>
      </c>
      <c r="J6" s="254" t="str">
        <f>IFERROR(VLOOKUP(A6,Ativos!A:H,8,),"")</f>
        <v>Brasil</v>
      </c>
      <c r="K6" s="251">
        <f>IFERROR(SUMIF('Operações-BR'!C:C,"="&amp;A6,'Operações-BR'!T:T),0)</f>
        <v>0</v>
      </c>
    </row>
    <row r="7">
      <c r="A7" s="250" t="str">
        <f>IFERROR(__xludf.DUMMYFUNCTION("""COMPUTED_VALUE"""),"KNRI11")</f>
        <v>KNRI11</v>
      </c>
      <c r="B7" s="251">
        <f>IFERROR(__xludf.DUMMYFUNCTION("IF(A7&lt;&gt;"""",IFERROR(IFERROR(IFERROR(IFERROR(GOOGLEFINANCE(A7),SUBSTITUTE(IMPORTXML(""https://sg.finance.yahoo.com/quote/""&amp;A7&amp;"".SA""&amp;""/history?p=""&amp;A7&amp;"".SA"",""//tbody/tr[1]/td[6]""),""."","","")),IMPORTXML(""https://www.infomoney.com.br/""&amp;A7,""//div["&amp;"@class='value']/p"")),IMPORTXML(""https://statusinvest.com.br/acoes/""&amp;LOWER(A7),""//div[ @title ='Valor atual do ativo']/strong"")),INDEX(IMPORTHTML(CONCATENATE(""https://www.guiainvest.com.br/raiox/default.aspx?sigla="",A7),""list"",8),2,1)),0)"),130.1)</f>
        <v>130.1</v>
      </c>
      <c r="C7" s="252">
        <f>IFERROR(__xludf.DUMMYFUNCTION("iferror(INDEX(arrayformula(filter('Operações-BR'!M:M,'Operações-BR'!C:C&lt;&gt;"""",row('Operações-BR'!C:C)=max(if('Operações-BR'!C:C=A7,row('Operações-BR'!C:C),0)))) ,1),0)"),125.0)</f>
        <v>125</v>
      </c>
      <c r="D7" s="251">
        <f t="shared" si="1"/>
        <v>16262.5</v>
      </c>
      <c r="E7" s="251">
        <f>IFERROR(__xludf.DUMMYFUNCTION("iferror(INDEX(arrayformula(filter('Operações-BR'!Q:Q,'Operações-BR'!C:C&lt;&gt;"""",row('Operações-BR'!C:C)=max(if('Operações-BR'!C:C=A7,row('Operações-BR'!C:C),0)))) ,1),0)"),15625.0)</f>
        <v>15625</v>
      </c>
      <c r="F7" s="251">
        <f t="shared" si="2"/>
        <v>125</v>
      </c>
      <c r="G7" s="251">
        <f>SUMIF(Proventos!$A$2:$A200,A7,Proventos!$H$2:$H200)</f>
        <v>97.5</v>
      </c>
      <c r="H7" s="251">
        <f t="shared" si="3"/>
        <v>124.22</v>
      </c>
      <c r="I7" s="253" t="str">
        <f>IFERROR(VLOOKUP(A7,Ativos!$A$1:$G200,5,),)</f>
        <v>FII</v>
      </c>
      <c r="J7" s="254" t="str">
        <f>IFERROR(VLOOKUP(A7,Ativos!A:H,8,),"")</f>
        <v>Brasil</v>
      </c>
      <c r="K7" s="251">
        <f>IFERROR(SUMIF('Operações-BR'!C:C,"="&amp;A7,'Operações-BR'!T:T),0)</f>
        <v>0</v>
      </c>
    </row>
    <row r="8">
      <c r="A8" s="250" t="str">
        <f>IFERROR(__xludf.DUMMYFUNCTION("""COMPUTED_VALUE"""),"ODPV3")</f>
        <v>ODPV3</v>
      </c>
      <c r="B8" s="251">
        <f>IFERROR(__xludf.DUMMYFUNCTION("IF(A8&lt;&gt;"""",IFERROR(IFERROR(IFERROR(IFERROR(GOOGLEFINANCE(A8),SUBSTITUTE(IMPORTXML(""https://sg.finance.yahoo.com/quote/""&amp;A8&amp;"".SA""&amp;""/history?p=""&amp;A8&amp;"".SA"",""//tbody/tr[1]/td[6]""),""."","","")),IMPORTXML(""https://www.infomoney.com.br/""&amp;A8,""//div["&amp;"@class='value']/p"")),IMPORTXML(""https://statusinvest.com.br/acoes/""&amp;LOWER(A8),""//div[ @title ='Valor atual do ativo']/strong"")),INDEX(IMPORTHTML(CONCATENATE(""https://www.guiainvest.com.br/raiox/default.aspx?sigla="",A8),""list"",8),2,1)),0)"),12.19)</f>
        <v>12.19</v>
      </c>
      <c r="C8" s="252">
        <f>IFERROR(__xludf.DUMMYFUNCTION("iferror(INDEX(arrayformula(filter('Operações-BR'!M:M,'Operações-BR'!C:C&lt;&gt;"""",row('Operações-BR'!C:C)=max(if('Operações-BR'!C:C=A8,row('Operações-BR'!C:C),0)))) ,1),0)"),150.0)</f>
        <v>150</v>
      </c>
      <c r="D8" s="251">
        <f t="shared" si="1"/>
        <v>1828.5</v>
      </c>
      <c r="E8" s="251">
        <f>IFERROR(__xludf.DUMMYFUNCTION("iferror(INDEX(arrayformula(filter('Operações-BR'!Q:Q,'Operações-BR'!C:C&lt;&gt;"""",row('Operações-BR'!C:C)=max(if('Operações-BR'!C:C=A8,row('Operações-BR'!C:C),0)))) ,1),0)"),2250.0)</f>
        <v>2250</v>
      </c>
      <c r="F8" s="251">
        <f t="shared" si="2"/>
        <v>15</v>
      </c>
      <c r="G8" s="251">
        <f>SUMIF(Proventos!$A$2:$A200,A8,Proventos!$H$2:$H200)</f>
        <v>384</v>
      </c>
      <c r="H8" s="251">
        <f t="shared" si="3"/>
        <v>12.44</v>
      </c>
      <c r="I8" s="253" t="str">
        <f>IFERROR(VLOOKUP(A8,Ativos!$A$1:$G200,5,),)</f>
        <v>AÇÃO</v>
      </c>
      <c r="J8" s="254" t="str">
        <f>IFERROR(VLOOKUP(A8,Ativos!A:H,8,),"")</f>
        <v>Brasil</v>
      </c>
      <c r="K8" s="251">
        <f>IFERROR(SUMIF('Operações-BR'!C:C,"="&amp;A8,'Operações-BR'!T:T),0)</f>
        <v>0</v>
      </c>
    </row>
    <row r="9">
      <c r="A9" s="250" t="str">
        <f>IFERROR(__xludf.DUMMYFUNCTION("""COMPUTED_VALUE"""),"RADL3")</f>
        <v>RADL3</v>
      </c>
      <c r="B9" s="251">
        <f>IFERROR(__xludf.DUMMYFUNCTION("IF(A9&lt;&gt;"""",IFERROR(IFERROR(IFERROR(IFERROR(GOOGLEFINANCE(A9),SUBSTITUTE(IMPORTXML(""https://sg.finance.yahoo.com/quote/""&amp;A9&amp;"".SA""&amp;""/history?p=""&amp;A9&amp;"".SA"",""//tbody/tr[1]/td[6]""),""."","","")),IMPORTXML(""https://www.infomoney.com.br/""&amp;A9,""//div["&amp;"@class='value']/p"")),IMPORTXML(""https://statusinvest.com.br/acoes/""&amp;LOWER(A9),""//div[ @title ='Valor atual do ativo']/strong"")),INDEX(IMPORTHTML(CONCATENATE(""https://www.guiainvest.com.br/raiox/default.aspx?sigla="",A9),""list"",8),2,1)),0)"),22.36)</f>
        <v>22.36</v>
      </c>
      <c r="C9" s="252">
        <f>IFERROR(__xludf.DUMMYFUNCTION("iferror(INDEX(arrayformula(filter('Operações-BR'!M:M,'Operações-BR'!C:C&lt;&gt;"""",row('Operações-BR'!C:C)=max(if('Operações-BR'!C:C=A9,row('Operações-BR'!C:C),0)))) ,1),0)"),150.0)</f>
        <v>150</v>
      </c>
      <c r="D9" s="251">
        <f t="shared" si="1"/>
        <v>3354</v>
      </c>
      <c r="E9" s="251">
        <f>IFERROR(__xludf.DUMMYFUNCTION("iferror(INDEX(arrayformula(filter('Operações-BR'!Q:Q,'Operações-BR'!C:C&lt;&gt;"""",row('Operações-BR'!C:C)=max(if('Operações-BR'!C:C=A9,row('Operações-BR'!C:C),0)))) ,1),0)"),3750.0)</f>
        <v>3750</v>
      </c>
      <c r="F9" s="251">
        <f t="shared" si="2"/>
        <v>25</v>
      </c>
      <c r="G9" s="251">
        <f>SUMIF(Proventos!$A$2:$A200,A9,Proventos!$H$2:$H200)</f>
        <v>0</v>
      </c>
      <c r="H9" s="251">
        <f t="shared" si="3"/>
        <v>25</v>
      </c>
      <c r="I9" s="253" t="str">
        <f>IFERROR(VLOOKUP(A9,Ativos!$A$1:$G200,5,),)</f>
        <v>AÇÃO</v>
      </c>
      <c r="J9" s="254" t="str">
        <f>IFERROR(VLOOKUP(A9,Ativos!A:H,8,),"")</f>
        <v>Brasil</v>
      </c>
      <c r="K9" s="251">
        <f>IFERROR(SUMIF('Operações-BR'!C:C,"="&amp;A9,'Operações-BR'!T:T),0)</f>
        <v>0</v>
      </c>
    </row>
    <row r="10">
      <c r="A10" s="250" t="str">
        <f>IFERROR(__xludf.DUMMYFUNCTION("""COMPUTED_VALUE"""),"WEGE3")</f>
        <v>WEGE3</v>
      </c>
      <c r="B10" s="251">
        <f>IFERROR(__xludf.DUMMYFUNCTION("IF(A10&lt;&gt;"""",IFERROR(IFERROR(IFERROR(IFERROR(GOOGLEFINANCE(A10),SUBSTITUTE(IMPORTXML(""https://sg.finance.yahoo.com/quote/""&amp;A10&amp;"".SA""&amp;""/history?p=""&amp;A10&amp;"".SA"",""//tbody/tr[1]/td[6]""),""."","","")),IMPORTXML(""https://www.infomoney.com.br/""&amp;A10,""/"&amp;"/div[@class='value']/p"")),IMPORTXML(""https://statusinvest.com.br/acoes/""&amp;LOWER(A10),""//div[ @title ='Valor atual do ativo']/strong"")),INDEX(IMPORTHTML(CONCATENATE(""https://www.guiainvest.com.br/raiox/default.aspx?sigla="",A10),""list"",8),2,1)),0)"),31.72)</f>
        <v>31.72</v>
      </c>
      <c r="C10" s="252">
        <f>IFERROR(__xludf.DUMMYFUNCTION("iferror(INDEX(arrayformula(filter('Operações-BR'!M:M,'Operações-BR'!C:C&lt;&gt;"""",row('Operações-BR'!C:C)=max(if('Operações-BR'!C:C=A10,row('Operações-BR'!C:C),0)))) ,1),0)"),200.0)</f>
        <v>200</v>
      </c>
      <c r="D10" s="251">
        <f t="shared" si="1"/>
        <v>6344</v>
      </c>
      <c r="E10" s="251">
        <f>IFERROR(__xludf.DUMMYFUNCTION("iferror(INDEX(arrayformula(filter('Operações-BR'!Q:Q,'Operações-BR'!C:C&lt;&gt;"""",row('Operações-BR'!C:C)=max(if('Operações-BR'!C:C=A10,row('Operações-BR'!C:C),0)))) ,1),0)"),5000.0)</f>
        <v>5000</v>
      </c>
      <c r="F10" s="251">
        <f t="shared" si="2"/>
        <v>25</v>
      </c>
      <c r="G10" s="251">
        <f>SUMIF(Proventos!$A$2:$A200,A10,Proventos!$H$2:$H200)</f>
        <v>1100</v>
      </c>
      <c r="H10" s="251">
        <f t="shared" si="3"/>
        <v>19.5</v>
      </c>
      <c r="I10" s="253" t="str">
        <f>IFERROR(VLOOKUP(A10,Ativos!$A$1:$G200,5,),)</f>
        <v>AÇÃO</v>
      </c>
      <c r="J10" s="254" t="str">
        <f>IFERROR(VLOOKUP(A10,Ativos!A:H,8,),"")</f>
        <v>Brasil</v>
      </c>
      <c r="K10" s="251">
        <f>IFERROR(SUMIF('Operações-BR'!C:C,"="&amp;A10,'Operações-BR'!T:T),0)</f>
        <v>0</v>
      </c>
    </row>
    <row r="11">
      <c r="A11" s="250"/>
      <c r="B11" s="251">
        <f>IFERROR(__xludf.DUMMYFUNCTION("IF(A11&lt;&gt;"""",IFERROR(IFERROR(IFERROR(IFERROR(GOOGLEFINANCE(A11),SUBSTITUTE(IMPORTXML(""https://sg.finance.yahoo.com/quote/""&amp;A11&amp;"".SA""&amp;""/history?p=""&amp;A11&amp;"".SA"",""//tbody/tr[1]/td[6]""),""."","","")),IMPORTXML(""https://www.infomoney.com.br/""&amp;A11,""/"&amp;"/div[@class='value']/p"")),IMPORTXML(""https://statusinvest.com.br/acoes/""&amp;LOWER(A11),""//div[ @title ='Valor atual do ativo']/strong"")),INDEX(IMPORTHTML(CONCATENATE(""https://www.guiainvest.com.br/raiox/default.aspx?sigla="",A11),""list"",8),2,1)),0)"),0.0)</f>
        <v>0</v>
      </c>
      <c r="C11" s="252">
        <f>IFERROR(__xludf.DUMMYFUNCTION("iferror(INDEX(arrayformula(filter('Operações-BR'!M:M,'Operações-BR'!C:C&lt;&gt;"""",row('Operações-BR'!C:C)=max(if('Operações-BR'!C:C=A11,row('Operações-BR'!C:C),0)))) ,1),0)"),0.0)</f>
        <v>0</v>
      </c>
      <c r="D11" s="251">
        <f t="shared" si="1"/>
        <v>0</v>
      </c>
      <c r="E11" s="251">
        <f>IFERROR(__xludf.DUMMYFUNCTION("iferror(INDEX(arrayformula(filter('Operações-BR'!Q:Q,'Operações-BR'!C:C&lt;&gt;"""",row('Operações-BR'!C:C)=max(if('Operações-BR'!C:C=A11,row('Operações-BR'!C:C),0)))) ,1),0)"),0.0)</f>
        <v>0</v>
      </c>
      <c r="F11" s="251">
        <f t="shared" si="2"/>
        <v>0</v>
      </c>
      <c r="G11" s="251">
        <f>SUMIF(Proventos!$A$2:$A200,A11,Proventos!$H$2:$H200)</f>
        <v>0</v>
      </c>
      <c r="H11" s="251">
        <f t="shared" si="3"/>
        <v>0</v>
      </c>
      <c r="I11" s="253" t="str">
        <f>IFERROR(VLOOKUP(A11,Ativos!$A$1:$G200,5,),)</f>
        <v/>
      </c>
      <c r="J11" s="254" t="str">
        <f>IFERROR(VLOOKUP(A11,Ativos!A:H,8,),"")</f>
        <v/>
      </c>
      <c r="K11" s="251">
        <f>IFERROR(SUMIF('Operações-BR'!C:C,"="&amp;A11,'Operações-BR'!T:T),0)</f>
        <v>0</v>
      </c>
    </row>
    <row r="12">
      <c r="A12" s="250"/>
      <c r="B12" s="251">
        <f>IFERROR(__xludf.DUMMYFUNCTION("IF(A12&lt;&gt;"""",IFERROR(IFERROR(IFERROR(IFERROR(GOOGLEFINANCE(A12),SUBSTITUTE(IMPORTXML(""https://sg.finance.yahoo.com/quote/""&amp;A12&amp;"".SA""&amp;""/history?p=""&amp;A12&amp;"".SA"",""//tbody/tr[1]/td[6]""),""."","","")),IMPORTXML(""https://www.infomoney.com.br/""&amp;A12,""/"&amp;"/div[@class='value']/p"")),IMPORTXML(""https://statusinvest.com.br/acoes/""&amp;LOWER(A12),""//div[ @title ='Valor atual do ativo']/strong"")),INDEX(IMPORTHTML(CONCATENATE(""https://www.guiainvest.com.br/raiox/default.aspx?sigla="",A12),""list"",8),2,1)),0)"),0.0)</f>
        <v>0</v>
      </c>
      <c r="C12" s="252">
        <f>IFERROR(__xludf.DUMMYFUNCTION("iferror(INDEX(arrayformula(filter('Operações-BR'!M:M,'Operações-BR'!C:C&lt;&gt;"""",row('Operações-BR'!C:C)=max(if('Operações-BR'!C:C=A12,row('Operações-BR'!C:C),0)))) ,1),0)"),0.0)</f>
        <v>0</v>
      </c>
      <c r="D12" s="251">
        <f t="shared" si="1"/>
        <v>0</v>
      </c>
      <c r="E12" s="251">
        <f>IFERROR(__xludf.DUMMYFUNCTION("iferror(INDEX(arrayformula(filter('Operações-BR'!Q:Q,'Operações-BR'!C:C&lt;&gt;"""",row('Operações-BR'!C:C)=max(if('Operações-BR'!C:C=A12,row('Operações-BR'!C:C),0)))) ,1),0)"),0.0)</f>
        <v>0</v>
      </c>
      <c r="F12" s="251">
        <f t="shared" si="2"/>
        <v>0</v>
      </c>
      <c r="G12" s="251">
        <f>SUMIF(Proventos!$A$2:$A200,A12,Proventos!$H$2:$H200)</f>
        <v>0</v>
      </c>
      <c r="H12" s="251">
        <f t="shared" si="3"/>
        <v>0</v>
      </c>
      <c r="I12" s="253" t="str">
        <f>IFERROR(VLOOKUP(A12,Ativos!$A$1:$G200,5,),)</f>
        <v/>
      </c>
      <c r="J12" s="254" t="str">
        <f>IFERROR(VLOOKUP(A12,Ativos!A:H,8,),"")</f>
        <v/>
      </c>
      <c r="K12" s="251">
        <f>IFERROR(SUMIF('Operações-BR'!C:C,"="&amp;A12,'Operações-BR'!T:T),0)</f>
        <v>0</v>
      </c>
    </row>
    <row r="13">
      <c r="A13" s="250"/>
      <c r="B13" s="251">
        <f>IFERROR(__xludf.DUMMYFUNCTION("IF(A13&lt;&gt;"""",IFERROR(IFERROR(IFERROR(IFERROR(GOOGLEFINANCE(A13),SUBSTITUTE(IMPORTXML(""https://sg.finance.yahoo.com/quote/""&amp;A13&amp;"".SA""&amp;""/history?p=""&amp;A13&amp;"".SA"",""//tbody/tr[1]/td[6]""),""."","","")),IMPORTXML(""https://www.infomoney.com.br/""&amp;A13,""/"&amp;"/div[@class='value']/p"")),IMPORTXML(""https://statusinvest.com.br/acoes/""&amp;LOWER(A13),""//div[ @title ='Valor atual do ativo']/strong"")),INDEX(IMPORTHTML(CONCATENATE(""https://www.guiainvest.com.br/raiox/default.aspx?sigla="",A13),""list"",8),2,1)),0)"),0.0)</f>
        <v>0</v>
      </c>
      <c r="C13" s="252">
        <f>IFERROR(__xludf.DUMMYFUNCTION("iferror(INDEX(arrayformula(filter('Operações-BR'!M:M,'Operações-BR'!C:C&lt;&gt;"""",row('Operações-BR'!C:C)=max(if('Operações-BR'!C:C=A13,row('Operações-BR'!C:C),0)))) ,1),0)"),0.0)</f>
        <v>0</v>
      </c>
      <c r="D13" s="251">
        <f t="shared" si="1"/>
        <v>0</v>
      </c>
      <c r="E13" s="251">
        <f>IFERROR(__xludf.DUMMYFUNCTION("iferror(INDEX(arrayformula(filter('Operações-BR'!Q:Q,'Operações-BR'!C:C&lt;&gt;"""",row('Operações-BR'!C:C)=max(if('Operações-BR'!C:C=A13,row('Operações-BR'!C:C),0)))) ,1),0)"),0.0)</f>
        <v>0</v>
      </c>
      <c r="F13" s="251">
        <f t="shared" si="2"/>
        <v>0</v>
      </c>
      <c r="G13" s="251">
        <f>SUMIF(Proventos!$A$2:$A200,A13,Proventos!$H$2:$H200)</f>
        <v>0</v>
      </c>
      <c r="H13" s="251">
        <f t="shared" si="3"/>
        <v>0</v>
      </c>
      <c r="I13" s="253" t="str">
        <f>IFERROR(VLOOKUP(A13,Ativos!$A$1:$G200,5,),)</f>
        <v/>
      </c>
      <c r="J13" s="254" t="str">
        <f>IFERROR(VLOOKUP(A13,Ativos!A:H,8,),"")</f>
        <v/>
      </c>
      <c r="K13" s="251">
        <f>IFERROR(SUMIF('Operações-BR'!C:C,"="&amp;A13,'Operações-BR'!T:T),0)</f>
        <v>0</v>
      </c>
    </row>
    <row r="14">
      <c r="A14" s="255"/>
      <c r="B14" s="251">
        <f>IFERROR(__xludf.DUMMYFUNCTION("IF(A14&lt;&gt;"""",IFERROR(IFERROR(IFERROR(IFERROR(GOOGLEFINANCE(A14),SUBSTITUTE(IMPORTXML(""https://sg.finance.yahoo.com/quote/""&amp;A14&amp;"".SA""&amp;""/history?p=""&amp;A14&amp;"".SA"",""//tbody/tr[1]/td[6]""),""."","","")),IMPORTXML(""https://www.infomoney.com.br/""&amp;A14,""/"&amp;"/div[@class='value']/p"")),IMPORTXML(""https://statusinvest.com.br/acoes/""&amp;LOWER(A14),""//div[ @title ='Valor atual do ativo']/strong"")),INDEX(IMPORTHTML(CONCATENATE(""https://www.guiainvest.com.br/raiox/default.aspx?sigla="",A14),""list"",8),2,1)),0)"),0.0)</f>
        <v>0</v>
      </c>
      <c r="C14" s="252">
        <f>IFERROR(__xludf.DUMMYFUNCTION("iferror(INDEX(arrayformula(filter('Operações-BR'!M:M,'Operações-BR'!C:C&lt;&gt;"""",row('Operações-BR'!C:C)=max(if('Operações-BR'!C:C=A14,row('Operações-BR'!C:C),0)))) ,1),0)"),0.0)</f>
        <v>0</v>
      </c>
      <c r="D14" s="251">
        <f t="shared" si="1"/>
        <v>0</v>
      </c>
      <c r="E14" s="251">
        <f>IFERROR(__xludf.DUMMYFUNCTION("iferror(INDEX(arrayformula(filter('Operações-BR'!Q:Q,'Operações-BR'!C:C&lt;&gt;"""",row('Operações-BR'!C:C)=max(if('Operações-BR'!C:C=A14,row('Operações-BR'!C:C),0)))) ,1),0)"),0.0)</f>
        <v>0</v>
      </c>
      <c r="F14" s="251">
        <f t="shared" si="2"/>
        <v>0</v>
      </c>
      <c r="G14" s="251">
        <f>SUMIF(Proventos!$A$2:$A200,A14,Proventos!$H$2:$H200)</f>
        <v>0</v>
      </c>
      <c r="H14" s="251">
        <f t="shared" si="3"/>
        <v>0</v>
      </c>
      <c r="I14" s="253" t="str">
        <f>IFERROR(VLOOKUP(A14,Ativos!$A$1:$G200,5,),)</f>
        <v/>
      </c>
      <c r="J14" s="254" t="str">
        <f>IFERROR(VLOOKUP(A14,Ativos!A:H,8,),"")</f>
        <v/>
      </c>
      <c r="K14" s="251">
        <f>IFERROR(SUMIF('Operações-BR'!C:C,"="&amp;A14,'Operações-BR'!T:T),0)</f>
        <v>0</v>
      </c>
    </row>
    <row r="15">
      <c r="A15" s="255"/>
      <c r="B15" s="251">
        <f>IFERROR(__xludf.DUMMYFUNCTION("IF(A15&lt;&gt;"""",IFERROR(IFERROR(IFERROR(IFERROR(GOOGLEFINANCE(A15),SUBSTITUTE(IMPORTXML(""https://sg.finance.yahoo.com/quote/""&amp;A15&amp;"".SA""&amp;""/history?p=""&amp;A15&amp;"".SA"",""//tbody/tr[1]/td[6]""),""."","","")),IMPORTXML(""https://www.infomoney.com.br/""&amp;A15,""/"&amp;"/div[@class='value']/p"")),IMPORTXML(""https://statusinvest.com.br/acoes/""&amp;LOWER(A15),""//div[ @title ='Valor atual do ativo']/strong"")),INDEX(IMPORTHTML(CONCATENATE(""https://www.guiainvest.com.br/raiox/default.aspx?sigla="",A15),""list"",8),2,1)),0)"),0.0)</f>
        <v>0</v>
      </c>
      <c r="C15" s="252">
        <f>IFERROR(__xludf.DUMMYFUNCTION("iferror(INDEX(arrayformula(filter('Operações-BR'!M:M,'Operações-BR'!C:C&lt;&gt;"""",row('Operações-BR'!C:C)=max(if('Operações-BR'!C:C=A15,row('Operações-BR'!C:C),0)))) ,1),0)"),0.0)</f>
        <v>0</v>
      </c>
      <c r="D15" s="251">
        <f t="shared" si="1"/>
        <v>0</v>
      </c>
      <c r="E15" s="251">
        <f>IFERROR(__xludf.DUMMYFUNCTION("iferror(INDEX(arrayformula(filter('Operações-BR'!Q:Q,'Operações-BR'!C:C&lt;&gt;"""",row('Operações-BR'!C:C)=max(if('Operações-BR'!C:C=A15,row('Operações-BR'!C:C),0)))) ,1),0)"),0.0)</f>
        <v>0</v>
      </c>
      <c r="F15" s="251">
        <f t="shared" si="2"/>
        <v>0</v>
      </c>
      <c r="G15" s="251">
        <f>SUMIF(Proventos!$A$2:$A200,A15,Proventos!$H$2:$H200)</f>
        <v>0</v>
      </c>
      <c r="H15" s="251">
        <f t="shared" si="3"/>
        <v>0</v>
      </c>
      <c r="I15" s="253" t="str">
        <f>IFERROR(VLOOKUP(A15,Ativos!$A$1:$G200,5,),)</f>
        <v/>
      </c>
      <c r="J15" s="254" t="str">
        <f>IFERROR(VLOOKUP(A15,Ativos!A:H,8,),"")</f>
        <v/>
      </c>
      <c r="K15" s="251">
        <f>IFERROR(SUMIF('Operações-BR'!C:C,"="&amp;A15,'Operações-BR'!T:T),0)</f>
        <v>0</v>
      </c>
    </row>
    <row r="16">
      <c r="A16" s="255"/>
      <c r="B16" s="251">
        <f>IFERROR(__xludf.DUMMYFUNCTION("IF(A16&lt;&gt;"""",IFERROR(IFERROR(IFERROR(IFERROR(GOOGLEFINANCE(A16),SUBSTITUTE(IMPORTXML(""https://sg.finance.yahoo.com/quote/""&amp;A16&amp;"".SA""&amp;""/history?p=""&amp;A16&amp;"".SA"",""//tbody/tr[1]/td[6]""),""."","","")),IMPORTXML(""https://www.infomoney.com.br/""&amp;A16,""/"&amp;"/div[@class='value']/p"")),IMPORTXML(""https://statusinvest.com.br/acoes/""&amp;LOWER(A16),""//div[ @title ='Valor atual do ativo']/strong"")),INDEX(IMPORTHTML(CONCATENATE(""https://www.guiainvest.com.br/raiox/default.aspx?sigla="",A16),""list"",8),2,1)),0)"),0.0)</f>
        <v>0</v>
      </c>
      <c r="C16" s="252">
        <f>IFERROR(__xludf.DUMMYFUNCTION("iferror(INDEX(arrayformula(filter('Operações-BR'!M:M,'Operações-BR'!C:C&lt;&gt;"""",row('Operações-BR'!C:C)=max(if('Operações-BR'!C:C=A16,row('Operações-BR'!C:C),0)))) ,1),0)"),0.0)</f>
        <v>0</v>
      </c>
      <c r="D16" s="251">
        <f t="shared" si="1"/>
        <v>0</v>
      </c>
      <c r="E16" s="251">
        <f>IFERROR(__xludf.DUMMYFUNCTION("iferror(INDEX(arrayformula(filter('Operações-BR'!Q:Q,'Operações-BR'!C:C&lt;&gt;"""",row('Operações-BR'!C:C)=max(if('Operações-BR'!C:C=A16,row('Operações-BR'!C:C),0)))) ,1),0)"),0.0)</f>
        <v>0</v>
      </c>
      <c r="F16" s="251">
        <f t="shared" si="2"/>
        <v>0</v>
      </c>
      <c r="G16" s="251">
        <f>SUMIF(Proventos!$A$2:$A200,A16,Proventos!$H$2:$H200)</f>
        <v>0</v>
      </c>
      <c r="H16" s="251">
        <f t="shared" si="3"/>
        <v>0</v>
      </c>
      <c r="I16" s="253" t="str">
        <f>IFERROR(VLOOKUP(A16,Ativos!$A$1:$G200,5,),)</f>
        <v/>
      </c>
      <c r="J16" s="254" t="str">
        <f>IFERROR(VLOOKUP(A16,Ativos!A:H,8,),"")</f>
        <v/>
      </c>
      <c r="K16" s="251">
        <f>IFERROR(SUMIF('Operações-BR'!C:C,"="&amp;A16,'Operações-BR'!T:T),0)</f>
        <v>0</v>
      </c>
    </row>
    <row r="17">
      <c r="A17" s="256"/>
      <c r="B17" s="251">
        <f>IFERROR(__xludf.DUMMYFUNCTION("IF(A17&lt;&gt;"""",IFERROR(IFERROR(IFERROR(IFERROR(GOOGLEFINANCE(A17),SUBSTITUTE(IMPORTXML(""https://sg.finance.yahoo.com/quote/""&amp;A17&amp;"".SA""&amp;""/history?p=""&amp;A17&amp;"".SA"",""//tbody/tr[1]/td[6]""),""."","","")),IMPORTXML(""https://www.infomoney.com.br/""&amp;A17,""/"&amp;"/div[@class='value']/p"")),IMPORTXML(""https://statusinvest.com.br/acoes/""&amp;LOWER(A17),""//div[ @title ='Valor atual do ativo']/strong"")),INDEX(IMPORTHTML(CONCATENATE(""https://www.guiainvest.com.br/raiox/default.aspx?sigla="",A17),""list"",8),2,1)),0)"),0.0)</f>
        <v>0</v>
      </c>
      <c r="C17" s="252">
        <f>IFERROR(__xludf.DUMMYFUNCTION("iferror(INDEX(arrayformula(filter('Operações-BR'!M:M,'Operações-BR'!C:C&lt;&gt;"""",row('Operações-BR'!C:C)=max(if('Operações-BR'!C:C=A17,row('Operações-BR'!C:C),0)))) ,1),0)"),0.0)</f>
        <v>0</v>
      </c>
      <c r="D17" s="251">
        <f t="shared" si="1"/>
        <v>0</v>
      </c>
      <c r="E17" s="251">
        <f>IFERROR(__xludf.DUMMYFUNCTION("iferror(INDEX(arrayformula(filter('Operações-BR'!Q:Q,'Operações-BR'!C:C&lt;&gt;"""",row('Operações-BR'!C:C)=max(if('Operações-BR'!C:C=A17,row('Operações-BR'!C:C),0)))) ,1),0)"),0.0)</f>
        <v>0</v>
      </c>
      <c r="F17" s="251">
        <f t="shared" si="2"/>
        <v>0</v>
      </c>
      <c r="G17" s="251">
        <f>SUMIF(Proventos!$A$2:$A200,A17,Proventos!$H$2:$H200)</f>
        <v>0</v>
      </c>
      <c r="H17" s="251">
        <f t="shared" si="3"/>
        <v>0</v>
      </c>
      <c r="I17" s="253" t="str">
        <f>IFERROR(VLOOKUP(A17,Ativos!$A$1:$G200,5,),)</f>
        <v/>
      </c>
      <c r="J17" s="254" t="str">
        <f>IFERROR(VLOOKUP(A17,Ativos!A:H,8,),"")</f>
        <v/>
      </c>
      <c r="K17" s="251">
        <f>IFERROR(SUMIF('Operações-BR'!C:C,"="&amp;A17,'Operações-BR'!T:T),0)</f>
        <v>0</v>
      </c>
    </row>
    <row r="18">
      <c r="A18" s="255"/>
      <c r="B18" s="251">
        <f>IFERROR(__xludf.DUMMYFUNCTION("IF(A18&lt;&gt;"""",IFERROR(IFERROR(IFERROR(IFERROR(GOOGLEFINANCE(A18),SUBSTITUTE(IMPORTXML(""https://sg.finance.yahoo.com/quote/""&amp;A18&amp;"".SA""&amp;""/history?p=""&amp;A18&amp;"".SA"",""//tbody/tr[1]/td[6]""),""."","","")),IMPORTXML(""https://www.infomoney.com.br/""&amp;A18,""/"&amp;"/div[@class='value']/p"")),IMPORTXML(""https://statusinvest.com.br/acoes/""&amp;LOWER(A18),""//div[ @title ='Valor atual do ativo']/strong"")),INDEX(IMPORTHTML(CONCATENATE(""https://www.guiainvest.com.br/raiox/default.aspx?sigla="",A18),""list"",8),2,1)),0)"),0.0)</f>
        <v>0</v>
      </c>
      <c r="C18" s="252">
        <f>IFERROR(__xludf.DUMMYFUNCTION("iferror(INDEX(arrayformula(filter('Operações-BR'!M:M,'Operações-BR'!C:C&lt;&gt;"""",row('Operações-BR'!C:C)=max(if('Operações-BR'!C:C=A18,row('Operações-BR'!C:C),0)))) ,1),0)"),0.0)</f>
        <v>0</v>
      </c>
      <c r="D18" s="251">
        <f t="shared" si="1"/>
        <v>0</v>
      </c>
      <c r="E18" s="251">
        <f>IFERROR(__xludf.DUMMYFUNCTION("iferror(INDEX(arrayformula(filter('Operações-BR'!Q:Q,'Operações-BR'!C:C&lt;&gt;"""",row('Operações-BR'!C:C)=max(if('Operações-BR'!C:C=A18,row('Operações-BR'!C:C),0)))) ,1),0)"),0.0)</f>
        <v>0</v>
      </c>
      <c r="F18" s="251">
        <f t="shared" si="2"/>
        <v>0</v>
      </c>
      <c r="G18" s="251">
        <f>SUMIF(Proventos!$A$2:$A200,A18,Proventos!$H$2:$H200)</f>
        <v>0</v>
      </c>
      <c r="H18" s="251">
        <f t="shared" si="3"/>
        <v>0</v>
      </c>
      <c r="I18" s="253" t="str">
        <f>IFERROR(VLOOKUP(A18,Ativos!$A$1:$G200,5,),)</f>
        <v/>
      </c>
      <c r="J18" s="254" t="str">
        <f>IFERROR(VLOOKUP(A18,Ativos!A:H,8,),"")</f>
        <v/>
      </c>
      <c r="K18" s="251">
        <f>IFERROR(SUMIF('Operações-BR'!C:C,"="&amp;A18,'Operações-BR'!T:T),0)</f>
        <v>0</v>
      </c>
    </row>
    <row r="19">
      <c r="A19" s="256"/>
      <c r="B19" s="251">
        <f>IFERROR(__xludf.DUMMYFUNCTION("IF(A19&lt;&gt;"""",IFERROR(IFERROR(IFERROR(IFERROR(GOOGLEFINANCE(A19),SUBSTITUTE(IMPORTXML(""https://sg.finance.yahoo.com/quote/""&amp;A19&amp;"".SA""&amp;""/history?p=""&amp;A19&amp;"".SA"",""//tbody/tr[1]/td[6]""),""."","","")),IMPORTXML(""https://www.infomoney.com.br/""&amp;A19,""/"&amp;"/div[@class='value']/p"")),IMPORTXML(""https://statusinvest.com.br/acoes/""&amp;LOWER(A19),""//div[ @title ='Valor atual do ativo']/strong"")),INDEX(IMPORTHTML(CONCATENATE(""https://www.guiainvest.com.br/raiox/default.aspx?sigla="",A19),""list"",8),2,1)),0)"),0.0)</f>
        <v>0</v>
      </c>
      <c r="C19" s="252">
        <f>IFERROR(__xludf.DUMMYFUNCTION("iferror(INDEX(arrayformula(filter('Operações-BR'!M:M,'Operações-BR'!C:C&lt;&gt;"""",row('Operações-BR'!C:C)=max(if('Operações-BR'!C:C=A19,row('Operações-BR'!C:C),0)))) ,1),0)"),0.0)</f>
        <v>0</v>
      </c>
      <c r="D19" s="251">
        <f t="shared" si="1"/>
        <v>0</v>
      </c>
      <c r="E19" s="251">
        <f>IFERROR(__xludf.DUMMYFUNCTION("iferror(INDEX(arrayformula(filter('Operações-BR'!Q:Q,'Operações-BR'!C:C&lt;&gt;"""",row('Operações-BR'!C:C)=max(if('Operações-BR'!C:C=A19,row('Operações-BR'!C:C),0)))) ,1),0)"),0.0)</f>
        <v>0</v>
      </c>
      <c r="F19" s="251">
        <f t="shared" si="2"/>
        <v>0</v>
      </c>
      <c r="G19" s="251">
        <f>SUMIF(Proventos!$A$2:$A200,A19,Proventos!$H$2:$H200)</f>
        <v>0</v>
      </c>
      <c r="H19" s="251">
        <f t="shared" si="3"/>
        <v>0</v>
      </c>
      <c r="I19" s="253" t="str">
        <f>IFERROR(VLOOKUP(A19,Ativos!$A$1:$G200,5,),)</f>
        <v/>
      </c>
      <c r="J19" s="254" t="str">
        <f>IFERROR(VLOOKUP(A19,Ativos!A:H,8,),"")</f>
        <v/>
      </c>
      <c r="K19" s="251">
        <f>IFERROR(SUMIF('Operações-BR'!C:C,"="&amp;A19,'Operações-BR'!T:T),0)</f>
        <v>0</v>
      </c>
    </row>
    <row r="20">
      <c r="A20" s="255"/>
      <c r="B20" s="251">
        <f>IFERROR(__xludf.DUMMYFUNCTION("IF(A20&lt;&gt;"""",IFERROR(IFERROR(IFERROR(IFERROR(GOOGLEFINANCE(A20),SUBSTITUTE(IMPORTXML(""https://sg.finance.yahoo.com/quote/""&amp;A20&amp;"".SA""&amp;""/history?p=""&amp;A20&amp;"".SA"",""//tbody/tr[1]/td[6]""),""."","","")),IMPORTXML(""https://www.infomoney.com.br/""&amp;A20,""/"&amp;"/div[@class='value']/p"")),IMPORTXML(""https://statusinvest.com.br/acoes/""&amp;LOWER(A20),""//div[ @title ='Valor atual do ativo']/strong"")),INDEX(IMPORTHTML(CONCATENATE(""https://www.guiainvest.com.br/raiox/default.aspx?sigla="",A20),""list"",8),2,1)),0)"),0.0)</f>
        <v>0</v>
      </c>
      <c r="C20" s="252">
        <f>IFERROR(__xludf.DUMMYFUNCTION("iferror(INDEX(arrayformula(filter('Operações-BR'!M:M,'Operações-BR'!C:C&lt;&gt;"""",row('Operações-BR'!C:C)=max(if('Operações-BR'!C:C=A20,row('Operações-BR'!C:C),0)))) ,1),0)"),0.0)</f>
        <v>0</v>
      </c>
      <c r="D20" s="251">
        <f t="shared" si="1"/>
        <v>0</v>
      </c>
      <c r="E20" s="251">
        <f>IFERROR(__xludf.DUMMYFUNCTION("iferror(INDEX(arrayformula(filter('Operações-BR'!Q:Q,'Operações-BR'!C:C&lt;&gt;"""",row('Operações-BR'!C:C)=max(if('Operações-BR'!C:C=A20,row('Operações-BR'!C:C),0)))) ,1),0)"),0.0)</f>
        <v>0</v>
      </c>
      <c r="F20" s="251">
        <f t="shared" si="2"/>
        <v>0</v>
      </c>
      <c r="G20" s="251">
        <f>SUMIF(Proventos!$A$2:$A200,A20,Proventos!$H$2:$H200)</f>
        <v>0</v>
      </c>
      <c r="H20" s="251">
        <f t="shared" si="3"/>
        <v>0</v>
      </c>
      <c r="I20" s="253" t="str">
        <f>IFERROR(VLOOKUP(A20,Ativos!$A$1:$G200,5,),)</f>
        <v/>
      </c>
      <c r="J20" s="254" t="str">
        <f>IFERROR(VLOOKUP(A20,Ativos!A:H,8,),"")</f>
        <v/>
      </c>
      <c r="K20" s="251">
        <f>IFERROR(SUMIF('Operações-BR'!C:C,"="&amp;A20,'Operações-BR'!T:T),0)</f>
        <v>0</v>
      </c>
    </row>
    <row r="21">
      <c r="A21" s="255"/>
      <c r="B21" s="251">
        <f>IFERROR(__xludf.DUMMYFUNCTION("IF(A21&lt;&gt;"""",IFERROR(IFERROR(IFERROR(IFERROR(GOOGLEFINANCE(A21),SUBSTITUTE(IMPORTXML(""https://sg.finance.yahoo.com/quote/""&amp;A21&amp;"".SA""&amp;""/history?p=""&amp;A21&amp;"".SA"",""//tbody/tr[1]/td[6]""),""."","","")),IMPORTXML(""https://www.infomoney.com.br/""&amp;A21,""/"&amp;"/div[@class='value']/p"")),IMPORTXML(""https://statusinvest.com.br/acoes/""&amp;LOWER(A21),""//div[ @title ='Valor atual do ativo']/strong"")),INDEX(IMPORTHTML(CONCATENATE(""https://www.guiainvest.com.br/raiox/default.aspx?sigla="",A21),""list"",8),2,1)),0)"),0.0)</f>
        <v>0</v>
      </c>
      <c r="C21" s="252">
        <f>IFERROR(__xludf.DUMMYFUNCTION("iferror(INDEX(arrayformula(filter('Operações-BR'!M:M,'Operações-BR'!C:C&lt;&gt;"""",row('Operações-BR'!C:C)=max(if('Operações-BR'!C:C=A21,row('Operações-BR'!C:C),0)))) ,1),0)"),0.0)</f>
        <v>0</v>
      </c>
      <c r="D21" s="251">
        <f t="shared" si="1"/>
        <v>0</v>
      </c>
      <c r="E21" s="251">
        <f>IFERROR(__xludf.DUMMYFUNCTION("iferror(INDEX(arrayformula(filter('Operações-BR'!Q:Q,'Operações-BR'!C:C&lt;&gt;"""",row('Operações-BR'!C:C)=max(if('Operações-BR'!C:C=A21,row('Operações-BR'!C:C),0)))) ,1),0)"),0.0)</f>
        <v>0</v>
      </c>
      <c r="F21" s="251">
        <f t="shared" si="2"/>
        <v>0</v>
      </c>
      <c r="G21" s="251">
        <f>SUMIF(Proventos!$A$2:$A200,A21,Proventos!$H$2:$H200)</f>
        <v>0</v>
      </c>
      <c r="H21" s="251">
        <f t="shared" si="3"/>
        <v>0</v>
      </c>
      <c r="I21" s="253" t="str">
        <f>IFERROR(VLOOKUP(A21,Ativos!$A$1:$G200,5,),)</f>
        <v/>
      </c>
      <c r="J21" s="254" t="str">
        <f>IFERROR(VLOOKUP(A21,Ativos!A:H,8,),"")</f>
        <v/>
      </c>
      <c r="K21" s="251">
        <f>IFERROR(SUMIF('Operações-BR'!C:C,"="&amp;A21,'Operações-BR'!T:T),0)</f>
        <v>0</v>
      </c>
    </row>
    <row r="22">
      <c r="A22" s="255"/>
      <c r="B22" s="251">
        <f>IFERROR(__xludf.DUMMYFUNCTION("IF(A22&lt;&gt;"""",IFERROR(IFERROR(IFERROR(IFERROR(GOOGLEFINANCE(A22),SUBSTITUTE(IMPORTXML(""https://sg.finance.yahoo.com/quote/""&amp;A22&amp;"".SA""&amp;""/history?p=""&amp;A22&amp;"".SA"",""//tbody/tr[1]/td[6]""),""."","","")),IMPORTXML(""https://www.infomoney.com.br/""&amp;A22,""/"&amp;"/div[@class='value']/p"")),IMPORTXML(""https://statusinvest.com.br/acoes/""&amp;LOWER(A22),""//div[ @title ='Valor atual do ativo']/strong"")),INDEX(IMPORTHTML(CONCATENATE(""https://www.guiainvest.com.br/raiox/default.aspx?sigla="",A22),""list"",8),2,1)),0)"),0.0)</f>
        <v>0</v>
      </c>
      <c r="C22" s="252">
        <f>IFERROR(__xludf.DUMMYFUNCTION("iferror(INDEX(arrayformula(filter('Operações-BR'!M:M,'Operações-BR'!C:C&lt;&gt;"""",row('Operações-BR'!C:C)=max(if('Operações-BR'!C:C=A22,row('Operações-BR'!C:C),0)))) ,1),0)"),0.0)</f>
        <v>0</v>
      </c>
      <c r="D22" s="251">
        <f t="shared" si="1"/>
        <v>0</v>
      </c>
      <c r="E22" s="251">
        <f>IFERROR(__xludf.DUMMYFUNCTION("iferror(INDEX(arrayformula(filter('Operações-BR'!Q:Q,'Operações-BR'!C:C&lt;&gt;"""",row('Operações-BR'!C:C)=max(if('Operações-BR'!C:C=A22,row('Operações-BR'!C:C),0)))) ,1),0)"),0.0)</f>
        <v>0</v>
      </c>
      <c r="F22" s="251">
        <f t="shared" si="2"/>
        <v>0</v>
      </c>
      <c r="G22" s="251">
        <f>SUMIF(Proventos!$A$2:$A200,A22,Proventos!$H$2:$H200)</f>
        <v>0</v>
      </c>
      <c r="H22" s="251">
        <f t="shared" si="3"/>
        <v>0</v>
      </c>
      <c r="I22" s="253" t="str">
        <f>IFERROR(VLOOKUP(A22,Ativos!$A$1:$G200,5,),)</f>
        <v/>
      </c>
      <c r="J22" s="254" t="str">
        <f>IFERROR(VLOOKUP(A22,Ativos!A:H,8,),"")</f>
        <v/>
      </c>
      <c r="K22" s="251">
        <f>IFERROR(SUMIF('Operações-BR'!C:C,"="&amp;A22,'Operações-BR'!T:T),0)</f>
        <v>0</v>
      </c>
    </row>
    <row r="23">
      <c r="A23" s="255"/>
      <c r="B23" s="251">
        <f>IFERROR(__xludf.DUMMYFUNCTION("IF(A23&lt;&gt;"""",IFERROR(IFERROR(IFERROR(IFERROR(GOOGLEFINANCE(A23),SUBSTITUTE(IMPORTXML(""https://sg.finance.yahoo.com/quote/""&amp;A23&amp;"".SA""&amp;""/history?p=""&amp;A23&amp;"".SA"",""//tbody/tr[1]/td[6]""),""."","","")),IMPORTXML(""https://www.infomoney.com.br/""&amp;A23,""/"&amp;"/div[@class='value']/p"")),IMPORTXML(""https://statusinvest.com.br/acoes/""&amp;LOWER(A23),""//div[ @title ='Valor atual do ativo']/strong"")),INDEX(IMPORTHTML(CONCATENATE(""https://www.guiainvest.com.br/raiox/default.aspx?sigla="",A23),""list"",8),2,1)),0)"),0.0)</f>
        <v>0</v>
      </c>
      <c r="C23" s="252">
        <f>IFERROR(__xludf.DUMMYFUNCTION("iferror(INDEX(arrayformula(filter('Operações-BR'!M:M,'Operações-BR'!C:C&lt;&gt;"""",row('Operações-BR'!C:C)=max(if('Operações-BR'!C:C=A23,row('Operações-BR'!C:C),0)))) ,1),0)"),0.0)</f>
        <v>0</v>
      </c>
      <c r="D23" s="251">
        <f t="shared" si="1"/>
        <v>0</v>
      </c>
      <c r="E23" s="251">
        <f>IFERROR(__xludf.DUMMYFUNCTION("iferror(INDEX(arrayformula(filter('Operações-BR'!Q:Q,'Operações-BR'!C:C&lt;&gt;"""",row('Operações-BR'!C:C)=max(if('Operações-BR'!C:C=A23,row('Operações-BR'!C:C),0)))) ,1),0)"),0.0)</f>
        <v>0</v>
      </c>
      <c r="F23" s="251">
        <f t="shared" si="2"/>
        <v>0</v>
      </c>
      <c r="G23" s="251">
        <f>SUMIF(Proventos!$A$2:$A200,A23,Proventos!$H$2:$H200)</f>
        <v>0</v>
      </c>
      <c r="H23" s="251">
        <f t="shared" si="3"/>
        <v>0</v>
      </c>
      <c r="I23" s="253" t="str">
        <f>IFERROR(VLOOKUP(A23,Ativos!$A$1:$G200,5,),)</f>
        <v/>
      </c>
      <c r="J23" s="254" t="str">
        <f>IFERROR(VLOOKUP(A23,Ativos!A:H,8,),"")</f>
        <v/>
      </c>
      <c r="K23" s="251">
        <f>IFERROR(SUMIF('Operações-BR'!C:C,"="&amp;A23,'Operações-BR'!T:T),0)</f>
        <v>0</v>
      </c>
    </row>
    <row r="24">
      <c r="A24" s="255"/>
      <c r="B24" s="251">
        <f>IFERROR(__xludf.DUMMYFUNCTION("IF(A24&lt;&gt;"""",IFERROR(IFERROR(IFERROR(IFERROR(GOOGLEFINANCE(A24),SUBSTITUTE(IMPORTXML(""https://sg.finance.yahoo.com/quote/""&amp;A24&amp;"".SA""&amp;""/history?p=""&amp;A24&amp;"".SA"",""//tbody/tr[1]/td[6]""),""."","","")),IMPORTXML(""https://www.infomoney.com.br/""&amp;A24,""/"&amp;"/div[@class='value']/p"")),IMPORTXML(""https://statusinvest.com.br/acoes/""&amp;LOWER(A24),""//div[ @title ='Valor atual do ativo']/strong"")),INDEX(IMPORTHTML(CONCATENATE(""https://www.guiainvest.com.br/raiox/default.aspx?sigla="",A24),""list"",8),2,1)),0)"),0.0)</f>
        <v>0</v>
      </c>
      <c r="C24" s="252">
        <f>IFERROR(__xludf.DUMMYFUNCTION("iferror(INDEX(arrayformula(filter('Operações-BR'!M:M,'Operações-BR'!C:C&lt;&gt;"""",row('Operações-BR'!C:C)=max(if('Operações-BR'!C:C=A24,row('Operações-BR'!C:C),0)))) ,1),0)"),0.0)</f>
        <v>0</v>
      </c>
      <c r="D24" s="251">
        <f t="shared" si="1"/>
        <v>0</v>
      </c>
      <c r="E24" s="251">
        <f>IFERROR(__xludf.DUMMYFUNCTION("iferror(INDEX(arrayformula(filter('Operações-BR'!Q:Q,'Operações-BR'!C:C&lt;&gt;"""",row('Operações-BR'!C:C)=max(if('Operações-BR'!C:C=A24,row('Operações-BR'!C:C),0)))) ,1),0)"),0.0)</f>
        <v>0</v>
      </c>
      <c r="F24" s="251">
        <f t="shared" si="2"/>
        <v>0</v>
      </c>
      <c r="G24" s="251">
        <f>SUMIF(Proventos!$A$2:$A200,A24,Proventos!$H$2:$H200)</f>
        <v>0</v>
      </c>
      <c r="H24" s="251">
        <f t="shared" si="3"/>
        <v>0</v>
      </c>
      <c r="I24" s="253" t="str">
        <f>IFERROR(VLOOKUP(A24,Ativos!$A$1:$G200,5,),)</f>
        <v/>
      </c>
      <c r="J24" s="254" t="str">
        <f>IFERROR(VLOOKUP(A24,Ativos!A:H,8,),"")</f>
        <v/>
      </c>
      <c r="K24" s="251">
        <f>IFERROR(SUMIF('Operações-BR'!C:C,"="&amp;A24,'Operações-BR'!T:T),0)</f>
        <v>0</v>
      </c>
    </row>
    <row r="25">
      <c r="A25" s="255"/>
      <c r="B25" s="251">
        <f>IFERROR(__xludf.DUMMYFUNCTION("IF(A25&lt;&gt;"""",IFERROR(IFERROR(IFERROR(IFERROR(GOOGLEFINANCE(A25),SUBSTITUTE(IMPORTXML(""https://sg.finance.yahoo.com/quote/""&amp;A25&amp;"".SA""&amp;""/history?p=""&amp;A25&amp;"".SA"",""//tbody/tr[1]/td[6]""),""."","","")),IMPORTXML(""https://www.infomoney.com.br/""&amp;A25,""/"&amp;"/div[@class='value']/p"")),IMPORTXML(""https://statusinvest.com.br/acoes/""&amp;LOWER(A25),""//div[ @title ='Valor atual do ativo']/strong"")),INDEX(IMPORTHTML(CONCATENATE(""https://www.guiainvest.com.br/raiox/default.aspx?sigla="",A25),""list"",8),2,1)),0)"),0.0)</f>
        <v>0</v>
      </c>
      <c r="C25" s="252">
        <f>IFERROR(__xludf.DUMMYFUNCTION("iferror(INDEX(arrayformula(filter('Operações-BR'!M:M,'Operações-BR'!C:C&lt;&gt;"""",row('Operações-BR'!C:C)=max(if('Operações-BR'!C:C=A25,row('Operações-BR'!C:C),0)))) ,1),0)"),0.0)</f>
        <v>0</v>
      </c>
      <c r="D25" s="251">
        <f t="shared" si="1"/>
        <v>0</v>
      </c>
      <c r="E25" s="251">
        <f>IFERROR(__xludf.DUMMYFUNCTION("iferror(INDEX(arrayformula(filter('Operações-BR'!Q:Q,'Operações-BR'!C:C&lt;&gt;"""",row('Operações-BR'!C:C)=max(if('Operações-BR'!C:C=A25,row('Operações-BR'!C:C),0)))) ,1),0)"),0.0)</f>
        <v>0</v>
      </c>
      <c r="F25" s="251">
        <f t="shared" si="2"/>
        <v>0</v>
      </c>
      <c r="G25" s="251">
        <f>SUMIF(Proventos!$A$2:$A200,A25,Proventos!$H$2:$H200)</f>
        <v>0</v>
      </c>
      <c r="H25" s="251">
        <f t="shared" si="3"/>
        <v>0</v>
      </c>
      <c r="I25" s="253" t="str">
        <f>IFERROR(VLOOKUP(A25,Ativos!$A$1:$G200,5,),)</f>
        <v/>
      </c>
      <c r="J25" s="254" t="str">
        <f>IFERROR(VLOOKUP(A25,Ativos!A:H,8,),"")</f>
        <v/>
      </c>
      <c r="K25" s="251">
        <f>IFERROR(SUMIF('Operações-BR'!C:C,"="&amp;A25,'Operações-BR'!T:T),0)</f>
        <v>0</v>
      </c>
    </row>
    <row r="26">
      <c r="A26" s="255"/>
      <c r="B26" s="251">
        <f>IFERROR(__xludf.DUMMYFUNCTION("IF(A26&lt;&gt;"""",IFERROR(IFERROR(IFERROR(IFERROR(GOOGLEFINANCE(A26),SUBSTITUTE(IMPORTXML(""https://sg.finance.yahoo.com/quote/""&amp;A26&amp;"".SA""&amp;""/history?p=""&amp;A26&amp;"".SA"",""//tbody/tr[1]/td[6]""),""."","","")),IMPORTXML(""https://www.infomoney.com.br/""&amp;A26,""/"&amp;"/div[@class='value']/p"")),IMPORTXML(""https://statusinvest.com.br/acoes/""&amp;LOWER(A26),""//div[ @title ='Valor atual do ativo']/strong"")),INDEX(IMPORTHTML(CONCATENATE(""https://www.guiainvest.com.br/raiox/default.aspx?sigla="",A26),""list"",8),2,1)),0)"),0.0)</f>
        <v>0</v>
      </c>
      <c r="C26" s="252">
        <f>IFERROR(__xludf.DUMMYFUNCTION("iferror(INDEX(arrayformula(filter('Operações-BR'!M:M,'Operações-BR'!C:C&lt;&gt;"""",row('Operações-BR'!C:C)=max(if('Operações-BR'!C:C=A26,row('Operações-BR'!C:C),0)))) ,1),0)"),0.0)</f>
        <v>0</v>
      </c>
      <c r="D26" s="251">
        <f t="shared" si="1"/>
        <v>0</v>
      </c>
      <c r="E26" s="251">
        <f>IFERROR(__xludf.DUMMYFUNCTION("iferror(INDEX(arrayformula(filter('Operações-BR'!Q:Q,'Operações-BR'!C:C&lt;&gt;"""",row('Operações-BR'!C:C)=max(if('Operações-BR'!C:C=A26,row('Operações-BR'!C:C),0)))) ,1),0)"),0.0)</f>
        <v>0</v>
      </c>
      <c r="F26" s="251">
        <f t="shared" si="2"/>
        <v>0</v>
      </c>
      <c r="G26" s="251">
        <f>SUMIF(Proventos!$A$2:$A200,A26,Proventos!$H$2:$H200)</f>
        <v>0</v>
      </c>
      <c r="H26" s="251">
        <f t="shared" si="3"/>
        <v>0</v>
      </c>
      <c r="I26" s="253" t="str">
        <f>IFERROR(VLOOKUP(A26,Ativos!$A$1:$G200,5,),)</f>
        <v/>
      </c>
      <c r="J26" s="254" t="str">
        <f>IFERROR(VLOOKUP(A26,Ativos!A:H,8,),"")</f>
        <v/>
      </c>
      <c r="K26" s="251">
        <f>IFERROR(SUMIF('Operações-BR'!C:C,"="&amp;A26,'Operações-BR'!T:T),0)</f>
        <v>0</v>
      </c>
    </row>
    <row r="27">
      <c r="A27" s="255"/>
      <c r="B27" s="251">
        <f>IFERROR(__xludf.DUMMYFUNCTION("IF(A27&lt;&gt;"""",IFERROR(IFERROR(IFERROR(IFERROR(GOOGLEFINANCE(A27),SUBSTITUTE(IMPORTXML(""https://sg.finance.yahoo.com/quote/""&amp;A27&amp;"".SA""&amp;""/history?p=""&amp;A27&amp;"".SA"",""//tbody/tr[1]/td[6]""),""."","","")),IMPORTXML(""https://www.infomoney.com.br/""&amp;A27,""/"&amp;"/div[@class='value']/p"")),IMPORTXML(""https://statusinvest.com.br/acoes/""&amp;LOWER(A27),""//div[ @title ='Valor atual do ativo']/strong"")),INDEX(IMPORTHTML(CONCATENATE(""https://www.guiainvest.com.br/raiox/default.aspx?sigla="",A27),""list"",8),2,1)),0)"),0.0)</f>
        <v>0</v>
      </c>
      <c r="C27" s="252">
        <f>IFERROR(__xludf.DUMMYFUNCTION("iferror(INDEX(arrayformula(filter('Operações-BR'!M:M,'Operações-BR'!C:C&lt;&gt;"""",row('Operações-BR'!C:C)=max(if('Operações-BR'!C:C=A27,row('Operações-BR'!C:C),0)))) ,1),0)"),0.0)</f>
        <v>0</v>
      </c>
      <c r="D27" s="251">
        <f t="shared" si="1"/>
        <v>0</v>
      </c>
      <c r="E27" s="251">
        <f>IFERROR(__xludf.DUMMYFUNCTION("iferror(INDEX(arrayformula(filter('Operações-BR'!Q:Q,'Operações-BR'!C:C&lt;&gt;"""",row('Operações-BR'!C:C)=max(if('Operações-BR'!C:C=A27,row('Operações-BR'!C:C),0)))) ,1),0)"),0.0)</f>
        <v>0</v>
      </c>
      <c r="F27" s="251">
        <f t="shared" si="2"/>
        <v>0</v>
      </c>
      <c r="G27" s="251">
        <f>SUMIF(Proventos!$A$2:$A200,A27,Proventos!$H$2:$H200)</f>
        <v>0</v>
      </c>
      <c r="H27" s="251">
        <f t="shared" si="3"/>
        <v>0</v>
      </c>
      <c r="I27" s="253" t="str">
        <f>IFERROR(VLOOKUP(A27,Ativos!$A$1:$G200,5,),)</f>
        <v/>
      </c>
      <c r="J27" s="254" t="str">
        <f>IFERROR(VLOOKUP(A27,Ativos!A:H,8,),"")</f>
        <v/>
      </c>
      <c r="K27" s="251">
        <f>IFERROR(SUMIF('Operações-BR'!C:C,"="&amp;A27,'Operações-BR'!T:T),0)</f>
        <v>0</v>
      </c>
    </row>
    <row r="28">
      <c r="A28" s="255"/>
      <c r="B28" s="251">
        <f>IFERROR(__xludf.DUMMYFUNCTION("IF(A28&lt;&gt;"""",IFERROR(IFERROR(IFERROR(IFERROR(GOOGLEFINANCE(A28),SUBSTITUTE(IMPORTXML(""https://sg.finance.yahoo.com/quote/""&amp;A28&amp;"".SA""&amp;""/history?p=""&amp;A28&amp;"".SA"",""//tbody/tr[1]/td[6]""),""."","","")),IMPORTXML(""https://www.infomoney.com.br/""&amp;A28,""/"&amp;"/div[@class='value']/p"")),IMPORTXML(""https://statusinvest.com.br/acoes/""&amp;LOWER(A28),""//div[ @title ='Valor atual do ativo']/strong"")),INDEX(IMPORTHTML(CONCATENATE(""https://www.guiainvest.com.br/raiox/default.aspx?sigla="",A28),""list"",8),2,1)),0)"),0.0)</f>
        <v>0</v>
      </c>
      <c r="C28" s="252">
        <f>IFERROR(__xludf.DUMMYFUNCTION("iferror(INDEX(arrayformula(filter('Operações-BR'!M:M,'Operações-BR'!C:C&lt;&gt;"""",row('Operações-BR'!C:C)=max(if('Operações-BR'!C:C=A28,row('Operações-BR'!C:C),0)))) ,1),0)"),0.0)</f>
        <v>0</v>
      </c>
      <c r="D28" s="251">
        <f t="shared" si="1"/>
        <v>0</v>
      </c>
      <c r="E28" s="251">
        <f>IFERROR(__xludf.DUMMYFUNCTION("iferror(INDEX(arrayformula(filter('Operações-BR'!Q:Q,'Operações-BR'!C:C&lt;&gt;"""",row('Operações-BR'!C:C)=max(if('Operações-BR'!C:C=A28,row('Operações-BR'!C:C),0)))) ,1),0)"),0.0)</f>
        <v>0</v>
      </c>
      <c r="F28" s="251">
        <f t="shared" si="2"/>
        <v>0</v>
      </c>
      <c r="G28" s="251">
        <f>SUMIF(Proventos!$A$2:$A200,A28,Proventos!$H$2:$H200)</f>
        <v>0</v>
      </c>
      <c r="H28" s="251">
        <f t="shared" si="3"/>
        <v>0</v>
      </c>
      <c r="I28" s="253" t="str">
        <f>IFERROR(VLOOKUP(A28,Ativos!$A$1:$G200,5,),)</f>
        <v/>
      </c>
      <c r="J28" s="254" t="str">
        <f>IFERROR(VLOOKUP(A28,Ativos!A:H,8,),"")</f>
        <v/>
      </c>
      <c r="K28" s="251">
        <f>IFERROR(SUMIF('Operações-BR'!C:C,"="&amp;A28,'Operações-BR'!T:T),0)</f>
        <v>0</v>
      </c>
    </row>
    <row r="29">
      <c r="A29" s="255"/>
      <c r="B29" s="251">
        <f>IFERROR(__xludf.DUMMYFUNCTION("IF(A29&lt;&gt;"""",IFERROR(IFERROR(IFERROR(IFERROR(GOOGLEFINANCE(A29),SUBSTITUTE(IMPORTXML(""https://sg.finance.yahoo.com/quote/""&amp;A29&amp;"".SA""&amp;""/history?p=""&amp;A29&amp;"".SA"",""//tbody/tr[1]/td[6]""),""."","","")),IMPORTXML(""https://www.infomoney.com.br/""&amp;A29,""/"&amp;"/div[@class='value']/p"")),IMPORTXML(""https://statusinvest.com.br/acoes/""&amp;LOWER(A29),""//div[ @title ='Valor atual do ativo']/strong"")),INDEX(IMPORTHTML(CONCATENATE(""https://www.guiainvest.com.br/raiox/default.aspx?sigla="",A29),""list"",8),2,1)),0)"),0.0)</f>
        <v>0</v>
      </c>
      <c r="C29" s="252">
        <f>IFERROR(__xludf.DUMMYFUNCTION("iferror(INDEX(arrayformula(filter('Operações-BR'!M:M,'Operações-BR'!C:C&lt;&gt;"""",row('Operações-BR'!C:C)=max(if('Operações-BR'!C:C=A29,row('Operações-BR'!C:C),0)))) ,1),0)"),0.0)</f>
        <v>0</v>
      </c>
      <c r="D29" s="251">
        <f t="shared" si="1"/>
        <v>0</v>
      </c>
      <c r="E29" s="251">
        <f>IFERROR(__xludf.DUMMYFUNCTION("iferror(INDEX(arrayformula(filter('Operações-BR'!Q:Q,'Operações-BR'!C:C&lt;&gt;"""",row('Operações-BR'!C:C)=max(if('Operações-BR'!C:C=A29,row('Operações-BR'!C:C),0)))) ,1),0)"),0.0)</f>
        <v>0</v>
      </c>
      <c r="F29" s="251">
        <f t="shared" si="2"/>
        <v>0</v>
      </c>
      <c r="G29" s="251">
        <f>SUMIF(Proventos!$A$2:$A200,A29,Proventos!$H$2:$H200)</f>
        <v>0</v>
      </c>
      <c r="H29" s="251">
        <f t="shared" si="3"/>
        <v>0</v>
      </c>
      <c r="I29" s="253" t="str">
        <f>IFERROR(VLOOKUP(A29,Ativos!$A$1:$G200,5,),)</f>
        <v/>
      </c>
      <c r="J29" s="254" t="str">
        <f>IFERROR(VLOOKUP(A29,Ativos!A:H,8,),"")</f>
        <v/>
      </c>
      <c r="K29" s="251">
        <f>IFERROR(SUMIF('Operações-BR'!C:C,"="&amp;A29,'Operações-BR'!T:T),0)</f>
        <v>0</v>
      </c>
    </row>
    <row r="30">
      <c r="A30" s="255"/>
      <c r="B30" s="251">
        <f>IFERROR(__xludf.DUMMYFUNCTION("IF(A30&lt;&gt;"""",IFERROR(IFERROR(IFERROR(IFERROR(GOOGLEFINANCE(A30),SUBSTITUTE(IMPORTXML(""https://sg.finance.yahoo.com/quote/""&amp;A30&amp;"".SA""&amp;""/history?p=""&amp;A30&amp;"".SA"",""//tbody/tr[1]/td[6]""),""."","","")),IMPORTXML(""https://www.infomoney.com.br/""&amp;A30,""/"&amp;"/div[@class='value']/p"")),IMPORTXML(""https://statusinvest.com.br/acoes/""&amp;LOWER(A30),""//div[ @title ='Valor atual do ativo']/strong"")),INDEX(IMPORTHTML(CONCATENATE(""https://www.guiainvest.com.br/raiox/default.aspx?sigla="",A30),""list"",8),2,1)),0)"),0.0)</f>
        <v>0</v>
      </c>
      <c r="C30" s="252">
        <f>IFERROR(__xludf.DUMMYFUNCTION("iferror(INDEX(arrayformula(filter('Operações-BR'!M:M,'Operações-BR'!C:C&lt;&gt;"""",row('Operações-BR'!C:C)=max(if('Operações-BR'!C:C=A30,row('Operações-BR'!C:C),0)))) ,1),0)"),0.0)</f>
        <v>0</v>
      </c>
      <c r="D30" s="251">
        <f t="shared" si="1"/>
        <v>0</v>
      </c>
      <c r="E30" s="251">
        <f>IFERROR(__xludf.DUMMYFUNCTION("iferror(INDEX(arrayformula(filter('Operações-BR'!Q:Q,'Operações-BR'!C:C&lt;&gt;"""",row('Operações-BR'!C:C)=max(if('Operações-BR'!C:C=A30,row('Operações-BR'!C:C),0)))) ,1),0)"),0.0)</f>
        <v>0</v>
      </c>
      <c r="F30" s="251">
        <f t="shared" si="2"/>
        <v>0</v>
      </c>
      <c r="G30" s="251">
        <f>SUMIF(Proventos!$A$2:$A200,A30,Proventos!$H$2:$H200)</f>
        <v>0</v>
      </c>
      <c r="H30" s="251">
        <f t="shared" si="3"/>
        <v>0</v>
      </c>
      <c r="I30" s="253" t="str">
        <f>IFERROR(VLOOKUP(A30,Ativos!$A$1:$G200,5,),)</f>
        <v/>
      </c>
      <c r="J30" s="254" t="str">
        <f>IFERROR(VLOOKUP(A30,Ativos!A:H,8,),"")</f>
        <v/>
      </c>
      <c r="K30" s="251">
        <f>IFERROR(SUMIF('Operações-BR'!C:C,"="&amp;A30,'Operações-BR'!T:T),0)</f>
        <v>0</v>
      </c>
    </row>
    <row r="31">
      <c r="A31" s="255"/>
      <c r="B31" s="251">
        <f>IFERROR(__xludf.DUMMYFUNCTION("IF(A31&lt;&gt;"""",IFERROR(IFERROR(IFERROR(IFERROR(GOOGLEFINANCE(A31),SUBSTITUTE(IMPORTXML(""https://sg.finance.yahoo.com/quote/""&amp;A31&amp;"".SA""&amp;""/history?p=""&amp;A31&amp;"".SA"",""//tbody/tr[1]/td[6]""),""."","","")),IMPORTXML(""https://www.infomoney.com.br/""&amp;A31,""/"&amp;"/div[@class='value']/p"")),IMPORTXML(""https://statusinvest.com.br/acoes/""&amp;LOWER(A31),""//div[ @title ='Valor atual do ativo']/strong"")),INDEX(IMPORTHTML(CONCATENATE(""https://www.guiainvest.com.br/raiox/default.aspx?sigla="",A31),""list"",8),2,1)),0)"),0.0)</f>
        <v>0</v>
      </c>
      <c r="C31" s="252">
        <f>IFERROR(__xludf.DUMMYFUNCTION("iferror(INDEX(arrayformula(filter('Operações-BR'!M:M,'Operações-BR'!C:C&lt;&gt;"""",row('Operações-BR'!C:C)=max(if('Operações-BR'!C:C=A31,row('Operações-BR'!C:C),0)))) ,1),0)"),0.0)</f>
        <v>0</v>
      </c>
      <c r="D31" s="251">
        <f t="shared" si="1"/>
        <v>0</v>
      </c>
      <c r="E31" s="251">
        <f>IFERROR(__xludf.DUMMYFUNCTION("iferror(INDEX(arrayformula(filter('Operações-BR'!Q:Q,'Operações-BR'!C:C&lt;&gt;"""",row('Operações-BR'!C:C)=max(if('Operações-BR'!C:C=A31,row('Operações-BR'!C:C),0)))) ,1),0)"),0.0)</f>
        <v>0</v>
      </c>
      <c r="F31" s="251">
        <f t="shared" si="2"/>
        <v>0</v>
      </c>
      <c r="G31" s="251">
        <f>SUMIF(Proventos!$A$2:$A200,A31,Proventos!$H$2:$H200)</f>
        <v>0</v>
      </c>
      <c r="H31" s="251">
        <f t="shared" si="3"/>
        <v>0</v>
      </c>
      <c r="I31" s="253" t="str">
        <f>IFERROR(VLOOKUP(A31,Ativos!$A$1:$G200,5,),)</f>
        <v/>
      </c>
      <c r="J31" s="254" t="str">
        <f>IFERROR(VLOOKUP(A31,Ativos!A:H,8,),"")</f>
        <v/>
      </c>
      <c r="K31" s="251">
        <f>IFERROR(SUMIF('Operações-BR'!C:C,"="&amp;A31,'Operações-BR'!T:T),0)</f>
        <v>0</v>
      </c>
    </row>
    <row r="32">
      <c r="A32" s="255"/>
      <c r="B32" s="251">
        <f>IFERROR(__xludf.DUMMYFUNCTION("IF(A32&lt;&gt;"""",IFERROR(IFERROR(IFERROR(IFERROR(GOOGLEFINANCE(A32),SUBSTITUTE(IMPORTXML(""https://sg.finance.yahoo.com/quote/""&amp;A32&amp;"".SA""&amp;""/history?p=""&amp;A32&amp;"".SA"",""//tbody/tr[1]/td[6]""),""."","","")),IMPORTXML(""https://www.infomoney.com.br/""&amp;A32,""/"&amp;"/div[@class='value']/p"")),IMPORTXML(""https://statusinvest.com.br/acoes/""&amp;LOWER(A32),""//div[ @title ='Valor atual do ativo']/strong"")),INDEX(IMPORTHTML(CONCATENATE(""https://www.guiainvest.com.br/raiox/default.aspx?sigla="",A32),""list"",8),2,1)),0)"),0.0)</f>
        <v>0</v>
      </c>
      <c r="C32" s="252">
        <f>IFERROR(__xludf.DUMMYFUNCTION("iferror(INDEX(arrayformula(filter('Operações-BR'!M:M,'Operações-BR'!C:C&lt;&gt;"""",row('Operações-BR'!C:C)=max(if('Operações-BR'!C:C=A32,row('Operações-BR'!C:C),0)))) ,1),0)"),0.0)</f>
        <v>0</v>
      </c>
      <c r="D32" s="251">
        <f t="shared" si="1"/>
        <v>0</v>
      </c>
      <c r="E32" s="251">
        <f>IFERROR(__xludf.DUMMYFUNCTION("iferror(INDEX(arrayformula(filter('Operações-BR'!Q:Q,'Operações-BR'!C:C&lt;&gt;"""",row('Operações-BR'!C:C)=max(if('Operações-BR'!C:C=A32,row('Operações-BR'!C:C),0)))) ,1),0)"),0.0)</f>
        <v>0</v>
      </c>
      <c r="F32" s="251">
        <f t="shared" si="2"/>
        <v>0</v>
      </c>
      <c r="G32" s="251">
        <f>SUMIF(Proventos!$A$2:$A200,A32,Proventos!$H$2:$H200)</f>
        <v>0</v>
      </c>
      <c r="H32" s="251">
        <f t="shared" si="3"/>
        <v>0</v>
      </c>
      <c r="I32" s="253" t="str">
        <f>IFERROR(VLOOKUP(A32,Ativos!$A$1:$G200,5,),)</f>
        <v/>
      </c>
      <c r="J32" s="254" t="str">
        <f>IFERROR(VLOOKUP(A32,Ativos!A:H,8,),"")</f>
        <v/>
      </c>
      <c r="K32" s="251">
        <f>IFERROR(SUMIF('Operações-BR'!C:C,"="&amp;A32,'Operações-BR'!T:T),0)</f>
        <v>0</v>
      </c>
    </row>
    <row r="33">
      <c r="A33" s="255"/>
      <c r="B33" s="251">
        <f>IFERROR(__xludf.DUMMYFUNCTION("IF(A33&lt;&gt;"""",IFERROR(IFERROR(IFERROR(IFERROR(GOOGLEFINANCE(A33),SUBSTITUTE(IMPORTXML(""https://sg.finance.yahoo.com/quote/""&amp;A33&amp;"".SA""&amp;""/history?p=""&amp;A33&amp;"".SA"",""//tbody/tr[1]/td[6]""),""."","","")),IMPORTXML(""https://www.infomoney.com.br/""&amp;A33,""/"&amp;"/div[@class='value']/p"")),IMPORTXML(""https://statusinvest.com.br/acoes/""&amp;LOWER(A33),""//div[ @title ='Valor atual do ativo']/strong"")),INDEX(IMPORTHTML(CONCATENATE(""https://www.guiainvest.com.br/raiox/default.aspx?sigla="",A33),""list"",8),2,1)),0)"),0.0)</f>
        <v>0</v>
      </c>
      <c r="C33" s="252">
        <f>IFERROR(__xludf.DUMMYFUNCTION("iferror(INDEX(arrayformula(filter('Operações-BR'!M:M,'Operações-BR'!C:C&lt;&gt;"""",row('Operações-BR'!C:C)=max(if('Operações-BR'!C:C=A33,row('Operações-BR'!C:C),0)))) ,1),0)"),0.0)</f>
        <v>0</v>
      </c>
      <c r="D33" s="251">
        <f t="shared" si="1"/>
        <v>0</v>
      </c>
      <c r="E33" s="251">
        <f>IFERROR(__xludf.DUMMYFUNCTION("iferror(INDEX(arrayformula(filter('Operações-BR'!Q:Q,'Operações-BR'!C:C&lt;&gt;"""",row('Operações-BR'!C:C)=max(if('Operações-BR'!C:C=A33,row('Operações-BR'!C:C),0)))) ,1),0)"),0.0)</f>
        <v>0</v>
      </c>
      <c r="F33" s="251">
        <f t="shared" si="2"/>
        <v>0</v>
      </c>
      <c r="G33" s="251">
        <f>SUMIF(Proventos!$A$2:$A200,A33,Proventos!$H$2:$H200)</f>
        <v>0</v>
      </c>
      <c r="H33" s="251">
        <f t="shared" si="3"/>
        <v>0</v>
      </c>
      <c r="I33" s="253" t="str">
        <f>IFERROR(VLOOKUP(A33,Ativos!$A$1:$G200,5,),)</f>
        <v/>
      </c>
      <c r="J33" s="254" t="str">
        <f>IFERROR(VLOOKUP(A33,Ativos!A:H,8,),"")</f>
        <v/>
      </c>
      <c r="K33" s="251">
        <f>IFERROR(SUMIF('Operações-BR'!C:C,"="&amp;A33,'Operações-BR'!T:T),0)</f>
        <v>0</v>
      </c>
    </row>
    <row r="34">
      <c r="A34" s="255"/>
      <c r="B34" s="251">
        <f>IFERROR(__xludf.DUMMYFUNCTION("IF(A34&lt;&gt;"""",IFERROR(IFERROR(IFERROR(IFERROR(GOOGLEFINANCE(A34),SUBSTITUTE(IMPORTXML(""https://sg.finance.yahoo.com/quote/""&amp;A34&amp;"".SA""&amp;""/history?p=""&amp;A34&amp;"".SA"",""//tbody/tr[1]/td[6]""),""."","","")),IMPORTXML(""https://www.infomoney.com.br/""&amp;A34,""/"&amp;"/div[@class='value']/p"")),IMPORTXML(""https://statusinvest.com.br/acoes/""&amp;LOWER(A34),""//div[ @title ='Valor atual do ativo']/strong"")),INDEX(IMPORTHTML(CONCATENATE(""https://www.guiainvest.com.br/raiox/default.aspx?sigla="",A34),""list"",8),2,1)),0)"),0.0)</f>
        <v>0</v>
      </c>
      <c r="C34" s="252">
        <f>IFERROR(__xludf.DUMMYFUNCTION("iferror(INDEX(arrayformula(filter('Operações-BR'!M:M,'Operações-BR'!C:C&lt;&gt;"""",row('Operações-BR'!C:C)=max(if('Operações-BR'!C:C=A34,row('Operações-BR'!C:C),0)))) ,1),0)"),0.0)</f>
        <v>0</v>
      </c>
      <c r="D34" s="251">
        <f t="shared" si="1"/>
        <v>0</v>
      </c>
      <c r="E34" s="251">
        <f>IFERROR(__xludf.DUMMYFUNCTION("iferror(INDEX(arrayformula(filter('Operações-BR'!Q:Q,'Operações-BR'!C:C&lt;&gt;"""",row('Operações-BR'!C:C)=max(if('Operações-BR'!C:C=A34,row('Operações-BR'!C:C),0)))) ,1),0)"),0.0)</f>
        <v>0</v>
      </c>
      <c r="F34" s="251">
        <f t="shared" si="2"/>
        <v>0</v>
      </c>
      <c r="G34" s="251">
        <f>SUMIF(Proventos!$A$2:$A200,A34,Proventos!$H$2:$H200)</f>
        <v>0</v>
      </c>
      <c r="H34" s="251">
        <f t="shared" si="3"/>
        <v>0</v>
      </c>
      <c r="I34" s="253" t="str">
        <f>IFERROR(VLOOKUP(A34,Ativos!$A$1:$G200,5,),)</f>
        <v/>
      </c>
      <c r="J34" s="254" t="str">
        <f>IFERROR(VLOOKUP(A34,Ativos!A:H,8,),"")</f>
        <v/>
      </c>
      <c r="K34" s="251">
        <f>IFERROR(SUMIF('Operações-BR'!C:C,"="&amp;A34,'Operações-BR'!T:T),0)</f>
        <v>0</v>
      </c>
    </row>
    <row r="35">
      <c r="A35" s="255"/>
      <c r="B35" s="251">
        <f>IFERROR(__xludf.DUMMYFUNCTION("IF(A35&lt;&gt;"""",IFERROR(IFERROR(IFERROR(IFERROR(GOOGLEFINANCE(A35),SUBSTITUTE(IMPORTXML(""https://sg.finance.yahoo.com/quote/""&amp;A35&amp;"".SA""&amp;""/history?p=""&amp;A35&amp;"".SA"",""//tbody/tr[1]/td[6]""),""."","","")),IMPORTXML(""https://www.infomoney.com.br/""&amp;A35,""/"&amp;"/div[@class='value']/p"")),IMPORTXML(""https://statusinvest.com.br/acoes/""&amp;LOWER(A35),""//div[ @title ='Valor atual do ativo']/strong"")),INDEX(IMPORTHTML(CONCATENATE(""https://www.guiainvest.com.br/raiox/default.aspx?sigla="",A35),""list"",8),2,1)),0)"),0.0)</f>
        <v>0</v>
      </c>
      <c r="C35" s="252">
        <f>IFERROR(__xludf.DUMMYFUNCTION("iferror(INDEX(arrayformula(filter('Operações-BR'!M:M,'Operações-BR'!C:C&lt;&gt;"""",row('Operações-BR'!C:C)=max(if('Operações-BR'!C:C=A35,row('Operações-BR'!C:C),0)))) ,1),0)"),0.0)</f>
        <v>0</v>
      </c>
      <c r="D35" s="251">
        <f t="shared" si="1"/>
        <v>0</v>
      </c>
      <c r="E35" s="251">
        <f>IFERROR(__xludf.DUMMYFUNCTION("iferror(INDEX(arrayformula(filter('Operações-BR'!Q:Q,'Operações-BR'!C:C&lt;&gt;"""",row('Operações-BR'!C:C)=max(if('Operações-BR'!C:C=A35,row('Operações-BR'!C:C),0)))) ,1),0)"),0.0)</f>
        <v>0</v>
      </c>
      <c r="F35" s="251">
        <f t="shared" si="2"/>
        <v>0</v>
      </c>
      <c r="G35" s="251">
        <f>SUMIF(Proventos!$A$2:$A200,A35,Proventos!$H$2:$H200)</f>
        <v>0</v>
      </c>
      <c r="H35" s="251">
        <f t="shared" si="3"/>
        <v>0</v>
      </c>
      <c r="I35" s="253" t="str">
        <f>IFERROR(VLOOKUP(A35,Ativos!$A$1:$G200,5,),)</f>
        <v/>
      </c>
      <c r="J35" s="254" t="str">
        <f>IFERROR(VLOOKUP(A35,Ativos!A:H,8,),"")</f>
        <v/>
      </c>
      <c r="K35" s="251">
        <f>IFERROR(SUMIF('Operações-BR'!C:C,"="&amp;A35,'Operações-BR'!T:T),0)</f>
        <v>0</v>
      </c>
    </row>
    <row r="36">
      <c r="A36" s="255"/>
      <c r="B36" s="251">
        <f>IFERROR(__xludf.DUMMYFUNCTION("IF(A36&lt;&gt;"""",IFERROR(IFERROR(IFERROR(IFERROR(GOOGLEFINANCE(A36),SUBSTITUTE(IMPORTXML(""https://sg.finance.yahoo.com/quote/""&amp;A36&amp;"".SA""&amp;""/history?p=""&amp;A36&amp;"".SA"",""//tbody/tr[1]/td[6]""),""."","","")),IMPORTXML(""https://www.infomoney.com.br/""&amp;A36,""/"&amp;"/div[@class='value']/p"")),IMPORTXML(""https://statusinvest.com.br/acoes/""&amp;LOWER(A36),""//div[ @title ='Valor atual do ativo']/strong"")),INDEX(IMPORTHTML(CONCATENATE(""https://www.guiainvest.com.br/raiox/default.aspx?sigla="",A36),""list"",8),2,1)),0)"),0.0)</f>
        <v>0</v>
      </c>
      <c r="C36" s="252">
        <f>IFERROR(__xludf.DUMMYFUNCTION("iferror(INDEX(arrayformula(filter('Operações-BR'!M:M,'Operações-BR'!C:C&lt;&gt;"""",row('Operações-BR'!C:C)=max(if('Operações-BR'!C:C=A36,row('Operações-BR'!C:C),0)))) ,1),0)"),0.0)</f>
        <v>0</v>
      </c>
      <c r="D36" s="251">
        <f t="shared" si="1"/>
        <v>0</v>
      </c>
      <c r="E36" s="251">
        <f>IFERROR(__xludf.DUMMYFUNCTION("iferror(INDEX(arrayformula(filter('Operações-BR'!Q:Q,'Operações-BR'!C:C&lt;&gt;"""",row('Operações-BR'!C:C)=max(if('Operações-BR'!C:C=A36,row('Operações-BR'!C:C),0)))) ,1),0)"),0.0)</f>
        <v>0</v>
      </c>
      <c r="F36" s="251">
        <f t="shared" si="2"/>
        <v>0</v>
      </c>
      <c r="G36" s="251">
        <f>SUMIF(Proventos!$A$2:$A200,A36,Proventos!$H$2:$H200)</f>
        <v>0</v>
      </c>
      <c r="H36" s="251">
        <f t="shared" si="3"/>
        <v>0</v>
      </c>
      <c r="I36" s="253" t="str">
        <f>IFERROR(VLOOKUP(A36,Ativos!$A$1:$G200,5,),)</f>
        <v/>
      </c>
      <c r="J36" s="254" t="str">
        <f>IFERROR(VLOOKUP(A36,Ativos!A:H,8,),"")</f>
        <v/>
      </c>
      <c r="K36" s="251">
        <f>IFERROR(SUMIF('Operações-BR'!C:C,"="&amp;A36,'Operações-BR'!T:T),0)</f>
        <v>0</v>
      </c>
    </row>
    <row r="37">
      <c r="A37" s="255"/>
      <c r="B37" s="251">
        <f>IFERROR(__xludf.DUMMYFUNCTION("IF(A37&lt;&gt;"""",IFERROR(IFERROR(IFERROR(IFERROR(GOOGLEFINANCE(A37),SUBSTITUTE(IMPORTXML(""https://sg.finance.yahoo.com/quote/""&amp;A37&amp;"".SA""&amp;""/history?p=""&amp;A37&amp;"".SA"",""//tbody/tr[1]/td[6]""),""."","","")),IMPORTXML(""https://www.infomoney.com.br/""&amp;A37,""/"&amp;"/div[@class='value']/p"")),IMPORTXML(""https://statusinvest.com.br/acoes/""&amp;LOWER(A37),""//div[ @title ='Valor atual do ativo']/strong"")),INDEX(IMPORTHTML(CONCATENATE(""https://www.guiainvest.com.br/raiox/default.aspx?sigla="",A37),""list"",8),2,1)),0)"),0.0)</f>
        <v>0</v>
      </c>
      <c r="C37" s="252">
        <f>IFERROR(__xludf.DUMMYFUNCTION("iferror(INDEX(arrayformula(filter('Operações-BR'!M:M,'Operações-BR'!C:C&lt;&gt;"""",row('Operações-BR'!C:C)=max(if('Operações-BR'!C:C=A37,row('Operações-BR'!C:C),0)))) ,1),0)"),0.0)</f>
        <v>0</v>
      </c>
      <c r="D37" s="251">
        <f t="shared" si="1"/>
        <v>0</v>
      </c>
      <c r="E37" s="251">
        <f>IFERROR(__xludf.DUMMYFUNCTION("iferror(INDEX(arrayformula(filter('Operações-BR'!Q:Q,'Operações-BR'!C:C&lt;&gt;"""",row('Operações-BR'!C:C)=max(if('Operações-BR'!C:C=A37,row('Operações-BR'!C:C),0)))) ,1),0)"),0.0)</f>
        <v>0</v>
      </c>
      <c r="F37" s="251">
        <f t="shared" si="2"/>
        <v>0</v>
      </c>
      <c r="G37" s="251">
        <f>SUMIF(Proventos!$A$2:$A200,A37,Proventos!$H$2:$H200)</f>
        <v>0</v>
      </c>
      <c r="H37" s="251">
        <f t="shared" si="3"/>
        <v>0</v>
      </c>
      <c r="I37" s="253" t="str">
        <f>IFERROR(VLOOKUP(A37,Ativos!$A$1:$G200,5,),)</f>
        <v/>
      </c>
      <c r="J37" s="254" t="str">
        <f>IFERROR(VLOOKUP(A37,Ativos!A:H,8,),"")</f>
        <v/>
      </c>
      <c r="K37" s="251">
        <f>IFERROR(SUMIF('Operações-BR'!C:C,"="&amp;A37,'Operações-BR'!T:T),0)</f>
        <v>0</v>
      </c>
    </row>
    <row r="38">
      <c r="A38" s="255"/>
      <c r="B38" s="251">
        <f>IFERROR(__xludf.DUMMYFUNCTION("IF(A38&lt;&gt;"""",IFERROR(IFERROR(IFERROR(IFERROR(GOOGLEFINANCE(A38),SUBSTITUTE(IMPORTXML(""https://sg.finance.yahoo.com/quote/""&amp;A38&amp;"".SA""&amp;""/history?p=""&amp;A38&amp;"".SA"",""//tbody/tr[1]/td[6]""),""."","","")),IMPORTXML(""https://www.infomoney.com.br/""&amp;A38,""/"&amp;"/div[@class='value']/p"")),IMPORTXML(""https://statusinvest.com.br/acoes/""&amp;LOWER(A38),""//div[ @title ='Valor atual do ativo']/strong"")),INDEX(IMPORTHTML(CONCATENATE(""https://www.guiainvest.com.br/raiox/default.aspx?sigla="",A38),""list"",8),2,1)),0)"),0.0)</f>
        <v>0</v>
      </c>
      <c r="C38" s="252">
        <f>IFERROR(__xludf.DUMMYFUNCTION("iferror(INDEX(arrayformula(filter('Operações-BR'!M:M,'Operações-BR'!C:C&lt;&gt;"""",row('Operações-BR'!C:C)=max(if('Operações-BR'!C:C=A38,row('Operações-BR'!C:C),0)))) ,1),0)"),0.0)</f>
        <v>0</v>
      </c>
      <c r="D38" s="251">
        <f t="shared" si="1"/>
        <v>0</v>
      </c>
      <c r="E38" s="251">
        <f>IFERROR(__xludf.DUMMYFUNCTION("iferror(INDEX(arrayformula(filter('Operações-BR'!Q:Q,'Operações-BR'!C:C&lt;&gt;"""",row('Operações-BR'!C:C)=max(if('Operações-BR'!C:C=A38,row('Operações-BR'!C:C),0)))) ,1),0)"),0.0)</f>
        <v>0</v>
      </c>
      <c r="F38" s="251">
        <f t="shared" si="2"/>
        <v>0</v>
      </c>
      <c r="G38" s="251">
        <f>SUMIF(Proventos!$A$2:$A200,A38,Proventos!$H$2:$H200)</f>
        <v>0</v>
      </c>
      <c r="H38" s="251">
        <f t="shared" si="3"/>
        <v>0</v>
      </c>
      <c r="I38" s="253" t="str">
        <f>IFERROR(VLOOKUP(A38,Ativos!$A$1:$G200,5,),)</f>
        <v/>
      </c>
      <c r="J38" s="254" t="str">
        <f>IFERROR(VLOOKUP(A38,Ativos!A:H,8,),"")</f>
        <v/>
      </c>
      <c r="K38" s="251">
        <f>IFERROR(SUMIF('Operações-BR'!C:C,"="&amp;A38,'Operações-BR'!T:T),0)</f>
        <v>0</v>
      </c>
    </row>
    <row r="39">
      <c r="A39" s="255"/>
      <c r="B39" s="251">
        <f>IFERROR(__xludf.DUMMYFUNCTION("IF(A39&lt;&gt;"""",IFERROR(IFERROR(IFERROR(IFERROR(GOOGLEFINANCE(A39),SUBSTITUTE(IMPORTXML(""https://sg.finance.yahoo.com/quote/""&amp;A39&amp;"".SA""&amp;""/history?p=""&amp;A39&amp;"".SA"",""//tbody/tr[1]/td[6]""),""."","","")),IMPORTXML(""https://www.infomoney.com.br/""&amp;A39,""/"&amp;"/div[@class='value']/p"")),IMPORTXML(""https://statusinvest.com.br/acoes/""&amp;LOWER(A39),""//div[ @title ='Valor atual do ativo']/strong"")),INDEX(IMPORTHTML(CONCATENATE(""https://www.guiainvest.com.br/raiox/default.aspx?sigla="",A39),""list"",8),2,1)),0)"),0.0)</f>
        <v>0</v>
      </c>
      <c r="C39" s="252">
        <f>IFERROR(__xludf.DUMMYFUNCTION("iferror(INDEX(arrayformula(filter('Operações-BR'!M:M,'Operações-BR'!C:C&lt;&gt;"""",row('Operações-BR'!C:C)=max(if('Operações-BR'!C:C=A39,row('Operações-BR'!C:C),0)))) ,1),0)"),0.0)</f>
        <v>0</v>
      </c>
      <c r="D39" s="251">
        <f t="shared" si="1"/>
        <v>0</v>
      </c>
      <c r="E39" s="251">
        <f>IFERROR(__xludf.DUMMYFUNCTION("iferror(INDEX(arrayformula(filter('Operações-BR'!Q:Q,'Operações-BR'!C:C&lt;&gt;"""",row('Operações-BR'!C:C)=max(if('Operações-BR'!C:C=A39,row('Operações-BR'!C:C),0)))) ,1),0)"),0.0)</f>
        <v>0</v>
      </c>
      <c r="F39" s="251">
        <f t="shared" si="2"/>
        <v>0</v>
      </c>
      <c r="G39" s="251">
        <f>SUMIF(Proventos!$A$2:$A200,A39,Proventos!$H$2:$H200)</f>
        <v>0</v>
      </c>
      <c r="H39" s="251">
        <f t="shared" si="3"/>
        <v>0</v>
      </c>
      <c r="I39" s="253" t="str">
        <f>IFERROR(VLOOKUP(A39,Ativos!$A$1:$G200,5,),)</f>
        <v/>
      </c>
      <c r="J39" s="254" t="str">
        <f>IFERROR(VLOOKUP(A39,Ativos!A:H,8,),"")</f>
        <v/>
      </c>
      <c r="K39" s="251">
        <f>IFERROR(SUMIF('Operações-BR'!C:C,"="&amp;A39,'Operações-BR'!T:T),0)</f>
        <v>0</v>
      </c>
    </row>
    <row r="40">
      <c r="A40" s="255"/>
      <c r="B40" s="251">
        <f>IFERROR(__xludf.DUMMYFUNCTION("IF(A40&lt;&gt;"""",IFERROR(IFERROR(IFERROR(IFERROR(GOOGLEFINANCE(A40),SUBSTITUTE(IMPORTXML(""https://sg.finance.yahoo.com/quote/""&amp;A40&amp;"".SA""&amp;""/history?p=""&amp;A40&amp;"".SA"",""//tbody/tr[1]/td[6]""),""."","","")),IMPORTXML(""https://www.infomoney.com.br/""&amp;A40,""/"&amp;"/div[@class='value']/p"")),IMPORTXML(""https://statusinvest.com.br/acoes/""&amp;LOWER(A40),""//div[ @title ='Valor atual do ativo']/strong"")),INDEX(IMPORTHTML(CONCATENATE(""https://www.guiainvest.com.br/raiox/default.aspx?sigla="",A40),""list"",8),2,1)),0)"),0.0)</f>
        <v>0</v>
      </c>
      <c r="C40" s="252">
        <f>IFERROR(__xludf.DUMMYFUNCTION("iferror(INDEX(arrayformula(filter('Operações-BR'!M:M,'Operações-BR'!C:C&lt;&gt;"""",row('Operações-BR'!C:C)=max(if('Operações-BR'!C:C=A40,row('Operações-BR'!C:C),0)))) ,1),0)"),0.0)</f>
        <v>0</v>
      </c>
      <c r="D40" s="251">
        <f t="shared" si="1"/>
        <v>0</v>
      </c>
      <c r="E40" s="251">
        <f>IFERROR(__xludf.DUMMYFUNCTION("iferror(INDEX(arrayformula(filter('Operações-BR'!Q:Q,'Operações-BR'!C:C&lt;&gt;"""",row('Operações-BR'!C:C)=max(if('Operações-BR'!C:C=A40,row('Operações-BR'!C:C),0)))) ,1),0)"),0.0)</f>
        <v>0</v>
      </c>
      <c r="F40" s="251">
        <f t="shared" si="2"/>
        <v>0</v>
      </c>
      <c r="G40" s="251">
        <f>SUMIF(Proventos!$A$2:$A200,A40,Proventos!$H$2:$H200)</f>
        <v>0</v>
      </c>
      <c r="H40" s="251">
        <f t="shared" si="3"/>
        <v>0</v>
      </c>
      <c r="I40" s="253" t="str">
        <f>IFERROR(VLOOKUP(A40,Ativos!$A$1:$G200,5,),)</f>
        <v/>
      </c>
      <c r="J40" s="254" t="str">
        <f>IFERROR(VLOOKUP(A40,Ativos!A:H,8,),"")</f>
        <v/>
      </c>
      <c r="K40" s="251">
        <f>IFERROR(SUMIF('Operações-BR'!C:C,"="&amp;A40,'Operações-BR'!T:T),0)</f>
        <v>0</v>
      </c>
    </row>
    <row r="41">
      <c r="A41" s="255"/>
      <c r="B41" s="251">
        <f>IFERROR(__xludf.DUMMYFUNCTION("IF(A41&lt;&gt;"""",IFERROR(IFERROR(IFERROR(IFERROR(GOOGLEFINANCE(A41),SUBSTITUTE(IMPORTXML(""https://sg.finance.yahoo.com/quote/""&amp;A41&amp;"".SA""&amp;""/history?p=""&amp;A41&amp;"".SA"",""//tbody/tr[1]/td[6]""),""."","","")),IMPORTXML(""https://www.infomoney.com.br/""&amp;A41,""/"&amp;"/div[@class='value']/p"")),IMPORTXML(""https://statusinvest.com.br/acoes/""&amp;LOWER(A41),""//div[ @title ='Valor atual do ativo']/strong"")),INDEX(IMPORTHTML(CONCATENATE(""https://www.guiainvest.com.br/raiox/default.aspx?sigla="",A41),""list"",8),2,1)),0)"),0.0)</f>
        <v>0</v>
      </c>
      <c r="C41" s="252">
        <f>IFERROR(__xludf.DUMMYFUNCTION("iferror(INDEX(arrayformula(filter('Operações-BR'!M:M,'Operações-BR'!C:C&lt;&gt;"""",row('Operações-BR'!C:C)=max(if('Operações-BR'!C:C=A41,row('Operações-BR'!C:C),0)))) ,1),0)"),0.0)</f>
        <v>0</v>
      </c>
      <c r="D41" s="251">
        <f t="shared" si="1"/>
        <v>0</v>
      </c>
      <c r="E41" s="251">
        <f>IFERROR(__xludf.DUMMYFUNCTION("iferror(INDEX(arrayformula(filter('Operações-BR'!Q:Q,'Operações-BR'!C:C&lt;&gt;"""",row('Operações-BR'!C:C)=max(if('Operações-BR'!C:C=A41,row('Operações-BR'!C:C),0)))) ,1),0)"),0.0)</f>
        <v>0</v>
      </c>
      <c r="F41" s="251">
        <f t="shared" si="2"/>
        <v>0</v>
      </c>
      <c r="G41" s="251">
        <f>SUMIF(Proventos!$A$2:$A200,A41,Proventos!$H$2:$H200)</f>
        <v>0</v>
      </c>
      <c r="H41" s="251">
        <f t="shared" si="3"/>
        <v>0</v>
      </c>
      <c r="I41" s="253" t="str">
        <f>IFERROR(VLOOKUP(A41,Ativos!$A$1:$G200,5,),)</f>
        <v/>
      </c>
      <c r="J41" s="254" t="str">
        <f>IFERROR(VLOOKUP(A41,Ativos!A:H,8,),"")</f>
        <v/>
      </c>
      <c r="K41" s="251">
        <f>IFERROR(SUMIF('Operações-BR'!C:C,"="&amp;A41,'Operações-BR'!T:T),0)</f>
        <v>0</v>
      </c>
    </row>
    <row r="42">
      <c r="A42" s="255"/>
      <c r="B42" s="251">
        <f>IFERROR(__xludf.DUMMYFUNCTION("IF(A42&lt;&gt;"""",IFERROR(IFERROR(IFERROR(IFERROR(GOOGLEFINANCE(A42),SUBSTITUTE(IMPORTXML(""https://sg.finance.yahoo.com/quote/""&amp;A42&amp;"".SA""&amp;""/history?p=""&amp;A42&amp;"".SA"",""//tbody/tr[1]/td[6]""),""."","","")),IMPORTXML(""https://www.infomoney.com.br/""&amp;A42,""/"&amp;"/div[@class='value']/p"")),IMPORTXML(""https://statusinvest.com.br/acoes/""&amp;LOWER(A42),""//div[ @title ='Valor atual do ativo']/strong"")),INDEX(IMPORTHTML(CONCATENATE(""https://www.guiainvest.com.br/raiox/default.aspx?sigla="",A42),""list"",8),2,1)),0)"),0.0)</f>
        <v>0</v>
      </c>
      <c r="C42" s="252">
        <f>IFERROR(__xludf.DUMMYFUNCTION("iferror(INDEX(arrayformula(filter('Operações-BR'!M:M,'Operações-BR'!C:C&lt;&gt;"""",row('Operações-BR'!C:C)=max(if('Operações-BR'!C:C=A42,row('Operações-BR'!C:C),0)))) ,1),0)"),0.0)</f>
        <v>0</v>
      </c>
      <c r="D42" s="251">
        <f t="shared" si="1"/>
        <v>0</v>
      </c>
      <c r="E42" s="251">
        <f>IFERROR(__xludf.DUMMYFUNCTION("iferror(INDEX(arrayformula(filter('Operações-BR'!Q:Q,'Operações-BR'!C:C&lt;&gt;"""",row('Operações-BR'!C:C)=max(if('Operações-BR'!C:C=A42,row('Operações-BR'!C:C),0)))) ,1),0)"),0.0)</f>
        <v>0</v>
      </c>
      <c r="F42" s="251">
        <f t="shared" si="2"/>
        <v>0</v>
      </c>
      <c r="G42" s="251">
        <f>SUMIF(Proventos!$A$2:$A200,A42,Proventos!$H$2:$H200)</f>
        <v>0</v>
      </c>
      <c r="H42" s="251">
        <f t="shared" si="3"/>
        <v>0</v>
      </c>
      <c r="I42" s="253" t="str">
        <f>IFERROR(VLOOKUP(A42,Ativos!$A$1:$G200,5,),)</f>
        <v/>
      </c>
      <c r="J42" s="254" t="str">
        <f>IFERROR(VLOOKUP(A42,Ativos!A:H,8,),"")</f>
        <v/>
      </c>
      <c r="K42" s="251">
        <f>IFERROR(SUMIF('Operações-BR'!C:C,"="&amp;A42,'Operações-BR'!T:T),0)</f>
        <v>0</v>
      </c>
    </row>
    <row r="43">
      <c r="A43" s="255"/>
      <c r="B43" s="251">
        <f>IFERROR(__xludf.DUMMYFUNCTION("IF(A43&lt;&gt;"""",IFERROR(IFERROR(IFERROR(IFERROR(GOOGLEFINANCE(A43),SUBSTITUTE(IMPORTXML(""https://sg.finance.yahoo.com/quote/""&amp;A43&amp;"".SA""&amp;""/history?p=""&amp;A43&amp;"".SA"",""//tbody/tr[1]/td[6]""),""."","","")),IMPORTXML(""https://www.infomoney.com.br/""&amp;A43,""/"&amp;"/div[@class='value']/p"")),IMPORTXML(""https://statusinvest.com.br/acoes/""&amp;LOWER(A43),""//div[ @title ='Valor atual do ativo']/strong"")),INDEX(IMPORTHTML(CONCATENATE(""https://www.guiainvest.com.br/raiox/default.aspx?sigla="",A43),""list"",8),2,1)),0)"),0.0)</f>
        <v>0</v>
      </c>
      <c r="C43" s="252">
        <f>IFERROR(__xludf.DUMMYFUNCTION("iferror(INDEX(arrayformula(filter('Operações-BR'!M:M,'Operações-BR'!C:C&lt;&gt;"""",row('Operações-BR'!C:C)=max(if('Operações-BR'!C:C=A43,row('Operações-BR'!C:C),0)))) ,1),0)"),0.0)</f>
        <v>0</v>
      </c>
      <c r="D43" s="251">
        <f t="shared" si="1"/>
        <v>0</v>
      </c>
      <c r="E43" s="251">
        <f>IFERROR(__xludf.DUMMYFUNCTION("iferror(INDEX(arrayformula(filter('Operações-BR'!Q:Q,'Operações-BR'!C:C&lt;&gt;"""",row('Operações-BR'!C:C)=max(if('Operações-BR'!C:C=A43,row('Operações-BR'!C:C),0)))) ,1),0)"),0.0)</f>
        <v>0</v>
      </c>
      <c r="F43" s="251">
        <f t="shared" si="2"/>
        <v>0</v>
      </c>
      <c r="G43" s="251">
        <f>SUMIF(Proventos!$A$2:$A200,A43,Proventos!$H$2:$H200)</f>
        <v>0</v>
      </c>
      <c r="H43" s="251">
        <f t="shared" si="3"/>
        <v>0</v>
      </c>
      <c r="I43" s="253" t="str">
        <f>IFERROR(VLOOKUP(A43,Ativos!$A$1:$G200,5,),)</f>
        <v/>
      </c>
      <c r="J43" s="254" t="str">
        <f>IFERROR(VLOOKUP(A43,Ativos!A:H,8,),"")</f>
        <v/>
      </c>
      <c r="K43" s="251">
        <f>IFERROR(SUMIF('Operações-BR'!C:C,"="&amp;A43,'Operações-BR'!T:T),0)</f>
        <v>0</v>
      </c>
    </row>
    <row r="44">
      <c r="A44" s="255"/>
      <c r="B44" s="251">
        <f>IFERROR(__xludf.DUMMYFUNCTION("IF(A44&lt;&gt;"""",IFERROR(IFERROR(IFERROR(IFERROR(GOOGLEFINANCE(A44),SUBSTITUTE(IMPORTXML(""https://sg.finance.yahoo.com/quote/""&amp;A44&amp;"".SA""&amp;""/history?p=""&amp;A44&amp;"".SA"",""//tbody/tr[1]/td[6]""),""."","","")),IMPORTXML(""https://www.infomoney.com.br/""&amp;A44,""/"&amp;"/div[@class='value']/p"")),IMPORTXML(""https://statusinvest.com.br/acoes/""&amp;LOWER(A44),""//div[ @title ='Valor atual do ativo']/strong"")),INDEX(IMPORTHTML(CONCATENATE(""https://www.guiainvest.com.br/raiox/default.aspx?sigla="",A44),""list"",8),2,1)),0)"),0.0)</f>
        <v>0</v>
      </c>
      <c r="C44" s="252">
        <f>IFERROR(__xludf.DUMMYFUNCTION("iferror(INDEX(arrayformula(filter('Operações-BR'!M:M,'Operações-BR'!C:C&lt;&gt;"""",row('Operações-BR'!C:C)=max(if('Operações-BR'!C:C=A44,row('Operações-BR'!C:C),0)))) ,1),0)"),0.0)</f>
        <v>0</v>
      </c>
      <c r="D44" s="251">
        <f t="shared" si="1"/>
        <v>0</v>
      </c>
      <c r="E44" s="251">
        <f>IFERROR(__xludf.DUMMYFUNCTION("iferror(INDEX(arrayformula(filter('Operações-BR'!Q:Q,'Operações-BR'!C:C&lt;&gt;"""",row('Operações-BR'!C:C)=max(if('Operações-BR'!C:C=A44,row('Operações-BR'!C:C),0)))) ,1),0)"),0.0)</f>
        <v>0</v>
      </c>
      <c r="F44" s="251">
        <f t="shared" si="2"/>
        <v>0</v>
      </c>
      <c r="G44" s="251">
        <f>SUMIF(Proventos!$A$2:$A200,A44,Proventos!$H$2:$H200)</f>
        <v>0</v>
      </c>
      <c r="H44" s="251">
        <f t="shared" si="3"/>
        <v>0</v>
      </c>
      <c r="I44" s="253" t="str">
        <f>IFERROR(VLOOKUP(A44,Ativos!$A$1:$G200,5,),)</f>
        <v/>
      </c>
      <c r="J44" s="254" t="str">
        <f>IFERROR(VLOOKUP(A44,Ativos!A:H,8,),"")</f>
        <v/>
      </c>
      <c r="K44" s="251">
        <f>IFERROR(SUMIF('Operações-BR'!C:C,"="&amp;A44,'Operações-BR'!T:T),0)</f>
        <v>0</v>
      </c>
    </row>
    <row r="45">
      <c r="A45" s="255"/>
      <c r="B45" s="251">
        <f>IFERROR(__xludf.DUMMYFUNCTION("IF(A45&lt;&gt;"""",IFERROR(IFERROR(IFERROR(IFERROR(GOOGLEFINANCE(A45),SUBSTITUTE(IMPORTXML(""https://sg.finance.yahoo.com/quote/""&amp;A45&amp;"".SA""&amp;""/history?p=""&amp;A45&amp;"".SA"",""//tbody/tr[1]/td[6]""),""."","","")),IMPORTXML(""https://www.infomoney.com.br/""&amp;A45,""/"&amp;"/div[@class='value']/p"")),IMPORTXML(""https://statusinvest.com.br/acoes/""&amp;LOWER(A45),""//div[ @title ='Valor atual do ativo']/strong"")),INDEX(IMPORTHTML(CONCATENATE(""https://www.guiainvest.com.br/raiox/default.aspx?sigla="",A45),""list"",8),2,1)),0)"),0.0)</f>
        <v>0</v>
      </c>
      <c r="C45" s="252">
        <f>IFERROR(__xludf.DUMMYFUNCTION("iferror(INDEX(arrayformula(filter('Operações-BR'!M:M,'Operações-BR'!C:C&lt;&gt;"""",row('Operações-BR'!C:C)=max(if('Operações-BR'!C:C=A45,row('Operações-BR'!C:C),0)))) ,1),0)"),0.0)</f>
        <v>0</v>
      </c>
      <c r="D45" s="251">
        <f t="shared" si="1"/>
        <v>0</v>
      </c>
      <c r="E45" s="251">
        <f>IFERROR(__xludf.DUMMYFUNCTION("iferror(INDEX(arrayformula(filter('Operações-BR'!Q:Q,'Operações-BR'!C:C&lt;&gt;"""",row('Operações-BR'!C:C)=max(if('Operações-BR'!C:C=A45,row('Operações-BR'!C:C),0)))) ,1),0)"),0.0)</f>
        <v>0</v>
      </c>
      <c r="F45" s="251">
        <f t="shared" si="2"/>
        <v>0</v>
      </c>
      <c r="G45" s="251">
        <f>SUMIF(Proventos!$A$2:$A200,A45,Proventos!$H$2:$H200)</f>
        <v>0</v>
      </c>
      <c r="H45" s="251">
        <f t="shared" si="3"/>
        <v>0</v>
      </c>
      <c r="I45" s="253" t="str">
        <f>IFERROR(VLOOKUP(A45,Ativos!$A$1:$G200,5,),)</f>
        <v/>
      </c>
      <c r="J45" s="254" t="str">
        <f>IFERROR(VLOOKUP(A45,Ativos!A:H,8,),"")</f>
        <v/>
      </c>
      <c r="K45" s="251">
        <f>IFERROR(SUMIF('Operações-BR'!C:C,"="&amp;A45,'Operações-BR'!T:T),0)</f>
        <v>0</v>
      </c>
    </row>
    <row r="46">
      <c r="A46" s="255"/>
      <c r="B46" s="251">
        <f>IFERROR(__xludf.DUMMYFUNCTION("IF(A46&lt;&gt;"""",IFERROR(IFERROR(IFERROR(IFERROR(GOOGLEFINANCE(A46),SUBSTITUTE(IMPORTXML(""https://sg.finance.yahoo.com/quote/""&amp;A46&amp;"".SA""&amp;""/history?p=""&amp;A46&amp;"".SA"",""//tbody/tr[1]/td[6]""),""."","","")),IMPORTXML(""https://www.infomoney.com.br/""&amp;A46,""/"&amp;"/div[@class='value']/p"")),IMPORTXML(""https://statusinvest.com.br/acoes/""&amp;LOWER(A46),""//div[ @title ='Valor atual do ativo']/strong"")),INDEX(IMPORTHTML(CONCATENATE(""https://www.guiainvest.com.br/raiox/default.aspx?sigla="",A46),""list"",8),2,1)),0)"),0.0)</f>
        <v>0</v>
      </c>
      <c r="C46" s="252">
        <f>IFERROR(__xludf.DUMMYFUNCTION("iferror(INDEX(arrayformula(filter('Operações-BR'!M:M,'Operações-BR'!C:C&lt;&gt;"""",row('Operações-BR'!C:C)=max(if('Operações-BR'!C:C=A46,row('Operações-BR'!C:C),0)))) ,1),0)"),0.0)</f>
        <v>0</v>
      </c>
      <c r="D46" s="251">
        <f t="shared" si="1"/>
        <v>0</v>
      </c>
      <c r="E46" s="251">
        <f>IFERROR(__xludf.DUMMYFUNCTION("iferror(INDEX(arrayformula(filter('Operações-BR'!Q:Q,'Operações-BR'!C:C&lt;&gt;"""",row('Operações-BR'!C:C)=max(if('Operações-BR'!C:C=A46,row('Operações-BR'!C:C),0)))) ,1),0)"),0.0)</f>
        <v>0</v>
      </c>
      <c r="F46" s="251">
        <f t="shared" si="2"/>
        <v>0</v>
      </c>
      <c r="G46" s="251">
        <f>SUMIF(Proventos!$A$2:$A200,A46,Proventos!$H$2:$H200)</f>
        <v>0</v>
      </c>
      <c r="H46" s="251">
        <f t="shared" si="3"/>
        <v>0</v>
      </c>
      <c r="I46" s="253" t="str">
        <f>IFERROR(VLOOKUP(A46,Ativos!$A$1:$G200,5,),)</f>
        <v/>
      </c>
      <c r="J46" s="254" t="str">
        <f>IFERROR(VLOOKUP(A46,Ativos!A:H,8,),"")</f>
        <v/>
      </c>
      <c r="K46" s="251">
        <f>IFERROR(SUMIF('Operações-BR'!C:C,"="&amp;A46,'Operações-BR'!T:T),0)</f>
        <v>0</v>
      </c>
    </row>
    <row r="47">
      <c r="A47" s="255"/>
      <c r="B47" s="251">
        <f>IFERROR(__xludf.DUMMYFUNCTION("IF(A47&lt;&gt;"""",IFERROR(IFERROR(IFERROR(IFERROR(GOOGLEFINANCE(A47),SUBSTITUTE(IMPORTXML(""https://sg.finance.yahoo.com/quote/""&amp;A47&amp;"".SA""&amp;""/history?p=""&amp;A47&amp;"".SA"",""//tbody/tr[1]/td[6]""),""."","","")),IMPORTXML(""https://www.infomoney.com.br/""&amp;A47,""/"&amp;"/div[@class='value']/p"")),IMPORTXML(""https://statusinvest.com.br/acoes/""&amp;LOWER(A47),""//div[ @title ='Valor atual do ativo']/strong"")),INDEX(IMPORTHTML(CONCATENATE(""https://www.guiainvest.com.br/raiox/default.aspx?sigla="",A47),""list"",8),2,1)),0)"),0.0)</f>
        <v>0</v>
      </c>
      <c r="C47" s="252">
        <f>IFERROR(__xludf.DUMMYFUNCTION("iferror(INDEX(arrayformula(filter('Operações-BR'!M:M,'Operações-BR'!C:C&lt;&gt;"""",row('Operações-BR'!C:C)=max(if('Operações-BR'!C:C=A47,row('Operações-BR'!C:C),0)))) ,1),0)"),0.0)</f>
        <v>0</v>
      </c>
      <c r="D47" s="251">
        <f t="shared" si="1"/>
        <v>0</v>
      </c>
      <c r="E47" s="251">
        <f>IFERROR(__xludf.DUMMYFUNCTION("iferror(INDEX(arrayformula(filter('Operações-BR'!Q:Q,'Operações-BR'!C:C&lt;&gt;"""",row('Operações-BR'!C:C)=max(if('Operações-BR'!C:C=A47,row('Operações-BR'!C:C),0)))) ,1),0)"),0.0)</f>
        <v>0</v>
      </c>
      <c r="F47" s="251">
        <f t="shared" si="2"/>
        <v>0</v>
      </c>
      <c r="G47" s="251">
        <f>SUMIF(Proventos!$A$2:$A200,A47,Proventos!$H$2:$H200)</f>
        <v>0</v>
      </c>
      <c r="H47" s="251">
        <f t="shared" si="3"/>
        <v>0</v>
      </c>
      <c r="I47" s="253" t="str">
        <f>IFERROR(VLOOKUP(A47,Ativos!$A$1:$G200,5,),)</f>
        <v/>
      </c>
      <c r="J47" s="254" t="str">
        <f>IFERROR(VLOOKUP(A47,Ativos!A:H,8,),"")</f>
        <v/>
      </c>
      <c r="K47" s="251">
        <f>IFERROR(SUMIF('Operações-BR'!C:C,"="&amp;A47,'Operações-BR'!T:T),0)</f>
        <v>0</v>
      </c>
    </row>
    <row r="48">
      <c r="A48" s="255"/>
      <c r="B48" s="251">
        <f>IFERROR(__xludf.DUMMYFUNCTION("IF(A48&lt;&gt;"""",IFERROR(IFERROR(IFERROR(IFERROR(GOOGLEFINANCE(A48),SUBSTITUTE(IMPORTXML(""https://sg.finance.yahoo.com/quote/""&amp;A48&amp;"".SA""&amp;""/history?p=""&amp;A48&amp;"".SA"",""//tbody/tr[1]/td[6]""),""."","","")),IMPORTXML(""https://www.infomoney.com.br/""&amp;A48,""/"&amp;"/div[@class='value']/p"")),IMPORTXML(""https://statusinvest.com.br/acoes/""&amp;LOWER(A48),""//div[ @title ='Valor atual do ativo']/strong"")),INDEX(IMPORTHTML(CONCATENATE(""https://www.guiainvest.com.br/raiox/default.aspx?sigla="",A48),""list"",8),2,1)),0)"),0.0)</f>
        <v>0</v>
      </c>
      <c r="C48" s="252">
        <f>IFERROR(__xludf.DUMMYFUNCTION("iferror(INDEX(arrayformula(filter('Operações-BR'!M:M,'Operações-BR'!C:C&lt;&gt;"""",row('Operações-BR'!C:C)=max(if('Operações-BR'!C:C=A48,row('Operações-BR'!C:C),0)))) ,1),0)"),0.0)</f>
        <v>0</v>
      </c>
      <c r="D48" s="251">
        <f t="shared" si="1"/>
        <v>0</v>
      </c>
      <c r="E48" s="251">
        <f>IFERROR(__xludf.DUMMYFUNCTION("iferror(INDEX(arrayformula(filter('Operações-BR'!Q:Q,'Operações-BR'!C:C&lt;&gt;"""",row('Operações-BR'!C:C)=max(if('Operações-BR'!C:C=A48,row('Operações-BR'!C:C),0)))) ,1),0)"),0.0)</f>
        <v>0</v>
      </c>
      <c r="F48" s="251">
        <f t="shared" si="2"/>
        <v>0</v>
      </c>
      <c r="G48" s="251">
        <f>SUMIF(Proventos!$A$2:$A200,A48,Proventos!$H$2:$H200)</f>
        <v>0</v>
      </c>
      <c r="H48" s="251">
        <f t="shared" si="3"/>
        <v>0</v>
      </c>
      <c r="I48" s="253" t="str">
        <f>IFERROR(VLOOKUP(A48,Ativos!$A$1:$G200,5,),)</f>
        <v/>
      </c>
      <c r="J48" s="254" t="str">
        <f>IFERROR(VLOOKUP(A48,Ativos!A:H,8,),"")</f>
        <v/>
      </c>
      <c r="K48" s="251">
        <f>IFERROR(SUMIF('Operações-BR'!C:C,"="&amp;A48,'Operações-BR'!T:T),0)</f>
        <v>0</v>
      </c>
    </row>
    <row r="49">
      <c r="A49" s="255"/>
      <c r="B49" s="251">
        <f>IFERROR(__xludf.DUMMYFUNCTION("IF(A49&lt;&gt;"""",IFERROR(IFERROR(IFERROR(IFERROR(GOOGLEFINANCE(A49),SUBSTITUTE(IMPORTXML(""https://sg.finance.yahoo.com/quote/""&amp;A49&amp;"".SA""&amp;""/history?p=""&amp;A49&amp;"".SA"",""//tbody/tr[1]/td[6]""),""."","","")),IMPORTXML(""https://www.infomoney.com.br/""&amp;A49,""/"&amp;"/div[@class='value']/p"")),IMPORTXML(""https://statusinvest.com.br/acoes/""&amp;LOWER(A49),""//div[ @title ='Valor atual do ativo']/strong"")),INDEX(IMPORTHTML(CONCATENATE(""https://www.guiainvest.com.br/raiox/default.aspx?sigla="",A49),""list"",8),2,1)),0)"),0.0)</f>
        <v>0</v>
      </c>
      <c r="C49" s="252">
        <f>IFERROR(__xludf.DUMMYFUNCTION("iferror(INDEX(arrayformula(filter('Operações-BR'!M:M,'Operações-BR'!C:C&lt;&gt;"""",row('Operações-BR'!C:C)=max(if('Operações-BR'!C:C=A49,row('Operações-BR'!C:C),0)))) ,1),0)"),0.0)</f>
        <v>0</v>
      </c>
      <c r="D49" s="251">
        <f t="shared" si="1"/>
        <v>0</v>
      </c>
      <c r="E49" s="251">
        <f>IFERROR(__xludf.DUMMYFUNCTION("iferror(INDEX(arrayformula(filter('Operações-BR'!Q:Q,'Operações-BR'!C:C&lt;&gt;"""",row('Operações-BR'!C:C)=max(if('Operações-BR'!C:C=A49,row('Operações-BR'!C:C),0)))) ,1),0)"),0.0)</f>
        <v>0</v>
      </c>
      <c r="F49" s="251">
        <f t="shared" si="2"/>
        <v>0</v>
      </c>
      <c r="G49" s="251">
        <f>SUMIF(Proventos!$A$2:$A200,A49,Proventos!$H$2:$H200)</f>
        <v>0</v>
      </c>
      <c r="H49" s="251">
        <f t="shared" si="3"/>
        <v>0</v>
      </c>
      <c r="I49" s="253" t="str">
        <f>IFERROR(VLOOKUP(A49,Ativos!$A$1:$G200,5,),)</f>
        <v/>
      </c>
      <c r="J49" s="254" t="str">
        <f>IFERROR(VLOOKUP(A49,Ativos!A:H,8,),"")</f>
        <v/>
      </c>
      <c r="K49" s="251">
        <f>IFERROR(SUMIF('Operações-BR'!C:C,"="&amp;A49,'Operações-BR'!T:T),0)</f>
        <v>0</v>
      </c>
    </row>
    <row r="50">
      <c r="A50" s="255"/>
      <c r="B50" s="251">
        <f>IFERROR(__xludf.DUMMYFUNCTION("IF(A50&lt;&gt;"""",IFERROR(IFERROR(IFERROR(IFERROR(GOOGLEFINANCE(A50),SUBSTITUTE(IMPORTXML(""https://sg.finance.yahoo.com/quote/""&amp;A50&amp;"".SA""&amp;""/history?p=""&amp;A50&amp;"".SA"",""//tbody/tr[1]/td[6]""),""."","","")),IMPORTXML(""https://www.infomoney.com.br/""&amp;A50,""/"&amp;"/div[@class='value']/p"")),IMPORTXML(""https://statusinvest.com.br/acoes/""&amp;LOWER(A50),""//div[ @title ='Valor atual do ativo']/strong"")),INDEX(IMPORTHTML(CONCATENATE(""https://www.guiainvest.com.br/raiox/default.aspx?sigla="",A50),""list"",8),2,1)),0)"),0.0)</f>
        <v>0</v>
      </c>
      <c r="C50" s="252">
        <f>IFERROR(__xludf.DUMMYFUNCTION("iferror(INDEX(arrayformula(filter('Operações-BR'!M:M,'Operações-BR'!C:C&lt;&gt;"""",row('Operações-BR'!C:C)=max(if('Operações-BR'!C:C=A50,row('Operações-BR'!C:C),0)))) ,1),0)"),0.0)</f>
        <v>0</v>
      </c>
      <c r="D50" s="251">
        <f t="shared" si="1"/>
        <v>0</v>
      </c>
      <c r="E50" s="251">
        <f>IFERROR(__xludf.DUMMYFUNCTION("iferror(INDEX(arrayformula(filter('Operações-BR'!Q:Q,'Operações-BR'!C:C&lt;&gt;"""",row('Operações-BR'!C:C)=max(if('Operações-BR'!C:C=A50,row('Operações-BR'!C:C),0)))) ,1),0)"),0.0)</f>
        <v>0</v>
      </c>
      <c r="F50" s="251">
        <f t="shared" si="2"/>
        <v>0</v>
      </c>
      <c r="G50" s="251">
        <f>SUMIF(Proventos!$A$2:$A200,A50,Proventos!$H$2:$H200)</f>
        <v>0</v>
      </c>
      <c r="H50" s="251">
        <f t="shared" si="3"/>
        <v>0</v>
      </c>
      <c r="I50" s="253" t="str">
        <f>IFERROR(VLOOKUP(A50,Ativos!$A$1:$G200,5,),)</f>
        <v/>
      </c>
      <c r="J50" s="254" t="str">
        <f>IFERROR(VLOOKUP(A50,Ativos!A:H,8,),"")</f>
        <v/>
      </c>
      <c r="K50" s="251">
        <f>IFERROR(SUMIF('Operações-BR'!C:C,"="&amp;A50,'Operações-BR'!T:T),0)</f>
        <v>0</v>
      </c>
    </row>
    <row r="51">
      <c r="A51" s="255"/>
      <c r="B51" s="251">
        <f>IFERROR(__xludf.DUMMYFUNCTION("IF(A51&lt;&gt;"""",IFERROR(IFERROR(IFERROR(IFERROR(GOOGLEFINANCE(A51),SUBSTITUTE(IMPORTXML(""https://sg.finance.yahoo.com/quote/""&amp;A51&amp;"".SA""&amp;""/history?p=""&amp;A51&amp;"".SA"",""//tbody/tr[1]/td[6]""),""."","","")),IMPORTXML(""https://www.infomoney.com.br/""&amp;A51,""/"&amp;"/div[@class='value']/p"")),IMPORTXML(""https://statusinvest.com.br/acoes/""&amp;LOWER(A51),""//div[ @title ='Valor atual do ativo']/strong"")),INDEX(IMPORTHTML(CONCATENATE(""https://www.guiainvest.com.br/raiox/default.aspx?sigla="",A51),""list"",8),2,1)),0)"),0.0)</f>
        <v>0</v>
      </c>
      <c r="C51" s="252">
        <f>IFERROR(__xludf.DUMMYFUNCTION("iferror(INDEX(arrayformula(filter('Operações-BR'!M:M,'Operações-BR'!C:C&lt;&gt;"""",row('Operações-BR'!C:C)=max(if('Operações-BR'!C:C=A51,row('Operações-BR'!C:C),0)))) ,1),0)"),0.0)</f>
        <v>0</v>
      </c>
      <c r="D51" s="251">
        <f t="shared" si="1"/>
        <v>0</v>
      </c>
      <c r="E51" s="251">
        <f>IFERROR(__xludf.DUMMYFUNCTION("iferror(INDEX(arrayformula(filter('Operações-BR'!Q:Q,'Operações-BR'!C:C&lt;&gt;"""",row('Operações-BR'!C:C)=max(if('Operações-BR'!C:C=A51,row('Operações-BR'!C:C),0)))) ,1),0)"),0.0)</f>
        <v>0</v>
      </c>
      <c r="F51" s="251">
        <f t="shared" si="2"/>
        <v>0</v>
      </c>
      <c r="G51" s="251">
        <f>SUMIF(Proventos!$A$2:$A200,A51,Proventos!$H$2:$H200)</f>
        <v>0</v>
      </c>
      <c r="H51" s="251">
        <f t="shared" si="3"/>
        <v>0</v>
      </c>
      <c r="I51" s="253" t="str">
        <f>IFERROR(VLOOKUP(A51,Ativos!$A$1:$G200,5,),)</f>
        <v/>
      </c>
      <c r="J51" s="254" t="str">
        <f>IFERROR(VLOOKUP(A51,Ativos!A:H,8,),"")</f>
        <v/>
      </c>
      <c r="K51" s="251">
        <f>IFERROR(SUMIF('Operações-BR'!C:C,"="&amp;A51,'Operações-BR'!T:T),0)</f>
        <v>0</v>
      </c>
    </row>
    <row r="52">
      <c r="A52" s="255"/>
      <c r="B52" s="251">
        <f>IFERROR(__xludf.DUMMYFUNCTION("IF(A52&lt;&gt;"""",IFERROR(IFERROR(IFERROR(IFERROR(GOOGLEFINANCE(A52),SUBSTITUTE(IMPORTXML(""https://sg.finance.yahoo.com/quote/""&amp;A52&amp;"".SA""&amp;""/history?p=""&amp;A52&amp;"".SA"",""//tbody/tr[1]/td[6]""),""."","","")),IMPORTXML(""https://www.infomoney.com.br/""&amp;A52,""/"&amp;"/div[@class='value']/p"")),IMPORTXML(""https://statusinvest.com.br/acoes/""&amp;LOWER(A52),""//div[ @title ='Valor atual do ativo']/strong"")),INDEX(IMPORTHTML(CONCATENATE(""https://www.guiainvest.com.br/raiox/default.aspx?sigla="",A52),""list"",8),2,1)),0)"),0.0)</f>
        <v>0</v>
      </c>
      <c r="C52" s="252">
        <f>IFERROR(__xludf.DUMMYFUNCTION("iferror(INDEX(arrayformula(filter('Operações-BR'!M:M,'Operações-BR'!C:C&lt;&gt;"""",row('Operações-BR'!C:C)=max(if('Operações-BR'!C:C=A52,row('Operações-BR'!C:C),0)))) ,1),0)"),0.0)</f>
        <v>0</v>
      </c>
      <c r="D52" s="251">
        <f t="shared" si="1"/>
        <v>0</v>
      </c>
      <c r="E52" s="251">
        <f>IFERROR(__xludf.DUMMYFUNCTION("iferror(INDEX(arrayformula(filter('Operações-BR'!Q:Q,'Operações-BR'!C:C&lt;&gt;"""",row('Operações-BR'!C:C)=max(if('Operações-BR'!C:C=A52,row('Operações-BR'!C:C),0)))) ,1),0)"),0.0)</f>
        <v>0</v>
      </c>
      <c r="F52" s="251">
        <f t="shared" si="2"/>
        <v>0</v>
      </c>
      <c r="G52" s="251">
        <f>SUMIF(Proventos!$A$2:$A200,A52,Proventos!$H$2:$H200)</f>
        <v>0</v>
      </c>
      <c r="H52" s="251">
        <f t="shared" si="3"/>
        <v>0</v>
      </c>
      <c r="I52" s="253" t="str">
        <f>IFERROR(VLOOKUP(A52,Ativos!$A$1:$G200,5,),)</f>
        <v/>
      </c>
      <c r="J52" s="254" t="str">
        <f>IFERROR(VLOOKUP(A52,Ativos!A:H,8,),"")</f>
        <v/>
      </c>
      <c r="K52" s="251">
        <f>IFERROR(SUMIF('Operações-BR'!C:C,"="&amp;A52,'Operações-BR'!T:T),0)</f>
        <v>0</v>
      </c>
    </row>
    <row r="53">
      <c r="A53" s="255"/>
      <c r="B53" s="251">
        <f>IFERROR(__xludf.DUMMYFUNCTION("IF(A53&lt;&gt;"""",IFERROR(IFERROR(IFERROR(IFERROR(GOOGLEFINANCE(A53),SUBSTITUTE(IMPORTXML(""https://sg.finance.yahoo.com/quote/""&amp;A53&amp;"".SA""&amp;""/history?p=""&amp;A53&amp;"".SA"",""//tbody/tr[1]/td[6]""),""."","","")),IMPORTXML(""https://www.infomoney.com.br/""&amp;A53,""/"&amp;"/div[@class='value']/p"")),IMPORTXML(""https://statusinvest.com.br/acoes/""&amp;LOWER(A53),""//div[ @title ='Valor atual do ativo']/strong"")),INDEX(IMPORTHTML(CONCATENATE(""https://www.guiainvest.com.br/raiox/default.aspx?sigla="",A53),""list"",8),2,1)),0)"),0.0)</f>
        <v>0</v>
      </c>
      <c r="C53" s="252">
        <f>IFERROR(__xludf.DUMMYFUNCTION("iferror(INDEX(arrayformula(filter('Operações-BR'!M:M,'Operações-BR'!C:C&lt;&gt;"""",row('Operações-BR'!C:C)=max(if('Operações-BR'!C:C=A53,row('Operações-BR'!C:C),0)))) ,1),0)"),0.0)</f>
        <v>0</v>
      </c>
      <c r="D53" s="251">
        <f t="shared" si="1"/>
        <v>0</v>
      </c>
      <c r="E53" s="251">
        <f>IFERROR(__xludf.DUMMYFUNCTION("iferror(INDEX(arrayformula(filter('Operações-BR'!Q:Q,'Operações-BR'!C:C&lt;&gt;"""",row('Operações-BR'!C:C)=max(if('Operações-BR'!C:C=A53,row('Operações-BR'!C:C),0)))) ,1),0)"),0.0)</f>
        <v>0</v>
      </c>
      <c r="F53" s="251">
        <f t="shared" si="2"/>
        <v>0</v>
      </c>
      <c r="G53" s="251">
        <f>SUMIF(Proventos!$A$2:$A200,A53,Proventos!$H$2:$H200)</f>
        <v>0</v>
      </c>
      <c r="H53" s="251">
        <f t="shared" si="3"/>
        <v>0</v>
      </c>
      <c r="I53" s="253" t="str">
        <f>IFERROR(VLOOKUP(A53,Ativos!$A$1:$G200,5,),)</f>
        <v/>
      </c>
      <c r="J53" s="254" t="str">
        <f>IFERROR(VLOOKUP(A53,Ativos!A:H,8,),"")</f>
        <v/>
      </c>
      <c r="K53" s="251">
        <f>IFERROR(SUMIF('Operações-BR'!C:C,"="&amp;A53,'Operações-BR'!T:T),0)</f>
        <v>0</v>
      </c>
    </row>
    <row r="54">
      <c r="A54" s="255"/>
      <c r="B54" s="251">
        <f>IFERROR(__xludf.DUMMYFUNCTION("IF(A54&lt;&gt;"""",IFERROR(IFERROR(IFERROR(IFERROR(GOOGLEFINANCE(A54),SUBSTITUTE(IMPORTXML(""https://sg.finance.yahoo.com/quote/""&amp;A54&amp;"".SA""&amp;""/history?p=""&amp;A54&amp;"".SA"",""//tbody/tr[1]/td[6]""),""."","","")),IMPORTXML(""https://www.infomoney.com.br/""&amp;A54,""/"&amp;"/div[@class='value']/p"")),IMPORTXML(""https://statusinvest.com.br/acoes/""&amp;LOWER(A54),""//div[ @title ='Valor atual do ativo']/strong"")),INDEX(IMPORTHTML(CONCATENATE(""https://www.guiainvest.com.br/raiox/default.aspx?sigla="",A54),""list"",8),2,1)),0)"),0.0)</f>
        <v>0</v>
      </c>
      <c r="C54" s="252">
        <f>IFERROR(__xludf.DUMMYFUNCTION("iferror(INDEX(arrayformula(filter('Operações-BR'!M:M,'Operações-BR'!C:C&lt;&gt;"""",row('Operações-BR'!C:C)=max(if('Operações-BR'!C:C=A54,row('Operações-BR'!C:C),0)))) ,1),0)"),0.0)</f>
        <v>0</v>
      </c>
      <c r="D54" s="251">
        <f t="shared" si="1"/>
        <v>0</v>
      </c>
      <c r="E54" s="251">
        <f>IFERROR(__xludf.DUMMYFUNCTION("iferror(INDEX(arrayformula(filter('Operações-BR'!Q:Q,'Operações-BR'!C:C&lt;&gt;"""",row('Operações-BR'!C:C)=max(if('Operações-BR'!C:C=A54,row('Operações-BR'!C:C),0)))) ,1),0)"),0.0)</f>
        <v>0</v>
      </c>
      <c r="F54" s="251">
        <f t="shared" si="2"/>
        <v>0</v>
      </c>
      <c r="G54" s="251">
        <f>SUMIF(Proventos!$A$2:$A200,A54,Proventos!$H$2:$H200)</f>
        <v>0</v>
      </c>
      <c r="H54" s="251">
        <f t="shared" si="3"/>
        <v>0</v>
      </c>
      <c r="I54" s="253" t="str">
        <f>IFERROR(VLOOKUP(A54,Ativos!$A$1:$G200,5,),)</f>
        <v/>
      </c>
      <c r="J54" s="254" t="str">
        <f>IFERROR(VLOOKUP(A54,Ativos!A:H,8,),"")</f>
        <v/>
      </c>
      <c r="K54" s="251">
        <f>IFERROR(SUMIF('Operações-BR'!C:C,"="&amp;A54,'Operações-BR'!T:T),0)</f>
        <v>0</v>
      </c>
    </row>
    <row r="55">
      <c r="A55" s="255"/>
      <c r="B55" s="251">
        <f>IFERROR(__xludf.DUMMYFUNCTION("IF(A55&lt;&gt;"""",IFERROR(IFERROR(IFERROR(IFERROR(GOOGLEFINANCE(A55),SUBSTITUTE(IMPORTXML(""https://sg.finance.yahoo.com/quote/""&amp;A55&amp;"".SA""&amp;""/history?p=""&amp;A55&amp;"".SA"",""//tbody/tr[1]/td[6]""),""."","","")),IMPORTXML(""https://www.infomoney.com.br/""&amp;A55,""/"&amp;"/div[@class='value']/p"")),IMPORTXML(""https://statusinvest.com.br/acoes/""&amp;LOWER(A55),""//div[ @title ='Valor atual do ativo']/strong"")),INDEX(IMPORTHTML(CONCATENATE(""https://www.guiainvest.com.br/raiox/default.aspx?sigla="",A55),""list"",8),2,1)),0)"),0.0)</f>
        <v>0</v>
      </c>
      <c r="C55" s="252">
        <f>IFERROR(__xludf.DUMMYFUNCTION("iferror(INDEX(arrayformula(filter('Operações-BR'!M:M,'Operações-BR'!C:C&lt;&gt;"""",row('Operações-BR'!C:C)=max(if('Operações-BR'!C:C=A55,row('Operações-BR'!C:C),0)))) ,1),0)"),0.0)</f>
        <v>0</v>
      </c>
      <c r="D55" s="251">
        <f t="shared" si="1"/>
        <v>0</v>
      </c>
      <c r="E55" s="251">
        <f>IFERROR(__xludf.DUMMYFUNCTION("iferror(INDEX(arrayformula(filter('Operações-BR'!Q:Q,'Operações-BR'!C:C&lt;&gt;"""",row('Operações-BR'!C:C)=max(if('Operações-BR'!C:C=A55,row('Operações-BR'!C:C),0)))) ,1),0)"),0.0)</f>
        <v>0</v>
      </c>
      <c r="F55" s="251">
        <f t="shared" si="2"/>
        <v>0</v>
      </c>
      <c r="G55" s="251">
        <f>SUMIF(Proventos!$A$2:$A200,A55,Proventos!$H$2:$H200)</f>
        <v>0</v>
      </c>
      <c r="H55" s="251">
        <f t="shared" si="3"/>
        <v>0</v>
      </c>
      <c r="I55" s="253" t="str">
        <f>IFERROR(VLOOKUP(A55,Ativos!$A$1:$G200,5,),)</f>
        <v/>
      </c>
      <c r="J55" s="254" t="str">
        <f>IFERROR(VLOOKUP(A55,Ativos!A:H,8,),"")</f>
        <v/>
      </c>
      <c r="K55" s="251">
        <f>IFERROR(SUMIF('Operações-BR'!C:C,"="&amp;A55,'Operações-BR'!T:T),0)</f>
        <v>0</v>
      </c>
    </row>
    <row r="56">
      <c r="A56" s="255"/>
      <c r="B56" s="251">
        <f>IFERROR(__xludf.DUMMYFUNCTION("IF(A56&lt;&gt;"""",IFERROR(IFERROR(IFERROR(IFERROR(GOOGLEFINANCE(A56),SUBSTITUTE(IMPORTXML(""https://sg.finance.yahoo.com/quote/""&amp;A56&amp;"".SA""&amp;""/history?p=""&amp;A56&amp;"".SA"",""//tbody/tr[1]/td[6]""),""."","","")),IMPORTXML(""https://www.infomoney.com.br/""&amp;A56,""/"&amp;"/div[@class='value']/p"")),IMPORTXML(""https://statusinvest.com.br/acoes/""&amp;LOWER(A56),""//div[ @title ='Valor atual do ativo']/strong"")),INDEX(IMPORTHTML(CONCATENATE(""https://www.guiainvest.com.br/raiox/default.aspx?sigla="",A56),""list"",8),2,1)),0)"),0.0)</f>
        <v>0</v>
      </c>
      <c r="C56" s="252">
        <f>IFERROR(__xludf.DUMMYFUNCTION("iferror(INDEX(arrayformula(filter('Operações-BR'!M:M,'Operações-BR'!C:C&lt;&gt;"""",row('Operações-BR'!C:C)=max(if('Operações-BR'!C:C=A56,row('Operações-BR'!C:C),0)))) ,1),0)"),0.0)</f>
        <v>0</v>
      </c>
      <c r="D56" s="251">
        <f t="shared" si="1"/>
        <v>0</v>
      </c>
      <c r="E56" s="251">
        <f>IFERROR(__xludf.DUMMYFUNCTION("iferror(INDEX(arrayformula(filter('Operações-BR'!Q:Q,'Operações-BR'!C:C&lt;&gt;"""",row('Operações-BR'!C:C)=max(if('Operações-BR'!C:C=A56,row('Operações-BR'!C:C),0)))) ,1),0)"),0.0)</f>
        <v>0</v>
      </c>
      <c r="F56" s="251">
        <f t="shared" si="2"/>
        <v>0</v>
      </c>
      <c r="G56" s="251">
        <f>SUMIF(Proventos!$A$2:$A200,A56,Proventos!$H$2:$H200)</f>
        <v>0</v>
      </c>
      <c r="H56" s="251">
        <f t="shared" si="3"/>
        <v>0</v>
      </c>
      <c r="I56" s="253" t="str">
        <f>IFERROR(VLOOKUP(A56,Ativos!$A$1:$G200,5,),)</f>
        <v/>
      </c>
      <c r="J56" s="254" t="str">
        <f>IFERROR(VLOOKUP(A56,Ativos!A:H,8,),"")</f>
        <v/>
      </c>
      <c r="K56" s="251">
        <f>IFERROR(SUMIF('Operações-BR'!C:C,"="&amp;A56,'Operações-BR'!T:T),0)</f>
        <v>0</v>
      </c>
    </row>
    <row r="57">
      <c r="A57" s="255"/>
      <c r="B57" s="251">
        <f>IFERROR(__xludf.DUMMYFUNCTION("IF(A57&lt;&gt;"""",IFERROR(IFERROR(IFERROR(IFERROR(GOOGLEFINANCE(A57),SUBSTITUTE(IMPORTXML(""https://sg.finance.yahoo.com/quote/""&amp;A57&amp;"".SA""&amp;""/history?p=""&amp;A57&amp;"".SA"",""//tbody/tr[1]/td[6]""),""."","","")),IMPORTXML(""https://www.infomoney.com.br/""&amp;A57,""/"&amp;"/div[@class='value']/p"")),IMPORTXML(""https://statusinvest.com.br/acoes/""&amp;LOWER(A57),""//div[ @title ='Valor atual do ativo']/strong"")),INDEX(IMPORTHTML(CONCATENATE(""https://www.guiainvest.com.br/raiox/default.aspx?sigla="",A57),""list"",8),2,1)),0)"),0.0)</f>
        <v>0</v>
      </c>
      <c r="C57" s="252">
        <f>IFERROR(__xludf.DUMMYFUNCTION("iferror(INDEX(arrayformula(filter('Operações-BR'!M:M,'Operações-BR'!C:C&lt;&gt;"""",row('Operações-BR'!C:C)=max(if('Operações-BR'!C:C=A57,row('Operações-BR'!C:C),0)))) ,1),0)"),0.0)</f>
        <v>0</v>
      </c>
      <c r="D57" s="251">
        <f t="shared" si="1"/>
        <v>0</v>
      </c>
      <c r="E57" s="251">
        <f>IFERROR(__xludf.DUMMYFUNCTION("iferror(INDEX(arrayformula(filter('Operações-BR'!Q:Q,'Operações-BR'!C:C&lt;&gt;"""",row('Operações-BR'!C:C)=max(if('Operações-BR'!C:C=A57,row('Operações-BR'!C:C),0)))) ,1),0)"),0.0)</f>
        <v>0</v>
      </c>
      <c r="F57" s="251">
        <f t="shared" si="2"/>
        <v>0</v>
      </c>
      <c r="G57" s="251">
        <f>SUMIF(Proventos!$A$2:$A200,A57,Proventos!$H$2:$H200)</f>
        <v>0</v>
      </c>
      <c r="H57" s="251">
        <f t="shared" si="3"/>
        <v>0</v>
      </c>
      <c r="I57" s="253" t="str">
        <f>IFERROR(VLOOKUP(A57,Ativos!$A$1:$G200,5,),)</f>
        <v/>
      </c>
      <c r="J57" s="254" t="str">
        <f>IFERROR(VLOOKUP(A57,Ativos!A:H,8,),"")</f>
        <v/>
      </c>
      <c r="K57" s="251">
        <f>IFERROR(SUMIF('Operações-BR'!C:C,"="&amp;A57,'Operações-BR'!T:T),0)</f>
        <v>0</v>
      </c>
    </row>
    <row r="58">
      <c r="A58" s="255"/>
      <c r="B58" s="251">
        <f>IFERROR(__xludf.DUMMYFUNCTION("IF(A58&lt;&gt;"""",IFERROR(IFERROR(IFERROR(IFERROR(GOOGLEFINANCE(A58),SUBSTITUTE(IMPORTXML(""https://sg.finance.yahoo.com/quote/""&amp;A58&amp;"".SA""&amp;""/history?p=""&amp;A58&amp;"".SA"",""//tbody/tr[1]/td[6]""),""."","","")),IMPORTXML(""https://www.infomoney.com.br/""&amp;A58,""/"&amp;"/div[@class='value']/p"")),IMPORTXML(""https://statusinvest.com.br/acoes/""&amp;LOWER(A58),""//div[ @title ='Valor atual do ativo']/strong"")),INDEX(IMPORTHTML(CONCATENATE(""https://www.guiainvest.com.br/raiox/default.aspx?sigla="",A58),""list"",8),2,1)),0)"),0.0)</f>
        <v>0</v>
      </c>
      <c r="C58" s="252">
        <f>IFERROR(__xludf.DUMMYFUNCTION("iferror(INDEX(arrayformula(filter('Operações-BR'!M:M,'Operações-BR'!C:C&lt;&gt;"""",row('Operações-BR'!C:C)=max(if('Operações-BR'!C:C=A58,row('Operações-BR'!C:C),0)))) ,1),0)"),0.0)</f>
        <v>0</v>
      </c>
      <c r="D58" s="251">
        <f t="shared" si="1"/>
        <v>0</v>
      </c>
      <c r="E58" s="251">
        <f>IFERROR(__xludf.DUMMYFUNCTION("iferror(INDEX(arrayformula(filter('Operações-BR'!Q:Q,'Operações-BR'!C:C&lt;&gt;"""",row('Operações-BR'!C:C)=max(if('Operações-BR'!C:C=A58,row('Operações-BR'!C:C),0)))) ,1),0)"),0.0)</f>
        <v>0</v>
      </c>
      <c r="F58" s="251">
        <f t="shared" si="2"/>
        <v>0</v>
      </c>
      <c r="G58" s="251">
        <f>SUMIF(Proventos!$A$2:$A200,A58,Proventos!$H$2:$H200)</f>
        <v>0</v>
      </c>
      <c r="H58" s="251">
        <f t="shared" si="3"/>
        <v>0</v>
      </c>
      <c r="I58" s="253" t="str">
        <f>IFERROR(VLOOKUP(A58,Ativos!$A$1:$G200,5,),)</f>
        <v/>
      </c>
      <c r="J58" s="254" t="str">
        <f>IFERROR(VLOOKUP(A58,Ativos!A:H,8,),"")</f>
        <v/>
      </c>
      <c r="K58" s="251">
        <f>IFERROR(SUMIF('Operações-BR'!C:C,"="&amp;A58,'Operações-BR'!T:T),0)</f>
        <v>0</v>
      </c>
    </row>
    <row r="59">
      <c r="A59" s="255"/>
      <c r="B59" s="251">
        <f>IFERROR(__xludf.DUMMYFUNCTION("IF(A59&lt;&gt;"""",IFERROR(IFERROR(IFERROR(IFERROR(GOOGLEFINANCE(A59),SUBSTITUTE(IMPORTXML(""https://sg.finance.yahoo.com/quote/""&amp;A59&amp;"".SA""&amp;""/history?p=""&amp;A59&amp;"".SA"",""//tbody/tr[1]/td[6]""),""."","","")),IMPORTXML(""https://www.infomoney.com.br/""&amp;A59,""/"&amp;"/div[@class='value']/p"")),IMPORTXML(""https://statusinvest.com.br/acoes/""&amp;LOWER(A59),""//div[ @title ='Valor atual do ativo']/strong"")),INDEX(IMPORTHTML(CONCATENATE(""https://www.guiainvest.com.br/raiox/default.aspx?sigla="",A59),""list"",8),2,1)),0)"),0.0)</f>
        <v>0</v>
      </c>
      <c r="C59" s="252">
        <f>IFERROR(__xludf.DUMMYFUNCTION("iferror(INDEX(arrayformula(filter('Operações-BR'!M:M,'Operações-BR'!C:C&lt;&gt;"""",row('Operações-BR'!C:C)=max(if('Operações-BR'!C:C=A59,row('Operações-BR'!C:C),0)))) ,1),0)"),0.0)</f>
        <v>0</v>
      </c>
      <c r="D59" s="251">
        <f t="shared" si="1"/>
        <v>0</v>
      </c>
      <c r="E59" s="251">
        <f>IFERROR(__xludf.DUMMYFUNCTION("iferror(INDEX(arrayformula(filter('Operações-BR'!Q:Q,'Operações-BR'!C:C&lt;&gt;"""",row('Operações-BR'!C:C)=max(if('Operações-BR'!C:C=A59,row('Operações-BR'!C:C),0)))) ,1),0)"),0.0)</f>
        <v>0</v>
      </c>
      <c r="F59" s="251">
        <f t="shared" si="2"/>
        <v>0</v>
      </c>
      <c r="G59" s="251">
        <f>SUMIF(Proventos!$A$2:$A200,A59,Proventos!$H$2:$H200)</f>
        <v>0</v>
      </c>
      <c r="H59" s="251">
        <f t="shared" si="3"/>
        <v>0</v>
      </c>
      <c r="I59" s="253" t="str">
        <f>IFERROR(VLOOKUP(A59,Ativos!$A$1:$G200,5,),)</f>
        <v/>
      </c>
      <c r="J59" s="254" t="str">
        <f>IFERROR(VLOOKUP(A59,Ativos!A:H,8,),"")</f>
        <v/>
      </c>
      <c r="K59" s="251">
        <f>IFERROR(SUMIF('Operações-BR'!C:C,"="&amp;A59,'Operações-BR'!T:T),0)</f>
        <v>0</v>
      </c>
    </row>
    <row r="60">
      <c r="A60" s="255"/>
      <c r="B60" s="251">
        <f>IFERROR(__xludf.DUMMYFUNCTION("IF(A60&lt;&gt;"""",IFERROR(IFERROR(IFERROR(IFERROR(GOOGLEFINANCE(A60),SUBSTITUTE(IMPORTXML(""https://sg.finance.yahoo.com/quote/""&amp;A60&amp;"".SA""&amp;""/history?p=""&amp;A60&amp;"".SA"",""//tbody/tr[1]/td[6]""),""."","","")),IMPORTXML(""https://www.infomoney.com.br/""&amp;A60,""/"&amp;"/div[@class='value']/p"")),IMPORTXML(""https://statusinvest.com.br/acoes/""&amp;LOWER(A60),""//div[ @title ='Valor atual do ativo']/strong"")),INDEX(IMPORTHTML(CONCATENATE(""https://www.guiainvest.com.br/raiox/default.aspx?sigla="",A60),""list"",8),2,1)),0)"),0.0)</f>
        <v>0</v>
      </c>
      <c r="C60" s="252">
        <f>IFERROR(__xludf.DUMMYFUNCTION("iferror(INDEX(arrayformula(filter('Operações-BR'!M:M,'Operações-BR'!C:C&lt;&gt;"""",row('Operações-BR'!C:C)=max(if('Operações-BR'!C:C=A60,row('Operações-BR'!C:C),0)))) ,1),0)"),0.0)</f>
        <v>0</v>
      </c>
      <c r="D60" s="251">
        <f t="shared" si="1"/>
        <v>0</v>
      </c>
      <c r="E60" s="251">
        <f>IFERROR(__xludf.DUMMYFUNCTION("iferror(INDEX(arrayformula(filter('Operações-BR'!Q:Q,'Operações-BR'!C:C&lt;&gt;"""",row('Operações-BR'!C:C)=max(if('Operações-BR'!C:C=A60,row('Operações-BR'!C:C),0)))) ,1),0)"),0.0)</f>
        <v>0</v>
      </c>
      <c r="F60" s="251">
        <f t="shared" si="2"/>
        <v>0</v>
      </c>
      <c r="G60" s="251">
        <f>SUMIF(Proventos!$A$2:$A200,A60,Proventos!$H$2:$H200)</f>
        <v>0</v>
      </c>
      <c r="H60" s="251">
        <f t="shared" si="3"/>
        <v>0</v>
      </c>
      <c r="I60" s="253" t="str">
        <f>IFERROR(VLOOKUP(A60,Ativos!$A$1:$G200,5,),)</f>
        <v/>
      </c>
      <c r="J60" s="254" t="str">
        <f>IFERROR(VLOOKUP(A60,Ativos!A:H,8,),"")</f>
        <v/>
      </c>
      <c r="K60" s="251">
        <f>IFERROR(SUMIF('Operações-BR'!C:C,"="&amp;A60,'Operações-BR'!T:T),0)</f>
        <v>0</v>
      </c>
    </row>
    <row r="61">
      <c r="A61" s="255"/>
      <c r="B61" s="251">
        <f>IFERROR(__xludf.DUMMYFUNCTION("IF(A61&lt;&gt;"""",IFERROR(IFERROR(IFERROR(IFERROR(GOOGLEFINANCE(A61),SUBSTITUTE(IMPORTXML(""https://sg.finance.yahoo.com/quote/""&amp;A61&amp;"".SA""&amp;""/history?p=""&amp;A61&amp;"".SA"",""//tbody/tr[1]/td[6]""),""."","","")),IMPORTXML(""https://www.infomoney.com.br/""&amp;A61,""/"&amp;"/div[@class='value']/p"")),IMPORTXML(""https://statusinvest.com.br/acoes/""&amp;LOWER(A61),""//div[ @title ='Valor atual do ativo']/strong"")),INDEX(IMPORTHTML(CONCATENATE(""https://www.guiainvest.com.br/raiox/default.aspx?sigla="",A61),""list"",8),2,1)),0)"),0.0)</f>
        <v>0</v>
      </c>
      <c r="C61" s="252">
        <f>IFERROR(__xludf.DUMMYFUNCTION("iferror(INDEX(arrayformula(filter('Operações-BR'!M:M,'Operações-BR'!C:C&lt;&gt;"""",row('Operações-BR'!C:C)=max(if('Operações-BR'!C:C=A61,row('Operações-BR'!C:C),0)))) ,1),0)"),0.0)</f>
        <v>0</v>
      </c>
      <c r="D61" s="251">
        <f t="shared" si="1"/>
        <v>0</v>
      </c>
      <c r="E61" s="251">
        <f>IFERROR(__xludf.DUMMYFUNCTION("iferror(INDEX(arrayformula(filter('Operações-BR'!Q:Q,'Operações-BR'!C:C&lt;&gt;"""",row('Operações-BR'!C:C)=max(if('Operações-BR'!C:C=A61,row('Operações-BR'!C:C),0)))) ,1),0)"),0.0)</f>
        <v>0</v>
      </c>
      <c r="F61" s="251">
        <f t="shared" si="2"/>
        <v>0</v>
      </c>
      <c r="G61" s="251">
        <f>SUMIF(Proventos!$A$2:$A200,A61,Proventos!$H$2:$H200)</f>
        <v>0</v>
      </c>
      <c r="H61" s="251">
        <f t="shared" si="3"/>
        <v>0</v>
      </c>
      <c r="I61" s="253" t="str">
        <f>IFERROR(VLOOKUP(A61,Ativos!$A$1:$G200,5,),)</f>
        <v/>
      </c>
      <c r="J61" s="254" t="str">
        <f>IFERROR(VLOOKUP(A61,Ativos!A:H,8,),"")</f>
        <v/>
      </c>
      <c r="K61" s="251">
        <f>IFERROR(SUMIF('Operações-BR'!C:C,"="&amp;A61,'Operações-BR'!T:T),0)</f>
        <v>0</v>
      </c>
    </row>
    <row r="62">
      <c r="A62" s="255"/>
      <c r="B62" s="251">
        <f>IFERROR(__xludf.DUMMYFUNCTION("IF(A62&lt;&gt;"""",IFERROR(IFERROR(IFERROR(IFERROR(GOOGLEFINANCE(A62),SUBSTITUTE(IMPORTXML(""https://sg.finance.yahoo.com/quote/""&amp;A62&amp;"".SA""&amp;""/history?p=""&amp;A62&amp;"".SA"",""//tbody/tr[1]/td[6]""),""."","","")),IMPORTXML(""https://www.infomoney.com.br/""&amp;A62,""/"&amp;"/div[@class='value']/p"")),IMPORTXML(""https://statusinvest.com.br/acoes/""&amp;LOWER(A62),""//div[ @title ='Valor atual do ativo']/strong"")),INDEX(IMPORTHTML(CONCATENATE(""https://www.guiainvest.com.br/raiox/default.aspx?sigla="",A62),""list"",8),2,1)),0)"),0.0)</f>
        <v>0</v>
      </c>
      <c r="C62" s="252">
        <f>IFERROR(__xludf.DUMMYFUNCTION("iferror(INDEX(arrayformula(filter('Operações-BR'!M:M,'Operações-BR'!C:C&lt;&gt;"""",row('Operações-BR'!C:C)=max(if('Operações-BR'!C:C=A62,row('Operações-BR'!C:C),0)))) ,1),0)"),0.0)</f>
        <v>0</v>
      </c>
      <c r="D62" s="251">
        <f t="shared" si="1"/>
        <v>0</v>
      </c>
      <c r="E62" s="251">
        <f>IFERROR(__xludf.DUMMYFUNCTION("iferror(INDEX(arrayformula(filter('Operações-BR'!Q:Q,'Operações-BR'!C:C&lt;&gt;"""",row('Operações-BR'!C:C)=max(if('Operações-BR'!C:C=A62,row('Operações-BR'!C:C),0)))) ,1),0)"),0.0)</f>
        <v>0</v>
      </c>
      <c r="F62" s="251">
        <f t="shared" si="2"/>
        <v>0</v>
      </c>
      <c r="G62" s="251">
        <f>SUMIF(Proventos!$A$2:$A200,A62,Proventos!$H$2:$H200)</f>
        <v>0</v>
      </c>
      <c r="H62" s="251">
        <f t="shared" si="3"/>
        <v>0</v>
      </c>
      <c r="I62" s="253" t="str">
        <f>IFERROR(VLOOKUP(A62,Ativos!$A$1:$G200,5,),)</f>
        <v/>
      </c>
      <c r="J62" s="254" t="str">
        <f>IFERROR(VLOOKUP(A62,Ativos!A:H,8,),"")</f>
        <v/>
      </c>
      <c r="K62" s="251">
        <f>IFERROR(SUMIF('Operações-BR'!C:C,"="&amp;A62,'Operações-BR'!T:T),0)</f>
        <v>0</v>
      </c>
    </row>
    <row r="63">
      <c r="A63" s="255"/>
      <c r="B63" s="251">
        <f>IFERROR(__xludf.DUMMYFUNCTION("IF(A63&lt;&gt;"""",IFERROR(IFERROR(IFERROR(IFERROR(GOOGLEFINANCE(A63),SUBSTITUTE(IMPORTXML(""https://sg.finance.yahoo.com/quote/""&amp;A63&amp;"".SA""&amp;""/history?p=""&amp;A63&amp;"".SA"",""//tbody/tr[1]/td[6]""),""."","","")),IMPORTXML(""https://www.infomoney.com.br/""&amp;A63,""/"&amp;"/div[@class='value']/p"")),IMPORTXML(""https://statusinvest.com.br/acoes/""&amp;LOWER(A63),""//div[ @title ='Valor atual do ativo']/strong"")),INDEX(IMPORTHTML(CONCATENATE(""https://www.guiainvest.com.br/raiox/default.aspx?sigla="",A63),""list"",8),2,1)),0)"),0.0)</f>
        <v>0</v>
      </c>
      <c r="C63" s="252">
        <f>IFERROR(__xludf.DUMMYFUNCTION("iferror(INDEX(arrayformula(filter('Operações-BR'!M:M,'Operações-BR'!C:C&lt;&gt;"""",row('Operações-BR'!C:C)=max(if('Operações-BR'!C:C=A63,row('Operações-BR'!C:C),0)))) ,1),0)"),0.0)</f>
        <v>0</v>
      </c>
      <c r="D63" s="251">
        <f t="shared" si="1"/>
        <v>0</v>
      </c>
      <c r="E63" s="251">
        <f>IFERROR(__xludf.DUMMYFUNCTION("iferror(INDEX(arrayformula(filter('Operações-BR'!Q:Q,'Operações-BR'!C:C&lt;&gt;"""",row('Operações-BR'!C:C)=max(if('Operações-BR'!C:C=A63,row('Operações-BR'!C:C),0)))) ,1),0)"),0.0)</f>
        <v>0</v>
      </c>
      <c r="F63" s="251">
        <f t="shared" si="2"/>
        <v>0</v>
      </c>
      <c r="G63" s="251">
        <f>SUMIF(Proventos!$A$2:$A200,A63,Proventos!$H$2:$H200)</f>
        <v>0</v>
      </c>
      <c r="H63" s="251">
        <f t="shared" si="3"/>
        <v>0</v>
      </c>
      <c r="I63" s="253" t="str">
        <f>IFERROR(VLOOKUP(A63,Ativos!$A$1:$G200,5,),)</f>
        <v/>
      </c>
      <c r="J63" s="254" t="str">
        <f>IFERROR(VLOOKUP(A63,Ativos!A:H,8,),"")</f>
        <v/>
      </c>
      <c r="K63" s="251">
        <f>IFERROR(SUMIF('Operações-BR'!C:C,"="&amp;A63,'Operações-BR'!T:T),0)</f>
        <v>0</v>
      </c>
    </row>
    <row r="64">
      <c r="A64" s="255"/>
      <c r="B64" s="251">
        <f>IFERROR(__xludf.DUMMYFUNCTION("IF(A64&lt;&gt;"""",IFERROR(IFERROR(IFERROR(IFERROR(GOOGLEFINANCE(A64),SUBSTITUTE(IMPORTXML(""https://sg.finance.yahoo.com/quote/""&amp;A64&amp;"".SA""&amp;""/history?p=""&amp;A64&amp;"".SA"",""//tbody/tr[1]/td[6]""),""."","","")),IMPORTXML(""https://www.infomoney.com.br/""&amp;A64,""/"&amp;"/div[@class='value']/p"")),IMPORTXML(""https://statusinvest.com.br/acoes/""&amp;LOWER(A64),""//div[ @title ='Valor atual do ativo']/strong"")),INDEX(IMPORTHTML(CONCATENATE(""https://www.guiainvest.com.br/raiox/default.aspx?sigla="",A64),""list"",8),2,1)),0)"),0.0)</f>
        <v>0</v>
      </c>
      <c r="C64" s="252">
        <f>IFERROR(__xludf.DUMMYFUNCTION("iferror(INDEX(arrayformula(filter('Operações-BR'!M:M,'Operações-BR'!C:C&lt;&gt;"""",row('Operações-BR'!C:C)=max(if('Operações-BR'!C:C=A64,row('Operações-BR'!C:C),0)))) ,1),0)"),0.0)</f>
        <v>0</v>
      </c>
      <c r="D64" s="251">
        <f t="shared" si="1"/>
        <v>0</v>
      </c>
      <c r="E64" s="251">
        <f>IFERROR(__xludf.DUMMYFUNCTION("iferror(INDEX(arrayformula(filter('Operações-BR'!Q:Q,'Operações-BR'!C:C&lt;&gt;"""",row('Operações-BR'!C:C)=max(if('Operações-BR'!C:C=A64,row('Operações-BR'!C:C),0)))) ,1),0)"),0.0)</f>
        <v>0</v>
      </c>
      <c r="F64" s="251">
        <f t="shared" si="2"/>
        <v>0</v>
      </c>
      <c r="G64" s="251">
        <f>SUMIF(Proventos!$A$2:$A200,A64,Proventos!$H$2:$H200)</f>
        <v>0</v>
      </c>
      <c r="H64" s="251">
        <f t="shared" si="3"/>
        <v>0</v>
      </c>
      <c r="I64" s="253" t="str">
        <f>IFERROR(VLOOKUP(A64,Ativos!$A$1:$G200,5,),)</f>
        <v/>
      </c>
      <c r="J64" s="254" t="str">
        <f>IFERROR(VLOOKUP(A64,Ativos!A:H,8,),"")</f>
        <v/>
      </c>
      <c r="K64" s="251">
        <f>IFERROR(SUMIF('Operações-BR'!C:C,"="&amp;A64,'Operações-BR'!T:T),0)</f>
        <v>0</v>
      </c>
    </row>
    <row r="65">
      <c r="A65" s="255"/>
      <c r="B65" s="251">
        <f>IFERROR(__xludf.DUMMYFUNCTION("IF(A65&lt;&gt;"""",IFERROR(IFERROR(IFERROR(IFERROR(GOOGLEFINANCE(A65),SUBSTITUTE(IMPORTXML(""https://sg.finance.yahoo.com/quote/""&amp;A65&amp;"".SA""&amp;""/history?p=""&amp;A65&amp;"".SA"",""//tbody/tr[1]/td[6]""),""."","","")),IMPORTXML(""https://www.infomoney.com.br/""&amp;A65,""/"&amp;"/div[@class='value']/p"")),IMPORTXML(""https://statusinvest.com.br/acoes/""&amp;LOWER(A65),""//div[ @title ='Valor atual do ativo']/strong"")),INDEX(IMPORTHTML(CONCATENATE(""https://www.guiainvest.com.br/raiox/default.aspx?sigla="",A65),""list"",8),2,1)),0)"),0.0)</f>
        <v>0</v>
      </c>
      <c r="C65" s="252">
        <f>IFERROR(__xludf.DUMMYFUNCTION("iferror(INDEX(arrayformula(filter('Operações-BR'!M:M,'Operações-BR'!C:C&lt;&gt;"""",row('Operações-BR'!C:C)=max(if('Operações-BR'!C:C=A65,row('Operações-BR'!C:C),0)))) ,1),0)"),0.0)</f>
        <v>0</v>
      </c>
      <c r="D65" s="251">
        <f t="shared" si="1"/>
        <v>0</v>
      </c>
      <c r="E65" s="251">
        <f>IFERROR(__xludf.DUMMYFUNCTION("iferror(INDEX(arrayformula(filter('Operações-BR'!Q:Q,'Operações-BR'!C:C&lt;&gt;"""",row('Operações-BR'!C:C)=max(if('Operações-BR'!C:C=A65,row('Operações-BR'!C:C),0)))) ,1),0)"),0.0)</f>
        <v>0</v>
      </c>
      <c r="F65" s="251">
        <f t="shared" si="2"/>
        <v>0</v>
      </c>
      <c r="G65" s="251">
        <f>SUMIF(Proventos!$A$2:$A200,A65,Proventos!$H$2:$H200)</f>
        <v>0</v>
      </c>
      <c r="H65" s="251">
        <f t="shared" si="3"/>
        <v>0</v>
      </c>
      <c r="I65" s="253" t="str">
        <f>IFERROR(VLOOKUP(A65,Ativos!$A$1:$G200,5,),)</f>
        <v/>
      </c>
      <c r="J65" s="254" t="str">
        <f>IFERROR(VLOOKUP(A65,Ativos!A:H,8,),"")</f>
        <v/>
      </c>
      <c r="K65" s="251">
        <f>IFERROR(SUMIF('Operações-BR'!C:C,"="&amp;A65,'Operações-BR'!T:T),0)</f>
        <v>0</v>
      </c>
    </row>
    <row r="66">
      <c r="A66" s="255"/>
      <c r="B66" s="251">
        <f>IFERROR(__xludf.DUMMYFUNCTION("IF(A66&lt;&gt;"""",IFERROR(IFERROR(IFERROR(IFERROR(GOOGLEFINANCE(A66),SUBSTITUTE(IMPORTXML(""https://sg.finance.yahoo.com/quote/""&amp;A66&amp;"".SA""&amp;""/history?p=""&amp;A66&amp;"".SA"",""//tbody/tr[1]/td[6]""),""."","","")),IMPORTXML(""https://www.infomoney.com.br/""&amp;A66,""/"&amp;"/div[@class='value']/p"")),IMPORTXML(""https://statusinvest.com.br/acoes/""&amp;LOWER(A66),""//div[ @title ='Valor atual do ativo']/strong"")),INDEX(IMPORTHTML(CONCATENATE(""https://www.guiainvest.com.br/raiox/default.aspx?sigla="",A66),""list"",8),2,1)),0)"),0.0)</f>
        <v>0</v>
      </c>
      <c r="C66" s="252">
        <f>IFERROR(__xludf.DUMMYFUNCTION("iferror(INDEX(arrayformula(filter('Operações-BR'!M:M,'Operações-BR'!C:C&lt;&gt;"""",row('Operações-BR'!C:C)=max(if('Operações-BR'!C:C=A66,row('Operações-BR'!C:C),0)))) ,1),0)"),0.0)</f>
        <v>0</v>
      </c>
      <c r="D66" s="251">
        <f t="shared" si="1"/>
        <v>0</v>
      </c>
      <c r="E66" s="251">
        <f>IFERROR(__xludf.DUMMYFUNCTION("iferror(INDEX(arrayformula(filter('Operações-BR'!Q:Q,'Operações-BR'!C:C&lt;&gt;"""",row('Operações-BR'!C:C)=max(if('Operações-BR'!C:C=A66,row('Operações-BR'!C:C),0)))) ,1),0)"),0.0)</f>
        <v>0</v>
      </c>
      <c r="F66" s="251">
        <f t="shared" si="2"/>
        <v>0</v>
      </c>
      <c r="G66" s="251">
        <f>SUMIF(Proventos!$A$2:$A200,A66,Proventos!$H$2:$H200)</f>
        <v>0</v>
      </c>
      <c r="H66" s="251">
        <f t="shared" si="3"/>
        <v>0</v>
      </c>
      <c r="I66" s="253" t="str">
        <f>IFERROR(VLOOKUP(A66,Ativos!$A$1:$G200,5,),)</f>
        <v/>
      </c>
      <c r="J66" s="254" t="str">
        <f>IFERROR(VLOOKUP(A66,Ativos!A:H,8,),"")</f>
        <v/>
      </c>
      <c r="K66" s="251">
        <f>IFERROR(SUMIF('Operações-BR'!C:C,"="&amp;A66,'Operações-BR'!T:T),0)</f>
        <v>0</v>
      </c>
    </row>
    <row r="67">
      <c r="A67" s="255"/>
      <c r="B67" s="251">
        <f>IFERROR(__xludf.DUMMYFUNCTION("IF(A67&lt;&gt;"""",IFERROR(IFERROR(IFERROR(IFERROR(GOOGLEFINANCE(A67),SUBSTITUTE(IMPORTXML(""https://sg.finance.yahoo.com/quote/""&amp;A67&amp;"".SA""&amp;""/history?p=""&amp;A67&amp;"".SA"",""//tbody/tr[1]/td[6]""),""."","","")),IMPORTXML(""https://www.infomoney.com.br/""&amp;A67,""/"&amp;"/div[@class='value']/p"")),IMPORTXML(""https://statusinvest.com.br/acoes/""&amp;LOWER(A67),""//div[ @title ='Valor atual do ativo']/strong"")),INDEX(IMPORTHTML(CONCATENATE(""https://www.guiainvest.com.br/raiox/default.aspx?sigla="",A67),""list"",8),2,1)),0)"),0.0)</f>
        <v>0</v>
      </c>
      <c r="C67" s="252">
        <f>IFERROR(__xludf.DUMMYFUNCTION("iferror(INDEX(arrayformula(filter('Operações-BR'!M:M,'Operações-BR'!C:C&lt;&gt;"""",row('Operações-BR'!C:C)=max(if('Operações-BR'!C:C=A67,row('Operações-BR'!C:C),0)))) ,1),0)"),0.0)</f>
        <v>0</v>
      </c>
      <c r="D67" s="251">
        <f t="shared" si="1"/>
        <v>0</v>
      </c>
      <c r="E67" s="251">
        <f>IFERROR(__xludf.DUMMYFUNCTION("iferror(INDEX(arrayformula(filter('Operações-BR'!Q:Q,'Operações-BR'!C:C&lt;&gt;"""",row('Operações-BR'!C:C)=max(if('Operações-BR'!C:C=A67,row('Operações-BR'!C:C),0)))) ,1),0)"),0.0)</f>
        <v>0</v>
      </c>
      <c r="F67" s="251">
        <f t="shared" si="2"/>
        <v>0</v>
      </c>
      <c r="G67" s="251">
        <f>SUMIF(Proventos!$A$2:$A200,A67,Proventos!$H$2:$H200)</f>
        <v>0</v>
      </c>
      <c r="H67" s="251">
        <f t="shared" si="3"/>
        <v>0</v>
      </c>
      <c r="I67" s="253" t="str">
        <f>IFERROR(VLOOKUP(A67,Ativos!$A$1:$G200,5,),)</f>
        <v/>
      </c>
      <c r="J67" s="254" t="str">
        <f>IFERROR(VLOOKUP(A67,Ativos!A:H,8,),"")</f>
        <v/>
      </c>
      <c r="K67" s="251">
        <f>IFERROR(SUMIF('Operações-BR'!C:C,"="&amp;A67,'Operações-BR'!T:T),0)</f>
        <v>0</v>
      </c>
    </row>
    <row r="68">
      <c r="A68" s="255"/>
      <c r="B68" s="251">
        <f>IFERROR(__xludf.DUMMYFUNCTION("IF(A68&lt;&gt;"""",IFERROR(IFERROR(IFERROR(IFERROR(GOOGLEFINANCE(A68),SUBSTITUTE(IMPORTXML(""https://sg.finance.yahoo.com/quote/""&amp;A68&amp;"".SA""&amp;""/history?p=""&amp;A68&amp;"".SA"",""//tbody/tr[1]/td[6]""),""."","","")),IMPORTXML(""https://www.infomoney.com.br/""&amp;A68,""/"&amp;"/div[@class='value']/p"")),IMPORTXML(""https://statusinvest.com.br/acoes/""&amp;LOWER(A68),""//div[ @title ='Valor atual do ativo']/strong"")),INDEX(IMPORTHTML(CONCATENATE(""https://www.guiainvest.com.br/raiox/default.aspx?sigla="",A68),""list"",8),2,1)),0)"),0.0)</f>
        <v>0</v>
      </c>
      <c r="C68" s="252">
        <f>IFERROR(__xludf.DUMMYFUNCTION("iferror(INDEX(arrayformula(filter('Operações-BR'!M:M,'Operações-BR'!C:C&lt;&gt;"""",row('Operações-BR'!C:C)=max(if('Operações-BR'!C:C=A68,row('Operações-BR'!C:C),0)))) ,1),0)"),0.0)</f>
        <v>0</v>
      </c>
      <c r="D68" s="251">
        <f t="shared" si="1"/>
        <v>0</v>
      </c>
      <c r="E68" s="251">
        <f>IFERROR(__xludf.DUMMYFUNCTION("iferror(INDEX(arrayformula(filter('Operações-BR'!Q:Q,'Operações-BR'!C:C&lt;&gt;"""",row('Operações-BR'!C:C)=max(if('Operações-BR'!C:C=A68,row('Operações-BR'!C:C),0)))) ,1),0)"),0.0)</f>
        <v>0</v>
      </c>
      <c r="F68" s="251">
        <f t="shared" si="2"/>
        <v>0</v>
      </c>
      <c r="G68" s="251">
        <f>SUMIF(Proventos!$A$2:$A200,A68,Proventos!$H$2:$H200)</f>
        <v>0</v>
      </c>
      <c r="H68" s="251">
        <f t="shared" si="3"/>
        <v>0</v>
      </c>
      <c r="I68" s="253" t="str">
        <f>IFERROR(VLOOKUP(A68,Ativos!$A$1:$G200,5,),)</f>
        <v/>
      </c>
      <c r="J68" s="254" t="str">
        <f>IFERROR(VLOOKUP(A68,Ativos!A:H,8,),"")</f>
        <v/>
      </c>
      <c r="K68" s="251">
        <f>IFERROR(SUMIF('Operações-BR'!C:C,"="&amp;A68,'Operações-BR'!T:T),0)</f>
        <v>0</v>
      </c>
    </row>
    <row r="69">
      <c r="A69" s="255"/>
      <c r="B69" s="251">
        <f>IFERROR(__xludf.DUMMYFUNCTION("IF(A69&lt;&gt;"""",IFERROR(IFERROR(IFERROR(IFERROR(GOOGLEFINANCE(A69),SUBSTITUTE(IMPORTXML(""https://sg.finance.yahoo.com/quote/""&amp;A69&amp;"".SA""&amp;""/history?p=""&amp;A69&amp;"".SA"",""//tbody/tr[1]/td[6]""),""."","","")),IMPORTXML(""https://www.infomoney.com.br/""&amp;A69,""/"&amp;"/div[@class='value']/p"")),IMPORTXML(""https://statusinvest.com.br/acoes/""&amp;LOWER(A69),""//div[ @title ='Valor atual do ativo']/strong"")),INDEX(IMPORTHTML(CONCATENATE(""https://www.guiainvest.com.br/raiox/default.aspx?sigla="",A69),""list"",8),2,1)),0)"),0.0)</f>
        <v>0</v>
      </c>
      <c r="C69" s="252">
        <f>IFERROR(__xludf.DUMMYFUNCTION("iferror(INDEX(arrayformula(filter('Operações-BR'!M:M,'Operações-BR'!C:C&lt;&gt;"""",row('Operações-BR'!C:C)=max(if('Operações-BR'!C:C=A69,row('Operações-BR'!C:C),0)))) ,1),0)"),0.0)</f>
        <v>0</v>
      </c>
      <c r="D69" s="251">
        <f t="shared" si="1"/>
        <v>0</v>
      </c>
      <c r="E69" s="251">
        <f>IFERROR(__xludf.DUMMYFUNCTION("iferror(INDEX(arrayformula(filter('Operações-BR'!Q:Q,'Operações-BR'!C:C&lt;&gt;"""",row('Operações-BR'!C:C)=max(if('Operações-BR'!C:C=A69,row('Operações-BR'!C:C),0)))) ,1),0)"),0.0)</f>
        <v>0</v>
      </c>
      <c r="F69" s="251">
        <f t="shared" si="2"/>
        <v>0</v>
      </c>
      <c r="G69" s="251">
        <f>SUMIF(Proventos!$A$2:$A200,A69,Proventos!$H$2:$H200)</f>
        <v>0</v>
      </c>
      <c r="H69" s="251">
        <f t="shared" si="3"/>
        <v>0</v>
      </c>
      <c r="I69" s="253" t="str">
        <f>IFERROR(VLOOKUP(A69,Ativos!$A$1:$G200,5,),)</f>
        <v/>
      </c>
      <c r="J69" s="254" t="str">
        <f>IFERROR(VLOOKUP(A69,Ativos!A:H,8,),"")</f>
        <v/>
      </c>
      <c r="K69" s="251">
        <f>IFERROR(SUMIF('Operações-BR'!C:C,"="&amp;A69,'Operações-BR'!T:T),0)</f>
        <v>0</v>
      </c>
    </row>
    <row r="70">
      <c r="A70" s="255"/>
      <c r="B70" s="251">
        <f>IFERROR(__xludf.DUMMYFUNCTION("IF(A70&lt;&gt;"""",IFERROR(IFERROR(IFERROR(IFERROR(GOOGLEFINANCE(A70),SUBSTITUTE(IMPORTXML(""https://sg.finance.yahoo.com/quote/""&amp;A70&amp;"".SA""&amp;""/history?p=""&amp;A70&amp;"".SA"",""//tbody/tr[1]/td[6]""),""."","","")),IMPORTXML(""https://www.infomoney.com.br/""&amp;A70,""/"&amp;"/div[@class='value']/p"")),IMPORTXML(""https://statusinvest.com.br/acoes/""&amp;LOWER(A70),""//div[ @title ='Valor atual do ativo']/strong"")),INDEX(IMPORTHTML(CONCATENATE(""https://www.guiainvest.com.br/raiox/default.aspx?sigla="",A70),""list"",8),2,1)),0)"),0.0)</f>
        <v>0</v>
      </c>
      <c r="C70" s="252">
        <f>IFERROR(__xludf.DUMMYFUNCTION("iferror(INDEX(arrayformula(filter('Operações-BR'!M:M,'Operações-BR'!C:C&lt;&gt;"""",row('Operações-BR'!C:C)=max(if('Operações-BR'!C:C=A70,row('Operações-BR'!C:C),0)))) ,1),0)"),0.0)</f>
        <v>0</v>
      </c>
      <c r="D70" s="251">
        <f t="shared" si="1"/>
        <v>0</v>
      </c>
      <c r="E70" s="251">
        <f>IFERROR(__xludf.DUMMYFUNCTION("iferror(INDEX(arrayformula(filter('Operações-BR'!Q:Q,'Operações-BR'!C:C&lt;&gt;"""",row('Operações-BR'!C:C)=max(if('Operações-BR'!C:C=A70,row('Operações-BR'!C:C),0)))) ,1),0)"),0.0)</f>
        <v>0</v>
      </c>
      <c r="F70" s="251">
        <f t="shared" si="2"/>
        <v>0</v>
      </c>
      <c r="G70" s="251">
        <f>SUMIF(Proventos!$A$2:$A200,A70,Proventos!$H$2:$H200)</f>
        <v>0</v>
      </c>
      <c r="H70" s="251">
        <f t="shared" si="3"/>
        <v>0</v>
      </c>
      <c r="I70" s="253" t="str">
        <f>IFERROR(VLOOKUP(A70,Ativos!$A$1:$G200,5,),)</f>
        <v/>
      </c>
      <c r="J70" s="254" t="str">
        <f>IFERROR(VLOOKUP(A70,Ativos!A:H,8,),"")</f>
        <v/>
      </c>
      <c r="K70" s="251">
        <f>IFERROR(SUMIF('Operações-BR'!C:C,"="&amp;A70,'Operações-BR'!T:T),0)</f>
        <v>0</v>
      </c>
    </row>
    <row r="71">
      <c r="A71" s="255"/>
      <c r="B71" s="251">
        <f>IFERROR(__xludf.DUMMYFUNCTION("IF(A71&lt;&gt;"""",IFERROR(IFERROR(IFERROR(IFERROR(GOOGLEFINANCE(A71),SUBSTITUTE(IMPORTXML(""https://sg.finance.yahoo.com/quote/""&amp;A71&amp;"".SA""&amp;""/history?p=""&amp;A71&amp;"".SA"",""//tbody/tr[1]/td[6]""),""."","","")),IMPORTXML(""https://www.infomoney.com.br/""&amp;A71,""/"&amp;"/div[@class='value']/p"")),IMPORTXML(""https://statusinvest.com.br/acoes/""&amp;LOWER(A71),""//div[ @title ='Valor atual do ativo']/strong"")),INDEX(IMPORTHTML(CONCATENATE(""https://www.guiainvest.com.br/raiox/default.aspx?sigla="",A71),""list"",8),2,1)),0)"),0.0)</f>
        <v>0</v>
      </c>
      <c r="C71" s="252">
        <f>IFERROR(__xludf.DUMMYFUNCTION("iferror(INDEX(arrayformula(filter('Operações-BR'!M:M,'Operações-BR'!C:C&lt;&gt;"""",row('Operações-BR'!C:C)=max(if('Operações-BR'!C:C=A71,row('Operações-BR'!C:C),0)))) ,1),0)"),0.0)</f>
        <v>0</v>
      </c>
      <c r="D71" s="251">
        <f t="shared" si="1"/>
        <v>0</v>
      </c>
      <c r="E71" s="251">
        <f>IFERROR(__xludf.DUMMYFUNCTION("iferror(INDEX(arrayformula(filter('Operações-BR'!Q:Q,'Operações-BR'!C:C&lt;&gt;"""",row('Operações-BR'!C:C)=max(if('Operações-BR'!C:C=A71,row('Operações-BR'!C:C),0)))) ,1),0)"),0.0)</f>
        <v>0</v>
      </c>
      <c r="F71" s="251">
        <f t="shared" si="2"/>
        <v>0</v>
      </c>
      <c r="G71" s="251">
        <f>SUMIF(Proventos!$A$2:$A200,A71,Proventos!$H$2:$H200)</f>
        <v>0</v>
      </c>
      <c r="H71" s="251">
        <f t="shared" si="3"/>
        <v>0</v>
      </c>
      <c r="I71" s="253" t="str">
        <f>IFERROR(VLOOKUP(A71,Ativos!$A$1:$G200,5,),)</f>
        <v/>
      </c>
      <c r="J71" s="254" t="str">
        <f>IFERROR(VLOOKUP(A71,Ativos!A:H,8,),"")</f>
        <v/>
      </c>
      <c r="K71" s="251">
        <f>IFERROR(SUMIF('Operações-BR'!C:C,"="&amp;A71,'Operações-BR'!T:T),0)</f>
        <v>0</v>
      </c>
    </row>
    <row r="72">
      <c r="A72" s="255"/>
      <c r="B72" s="251">
        <f>IFERROR(__xludf.DUMMYFUNCTION("IF(A72&lt;&gt;"""",IFERROR(IFERROR(IFERROR(IFERROR(GOOGLEFINANCE(A72),SUBSTITUTE(IMPORTXML(""https://sg.finance.yahoo.com/quote/""&amp;A72&amp;"".SA""&amp;""/history?p=""&amp;A72&amp;"".SA"",""//tbody/tr[1]/td[6]""),""."","","")),IMPORTXML(""https://www.infomoney.com.br/""&amp;A72,""/"&amp;"/div[@class='value']/p"")),IMPORTXML(""https://statusinvest.com.br/acoes/""&amp;LOWER(A72),""//div[ @title ='Valor atual do ativo']/strong"")),INDEX(IMPORTHTML(CONCATENATE(""https://www.guiainvest.com.br/raiox/default.aspx?sigla="",A72),""list"",8),2,1)),0)"),0.0)</f>
        <v>0</v>
      </c>
      <c r="C72" s="252">
        <f>IFERROR(__xludf.DUMMYFUNCTION("iferror(INDEX(arrayformula(filter('Operações-BR'!M:M,'Operações-BR'!C:C&lt;&gt;"""",row('Operações-BR'!C:C)=max(if('Operações-BR'!C:C=A72,row('Operações-BR'!C:C),0)))) ,1),0)"),0.0)</f>
        <v>0</v>
      </c>
      <c r="D72" s="251">
        <f t="shared" si="1"/>
        <v>0</v>
      </c>
      <c r="E72" s="251">
        <f>IFERROR(__xludf.DUMMYFUNCTION("iferror(INDEX(arrayformula(filter('Operações-BR'!Q:Q,'Operações-BR'!C:C&lt;&gt;"""",row('Operações-BR'!C:C)=max(if('Operações-BR'!C:C=A72,row('Operações-BR'!C:C),0)))) ,1),0)"),0.0)</f>
        <v>0</v>
      </c>
      <c r="F72" s="251">
        <f t="shared" si="2"/>
        <v>0</v>
      </c>
      <c r="G72" s="251">
        <f>SUMIF(Proventos!$A$2:$A200,A72,Proventos!$H$2:$H200)</f>
        <v>0</v>
      </c>
      <c r="H72" s="251">
        <f t="shared" si="3"/>
        <v>0</v>
      </c>
      <c r="I72" s="253" t="str">
        <f>IFERROR(VLOOKUP(A72,Ativos!$A$1:$G200,5,),)</f>
        <v/>
      </c>
      <c r="J72" s="254" t="str">
        <f>IFERROR(VLOOKUP(A72,Ativos!A:H,8,),"")</f>
        <v/>
      </c>
      <c r="K72" s="251">
        <f>IFERROR(SUMIF('Operações-BR'!C:C,"="&amp;A72,'Operações-BR'!T:T),0)</f>
        <v>0</v>
      </c>
    </row>
    <row r="73">
      <c r="A73" s="255"/>
      <c r="B73" s="251">
        <f>IFERROR(__xludf.DUMMYFUNCTION("IF(A73&lt;&gt;"""",IFERROR(IFERROR(IFERROR(IFERROR(GOOGLEFINANCE(A73),SUBSTITUTE(IMPORTXML(""https://sg.finance.yahoo.com/quote/""&amp;A73&amp;"".SA""&amp;""/history?p=""&amp;A73&amp;"".SA"",""//tbody/tr[1]/td[6]""),""."","","")),IMPORTXML(""https://www.infomoney.com.br/""&amp;A73,""/"&amp;"/div[@class='value']/p"")),IMPORTXML(""https://statusinvest.com.br/acoes/""&amp;LOWER(A73),""//div[ @title ='Valor atual do ativo']/strong"")),INDEX(IMPORTHTML(CONCATENATE(""https://www.guiainvest.com.br/raiox/default.aspx?sigla="",A73),""list"",8),2,1)),0)"),0.0)</f>
        <v>0</v>
      </c>
      <c r="C73" s="252">
        <f>IFERROR(__xludf.DUMMYFUNCTION("iferror(INDEX(arrayformula(filter('Operações-BR'!M:M,'Operações-BR'!C:C&lt;&gt;"""",row('Operações-BR'!C:C)=max(if('Operações-BR'!C:C=A73,row('Operações-BR'!C:C),0)))) ,1),0)"),0.0)</f>
        <v>0</v>
      </c>
      <c r="D73" s="251">
        <f t="shared" si="1"/>
        <v>0</v>
      </c>
      <c r="E73" s="251">
        <f>IFERROR(__xludf.DUMMYFUNCTION("iferror(INDEX(arrayformula(filter('Operações-BR'!Q:Q,'Operações-BR'!C:C&lt;&gt;"""",row('Operações-BR'!C:C)=max(if('Operações-BR'!C:C=A73,row('Operações-BR'!C:C),0)))) ,1),0)"),0.0)</f>
        <v>0</v>
      </c>
      <c r="F73" s="251">
        <f t="shared" si="2"/>
        <v>0</v>
      </c>
      <c r="G73" s="251">
        <f>SUMIF(Proventos!$A$2:$A200,A73,Proventos!$H$2:$H200)</f>
        <v>0</v>
      </c>
      <c r="H73" s="251">
        <f t="shared" si="3"/>
        <v>0</v>
      </c>
      <c r="I73" s="253" t="str">
        <f>IFERROR(VLOOKUP(A73,Ativos!$A$1:$G200,5,),)</f>
        <v/>
      </c>
      <c r="J73" s="254" t="str">
        <f>IFERROR(VLOOKUP(A73,Ativos!A:H,8,),"")</f>
        <v/>
      </c>
      <c r="K73" s="251">
        <f>IFERROR(SUMIF('Operações-BR'!C:C,"="&amp;A73,'Operações-BR'!T:T),0)</f>
        <v>0</v>
      </c>
    </row>
    <row r="74">
      <c r="A74" s="255"/>
      <c r="B74" s="251">
        <f>IFERROR(__xludf.DUMMYFUNCTION("IF(A74&lt;&gt;"""",IFERROR(IFERROR(IFERROR(IFERROR(GOOGLEFINANCE(A74),SUBSTITUTE(IMPORTXML(""https://sg.finance.yahoo.com/quote/""&amp;A74&amp;"".SA""&amp;""/history?p=""&amp;A74&amp;"".SA"",""//tbody/tr[1]/td[6]""),""."","","")),IMPORTXML(""https://www.infomoney.com.br/""&amp;A74,""/"&amp;"/div[@class='value']/p"")),IMPORTXML(""https://statusinvest.com.br/acoes/""&amp;LOWER(A74),""//div[ @title ='Valor atual do ativo']/strong"")),INDEX(IMPORTHTML(CONCATENATE(""https://www.guiainvest.com.br/raiox/default.aspx?sigla="",A74),""list"",8),2,1)),0)"),0.0)</f>
        <v>0</v>
      </c>
      <c r="C74" s="252">
        <f>IFERROR(__xludf.DUMMYFUNCTION("iferror(INDEX(arrayformula(filter('Operações-BR'!M:M,'Operações-BR'!C:C&lt;&gt;"""",row('Operações-BR'!C:C)=max(if('Operações-BR'!C:C=A74,row('Operações-BR'!C:C),0)))) ,1),0)"),0.0)</f>
        <v>0</v>
      </c>
      <c r="D74" s="251">
        <f t="shared" si="1"/>
        <v>0</v>
      </c>
      <c r="E74" s="251">
        <f>IFERROR(__xludf.DUMMYFUNCTION("iferror(INDEX(arrayformula(filter('Operações-BR'!Q:Q,'Operações-BR'!C:C&lt;&gt;"""",row('Operações-BR'!C:C)=max(if('Operações-BR'!C:C=A74,row('Operações-BR'!C:C),0)))) ,1),0)"),0.0)</f>
        <v>0</v>
      </c>
      <c r="F74" s="251">
        <f t="shared" si="2"/>
        <v>0</v>
      </c>
      <c r="G74" s="251">
        <f>SUMIF(Proventos!$A$2:$A200,A74,Proventos!$H$2:$H200)</f>
        <v>0</v>
      </c>
      <c r="H74" s="251">
        <f t="shared" si="3"/>
        <v>0</v>
      </c>
      <c r="I74" s="253" t="str">
        <f>IFERROR(VLOOKUP(A74,Ativos!$A$1:$G200,5,),)</f>
        <v/>
      </c>
      <c r="J74" s="254" t="str">
        <f>IFERROR(VLOOKUP(A74,Ativos!A:H,8,),"")</f>
        <v/>
      </c>
      <c r="K74" s="251">
        <f>IFERROR(SUMIF('Operações-BR'!C:C,"="&amp;A74,'Operações-BR'!T:T),0)</f>
        <v>0</v>
      </c>
    </row>
    <row r="75">
      <c r="A75" s="255"/>
      <c r="B75" s="251">
        <f>IFERROR(__xludf.DUMMYFUNCTION("IF(A75&lt;&gt;"""",IFERROR(IFERROR(IFERROR(IFERROR(GOOGLEFINANCE(A75),SUBSTITUTE(IMPORTXML(""https://sg.finance.yahoo.com/quote/""&amp;A75&amp;"".SA""&amp;""/history?p=""&amp;A75&amp;"".SA"",""//tbody/tr[1]/td[6]""),""."","","")),IMPORTXML(""https://www.infomoney.com.br/""&amp;A75,""/"&amp;"/div[@class='value']/p"")),IMPORTXML(""https://statusinvest.com.br/acoes/""&amp;LOWER(A75),""//div[ @title ='Valor atual do ativo']/strong"")),INDEX(IMPORTHTML(CONCATENATE(""https://www.guiainvest.com.br/raiox/default.aspx?sigla="",A75),""list"",8),2,1)),0)"),0.0)</f>
        <v>0</v>
      </c>
      <c r="C75" s="252">
        <f>IFERROR(__xludf.DUMMYFUNCTION("iferror(INDEX(arrayformula(filter('Operações-BR'!M:M,'Operações-BR'!C:C&lt;&gt;"""",row('Operações-BR'!C:C)=max(if('Operações-BR'!C:C=A75,row('Operações-BR'!C:C),0)))) ,1),0)"),0.0)</f>
        <v>0</v>
      </c>
      <c r="D75" s="251">
        <f t="shared" si="1"/>
        <v>0</v>
      </c>
      <c r="E75" s="251">
        <f>IFERROR(__xludf.DUMMYFUNCTION("iferror(INDEX(arrayformula(filter('Operações-BR'!Q:Q,'Operações-BR'!C:C&lt;&gt;"""",row('Operações-BR'!C:C)=max(if('Operações-BR'!C:C=A75,row('Operações-BR'!C:C),0)))) ,1),0)"),0.0)</f>
        <v>0</v>
      </c>
      <c r="F75" s="251">
        <f t="shared" si="2"/>
        <v>0</v>
      </c>
      <c r="G75" s="251">
        <f>SUMIF(Proventos!$A$2:$A200,A75,Proventos!$H$2:$H200)</f>
        <v>0</v>
      </c>
      <c r="H75" s="251">
        <f t="shared" si="3"/>
        <v>0</v>
      </c>
      <c r="I75" s="253" t="str">
        <f>IFERROR(VLOOKUP(A75,Ativos!$A$1:$G200,5,),)</f>
        <v/>
      </c>
      <c r="J75" s="254" t="str">
        <f>IFERROR(VLOOKUP(A75,Ativos!A:H,8,),"")</f>
        <v/>
      </c>
      <c r="K75" s="251">
        <f>IFERROR(SUMIF('Operações-BR'!C:C,"="&amp;A75,'Operações-BR'!T:T),0)</f>
        <v>0</v>
      </c>
    </row>
    <row r="76">
      <c r="A76" s="255"/>
      <c r="B76" s="251">
        <f>IFERROR(__xludf.DUMMYFUNCTION("IF(A76&lt;&gt;"""",IFERROR(IFERROR(IFERROR(IFERROR(GOOGLEFINANCE(A76),SUBSTITUTE(IMPORTXML(""https://sg.finance.yahoo.com/quote/""&amp;A76&amp;"".SA""&amp;""/history?p=""&amp;A76&amp;"".SA"",""//tbody/tr[1]/td[6]""),""."","","")),IMPORTXML(""https://www.infomoney.com.br/""&amp;A76,""/"&amp;"/div[@class='value']/p"")),IMPORTXML(""https://statusinvest.com.br/acoes/""&amp;LOWER(A76),""//div[ @title ='Valor atual do ativo']/strong"")),INDEX(IMPORTHTML(CONCATENATE(""https://www.guiainvest.com.br/raiox/default.aspx?sigla="",A76),""list"",8),2,1)),0)"),0.0)</f>
        <v>0</v>
      </c>
      <c r="C76" s="252">
        <f>IFERROR(__xludf.DUMMYFUNCTION("iferror(INDEX(arrayformula(filter('Operações-BR'!M:M,'Operações-BR'!C:C&lt;&gt;"""",row('Operações-BR'!C:C)=max(if('Operações-BR'!C:C=A76,row('Operações-BR'!C:C),0)))) ,1),0)"),0.0)</f>
        <v>0</v>
      </c>
      <c r="D76" s="251">
        <f t="shared" si="1"/>
        <v>0</v>
      </c>
      <c r="E76" s="251">
        <f>IFERROR(__xludf.DUMMYFUNCTION("iferror(INDEX(arrayformula(filter('Operações-BR'!Q:Q,'Operações-BR'!C:C&lt;&gt;"""",row('Operações-BR'!C:C)=max(if('Operações-BR'!C:C=A76,row('Operações-BR'!C:C),0)))) ,1),0)"),0.0)</f>
        <v>0</v>
      </c>
      <c r="F76" s="251">
        <f t="shared" si="2"/>
        <v>0</v>
      </c>
      <c r="G76" s="251">
        <f>SUMIF(Proventos!$A$2:$A200,A76,Proventos!$H$2:$H200)</f>
        <v>0</v>
      </c>
      <c r="H76" s="251">
        <f t="shared" si="3"/>
        <v>0</v>
      </c>
      <c r="I76" s="253" t="str">
        <f>IFERROR(VLOOKUP(A76,Ativos!$A$1:$G200,5,),)</f>
        <v/>
      </c>
      <c r="J76" s="254" t="str">
        <f>IFERROR(VLOOKUP(A76,Ativos!A:H,8,),"")</f>
        <v/>
      </c>
      <c r="K76" s="251">
        <f>IFERROR(SUMIF('Operações-BR'!C:C,"="&amp;A76,'Operações-BR'!T:T),0)</f>
        <v>0</v>
      </c>
    </row>
    <row r="77">
      <c r="A77" s="255"/>
      <c r="B77" s="251">
        <f>IFERROR(__xludf.DUMMYFUNCTION("IF(A77&lt;&gt;"""",IFERROR(IFERROR(IFERROR(IFERROR(GOOGLEFINANCE(A77),SUBSTITUTE(IMPORTXML(""https://sg.finance.yahoo.com/quote/""&amp;A77&amp;"".SA""&amp;""/history?p=""&amp;A77&amp;"".SA"",""//tbody/tr[1]/td[6]""),""."","","")),IMPORTXML(""https://www.infomoney.com.br/""&amp;A77,""/"&amp;"/div[@class='value']/p"")),IMPORTXML(""https://statusinvest.com.br/acoes/""&amp;LOWER(A77),""//div[ @title ='Valor atual do ativo']/strong"")),INDEX(IMPORTHTML(CONCATENATE(""https://www.guiainvest.com.br/raiox/default.aspx?sigla="",A77),""list"",8),2,1)),0)"),0.0)</f>
        <v>0</v>
      </c>
      <c r="C77" s="252">
        <f>IFERROR(__xludf.DUMMYFUNCTION("iferror(INDEX(arrayformula(filter('Operações-BR'!M:M,'Operações-BR'!C:C&lt;&gt;"""",row('Operações-BR'!C:C)=max(if('Operações-BR'!C:C=A77,row('Operações-BR'!C:C),0)))) ,1),0)"),0.0)</f>
        <v>0</v>
      </c>
      <c r="D77" s="251">
        <f t="shared" si="1"/>
        <v>0</v>
      </c>
      <c r="E77" s="251">
        <f>IFERROR(__xludf.DUMMYFUNCTION("iferror(INDEX(arrayformula(filter('Operações-BR'!Q:Q,'Operações-BR'!C:C&lt;&gt;"""",row('Operações-BR'!C:C)=max(if('Operações-BR'!C:C=A77,row('Operações-BR'!C:C),0)))) ,1),0)"),0.0)</f>
        <v>0</v>
      </c>
      <c r="F77" s="251">
        <f t="shared" si="2"/>
        <v>0</v>
      </c>
      <c r="G77" s="251">
        <f>SUMIF(Proventos!$A$2:$A200,A77,Proventos!$H$2:$H200)</f>
        <v>0</v>
      </c>
      <c r="H77" s="251">
        <f t="shared" si="3"/>
        <v>0</v>
      </c>
      <c r="I77" s="253" t="str">
        <f>IFERROR(VLOOKUP(A77,Ativos!$A$1:$G200,5,),)</f>
        <v/>
      </c>
      <c r="J77" s="254" t="str">
        <f>IFERROR(VLOOKUP(A77,Ativos!A:H,8,),"")</f>
        <v/>
      </c>
      <c r="K77" s="251">
        <f>IFERROR(SUMIF('Operações-BR'!C:C,"="&amp;A77,'Operações-BR'!T:T),0)</f>
        <v>0</v>
      </c>
    </row>
    <row r="78">
      <c r="A78" s="255"/>
      <c r="B78" s="251">
        <f>IFERROR(__xludf.DUMMYFUNCTION("IF(A78&lt;&gt;"""",IFERROR(IFERROR(IFERROR(IFERROR(GOOGLEFINANCE(A78),SUBSTITUTE(IMPORTXML(""https://sg.finance.yahoo.com/quote/""&amp;A78&amp;"".SA""&amp;""/history?p=""&amp;A78&amp;"".SA"",""//tbody/tr[1]/td[6]""),""."","","")),IMPORTXML(""https://www.infomoney.com.br/""&amp;A78,""/"&amp;"/div[@class='value']/p"")),IMPORTXML(""https://statusinvest.com.br/acoes/""&amp;LOWER(A78),""//div[ @title ='Valor atual do ativo']/strong"")),INDEX(IMPORTHTML(CONCATENATE(""https://www.guiainvest.com.br/raiox/default.aspx?sigla="",A78),""list"",8),2,1)),0)"),0.0)</f>
        <v>0</v>
      </c>
      <c r="C78" s="252">
        <f>IFERROR(__xludf.DUMMYFUNCTION("iferror(INDEX(arrayformula(filter('Operações-BR'!M:M,'Operações-BR'!C:C&lt;&gt;"""",row('Operações-BR'!C:C)=max(if('Operações-BR'!C:C=A78,row('Operações-BR'!C:C),0)))) ,1),0)"),0.0)</f>
        <v>0</v>
      </c>
      <c r="D78" s="251">
        <f t="shared" si="1"/>
        <v>0</v>
      </c>
      <c r="E78" s="251">
        <f>IFERROR(__xludf.DUMMYFUNCTION("iferror(INDEX(arrayformula(filter('Operações-BR'!Q:Q,'Operações-BR'!C:C&lt;&gt;"""",row('Operações-BR'!C:C)=max(if('Operações-BR'!C:C=A78,row('Operações-BR'!C:C),0)))) ,1),0)"),0.0)</f>
        <v>0</v>
      </c>
      <c r="F78" s="251">
        <f t="shared" si="2"/>
        <v>0</v>
      </c>
      <c r="G78" s="251">
        <f>SUMIF(Proventos!$A$2:$A200,A78,Proventos!$H$2:$H200)</f>
        <v>0</v>
      </c>
      <c r="H78" s="251">
        <f t="shared" si="3"/>
        <v>0</v>
      </c>
      <c r="I78" s="253" t="str">
        <f>IFERROR(VLOOKUP(A78,Ativos!$A$1:$G200,5,),)</f>
        <v/>
      </c>
      <c r="J78" s="254" t="str">
        <f>IFERROR(VLOOKUP(A78,Ativos!A:H,8,),"")</f>
        <v/>
      </c>
      <c r="K78" s="251">
        <f>IFERROR(SUMIF('Operações-BR'!C:C,"="&amp;A78,'Operações-BR'!T:T),0)</f>
        <v>0</v>
      </c>
    </row>
    <row r="79">
      <c r="A79" s="255"/>
      <c r="B79" s="251">
        <f>IFERROR(__xludf.DUMMYFUNCTION("IF(A79&lt;&gt;"""",IFERROR(IFERROR(IFERROR(IFERROR(GOOGLEFINANCE(A79),SUBSTITUTE(IMPORTXML(""https://sg.finance.yahoo.com/quote/""&amp;A79&amp;"".SA""&amp;""/history?p=""&amp;A79&amp;"".SA"",""//tbody/tr[1]/td[6]""),""."","","")),IMPORTXML(""https://www.infomoney.com.br/""&amp;A79,""/"&amp;"/div[@class='value']/p"")),IMPORTXML(""https://statusinvest.com.br/acoes/""&amp;LOWER(A79),""//div[ @title ='Valor atual do ativo']/strong"")),INDEX(IMPORTHTML(CONCATENATE(""https://www.guiainvest.com.br/raiox/default.aspx?sigla="",A79),""list"",8),2,1)),0)"),0.0)</f>
        <v>0</v>
      </c>
      <c r="C79" s="252">
        <f>IFERROR(__xludf.DUMMYFUNCTION("iferror(INDEX(arrayformula(filter('Operações-BR'!M:M,'Operações-BR'!C:C&lt;&gt;"""",row('Operações-BR'!C:C)=max(if('Operações-BR'!C:C=A79,row('Operações-BR'!C:C),0)))) ,1),0)"),0.0)</f>
        <v>0</v>
      </c>
      <c r="D79" s="251">
        <f t="shared" si="1"/>
        <v>0</v>
      </c>
      <c r="E79" s="251">
        <f>IFERROR(__xludf.DUMMYFUNCTION("iferror(INDEX(arrayformula(filter('Operações-BR'!Q:Q,'Operações-BR'!C:C&lt;&gt;"""",row('Operações-BR'!C:C)=max(if('Operações-BR'!C:C=A79,row('Operações-BR'!C:C),0)))) ,1),0)"),0.0)</f>
        <v>0</v>
      </c>
      <c r="F79" s="251">
        <f t="shared" si="2"/>
        <v>0</v>
      </c>
      <c r="G79" s="251">
        <f>SUMIF(Proventos!$A$2:$A200,A79,Proventos!$H$2:$H200)</f>
        <v>0</v>
      </c>
      <c r="H79" s="251">
        <f t="shared" si="3"/>
        <v>0</v>
      </c>
      <c r="I79" s="253" t="str">
        <f>IFERROR(VLOOKUP(A79,Ativos!$A$1:$G200,5,),)</f>
        <v/>
      </c>
      <c r="J79" s="254" t="str">
        <f>IFERROR(VLOOKUP(A79,Ativos!A:H,8,),"")</f>
        <v/>
      </c>
      <c r="K79" s="251">
        <f>IFERROR(SUMIF('Operações-BR'!C:C,"="&amp;A79,'Operações-BR'!T:T),0)</f>
        <v>0</v>
      </c>
    </row>
    <row r="80">
      <c r="A80" s="255"/>
      <c r="B80" s="251">
        <f>IFERROR(__xludf.DUMMYFUNCTION("IF(A80&lt;&gt;"""",IFERROR(IFERROR(IFERROR(IFERROR(GOOGLEFINANCE(A80),SUBSTITUTE(IMPORTXML(""https://sg.finance.yahoo.com/quote/""&amp;A80&amp;"".SA""&amp;""/history?p=""&amp;A80&amp;"".SA"",""//tbody/tr[1]/td[6]""),""."","","")),IMPORTXML(""https://www.infomoney.com.br/""&amp;A80,""/"&amp;"/div[@class='value']/p"")),IMPORTXML(""https://statusinvest.com.br/acoes/""&amp;LOWER(A80),""//div[ @title ='Valor atual do ativo']/strong"")),INDEX(IMPORTHTML(CONCATENATE(""https://www.guiainvest.com.br/raiox/default.aspx?sigla="",A80),""list"",8),2,1)),0)"),0.0)</f>
        <v>0</v>
      </c>
      <c r="C80" s="252">
        <f>IFERROR(__xludf.DUMMYFUNCTION("iferror(INDEX(arrayformula(filter('Operações-BR'!M:M,'Operações-BR'!C:C&lt;&gt;"""",row('Operações-BR'!C:C)=max(if('Operações-BR'!C:C=A80,row('Operações-BR'!C:C),0)))) ,1),0)"),0.0)</f>
        <v>0</v>
      </c>
      <c r="D80" s="251">
        <f t="shared" si="1"/>
        <v>0</v>
      </c>
      <c r="E80" s="251">
        <f>IFERROR(__xludf.DUMMYFUNCTION("iferror(INDEX(arrayformula(filter('Operações-BR'!Q:Q,'Operações-BR'!C:C&lt;&gt;"""",row('Operações-BR'!C:C)=max(if('Operações-BR'!C:C=A80,row('Operações-BR'!C:C),0)))) ,1),0)"),0.0)</f>
        <v>0</v>
      </c>
      <c r="F80" s="251">
        <f t="shared" si="2"/>
        <v>0</v>
      </c>
      <c r="G80" s="251">
        <f>SUMIF(Proventos!$A$2:$A200,A80,Proventos!$H$2:$H200)</f>
        <v>0</v>
      </c>
      <c r="H80" s="251">
        <f t="shared" si="3"/>
        <v>0</v>
      </c>
      <c r="I80" s="253" t="str">
        <f>IFERROR(VLOOKUP(A80,Ativos!$A$1:$G200,5,),)</f>
        <v/>
      </c>
      <c r="J80" s="254" t="str">
        <f>IFERROR(VLOOKUP(A80,Ativos!A:H,8,),"")</f>
        <v/>
      </c>
      <c r="K80" s="251">
        <f>IFERROR(SUMIF('Operações-BR'!C:C,"="&amp;A80,'Operações-BR'!T:T),0)</f>
        <v>0</v>
      </c>
    </row>
    <row r="81">
      <c r="A81" s="255"/>
      <c r="B81" s="251">
        <f>IFERROR(__xludf.DUMMYFUNCTION("IF(A81&lt;&gt;"""",IFERROR(IFERROR(IFERROR(IFERROR(GOOGLEFINANCE(A81),SUBSTITUTE(IMPORTXML(""https://sg.finance.yahoo.com/quote/""&amp;A81&amp;"".SA""&amp;""/history?p=""&amp;A81&amp;"".SA"",""//tbody/tr[1]/td[6]""),""."","","")),IMPORTXML(""https://www.infomoney.com.br/""&amp;A81,""/"&amp;"/div[@class='value']/p"")),IMPORTXML(""https://statusinvest.com.br/acoes/""&amp;LOWER(A81),""//div[ @title ='Valor atual do ativo']/strong"")),INDEX(IMPORTHTML(CONCATENATE(""https://www.guiainvest.com.br/raiox/default.aspx?sigla="",A81),""list"",8),2,1)),0)"),0.0)</f>
        <v>0</v>
      </c>
      <c r="C81" s="252">
        <f>IFERROR(__xludf.DUMMYFUNCTION("iferror(INDEX(arrayformula(filter('Operações-BR'!M:M,'Operações-BR'!C:C&lt;&gt;"""",row('Operações-BR'!C:C)=max(if('Operações-BR'!C:C=A81,row('Operações-BR'!C:C),0)))) ,1),0)"),0.0)</f>
        <v>0</v>
      </c>
      <c r="D81" s="251">
        <f t="shared" si="1"/>
        <v>0</v>
      </c>
      <c r="E81" s="251">
        <f>IFERROR(__xludf.DUMMYFUNCTION("iferror(INDEX(arrayformula(filter('Operações-BR'!Q:Q,'Operações-BR'!C:C&lt;&gt;"""",row('Operações-BR'!C:C)=max(if('Operações-BR'!C:C=A81,row('Operações-BR'!C:C),0)))) ,1),0)"),0.0)</f>
        <v>0</v>
      </c>
      <c r="F81" s="251">
        <f t="shared" si="2"/>
        <v>0</v>
      </c>
      <c r="G81" s="251">
        <f>SUMIF(Proventos!$A$2:$A200,A81,Proventos!$H$2:$H200)</f>
        <v>0</v>
      </c>
      <c r="H81" s="251">
        <f t="shared" si="3"/>
        <v>0</v>
      </c>
      <c r="I81" s="253" t="str">
        <f>IFERROR(VLOOKUP(A81,Ativos!$A$1:$G200,5,),)</f>
        <v/>
      </c>
      <c r="J81" s="254" t="str">
        <f>IFERROR(VLOOKUP(A81,Ativos!A:H,8,),"")</f>
        <v/>
      </c>
      <c r="K81" s="251">
        <f>IFERROR(SUMIF('Operações-BR'!C:C,"="&amp;A81,'Operações-BR'!T:T),0)</f>
        <v>0</v>
      </c>
    </row>
    <row r="82">
      <c r="A82" s="255"/>
      <c r="B82" s="251">
        <f>IFERROR(__xludf.DUMMYFUNCTION("IF(A82&lt;&gt;"""",IFERROR(IFERROR(IFERROR(IFERROR(GOOGLEFINANCE(A82),SUBSTITUTE(IMPORTXML(""https://sg.finance.yahoo.com/quote/""&amp;A82&amp;"".SA""&amp;""/history?p=""&amp;A82&amp;"".SA"",""//tbody/tr[1]/td[6]""),""."","","")),IMPORTXML(""https://www.infomoney.com.br/""&amp;A82,""/"&amp;"/div[@class='value']/p"")),IMPORTXML(""https://statusinvest.com.br/acoes/""&amp;LOWER(A82),""//div[ @title ='Valor atual do ativo']/strong"")),INDEX(IMPORTHTML(CONCATENATE(""https://www.guiainvest.com.br/raiox/default.aspx?sigla="",A82),""list"",8),2,1)),0)"),0.0)</f>
        <v>0</v>
      </c>
      <c r="C82" s="252">
        <f>IFERROR(__xludf.DUMMYFUNCTION("iferror(INDEX(arrayformula(filter('Operações-BR'!M:M,'Operações-BR'!C:C&lt;&gt;"""",row('Operações-BR'!C:C)=max(if('Operações-BR'!C:C=A82,row('Operações-BR'!C:C),0)))) ,1),0)"),0.0)</f>
        <v>0</v>
      </c>
      <c r="D82" s="251">
        <f t="shared" si="1"/>
        <v>0</v>
      </c>
      <c r="E82" s="251">
        <f>IFERROR(__xludf.DUMMYFUNCTION("iferror(INDEX(arrayformula(filter('Operações-BR'!Q:Q,'Operações-BR'!C:C&lt;&gt;"""",row('Operações-BR'!C:C)=max(if('Operações-BR'!C:C=A82,row('Operações-BR'!C:C),0)))) ,1),0)"),0.0)</f>
        <v>0</v>
      </c>
      <c r="F82" s="251">
        <f t="shared" si="2"/>
        <v>0</v>
      </c>
      <c r="G82" s="251">
        <f>SUMIF(Proventos!$A$2:$A200,A82,Proventos!$H$2:$H200)</f>
        <v>0</v>
      </c>
      <c r="H82" s="251">
        <f t="shared" si="3"/>
        <v>0</v>
      </c>
      <c r="I82" s="253" t="str">
        <f>IFERROR(VLOOKUP(A82,Ativos!$A$1:$G200,5,),)</f>
        <v/>
      </c>
      <c r="J82" s="254" t="str">
        <f>IFERROR(VLOOKUP(A82,Ativos!A:H,8,),"")</f>
        <v/>
      </c>
      <c r="K82" s="251">
        <f>IFERROR(SUMIF('Operações-BR'!C:C,"="&amp;A82,'Operações-BR'!T:T),0)</f>
        <v>0</v>
      </c>
    </row>
    <row r="83">
      <c r="A83" s="255"/>
      <c r="B83" s="251">
        <f>IFERROR(__xludf.DUMMYFUNCTION("IF(A83&lt;&gt;"""",IFERROR(IFERROR(IFERROR(IFERROR(GOOGLEFINANCE(A83),SUBSTITUTE(IMPORTXML(""https://sg.finance.yahoo.com/quote/""&amp;A83&amp;"".SA""&amp;""/history?p=""&amp;A83&amp;"".SA"",""//tbody/tr[1]/td[6]""),""."","","")),IMPORTXML(""https://www.infomoney.com.br/""&amp;A83,""/"&amp;"/div[@class='value']/p"")),IMPORTXML(""https://statusinvest.com.br/acoes/""&amp;LOWER(A83),""//div[ @title ='Valor atual do ativo']/strong"")),INDEX(IMPORTHTML(CONCATENATE(""https://www.guiainvest.com.br/raiox/default.aspx?sigla="",A83),""list"",8),2,1)),0)"),0.0)</f>
        <v>0</v>
      </c>
      <c r="C83" s="252">
        <f>IFERROR(__xludf.DUMMYFUNCTION("iferror(INDEX(arrayformula(filter('Operações-BR'!M:M,'Operações-BR'!C:C&lt;&gt;"""",row('Operações-BR'!C:C)=max(if('Operações-BR'!C:C=A83,row('Operações-BR'!C:C),0)))) ,1),0)"),0.0)</f>
        <v>0</v>
      </c>
      <c r="D83" s="251">
        <f t="shared" si="1"/>
        <v>0</v>
      </c>
      <c r="E83" s="251">
        <f>IFERROR(__xludf.DUMMYFUNCTION("iferror(INDEX(arrayformula(filter('Operações-BR'!Q:Q,'Operações-BR'!C:C&lt;&gt;"""",row('Operações-BR'!C:C)=max(if('Operações-BR'!C:C=A83,row('Operações-BR'!C:C),0)))) ,1),0)"),0.0)</f>
        <v>0</v>
      </c>
      <c r="F83" s="251">
        <f t="shared" si="2"/>
        <v>0</v>
      </c>
      <c r="G83" s="251">
        <f>SUMIF(Proventos!$A$2:$A200,A83,Proventos!$H$2:$H200)</f>
        <v>0</v>
      </c>
      <c r="H83" s="251">
        <f t="shared" si="3"/>
        <v>0</v>
      </c>
      <c r="I83" s="253" t="str">
        <f>IFERROR(VLOOKUP(A83,Ativos!$A$1:$G200,5,),)</f>
        <v/>
      </c>
      <c r="J83" s="254" t="str">
        <f>IFERROR(VLOOKUP(A83,Ativos!A:H,8,),"")</f>
        <v/>
      </c>
      <c r="K83" s="251">
        <f>IFERROR(SUMIF('Operações-BR'!C:C,"="&amp;A83,'Operações-BR'!T:T),0)</f>
        <v>0</v>
      </c>
    </row>
    <row r="84">
      <c r="A84" s="255"/>
      <c r="B84" s="251">
        <f>IFERROR(__xludf.DUMMYFUNCTION("IF(A84&lt;&gt;"""",IFERROR(IFERROR(IFERROR(IFERROR(GOOGLEFINANCE(A84),SUBSTITUTE(IMPORTXML(""https://sg.finance.yahoo.com/quote/""&amp;A84&amp;"".SA""&amp;""/history?p=""&amp;A84&amp;"".SA"",""//tbody/tr[1]/td[6]""),""."","","")),IMPORTXML(""https://www.infomoney.com.br/""&amp;A84,""/"&amp;"/div[@class='value']/p"")),IMPORTXML(""https://statusinvest.com.br/acoes/""&amp;LOWER(A84),""//div[ @title ='Valor atual do ativo']/strong"")),INDEX(IMPORTHTML(CONCATENATE(""https://www.guiainvest.com.br/raiox/default.aspx?sigla="",A84),""list"",8),2,1)),0)"),0.0)</f>
        <v>0</v>
      </c>
      <c r="C84" s="252">
        <f>IFERROR(__xludf.DUMMYFUNCTION("iferror(INDEX(arrayformula(filter('Operações-BR'!M:M,'Operações-BR'!C:C&lt;&gt;"""",row('Operações-BR'!C:C)=max(if('Operações-BR'!C:C=A84,row('Operações-BR'!C:C),0)))) ,1),0)"),0.0)</f>
        <v>0</v>
      </c>
      <c r="D84" s="251">
        <f t="shared" si="1"/>
        <v>0</v>
      </c>
      <c r="E84" s="251">
        <f>IFERROR(__xludf.DUMMYFUNCTION("iferror(INDEX(arrayformula(filter('Operações-BR'!Q:Q,'Operações-BR'!C:C&lt;&gt;"""",row('Operações-BR'!C:C)=max(if('Operações-BR'!C:C=A84,row('Operações-BR'!C:C),0)))) ,1),0)"),0.0)</f>
        <v>0</v>
      </c>
      <c r="F84" s="251">
        <f t="shared" si="2"/>
        <v>0</v>
      </c>
      <c r="G84" s="251">
        <f>SUMIF(Proventos!$A$2:$A200,A84,Proventos!$H$2:$H200)</f>
        <v>0</v>
      </c>
      <c r="H84" s="251">
        <f t="shared" si="3"/>
        <v>0</v>
      </c>
      <c r="I84" s="253" t="str">
        <f>IFERROR(VLOOKUP(A84,Ativos!$A$1:$G200,5,),)</f>
        <v/>
      </c>
      <c r="J84" s="254" t="str">
        <f>IFERROR(VLOOKUP(A84,Ativos!A:H,8,),"")</f>
        <v/>
      </c>
      <c r="K84" s="251">
        <f>IFERROR(SUMIF('Operações-BR'!C:C,"="&amp;A84,'Operações-BR'!T:T),0)</f>
        <v>0</v>
      </c>
    </row>
    <row r="85">
      <c r="A85" s="255"/>
      <c r="B85" s="251">
        <f>IFERROR(__xludf.DUMMYFUNCTION("IF(A85&lt;&gt;"""",IFERROR(IFERROR(IFERROR(IFERROR(GOOGLEFINANCE(A85),SUBSTITUTE(IMPORTXML(""https://sg.finance.yahoo.com/quote/""&amp;A85&amp;"".SA""&amp;""/history?p=""&amp;A85&amp;"".SA"",""//tbody/tr[1]/td[6]""),""."","","")),IMPORTXML(""https://www.infomoney.com.br/""&amp;A85,""/"&amp;"/div[@class='value']/p"")),IMPORTXML(""https://statusinvest.com.br/acoes/""&amp;LOWER(A85),""//div[ @title ='Valor atual do ativo']/strong"")),INDEX(IMPORTHTML(CONCATENATE(""https://www.guiainvest.com.br/raiox/default.aspx?sigla="",A85),""list"",8),2,1)),0)"),0.0)</f>
        <v>0</v>
      </c>
      <c r="C85" s="252">
        <f>IFERROR(__xludf.DUMMYFUNCTION("iferror(INDEX(arrayformula(filter('Operações-BR'!M:M,'Operações-BR'!C:C&lt;&gt;"""",row('Operações-BR'!C:C)=max(if('Operações-BR'!C:C=A85,row('Operações-BR'!C:C),0)))) ,1),0)"),0.0)</f>
        <v>0</v>
      </c>
      <c r="D85" s="251">
        <f t="shared" si="1"/>
        <v>0</v>
      </c>
      <c r="E85" s="251">
        <f>IFERROR(__xludf.DUMMYFUNCTION("iferror(INDEX(arrayformula(filter('Operações-BR'!Q:Q,'Operações-BR'!C:C&lt;&gt;"""",row('Operações-BR'!C:C)=max(if('Operações-BR'!C:C=A85,row('Operações-BR'!C:C),0)))) ,1),0)"),0.0)</f>
        <v>0</v>
      </c>
      <c r="F85" s="251">
        <f t="shared" si="2"/>
        <v>0</v>
      </c>
      <c r="G85" s="251">
        <f>SUMIF(Proventos!$A$2:$A200,A85,Proventos!$H$2:$H200)</f>
        <v>0</v>
      </c>
      <c r="H85" s="251">
        <f t="shared" si="3"/>
        <v>0</v>
      </c>
      <c r="I85" s="253" t="str">
        <f>IFERROR(VLOOKUP(A85,Ativos!$A$1:$G200,5,),)</f>
        <v/>
      </c>
      <c r="J85" s="254" t="str">
        <f>IFERROR(VLOOKUP(A85,Ativos!A:H,8,),"")</f>
        <v/>
      </c>
      <c r="K85" s="251">
        <f>IFERROR(SUMIF('Operações-BR'!C:C,"="&amp;A85,'Operações-BR'!T:T),0)</f>
        <v>0</v>
      </c>
    </row>
    <row r="86">
      <c r="A86" s="255"/>
      <c r="B86" s="251">
        <f>IFERROR(__xludf.DUMMYFUNCTION("IF(A86&lt;&gt;"""",IFERROR(IFERROR(IFERROR(IFERROR(GOOGLEFINANCE(A86),SUBSTITUTE(IMPORTXML(""https://sg.finance.yahoo.com/quote/""&amp;A86&amp;"".SA""&amp;""/history?p=""&amp;A86&amp;"".SA"",""//tbody/tr[1]/td[6]""),""."","","")),IMPORTXML(""https://www.infomoney.com.br/""&amp;A86,""/"&amp;"/div[@class='value']/p"")),IMPORTXML(""https://statusinvest.com.br/acoes/""&amp;LOWER(A86),""//div[ @title ='Valor atual do ativo']/strong"")),INDEX(IMPORTHTML(CONCATENATE(""https://www.guiainvest.com.br/raiox/default.aspx?sigla="",A86),""list"",8),2,1)),0)"),0.0)</f>
        <v>0</v>
      </c>
      <c r="C86" s="252">
        <f>IFERROR(__xludf.DUMMYFUNCTION("iferror(INDEX(arrayformula(filter('Operações-BR'!M:M,'Operações-BR'!C:C&lt;&gt;"""",row('Operações-BR'!C:C)=max(if('Operações-BR'!C:C=A86,row('Operações-BR'!C:C),0)))) ,1),0)"),0.0)</f>
        <v>0</v>
      </c>
      <c r="D86" s="251">
        <f t="shared" si="1"/>
        <v>0</v>
      </c>
      <c r="E86" s="251">
        <f>IFERROR(__xludf.DUMMYFUNCTION("iferror(INDEX(arrayformula(filter('Operações-BR'!Q:Q,'Operações-BR'!C:C&lt;&gt;"""",row('Operações-BR'!C:C)=max(if('Operações-BR'!C:C=A86,row('Operações-BR'!C:C),0)))) ,1),0)"),0.0)</f>
        <v>0</v>
      </c>
      <c r="F86" s="251">
        <f t="shared" si="2"/>
        <v>0</v>
      </c>
      <c r="G86" s="251">
        <f>SUMIF(Proventos!$A$2:$A200,A86,Proventos!$H$2:$H200)</f>
        <v>0</v>
      </c>
      <c r="H86" s="251">
        <f t="shared" si="3"/>
        <v>0</v>
      </c>
      <c r="I86" s="253" t="str">
        <f>IFERROR(VLOOKUP(A86,Ativos!$A$1:$G200,5,),)</f>
        <v/>
      </c>
      <c r="J86" s="254" t="str">
        <f>IFERROR(VLOOKUP(A86,Ativos!A:H,8,),"")</f>
        <v/>
      </c>
      <c r="K86" s="251">
        <f>IFERROR(SUMIF('Operações-BR'!C:C,"="&amp;A86,'Operações-BR'!T:T),0)</f>
        <v>0</v>
      </c>
    </row>
    <row r="87">
      <c r="A87" s="255"/>
      <c r="B87" s="251">
        <f>IFERROR(__xludf.DUMMYFUNCTION("IF(A87&lt;&gt;"""",IFERROR(IFERROR(IFERROR(IFERROR(GOOGLEFINANCE(A87),SUBSTITUTE(IMPORTXML(""https://sg.finance.yahoo.com/quote/""&amp;A87&amp;"".SA""&amp;""/history?p=""&amp;A87&amp;"".SA"",""//tbody/tr[1]/td[6]""),""."","","")),IMPORTXML(""https://www.infomoney.com.br/""&amp;A87,""/"&amp;"/div[@class='value']/p"")),IMPORTXML(""https://statusinvest.com.br/acoes/""&amp;LOWER(A87),""//div[ @title ='Valor atual do ativo']/strong"")),INDEX(IMPORTHTML(CONCATENATE(""https://www.guiainvest.com.br/raiox/default.aspx?sigla="",A87),""list"",8),2,1)),0)"),0.0)</f>
        <v>0</v>
      </c>
      <c r="C87" s="252">
        <f>IFERROR(__xludf.DUMMYFUNCTION("iferror(INDEX(arrayformula(filter('Operações-BR'!M:M,'Operações-BR'!C:C&lt;&gt;"""",row('Operações-BR'!C:C)=max(if('Operações-BR'!C:C=A87,row('Operações-BR'!C:C),0)))) ,1),0)"),0.0)</f>
        <v>0</v>
      </c>
      <c r="D87" s="251">
        <f t="shared" si="1"/>
        <v>0</v>
      </c>
      <c r="E87" s="251">
        <f>IFERROR(__xludf.DUMMYFUNCTION("iferror(INDEX(arrayformula(filter('Operações-BR'!Q:Q,'Operações-BR'!C:C&lt;&gt;"""",row('Operações-BR'!C:C)=max(if('Operações-BR'!C:C=A87,row('Operações-BR'!C:C),0)))) ,1),0)"),0.0)</f>
        <v>0</v>
      </c>
      <c r="F87" s="251">
        <f t="shared" si="2"/>
        <v>0</v>
      </c>
      <c r="G87" s="251">
        <f>SUMIF(Proventos!$A$2:$A200,A87,Proventos!$H$2:$H200)</f>
        <v>0</v>
      </c>
      <c r="H87" s="251">
        <f t="shared" si="3"/>
        <v>0</v>
      </c>
      <c r="I87" s="253" t="str">
        <f>IFERROR(VLOOKUP(A87,Ativos!$A$1:$G200,5,),)</f>
        <v/>
      </c>
      <c r="J87" s="254" t="str">
        <f>IFERROR(VLOOKUP(A87,Ativos!A:H,8,),"")</f>
        <v/>
      </c>
      <c r="K87" s="251">
        <f>IFERROR(SUMIF('Operações-BR'!C:C,"="&amp;A87,'Operações-BR'!T:T),0)</f>
        <v>0</v>
      </c>
    </row>
    <row r="88">
      <c r="A88" s="255"/>
      <c r="B88" s="251">
        <f>IFERROR(__xludf.DUMMYFUNCTION("IF(A88&lt;&gt;"""",IFERROR(IFERROR(IFERROR(IFERROR(GOOGLEFINANCE(A88),SUBSTITUTE(IMPORTXML(""https://sg.finance.yahoo.com/quote/""&amp;A88&amp;"".SA""&amp;""/history?p=""&amp;A88&amp;"".SA"",""//tbody/tr[1]/td[6]""),""."","","")),IMPORTXML(""https://www.infomoney.com.br/""&amp;A88,""/"&amp;"/div[@class='value']/p"")),IMPORTXML(""https://statusinvest.com.br/acoes/""&amp;LOWER(A88),""//div[ @title ='Valor atual do ativo']/strong"")),INDEX(IMPORTHTML(CONCATENATE(""https://www.guiainvest.com.br/raiox/default.aspx?sigla="",A88),""list"",8),2,1)),0)"),0.0)</f>
        <v>0</v>
      </c>
      <c r="C88" s="252">
        <f>IFERROR(__xludf.DUMMYFUNCTION("iferror(INDEX(arrayformula(filter('Operações-BR'!M:M,'Operações-BR'!C:C&lt;&gt;"""",row('Operações-BR'!C:C)=max(if('Operações-BR'!C:C=A88,row('Operações-BR'!C:C),0)))) ,1),0)"),0.0)</f>
        <v>0</v>
      </c>
      <c r="D88" s="251">
        <f t="shared" si="1"/>
        <v>0</v>
      </c>
      <c r="E88" s="251">
        <f>IFERROR(__xludf.DUMMYFUNCTION("iferror(INDEX(arrayformula(filter('Operações-BR'!Q:Q,'Operações-BR'!C:C&lt;&gt;"""",row('Operações-BR'!C:C)=max(if('Operações-BR'!C:C=A88,row('Operações-BR'!C:C),0)))) ,1),0)"),0.0)</f>
        <v>0</v>
      </c>
      <c r="F88" s="251">
        <f t="shared" si="2"/>
        <v>0</v>
      </c>
      <c r="G88" s="251">
        <f>SUMIF(Proventos!$A$2:$A200,A88,Proventos!$H$2:$H200)</f>
        <v>0</v>
      </c>
      <c r="H88" s="251">
        <f t="shared" si="3"/>
        <v>0</v>
      </c>
      <c r="I88" s="253" t="str">
        <f>IFERROR(VLOOKUP(A88,Ativos!$A$1:$G200,5,),)</f>
        <v/>
      </c>
      <c r="J88" s="254" t="str">
        <f>IFERROR(VLOOKUP(A88,Ativos!A:H,8,),"")</f>
        <v/>
      </c>
      <c r="K88" s="251">
        <f>IFERROR(SUMIF('Operações-BR'!C:C,"="&amp;A88,'Operações-BR'!T:T),0)</f>
        <v>0</v>
      </c>
    </row>
    <row r="89">
      <c r="A89" s="255"/>
      <c r="B89" s="251">
        <f>IFERROR(__xludf.DUMMYFUNCTION("IF(A89&lt;&gt;"""",IFERROR(IFERROR(IFERROR(IFERROR(GOOGLEFINANCE(A89),SUBSTITUTE(IMPORTXML(""https://sg.finance.yahoo.com/quote/""&amp;A89&amp;"".SA""&amp;""/history?p=""&amp;A89&amp;"".SA"",""//tbody/tr[1]/td[6]""),""."","","")),IMPORTXML(""https://www.infomoney.com.br/""&amp;A89,""/"&amp;"/div[@class='value']/p"")),IMPORTXML(""https://statusinvest.com.br/acoes/""&amp;LOWER(A89),""//div[ @title ='Valor atual do ativo']/strong"")),INDEX(IMPORTHTML(CONCATENATE(""https://www.guiainvest.com.br/raiox/default.aspx?sigla="",A89),""list"",8),2,1)),0)"),0.0)</f>
        <v>0</v>
      </c>
      <c r="C89" s="252">
        <f>IFERROR(__xludf.DUMMYFUNCTION("iferror(INDEX(arrayformula(filter('Operações-BR'!M:M,'Operações-BR'!C:C&lt;&gt;"""",row('Operações-BR'!C:C)=max(if('Operações-BR'!C:C=A89,row('Operações-BR'!C:C),0)))) ,1),0)"),0.0)</f>
        <v>0</v>
      </c>
      <c r="D89" s="251">
        <f t="shared" si="1"/>
        <v>0</v>
      </c>
      <c r="E89" s="251">
        <f>IFERROR(__xludf.DUMMYFUNCTION("iferror(INDEX(arrayformula(filter('Operações-BR'!Q:Q,'Operações-BR'!C:C&lt;&gt;"""",row('Operações-BR'!C:C)=max(if('Operações-BR'!C:C=A89,row('Operações-BR'!C:C),0)))) ,1),0)"),0.0)</f>
        <v>0</v>
      </c>
      <c r="F89" s="251">
        <f t="shared" si="2"/>
        <v>0</v>
      </c>
      <c r="G89" s="251">
        <f>SUMIF(Proventos!$A$2:$A200,A89,Proventos!$H$2:$H200)</f>
        <v>0</v>
      </c>
      <c r="H89" s="251">
        <f t="shared" si="3"/>
        <v>0</v>
      </c>
      <c r="I89" s="253" t="str">
        <f>IFERROR(VLOOKUP(A89,Ativos!$A$1:$G200,5,),)</f>
        <v/>
      </c>
      <c r="J89" s="254" t="str">
        <f>IFERROR(VLOOKUP(A89,Ativos!A:H,8,),"")</f>
        <v/>
      </c>
      <c r="K89" s="251">
        <f>IFERROR(SUMIF('Operações-BR'!C:C,"="&amp;A89,'Operações-BR'!T:T),0)</f>
        <v>0</v>
      </c>
    </row>
    <row r="90">
      <c r="A90" s="255"/>
      <c r="B90" s="251">
        <f>IFERROR(__xludf.DUMMYFUNCTION("IF(A90&lt;&gt;"""",IFERROR(IFERROR(IFERROR(IFERROR(GOOGLEFINANCE(A90),SUBSTITUTE(IMPORTXML(""https://sg.finance.yahoo.com/quote/""&amp;A90&amp;"".SA""&amp;""/history?p=""&amp;A90&amp;"".SA"",""//tbody/tr[1]/td[6]""),""."","","")),IMPORTXML(""https://www.infomoney.com.br/""&amp;A90,""/"&amp;"/div[@class='value']/p"")),IMPORTXML(""https://statusinvest.com.br/acoes/""&amp;LOWER(A90),""//div[ @title ='Valor atual do ativo']/strong"")),INDEX(IMPORTHTML(CONCATENATE(""https://www.guiainvest.com.br/raiox/default.aspx?sigla="",A90),""list"",8),2,1)),0)"),0.0)</f>
        <v>0</v>
      </c>
      <c r="C90" s="252">
        <f>IFERROR(__xludf.DUMMYFUNCTION("iferror(INDEX(arrayformula(filter('Operações-BR'!M:M,'Operações-BR'!C:C&lt;&gt;"""",row('Operações-BR'!C:C)=max(if('Operações-BR'!C:C=A90,row('Operações-BR'!C:C),0)))) ,1),0)"),0.0)</f>
        <v>0</v>
      </c>
      <c r="D90" s="251">
        <f t="shared" si="1"/>
        <v>0</v>
      </c>
      <c r="E90" s="251">
        <f>IFERROR(__xludf.DUMMYFUNCTION("iferror(INDEX(arrayformula(filter('Operações-BR'!Q:Q,'Operações-BR'!C:C&lt;&gt;"""",row('Operações-BR'!C:C)=max(if('Operações-BR'!C:C=A90,row('Operações-BR'!C:C),0)))) ,1),0)"),0.0)</f>
        <v>0</v>
      </c>
      <c r="F90" s="251">
        <f t="shared" si="2"/>
        <v>0</v>
      </c>
      <c r="G90" s="251">
        <f>SUMIF(Proventos!$A$2:$A200,A90,Proventos!$H$2:$H200)</f>
        <v>0</v>
      </c>
      <c r="H90" s="251">
        <f t="shared" si="3"/>
        <v>0</v>
      </c>
      <c r="I90" s="253" t="str">
        <f>IFERROR(VLOOKUP(A90,Ativos!$A$1:$G200,5,),)</f>
        <v/>
      </c>
      <c r="J90" s="254" t="str">
        <f>IFERROR(VLOOKUP(A90,Ativos!A:H,8,),"")</f>
        <v/>
      </c>
      <c r="K90" s="251">
        <f>IFERROR(SUMIF('Operações-BR'!C:C,"="&amp;A90,'Operações-BR'!T:T),0)</f>
        <v>0</v>
      </c>
    </row>
    <row r="91">
      <c r="A91" s="255"/>
      <c r="B91" s="251">
        <f>IFERROR(__xludf.DUMMYFUNCTION("IF(A91&lt;&gt;"""",IFERROR(IFERROR(IFERROR(IFERROR(GOOGLEFINANCE(A91),SUBSTITUTE(IMPORTXML(""https://sg.finance.yahoo.com/quote/""&amp;A91&amp;"".SA""&amp;""/history?p=""&amp;A91&amp;"".SA"",""//tbody/tr[1]/td[6]""),""."","","")),IMPORTXML(""https://www.infomoney.com.br/""&amp;A91,""/"&amp;"/div[@class='value']/p"")),IMPORTXML(""https://statusinvest.com.br/acoes/""&amp;LOWER(A91),""//div[ @title ='Valor atual do ativo']/strong"")),INDEX(IMPORTHTML(CONCATENATE(""https://www.guiainvest.com.br/raiox/default.aspx?sigla="",A91),""list"",8),2,1)),0)"),0.0)</f>
        <v>0</v>
      </c>
      <c r="C91" s="252">
        <f>IFERROR(__xludf.DUMMYFUNCTION("iferror(INDEX(arrayformula(filter('Operações-BR'!M:M,'Operações-BR'!C:C&lt;&gt;"""",row('Operações-BR'!C:C)=max(if('Operações-BR'!C:C=A91,row('Operações-BR'!C:C),0)))) ,1),0)"),0.0)</f>
        <v>0</v>
      </c>
      <c r="D91" s="251">
        <f t="shared" si="1"/>
        <v>0</v>
      </c>
      <c r="E91" s="251">
        <f>IFERROR(__xludf.DUMMYFUNCTION("iferror(INDEX(arrayformula(filter('Operações-BR'!Q:Q,'Operações-BR'!C:C&lt;&gt;"""",row('Operações-BR'!C:C)=max(if('Operações-BR'!C:C=A91,row('Operações-BR'!C:C),0)))) ,1),0)"),0.0)</f>
        <v>0</v>
      </c>
      <c r="F91" s="251">
        <f t="shared" si="2"/>
        <v>0</v>
      </c>
      <c r="G91" s="251">
        <f>SUMIF(Proventos!$A$2:$A200,A91,Proventos!$H$2:$H200)</f>
        <v>0</v>
      </c>
      <c r="H91" s="251">
        <f t="shared" si="3"/>
        <v>0</v>
      </c>
      <c r="I91" s="253" t="str">
        <f>IFERROR(VLOOKUP(A91,Ativos!$A$1:$G200,5,),)</f>
        <v/>
      </c>
      <c r="J91" s="254" t="str">
        <f>IFERROR(VLOOKUP(A91,Ativos!A:H,8,),"")</f>
        <v/>
      </c>
      <c r="K91" s="251">
        <f>IFERROR(SUMIF('Operações-BR'!C:C,"="&amp;A91,'Operações-BR'!T:T),0)</f>
        <v>0</v>
      </c>
    </row>
    <row r="92">
      <c r="A92" s="255"/>
      <c r="B92" s="251">
        <f>IFERROR(__xludf.DUMMYFUNCTION("IF(A92&lt;&gt;"""",IFERROR(IFERROR(IFERROR(IFERROR(GOOGLEFINANCE(A92),SUBSTITUTE(IMPORTXML(""https://sg.finance.yahoo.com/quote/""&amp;A92&amp;"".SA""&amp;""/history?p=""&amp;A92&amp;"".SA"",""//tbody/tr[1]/td[6]""),""."","","")),IMPORTXML(""https://www.infomoney.com.br/""&amp;A92,""/"&amp;"/div[@class='value']/p"")),IMPORTXML(""https://statusinvest.com.br/acoes/""&amp;LOWER(A92),""//div[ @title ='Valor atual do ativo']/strong"")),INDEX(IMPORTHTML(CONCATENATE(""https://www.guiainvest.com.br/raiox/default.aspx?sigla="",A92),""list"",8),2,1)),0)"),0.0)</f>
        <v>0</v>
      </c>
      <c r="C92" s="252">
        <f>IFERROR(__xludf.DUMMYFUNCTION("iferror(INDEX(arrayformula(filter('Operações-BR'!M:M,'Operações-BR'!C:C&lt;&gt;"""",row('Operações-BR'!C:C)=max(if('Operações-BR'!C:C=A92,row('Operações-BR'!C:C),0)))) ,1),0)"),0.0)</f>
        <v>0</v>
      </c>
      <c r="D92" s="251">
        <f t="shared" si="1"/>
        <v>0</v>
      </c>
      <c r="E92" s="251">
        <f>IFERROR(__xludf.DUMMYFUNCTION("iferror(INDEX(arrayformula(filter('Operações-BR'!Q:Q,'Operações-BR'!C:C&lt;&gt;"""",row('Operações-BR'!C:C)=max(if('Operações-BR'!C:C=A92,row('Operações-BR'!C:C),0)))) ,1),0)"),0.0)</f>
        <v>0</v>
      </c>
      <c r="F92" s="251">
        <f t="shared" si="2"/>
        <v>0</v>
      </c>
      <c r="G92" s="251">
        <f>SUMIF(Proventos!$A$2:$A200,A92,Proventos!$H$2:$H200)</f>
        <v>0</v>
      </c>
      <c r="H92" s="251">
        <f t="shared" si="3"/>
        <v>0</v>
      </c>
      <c r="I92" s="253" t="str">
        <f>IFERROR(VLOOKUP(A92,Ativos!$A$1:$G200,5,),)</f>
        <v/>
      </c>
      <c r="J92" s="254" t="str">
        <f>IFERROR(VLOOKUP(A92,Ativos!A:H,8,),"")</f>
        <v/>
      </c>
      <c r="K92" s="251">
        <f>IFERROR(SUMIF('Operações-BR'!C:C,"="&amp;A92,'Operações-BR'!T:T),0)</f>
        <v>0</v>
      </c>
    </row>
    <row r="93">
      <c r="A93" s="255"/>
      <c r="B93" s="251">
        <f>IFERROR(__xludf.DUMMYFUNCTION("IF(A93&lt;&gt;"""",IFERROR(IFERROR(IFERROR(IFERROR(GOOGLEFINANCE(A93),SUBSTITUTE(IMPORTXML(""https://sg.finance.yahoo.com/quote/""&amp;A93&amp;"".SA""&amp;""/history?p=""&amp;A93&amp;"".SA"",""//tbody/tr[1]/td[6]""),""."","","")),IMPORTXML(""https://www.infomoney.com.br/""&amp;A93,""/"&amp;"/div[@class='value']/p"")),IMPORTXML(""https://statusinvest.com.br/acoes/""&amp;LOWER(A93),""//div[ @title ='Valor atual do ativo']/strong"")),INDEX(IMPORTHTML(CONCATENATE(""https://www.guiainvest.com.br/raiox/default.aspx?sigla="",A93),""list"",8),2,1)),0)"),0.0)</f>
        <v>0</v>
      </c>
      <c r="C93" s="252">
        <f>IFERROR(__xludf.DUMMYFUNCTION("iferror(INDEX(arrayformula(filter('Operações-BR'!M:M,'Operações-BR'!C:C&lt;&gt;"""",row('Operações-BR'!C:C)=max(if('Operações-BR'!C:C=A93,row('Operações-BR'!C:C),0)))) ,1),0)"),0.0)</f>
        <v>0</v>
      </c>
      <c r="D93" s="251">
        <f t="shared" si="1"/>
        <v>0</v>
      </c>
      <c r="E93" s="251">
        <f>IFERROR(__xludf.DUMMYFUNCTION("iferror(INDEX(arrayformula(filter('Operações-BR'!Q:Q,'Operações-BR'!C:C&lt;&gt;"""",row('Operações-BR'!C:C)=max(if('Operações-BR'!C:C=A93,row('Operações-BR'!C:C),0)))) ,1),0)"),0.0)</f>
        <v>0</v>
      </c>
      <c r="F93" s="251">
        <f t="shared" si="2"/>
        <v>0</v>
      </c>
      <c r="G93" s="251">
        <f>SUMIF(Proventos!$A$2:$A200,A93,Proventos!$H$2:$H200)</f>
        <v>0</v>
      </c>
      <c r="H93" s="251">
        <f t="shared" si="3"/>
        <v>0</v>
      </c>
      <c r="I93" s="253" t="str">
        <f>IFERROR(VLOOKUP(A93,Ativos!$A$1:$G200,5,),)</f>
        <v/>
      </c>
      <c r="J93" s="254" t="str">
        <f>IFERROR(VLOOKUP(A93,Ativos!A:H,8,),"")</f>
        <v/>
      </c>
      <c r="K93" s="251">
        <f>IFERROR(SUMIF('Operações-BR'!C:C,"="&amp;A93,'Operações-BR'!T:T),0)</f>
        <v>0</v>
      </c>
    </row>
    <row r="94">
      <c r="A94" s="255"/>
      <c r="B94" s="251">
        <f>IFERROR(__xludf.DUMMYFUNCTION("IF(A94&lt;&gt;"""",IFERROR(IFERROR(IFERROR(IFERROR(GOOGLEFINANCE(A94),SUBSTITUTE(IMPORTXML(""https://sg.finance.yahoo.com/quote/""&amp;A94&amp;"".SA""&amp;""/history?p=""&amp;A94&amp;"".SA"",""//tbody/tr[1]/td[6]""),""."","","")),IMPORTXML(""https://www.infomoney.com.br/""&amp;A94,""/"&amp;"/div[@class='value']/p"")),IMPORTXML(""https://statusinvest.com.br/acoes/""&amp;LOWER(A94),""//div[ @title ='Valor atual do ativo']/strong"")),INDEX(IMPORTHTML(CONCATENATE(""https://www.guiainvest.com.br/raiox/default.aspx?sigla="",A94),""list"",8),2,1)),0)"),0.0)</f>
        <v>0</v>
      </c>
      <c r="C94" s="252">
        <f>IFERROR(__xludf.DUMMYFUNCTION("iferror(INDEX(arrayformula(filter('Operações-BR'!M:M,'Operações-BR'!C:C&lt;&gt;"""",row('Operações-BR'!C:C)=max(if('Operações-BR'!C:C=A94,row('Operações-BR'!C:C),0)))) ,1),0)"),0.0)</f>
        <v>0</v>
      </c>
      <c r="D94" s="251">
        <f t="shared" si="1"/>
        <v>0</v>
      </c>
      <c r="E94" s="251">
        <f>IFERROR(__xludf.DUMMYFUNCTION("iferror(INDEX(arrayformula(filter('Operações-BR'!Q:Q,'Operações-BR'!C:C&lt;&gt;"""",row('Operações-BR'!C:C)=max(if('Operações-BR'!C:C=A94,row('Operações-BR'!C:C),0)))) ,1),0)"),0.0)</f>
        <v>0</v>
      </c>
      <c r="F94" s="251">
        <f t="shared" si="2"/>
        <v>0</v>
      </c>
      <c r="G94" s="251">
        <f>SUMIF(Proventos!$A$2:$A200,A94,Proventos!$H$2:$H200)</f>
        <v>0</v>
      </c>
      <c r="H94" s="251">
        <f t="shared" si="3"/>
        <v>0</v>
      </c>
      <c r="I94" s="253" t="str">
        <f>IFERROR(VLOOKUP(A94,Ativos!$A$1:$G200,5,),)</f>
        <v/>
      </c>
      <c r="J94" s="254" t="str">
        <f>IFERROR(VLOOKUP(A94,Ativos!A:H,8,),"")</f>
        <v/>
      </c>
      <c r="K94" s="251">
        <f>IFERROR(SUMIF('Operações-BR'!C:C,"="&amp;A94,'Operações-BR'!T:T),0)</f>
        <v>0</v>
      </c>
    </row>
    <row r="95">
      <c r="A95" s="255"/>
      <c r="B95" s="251">
        <f>IFERROR(__xludf.DUMMYFUNCTION("IF(A95&lt;&gt;"""",IFERROR(IFERROR(IFERROR(IFERROR(GOOGLEFINANCE(A95),SUBSTITUTE(IMPORTXML(""https://sg.finance.yahoo.com/quote/""&amp;A95&amp;"".SA""&amp;""/history?p=""&amp;A95&amp;"".SA"",""//tbody/tr[1]/td[6]""),""."","","")),IMPORTXML(""https://www.infomoney.com.br/""&amp;A95,""/"&amp;"/div[@class='value']/p"")),IMPORTXML(""https://statusinvest.com.br/acoes/""&amp;LOWER(A95),""//div[ @title ='Valor atual do ativo']/strong"")),INDEX(IMPORTHTML(CONCATENATE(""https://www.guiainvest.com.br/raiox/default.aspx?sigla="",A95),""list"",8),2,1)),0)"),0.0)</f>
        <v>0</v>
      </c>
      <c r="C95" s="252">
        <f>IFERROR(__xludf.DUMMYFUNCTION("iferror(INDEX(arrayformula(filter('Operações-BR'!M:M,'Operações-BR'!C:C&lt;&gt;"""",row('Operações-BR'!C:C)=max(if('Operações-BR'!C:C=A95,row('Operações-BR'!C:C),0)))) ,1),0)"),0.0)</f>
        <v>0</v>
      </c>
      <c r="D95" s="251">
        <f t="shared" si="1"/>
        <v>0</v>
      </c>
      <c r="E95" s="251">
        <f>IFERROR(__xludf.DUMMYFUNCTION("iferror(INDEX(arrayformula(filter('Operações-BR'!Q:Q,'Operações-BR'!C:C&lt;&gt;"""",row('Operações-BR'!C:C)=max(if('Operações-BR'!C:C=A95,row('Operações-BR'!C:C),0)))) ,1),0)"),0.0)</f>
        <v>0</v>
      </c>
      <c r="F95" s="251">
        <f t="shared" si="2"/>
        <v>0</v>
      </c>
      <c r="G95" s="251">
        <f>SUMIF(Proventos!$A$2:$A200,A95,Proventos!$H$2:$H200)</f>
        <v>0</v>
      </c>
      <c r="H95" s="251">
        <f t="shared" si="3"/>
        <v>0</v>
      </c>
      <c r="I95" s="253" t="str">
        <f>IFERROR(VLOOKUP(A95,Ativos!$A$1:$G200,5,),)</f>
        <v/>
      </c>
      <c r="J95" s="254" t="str">
        <f>IFERROR(VLOOKUP(A95,Ativos!A:H,8,),"")</f>
        <v/>
      </c>
      <c r="K95" s="251">
        <f>IFERROR(SUMIF('Operações-BR'!C:C,"="&amp;A95,'Operações-BR'!T:T),0)</f>
        <v>0</v>
      </c>
    </row>
    <row r="96">
      <c r="A96" s="255"/>
      <c r="B96" s="251">
        <f>IFERROR(__xludf.DUMMYFUNCTION("IF(A96&lt;&gt;"""",IFERROR(IFERROR(IFERROR(IFERROR(GOOGLEFINANCE(A96),SUBSTITUTE(IMPORTXML(""https://sg.finance.yahoo.com/quote/""&amp;A96&amp;"".SA""&amp;""/history?p=""&amp;A96&amp;"".SA"",""//tbody/tr[1]/td[6]""),""."","","")),IMPORTXML(""https://www.infomoney.com.br/""&amp;A96,""/"&amp;"/div[@class='value']/p"")),IMPORTXML(""https://statusinvest.com.br/acoes/""&amp;LOWER(A96),""//div[ @title ='Valor atual do ativo']/strong"")),INDEX(IMPORTHTML(CONCATENATE(""https://www.guiainvest.com.br/raiox/default.aspx?sigla="",A96),""list"",8),2,1)),0)"),0.0)</f>
        <v>0</v>
      </c>
      <c r="C96" s="252">
        <f>IFERROR(__xludf.DUMMYFUNCTION("iferror(INDEX(arrayformula(filter('Operações-BR'!M:M,'Operações-BR'!C:C&lt;&gt;"""",row('Operações-BR'!C:C)=max(if('Operações-BR'!C:C=A96,row('Operações-BR'!C:C),0)))) ,1),0)"),0.0)</f>
        <v>0</v>
      </c>
      <c r="D96" s="251">
        <f t="shared" si="1"/>
        <v>0</v>
      </c>
      <c r="E96" s="251">
        <f>IFERROR(__xludf.DUMMYFUNCTION("iferror(INDEX(arrayformula(filter('Operações-BR'!Q:Q,'Operações-BR'!C:C&lt;&gt;"""",row('Operações-BR'!C:C)=max(if('Operações-BR'!C:C=A96,row('Operações-BR'!C:C),0)))) ,1),0)"),0.0)</f>
        <v>0</v>
      </c>
      <c r="F96" s="251">
        <f t="shared" si="2"/>
        <v>0</v>
      </c>
      <c r="G96" s="251">
        <f>SUMIF(Proventos!$A$2:$A200,A96,Proventos!$H$2:$H200)</f>
        <v>0</v>
      </c>
      <c r="H96" s="251">
        <f t="shared" si="3"/>
        <v>0</v>
      </c>
      <c r="I96" s="253" t="str">
        <f>IFERROR(VLOOKUP(A96,Ativos!$A$1:$G200,5,),)</f>
        <v/>
      </c>
      <c r="J96" s="254" t="str">
        <f>IFERROR(VLOOKUP(A96,Ativos!A:H,8,),"")</f>
        <v/>
      </c>
      <c r="K96" s="251">
        <f>IFERROR(SUMIF('Operações-BR'!C:C,"="&amp;A96,'Operações-BR'!T:T),0)</f>
        <v>0</v>
      </c>
    </row>
    <row r="97">
      <c r="A97" s="255"/>
      <c r="B97" s="251">
        <f>IFERROR(__xludf.DUMMYFUNCTION("IF(A97&lt;&gt;"""",IFERROR(IFERROR(IFERROR(IFERROR(GOOGLEFINANCE(A97),SUBSTITUTE(IMPORTXML(""https://sg.finance.yahoo.com/quote/""&amp;A97&amp;"".SA""&amp;""/history?p=""&amp;A97&amp;"".SA"",""//tbody/tr[1]/td[6]""),""."","","")),IMPORTXML(""https://www.infomoney.com.br/""&amp;A97,""/"&amp;"/div[@class='value']/p"")),IMPORTXML(""https://statusinvest.com.br/acoes/""&amp;LOWER(A97),""//div[ @title ='Valor atual do ativo']/strong"")),INDEX(IMPORTHTML(CONCATENATE(""https://www.guiainvest.com.br/raiox/default.aspx?sigla="",A97),""list"",8),2,1)),0)"),0.0)</f>
        <v>0</v>
      </c>
      <c r="C97" s="252">
        <f>IFERROR(__xludf.DUMMYFUNCTION("iferror(INDEX(arrayformula(filter('Operações-BR'!M:M,'Operações-BR'!C:C&lt;&gt;"""",row('Operações-BR'!C:C)=max(if('Operações-BR'!C:C=A97,row('Operações-BR'!C:C),0)))) ,1),0)"),0.0)</f>
        <v>0</v>
      </c>
      <c r="D97" s="251">
        <f t="shared" si="1"/>
        <v>0</v>
      </c>
      <c r="E97" s="251">
        <f>IFERROR(__xludf.DUMMYFUNCTION("iferror(INDEX(arrayformula(filter('Operações-BR'!Q:Q,'Operações-BR'!C:C&lt;&gt;"""",row('Operações-BR'!C:C)=max(if('Operações-BR'!C:C=A97,row('Operações-BR'!C:C),0)))) ,1),0)"),0.0)</f>
        <v>0</v>
      </c>
      <c r="F97" s="251">
        <f t="shared" si="2"/>
        <v>0</v>
      </c>
      <c r="G97" s="251">
        <f>SUMIF(Proventos!$A$2:$A200,A97,Proventos!$H$2:$H200)</f>
        <v>0</v>
      </c>
      <c r="H97" s="251">
        <f t="shared" si="3"/>
        <v>0</v>
      </c>
      <c r="I97" s="253" t="str">
        <f>IFERROR(VLOOKUP(A97,Ativos!$A$1:$G200,5,),)</f>
        <v/>
      </c>
      <c r="J97" s="254" t="str">
        <f>IFERROR(VLOOKUP(A97,Ativos!A:H,8,),"")</f>
        <v/>
      </c>
      <c r="K97" s="251">
        <f>IFERROR(SUMIF('Operações-BR'!C:C,"="&amp;A97,'Operações-BR'!T:T),0)</f>
        <v>0</v>
      </c>
    </row>
    <row r="98">
      <c r="A98" s="255"/>
      <c r="B98" s="251">
        <f>IFERROR(__xludf.DUMMYFUNCTION("IF(A98&lt;&gt;"""",IFERROR(IFERROR(IFERROR(IFERROR(GOOGLEFINANCE(A98),SUBSTITUTE(IMPORTXML(""https://sg.finance.yahoo.com/quote/""&amp;A98&amp;"".SA""&amp;""/history?p=""&amp;A98&amp;"".SA"",""//tbody/tr[1]/td[6]""),""."","","")),IMPORTXML(""https://www.infomoney.com.br/""&amp;A98,""/"&amp;"/div[@class='value']/p"")),IMPORTXML(""https://statusinvest.com.br/acoes/""&amp;LOWER(A98),""//div[ @title ='Valor atual do ativo']/strong"")),INDEX(IMPORTHTML(CONCATENATE(""https://www.guiainvest.com.br/raiox/default.aspx?sigla="",A98),""list"",8),2,1)),0)"),0.0)</f>
        <v>0</v>
      </c>
      <c r="C98" s="252">
        <f>IFERROR(__xludf.DUMMYFUNCTION("iferror(INDEX(arrayformula(filter('Operações-BR'!M:M,'Operações-BR'!C:C&lt;&gt;"""",row('Operações-BR'!C:C)=max(if('Operações-BR'!C:C=A98,row('Operações-BR'!C:C),0)))) ,1),0)"),0.0)</f>
        <v>0</v>
      </c>
      <c r="D98" s="251">
        <f t="shared" si="1"/>
        <v>0</v>
      </c>
      <c r="E98" s="251">
        <f>IFERROR(__xludf.DUMMYFUNCTION("iferror(INDEX(arrayformula(filter('Operações-BR'!Q:Q,'Operações-BR'!C:C&lt;&gt;"""",row('Operações-BR'!C:C)=max(if('Operações-BR'!C:C=A98,row('Operações-BR'!C:C),0)))) ,1),0)"),0.0)</f>
        <v>0</v>
      </c>
      <c r="F98" s="251">
        <f t="shared" si="2"/>
        <v>0</v>
      </c>
      <c r="G98" s="251">
        <f>SUMIF(Proventos!$A$2:$A200,A98,Proventos!$H$2:$H200)</f>
        <v>0</v>
      </c>
      <c r="H98" s="251">
        <f t="shared" si="3"/>
        <v>0</v>
      </c>
      <c r="I98" s="253" t="str">
        <f>IFERROR(VLOOKUP(A98,Ativos!$A$1:$G200,5,),)</f>
        <v/>
      </c>
      <c r="J98" s="254" t="str">
        <f>IFERROR(VLOOKUP(A98,Ativos!A:H,8,),"")</f>
        <v/>
      </c>
      <c r="K98" s="251">
        <f>IFERROR(SUMIF('Operações-BR'!C:C,"="&amp;A98,'Operações-BR'!T:T),0)</f>
        <v>0</v>
      </c>
    </row>
    <row r="99">
      <c r="A99" s="255"/>
      <c r="B99" s="251">
        <f>IFERROR(__xludf.DUMMYFUNCTION("IF(A99&lt;&gt;"""",IFERROR(IFERROR(IFERROR(IFERROR(GOOGLEFINANCE(A99),SUBSTITUTE(IMPORTXML(""https://sg.finance.yahoo.com/quote/""&amp;A99&amp;"".SA""&amp;""/history?p=""&amp;A99&amp;"".SA"",""//tbody/tr[1]/td[6]""),""."","","")),IMPORTXML(""https://www.infomoney.com.br/""&amp;A99,""/"&amp;"/div[@class='value']/p"")),IMPORTXML(""https://statusinvest.com.br/acoes/""&amp;LOWER(A99),""//div[ @title ='Valor atual do ativo']/strong"")),INDEX(IMPORTHTML(CONCATENATE(""https://www.guiainvest.com.br/raiox/default.aspx?sigla="",A99),""list"",8),2,1)),0)"),0.0)</f>
        <v>0</v>
      </c>
      <c r="C99" s="252">
        <f>IFERROR(__xludf.DUMMYFUNCTION("iferror(INDEX(arrayformula(filter('Operações-BR'!M:M,'Operações-BR'!C:C&lt;&gt;"""",row('Operações-BR'!C:C)=max(if('Operações-BR'!C:C=A99,row('Operações-BR'!C:C),0)))) ,1),0)"),0.0)</f>
        <v>0</v>
      </c>
      <c r="D99" s="251">
        <f t="shared" si="1"/>
        <v>0</v>
      </c>
      <c r="E99" s="251">
        <f>IFERROR(__xludf.DUMMYFUNCTION("iferror(INDEX(arrayformula(filter('Operações-BR'!Q:Q,'Operações-BR'!C:C&lt;&gt;"""",row('Operações-BR'!C:C)=max(if('Operações-BR'!C:C=A99,row('Operações-BR'!C:C),0)))) ,1),0)"),0.0)</f>
        <v>0</v>
      </c>
      <c r="F99" s="251">
        <f t="shared" si="2"/>
        <v>0</v>
      </c>
      <c r="G99" s="251">
        <f>SUMIF(Proventos!$A$2:$A200,A99,Proventos!$H$2:$H200)</f>
        <v>0</v>
      </c>
      <c r="H99" s="251">
        <f t="shared" si="3"/>
        <v>0</v>
      </c>
      <c r="I99" s="253" t="str">
        <f>IFERROR(VLOOKUP(A99,Ativos!$A$1:$G200,5,),)</f>
        <v/>
      </c>
      <c r="J99" s="254" t="str">
        <f>IFERROR(VLOOKUP(A99,Ativos!A:H,8,),"")</f>
        <v/>
      </c>
      <c r="K99" s="251">
        <f>IFERROR(SUMIF('Operações-BR'!C:C,"="&amp;A99,'Operações-BR'!T:T),0)</f>
        <v>0</v>
      </c>
    </row>
    <row r="100">
      <c r="A100" s="255"/>
      <c r="B100" s="251">
        <f>IFERROR(__xludf.DUMMYFUNCTION("IF(A100&lt;&gt;"""",IFERROR(IFERROR(IFERROR(IFERROR(GOOGLEFINANCE(A100),SUBSTITUTE(IMPORTXML(""https://sg.finance.yahoo.com/quote/""&amp;A100&amp;"".SA""&amp;""/history?p=""&amp;A100&amp;"".SA"",""//tbody/tr[1]/td[6]""),""."","","")),IMPORTXML(""https://www.infomoney.com.br/""&amp;A10"&amp;"0,""//div[@class='value']/p"")),IMPORTXML(""https://statusinvest.com.br/acoes/""&amp;LOWER(A100),""//div[ @title ='Valor atual do ativo']/strong"")),INDEX(IMPORTHTML(CONCATENATE(""https://www.guiainvest.com.br/raiox/default.aspx?sigla="",A100),""list"",8),2,1"&amp;")),0)"),0.0)</f>
        <v>0</v>
      </c>
      <c r="C100" s="252">
        <f>IFERROR(__xludf.DUMMYFUNCTION("iferror(INDEX(arrayformula(filter('Operações-BR'!M:M,'Operações-BR'!C:C&lt;&gt;"""",row('Operações-BR'!C:C)=max(if('Operações-BR'!C:C=A100,row('Operações-BR'!C:C),0)))) ,1),0)"),0.0)</f>
        <v>0</v>
      </c>
      <c r="D100" s="251">
        <f t="shared" si="1"/>
        <v>0</v>
      </c>
      <c r="E100" s="251">
        <f>IFERROR(__xludf.DUMMYFUNCTION("iferror(INDEX(arrayformula(filter('Operações-BR'!Q:Q,'Operações-BR'!C:C&lt;&gt;"""",row('Operações-BR'!C:C)=max(if('Operações-BR'!C:C=A100,row('Operações-BR'!C:C),0)))) ,1),0)"),0.0)</f>
        <v>0</v>
      </c>
      <c r="F100" s="251">
        <f t="shared" si="2"/>
        <v>0</v>
      </c>
      <c r="G100" s="251">
        <f>SUMIF(Proventos!$A$2:$A200,A100,Proventos!$H$2:$H200)</f>
        <v>0</v>
      </c>
      <c r="H100" s="251">
        <f t="shared" si="3"/>
        <v>0</v>
      </c>
      <c r="I100" s="253" t="str">
        <f>IFERROR(VLOOKUP(A100,Ativos!$A$1:$G200,5,),)</f>
        <v/>
      </c>
      <c r="J100" s="254" t="str">
        <f>IFERROR(VLOOKUP(A100,Ativos!A:H,8,),"")</f>
        <v/>
      </c>
      <c r="K100" s="251">
        <f>IFERROR(SUMIF('Operações-BR'!C:C,"="&amp;A100,'Operações-BR'!T:T),0)</f>
        <v>0</v>
      </c>
    </row>
    <row r="101">
      <c r="A101" s="250" t="str">
        <f>IFERROR(__xludf.DUMMYFUNCTION("UNIQUE('Operações-Criptos'!C2:C200)"),"BTCBRL")</f>
        <v>BTCBRL</v>
      </c>
      <c r="B101" s="251">
        <f>IFERROR(__xludf.DUMMYFUNCTION("IFERROR(GOOGLEFINANCE(A101),"""")"),196844.20270000002)</f>
        <v>196844.2027</v>
      </c>
      <c r="C101" s="252">
        <f>IFERROR(__xludf.DUMMYFUNCTION("iferror(INDEX(arrayformula(filter('Operações-Criptos'!H:H,'Operações-Criptos'!C:C&lt;&gt;"""",row('Operações-Criptos'!C:C)=max(if('Operações-Criptos'!C:C=A101,row('Operações-Criptos'!C:C),0)))) ,1),0)"),0.02187317)</f>
        <v>0.02187317</v>
      </c>
      <c r="D101" s="251">
        <f t="shared" si="1"/>
        <v>4305.606709</v>
      </c>
      <c r="E101" s="251">
        <f>IFERROR(__xludf.DUMMYFUNCTION("iferror(INDEX(arrayformula(filter('Operações-Criptos'!L:L,'Operações-Criptos'!C:C&lt;&gt;"""",row('Operações-Criptos'!C:C)=max(if('Operações-Criptos'!C:C=A101,row('Operações-Criptos'!C:C),0)))) ,1),0)"),5705.737254072301)</f>
        <v>5705.737254</v>
      </c>
      <c r="F101" s="251">
        <f t="shared" si="2"/>
        <v>260855.5255</v>
      </c>
      <c r="G101" s="251">
        <f>SUMIF(Proventos!$A$2:$A200,A101,Proventos!$H$2:$H200)</f>
        <v>0</v>
      </c>
      <c r="H101" s="251">
        <f t="shared" si="3"/>
        <v>260855.5255</v>
      </c>
      <c r="I101" s="253" t="str">
        <f>IFERROR(VLOOKUP(A101,Ativos!$A$1:$G200,5,),)</f>
        <v>CRIPTO</v>
      </c>
      <c r="J101" s="254" t="str">
        <f>IFERROR(VLOOKUP(A101,Ativos!A:H,8,),"")</f>
        <v>Brasil</v>
      </c>
      <c r="K101" s="251">
        <f>IFERROR(SUMIF('Operações-Criptos'!C:C,"="&amp;A101,'Operações-Criptos'!O:O),0)</f>
        <v>0</v>
      </c>
    </row>
    <row r="102">
      <c r="A102" s="250" t="str">
        <f>IFERROR(__xludf.DUMMYFUNCTION("""COMPUTED_VALUE"""),"ETHBRL")</f>
        <v>ETHBRL</v>
      </c>
      <c r="B102" s="251">
        <f>IFERROR(__xludf.DUMMYFUNCTION("IFERROR(GOOGLEFINANCE(A102),"""")"),13049.394730000002)</f>
        <v>13049.39473</v>
      </c>
      <c r="C102" s="252">
        <f>IFERROR(__xludf.DUMMYFUNCTION("iferror(INDEX(arrayformula(filter('Operações-Criptos'!H:H,'Operações-Criptos'!C:C&lt;&gt;"""",row('Operações-Criptos'!C:C)=max(if('Operações-Criptos'!C:C=A102,row('Operações-Criptos'!C:C),0)))) ,1),0)"),0.07688148)</f>
        <v>0.07688148</v>
      </c>
      <c r="D102" s="251">
        <f t="shared" si="1"/>
        <v>1003.25678</v>
      </c>
      <c r="E102" s="251">
        <f>IFERROR(__xludf.DUMMYFUNCTION("iferror(INDEX(arrayformula(filter('Operações-Criptos'!L:L,'Operações-Criptos'!C:C&lt;&gt;"""",row('Operações-Criptos'!C:C)=max(if('Operações-Criptos'!C:C=A102,row('Operações-Criptos'!C:C),0)))) ,1),0)"),1343.1167770565)</f>
        <v>1343.116777</v>
      </c>
      <c r="F102" s="251">
        <f t="shared" si="2"/>
        <v>17469.96516</v>
      </c>
      <c r="G102" s="251">
        <f>SUMIF(Proventos!$A$2:$A200,A102,Proventos!$H$2:$H200)</f>
        <v>0</v>
      </c>
      <c r="H102" s="251">
        <f t="shared" si="3"/>
        <v>17469.96516</v>
      </c>
      <c r="I102" s="253" t="str">
        <f>IFERROR(VLOOKUP(A102,Ativos!$A$1:$G200,5,),)</f>
        <v>CRIPTO</v>
      </c>
      <c r="J102" s="254" t="str">
        <f>IFERROR(VLOOKUP(A102,Ativos!A:H,8,),"")</f>
        <v>Brasil</v>
      </c>
      <c r="K102" s="251">
        <f>IFERROR(SUMIF('Operações-Criptos'!C:C,"="&amp;A102,'Operações-Criptos'!O:O),0)</f>
        <v>0</v>
      </c>
    </row>
    <row r="103">
      <c r="A103" s="250"/>
      <c r="B103" s="251" t="str">
        <f>IFERROR(__xludf.DUMMYFUNCTION("IFERROR(GOOGLEFINANCE(A103),"""")"),"")</f>
        <v/>
      </c>
      <c r="C103" s="252">
        <f>IFERROR(__xludf.DUMMYFUNCTION("iferror(INDEX(arrayformula(filter('Operações-Criptos'!H:H,'Operações-Criptos'!C:C&lt;&gt;"""",row('Operações-Criptos'!C:C)=max(if('Operações-Criptos'!C:C=A103,row('Operações-Criptos'!C:C),0)))) ,1),0)"),0.0)</f>
        <v>0</v>
      </c>
      <c r="D103" s="251">
        <f t="shared" si="1"/>
        <v>0</v>
      </c>
      <c r="E103" s="251">
        <f>IFERROR(__xludf.DUMMYFUNCTION("iferror(INDEX(arrayformula(filter('Operações-Criptos'!L:L,'Operações-Criptos'!C:C&lt;&gt;"""",row('Operações-Criptos'!C:C)=max(if('Operações-Criptos'!C:C=A103,row('Operações-Criptos'!C:C),0)))) ,1),0)"),0.0)</f>
        <v>0</v>
      </c>
      <c r="F103" s="251">
        <f t="shared" si="2"/>
        <v>0</v>
      </c>
      <c r="G103" s="251">
        <f>SUMIF(Proventos!$A$2:$A200,A103,Proventos!$H$2:$H200)</f>
        <v>0</v>
      </c>
      <c r="H103" s="251">
        <f t="shared" si="3"/>
        <v>0</v>
      </c>
      <c r="I103" s="253" t="str">
        <f>IFERROR(VLOOKUP(A103,Ativos!$A$1:$G200,5,),)</f>
        <v/>
      </c>
      <c r="J103" s="254" t="str">
        <f>IFERROR(VLOOKUP(A103,Ativos!A:H,8,),"")</f>
        <v/>
      </c>
      <c r="K103" s="251">
        <f>IFERROR(SUMIF('Operações-Criptos'!C:C,"="&amp;A103,'Operações-Criptos'!O:O),0)</f>
        <v>0</v>
      </c>
    </row>
    <row r="104">
      <c r="A104" s="255"/>
      <c r="B104" s="251" t="str">
        <f>IFERROR(__xludf.DUMMYFUNCTION("IFERROR(GOOGLEFINANCE(A104),"""")"),"")</f>
        <v/>
      </c>
      <c r="C104" s="252">
        <f>IFERROR(__xludf.DUMMYFUNCTION("iferror(INDEX(arrayformula(filter('Operações-Criptos'!H:H,'Operações-Criptos'!C:C&lt;&gt;"""",row('Operações-Criptos'!C:C)=max(if('Operações-Criptos'!C:C=A104,row('Operações-Criptos'!C:C),0)))) ,1),0)"),0.0)</f>
        <v>0</v>
      </c>
      <c r="D104" s="251">
        <f t="shared" si="1"/>
        <v>0</v>
      </c>
      <c r="E104" s="251">
        <f>IFERROR(__xludf.DUMMYFUNCTION("iferror(INDEX(arrayformula(filter('Operações-Criptos'!L:L,'Operações-Criptos'!C:C&lt;&gt;"""",row('Operações-Criptos'!C:C)=max(if('Operações-Criptos'!C:C=A104,row('Operações-Criptos'!C:C),0)))) ,1),0)"),0.0)</f>
        <v>0</v>
      </c>
      <c r="F104" s="251">
        <f t="shared" si="2"/>
        <v>0</v>
      </c>
      <c r="G104" s="251">
        <f>SUMIF(Proventos!$A$2:$A200,A104,Proventos!$H$2:$H200)</f>
        <v>0</v>
      </c>
      <c r="H104" s="251">
        <f t="shared" si="3"/>
        <v>0</v>
      </c>
      <c r="I104" s="253" t="str">
        <f>IFERROR(VLOOKUP(A104,Ativos!$A$1:$G200,5,),)</f>
        <v/>
      </c>
      <c r="J104" s="254" t="str">
        <f>IFERROR(VLOOKUP(A104,Ativos!A:H,8,),"")</f>
        <v/>
      </c>
      <c r="K104" s="251">
        <f>IFERROR(SUMIF('Operações-Criptos'!C:C,"="&amp;A104,'Operações-Criptos'!O:O),0)</f>
        <v>0</v>
      </c>
    </row>
    <row r="105">
      <c r="A105" s="255"/>
      <c r="B105" s="251" t="str">
        <f>IFERROR(__xludf.DUMMYFUNCTION("IFERROR(GOOGLEFINANCE(A105),"""")"),"")</f>
        <v/>
      </c>
      <c r="C105" s="252">
        <f>IFERROR(__xludf.DUMMYFUNCTION("iferror(INDEX(arrayformula(filter('Operações-Criptos'!H:H,'Operações-Criptos'!C:C&lt;&gt;"""",row('Operações-Criptos'!C:C)=max(if('Operações-Criptos'!C:C=A105,row('Operações-Criptos'!C:C),0)))) ,1),0)"),0.0)</f>
        <v>0</v>
      </c>
      <c r="D105" s="251">
        <f t="shared" si="1"/>
        <v>0</v>
      </c>
      <c r="E105" s="251">
        <f>IFERROR(__xludf.DUMMYFUNCTION("iferror(INDEX(arrayformula(filter('Operações-Criptos'!L:L,'Operações-Criptos'!C:C&lt;&gt;"""",row('Operações-Criptos'!C:C)=max(if('Operações-Criptos'!C:C=A105,row('Operações-Criptos'!C:C),0)))) ,1),0)"),0.0)</f>
        <v>0</v>
      </c>
      <c r="F105" s="251">
        <f t="shared" si="2"/>
        <v>0</v>
      </c>
      <c r="G105" s="251">
        <f>SUMIF(Proventos!$A$2:$A200,A105,Proventos!$H$2:$H200)</f>
        <v>0</v>
      </c>
      <c r="H105" s="251">
        <f t="shared" si="3"/>
        <v>0</v>
      </c>
      <c r="I105" s="253" t="str">
        <f>IFERROR(VLOOKUP(A105,Ativos!$A$1:$G200,5,),)</f>
        <v/>
      </c>
      <c r="J105" s="254" t="str">
        <f>IFERROR(VLOOKUP(A105,Ativos!A:H,8,),"")</f>
        <v/>
      </c>
      <c r="K105" s="251">
        <f>IFERROR(SUMIF('Operações-Criptos'!C:C,"="&amp;A105,'Operações-Criptos'!O:O),0)</f>
        <v>0</v>
      </c>
    </row>
    <row r="106">
      <c r="A106" s="255"/>
      <c r="B106" s="251" t="str">
        <f>IFERROR(__xludf.DUMMYFUNCTION("IFERROR(GOOGLEFINANCE(A106),"""")"),"")</f>
        <v/>
      </c>
      <c r="C106" s="252">
        <f>IFERROR(__xludf.DUMMYFUNCTION("iferror(INDEX(arrayformula(filter('Operações-Criptos'!H:H,'Operações-Criptos'!C:C&lt;&gt;"""",row('Operações-Criptos'!C:C)=max(if('Operações-Criptos'!C:C=A106,row('Operações-Criptos'!C:C),0)))) ,1),0)"),0.0)</f>
        <v>0</v>
      </c>
      <c r="D106" s="251">
        <f t="shared" si="1"/>
        <v>0</v>
      </c>
      <c r="E106" s="251">
        <f>IFERROR(__xludf.DUMMYFUNCTION("iferror(INDEX(arrayformula(filter('Operações-Criptos'!L:L,'Operações-Criptos'!C:C&lt;&gt;"""",row('Operações-Criptos'!C:C)=max(if('Operações-Criptos'!C:C=A106,row('Operações-Criptos'!C:C),0)))) ,1),0)"),0.0)</f>
        <v>0</v>
      </c>
      <c r="F106" s="251">
        <f t="shared" si="2"/>
        <v>0</v>
      </c>
      <c r="G106" s="251">
        <f>SUMIF(Proventos!$A$2:$A200,A106,Proventos!$H$2:$H200)</f>
        <v>0</v>
      </c>
      <c r="H106" s="251">
        <f t="shared" si="3"/>
        <v>0</v>
      </c>
      <c r="I106" s="253" t="str">
        <f>IFERROR(VLOOKUP(A106,Ativos!$A$1:$G200,5,),)</f>
        <v/>
      </c>
      <c r="J106" s="254" t="str">
        <f>IFERROR(VLOOKUP(A106,Ativos!A:H,8,),"")</f>
        <v/>
      </c>
      <c r="K106" s="251">
        <f>IFERROR(SUMIF('Operações-Criptos'!C:C,"="&amp;A106,'Operações-Criptos'!O:O),0)</f>
        <v>0</v>
      </c>
    </row>
    <row r="107">
      <c r="A107" s="255"/>
      <c r="B107" s="251" t="str">
        <f>IFERROR(__xludf.DUMMYFUNCTION("IFERROR(GOOGLEFINANCE(A107),"""")"),"")</f>
        <v/>
      </c>
      <c r="C107" s="252">
        <f>IFERROR(__xludf.DUMMYFUNCTION("iferror(INDEX(arrayformula(filter('Operações-Criptos'!H:H,'Operações-Criptos'!C:C&lt;&gt;"""",row('Operações-Criptos'!C:C)=max(if('Operações-Criptos'!C:C=A107,row('Operações-Criptos'!C:C),0)))) ,1),0)"),0.0)</f>
        <v>0</v>
      </c>
      <c r="D107" s="251">
        <f t="shared" si="1"/>
        <v>0</v>
      </c>
      <c r="E107" s="251">
        <f>IFERROR(__xludf.DUMMYFUNCTION("iferror(INDEX(arrayformula(filter('Operações-Criptos'!L:L,'Operações-Criptos'!C:C&lt;&gt;"""",row('Operações-Criptos'!C:C)=max(if('Operações-Criptos'!C:C=A107,row('Operações-Criptos'!C:C),0)))) ,1),0)"),0.0)</f>
        <v>0</v>
      </c>
      <c r="F107" s="251">
        <f t="shared" si="2"/>
        <v>0</v>
      </c>
      <c r="G107" s="251">
        <f>SUMIF(Proventos!$A$2:$A200,A107,Proventos!$H$2:$H200)</f>
        <v>0</v>
      </c>
      <c r="H107" s="251">
        <f t="shared" si="3"/>
        <v>0</v>
      </c>
      <c r="I107" s="253" t="str">
        <f>IFERROR(VLOOKUP(A107,Ativos!$A$1:$G200,5,),)</f>
        <v/>
      </c>
      <c r="J107" s="254" t="str">
        <f>IFERROR(VLOOKUP(A107,Ativos!A:H,8,),"")</f>
        <v/>
      </c>
      <c r="K107" s="251">
        <f>IFERROR(SUMIF('Operações-Criptos'!C:C,"="&amp;A107,'Operações-Criptos'!O:O),0)</f>
        <v>0</v>
      </c>
    </row>
    <row r="108">
      <c r="A108" s="255"/>
      <c r="B108" s="251" t="str">
        <f>IFERROR(__xludf.DUMMYFUNCTION("IFERROR(GOOGLEFINANCE(A108),"""")"),"")</f>
        <v/>
      </c>
      <c r="C108" s="252">
        <f>IFERROR(__xludf.DUMMYFUNCTION("iferror(INDEX(arrayformula(filter('Operações-Criptos'!H:H,'Operações-Criptos'!C:C&lt;&gt;"""",row('Operações-Criptos'!C:C)=max(if('Operações-Criptos'!C:C=A108,row('Operações-Criptos'!C:C),0)))) ,1),0)"),0.0)</f>
        <v>0</v>
      </c>
      <c r="D108" s="251">
        <f t="shared" si="1"/>
        <v>0</v>
      </c>
      <c r="E108" s="251">
        <f>IFERROR(__xludf.DUMMYFUNCTION("iferror(INDEX(arrayformula(filter('Operações-Criptos'!L:L,'Operações-Criptos'!C:C&lt;&gt;"""",row('Operações-Criptos'!C:C)=max(if('Operações-Criptos'!C:C=A108,row('Operações-Criptos'!C:C),0)))) ,1),0)"),0.0)</f>
        <v>0</v>
      </c>
      <c r="F108" s="251">
        <f t="shared" si="2"/>
        <v>0</v>
      </c>
      <c r="G108" s="251">
        <f>SUMIF(Proventos!$A$2:$A200,A108,Proventos!$H$2:$H200)</f>
        <v>0</v>
      </c>
      <c r="H108" s="251">
        <f t="shared" si="3"/>
        <v>0</v>
      </c>
      <c r="I108" s="253" t="str">
        <f>IFERROR(VLOOKUP(A108,Ativos!$A$1:$G200,5,),)</f>
        <v/>
      </c>
      <c r="J108" s="254" t="str">
        <f>IFERROR(VLOOKUP(A108,Ativos!A:H,8,),"")</f>
        <v/>
      </c>
      <c r="K108" s="251">
        <f>IFERROR(SUMIF('Operações-Criptos'!C:C,"="&amp;A108,'Operações-Criptos'!O:O),0)</f>
        <v>0</v>
      </c>
    </row>
    <row r="109">
      <c r="A109" s="255"/>
      <c r="B109" s="251" t="str">
        <f>IFERROR(__xludf.DUMMYFUNCTION("IFERROR(GOOGLEFINANCE(A109),"""")"),"")</f>
        <v/>
      </c>
      <c r="C109" s="252">
        <f>IFERROR(__xludf.DUMMYFUNCTION("iferror(INDEX(arrayformula(filter('Operações-Criptos'!H:H,'Operações-Criptos'!C:C&lt;&gt;"""",row('Operações-Criptos'!C:C)=max(if('Operações-Criptos'!C:C=A109,row('Operações-Criptos'!C:C),0)))) ,1),0)"),0.0)</f>
        <v>0</v>
      </c>
      <c r="D109" s="251">
        <f t="shared" si="1"/>
        <v>0</v>
      </c>
      <c r="E109" s="251">
        <f>IFERROR(__xludf.DUMMYFUNCTION("iferror(INDEX(arrayformula(filter('Operações-Criptos'!L:L,'Operações-Criptos'!C:C&lt;&gt;"""",row('Operações-Criptos'!C:C)=max(if('Operações-Criptos'!C:C=A109,row('Operações-Criptos'!C:C),0)))) ,1),0)"),0.0)</f>
        <v>0</v>
      </c>
      <c r="F109" s="251">
        <f t="shared" si="2"/>
        <v>0</v>
      </c>
      <c r="G109" s="251">
        <f>SUMIF(Proventos!$A$2:$A200,A109,Proventos!$H$2:$H200)</f>
        <v>0</v>
      </c>
      <c r="H109" s="251">
        <f t="shared" si="3"/>
        <v>0</v>
      </c>
      <c r="I109" s="253" t="str">
        <f>IFERROR(VLOOKUP(A109,Ativos!$A$1:$G200,5,),)</f>
        <v/>
      </c>
      <c r="J109" s="254" t="str">
        <f>IFERROR(VLOOKUP(A109,Ativos!A:H,8,),"")</f>
        <v/>
      </c>
      <c r="K109" s="251">
        <f>IFERROR(SUMIF('Operações-Criptos'!C:C,"="&amp;A109,'Operações-Criptos'!O:O),0)</f>
        <v>0</v>
      </c>
    </row>
    <row r="110">
      <c r="A110" s="255"/>
      <c r="B110" s="251" t="str">
        <f>IFERROR(__xludf.DUMMYFUNCTION("IFERROR(GOOGLEFINANCE(A110),"""")"),"")</f>
        <v/>
      </c>
      <c r="C110" s="252">
        <f>IFERROR(__xludf.DUMMYFUNCTION("iferror(INDEX(arrayformula(filter('Operações-Criptos'!H:H,'Operações-Criptos'!C:C&lt;&gt;"""",row('Operações-Criptos'!C:C)=max(if('Operações-Criptos'!C:C=A110,row('Operações-Criptos'!C:C),0)))) ,1),0)"),0.0)</f>
        <v>0</v>
      </c>
      <c r="D110" s="251">
        <f t="shared" si="1"/>
        <v>0</v>
      </c>
      <c r="E110" s="251">
        <f>IFERROR(__xludf.DUMMYFUNCTION("iferror(INDEX(arrayformula(filter('Operações-Criptos'!L:L,'Operações-Criptos'!C:C&lt;&gt;"""",row('Operações-Criptos'!C:C)=max(if('Operações-Criptos'!C:C=A110,row('Operações-Criptos'!C:C),0)))) ,1),0)"),0.0)</f>
        <v>0</v>
      </c>
      <c r="F110" s="251">
        <f t="shared" si="2"/>
        <v>0</v>
      </c>
      <c r="G110" s="251">
        <f>SUMIF(Proventos!$A$2:$A200,A110,Proventos!$H$2:$H200)</f>
        <v>0</v>
      </c>
      <c r="H110" s="251">
        <f t="shared" si="3"/>
        <v>0</v>
      </c>
      <c r="I110" s="253" t="str">
        <f>IFERROR(VLOOKUP(A110,Ativos!$A$1:$G200,5,),)</f>
        <v/>
      </c>
      <c r="J110" s="254" t="str">
        <f>IFERROR(VLOOKUP(A110,Ativos!A:H,8,),"")</f>
        <v/>
      </c>
      <c r="K110" s="251">
        <f>IFERROR(SUMIF('Operações-Criptos'!C:C,"="&amp;A110,'Operações-Criptos'!O:O),0)</f>
        <v>0</v>
      </c>
    </row>
    <row r="111">
      <c r="A111" s="255"/>
      <c r="B111" s="251" t="str">
        <f>IFERROR(__xludf.DUMMYFUNCTION("IFERROR(GOOGLEFINANCE(A111),"""")"),"")</f>
        <v/>
      </c>
      <c r="C111" s="252">
        <f>IFERROR(__xludf.DUMMYFUNCTION("iferror(INDEX(arrayformula(filter('Operações-Criptos'!H:H,'Operações-Criptos'!C:C&lt;&gt;"""",row('Operações-Criptos'!C:C)=max(if('Operações-Criptos'!C:C=A111,row('Operações-Criptos'!C:C),0)))) ,1),0)"),0.0)</f>
        <v>0</v>
      </c>
      <c r="D111" s="251">
        <f t="shared" si="1"/>
        <v>0</v>
      </c>
      <c r="E111" s="251">
        <f>IFERROR(__xludf.DUMMYFUNCTION("iferror(INDEX(arrayformula(filter('Operações-Criptos'!L:L,'Operações-Criptos'!C:C&lt;&gt;"""",row('Operações-Criptos'!C:C)=max(if('Operações-Criptos'!C:C=A111,row('Operações-Criptos'!C:C),0)))) ,1),0)"),0.0)</f>
        <v>0</v>
      </c>
      <c r="F111" s="251">
        <f t="shared" si="2"/>
        <v>0</v>
      </c>
      <c r="G111" s="251">
        <f>SUMIF(Proventos!$A$2:$A200,A111,Proventos!$H$2:$H200)</f>
        <v>0</v>
      </c>
      <c r="H111" s="251">
        <f t="shared" si="3"/>
        <v>0</v>
      </c>
      <c r="I111" s="253" t="str">
        <f>IFERROR(VLOOKUP(A111,Ativos!$A$1:$G200,5,),)</f>
        <v/>
      </c>
      <c r="J111" s="254" t="str">
        <f>IFERROR(VLOOKUP(A111,Ativos!A:H,8,),"")</f>
        <v/>
      </c>
      <c r="K111" s="251">
        <f>IFERROR(SUMIF('Operações-Criptos'!C:C,"="&amp;A111,'Operações-Criptos'!O:O),0)</f>
        <v>0</v>
      </c>
    </row>
    <row r="112">
      <c r="A112" s="255"/>
      <c r="B112" s="251" t="str">
        <f>IFERROR(__xludf.DUMMYFUNCTION("IFERROR(GOOGLEFINANCE(A112),"""")"),"")</f>
        <v/>
      </c>
      <c r="C112" s="252">
        <f>IFERROR(__xludf.DUMMYFUNCTION("iferror(INDEX(arrayformula(filter('Operações-Criptos'!H:H,'Operações-Criptos'!C:C&lt;&gt;"""",row('Operações-Criptos'!C:C)=max(if('Operações-Criptos'!C:C=A112,row('Operações-Criptos'!C:C),0)))) ,1),0)"),0.0)</f>
        <v>0</v>
      </c>
      <c r="D112" s="251">
        <f t="shared" si="1"/>
        <v>0</v>
      </c>
      <c r="E112" s="251">
        <f>IFERROR(__xludf.DUMMYFUNCTION("iferror(INDEX(arrayformula(filter('Operações-Criptos'!L:L,'Operações-Criptos'!C:C&lt;&gt;"""",row('Operações-Criptos'!C:C)=max(if('Operações-Criptos'!C:C=A112,row('Operações-Criptos'!C:C),0)))) ,1),0)"),0.0)</f>
        <v>0</v>
      </c>
      <c r="F112" s="251">
        <f t="shared" si="2"/>
        <v>0</v>
      </c>
      <c r="G112" s="251">
        <f>SUMIF(Proventos!$A$2:$A200,A112,Proventos!$H$2:$H200)</f>
        <v>0</v>
      </c>
      <c r="H112" s="251">
        <f t="shared" si="3"/>
        <v>0</v>
      </c>
      <c r="I112" s="253" t="str">
        <f>IFERROR(VLOOKUP(A112,Ativos!$A$1:$G200,5,),)</f>
        <v/>
      </c>
      <c r="J112" s="254" t="str">
        <f>IFERROR(VLOOKUP(A112,Ativos!A:H,8,),"")</f>
        <v/>
      </c>
      <c r="K112" s="251">
        <f>IFERROR(SUMIF('Operações-Criptos'!C:C,"="&amp;A112,'Operações-Criptos'!O:O),0)</f>
        <v>0</v>
      </c>
    </row>
    <row r="113">
      <c r="A113" s="255"/>
      <c r="B113" s="251" t="str">
        <f>IFERROR(__xludf.DUMMYFUNCTION("IFERROR(GOOGLEFINANCE(A113),"""")"),"")</f>
        <v/>
      </c>
      <c r="C113" s="252">
        <f>IFERROR(__xludf.DUMMYFUNCTION("iferror(INDEX(arrayformula(filter('Operações-Criptos'!H:H,'Operações-Criptos'!C:C&lt;&gt;"""",row('Operações-Criptos'!C:C)=max(if('Operações-Criptos'!C:C=A113,row('Operações-Criptos'!C:C),0)))) ,1),0)"),0.0)</f>
        <v>0</v>
      </c>
      <c r="D113" s="251">
        <f t="shared" si="1"/>
        <v>0</v>
      </c>
      <c r="E113" s="251">
        <f>IFERROR(__xludf.DUMMYFUNCTION("iferror(INDEX(arrayformula(filter('Operações-Criptos'!L:L,'Operações-Criptos'!C:C&lt;&gt;"""",row('Operações-Criptos'!C:C)=max(if('Operações-Criptos'!C:C=A113,row('Operações-Criptos'!C:C),0)))) ,1),0)"),0.0)</f>
        <v>0</v>
      </c>
      <c r="F113" s="251">
        <f t="shared" si="2"/>
        <v>0</v>
      </c>
      <c r="G113" s="251">
        <f>SUMIF(Proventos!$A$2:$A200,A113,Proventos!$H$2:$H200)</f>
        <v>0</v>
      </c>
      <c r="H113" s="251">
        <f t="shared" si="3"/>
        <v>0</v>
      </c>
      <c r="I113" s="253" t="str">
        <f>IFERROR(VLOOKUP(A113,Ativos!$A$1:$G200,5,),)</f>
        <v/>
      </c>
      <c r="J113" s="254" t="str">
        <f>IFERROR(VLOOKUP(A113,Ativos!A:H,8,),"")</f>
        <v/>
      </c>
      <c r="K113" s="251">
        <f>IFERROR(SUMIF('Operações-Criptos'!C:C,"="&amp;A113,'Operações-Criptos'!O:O),0)</f>
        <v>0</v>
      </c>
    </row>
    <row r="114">
      <c r="A114" s="255"/>
      <c r="B114" s="251" t="str">
        <f>IFERROR(__xludf.DUMMYFUNCTION("IFERROR(GOOGLEFINANCE(A114),"""")"),"")</f>
        <v/>
      </c>
      <c r="C114" s="252">
        <f>IFERROR(__xludf.DUMMYFUNCTION("iferror(INDEX(arrayformula(filter('Operações-Criptos'!H:H,'Operações-Criptos'!C:C&lt;&gt;"""",row('Operações-Criptos'!C:C)=max(if('Operações-Criptos'!C:C=A114,row('Operações-Criptos'!C:C),0)))) ,1),0)"),0.0)</f>
        <v>0</v>
      </c>
      <c r="D114" s="251">
        <f t="shared" si="1"/>
        <v>0</v>
      </c>
      <c r="E114" s="251">
        <f>IFERROR(__xludf.DUMMYFUNCTION("iferror(INDEX(arrayformula(filter('Operações-Criptos'!L:L,'Operações-Criptos'!C:C&lt;&gt;"""",row('Operações-Criptos'!C:C)=max(if('Operações-Criptos'!C:C=A114,row('Operações-Criptos'!C:C),0)))) ,1),0)"),0.0)</f>
        <v>0</v>
      </c>
      <c r="F114" s="251">
        <f t="shared" si="2"/>
        <v>0</v>
      </c>
      <c r="G114" s="251">
        <f>SUMIF(Proventos!$A$2:$A200,A114,Proventos!$H$2:$H200)</f>
        <v>0</v>
      </c>
      <c r="H114" s="251">
        <f t="shared" si="3"/>
        <v>0</v>
      </c>
      <c r="I114" s="253" t="str">
        <f>IFERROR(VLOOKUP(A114,Ativos!$A$1:$G200,5,),)</f>
        <v/>
      </c>
      <c r="J114" s="254" t="str">
        <f>IFERROR(VLOOKUP(A114,Ativos!A:H,8,),"")</f>
        <v/>
      </c>
      <c r="K114" s="251">
        <f>IFERROR(SUMIF('Operações-Criptos'!C:C,"="&amp;A114,'Operações-Criptos'!O:O),0)</f>
        <v>0</v>
      </c>
    </row>
    <row r="115">
      <c r="A115" s="255"/>
      <c r="B115" s="251" t="str">
        <f>IFERROR(__xludf.DUMMYFUNCTION("IFERROR(GOOGLEFINANCE(A115),"""")"),"")</f>
        <v/>
      </c>
      <c r="C115" s="252">
        <f>IFERROR(__xludf.DUMMYFUNCTION("iferror(INDEX(arrayformula(filter('Operações-Criptos'!H:H,'Operações-Criptos'!C:C&lt;&gt;"""",row('Operações-Criptos'!C:C)=max(if('Operações-Criptos'!C:C=A115,row('Operações-Criptos'!C:C),0)))) ,1),0)"),0.0)</f>
        <v>0</v>
      </c>
      <c r="D115" s="251">
        <f t="shared" si="1"/>
        <v>0</v>
      </c>
      <c r="E115" s="251">
        <f>IFERROR(__xludf.DUMMYFUNCTION("iferror(INDEX(arrayformula(filter('Operações-Criptos'!L:L,'Operações-Criptos'!C:C&lt;&gt;"""",row('Operações-Criptos'!C:C)=max(if('Operações-Criptos'!C:C=A115,row('Operações-Criptos'!C:C),0)))) ,1),0)"),0.0)</f>
        <v>0</v>
      </c>
      <c r="F115" s="251">
        <f t="shared" si="2"/>
        <v>0</v>
      </c>
      <c r="G115" s="251">
        <f>SUMIF(Proventos!$A$2:$A200,A115,Proventos!$H$2:$H200)</f>
        <v>0</v>
      </c>
      <c r="H115" s="251">
        <f t="shared" si="3"/>
        <v>0</v>
      </c>
      <c r="I115" s="253" t="str">
        <f>IFERROR(VLOOKUP(A115,Ativos!$A$1:$G200,5,),)</f>
        <v/>
      </c>
      <c r="J115" s="254" t="str">
        <f>IFERROR(VLOOKUP(A115,Ativos!A:H,8,),"")</f>
        <v/>
      </c>
      <c r="K115" s="251">
        <f>IFERROR(SUMIF('Operações-Criptos'!C:C,"="&amp;A115,'Operações-Criptos'!O:O),0)</f>
        <v>0</v>
      </c>
    </row>
    <row r="116">
      <c r="A116" s="255"/>
      <c r="B116" s="251" t="str">
        <f>IFERROR(__xludf.DUMMYFUNCTION("IFERROR(GOOGLEFINANCE(A116),"""")"),"")</f>
        <v/>
      </c>
      <c r="C116" s="252">
        <f>IFERROR(__xludf.DUMMYFUNCTION("iferror(INDEX(arrayformula(filter('Operações-Criptos'!H:H,'Operações-Criptos'!C:C&lt;&gt;"""",row('Operações-Criptos'!C:C)=max(if('Operações-Criptos'!C:C=A116,row('Operações-Criptos'!C:C),0)))) ,1),0)"),0.0)</f>
        <v>0</v>
      </c>
      <c r="D116" s="251">
        <f t="shared" si="1"/>
        <v>0</v>
      </c>
      <c r="E116" s="251">
        <f>IFERROR(__xludf.DUMMYFUNCTION("iferror(INDEX(arrayformula(filter('Operações-Criptos'!L:L,'Operações-Criptos'!C:C&lt;&gt;"""",row('Operações-Criptos'!C:C)=max(if('Operações-Criptos'!C:C=A116,row('Operações-Criptos'!C:C),0)))) ,1),0)"),0.0)</f>
        <v>0</v>
      </c>
      <c r="F116" s="251">
        <f t="shared" si="2"/>
        <v>0</v>
      </c>
      <c r="G116" s="251">
        <f>SUMIF(Proventos!$A$2:$A200,A116,Proventos!$H$2:$H200)</f>
        <v>0</v>
      </c>
      <c r="H116" s="251">
        <f t="shared" si="3"/>
        <v>0</v>
      </c>
      <c r="I116" s="253" t="str">
        <f>IFERROR(VLOOKUP(A116,Ativos!$A$1:$G200,5,),)</f>
        <v/>
      </c>
      <c r="J116" s="254" t="str">
        <f>IFERROR(VLOOKUP(A116,Ativos!A:H,8,),"")</f>
        <v/>
      </c>
      <c r="K116" s="251">
        <f>IFERROR(SUMIF('Operações-Criptos'!C:C,"="&amp;A116,'Operações-Criptos'!O:O),0)</f>
        <v>0</v>
      </c>
    </row>
    <row r="117">
      <c r="A117" s="255"/>
      <c r="B117" s="251" t="str">
        <f>IFERROR(__xludf.DUMMYFUNCTION("IFERROR(GOOGLEFINANCE(A117),"""")"),"")</f>
        <v/>
      </c>
      <c r="C117" s="252">
        <f>IFERROR(__xludf.DUMMYFUNCTION("iferror(INDEX(arrayformula(filter('Operações-Criptos'!H:H,'Operações-Criptos'!C:C&lt;&gt;"""",row('Operações-Criptos'!C:C)=max(if('Operações-Criptos'!C:C=A117,row('Operações-Criptos'!C:C),0)))) ,1),0)"),0.0)</f>
        <v>0</v>
      </c>
      <c r="D117" s="251">
        <f t="shared" si="1"/>
        <v>0</v>
      </c>
      <c r="E117" s="251">
        <f>IFERROR(__xludf.DUMMYFUNCTION("iferror(INDEX(arrayformula(filter('Operações-Criptos'!L:L,'Operações-Criptos'!C:C&lt;&gt;"""",row('Operações-Criptos'!C:C)=max(if('Operações-Criptos'!C:C=A117,row('Operações-Criptos'!C:C),0)))) ,1),0)"),0.0)</f>
        <v>0</v>
      </c>
      <c r="F117" s="251">
        <f t="shared" si="2"/>
        <v>0</v>
      </c>
      <c r="G117" s="251">
        <f>SUMIF(Proventos!$A$2:$A200,A117,Proventos!$H$2:$H200)</f>
        <v>0</v>
      </c>
      <c r="H117" s="251">
        <f t="shared" si="3"/>
        <v>0</v>
      </c>
      <c r="I117" s="253" t="str">
        <f>IFERROR(VLOOKUP(A117,Ativos!$A$1:$G200,5,),)</f>
        <v/>
      </c>
      <c r="J117" s="254" t="str">
        <f>IFERROR(VLOOKUP(A117,Ativos!A:H,8,),"")</f>
        <v/>
      </c>
      <c r="K117" s="251">
        <f>IFERROR(SUMIF('Operações-Criptos'!C:C,"="&amp;A117,'Operações-Criptos'!O:O),0)</f>
        <v>0</v>
      </c>
    </row>
    <row r="118">
      <c r="A118" s="255"/>
      <c r="B118" s="251" t="str">
        <f>IFERROR(__xludf.DUMMYFUNCTION("IFERROR(GOOGLEFINANCE(A118),"""")"),"")</f>
        <v/>
      </c>
      <c r="C118" s="252">
        <f>IFERROR(__xludf.DUMMYFUNCTION("iferror(INDEX(arrayformula(filter('Operações-Criptos'!H:H,'Operações-Criptos'!C:C&lt;&gt;"""",row('Operações-Criptos'!C:C)=max(if('Operações-Criptos'!C:C=A118,row('Operações-Criptos'!C:C),0)))) ,1),0)"),0.0)</f>
        <v>0</v>
      </c>
      <c r="D118" s="251">
        <f t="shared" si="1"/>
        <v>0</v>
      </c>
      <c r="E118" s="251">
        <f>IFERROR(__xludf.DUMMYFUNCTION("iferror(INDEX(arrayformula(filter('Operações-Criptos'!L:L,'Operações-Criptos'!C:C&lt;&gt;"""",row('Operações-Criptos'!C:C)=max(if('Operações-Criptos'!C:C=A118,row('Operações-Criptos'!C:C),0)))) ,1),0)"),0.0)</f>
        <v>0</v>
      </c>
      <c r="F118" s="251">
        <f t="shared" si="2"/>
        <v>0</v>
      </c>
      <c r="G118" s="251">
        <f>SUMIF(Proventos!$A$2:$A200,A118,Proventos!$H$2:$H200)</f>
        <v>0</v>
      </c>
      <c r="H118" s="251">
        <f t="shared" si="3"/>
        <v>0</v>
      </c>
      <c r="I118" s="253" t="str">
        <f>IFERROR(VLOOKUP(A118,Ativos!$A$1:$G200,5,),)</f>
        <v/>
      </c>
      <c r="J118" s="254" t="str">
        <f>IFERROR(VLOOKUP(A118,Ativos!A:H,8,),"")</f>
        <v/>
      </c>
      <c r="K118" s="251">
        <f>IFERROR(SUMIF('Operações-Criptos'!C:C,"="&amp;A118,'Operações-Criptos'!O:O),0)</f>
        <v>0</v>
      </c>
    </row>
    <row r="119">
      <c r="A119" s="255"/>
      <c r="B119" s="251" t="str">
        <f>IFERROR(__xludf.DUMMYFUNCTION("IFERROR(GOOGLEFINANCE(A119),"""")"),"")</f>
        <v/>
      </c>
      <c r="C119" s="252">
        <f>IFERROR(__xludf.DUMMYFUNCTION("iferror(INDEX(arrayformula(filter('Operações-Criptos'!H:H,'Operações-Criptos'!C:C&lt;&gt;"""",row('Operações-Criptos'!C:C)=max(if('Operações-Criptos'!C:C=A119,row('Operações-Criptos'!C:C),0)))) ,1),0)"),0.0)</f>
        <v>0</v>
      </c>
      <c r="D119" s="251">
        <f t="shared" si="1"/>
        <v>0</v>
      </c>
      <c r="E119" s="251">
        <f>IFERROR(__xludf.DUMMYFUNCTION("iferror(INDEX(arrayformula(filter('Operações-Criptos'!L:L,'Operações-Criptos'!C:C&lt;&gt;"""",row('Operações-Criptos'!C:C)=max(if('Operações-Criptos'!C:C=A119,row('Operações-Criptos'!C:C),0)))) ,1),0)"),0.0)</f>
        <v>0</v>
      </c>
      <c r="F119" s="251">
        <f t="shared" si="2"/>
        <v>0</v>
      </c>
      <c r="G119" s="251">
        <f>SUMIF(Proventos!$A$2:$A200,A119,Proventos!$H$2:$H200)</f>
        <v>0</v>
      </c>
      <c r="H119" s="251">
        <f t="shared" si="3"/>
        <v>0</v>
      </c>
      <c r="I119" s="253" t="str">
        <f>IFERROR(VLOOKUP(A119,Ativos!$A$1:$G200,5,),)</f>
        <v/>
      </c>
      <c r="J119" s="254" t="str">
        <f>IFERROR(VLOOKUP(A119,Ativos!A:H,8,),"")</f>
        <v/>
      </c>
      <c r="K119" s="251">
        <f>IFERROR(SUMIF('Operações-Criptos'!C:C,"="&amp;A119,'Operações-Criptos'!O:O),0)</f>
        <v>0</v>
      </c>
    </row>
    <row r="120">
      <c r="A120" s="255"/>
      <c r="B120" s="251" t="str">
        <f>IFERROR(__xludf.DUMMYFUNCTION("IFERROR(GOOGLEFINANCE(A120),"""")"),"")</f>
        <v/>
      </c>
      <c r="C120" s="252">
        <f>IFERROR(__xludf.DUMMYFUNCTION("iferror(INDEX(arrayformula(filter('Operações-Criptos'!H:H,'Operações-Criptos'!C:C&lt;&gt;"""",row('Operações-Criptos'!C:C)=max(if('Operações-Criptos'!C:C=A120,row('Operações-Criptos'!C:C),0)))) ,1),0)"),0.0)</f>
        <v>0</v>
      </c>
      <c r="D120" s="251">
        <f t="shared" si="1"/>
        <v>0</v>
      </c>
      <c r="E120" s="251">
        <f>IFERROR(__xludf.DUMMYFUNCTION("iferror(INDEX(arrayformula(filter('Operações-Criptos'!L:L,'Operações-Criptos'!C:C&lt;&gt;"""",row('Operações-Criptos'!C:C)=max(if('Operações-Criptos'!C:C=A120,row('Operações-Criptos'!C:C),0)))) ,1),0)"),0.0)</f>
        <v>0</v>
      </c>
      <c r="F120" s="251">
        <f t="shared" si="2"/>
        <v>0</v>
      </c>
      <c r="G120" s="251">
        <f>SUMIF(Proventos!$A$2:$A200,A120,Proventos!$H$2:$H200)</f>
        <v>0</v>
      </c>
      <c r="H120" s="251">
        <f t="shared" si="3"/>
        <v>0</v>
      </c>
      <c r="I120" s="253" t="str">
        <f>IFERROR(VLOOKUP(A120,Ativos!$A$1:$G200,5,),)</f>
        <v/>
      </c>
      <c r="J120" s="254" t="str">
        <f>IFERROR(VLOOKUP(A120,Ativos!A:H,8,),"")</f>
        <v/>
      </c>
      <c r="K120" s="251">
        <f>IFERROR(SUMIF('Operações-Criptos'!C:C,"="&amp;A120,'Operações-Criptos'!O:O),0)</f>
        <v>0</v>
      </c>
    </row>
    <row r="121">
      <c r="A121" s="255"/>
      <c r="B121" s="251" t="str">
        <f>IFERROR(__xludf.DUMMYFUNCTION("IFERROR(GOOGLEFINANCE(A121),"""")"),"")</f>
        <v/>
      </c>
      <c r="C121" s="252">
        <f>IFERROR(__xludf.DUMMYFUNCTION("iferror(INDEX(arrayformula(filter('Operações-Criptos'!H:H,'Operações-Criptos'!C:C&lt;&gt;"""",row('Operações-Criptos'!C:C)=max(if('Operações-Criptos'!C:C=A121,row('Operações-Criptos'!C:C),0)))) ,1),0)"),0.0)</f>
        <v>0</v>
      </c>
      <c r="D121" s="251">
        <f t="shared" si="1"/>
        <v>0</v>
      </c>
      <c r="E121" s="251">
        <f>IFERROR(__xludf.DUMMYFUNCTION("iferror(INDEX(arrayformula(filter('Operações-Criptos'!L:L,'Operações-Criptos'!C:C&lt;&gt;"""",row('Operações-Criptos'!C:C)=max(if('Operações-Criptos'!C:C=A121,row('Operações-Criptos'!C:C),0)))) ,1),0)"),0.0)</f>
        <v>0</v>
      </c>
      <c r="F121" s="251">
        <f t="shared" si="2"/>
        <v>0</v>
      </c>
      <c r="G121" s="251">
        <f>SUMIF(Proventos!$A$2:$A200,A121,Proventos!$H$2:$H200)</f>
        <v>0</v>
      </c>
      <c r="H121" s="251">
        <f t="shared" si="3"/>
        <v>0</v>
      </c>
      <c r="I121" s="253" t="str">
        <f>IFERROR(VLOOKUP(A121,Ativos!$A$1:$G200,5,),)</f>
        <v/>
      </c>
      <c r="J121" s="254" t="str">
        <f>IFERROR(VLOOKUP(A121,Ativos!A:H,8,),"")</f>
        <v/>
      </c>
      <c r="K121" s="251">
        <f>IFERROR(SUMIF('Operações-Criptos'!C:C,"="&amp;A121,'Operações-Criptos'!O:O),0)</f>
        <v>0</v>
      </c>
    </row>
    <row r="122">
      <c r="A122" s="255"/>
      <c r="B122" s="251" t="str">
        <f>IFERROR(__xludf.DUMMYFUNCTION("IFERROR(GOOGLEFINANCE(A122),"""")"),"")</f>
        <v/>
      </c>
      <c r="C122" s="252">
        <f>IFERROR(__xludf.DUMMYFUNCTION("iferror(INDEX(arrayformula(filter('Operações-Criptos'!H:H,'Operações-Criptos'!C:C&lt;&gt;"""",row('Operações-Criptos'!C:C)=max(if('Operações-Criptos'!C:C=A122,row('Operações-Criptos'!C:C),0)))) ,1),0)"),0.0)</f>
        <v>0</v>
      </c>
      <c r="D122" s="251">
        <f t="shared" si="1"/>
        <v>0</v>
      </c>
      <c r="E122" s="251">
        <f>IFERROR(__xludf.DUMMYFUNCTION("iferror(INDEX(arrayformula(filter('Operações-Criptos'!L:L,'Operações-Criptos'!C:C&lt;&gt;"""",row('Operações-Criptos'!C:C)=max(if('Operações-Criptos'!C:C=A122,row('Operações-Criptos'!C:C),0)))) ,1),0)"),0.0)</f>
        <v>0</v>
      </c>
      <c r="F122" s="251">
        <f t="shared" si="2"/>
        <v>0</v>
      </c>
      <c r="G122" s="251">
        <f>SUMIF(Proventos!$A$2:$A200,A122,Proventos!$H$2:$H200)</f>
        <v>0</v>
      </c>
      <c r="H122" s="251">
        <f t="shared" si="3"/>
        <v>0</v>
      </c>
      <c r="I122" s="253" t="str">
        <f>IFERROR(VLOOKUP(A122,Ativos!$A$1:$G200,5,),)</f>
        <v/>
      </c>
      <c r="J122" s="254" t="str">
        <f>IFERROR(VLOOKUP(A122,Ativos!A:H,8,),"")</f>
        <v/>
      </c>
      <c r="K122" s="251">
        <f>IFERROR(SUMIF('Operações-Criptos'!C:C,"="&amp;A122,'Operações-Criptos'!O:O),0)</f>
        <v>0</v>
      </c>
    </row>
    <row r="123">
      <c r="A123" s="255"/>
      <c r="B123" s="251" t="str">
        <f>IFERROR(__xludf.DUMMYFUNCTION("IFERROR(GOOGLEFINANCE(A123),"""")"),"")</f>
        <v/>
      </c>
      <c r="C123" s="252">
        <f>IFERROR(__xludf.DUMMYFUNCTION("iferror(INDEX(arrayformula(filter('Operações-Criptos'!H:H,'Operações-Criptos'!C:C&lt;&gt;"""",row('Operações-Criptos'!C:C)=max(if('Operações-Criptos'!C:C=A123,row('Operações-Criptos'!C:C),0)))) ,1),0)"),0.0)</f>
        <v>0</v>
      </c>
      <c r="D123" s="251">
        <f t="shared" si="1"/>
        <v>0</v>
      </c>
      <c r="E123" s="251">
        <f>IFERROR(__xludf.DUMMYFUNCTION("iferror(INDEX(arrayformula(filter('Operações-Criptos'!L:L,'Operações-Criptos'!C:C&lt;&gt;"""",row('Operações-Criptos'!C:C)=max(if('Operações-Criptos'!C:C=A123,row('Operações-Criptos'!C:C),0)))) ,1),0)"),0.0)</f>
        <v>0</v>
      </c>
      <c r="F123" s="251">
        <f t="shared" si="2"/>
        <v>0</v>
      </c>
      <c r="G123" s="251">
        <f>SUMIF(Proventos!$A$2:$A200,A123,Proventos!$H$2:$H200)</f>
        <v>0</v>
      </c>
      <c r="H123" s="251">
        <f t="shared" si="3"/>
        <v>0</v>
      </c>
      <c r="I123" s="253" t="str">
        <f>IFERROR(VLOOKUP(A123,Ativos!$A$1:$G200,5,),)</f>
        <v/>
      </c>
      <c r="J123" s="254" t="str">
        <f>IFERROR(VLOOKUP(A123,Ativos!A:H,8,),"")</f>
        <v/>
      </c>
      <c r="K123" s="251">
        <f>IFERROR(SUMIF('Operações-Criptos'!C:C,"="&amp;A123,'Operações-Criptos'!O:O),0)</f>
        <v>0</v>
      </c>
    </row>
    <row r="124">
      <c r="A124" s="255"/>
      <c r="B124" s="251" t="str">
        <f>IFERROR(__xludf.DUMMYFUNCTION("IFERROR(GOOGLEFINANCE(A124),"""")"),"")</f>
        <v/>
      </c>
      <c r="C124" s="252">
        <f>IFERROR(__xludf.DUMMYFUNCTION("iferror(INDEX(arrayformula(filter('Operações-Criptos'!H:H,'Operações-Criptos'!C:C&lt;&gt;"""",row('Operações-Criptos'!C:C)=max(if('Operações-Criptos'!C:C=A124,row('Operações-Criptos'!C:C),0)))) ,1),0)"),0.0)</f>
        <v>0</v>
      </c>
      <c r="D124" s="251">
        <f t="shared" si="1"/>
        <v>0</v>
      </c>
      <c r="E124" s="251">
        <f>IFERROR(__xludf.DUMMYFUNCTION("iferror(INDEX(arrayformula(filter('Operações-Criptos'!L:L,'Operações-Criptos'!C:C&lt;&gt;"""",row('Operações-Criptos'!C:C)=max(if('Operações-Criptos'!C:C=A124,row('Operações-Criptos'!C:C),0)))) ,1),0)"),0.0)</f>
        <v>0</v>
      </c>
      <c r="F124" s="251">
        <f t="shared" si="2"/>
        <v>0</v>
      </c>
      <c r="G124" s="251">
        <f>SUMIF(Proventos!$A$2:$A200,A124,Proventos!$H$2:$H200)</f>
        <v>0</v>
      </c>
      <c r="H124" s="251">
        <f t="shared" si="3"/>
        <v>0</v>
      </c>
      <c r="I124" s="253" t="str">
        <f>IFERROR(VLOOKUP(A124,Ativos!$A$1:$G200,5,),)</f>
        <v/>
      </c>
      <c r="J124" s="254" t="str">
        <f>IFERROR(VLOOKUP(A124,Ativos!A:H,8,),"")</f>
        <v/>
      </c>
      <c r="K124" s="251">
        <f>IFERROR(SUMIF('Operações-Criptos'!C:C,"="&amp;A124,'Operações-Criptos'!O:O),0)</f>
        <v>0</v>
      </c>
    </row>
    <row r="125">
      <c r="A125" s="255"/>
      <c r="B125" s="251" t="str">
        <f>IFERROR(__xludf.DUMMYFUNCTION("IFERROR(GOOGLEFINANCE(A125),"""")"),"")</f>
        <v/>
      </c>
      <c r="C125" s="252">
        <f>IFERROR(__xludf.DUMMYFUNCTION("iferror(INDEX(arrayformula(filter('Operações-Criptos'!H:H,'Operações-Criptos'!C:C&lt;&gt;"""",row('Operações-Criptos'!C:C)=max(if('Operações-Criptos'!C:C=A125,row('Operações-Criptos'!C:C),0)))) ,1),0)"),0.0)</f>
        <v>0</v>
      </c>
      <c r="D125" s="251">
        <f t="shared" si="1"/>
        <v>0</v>
      </c>
      <c r="E125" s="251">
        <f>IFERROR(__xludf.DUMMYFUNCTION("iferror(INDEX(arrayformula(filter('Operações-Criptos'!L:L,'Operações-Criptos'!C:C&lt;&gt;"""",row('Operações-Criptos'!C:C)=max(if('Operações-Criptos'!C:C=A125,row('Operações-Criptos'!C:C),0)))) ,1),0)"),0.0)</f>
        <v>0</v>
      </c>
      <c r="F125" s="251">
        <f t="shared" si="2"/>
        <v>0</v>
      </c>
      <c r="G125" s="251">
        <f>SUMIF(Proventos!$A$2:$A200,A125,Proventos!$H$2:$H200)</f>
        <v>0</v>
      </c>
      <c r="H125" s="251">
        <f t="shared" si="3"/>
        <v>0</v>
      </c>
      <c r="I125" s="253" t="str">
        <f>IFERROR(VLOOKUP(A125,Ativos!$A$1:$G200,5,),)</f>
        <v/>
      </c>
      <c r="J125" s="254" t="str">
        <f>IFERROR(VLOOKUP(A125,Ativos!A:H,8,),"")</f>
        <v/>
      </c>
      <c r="K125" s="251">
        <f>IFERROR(SUMIF('Operações-Criptos'!C:C,"="&amp;A125,'Operações-Criptos'!O:O),0)</f>
        <v>0</v>
      </c>
    </row>
    <row r="126">
      <c r="A126" s="255"/>
      <c r="B126" s="251" t="str">
        <f>IFERROR(__xludf.DUMMYFUNCTION("IFERROR(GOOGLEFINANCE(A126),"""")"),"")</f>
        <v/>
      </c>
      <c r="C126" s="252">
        <f>IFERROR(__xludf.DUMMYFUNCTION("iferror(INDEX(arrayformula(filter('Operações-Criptos'!H:H,'Operações-Criptos'!C:C&lt;&gt;"""",row('Operações-Criptos'!C:C)=max(if('Operações-Criptos'!C:C=A126,row('Operações-Criptos'!C:C),0)))) ,1),0)"),0.0)</f>
        <v>0</v>
      </c>
      <c r="D126" s="251">
        <f t="shared" si="1"/>
        <v>0</v>
      </c>
      <c r="E126" s="251">
        <f>IFERROR(__xludf.DUMMYFUNCTION("iferror(INDEX(arrayformula(filter('Operações-Criptos'!L:L,'Operações-Criptos'!C:C&lt;&gt;"""",row('Operações-Criptos'!C:C)=max(if('Operações-Criptos'!C:C=A126,row('Operações-Criptos'!C:C),0)))) ,1),0)"),0.0)</f>
        <v>0</v>
      </c>
      <c r="F126" s="251">
        <f t="shared" si="2"/>
        <v>0</v>
      </c>
      <c r="G126" s="251">
        <f>SUMIF(Proventos!$A$2:$A200,A126,Proventos!$H$2:$H200)</f>
        <v>0</v>
      </c>
      <c r="H126" s="251">
        <f t="shared" si="3"/>
        <v>0</v>
      </c>
      <c r="I126" s="253" t="str">
        <f>IFERROR(VLOOKUP(A126,Ativos!$A$1:$G200,5,),)</f>
        <v/>
      </c>
      <c r="J126" s="254" t="str">
        <f>IFERROR(VLOOKUP(A126,Ativos!A:H,8,),"")</f>
        <v/>
      </c>
      <c r="K126" s="251">
        <f>IFERROR(SUMIF('Operações-Criptos'!C:C,"="&amp;A126,'Operações-Criptos'!O:O),0)</f>
        <v>0</v>
      </c>
    </row>
    <row r="127">
      <c r="A127" s="255"/>
      <c r="B127" s="251" t="str">
        <f>IFERROR(__xludf.DUMMYFUNCTION("IFERROR(GOOGLEFINANCE(A127),"""")"),"")</f>
        <v/>
      </c>
      <c r="C127" s="252">
        <f>IFERROR(__xludf.DUMMYFUNCTION("iferror(INDEX(arrayformula(filter('Operações-Criptos'!H:H,'Operações-Criptos'!C:C&lt;&gt;"""",row('Operações-Criptos'!C:C)=max(if('Operações-Criptos'!C:C=A127,row('Operações-Criptos'!C:C),0)))) ,1),0)"),0.0)</f>
        <v>0</v>
      </c>
      <c r="D127" s="251">
        <f t="shared" si="1"/>
        <v>0</v>
      </c>
      <c r="E127" s="251">
        <f>IFERROR(__xludf.DUMMYFUNCTION("iferror(INDEX(arrayformula(filter('Operações-Criptos'!L:L,'Operações-Criptos'!C:C&lt;&gt;"""",row('Operações-Criptos'!C:C)=max(if('Operações-Criptos'!C:C=A127,row('Operações-Criptos'!C:C),0)))) ,1),0)"),0.0)</f>
        <v>0</v>
      </c>
      <c r="F127" s="251">
        <f t="shared" si="2"/>
        <v>0</v>
      </c>
      <c r="G127" s="251">
        <f>SUMIF(Proventos!$A$2:$A200,A127,Proventos!$H$2:$H200)</f>
        <v>0</v>
      </c>
      <c r="H127" s="251">
        <f t="shared" si="3"/>
        <v>0</v>
      </c>
      <c r="I127" s="253" t="str">
        <f>IFERROR(VLOOKUP(A127,Ativos!$A$1:$G200,5,),)</f>
        <v/>
      </c>
      <c r="J127" s="254" t="str">
        <f>IFERROR(VLOOKUP(A127,Ativos!A:H,8,),"")</f>
        <v/>
      </c>
      <c r="K127" s="251">
        <f>IFERROR(SUMIF('Operações-Criptos'!C:C,"="&amp;A127,'Operações-Criptos'!O:O),0)</f>
        <v>0</v>
      </c>
    </row>
    <row r="128">
      <c r="A128" s="255"/>
      <c r="B128" s="251" t="str">
        <f>IFERROR(__xludf.DUMMYFUNCTION("IFERROR(GOOGLEFINANCE(A128),"""")"),"")</f>
        <v/>
      </c>
      <c r="C128" s="252">
        <f>IFERROR(__xludf.DUMMYFUNCTION("iferror(INDEX(arrayformula(filter('Operações-Criptos'!H:H,'Operações-Criptos'!C:C&lt;&gt;"""",row('Operações-Criptos'!C:C)=max(if('Operações-Criptos'!C:C=A128,row('Operações-Criptos'!C:C),0)))) ,1),0)"),0.0)</f>
        <v>0</v>
      </c>
      <c r="D128" s="251">
        <f t="shared" si="1"/>
        <v>0</v>
      </c>
      <c r="E128" s="251">
        <f>IFERROR(__xludf.DUMMYFUNCTION("iferror(INDEX(arrayformula(filter('Operações-Criptos'!L:L,'Operações-Criptos'!C:C&lt;&gt;"""",row('Operações-Criptos'!C:C)=max(if('Operações-Criptos'!C:C=A128,row('Operações-Criptos'!C:C),0)))) ,1),0)"),0.0)</f>
        <v>0</v>
      </c>
      <c r="F128" s="251">
        <f t="shared" si="2"/>
        <v>0</v>
      </c>
      <c r="G128" s="251">
        <f>SUMIF(Proventos!$A$2:$A200,A128,Proventos!$H$2:$H200)</f>
        <v>0</v>
      </c>
      <c r="H128" s="251">
        <f t="shared" si="3"/>
        <v>0</v>
      </c>
      <c r="I128" s="253" t="str">
        <f>IFERROR(VLOOKUP(A128,Ativos!$A$1:$G200,5,),)</f>
        <v/>
      </c>
      <c r="J128" s="254" t="str">
        <f>IFERROR(VLOOKUP(A128,Ativos!A:H,8,),"")</f>
        <v/>
      </c>
      <c r="K128" s="251">
        <f>IFERROR(SUMIF('Operações-Criptos'!C:C,"="&amp;A128,'Operações-Criptos'!O:O),0)</f>
        <v>0</v>
      </c>
    </row>
    <row r="129">
      <c r="A129" s="255"/>
      <c r="B129" s="251" t="str">
        <f>IFERROR(__xludf.DUMMYFUNCTION("IFERROR(GOOGLEFINANCE(A129),"""")"),"")</f>
        <v/>
      </c>
      <c r="C129" s="252">
        <f>IFERROR(__xludf.DUMMYFUNCTION("iferror(INDEX(arrayformula(filter('Operações-Criptos'!H:H,'Operações-Criptos'!C:C&lt;&gt;"""",row('Operações-Criptos'!C:C)=max(if('Operações-Criptos'!C:C=A129,row('Operações-Criptos'!C:C),0)))) ,1),0)"),0.0)</f>
        <v>0</v>
      </c>
      <c r="D129" s="251">
        <f t="shared" si="1"/>
        <v>0</v>
      </c>
      <c r="E129" s="251">
        <f>IFERROR(__xludf.DUMMYFUNCTION("iferror(INDEX(arrayformula(filter('Operações-Criptos'!L:L,'Operações-Criptos'!C:C&lt;&gt;"""",row('Operações-Criptos'!C:C)=max(if('Operações-Criptos'!C:C=A129,row('Operações-Criptos'!C:C),0)))) ,1),0)"),0.0)</f>
        <v>0</v>
      </c>
      <c r="F129" s="251">
        <f t="shared" si="2"/>
        <v>0</v>
      </c>
      <c r="G129" s="251">
        <f>SUMIF(Proventos!$A$2:$A200,A129,Proventos!$H$2:$H200)</f>
        <v>0</v>
      </c>
      <c r="H129" s="251">
        <f t="shared" si="3"/>
        <v>0</v>
      </c>
      <c r="I129" s="253" t="str">
        <f>IFERROR(VLOOKUP(A129,Ativos!$A$1:$G200,5,),)</f>
        <v/>
      </c>
      <c r="J129" s="254" t="str">
        <f>IFERROR(VLOOKUP(A129,Ativos!A:H,8,),"")</f>
        <v/>
      </c>
      <c r="K129" s="251">
        <f>IFERROR(SUMIF('Operações-Criptos'!C:C,"="&amp;A129,'Operações-Criptos'!O:O),0)</f>
        <v>0</v>
      </c>
    </row>
    <row r="130">
      <c r="A130" s="255"/>
      <c r="B130" s="251" t="str">
        <f>IFERROR(__xludf.DUMMYFUNCTION("IFERROR(GOOGLEFINANCE(A130),"""")"),"")</f>
        <v/>
      </c>
      <c r="C130" s="252">
        <f>IFERROR(__xludf.DUMMYFUNCTION("iferror(INDEX(arrayformula(filter('Operações-Criptos'!H:H,'Operações-Criptos'!C:C&lt;&gt;"""",row('Operações-Criptos'!C:C)=max(if('Operações-Criptos'!C:C=A130,row('Operações-Criptos'!C:C),0)))) ,1),0)"),0.0)</f>
        <v>0</v>
      </c>
      <c r="D130" s="251">
        <f t="shared" si="1"/>
        <v>0</v>
      </c>
      <c r="E130" s="251">
        <f>IFERROR(__xludf.DUMMYFUNCTION("iferror(INDEX(arrayformula(filter('Operações-Criptos'!L:L,'Operações-Criptos'!C:C&lt;&gt;"""",row('Operações-Criptos'!C:C)=max(if('Operações-Criptos'!C:C=A130,row('Operações-Criptos'!C:C),0)))) ,1),0)"),0.0)</f>
        <v>0</v>
      </c>
      <c r="F130" s="251">
        <f t="shared" si="2"/>
        <v>0</v>
      </c>
      <c r="G130" s="251">
        <f>SUMIF(Proventos!$A$2:$A200,A130,Proventos!$H$2:$H200)</f>
        <v>0</v>
      </c>
      <c r="H130" s="251">
        <f t="shared" si="3"/>
        <v>0</v>
      </c>
      <c r="I130" s="253" t="str">
        <f>IFERROR(VLOOKUP(A130,Ativos!$A$1:$G200,5,),)</f>
        <v/>
      </c>
      <c r="J130" s="254" t="str">
        <f>IFERROR(VLOOKUP(A130,Ativos!A:H,8,),"")</f>
        <v/>
      </c>
      <c r="K130" s="251">
        <f>IFERROR(SUMIF('Operações-Criptos'!C:C,"="&amp;A130,'Operações-Criptos'!O:O),0)</f>
        <v>0</v>
      </c>
    </row>
    <row r="131">
      <c r="A131" s="255"/>
      <c r="B131" s="251" t="str">
        <f>IFERROR(__xludf.DUMMYFUNCTION("IFERROR(GOOGLEFINANCE(A131),"""")"),"")</f>
        <v/>
      </c>
      <c r="C131" s="252">
        <f>IFERROR(__xludf.DUMMYFUNCTION("iferror(INDEX(arrayformula(filter('Operações-Criptos'!H:H,'Operações-Criptos'!C:C&lt;&gt;"""",row('Operações-Criptos'!C:C)=max(if('Operações-Criptos'!C:C=A131,row('Operações-Criptos'!C:C),0)))) ,1),0)"),0.0)</f>
        <v>0</v>
      </c>
      <c r="D131" s="251">
        <f t="shared" si="1"/>
        <v>0</v>
      </c>
      <c r="E131" s="251">
        <f>IFERROR(__xludf.DUMMYFUNCTION("iferror(INDEX(arrayformula(filter('Operações-Criptos'!L:L,'Operações-Criptos'!C:C&lt;&gt;"""",row('Operações-Criptos'!C:C)=max(if('Operações-Criptos'!C:C=A131,row('Operações-Criptos'!C:C),0)))) ,1),0)"),0.0)</f>
        <v>0</v>
      </c>
      <c r="F131" s="251">
        <f t="shared" si="2"/>
        <v>0</v>
      </c>
      <c r="G131" s="251">
        <f>SUMIF(Proventos!$A$2:$A200,A131,Proventos!$H$2:$H200)</f>
        <v>0</v>
      </c>
      <c r="H131" s="251">
        <f t="shared" si="3"/>
        <v>0</v>
      </c>
      <c r="I131" s="253" t="str">
        <f>IFERROR(VLOOKUP(A131,Ativos!$A$1:$G200,5,),)</f>
        <v/>
      </c>
      <c r="J131" s="254" t="str">
        <f>IFERROR(VLOOKUP(A131,Ativos!A:H,8,),"")</f>
        <v/>
      </c>
      <c r="K131" s="251">
        <f>IFERROR(SUMIF('Operações-Criptos'!C:C,"="&amp;A131,'Operações-Criptos'!O:O),0)</f>
        <v>0</v>
      </c>
    </row>
    <row r="132">
      <c r="A132" s="255"/>
      <c r="B132" s="251" t="str">
        <f>IFERROR(__xludf.DUMMYFUNCTION("IFERROR(GOOGLEFINANCE(A132),"""")"),"")</f>
        <v/>
      </c>
      <c r="C132" s="252">
        <f>IFERROR(__xludf.DUMMYFUNCTION("iferror(INDEX(arrayformula(filter('Operações-Criptos'!H:H,'Operações-Criptos'!C:C&lt;&gt;"""",row('Operações-Criptos'!C:C)=max(if('Operações-Criptos'!C:C=A132,row('Operações-Criptos'!C:C),0)))) ,1),0)"),0.0)</f>
        <v>0</v>
      </c>
      <c r="D132" s="251">
        <f t="shared" si="1"/>
        <v>0</v>
      </c>
      <c r="E132" s="251">
        <f>IFERROR(__xludf.DUMMYFUNCTION("iferror(INDEX(arrayformula(filter('Operações-Criptos'!L:L,'Operações-Criptos'!C:C&lt;&gt;"""",row('Operações-Criptos'!C:C)=max(if('Operações-Criptos'!C:C=A132,row('Operações-Criptos'!C:C),0)))) ,1),0)"),0.0)</f>
        <v>0</v>
      </c>
      <c r="F132" s="251">
        <f t="shared" si="2"/>
        <v>0</v>
      </c>
      <c r="G132" s="251">
        <f>SUMIF(Proventos!$A$2:$A200,A132,Proventos!$H$2:$H200)</f>
        <v>0</v>
      </c>
      <c r="H132" s="251">
        <f t="shared" si="3"/>
        <v>0</v>
      </c>
      <c r="I132" s="253" t="str">
        <f>IFERROR(VLOOKUP(A132,Ativos!$A$1:$G200,5,),)</f>
        <v/>
      </c>
      <c r="J132" s="254" t="str">
        <f>IFERROR(VLOOKUP(A132,Ativos!A:H,8,),"")</f>
        <v/>
      </c>
      <c r="K132" s="251">
        <f>IFERROR(SUMIF('Operações-Criptos'!C:C,"="&amp;A132,'Operações-Criptos'!O:O),0)</f>
        <v>0</v>
      </c>
    </row>
    <row r="133">
      <c r="A133" s="255"/>
      <c r="B133" s="251" t="str">
        <f>IFERROR(__xludf.DUMMYFUNCTION("IFERROR(GOOGLEFINANCE(A133),"""")"),"")</f>
        <v/>
      </c>
      <c r="C133" s="252">
        <f>IFERROR(__xludf.DUMMYFUNCTION("iferror(INDEX(arrayformula(filter('Operações-Criptos'!H:H,'Operações-Criptos'!C:C&lt;&gt;"""",row('Operações-Criptos'!C:C)=max(if('Operações-Criptos'!C:C=A133,row('Operações-Criptos'!C:C),0)))) ,1),0)"),0.0)</f>
        <v>0</v>
      </c>
      <c r="D133" s="251">
        <f t="shared" si="1"/>
        <v>0</v>
      </c>
      <c r="E133" s="251">
        <f>IFERROR(__xludf.DUMMYFUNCTION("iferror(INDEX(arrayformula(filter('Operações-Criptos'!L:L,'Operações-Criptos'!C:C&lt;&gt;"""",row('Operações-Criptos'!C:C)=max(if('Operações-Criptos'!C:C=A133,row('Operações-Criptos'!C:C),0)))) ,1),0)"),0.0)</f>
        <v>0</v>
      </c>
      <c r="F133" s="251">
        <f t="shared" si="2"/>
        <v>0</v>
      </c>
      <c r="G133" s="251">
        <f>SUMIF(Proventos!$A$2:$A200,A133,Proventos!$H$2:$H200)</f>
        <v>0</v>
      </c>
      <c r="H133" s="251">
        <f t="shared" si="3"/>
        <v>0</v>
      </c>
      <c r="I133" s="253" t="str">
        <f>IFERROR(VLOOKUP(A133,Ativos!$A$1:$G200,5,),)</f>
        <v/>
      </c>
      <c r="J133" s="254" t="str">
        <f>IFERROR(VLOOKUP(A133,Ativos!A:H,8,),"")</f>
        <v/>
      </c>
      <c r="K133" s="251">
        <f>IFERROR(SUMIF('Operações-Criptos'!C:C,"="&amp;A133,'Operações-Criptos'!O:O),0)</f>
        <v>0</v>
      </c>
    </row>
    <row r="134">
      <c r="A134" s="255"/>
      <c r="B134" s="251" t="str">
        <f>IFERROR(__xludf.DUMMYFUNCTION("IFERROR(GOOGLEFINANCE(A134),"""")"),"")</f>
        <v/>
      </c>
      <c r="C134" s="252">
        <f>IFERROR(__xludf.DUMMYFUNCTION("iferror(INDEX(arrayformula(filter('Operações-Criptos'!H:H,'Operações-Criptos'!C:C&lt;&gt;"""",row('Operações-Criptos'!C:C)=max(if('Operações-Criptos'!C:C=A134,row('Operações-Criptos'!C:C),0)))) ,1),0)"),0.0)</f>
        <v>0</v>
      </c>
      <c r="D134" s="251">
        <f t="shared" si="1"/>
        <v>0</v>
      </c>
      <c r="E134" s="251">
        <f>IFERROR(__xludf.DUMMYFUNCTION("iferror(INDEX(arrayformula(filter('Operações-Criptos'!L:L,'Operações-Criptos'!C:C&lt;&gt;"""",row('Operações-Criptos'!C:C)=max(if('Operações-Criptos'!C:C=A134,row('Operações-Criptos'!C:C),0)))) ,1),0)"),0.0)</f>
        <v>0</v>
      </c>
      <c r="F134" s="251">
        <f t="shared" si="2"/>
        <v>0</v>
      </c>
      <c r="G134" s="251">
        <f>SUMIF(Proventos!$A$2:$A200,A134,Proventos!$H$2:$H200)</f>
        <v>0</v>
      </c>
      <c r="H134" s="251">
        <f t="shared" si="3"/>
        <v>0</v>
      </c>
      <c r="I134" s="253" t="str">
        <f>IFERROR(VLOOKUP(A134,Ativos!$A$1:$G200,5,),)</f>
        <v/>
      </c>
      <c r="J134" s="254" t="str">
        <f>IFERROR(VLOOKUP(A134,Ativos!A:H,8,),"")</f>
        <v/>
      </c>
      <c r="K134" s="251">
        <f>IFERROR(SUMIF('Operações-Criptos'!C:C,"="&amp;A134,'Operações-Criptos'!O:O),0)</f>
        <v>0</v>
      </c>
    </row>
    <row r="135">
      <c r="A135" s="255"/>
      <c r="B135" s="251" t="str">
        <f>IFERROR(__xludf.DUMMYFUNCTION("IFERROR(GOOGLEFINANCE(A135),"""")"),"")</f>
        <v/>
      </c>
      <c r="C135" s="252">
        <f>IFERROR(__xludf.DUMMYFUNCTION("iferror(INDEX(arrayformula(filter('Operações-Criptos'!H:H,'Operações-Criptos'!C:C&lt;&gt;"""",row('Operações-Criptos'!C:C)=max(if('Operações-Criptos'!C:C=A135,row('Operações-Criptos'!C:C),0)))) ,1),0)"),0.0)</f>
        <v>0</v>
      </c>
      <c r="D135" s="251">
        <f t="shared" si="1"/>
        <v>0</v>
      </c>
      <c r="E135" s="251">
        <f>IFERROR(__xludf.DUMMYFUNCTION("iferror(INDEX(arrayformula(filter('Operações-Criptos'!L:L,'Operações-Criptos'!C:C&lt;&gt;"""",row('Operações-Criptos'!C:C)=max(if('Operações-Criptos'!C:C=A135,row('Operações-Criptos'!C:C),0)))) ,1),0)"),0.0)</f>
        <v>0</v>
      </c>
      <c r="F135" s="251">
        <f t="shared" si="2"/>
        <v>0</v>
      </c>
      <c r="G135" s="251">
        <f>SUMIF(Proventos!$A$2:$A200,A135,Proventos!$H$2:$H200)</f>
        <v>0</v>
      </c>
      <c r="H135" s="251">
        <f t="shared" si="3"/>
        <v>0</v>
      </c>
      <c r="I135" s="253" t="str">
        <f>IFERROR(VLOOKUP(A135,Ativos!$A$1:$G200,5,),)</f>
        <v/>
      </c>
      <c r="J135" s="254" t="str">
        <f>IFERROR(VLOOKUP(A135,Ativos!A:H,8,),"")</f>
        <v/>
      </c>
      <c r="K135" s="251">
        <f>IFERROR(SUMIF('Operações-Criptos'!C:C,"="&amp;A135,'Operações-Criptos'!O:O),0)</f>
        <v>0</v>
      </c>
    </row>
    <row r="136">
      <c r="A136" s="255"/>
      <c r="B136" s="251" t="str">
        <f>IFERROR(__xludf.DUMMYFUNCTION("IFERROR(GOOGLEFINANCE(A136),"""")"),"")</f>
        <v/>
      </c>
      <c r="C136" s="252">
        <f>IFERROR(__xludf.DUMMYFUNCTION("iferror(INDEX(arrayformula(filter('Operações-Criptos'!H:H,'Operações-Criptos'!C:C&lt;&gt;"""",row('Operações-Criptos'!C:C)=max(if('Operações-Criptos'!C:C=A136,row('Operações-Criptos'!C:C),0)))) ,1),0)"),0.0)</f>
        <v>0</v>
      </c>
      <c r="D136" s="251">
        <f t="shared" si="1"/>
        <v>0</v>
      </c>
      <c r="E136" s="251">
        <f>IFERROR(__xludf.DUMMYFUNCTION("iferror(INDEX(arrayformula(filter('Operações-Criptos'!L:L,'Operações-Criptos'!C:C&lt;&gt;"""",row('Operações-Criptos'!C:C)=max(if('Operações-Criptos'!C:C=A136,row('Operações-Criptos'!C:C),0)))) ,1),0)"),0.0)</f>
        <v>0</v>
      </c>
      <c r="F136" s="251">
        <f t="shared" si="2"/>
        <v>0</v>
      </c>
      <c r="G136" s="251">
        <f>SUMIF(Proventos!$A$2:$A200,A136,Proventos!$H$2:$H200)</f>
        <v>0</v>
      </c>
      <c r="H136" s="251">
        <f t="shared" si="3"/>
        <v>0</v>
      </c>
      <c r="I136" s="253" t="str">
        <f>IFERROR(VLOOKUP(A136,Ativos!$A$1:$G200,5,),)</f>
        <v/>
      </c>
      <c r="J136" s="254" t="str">
        <f>IFERROR(VLOOKUP(A136,Ativos!A:H,8,),"")</f>
        <v/>
      </c>
      <c r="K136" s="251">
        <f>IFERROR(SUMIF('Operações-Criptos'!C:C,"="&amp;A136,'Operações-Criptos'!O:O),0)</f>
        <v>0</v>
      </c>
    </row>
    <row r="137">
      <c r="A137" s="255"/>
      <c r="B137" s="251" t="str">
        <f>IFERROR(__xludf.DUMMYFUNCTION("IFERROR(GOOGLEFINANCE(A137),"""")"),"")</f>
        <v/>
      </c>
      <c r="C137" s="252">
        <f>IFERROR(__xludf.DUMMYFUNCTION("iferror(INDEX(arrayformula(filter('Operações-Criptos'!H:H,'Operações-Criptos'!C:C&lt;&gt;"""",row('Operações-Criptos'!C:C)=max(if('Operações-Criptos'!C:C=A137,row('Operações-Criptos'!C:C),0)))) ,1),0)"),0.0)</f>
        <v>0</v>
      </c>
      <c r="D137" s="251">
        <f t="shared" si="1"/>
        <v>0</v>
      </c>
      <c r="E137" s="251">
        <f>IFERROR(__xludf.DUMMYFUNCTION("iferror(INDEX(arrayformula(filter('Operações-Criptos'!L:L,'Operações-Criptos'!C:C&lt;&gt;"""",row('Operações-Criptos'!C:C)=max(if('Operações-Criptos'!C:C=A137,row('Operações-Criptos'!C:C),0)))) ,1),0)"),0.0)</f>
        <v>0</v>
      </c>
      <c r="F137" s="251">
        <f t="shared" si="2"/>
        <v>0</v>
      </c>
      <c r="G137" s="251">
        <f>SUMIF(Proventos!$A$2:$A200,A137,Proventos!$H$2:$H200)</f>
        <v>0</v>
      </c>
      <c r="H137" s="251">
        <f t="shared" si="3"/>
        <v>0</v>
      </c>
      <c r="I137" s="253" t="str">
        <f>IFERROR(VLOOKUP(A137,Ativos!$A$1:$G200,5,),)</f>
        <v/>
      </c>
      <c r="J137" s="254" t="str">
        <f>IFERROR(VLOOKUP(A137,Ativos!A:H,8,),"")</f>
        <v/>
      </c>
      <c r="K137" s="251">
        <f>IFERROR(SUMIF('Operações-Criptos'!C:C,"="&amp;A137,'Operações-Criptos'!O:O),0)</f>
        <v>0</v>
      </c>
    </row>
    <row r="138">
      <c r="A138" s="255"/>
      <c r="B138" s="251" t="str">
        <f>IFERROR(__xludf.DUMMYFUNCTION("IFERROR(GOOGLEFINANCE(A138),"""")"),"")</f>
        <v/>
      </c>
      <c r="C138" s="252">
        <f>IFERROR(__xludf.DUMMYFUNCTION("iferror(INDEX(arrayformula(filter('Operações-Criptos'!H:H,'Operações-Criptos'!C:C&lt;&gt;"""",row('Operações-Criptos'!C:C)=max(if('Operações-Criptos'!C:C=A138,row('Operações-Criptos'!C:C),0)))) ,1),0)"),0.0)</f>
        <v>0</v>
      </c>
      <c r="D138" s="251">
        <f t="shared" si="1"/>
        <v>0</v>
      </c>
      <c r="E138" s="251">
        <f>IFERROR(__xludf.DUMMYFUNCTION("iferror(INDEX(arrayformula(filter('Operações-Criptos'!L:L,'Operações-Criptos'!C:C&lt;&gt;"""",row('Operações-Criptos'!C:C)=max(if('Operações-Criptos'!C:C=A138,row('Operações-Criptos'!C:C),0)))) ,1),0)"),0.0)</f>
        <v>0</v>
      </c>
      <c r="F138" s="251">
        <f t="shared" si="2"/>
        <v>0</v>
      </c>
      <c r="G138" s="251">
        <f>SUMIF(Proventos!$A$2:$A200,A138,Proventos!$H$2:$H200)</f>
        <v>0</v>
      </c>
      <c r="H138" s="251">
        <f t="shared" si="3"/>
        <v>0</v>
      </c>
      <c r="I138" s="253" t="str">
        <f>IFERROR(VLOOKUP(A138,Ativos!$A$1:$G200,5,),)</f>
        <v/>
      </c>
      <c r="J138" s="254" t="str">
        <f>IFERROR(VLOOKUP(A138,Ativos!A:H,8,),"")</f>
        <v/>
      </c>
      <c r="K138" s="251">
        <f>IFERROR(SUMIF('Operações-Criptos'!C:C,"="&amp;A138,'Operações-Criptos'!O:O),0)</f>
        <v>0</v>
      </c>
    </row>
    <row r="139">
      <c r="A139" s="255"/>
      <c r="B139" s="251" t="str">
        <f>IFERROR(__xludf.DUMMYFUNCTION("IFERROR(GOOGLEFINANCE(A139),"""")"),"")</f>
        <v/>
      </c>
      <c r="C139" s="252">
        <f>IFERROR(__xludf.DUMMYFUNCTION("iferror(INDEX(arrayformula(filter('Operações-Criptos'!H:H,'Operações-Criptos'!C:C&lt;&gt;"""",row('Operações-Criptos'!C:C)=max(if('Operações-Criptos'!C:C=A139,row('Operações-Criptos'!C:C),0)))) ,1),0)"),0.0)</f>
        <v>0</v>
      </c>
      <c r="D139" s="251">
        <f t="shared" si="1"/>
        <v>0</v>
      </c>
      <c r="E139" s="251">
        <f>IFERROR(__xludf.DUMMYFUNCTION("iferror(INDEX(arrayformula(filter('Operações-Criptos'!L:L,'Operações-Criptos'!C:C&lt;&gt;"""",row('Operações-Criptos'!C:C)=max(if('Operações-Criptos'!C:C=A139,row('Operações-Criptos'!C:C),0)))) ,1),0)"),0.0)</f>
        <v>0</v>
      </c>
      <c r="F139" s="251">
        <f t="shared" si="2"/>
        <v>0</v>
      </c>
      <c r="G139" s="251">
        <f>SUMIF(Proventos!$A$2:$A200,A139,Proventos!$H$2:$H200)</f>
        <v>0</v>
      </c>
      <c r="H139" s="251">
        <f t="shared" si="3"/>
        <v>0</v>
      </c>
      <c r="I139" s="253" t="str">
        <f>IFERROR(VLOOKUP(A139,Ativos!$A$1:$G200,5,),)</f>
        <v/>
      </c>
      <c r="J139" s="254" t="str">
        <f>IFERROR(VLOOKUP(A139,Ativos!A:H,8,),"")</f>
        <v/>
      </c>
      <c r="K139" s="251">
        <f>IFERROR(SUMIF('Operações-Criptos'!C:C,"="&amp;A139,'Operações-Criptos'!O:O),0)</f>
        <v>0</v>
      </c>
    </row>
    <row r="140">
      <c r="A140" s="255"/>
      <c r="B140" s="251" t="str">
        <f>IFERROR(__xludf.DUMMYFUNCTION("IFERROR(GOOGLEFINANCE(A140),"""")"),"")</f>
        <v/>
      </c>
      <c r="C140" s="252">
        <f>IFERROR(__xludf.DUMMYFUNCTION("iferror(INDEX(arrayformula(filter('Operações-Criptos'!H:H,'Operações-Criptos'!C:C&lt;&gt;"""",row('Operações-Criptos'!C:C)=max(if('Operações-Criptos'!C:C=A140,row('Operações-Criptos'!C:C),0)))) ,1),0)"),0.0)</f>
        <v>0</v>
      </c>
      <c r="D140" s="251">
        <f t="shared" si="1"/>
        <v>0</v>
      </c>
      <c r="E140" s="251">
        <f>IFERROR(__xludf.DUMMYFUNCTION("iferror(INDEX(arrayformula(filter('Operações-Criptos'!L:L,'Operações-Criptos'!C:C&lt;&gt;"""",row('Operações-Criptos'!C:C)=max(if('Operações-Criptos'!C:C=A140,row('Operações-Criptos'!C:C),0)))) ,1),0)"),0.0)</f>
        <v>0</v>
      </c>
      <c r="F140" s="251">
        <f t="shared" si="2"/>
        <v>0</v>
      </c>
      <c r="G140" s="251">
        <f>SUMIF(Proventos!$A$2:$A200,A140,Proventos!$H$2:$H200)</f>
        <v>0</v>
      </c>
      <c r="H140" s="251">
        <f t="shared" si="3"/>
        <v>0</v>
      </c>
      <c r="I140" s="253" t="str">
        <f>IFERROR(VLOOKUP(A140,Ativos!$A$1:$G200,5,),)</f>
        <v/>
      </c>
      <c r="J140" s="254" t="str">
        <f>IFERROR(VLOOKUP(A140,Ativos!A:H,8,),"")</f>
        <v/>
      </c>
      <c r="K140" s="251">
        <f>IFERROR(SUMIF('Operações-Criptos'!C:C,"="&amp;A140,'Operações-Criptos'!O:O),0)</f>
        <v>0</v>
      </c>
    </row>
    <row r="141">
      <c r="A141" s="255"/>
      <c r="B141" s="251" t="str">
        <f>IFERROR(__xludf.DUMMYFUNCTION("IFERROR(GOOGLEFINANCE(A141),"""")"),"")</f>
        <v/>
      </c>
      <c r="C141" s="252">
        <f>IFERROR(__xludf.DUMMYFUNCTION("iferror(INDEX(arrayformula(filter('Operações-Criptos'!H:H,'Operações-Criptos'!C:C&lt;&gt;"""",row('Operações-Criptos'!C:C)=max(if('Operações-Criptos'!C:C=A141,row('Operações-Criptos'!C:C),0)))) ,1),0)"),0.0)</f>
        <v>0</v>
      </c>
      <c r="D141" s="251">
        <f t="shared" si="1"/>
        <v>0</v>
      </c>
      <c r="E141" s="251">
        <f>IFERROR(__xludf.DUMMYFUNCTION("iferror(INDEX(arrayformula(filter('Operações-Criptos'!L:L,'Operações-Criptos'!C:C&lt;&gt;"""",row('Operações-Criptos'!C:C)=max(if('Operações-Criptos'!C:C=A141,row('Operações-Criptos'!C:C),0)))) ,1),0)"),0.0)</f>
        <v>0</v>
      </c>
      <c r="F141" s="251">
        <f t="shared" si="2"/>
        <v>0</v>
      </c>
      <c r="G141" s="251">
        <f>SUMIF(Proventos!$A$2:$A200,A141,Proventos!$H$2:$H200)</f>
        <v>0</v>
      </c>
      <c r="H141" s="251">
        <f t="shared" si="3"/>
        <v>0</v>
      </c>
      <c r="I141" s="253" t="str">
        <f>IFERROR(VLOOKUP(A141,Ativos!$A$1:$G200,5,),)</f>
        <v/>
      </c>
      <c r="J141" s="254" t="str">
        <f>IFERROR(VLOOKUP(A141,Ativos!A:H,8,),"")</f>
        <v/>
      </c>
      <c r="K141" s="251">
        <f>IFERROR(SUMIF('Operações-Criptos'!C:C,"="&amp;A141,'Operações-Criptos'!O:O),0)</f>
        <v>0</v>
      </c>
    </row>
    <row r="142">
      <c r="A142" s="255"/>
      <c r="B142" s="251" t="str">
        <f>IFERROR(__xludf.DUMMYFUNCTION("IFERROR(GOOGLEFINANCE(A142),"""")"),"")</f>
        <v/>
      </c>
      <c r="C142" s="252">
        <f>IFERROR(__xludf.DUMMYFUNCTION("iferror(INDEX(arrayformula(filter('Operações-Criptos'!H:H,'Operações-Criptos'!C:C&lt;&gt;"""",row('Operações-Criptos'!C:C)=max(if('Operações-Criptos'!C:C=A142,row('Operações-Criptos'!C:C),0)))) ,1),0)"),0.0)</f>
        <v>0</v>
      </c>
      <c r="D142" s="251">
        <f t="shared" si="1"/>
        <v>0</v>
      </c>
      <c r="E142" s="251">
        <f>IFERROR(__xludf.DUMMYFUNCTION("iferror(INDEX(arrayformula(filter('Operações-Criptos'!L:L,'Operações-Criptos'!C:C&lt;&gt;"""",row('Operações-Criptos'!C:C)=max(if('Operações-Criptos'!C:C=A142,row('Operações-Criptos'!C:C),0)))) ,1),0)"),0.0)</f>
        <v>0</v>
      </c>
      <c r="F142" s="251">
        <f t="shared" si="2"/>
        <v>0</v>
      </c>
      <c r="G142" s="251">
        <f>SUMIF(Proventos!$A$2:$A200,A142,Proventos!$H$2:$H200)</f>
        <v>0</v>
      </c>
      <c r="H142" s="251">
        <f t="shared" si="3"/>
        <v>0</v>
      </c>
      <c r="I142" s="253" t="str">
        <f>IFERROR(VLOOKUP(A142,Ativos!$A$1:$G200,5,),)</f>
        <v/>
      </c>
      <c r="J142" s="254" t="str">
        <f>IFERROR(VLOOKUP(A142,Ativos!A:H,8,),"")</f>
        <v/>
      </c>
      <c r="K142" s="251">
        <f>IFERROR(SUMIF('Operações-Criptos'!C:C,"="&amp;A142,'Operações-Criptos'!O:O),0)</f>
        <v>0</v>
      </c>
    </row>
    <row r="143">
      <c r="A143" s="255"/>
      <c r="B143" s="251" t="str">
        <f>IFERROR(__xludf.DUMMYFUNCTION("IFERROR(GOOGLEFINANCE(A143),"""")"),"")</f>
        <v/>
      </c>
      <c r="C143" s="252">
        <f>IFERROR(__xludf.DUMMYFUNCTION("iferror(INDEX(arrayformula(filter('Operações-Criptos'!H:H,'Operações-Criptos'!C:C&lt;&gt;"""",row('Operações-Criptos'!C:C)=max(if('Operações-Criptos'!C:C=A143,row('Operações-Criptos'!C:C),0)))) ,1),0)"),0.0)</f>
        <v>0</v>
      </c>
      <c r="D143" s="251">
        <f t="shared" si="1"/>
        <v>0</v>
      </c>
      <c r="E143" s="251">
        <f>IFERROR(__xludf.DUMMYFUNCTION("iferror(INDEX(arrayformula(filter('Operações-Criptos'!L:L,'Operações-Criptos'!C:C&lt;&gt;"""",row('Operações-Criptos'!C:C)=max(if('Operações-Criptos'!C:C=A143,row('Operações-Criptos'!C:C),0)))) ,1),0)"),0.0)</f>
        <v>0</v>
      </c>
      <c r="F143" s="251">
        <f t="shared" si="2"/>
        <v>0</v>
      </c>
      <c r="G143" s="251">
        <f>SUMIF(Proventos!$A$2:$A200,A143,Proventos!$H$2:$H200)</f>
        <v>0</v>
      </c>
      <c r="H143" s="251">
        <f t="shared" si="3"/>
        <v>0</v>
      </c>
      <c r="I143" s="253" t="str">
        <f>IFERROR(VLOOKUP(A143,Ativos!$A$1:$G200,5,),)</f>
        <v/>
      </c>
      <c r="J143" s="254" t="str">
        <f>IFERROR(VLOOKUP(A143,Ativos!A:H,8,),"")</f>
        <v/>
      </c>
      <c r="K143" s="251">
        <f>IFERROR(SUMIF('Operações-Criptos'!C:C,"="&amp;A143,'Operações-Criptos'!O:O),0)</f>
        <v>0</v>
      </c>
    </row>
    <row r="144">
      <c r="A144" s="255"/>
      <c r="B144" s="251" t="str">
        <f>IFERROR(__xludf.DUMMYFUNCTION("IFERROR(GOOGLEFINANCE(A144),"""")"),"")</f>
        <v/>
      </c>
      <c r="C144" s="252">
        <f>IFERROR(__xludf.DUMMYFUNCTION("iferror(INDEX(arrayformula(filter('Operações-Criptos'!H:H,'Operações-Criptos'!C:C&lt;&gt;"""",row('Operações-Criptos'!C:C)=max(if('Operações-Criptos'!C:C=A144,row('Operações-Criptos'!C:C),0)))) ,1),0)"),0.0)</f>
        <v>0</v>
      </c>
      <c r="D144" s="251">
        <f t="shared" si="1"/>
        <v>0</v>
      </c>
      <c r="E144" s="251">
        <f>IFERROR(__xludf.DUMMYFUNCTION("iferror(INDEX(arrayformula(filter('Operações-Criptos'!L:L,'Operações-Criptos'!C:C&lt;&gt;"""",row('Operações-Criptos'!C:C)=max(if('Operações-Criptos'!C:C=A144,row('Operações-Criptos'!C:C),0)))) ,1),0)"),0.0)</f>
        <v>0</v>
      </c>
      <c r="F144" s="251">
        <f t="shared" si="2"/>
        <v>0</v>
      </c>
      <c r="G144" s="251">
        <f>SUMIF(Proventos!$A$2:$A200,A144,Proventos!$H$2:$H200)</f>
        <v>0</v>
      </c>
      <c r="H144" s="251">
        <f t="shared" si="3"/>
        <v>0</v>
      </c>
      <c r="I144" s="253" t="str">
        <f>IFERROR(VLOOKUP(A144,Ativos!$A$1:$G200,5,),)</f>
        <v/>
      </c>
      <c r="J144" s="254" t="str">
        <f>IFERROR(VLOOKUP(A144,Ativos!A:H,8,),"")</f>
        <v/>
      </c>
      <c r="K144" s="251">
        <f>IFERROR(SUMIF('Operações-Criptos'!C:C,"="&amp;A144,'Operações-Criptos'!O:O),0)</f>
        <v>0</v>
      </c>
    </row>
    <row r="145">
      <c r="A145" s="255"/>
      <c r="B145" s="251" t="str">
        <f>IFERROR(__xludf.DUMMYFUNCTION("IFERROR(GOOGLEFINANCE(A145),"""")"),"")</f>
        <v/>
      </c>
      <c r="C145" s="252">
        <f>IFERROR(__xludf.DUMMYFUNCTION("iferror(INDEX(arrayformula(filter('Operações-Criptos'!H:H,'Operações-Criptos'!C:C&lt;&gt;"""",row('Operações-Criptos'!C:C)=max(if('Operações-Criptos'!C:C=A145,row('Operações-Criptos'!C:C),0)))) ,1),0)"),0.0)</f>
        <v>0</v>
      </c>
      <c r="D145" s="251">
        <f t="shared" si="1"/>
        <v>0</v>
      </c>
      <c r="E145" s="251">
        <f>IFERROR(__xludf.DUMMYFUNCTION("iferror(INDEX(arrayformula(filter('Operações-Criptos'!L:L,'Operações-Criptos'!C:C&lt;&gt;"""",row('Operações-Criptos'!C:C)=max(if('Operações-Criptos'!C:C=A145,row('Operações-Criptos'!C:C),0)))) ,1),0)"),0.0)</f>
        <v>0</v>
      </c>
      <c r="F145" s="251">
        <f t="shared" si="2"/>
        <v>0</v>
      </c>
      <c r="G145" s="251">
        <f>SUMIF(Proventos!$A$2:$A200,A145,Proventos!$H$2:$H200)</f>
        <v>0</v>
      </c>
      <c r="H145" s="251">
        <f t="shared" si="3"/>
        <v>0</v>
      </c>
      <c r="I145" s="253" t="str">
        <f>IFERROR(VLOOKUP(A145,Ativos!$A$1:$G200,5,),)</f>
        <v/>
      </c>
      <c r="J145" s="254" t="str">
        <f>IFERROR(VLOOKUP(A145,Ativos!A:H,8,),"")</f>
        <v/>
      </c>
      <c r="K145" s="251">
        <f>IFERROR(SUMIF('Operações-Criptos'!C:C,"="&amp;A145,'Operações-Criptos'!O:O),0)</f>
        <v>0</v>
      </c>
    </row>
    <row r="146">
      <c r="A146" s="255"/>
      <c r="B146" s="251" t="str">
        <f>IFERROR(__xludf.DUMMYFUNCTION("IFERROR(GOOGLEFINANCE(A146),"""")"),"")</f>
        <v/>
      </c>
      <c r="C146" s="252">
        <f>IFERROR(__xludf.DUMMYFUNCTION("iferror(INDEX(arrayformula(filter('Operações-Criptos'!H:H,'Operações-Criptos'!C:C&lt;&gt;"""",row('Operações-Criptos'!C:C)=max(if('Operações-Criptos'!C:C=A146,row('Operações-Criptos'!C:C),0)))) ,1),0)"),0.0)</f>
        <v>0</v>
      </c>
      <c r="D146" s="251">
        <f t="shared" si="1"/>
        <v>0</v>
      </c>
      <c r="E146" s="251">
        <f>IFERROR(__xludf.DUMMYFUNCTION("iferror(INDEX(arrayformula(filter('Operações-Criptos'!L:L,'Operações-Criptos'!C:C&lt;&gt;"""",row('Operações-Criptos'!C:C)=max(if('Operações-Criptos'!C:C=A146,row('Operações-Criptos'!C:C),0)))) ,1),0)"),0.0)</f>
        <v>0</v>
      </c>
      <c r="F146" s="251">
        <f t="shared" si="2"/>
        <v>0</v>
      </c>
      <c r="G146" s="251">
        <f>SUMIF(Proventos!$A$2:$A200,A146,Proventos!$H$2:$H200)</f>
        <v>0</v>
      </c>
      <c r="H146" s="251">
        <f t="shared" si="3"/>
        <v>0</v>
      </c>
      <c r="I146" s="253" t="str">
        <f>IFERROR(VLOOKUP(A146,Ativos!$A$1:$G200,5,),)</f>
        <v/>
      </c>
      <c r="J146" s="254" t="str">
        <f>IFERROR(VLOOKUP(A146,Ativos!A:H,8,),"")</f>
        <v/>
      </c>
      <c r="K146" s="251">
        <f>IFERROR(SUMIF('Operações-Criptos'!C:C,"="&amp;A146,'Operações-Criptos'!O:O),0)</f>
        <v>0</v>
      </c>
    </row>
    <row r="147">
      <c r="A147" s="255"/>
      <c r="B147" s="251" t="str">
        <f>IFERROR(__xludf.DUMMYFUNCTION("IFERROR(GOOGLEFINANCE(A147),"""")"),"")</f>
        <v/>
      </c>
      <c r="C147" s="252">
        <f>IFERROR(__xludf.DUMMYFUNCTION("iferror(INDEX(arrayformula(filter('Operações-Criptos'!H:H,'Operações-Criptos'!C:C&lt;&gt;"""",row('Operações-Criptos'!C:C)=max(if('Operações-Criptos'!C:C=A147,row('Operações-Criptos'!C:C),0)))) ,1),0)"),0.0)</f>
        <v>0</v>
      </c>
      <c r="D147" s="251">
        <f t="shared" si="1"/>
        <v>0</v>
      </c>
      <c r="E147" s="251">
        <f>IFERROR(__xludf.DUMMYFUNCTION("iferror(INDEX(arrayformula(filter('Operações-Criptos'!L:L,'Operações-Criptos'!C:C&lt;&gt;"""",row('Operações-Criptos'!C:C)=max(if('Operações-Criptos'!C:C=A147,row('Operações-Criptos'!C:C),0)))) ,1),0)"),0.0)</f>
        <v>0</v>
      </c>
      <c r="F147" s="251">
        <f t="shared" si="2"/>
        <v>0</v>
      </c>
      <c r="G147" s="251">
        <f>SUMIF(Proventos!$A$2:$A200,A147,Proventos!$H$2:$H200)</f>
        <v>0</v>
      </c>
      <c r="H147" s="251">
        <f t="shared" si="3"/>
        <v>0</v>
      </c>
      <c r="I147" s="253" t="str">
        <f>IFERROR(VLOOKUP(A147,Ativos!$A$1:$G200,5,),)</f>
        <v/>
      </c>
      <c r="J147" s="254" t="str">
        <f>IFERROR(VLOOKUP(A147,Ativos!A:H,8,),"")</f>
        <v/>
      </c>
      <c r="K147" s="251">
        <f>IFERROR(SUMIF('Operações-Criptos'!C:C,"="&amp;A147,'Operações-Criptos'!O:O),0)</f>
        <v>0</v>
      </c>
    </row>
    <row r="148">
      <c r="A148" s="255"/>
      <c r="B148" s="251" t="str">
        <f>IFERROR(__xludf.DUMMYFUNCTION("IFERROR(GOOGLEFINANCE(A148),"""")"),"")</f>
        <v/>
      </c>
      <c r="C148" s="252">
        <f>IFERROR(__xludf.DUMMYFUNCTION("iferror(INDEX(arrayformula(filter('Operações-Criptos'!H:H,'Operações-Criptos'!C:C&lt;&gt;"""",row('Operações-Criptos'!C:C)=max(if('Operações-Criptos'!C:C=A148,row('Operações-Criptos'!C:C),0)))) ,1),0)"),0.0)</f>
        <v>0</v>
      </c>
      <c r="D148" s="251">
        <f t="shared" si="1"/>
        <v>0</v>
      </c>
      <c r="E148" s="251">
        <f>IFERROR(__xludf.DUMMYFUNCTION("iferror(INDEX(arrayformula(filter('Operações-Criptos'!L:L,'Operações-Criptos'!C:C&lt;&gt;"""",row('Operações-Criptos'!C:C)=max(if('Operações-Criptos'!C:C=A148,row('Operações-Criptos'!C:C),0)))) ,1),0)"),0.0)</f>
        <v>0</v>
      </c>
      <c r="F148" s="251">
        <f t="shared" si="2"/>
        <v>0</v>
      </c>
      <c r="G148" s="251">
        <f>SUMIF(Proventos!$A$2:$A200,A148,Proventos!$H$2:$H200)</f>
        <v>0</v>
      </c>
      <c r="H148" s="251">
        <f t="shared" si="3"/>
        <v>0</v>
      </c>
      <c r="I148" s="253" t="str">
        <f>IFERROR(VLOOKUP(A148,Ativos!$A$1:$G200,5,),)</f>
        <v/>
      </c>
      <c r="J148" s="254" t="str">
        <f>IFERROR(VLOOKUP(A148,Ativos!A:H,8,),"")</f>
        <v/>
      </c>
      <c r="K148" s="251">
        <f>IFERROR(SUMIF('Operações-Criptos'!C:C,"="&amp;A148,'Operações-Criptos'!O:O),0)</f>
        <v>0</v>
      </c>
    </row>
    <row r="149">
      <c r="A149" s="255"/>
      <c r="B149" s="251" t="str">
        <f>IFERROR(__xludf.DUMMYFUNCTION("IFERROR(GOOGLEFINANCE(A149),"""")"),"")</f>
        <v/>
      </c>
      <c r="C149" s="252">
        <f>IFERROR(__xludf.DUMMYFUNCTION("iferror(INDEX(arrayformula(filter('Operações-Criptos'!H:H,'Operações-Criptos'!C:C&lt;&gt;"""",row('Operações-Criptos'!C:C)=max(if('Operações-Criptos'!C:C=A149,row('Operações-Criptos'!C:C),0)))) ,1),0)"),0.0)</f>
        <v>0</v>
      </c>
      <c r="D149" s="251">
        <f t="shared" si="1"/>
        <v>0</v>
      </c>
      <c r="E149" s="251">
        <f>IFERROR(__xludf.DUMMYFUNCTION("iferror(INDEX(arrayformula(filter('Operações-Criptos'!L:L,'Operações-Criptos'!C:C&lt;&gt;"""",row('Operações-Criptos'!C:C)=max(if('Operações-Criptos'!C:C=A149,row('Operações-Criptos'!C:C),0)))) ,1),0)"),0.0)</f>
        <v>0</v>
      </c>
      <c r="F149" s="251">
        <f t="shared" si="2"/>
        <v>0</v>
      </c>
      <c r="G149" s="251">
        <f>SUMIF(Proventos!$A$2:$A200,A149,Proventos!$H$2:$H200)</f>
        <v>0</v>
      </c>
      <c r="H149" s="251">
        <f t="shared" si="3"/>
        <v>0</v>
      </c>
      <c r="I149" s="253" t="str">
        <f>IFERROR(VLOOKUP(A149,Ativos!$A$1:$G200,5,),)</f>
        <v/>
      </c>
      <c r="J149" s="254" t="str">
        <f>IFERROR(VLOOKUP(A149,Ativos!A:H,8,),"")</f>
        <v/>
      </c>
      <c r="K149" s="251">
        <f>IFERROR(SUMIF('Operações-Criptos'!C:C,"="&amp;A149,'Operações-Criptos'!O:O),0)</f>
        <v>0</v>
      </c>
    </row>
    <row r="150">
      <c r="A150" s="255"/>
      <c r="B150" s="251" t="str">
        <f>IFERROR(__xludf.DUMMYFUNCTION("IFERROR(GOOGLEFINANCE(A150),"""")"),"")</f>
        <v/>
      </c>
      <c r="C150" s="252">
        <f>IFERROR(__xludf.DUMMYFUNCTION("iferror(INDEX(arrayformula(filter('Operações-Criptos'!H:H,'Operações-Criptos'!C:C&lt;&gt;"""",row('Operações-Criptos'!C:C)=max(if('Operações-Criptos'!C:C=A150,row('Operações-Criptos'!C:C),0)))) ,1),0)"),0.0)</f>
        <v>0</v>
      </c>
      <c r="D150" s="251">
        <f t="shared" si="1"/>
        <v>0</v>
      </c>
      <c r="E150" s="251">
        <f>IFERROR(__xludf.DUMMYFUNCTION("iferror(INDEX(arrayformula(filter('Operações-Criptos'!L:L,'Operações-Criptos'!C:C&lt;&gt;"""",row('Operações-Criptos'!C:C)=max(if('Operações-Criptos'!C:C=A150,row('Operações-Criptos'!C:C),0)))) ,1),0)"),0.0)</f>
        <v>0</v>
      </c>
      <c r="F150" s="251">
        <f t="shared" si="2"/>
        <v>0</v>
      </c>
      <c r="G150" s="251">
        <f>SUMIF(Proventos!$A$2:$A200,A150,Proventos!$H$2:$H200)</f>
        <v>0</v>
      </c>
      <c r="H150" s="251">
        <f t="shared" si="3"/>
        <v>0</v>
      </c>
      <c r="I150" s="253" t="str">
        <f>IFERROR(VLOOKUP(A150,Ativos!$A$1:$G200,5,),)</f>
        <v/>
      </c>
      <c r="J150" s="254" t="str">
        <f>IFERROR(VLOOKUP(A150,Ativos!A:H,8,),"")</f>
        <v/>
      </c>
      <c r="K150" s="251">
        <f>IFERROR(SUMIF('Operações-Criptos'!C:C,"="&amp;A150,'Operações-Criptos'!O:O),0)</f>
        <v>0</v>
      </c>
    </row>
    <row r="151">
      <c r="A151" s="255"/>
      <c r="B151" s="251" t="str">
        <f>IFERROR(__xludf.DUMMYFUNCTION("IFERROR(GOOGLEFINANCE(A151),"""")"),"")</f>
        <v/>
      </c>
      <c r="C151" s="252">
        <f>IFERROR(__xludf.DUMMYFUNCTION("iferror(INDEX(arrayformula(filter('Operações-Criptos'!H:H,'Operações-Criptos'!C:C&lt;&gt;"""",row('Operações-Criptos'!C:C)=max(if('Operações-Criptos'!C:C=A151,row('Operações-Criptos'!C:C),0)))) ,1),0)"),0.0)</f>
        <v>0</v>
      </c>
      <c r="D151" s="251">
        <f t="shared" si="1"/>
        <v>0</v>
      </c>
      <c r="E151" s="251">
        <f>IFERROR(__xludf.DUMMYFUNCTION("iferror(INDEX(arrayformula(filter('Operações-Criptos'!L:L,'Operações-Criptos'!C:C&lt;&gt;"""",row('Operações-Criptos'!C:C)=max(if('Operações-Criptos'!C:C=A151,row('Operações-Criptos'!C:C),0)))) ,1),0)"),0.0)</f>
        <v>0</v>
      </c>
      <c r="F151" s="251">
        <f t="shared" si="2"/>
        <v>0</v>
      </c>
      <c r="G151" s="251">
        <f>SUMIF(Proventos!$A$2:$A200,A151,Proventos!$H$2:$H200)</f>
        <v>0</v>
      </c>
      <c r="H151" s="251">
        <f t="shared" si="3"/>
        <v>0</v>
      </c>
      <c r="I151" s="253" t="str">
        <f>IFERROR(VLOOKUP(A151,Ativos!$A$1:$G200,5,),)</f>
        <v/>
      </c>
      <c r="J151" s="254" t="str">
        <f>IFERROR(VLOOKUP(A151,Ativos!A:H,8,),"")</f>
        <v/>
      </c>
      <c r="K151" s="251">
        <f>IFERROR(SUMIF('Operações-Criptos'!C:C,"="&amp;A151,'Operações-Criptos'!O:O),0)</f>
        <v>0</v>
      </c>
    </row>
    <row r="152">
      <c r="A152" s="255"/>
      <c r="B152" s="251" t="str">
        <f>IFERROR(__xludf.DUMMYFUNCTION("IFERROR(GOOGLEFINANCE(A152),"""")"),"")</f>
        <v/>
      </c>
      <c r="C152" s="252">
        <f>IFERROR(__xludf.DUMMYFUNCTION("iferror(INDEX(arrayformula(filter('Operações-Criptos'!H:H,'Operações-Criptos'!C:C&lt;&gt;"""",row('Operações-Criptos'!C:C)=max(if('Operações-Criptos'!C:C=A152,row('Operações-Criptos'!C:C),0)))) ,1),0)"),0.0)</f>
        <v>0</v>
      </c>
      <c r="D152" s="251">
        <f t="shared" si="1"/>
        <v>0</v>
      </c>
      <c r="E152" s="251">
        <f>IFERROR(__xludf.DUMMYFUNCTION("iferror(INDEX(arrayformula(filter('Operações-Criptos'!L:L,'Operações-Criptos'!C:C&lt;&gt;"""",row('Operações-Criptos'!C:C)=max(if('Operações-Criptos'!C:C=A152,row('Operações-Criptos'!C:C),0)))) ,1),0)"),0.0)</f>
        <v>0</v>
      </c>
      <c r="F152" s="251">
        <f t="shared" si="2"/>
        <v>0</v>
      </c>
      <c r="G152" s="251">
        <f>SUMIF(Proventos!$A$2:$A200,A152,Proventos!$H$2:$H200)</f>
        <v>0</v>
      </c>
      <c r="H152" s="251">
        <f t="shared" si="3"/>
        <v>0</v>
      </c>
      <c r="I152" s="253" t="str">
        <f>IFERROR(VLOOKUP(A152,Ativos!$A$1:$G200,5,),)</f>
        <v/>
      </c>
      <c r="J152" s="254" t="str">
        <f>IFERROR(VLOOKUP(A152,Ativos!A:H,8,),"")</f>
        <v/>
      </c>
      <c r="K152" s="251">
        <f>IFERROR(SUMIF('Operações-Criptos'!C:C,"="&amp;A152,'Operações-Criptos'!O:O),0)</f>
        <v>0</v>
      </c>
    </row>
    <row r="153">
      <c r="A153" s="255"/>
      <c r="B153" s="251" t="str">
        <f>IFERROR(__xludf.DUMMYFUNCTION("IFERROR(GOOGLEFINANCE(A153),"""")"),"")</f>
        <v/>
      </c>
      <c r="C153" s="252">
        <f>IFERROR(__xludf.DUMMYFUNCTION("iferror(INDEX(arrayformula(filter('Operações-Criptos'!H:H,'Operações-Criptos'!C:C&lt;&gt;"""",row('Operações-Criptos'!C:C)=max(if('Operações-Criptos'!C:C=A153,row('Operações-Criptos'!C:C),0)))) ,1),0)"),0.0)</f>
        <v>0</v>
      </c>
      <c r="D153" s="251">
        <f t="shared" si="1"/>
        <v>0</v>
      </c>
      <c r="E153" s="251">
        <f>IFERROR(__xludf.DUMMYFUNCTION("iferror(INDEX(arrayformula(filter('Operações-Criptos'!L:L,'Operações-Criptos'!C:C&lt;&gt;"""",row('Operações-Criptos'!C:C)=max(if('Operações-Criptos'!C:C=A153,row('Operações-Criptos'!C:C),0)))) ,1),0)"),0.0)</f>
        <v>0</v>
      </c>
      <c r="F153" s="251">
        <f t="shared" si="2"/>
        <v>0</v>
      </c>
      <c r="G153" s="251">
        <f>SUMIF(Proventos!$A$2:$A200,A153,Proventos!$H$2:$H200)</f>
        <v>0</v>
      </c>
      <c r="H153" s="251">
        <f t="shared" si="3"/>
        <v>0</v>
      </c>
      <c r="I153" s="253" t="str">
        <f>IFERROR(VLOOKUP(A153,Ativos!$A$1:$G200,5,),)</f>
        <v/>
      </c>
      <c r="J153" s="254" t="str">
        <f>IFERROR(VLOOKUP(A153,Ativos!A:H,8,),"")</f>
        <v/>
      </c>
      <c r="K153" s="251">
        <f>IFERROR(SUMIF('Operações-Criptos'!C:C,"="&amp;A153,'Operações-Criptos'!O:O),0)</f>
        <v>0</v>
      </c>
    </row>
    <row r="154">
      <c r="A154" s="255"/>
      <c r="B154" s="251" t="str">
        <f>IFERROR(__xludf.DUMMYFUNCTION("IFERROR(GOOGLEFINANCE(A154),"""")"),"")</f>
        <v/>
      </c>
      <c r="C154" s="252">
        <f>IFERROR(__xludf.DUMMYFUNCTION("iferror(INDEX(arrayformula(filter('Operações-Criptos'!H:H,'Operações-Criptos'!C:C&lt;&gt;"""",row('Operações-Criptos'!C:C)=max(if('Operações-Criptos'!C:C=A154,row('Operações-Criptos'!C:C),0)))) ,1),0)"),0.0)</f>
        <v>0</v>
      </c>
      <c r="D154" s="251">
        <f t="shared" si="1"/>
        <v>0</v>
      </c>
      <c r="E154" s="251">
        <f>IFERROR(__xludf.DUMMYFUNCTION("iferror(INDEX(arrayformula(filter('Operações-Criptos'!L:L,'Operações-Criptos'!C:C&lt;&gt;"""",row('Operações-Criptos'!C:C)=max(if('Operações-Criptos'!C:C=A154,row('Operações-Criptos'!C:C),0)))) ,1),0)"),0.0)</f>
        <v>0</v>
      </c>
      <c r="F154" s="251">
        <f t="shared" si="2"/>
        <v>0</v>
      </c>
      <c r="G154" s="251">
        <f>SUMIF(Proventos!$A$2:$A200,A154,Proventos!$H$2:$H200)</f>
        <v>0</v>
      </c>
      <c r="H154" s="251">
        <f t="shared" si="3"/>
        <v>0</v>
      </c>
      <c r="I154" s="253" t="str">
        <f>IFERROR(VLOOKUP(A154,Ativos!$A$1:$G200,5,),)</f>
        <v/>
      </c>
      <c r="J154" s="254" t="str">
        <f>IFERROR(VLOOKUP(A154,Ativos!A:H,8,),"")</f>
        <v/>
      </c>
      <c r="K154" s="251">
        <f>IFERROR(SUMIF('Operações-Criptos'!C:C,"="&amp;A154,'Operações-Criptos'!O:O),0)</f>
        <v>0</v>
      </c>
    </row>
    <row r="155">
      <c r="A155" s="255"/>
      <c r="B155" s="251" t="str">
        <f>IFERROR(__xludf.DUMMYFUNCTION("IFERROR(GOOGLEFINANCE(A155),"""")"),"")</f>
        <v/>
      </c>
      <c r="C155" s="252">
        <f>IFERROR(__xludf.DUMMYFUNCTION("iferror(INDEX(arrayformula(filter('Operações-Criptos'!H:H,'Operações-Criptos'!C:C&lt;&gt;"""",row('Operações-Criptos'!C:C)=max(if('Operações-Criptos'!C:C=A155,row('Operações-Criptos'!C:C),0)))) ,1),0)"),0.0)</f>
        <v>0</v>
      </c>
      <c r="D155" s="251">
        <f t="shared" si="1"/>
        <v>0</v>
      </c>
      <c r="E155" s="251">
        <f>IFERROR(__xludf.DUMMYFUNCTION("iferror(INDEX(arrayformula(filter('Operações-Criptos'!L:L,'Operações-Criptos'!C:C&lt;&gt;"""",row('Operações-Criptos'!C:C)=max(if('Operações-Criptos'!C:C=A155,row('Operações-Criptos'!C:C),0)))) ,1),0)"),0.0)</f>
        <v>0</v>
      </c>
      <c r="F155" s="251">
        <f t="shared" si="2"/>
        <v>0</v>
      </c>
      <c r="G155" s="251">
        <f>SUMIF(Proventos!$A$2:$A200,A155,Proventos!$H$2:$H200)</f>
        <v>0</v>
      </c>
      <c r="H155" s="251">
        <f t="shared" si="3"/>
        <v>0</v>
      </c>
      <c r="I155" s="253" t="str">
        <f>IFERROR(VLOOKUP(A155,Ativos!$A$1:$G200,5,),)</f>
        <v/>
      </c>
      <c r="J155" s="254" t="str">
        <f>IFERROR(VLOOKUP(A155,Ativos!A:H,8,),"")</f>
        <v/>
      </c>
      <c r="K155" s="251">
        <f>IFERROR(SUMIF('Operações-Criptos'!C:C,"="&amp;A155,'Operações-Criptos'!O:O),0)</f>
        <v>0</v>
      </c>
    </row>
    <row r="156">
      <c r="A156" s="255"/>
      <c r="B156" s="251" t="str">
        <f>IFERROR(__xludf.DUMMYFUNCTION("IFERROR(GOOGLEFINANCE(A156),"""")"),"")</f>
        <v/>
      </c>
      <c r="C156" s="252">
        <f>IFERROR(__xludf.DUMMYFUNCTION("iferror(INDEX(arrayformula(filter('Operações-Criptos'!H:H,'Operações-Criptos'!C:C&lt;&gt;"""",row('Operações-Criptos'!C:C)=max(if('Operações-Criptos'!C:C=A156,row('Operações-Criptos'!C:C),0)))) ,1),0)"),0.0)</f>
        <v>0</v>
      </c>
      <c r="D156" s="251">
        <f t="shared" si="1"/>
        <v>0</v>
      </c>
      <c r="E156" s="251">
        <f>IFERROR(__xludf.DUMMYFUNCTION("iferror(INDEX(arrayformula(filter('Operações-Criptos'!L:L,'Operações-Criptos'!C:C&lt;&gt;"""",row('Operações-Criptos'!C:C)=max(if('Operações-Criptos'!C:C=A156,row('Operações-Criptos'!C:C),0)))) ,1),0)"),0.0)</f>
        <v>0</v>
      </c>
      <c r="F156" s="251">
        <f t="shared" si="2"/>
        <v>0</v>
      </c>
      <c r="G156" s="251">
        <f>SUMIF(Proventos!$A$2:$A200,A156,Proventos!$H$2:$H200)</f>
        <v>0</v>
      </c>
      <c r="H156" s="251">
        <f t="shared" si="3"/>
        <v>0</v>
      </c>
      <c r="I156" s="253" t="str">
        <f>IFERROR(VLOOKUP(A156,Ativos!$A$1:$G200,5,),)</f>
        <v/>
      </c>
      <c r="J156" s="254" t="str">
        <f>IFERROR(VLOOKUP(A156,Ativos!A:H,8,),"")</f>
        <v/>
      </c>
      <c r="K156" s="251">
        <f>IFERROR(SUMIF('Operações-Criptos'!C:C,"="&amp;A156,'Operações-Criptos'!O:O),0)</f>
        <v>0</v>
      </c>
    </row>
    <row r="157">
      <c r="A157" s="255"/>
      <c r="B157" s="251" t="str">
        <f>IFERROR(__xludf.DUMMYFUNCTION("IFERROR(GOOGLEFINANCE(A157),"""")"),"")</f>
        <v/>
      </c>
      <c r="C157" s="252">
        <f>IFERROR(__xludf.DUMMYFUNCTION("iferror(INDEX(arrayformula(filter('Operações-Criptos'!H:H,'Operações-Criptos'!C:C&lt;&gt;"""",row('Operações-Criptos'!C:C)=max(if('Operações-Criptos'!C:C=A157,row('Operações-Criptos'!C:C),0)))) ,1),0)"),0.0)</f>
        <v>0</v>
      </c>
      <c r="D157" s="251">
        <f t="shared" si="1"/>
        <v>0</v>
      </c>
      <c r="E157" s="251">
        <f>IFERROR(__xludf.DUMMYFUNCTION("iferror(INDEX(arrayformula(filter('Operações-Criptos'!L:L,'Operações-Criptos'!C:C&lt;&gt;"""",row('Operações-Criptos'!C:C)=max(if('Operações-Criptos'!C:C=A157,row('Operações-Criptos'!C:C),0)))) ,1),0)"),0.0)</f>
        <v>0</v>
      </c>
      <c r="F157" s="251">
        <f t="shared" si="2"/>
        <v>0</v>
      </c>
      <c r="G157" s="251">
        <f>SUMIF(Proventos!$A$2:$A200,A157,Proventos!$H$2:$H200)</f>
        <v>0</v>
      </c>
      <c r="H157" s="251">
        <f t="shared" si="3"/>
        <v>0</v>
      </c>
      <c r="I157" s="253" t="str">
        <f>IFERROR(VLOOKUP(A157,Ativos!$A$1:$G200,5,),)</f>
        <v/>
      </c>
      <c r="J157" s="254" t="str">
        <f>IFERROR(VLOOKUP(A157,Ativos!A:H,8,),"")</f>
        <v/>
      </c>
      <c r="K157" s="251">
        <f>IFERROR(SUMIF('Operações-Criptos'!C:C,"="&amp;A157,'Operações-Criptos'!O:O),0)</f>
        <v>0</v>
      </c>
    </row>
    <row r="158">
      <c r="A158" s="255"/>
      <c r="B158" s="251" t="str">
        <f>IFERROR(__xludf.DUMMYFUNCTION("IFERROR(GOOGLEFINANCE(A158),"""")"),"")</f>
        <v/>
      </c>
      <c r="C158" s="252">
        <f>IFERROR(__xludf.DUMMYFUNCTION("iferror(INDEX(arrayformula(filter('Operações-Criptos'!H:H,'Operações-Criptos'!C:C&lt;&gt;"""",row('Operações-Criptos'!C:C)=max(if('Operações-Criptos'!C:C=A158,row('Operações-Criptos'!C:C),0)))) ,1),0)"),0.0)</f>
        <v>0</v>
      </c>
      <c r="D158" s="251">
        <f t="shared" si="1"/>
        <v>0</v>
      </c>
      <c r="E158" s="251">
        <f>IFERROR(__xludf.DUMMYFUNCTION("iferror(INDEX(arrayformula(filter('Operações-Criptos'!L:L,'Operações-Criptos'!C:C&lt;&gt;"""",row('Operações-Criptos'!C:C)=max(if('Operações-Criptos'!C:C=A158,row('Operações-Criptos'!C:C),0)))) ,1),0)"),0.0)</f>
        <v>0</v>
      </c>
      <c r="F158" s="251">
        <f t="shared" si="2"/>
        <v>0</v>
      </c>
      <c r="G158" s="251">
        <f>SUMIF(Proventos!$A$2:$A200,A158,Proventos!$H$2:$H200)</f>
        <v>0</v>
      </c>
      <c r="H158" s="251">
        <f t="shared" si="3"/>
        <v>0</v>
      </c>
      <c r="I158" s="253" t="str">
        <f>IFERROR(VLOOKUP(A158,Ativos!$A$1:$G200,5,),)</f>
        <v/>
      </c>
      <c r="J158" s="254" t="str">
        <f>IFERROR(VLOOKUP(A158,Ativos!A:H,8,),"")</f>
        <v/>
      </c>
      <c r="K158" s="251">
        <f>IFERROR(SUMIF('Operações-Criptos'!C:C,"="&amp;A158,'Operações-Criptos'!O:O),0)</f>
        <v>0</v>
      </c>
    </row>
    <row r="159">
      <c r="A159" s="255"/>
      <c r="B159" s="251" t="str">
        <f>IFERROR(__xludf.DUMMYFUNCTION("IFERROR(GOOGLEFINANCE(A159),"""")"),"")</f>
        <v/>
      </c>
      <c r="C159" s="252">
        <f>IFERROR(__xludf.DUMMYFUNCTION("iferror(INDEX(arrayformula(filter('Operações-Criptos'!H:H,'Operações-Criptos'!C:C&lt;&gt;"""",row('Operações-Criptos'!C:C)=max(if('Operações-Criptos'!C:C=A159,row('Operações-Criptos'!C:C),0)))) ,1),0)"),0.0)</f>
        <v>0</v>
      </c>
      <c r="D159" s="251">
        <f t="shared" si="1"/>
        <v>0</v>
      </c>
      <c r="E159" s="251">
        <f>IFERROR(__xludf.DUMMYFUNCTION("iferror(INDEX(arrayformula(filter('Operações-Criptos'!L:L,'Operações-Criptos'!C:C&lt;&gt;"""",row('Operações-Criptos'!C:C)=max(if('Operações-Criptos'!C:C=A159,row('Operações-Criptos'!C:C),0)))) ,1),0)"),0.0)</f>
        <v>0</v>
      </c>
      <c r="F159" s="251">
        <f t="shared" si="2"/>
        <v>0</v>
      </c>
      <c r="G159" s="251">
        <f>SUMIF(Proventos!$A$2:$A200,A159,Proventos!$H$2:$H200)</f>
        <v>0</v>
      </c>
      <c r="H159" s="251">
        <f t="shared" si="3"/>
        <v>0</v>
      </c>
      <c r="I159" s="253" t="str">
        <f>IFERROR(VLOOKUP(A159,Ativos!$A$1:$G200,5,),)</f>
        <v/>
      </c>
      <c r="J159" s="254" t="str">
        <f>IFERROR(VLOOKUP(A159,Ativos!A:H,8,),"")</f>
        <v/>
      </c>
      <c r="K159" s="251">
        <f>IFERROR(SUMIF('Operações-Criptos'!C:C,"="&amp;A159,'Operações-Criptos'!O:O),0)</f>
        <v>0</v>
      </c>
    </row>
    <row r="160">
      <c r="A160" s="255"/>
      <c r="B160" s="251" t="str">
        <f>IFERROR(__xludf.DUMMYFUNCTION("IFERROR(GOOGLEFINANCE(A160),"""")"),"")</f>
        <v/>
      </c>
      <c r="C160" s="252">
        <f>IFERROR(__xludf.DUMMYFUNCTION("iferror(INDEX(arrayformula(filter('Operações-Criptos'!H:H,'Operações-Criptos'!C:C&lt;&gt;"""",row('Operações-Criptos'!C:C)=max(if('Operações-Criptos'!C:C=A160,row('Operações-Criptos'!C:C),0)))) ,1),0)"),0.0)</f>
        <v>0</v>
      </c>
      <c r="D160" s="251">
        <f t="shared" si="1"/>
        <v>0</v>
      </c>
      <c r="E160" s="251">
        <f>IFERROR(__xludf.DUMMYFUNCTION("iferror(INDEX(arrayformula(filter('Operações-Criptos'!L:L,'Operações-Criptos'!C:C&lt;&gt;"""",row('Operações-Criptos'!C:C)=max(if('Operações-Criptos'!C:C=A160,row('Operações-Criptos'!C:C),0)))) ,1),0)"),0.0)</f>
        <v>0</v>
      </c>
      <c r="F160" s="251">
        <f t="shared" si="2"/>
        <v>0</v>
      </c>
      <c r="G160" s="251">
        <f>SUMIF(Proventos!$A$2:$A200,A160,Proventos!$H$2:$H200)</f>
        <v>0</v>
      </c>
      <c r="H160" s="251">
        <f t="shared" si="3"/>
        <v>0</v>
      </c>
      <c r="I160" s="253" t="str">
        <f>IFERROR(VLOOKUP(A160,Ativos!$A$1:$G200,5,),)</f>
        <v/>
      </c>
      <c r="J160" s="254" t="str">
        <f>IFERROR(VLOOKUP(A160,Ativos!A:H,8,),"")</f>
        <v/>
      </c>
      <c r="K160" s="251">
        <f>IFERROR(SUMIF('Operações-Criptos'!C:C,"="&amp;A160,'Operações-Criptos'!O:O),0)</f>
        <v>0</v>
      </c>
    </row>
    <row r="161">
      <c r="A161" s="255"/>
      <c r="B161" s="251" t="str">
        <f>IFERROR(__xludf.DUMMYFUNCTION("IFERROR(GOOGLEFINANCE(A161),"""")"),"")</f>
        <v/>
      </c>
      <c r="C161" s="252">
        <f>IFERROR(__xludf.DUMMYFUNCTION("iferror(INDEX(arrayformula(filter('Operações-Criptos'!H:H,'Operações-Criptos'!C:C&lt;&gt;"""",row('Operações-Criptos'!C:C)=max(if('Operações-Criptos'!C:C=A161,row('Operações-Criptos'!C:C),0)))) ,1),0)"),0.0)</f>
        <v>0</v>
      </c>
      <c r="D161" s="251">
        <f t="shared" si="1"/>
        <v>0</v>
      </c>
      <c r="E161" s="251">
        <f>IFERROR(__xludf.DUMMYFUNCTION("iferror(INDEX(arrayformula(filter('Operações-Criptos'!L:L,'Operações-Criptos'!C:C&lt;&gt;"""",row('Operações-Criptos'!C:C)=max(if('Operações-Criptos'!C:C=A161,row('Operações-Criptos'!C:C),0)))) ,1),0)"),0.0)</f>
        <v>0</v>
      </c>
      <c r="F161" s="251">
        <f t="shared" si="2"/>
        <v>0</v>
      </c>
      <c r="G161" s="251">
        <f>SUMIF(Proventos!$A$2:$A200,A161,Proventos!$H$2:$H200)</f>
        <v>0</v>
      </c>
      <c r="H161" s="251">
        <f t="shared" si="3"/>
        <v>0</v>
      </c>
      <c r="I161" s="253" t="str">
        <f>IFERROR(VLOOKUP(A161,Ativos!$A$1:$G200,5,),)</f>
        <v/>
      </c>
      <c r="J161" s="254" t="str">
        <f>IFERROR(VLOOKUP(A161,Ativos!A:H,8,),"")</f>
        <v/>
      </c>
      <c r="K161" s="251">
        <f>IFERROR(SUMIF('Operações-Criptos'!C:C,"="&amp;A161,'Operações-Criptos'!O:O),0)</f>
        <v>0</v>
      </c>
    </row>
    <row r="162">
      <c r="A162" s="255"/>
      <c r="B162" s="251" t="str">
        <f>IFERROR(__xludf.DUMMYFUNCTION("IFERROR(GOOGLEFINANCE(A162),"""")"),"")</f>
        <v/>
      </c>
      <c r="C162" s="252">
        <f>IFERROR(__xludf.DUMMYFUNCTION("iferror(INDEX(arrayformula(filter('Operações-Criptos'!H:H,'Operações-Criptos'!C:C&lt;&gt;"""",row('Operações-Criptos'!C:C)=max(if('Operações-Criptos'!C:C=A162,row('Operações-Criptos'!C:C),0)))) ,1),0)"),0.0)</f>
        <v>0</v>
      </c>
      <c r="D162" s="251">
        <f t="shared" si="1"/>
        <v>0</v>
      </c>
      <c r="E162" s="251">
        <f>IFERROR(__xludf.DUMMYFUNCTION("iferror(INDEX(arrayformula(filter('Operações-Criptos'!L:L,'Operações-Criptos'!C:C&lt;&gt;"""",row('Operações-Criptos'!C:C)=max(if('Operações-Criptos'!C:C=A162,row('Operações-Criptos'!C:C),0)))) ,1),0)"),0.0)</f>
        <v>0</v>
      </c>
      <c r="F162" s="251">
        <f t="shared" si="2"/>
        <v>0</v>
      </c>
      <c r="G162" s="251">
        <f>SUMIF(Proventos!$A$2:$A200,A162,Proventos!$H$2:$H200)</f>
        <v>0</v>
      </c>
      <c r="H162" s="251">
        <f t="shared" si="3"/>
        <v>0</v>
      </c>
      <c r="I162" s="253" t="str">
        <f>IFERROR(VLOOKUP(A162,Ativos!$A$1:$G200,5,),)</f>
        <v/>
      </c>
      <c r="J162" s="254" t="str">
        <f>IFERROR(VLOOKUP(A162,Ativos!A:H,8,),"")</f>
        <v/>
      </c>
      <c r="K162" s="251">
        <f>IFERROR(SUMIF('Operações-Criptos'!C:C,"="&amp;A162,'Operações-Criptos'!O:O),0)</f>
        <v>0</v>
      </c>
    </row>
    <row r="163">
      <c r="A163" s="255"/>
      <c r="B163" s="251" t="str">
        <f>IFERROR(__xludf.DUMMYFUNCTION("IFERROR(GOOGLEFINANCE(A163),"""")"),"")</f>
        <v/>
      </c>
      <c r="C163" s="252">
        <f>IFERROR(__xludf.DUMMYFUNCTION("iferror(INDEX(arrayformula(filter('Operações-Criptos'!H:H,'Operações-Criptos'!C:C&lt;&gt;"""",row('Operações-Criptos'!C:C)=max(if('Operações-Criptos'!C:C=A163,row('Operações-Criptos'!C:C),0)))) ,1),0)"),0.0)</f>
        <v>0</v>
      </c>
      <c r="D163" s="251">
        <f t="shared" si="1"/>
        <v>0</v>
      </c>
      <c r="E163" s="251">
        <f>IFERROR(__xludf.DUMMYFUNCTION("iferror(INDEX(arrayformula(filter('Operações-Criptos'!L:L,'Operações-Criptos'!C:C&lt;&gt;"""",row('Operações-Criptos'!C:C)=max(if('Operações-Criptos'!C:C=A163,row('Operações-Criptos'!C:C),0)))) ,1),0)"),0.0)</f>
        <v>0</v>
      </c>
      <c r="F163" s="251">
        <f t="shared" si="2"/>
        <v>0</v>
      </c>
      <c r="G163" s="251">
        <f>SUMIF(Proventos!$A$2:$A200,A163,Proventos!$H$2:$H200)</f>
        <v>0</v>
      </c>
      <c r="H163" s="251">
        <f t="shared" si="3"/>
        <v>0</v>
      </c>
      <c r="I163" s="253" t="str">
        <f>IFERROR(VLOOKUP(A163,Ativos!$A$1:$G200,5,),)</f>
        <v/>
      </c>
      <c r="J163" s="254" t="str">
        <f>IFERROR(VLOOKUP(A163,Ativos!A:H,8,),"")</f>
        <v/>
      </c>
      <c r="K163" s="251">
        <f>IFERROR(SUMIF('Operações-Criptos'!C:C,"="&amp;A163,'Operações-Criptos'!O:O),0)</f>
        <v>0</v>
      </c>
    </row>
    <row r="164">
      <c r="A164" s="255"/>
      <c r="B164" s="251" t="str">
        <f>IFERROR(__xludf.DUMMYFUNCTION("IFERROR(GOOGLEFINANCE(A164),"""")"),"")</f>
        <v/>
      </c>
      <c r="C164" s="252">
        <f>IFERROR(__xludf.DUMMYFUNCTION("iferror(INDEX(arrayformula(filter('Operações-Criptos'!H:H,'Operações-Criptos'!C:C&lt;&gt;"""",row('Operações-Criptos'!C:C)=max(if('Operações-Criptos'!C:C=A164,row('Operações-Criptos'!C:C),0)))) ,1),0)"),0.0)</f>
        <v>0</v>
      </c>
      <c r="D164" s="251">
        <f t="shared" si="1"/>
        <v>0</v>
      </c>
      <c r="E164" s="251">
        <f>IFERROR(__xludf.DUMMYFUNCTION("iferror(INDEX(arrayformula(filter('Operações-Criptos'!L:L,'Operações-Criptos'!C:C&lt;&gt;"""",row('Operações-Criptos'!C:C)=max(if('Operações-Criptos'!C:C=A164,row('Operações-Criptos'!C:C),0)))) ,1),0)"),0.0)</f>
        <v>0</v>
      </c>
      <c r="F164" s="251">
        <f t="shared" si="2"/>
        <v>0</v>
      </c>
      <c r="G164" s="251">
        <f>SUMIF(Proventos!$A$2:$A200,A164,Proventos!$H$2:$H200)</f>
        <v>0</v>
      </c>
      <c r="H164" s="251">
        <f t="shared" si="3"/>
        <v>0</v>
      </c>
      <c r="I164" s="253" t="str">
        <f>IFERROR(VLOOKUP(A164,Ativos!$A$1:$G200,5,),)</f>
        <v/>
      </c>
      <c r="J164" s="254" t="str">
        <f>IFERROR(VLOOKUP(A164,Ativos!A:H,8,),"")</f>
        <v/>
      </c>
      <c r="K164" s="251">
        <f>IFERROR(SUMIF('Operações-Criptos'!C:C,"="&amp;A164,'Operações-Criptos'!O:O),0)</f>
        <v>0</v>
      </c>
    </row>
    <row r="165">
      <c r="A165" s="255"/>
      <c r="B165" s="251" t="str">
        <f>IFERROR(__xludf.DUMMYFUNCTION("IFERROR(GOOGLEFINANCE(A165),"""")"),"")</f>
        <v/>
      </c>
      <c r="C165" s="252">
        <f>IFERROR(__xludf.DUMMYFUNCTION("iferror(INDEX(arrayformula(filter('Operações-Criptos'!H:H,'Operações-Criptos'!C:C&lt;&gt;"""",row('Operações-Criptos'!C:C)=max(if('Operações-Criptos'!C:C=A165,row('Operações-Criptos'!C:C),0)))) ,1),0)"),0.0)</f>
        <v>0</v>
      </c>
      <c r="D165" s="251">
        <f t="shared" si="1"/>
        <v>0</v>
      </c>
      <c r="E165" s="251">
        <f>IFERROR(__xludf.DUMMYFUNCTION("iferror(INDEX(arrayformula(filter('Operações-Criptos'!L:L,'Operações-Criptos'!C:C&lt;&gt;"""",row('Operações-Criptos'!C:C)=max(if('Operações-Criptos'!C:C=A165,row('Operações-Criptos'!C:C),0)))) ,1),0)"),0.0)</f>
        <v>0</v>
      </c>
      <c r="F165" s="251">
        <f t="shared" si="2"/>
        <v>0</v>
      </c>
      <c r="G165" s="251">
        <f>SUMIF(Proventos!$A$2:$A200,A165,Proventos!$H$2:$H200)</f>
        <v>0</v>
      </c>
      <c r="H165" s="251">
        <f t="shared" si="3"/>
        <v>0</v>
      </c>
      <c r="I165" s="253" t="str">
        <f>IFERROR(VLOOKUP(A165,Ativos!$A$1:$G200,5,),)</f>
        <v/>
      </c>
      <c r="J165" s="254" t="str">
        <f>IFERROR(VLOOKUP(A165,Ativos!A:H,8,),"")</f>
        <v/>
      </c>
      <c r="K165" s="251">
        <f>IFERROR(SUMIF('Operações-Criptos'!C:C,"="&amp;A165,'Operações-Criptos'!O:O),0)</f>
        <v>0</v>
      </c>
    </row>
    <row r="166">
      <c r="A166" s="255"/>
      <c r="B166" s="251" t="str">
        <f>IFERROR(__xludf.DUMMYFUNCTION("IFERROR(GOOGLEFINANCE(A166),"""")"),"")</f>
        <v/>
      </c>
      <c r="C166" s="252">
        <f>IFERROR(__xludf.DUMMYFUNCTION("iferror(INDEX(arrayformula(filter('Operações-Criptos'!H:H,'Operações-Criptos'!C:C&lt;&gt;"""",row('Operações-Criptos'!C:C)=max(if('Operações-Criptos'!C:C=A166,row('Operações-Criptos'!C:C),0)))) ,1),0)"),0.0)</f>
        <v>0</v>
      </c>
      <c r="D166" s="251">
        <f t="shared" si="1"/>
        <v>0</v>
      </c>
      <c r="E166" s="251">
        <f>IFERROR(__xludf.DUMMYFUNCTION("iferror(INDEX(arrayformula(filter('Operações-Criptos'!L:L,'Operações-Criptos'!C:C&lt;&gt;"""",row('Operações-Criptos'!C:C)=max(if('Operações-Criptos'!C:C=A166,row('Operações-Criptos'!C:C),0)))) ,1),0)"),0.0)</f>
        <v>0</v>
      </c>
      <c r="F166" s="251">
        <f t="shared" si="2"/>
        <v>0</v>
      </c>
      <c r="G166" s="251">
        <f>SUMIF(Proventos!$A$2:$A200,A166,Proventos!$H$2:$H200)</f>
        <v>0</v>
      </c>
      <c r="H166" s="251">
        <f t="shared" si="3"/>
        <v>0</v>
      </c>
      <c r="I166" s="253" t="str">
        <f>IFERROR(VLOOKUP(A166,Ativos!$A$1:$G200,5,),)</f>
        <v/>
      </c>
      <c r="J166" s="254" t="str">
        <f>IFERROR(VLOOKUP(A166,Ativos!A:H,8,),"")</f>
        <v/>
      </c>
      <c r="K166" s="251">
        <f>IFERROR(SUMIF('Operações-Criptos'!C:C,"="&amp;A166,'Operações-Criptos'!O:O),0)</f>
        <v>0</v>
      </c>
    </row>
    <row r="167">
      <c r="A167" s="255"/>
      <c r="B167" s="251" t="str">
        <f>IFERROR(__xludf.DUMMYFUNCTION("IFERROR(GOOGLEFINANCE(A167),"""")"),"")</f>
        <v/>
      </c>
      <c r="C167" s="252">
        <f>IFERROR(__xludf.DUMMYFUNCTION("iferror(INDEX(arrayformula(filter('Operações-Criptos'!H:H,'Operações-Criptos'!C:C&lt;&gt;"""",row('Operações-Criptos'!C:C)=max(if('Operações-Criptos'!C:C=A167,row('Operações-Criptos'!C:C),0)))) ,1),0)"),0.0)</f>
        <v>0</v>
      </c>
      <c r="D167" s="251">
        <f t="shared" si="1"/>
        <v>0</v>
      </c>
      <c r="E167" s="251">
        <f>IFERROR(__xludf.DUMMYFUNCTION("iferror(INDEX(arrayformula(filter('Operações-Criptos'!L:L,'Operações-Criptos'!C:C&lt;&gt;"""",row('Operações-Criptos'!C:C)=max(if('Operações-Criptos'!C:C=A167,row('Operações-Criptos'!C:C),0)))) ,1),0)"),0.0)</f>
        <v>0</v>
      </c>
      <c r="F167" s="251">
        <f t="shared" si="2"/>
        <v>0</v>
      </c>
      <c r="G167" s="251">
        <f>SUMIF(Proventos!$A$2:$A200,A167,Proventos!$H$2:$H200)</f>
        <v>0</v>
      </c>
      <c r="H167" s="251">
        <f t="shared" si="3"/>
        <v>0</v>
      </c>
      <c r="I167" s="253" t="str">
        <f>IFERROR(VLOOKUP(A167,Ativos!$A$1:$G200,5,),)</f>
        <v/>
      </c>
      <c r="J167" s="254" t="str">
        <f>IFERROR(VLOOKUP(A167,Ativos!A:H,8,),"")</f>
        <v/>
      </c>
      <c r="K167" s="251">
        <f>IFERROR(SUMIF('Operações-Criptos'!C:C,"="&amp;A167,'Operações-Criptos'!O:O),0)</f>
        <v>0</v>
      </c>
    </row>
    <row r="168">
      <c r="A168" s="255"/>
      <c r="B168" s="251" t="str">
        <f>IFERROR(__xludf.DUMMYFUNCTION("IFERROR(GOOGLEFINANCE(A168),"""")"),"")</f>
        <v/>
      </c>
      <c r="C168" s="252">
        <f>IFERROR(__xludf.DUMMYFUNCTION("iferror(INDEX(arrayformula(filter('Operações-Criptos'!H:H,'Operações-Criptos'!C:C&lt;&gt;"""",row('Operações-Criptos'!C:C)=max(if('Operações-Criptos'!C:C=A168,row('Operações-Criptos'!C:C),0)))) ,1),0)"),0.0)</f>
        <v>0</v>
      </c>
      <c r="D168" s="251">
        <f t="shared" si="1"/>
        <v>0</v>
      </c>
      <c r="E168" s="251">
        <f>IFERROR(__xludf.DUMMYFUNCTION("iferror(INDEX(arrayformula(filter('Operações-Criptos'!L:L,'Operações-Criptos'!C:C&lt;&gt;"""",row('Operações-Criptos'!C:C)=max(if('Operações-Criptos'!C:C=A168,row('Operações-Criptos'!C:C),0)))) ,1),0)"),0.0)</f>
        <v>0</v>
      </c>
      <c r="F168" s="251">
        <f t="shared" si="2"/>
        <v>0</v>
      </c>
      <c r="G168" s="251">
        <f>SUMIF(Proventos!$A$2:$A200,A168,Proventos!$H$2:$H200)</f>
        <v>0</v>
      </c>
      <c r="H168" s="251">
        <f t="shared" si="3"/>
        <v>0</v>
      </c>
      <c r="I168" s="253" t="str">
        <f>IFERROR(VLOOKUP(A168,Ativos!$A$1:$G200,5,),)</f>
        <v/>
      </c>
      <c r="J168" s="254" t="str">
        <f>IFERROR(VLOOKUP(A168,Ativos!A:H,8,),"")</f>
        <v/>
      </c>
      <c r="K168" s="251">
        <f>IFERROR(SUMIF('Operações-Criptos'!C:C,"="&amp;A168,'Operações-Criptos'!O:O),0)</f>
        <v>0</v>
      </c>
    </row>
    <row r="169">
      <c r="A169" s="255"/>
      <c r="B169" s="251" t="str">
        <f>IFERROR(__xludf.DUMMYFUNCTION("IFERROR(GOOGLEFINANCE(A169),"""")"),"")</f>
        <v/>
      </c>
      <c r="C169" s="252">
        <f>IFERROR(__xludf.DUMMYFUNCTION("iferror(INDEX(arrayformula(filter('Operações-Criptos'!H:H,'Operações-Criptos'!C:C&lt;&gt;"""",row('Operações-Criptos'!C:C)=max(if('Operações-Criptos'!C:C=A169,row('Operações-Criptos'!C:C),0)))) ,1),0)"),0.0)</f>
        <v>0</v>
      </c>
      <c r="D169" s="251">
        <f t="shared" si="1"/>
        <v>0</v>
      </c>
      <c r="E169" s="251">
        <f>IFERROR(__xludf.DUMMYFUNCTION("iferror(INDEX(arrayformula(filter('Operações-Criptos'!L:L,'Operações-Criptos'!C:C&lt;&gt;"""",row('Operações-Criptos'!C:C)=max(if('Operações-Criptos'!C:C=A169,row('Operações-Criptos'!C:C),0)))) ,1),0)"),0.0)</f>
        <v>0</v>
      </c>
      <c r="F169" s="251">
        <f t="shared" si="2"/>
        <v>0</v>
      </c>
      <c r="G169" s="251">
        <f>SUMIF(Proventos!$A$2:$A200,A169,Proventos!$H$2:$H200)</f>
        <v>0</v>
      </c>
      <c r="H169" s="251">
        <f t="shared" si="3"/>
        <v>0</v>
      </c>
      <c r="I169" s="253" t="str">
        <f>IFERROR(VLOOKUP(A169,Ativos!$A$1:$G200,5,),)</f>
        <v/>
      </c>
      <c r="J169" s="254" t="str">
        <f>IFERROR(VLOOKUP(A169,Ativos!A:H,8,),"")</f>
        <v/>
      </c>
      <c r="K169" s="251">
        <f>IFERROR(SUMIF('Operações-Criptos'!C:C,"="&amp;A169,'Operações-Criptos'!O:O),0)</f>
        <v>0</v>
      </c>
    </row>
    <row r="170">
      <c r="A170" s="255"/>
      <c r="B170" s="251" t="str">
        <f>IFERROR(__xludf.DUMMYFUNCTION("IFERROR(GOOGLEFINANCE(A170),"""")"),"")</f>
        <v/>
      </c>
      <c r="C170" s="252">
        <f>IFERROR(__xludf.DUMMYFUNCTION("iferror(INDEX(arrayformula(filter('Operações-Criptos'!H:H,'Operações-Criptos'!C:C&lt;&gt;"""",row('Operações-Criptos'!C:C)=max(if('Operações-Criptos'!C:C=A170,row('Operações-Criptos'!C:C),0)))) ,1),0)"),0.0)</f>
        <v>0</v>
      </c>
      <c r="D170" s="251">
        <f t="shared" si="1"/>
        <v>0</v>
      </c>
      <c r="E170" s="251">
        <f>IFERROR(__xludf.DUMMYFUNCTION("iferror(INDEX(arrayformula(filter('Operações-Criptos'!L:L,'Operações-Criptos'!C:C&lt;&gt;"""",row('Operações-Criptos'!C:C)=max(if('Operações-Criptos'!C:C=A170,row('Operações-Criptos'!C:C),0)))) ,1),0)"),0.0)</f>
        <v>0</v>
      </c>
      <c r="F170" s="251">
        <f t="shared" si="2"/>
        <v>0</v>
      </c>
      <c r="G170" s="251">
        <f>SUMIF(Proventos!$A$2:$A200,A170,Proventos!$H$2:$H200)</f>
        <v>0</v>
      </c>
      <c r="H170" s="251">
        <f t="shared" si="3"/>
        <v>0</v>
      </c>
      <c r="I170" s="253" t="str">
        <f>IFERROR(VLOOKUP(A170,Ativos!$A$1:$G200,5,),)</f>
        <v/>
      </c>
      <c r="J170" s="254" t="str">
        <f>IFERROR(VLOOKUP(A170,Ativos!A:H,8,),"")</f>
        <v/>
      </c>
      <c r="K170" s="251">
        <f>IFERROR(SUMIF('Operações-Criptos'!C:C,"="&amp;A170,'Operações-Criptos'!O:O),0)</f>
        <v>0</v>
      </c>
    </row>
    <row r="171">
      <c r="A171" s="255"/>
      <c r="B171" s="251" t="str">
        <f>IFERROR(__xludf.DUMMYFUNCTION("IFERROR(GOOGLEFINANCE(A171),"""")"),"")</f>
        <v/>
      </c>
      <c r="C171" s="252">
        <f>IFERROR(__xludf.DUMMYFUNCTION("iferror(INDEX(arrayformula(filter('Operações-Criptos'!H:H,'Operações-Criptos'!C:C&lt;&gt;"""",row('Operações-Criptos'!C:C)=max(if('Operações-Criptos'!C:C=A171,row('Operações-Criptos'!C:C),0)))) ,1),0)"),0.0)</f>
        <v>0</v>
      </c>
      <c r="D171" s="251">
        <f t="shared" si="1"/>
        <v>0</v>
      </c>
      <c r="E171" s="251">
        <f>IFERROR(__xludf.DUMMYFUNCTION("iferror(INDEX(arrayformula(filter('Operações-Criptos'!L:L,'Operações-Criptos'!C:C&lt;&gt;"""",row('Operações-Criptos'!C:C)=max(if('Operações-Criptos'!C:C=A171,row('Operações-Criptos'!C:C),0)))) ,1),0)"),0.0)</f>
        <v>0</v>
      </c>
      <c r="F171" s="251">
        <f t="shared" si="2"/>
        <v>0</v>
      </c>
      <c r="G171" s="251">
        <f>SUMIF(Proventos!$A$2:$A200,A171,Proventos!$H$2:$H200)</f>
        <v>0</v>
      </c>
      <c r="H171" s="251">
        <f t="shared" si="3"/>
        <v>0</v>
      </c>
      <c r="I171" s="253" t="str">
        <f>IFERROR(VLOOKUP(A171,Ativos!$A$1:$G200,5,),)</f>
        <v/>
      </c>
      <c r="J171" s="254" t="str">
        <f>IFERROR(VLOOKUP(A171,Ativos!A:H,8,),"")</f>
        <v/>
      </c>
      <c r="K171" s="251">
        <f>IFERROR(SUMIF('Operações-Criptos'!C:C,"="&amp;A171,'Operações-Criptos'!O:O),0)</f>
        <v>0</v>
      </c>
    </row>
    <row r="172">
      <c r="A172" s="255"/>
      <c r="B172" s="251" t="str">
        <f>IFERROR(__xludf.DUMMYFUNCTION("IFERROR(GOOGLEFINANCE(A172),"""")"),"")</f>
        <v/>
      </c>
      <c r="C172" s="252">
        <f>IFERROR(__xludf.DUMMYFUNCTION("iferror(INDEX(arrayformula(filter('Operações-Criptos'!H:H,'Operações-Criptos'!C:C&lt;&gt;"""",row('Operações-Criptos'!C:C)=max(if('Operações-Criptos'!C:C=A172,row('Operações-Criptos'!C:C),0)))) ,1),0)"),0.0)</f>
        <v>0</v>
      </c>
      <c r="D172" s="251">
        <f t="shared" si="1"/>
        <v>0</v>
      </c>
      <c r="E172" s="251">
        <f>IFERROR(__xludf.DUMMYFUNCTION("iferror(INDEX(arrayformula(filter('Operações-Criptos'!L:L,'Operações-Criptos'!C:C&lt;&gt;"""",row('Operações-Criptos'!C:C)=max(if('Operações-Criptos'!C:C=A172,row('Operações-Criptos'!C:C),0)))) ,1),0)"),0.0)</f>
        <v>0</v>
      </c>
      <c r="F172" s="251">
        <f t="shared" si="2"/>
        <v>0</v>
      </c>
      <c r="G172" s="251">
        <f>SUMIF(Proventos!$A$2:$A200,A172,Proventos!$H$2:$H200)</f>
        <v>0</v>
      </c>
      <c r="H172" s="251">
        <f t="shared" si="3"/>
        <v>0</v>
      </c>
      <c r="I172" s="253" t="str">
        <f>IFERROR(VLOOKUP(A172,Ativos!$A$1:$G200,5,),)</f>
        <v/>
      </c>
      <c r="J172" s="254" t="str">
        <f>IFERROR(VLOOKUP(A172,Ativos!A:H,8,),"")</f>
        <v/>
      </c>
      <c r="K172" s="251">
        <f>IFERROR(SUMIF('Operações-Criptos'!C:C,"="&amp;A172,'Operações-Criptos'!O:O),0)</f>
        <v>0</v>
      </c>
    </row>
    <row r="173">
      <c r="A173" s="255"/>
      <c r="B173" s="251" t="str">
        <f>IFERROR(__xludf.DUMMYFUNCTION("IFERROR(GOOGLEFINANCE(A173),"""")"),"")</f>
        <v/>
      </c>
      <c r="C173" s="252">
        <f>IFERROR(__xludf.DUMMYFUNCTION("iferror(INDEX(arrayformula(filter('Operações-Criptos'!H:H,'Operações-Criptos'!C:C&lt;&gt;"""",row('Operações-Criptos'!C:C)=max(if('Operações-Criptos'!C:C=A173,row('Operações-Criptos'!C:C),0)))) ,1),0)"),0.0)</f>
        <v>0</v>
      </c>
      <c r="D173" s="251">
        <f t="shared" si="1"/>
        <v>0</v>
      </c>
      <c r="E173" s="251">
        <f>IFERROR(__xludf.DUMMYFUNCTION("iferror(INDEX(arrayformula(filter('Operações-Criptos'!L:L,'Operações-Criptos'!C:C&lt;&gt;"""",row('Operações-Criptos'!C:C)=max(if('Operações-Criptos'!C:C=A173,row('Operações-Criptos'!C:C),0)))) ,1),0)"),0.0)</f>
        <v>0</v>
      </c>
      <c r="F173" s="251">
        <f t="shared" si="2"/>
        <v>0</v>
      </c>
      <c r="G173" s="251">
        <f>SUMIF(Proventos!$A$2:$A200,A173,Proventos!$H$2:$H200)</f>
        <v>0</v>
      </c>
      <c r="H173" s="251">
        <f t="shared" si="3"/>
        <v>0</v>
      </c>
      <c r="I173" s="253" t="str">
        <f>IFERROR(VLOOKUP(A173,Ativos!$A$1:$G200,5,),)</f>
        <v/>
      </c>
      <c r="J173" s="254" t="str">
        <f>IFERROR(VLOOKUP(A173,Ativos!A:H,8,),"")</f>
        <v/>
      </c>
      <c r="K173" s="251">
        <f>IFERROR(SUMIF('Operações-Criptos'!C:C,"="&amp;A173,'Operações-Criptos'!O:O),0)</f>
        <v>0</v>
      </c>
    </row>
    <row r="174">
      <c r="A174" s="255"/>
      <c r="B174" s="251" t="str">
        <f>IFERROR(__xludf.DUMMYFUNCTION("IFERROR(GOOGLEFINANCE(A174),"""")"),"")</f>
        <v/>
      </c>
      <c r="C174" s="252">
        <f>IFERROR(__xludf.DUMMYFUNCTION("iferror(INDEX(arrayformula(filter('Operações-Criptos'!H:H,'Operações-Criptos'!C:C&lt;&gt;"""",row('Operações-Criptos'!C:C)=max(if('Operações-Criptos'!C:C=A174,row('Operações-Criptos'!C:C),0)))) ,1),0)"),0.0)</f>
        <v>0</v>
      </c>
      <c r="D174" s="251">
        <f t="shared" si="1"/>
        <v>0</v>
      </c>
      <c r="E174" s="251">
        <f>IFERROR(__xludf.DUMMYFUNCTION("iferror(INDEX(arrayformula(filter('Operações-Criptos'!L:L,'Operações-Criptos'!C:C&lt;&gt;"""",row('Operações-Criptos'!C:C)=max(if('Operações-Criptos'!C:C=A174,row('Operações-Criptos'!C:C),0)))) ,1),0)"),0.0)</f>
        <v>0</v>
      </c>
      <c r="F174" s="251">
        <f t="shared" si="2"/>
        <v>0</v>
      </c>
      <c r="G174" s="251">
        <f>SUMIF(Proventos!$A$2:$A200,A174,Proventos!$H$2:$H200)</f>
        <v>0</v>
      </c>
      <c r="H174" s="251">
        <f t="shared" si="3"/>
        <v>0</v>
      </c>
      <c r="I174" s="253" t="str">
        <f>IFERROR(VLOOKUP(A174,Ativos!$A$1:$G200,5,),)</f>
        <v/>
      </c>
      <c r="J174" s="254" t="str">
        <f>IFERROR(VLOOKUP(A174,Ativos!A:H,8,),"")</f>
        <v/>
      </c>
      <c r="K174" s="251">
        <f>IFERROR(SUMIF('Operações-Criptos'!C:C,"="&amp;A174,'Operações-Criptos'!O:O),0)</f>
        <v>0</v>
      </c>
    </row>
    <row r="175">
      <c r="A175" s="255"/>
      <c r="B175" s="251" t="str">
        <f>IFERROR(__xludf.DUMMYFUNCTION("IFERROR(GOOGLEFINANCE(A175),"""")"),"")</f>
        <v/>
      </c>
      <c r="C175" s="252">
        <f>IFERROR(__xludf.DUMMYFUNCTION("iferror(INDEX(arrayformula(filter('Operações-Criptos'!H:H,'Operações-Criptos'!C:C&lt;&gt;"""",row('Operações-Criptos'!C:C)=max(if('Operações-Criptos'!C:C=A175,row('Operações-Criptos'!C:C),0)))) ,1),0)"),0.0)</f>
        <v>0</v>
      </c>
      <c r="D175" s="251">
        <f t="shared" si="1"/>
        <v>0</v>
      </c>
      <c r="E175" s="251">
        <f>IFERROR(__xludf.DUMMYFUNCTION("iferror(INDEX(arrayformula(filter('Operações-Criptos'!L:L,'Operações-Criptos'!C:C&lt;&gt;"""",row('Operações-Criptos'!C:C)=max(if('Operações-Criptos'!C:C=A175,row('Operações-Criptos'!C:C),0)))) ,1),0)"),0.0)</f>
        <v>0</v>
      </c>
      <c r="F175" s="251">
        <f t="shared" si="2"/>
        <v>0</v>
      </c>
      <c r="G175" s="251">
        <f>SUMIF(Proventos!$A$2:$A200,A175,Proventos!$H$2:$H200)</f>
        <v>0</v>
      </c>
      <c r="H175" s="251">
        <f t="shared" si="3"/>
        <v>0</v>
      </c>
      <c r="I175" s="253" t="str">
        <f>IFERROR(VLOOKUP(A175,Ativos!$A$1:$G200,5,),)</f>
        <v/>
      </c>
      <c r="J175" s="254" t="str">
        <f>IFERROR(VLOOKUP(A175,Ativos!A:H,8,),"")</f>
        <v/>
      </c>
      <c r="K175" s="251">
        <f>IFERROR(SUMIF('Operações-Criptos'!C:C,"="&amp;A175,'Operações-Criptos'!O:O),0)</f>
        <v>0</v>
      </c>
    </row>
    <row r="176">
      <c r="A176" s="255"/>
      <c r="B176" s="251" t="str">
        <f>IFERROR(__xludf.DUMMYFUNCTION("IFERROR(GOOGLEFINANCE(A176),"""")"),"")</f>
        <v/>
      </c>
      <c r="C176" s="252">
        <f>IFERROR(__xludf.DUMMYFUNCTION("iferror(INDEX(arrayformula(filter('Operações-Criptos'!H:H,'Operações-Criptos'!C:C&lt;&gt;"""",row('Operações-Criptos'!C:C)=max(if('Operações-Criptos'!C:C=A176,row('Operações-Criptos'!C:C),0)))) ,1),0)"),0.0)</f>
        <v>0</v>
      </c>
      <c r="D176" s="251">
        <f t="shared" si="1"/>
        <v>0</v>
      </c>
      <c r="E176" s="251">
        <f>IFERROR(__xludf.DUMMYFUNCTION("iferror(INDEX(arrayformula(filter('Operações-Criptos'!L:L,'Operações-Criptos'!C:C&lt;&gt;"""",row('Operações-Criptos'!C:C)=max(if('Operações-Criptos'!C:C=A176,row('Operações-Criptos'!C:C),0)))) ,1),0)"),0.0)</f>
        <v>0</v>
      </c>
      <c r="F176" s="251">
        <f t="shared" si="2"/>
        <v>0</v>
      </c>
      <c r="G176" s="251">
        <f>SUMIF(Proventos!$A$2:$A200,A176,Proventos!$H$2:$H200)</f>
        <v>0</v>
      </c>
      <c r="H176" s="251">
        <f t="shared" si="3"/>
        <v>0</v>
      </c>
      <c r="I176" s="253" t="str">
        <f>IFERROR(VLOOKUP(A176,Ativos!$A$1:$G200,5,),)</f>
        <v/>
      </c>
      <c r="J176" s="254" t="str">
        <f>IFERROR(VLOOKUP(A176,Ativos!A:H,8,),"")</f>
        <v/>
      </c>
      <c r="K176" s="251">
        <f>IFERROR(SUMIF('Operações-Criptos'!C:C,"="&amp;A176,'Operações-Criptos'!O:O),0)</f>
        <v>0</v>
      </c>
    </row>
    <row r="177">
      <c r="A177" s="255"/>
      <c r="B177" s="251" t="str">
        <f>IFERROR(__xludf.DUMMYFUNCTION("IFERROR(GOOGLEFINANCE(A177),"""")"),"")</f>
        <v/>
      </c>
      <c r="C177" s="252">
        <f>IFERROR(__xludf.DUMMYFUNCTION("iferror(INDEX(arrayformula(filter('Operações-Criptos'!H:H,'Operações-Criptos'!C:C&lt;&gt;"""",row('Operações-Criptos'!C:C)=max(if('Operações-Criptos'!C:C=A177,row('Operações-Criptos'!C:C),0)))) ,1),0)"),0.0)</f>
        <v>0</v>
      </c>
      <c r="D177" s="251">
        <f t="shared" si="1"/>
        <v>0</v>
      </c>
      <c r="E177" s="251">
        <f>IFERROR(__xludf.DUMMYFUNCTION("iferror(INDEX(arrayformula(filter('Operações-Criptos'!L:L,'Operações-Criptos'!C:C&lt;&gt;"""",row('Operações-Criptos'!C:C)=max(if('Operações-Criptos'!C:C=A177,row('Operações-Criptos'!C:C),0)))) ,1),0)"),0.0)</f>
        <v>0</v>
      </c>
      <c r="F177" s="251">
        <f t="shared" si="2"/>
        <v>0</v>
      </c>
      <c r="G177" s="251">
        <f>SUMIF(Proventos!$A$2:$A200,A177,Proventos!$H$2:$H200)</f>
        <v>0</v>
      </c>
      <c r="H177" s="251">
        <f t="shared" si="3"/>
        <v>0</v>
      </c>
      <c r="I177" s="253" t="str">
        <f>IFERROR(VLOOKUP(A177,Ativos!$A$1:$G200,5,),)</f>
        <v/>
      </c>
      <c r="J177" s="254" t="str">
        <f>IFERROR(VLOOKUP(A177,Ativos!A:H,8,),"")</f>
        <v/>
      </c>
      <c r="K177" s="251">
        <f>IFERROR(SUMIF('Operações-Criptos'!C:C,"="&amp;A177,'Operações-Criptos'!O:O),0)</f>
        <v>0</v>
      </c>
    </row>
    <row r="178">
      <c r="A178" s="255"/>
      <c r="B178" s="251" t="str">
        <f>IFERROR(__xludf.DUMMYFUNCTION("IFERROR(GOOGLEFINANCE(A178),"""")"),"")</f>
        <v/>
      </c>
      <c r="C178" s="252">
        <f>IFERROR(__xludf.DUMMYFUNCTION("iferror(INDEX(arrayformula(filter('Operações-Criptos'!H:H,'Operações-Criptos'!C:C&lt;&gt;"""",row('Operações-Criptos'!C:C)=max(if('Operações-Criptos'!C:C=A178,row('Operações-Criptos'!C:C),0)))) ,1),0)"),0.0)</f>
        <v>0</v>
      </c>
      <c r="D178" s="251">
        <f t="shared" si="1"/>
        <v>0</v>
      </c>
      <c r="E178" s="251">
        <f>IFERROR(__xludf.DUMMYFUNCTION("iferror(INDEX(arrayformula(filter('Operações-Criptos'!L:L,'Operações-Criptos'!C:C&lt;&gt;"""",row('Operações-Criptos'!C:C)=max(if('Operações-Criptos'!C:C=A178,row('Operações-Criptos'!C:C),0)))) ,1),0)"),0.0)</f>
        <v>0</v>
      </c>
      <c r="F178" s="251">
        <f t="shared" si="2"/>
        <v>0</v>
      </c>
      <c r="G178" s="251">
        <f>SUMIF(Proventos!$A$2:$A200,A178,Proventos!$H$2:$H200)</f>
        <v>0</v>
      </c>
      <c r="H178" s="251">
        <f t="shared" si="3"/>
        <v>0</v>
      </c>
      <c r="I178" s="253" t="str">
        <f>IFERROR(VLOOKUP(A178,Ativos!$A$1:$G200,5,),)</f>
        <v/>
      </c>
      <c r="J178" s="254" t="str">
        <f>IFERROR(VLOOKUP(A178,Ativos!A:H,8,),"")</f>
        <v/>
      </c>
      <c r="K178" s="251">
        <f>IFERROR(SUMIF('Operações-Criptos'!C:C,"="&amp;A178,'Operações-Criptos'!O:O),0)</f>
        <v>0</v>
      </c>
    </row>
    <row r="179">
      <c r="A179" s="255"/>
      <c r="B179" s="251" t="str">
        <f>IFERROR(__xludf.DUMMYFUNCTION("IFERROR(GOOGLEFINANCE(A179),"""")"),"")</f>
        <v/>
      </c>
      <c r="C179" s="252">
        <f>IFERROR(__xludf.DUMMYFUNCTION("iferror(INDEX(arrayformula(filter('Operações-Criptos'!H:H,'Operações-Criptos'!C:C&lt;&gt;"""",row('Operações-Criptos'!C:C)=max(if('Operações-Criptos'!C:C=A179,row('Operações-Criptos'!C:C),0)))) ,1),0)"),0.0)</f>
        <v>0</v>
      </c>
      <c r="D179" s="251">
        <f t="shared" si="1"/>
        <v>0</v>
      </c>
      <c r="E179" s="251">
        <f>IFERROR(__xludf.DUMMYFUNCTION("iferror(INDEX(arrayformula(filter('Operações-Criptos'!L:L,'Operações-Criptos'!C:C&lt;&gt;"""",row('Operações-Criptos'!C:C)=max(if('Operações-Criptos'!C:C=A179,row('Operações-Criptos'!C:C),0)))) ,1),0)"),0.0)</f>
        <v>0</v>
      </c>
      <c r="F179" s="251">
        <f t="shared" si="2"/>
        <v>0</v>
      </c>
      <c r="G179" s="251">
        <f>SUMIF(Proventos!$A$2:$A200,A179,Proventos!$H$2:$H200)</f>
        <v>0</v>
      </c>
      <c r="H179" s="251">
        <f t="shared" si="3"/>
        <v>0</v>
      </c>
      <c r="I179" s="253" t="str">
        <f>IFERROR(VLOOKUP(A179,Ativos!$A$1:$G200,5,),)</f>
        <v/>
      </c>
      <c r="J179" s="254" t="str">
        <f>IFERROR(VLOOKUP(A179,Ativos!A:H,8,),"")</f>
        <v/>
      </c>
      <c r="K179" s="251">
        <f>IFERROR(SUMIF('Operações-Criptos'!C:C,"="&amp;A179,'Operações-Criptos'!O:O),0)</f>
        <v>0</v>
      </c>
    </row>
    <row r="180">
      <c r="A180" s="255"/>
      <c r="B180" s="251" t="str">
        <f>IFERROR(__xludf.DUMMYFUNCTION("IFERROR(GOOGLEFINANCE(A180),"""")"),"")</f>
        <v/>
      </c>
      <c r="C180" s="252">
        <f>IFERROR(__xludf.DUMMYFUNCTION("iferror(INDEX(arrayformula(filter('Operações-Criptos'!H:H,'Operações-Criptos'!C:C&lt;&gt;"""",row('Operações-Criptos'!C:C)=max(if('Operações-Criptos'!C:C=A180,row('Operações-Criptos'!C:C),0)))) ,1),0)"),0.0)</f>
        <v>0</v>
      </c>
      <c r="D180" s="251">
        <f t="shared" si="1"/>
        <v>0</v>
      </c>
      <c r="E180" s="251">
        <f>IFERROR(__xludf.DUMMYFUNCTION("iferror(INDEX(arrayformula(filter('Operações-Criptos'!L:L,'Operações-Criptos'!C:C&lt;&gt;"""",row('Operações-Criptos'!C:C)=max(if('Operações-Criptos'!C:C=A180,row('Operações-Criptos'!C:C),0)))) ,1),0)"),0.0)</f>
        <v>0</v>
      </c>
      <c r="F180" s="251">
        <f t="shared" si="2"/>
        <v>0</v>
      </c>
      <c r="G180" s="251">
        <f>SUMIF(Proventos!$A$2:$A200,A180,Proventos!$H$2:$H200)</f>
        <v>0</v>
      </c>
      <c r="H180" s="251">
        <f t="shared" si="3"/>
        <v>0</v>
      </c>
      <c r="I180" s="253" t="str">
        <f>IFERROR(VLOOKUP(A180,Ativos!$A$1:$G200,5,),)</f>
        <v/>
      </c>
      <c r="J180" s="254" t="str">
        <f>IFERROR(VLOOKUP(A180,Ativos!A:H,8,),"")</f>
        <v/>
      </c>
      <c r="K180" s="251">
        <f>IFERROR(SUMIF('Operações-Criptos'!C:C,"="&amp;A180,'Operações-Criptos'!O:O),0)</f>
        <v>0</v>
      </c>
    </row>
    <row r="181">
      <c r="A181" s="255"/>
      <c r="B181" s="251" t="str">
        <f>IFERROR(__xludf.DUMMYFUNCTION("IFERROR(GOOGLEFINANCE(A181),"""")"),"")</f>
        <v/>
      </c>
      <c r="C181" s="252">
        <f>IFERROR(__xludf.DUMMYFUNCTION("iferror(INDEX(arrayformula(filter('Operações-Criptos'!H:H,'Operações-Criptos'!C:C&lt;&gt;"""",row('Operações-Criptos'!C:C)=max(if('Operações-Criptos'!C:C=A181,row('Operações-Criptos'!C:C),0)))) ,1),0)"),0.0)</f>
        <v>0</v>
      </c>
      <c r="D181" s="251">
        <f t="shared" si="1"/>
        <v>0</v>
      </c>
      <c r="E181" s="251">
        <f>IFERROR(__xludf.DUMMYFUNCTION("iferror(INDEX(arrayformula(filter('Operações-Criptos'!L:L,'Operações-Criptos'!C:C&lt;&gt;"""",row('Operações-Criptos'!C:C)=max(if('Operações-Criptos'!C:C=A181,row('Operações-Criptos'!C:C),0)))) ,1),0)"),0.0)</f>
        <v>0</v>
      </c>
      <c r="F181" s="251">
        <f t="shared" si="2"/>
        <v>0</v>
      </c>
      <c r="G181" s="251">
        <f>SUMIF(Proventos!$A$2:$A200,A181,Proventos!$H$2:$H200)</f>
        <v>0</v>
      </c>
      <c r="H181" s="251">
        <f t="shared" si="3"/>
        <v>0</v>
      </c>
      <c r="I181" s="253" t="str">
        <f>IFERROR(VLOOKUP(A181,Ativos!$A$1:$G200,5,),)</f>
        <v/>
      </c>
      <c r="J181" s="254" t="str">
        <f>IFERROR(VLOOKUP(A181,Ativos!A:H,8,),"")</f>
        <v/>
      </c>
      <c r="K181" s="251">
        <f>IFERROR(SUMIF('Operações-Criptos'!C:C,"="&amp;A181,'Operações-Criptos'!O:O),0)</f>
        <v>0</v>
      </c>
    </row>
    <row r="182">
      <c r="A182" s="255"/>
      <c r="B182" s="251" t="str">
        <f>IFERROR(__xludf.DUMMYFUNCTION("IFERROR(GOOGLEFINANCE(A182),"""")"),"")</f>
        <v/>
      </c>
      <c r="C182" s="252">
        <f>IFERROR(__xludf.DUMMYFUNCTION("iferror(INDEX(arrayformula(filter('Operações-Criptos'!H:H,'Operações-Criptos'!C:C&lt;&gt;"""",row('Operações-Criptos'!C:C)=max(if('Operações-Criptos'!C:C=A182,row('Operações-Criptos'!C:C),0)))) ,1),0)"),0.0)</f>
        <v>0</v>
      </c>
      <c r="D182" s="251">
        <f t="shared" si="1"/>
        <v>0</v>
      </c>
      <c r="E182" s="251">
        <f>IFERROR(__xludf.DUMMYFUNCTION("iferror(INDEX(arrayformula(filter('Operações-Criptos'!L:L,'Operações-Criptos'!C:C&lt;&gt;"""",row('Operações-Criptos'!C:C)=max(if('Operações-Criptos'!C:C=A182,row('Operações-Criptos'!C:C),0)))) ,1),0)"),0.0)</f>
        <v>0</v>
      </c>
      <c r="F182" s="251">
        <f t="shared" si="2"/>
        <v>0</v>
      </c>
      <c r="G182" s="251">
        <f>SUMIF(Proventos!$A$2:$A200,A182,Proventos!$H$2:$H200)</f>
        <v>0</v>
      </c>
      <c r="H182" s="251">
        <f t="shared" si="3"/>
        <v>0</v>
      </c>
      <c r="I182" s="253" t="str">
        <f>IFERROR(VLOOKUP(A182,Ativos!$A$1:$G200,5,),)</f>
        <v/>
      </c>
      <c r="J182" s="254" t="str">
        <f>IFERROR(VLOOKUP(A182,Ativos!A:H,8,),"")</f>
        <v/>
      </c>
      <c r="K182" s="251">
        <f>IFERROR(SUMIF('Operações-Criptos'!C:C,"="&amp;A182,'Operações-Criptos'!O:O),0)</f>
        <v>0</v>
      </c>
    </row>
    <row r="183">
      <c r="A183" s="255"/>
      <c r="B183" s="251" t="str">
        <f>IFERROR(__xludf.DUMMYFUNCTION("IFERROR(GOOGLEFINANCE(A183),"""")"),"")</f>
        <v/>
      </c>
      <c r="C183" s="252">
        <f>IFERROR(__xludf.DUMMYFUNCTION("iferror(INDEX(arrayformula(filter('Operações-Criptos'!H:H,'Operações-Criptos'!C:C&lt;&gt;"""",row('Operações-Criptos'!C:C)=max(if('Operações-Criptos'!C:C=A183,row('Operações-Criptos'!C:C),0)))) ,1),0)"),0.0)</f>
        <v>0</v>
      </c>
      <c r="D183" s="251">
        <f t="shared" si="1"/>
        <v>0</v>
      </c>
      <c r="E183" s="251">
        <f>IFERROR(__xludf.DUMMYFUNCTION("iferror(INDEX(arrayformula(filter('Operações-Criptos'!L:L,'Operações-Criptos'!C:C&lt;&gt;"""",row('Operações-Criptos'!C:C)=max(if('Operações-Criptos'!C:C=A183,row('Operações-Criptos'!C:C),0)))) ,1),0)"),0.0)</f>
        <v>0</v>
      </c>
      <c r="F183" s="251">
        <f t="shared" si="2"/>
        <v>0</v>
      </c>
      <c r="G183" s="251">
        <f>SUMIF(Proventos!$A$2:$A200,A183,Proventos!$H$2:$H200)</f>
        <v>0</v>
      </c>
      <c r="H183" s="251">
        <f t="shared" si="3"/>
        <v>0</v>
      </c>
      <c r="I183" s="253" t="str">
        <f>IFERROR(VLOOKUP(A183,Ativos!$A$1:$G200,5,),)</f>
        <v/>
      </c>
      <c r="J183" s="254" t="str">
        <f>IFERROR(VLOOKUP(A183,Ativos!A:H,8,),"")</f>
        <v/>
      </c>
      <c r="K183" s="251">
        <f>IFERROR(SUMIF('Operações-Criptos'!C:C,"="&amp;A183,'Operações-Criptos'!O:O),0)</f>
        <v>0</v>
      </c>
    </row>
    <row r="184">
      <c r="A184" s="255"/>
      <c r="B184" s="251" t="str">
        <f>IFERROR(__xludf.DUMMYFUNCTION("IFERROR(GOOGLEFINANCE(A184),"""")"),"")</f>
        <v/>
      </c>
      <c r="C184" s="252">
        <f>IFERROR(__xludf.DUMMYFUNCTION("iferror(INDEX(arrayformula(filter('Operações-Criptos'!H:H,'Operações-Criptos'!C:C&lt;&gt;"""",row('Operações-Criptos'!C:C)=max(if('Operações-Criptos'!C:C=A184,row('Operações-Criptos'!C:C),0)))) ,1),0)"),0.0)</f>
        <v>0</v>
      </c>
      <c r="D184" s="251">
        <f t="shared" si="1"/>
        <v>0</v>
      </c>
      <c r="E184" s="251">
        <f>IFERROR(__xludf.DUMMYFUNCTION("iferror(INDEX(arrayformula(filter('Operações-Criptos'!L:L,'Operações-Criptos'!C:C&lt;&gt;"""",row('Operações-Criptos'!C:C)=max(if('Operações-Criptos'!C:C=A184,row('Operações-Criptos'!C:C),0)))) ,1),0)"),0.0)</f>
        <v>0</v>
      </c>
      <c r="F184" s="251">
        <f t="shared" si="2"/>
        <v>0</v>
      </c>
      <c r="G184" s="251">
        <f>SUMIF(Proventos!$A$2:$A200,A184,Proventos!$H$2:$H200)</f>
        <v>0</v>
      </c>
      <c r="H184" s="251">
        <f t="shared" si="3"/>
        <v>0</v>
      </c>
      <c r="I184" s="253" t="str">
        <f>IFERROR(VLOOKUP(A184,Ativos!$A$1:$G200,5,),)</f>
        <v/>
      </c>
      <c r="J184" s="254" t="str">
        <f>IFERROR(VLOOKUP(A184,Ativos!A:H,8,),"")</f>
        <v/>
      </c>
      <c r="K184" s="251">
        <f>IFERROR(SUMIF('Operações-Criptos'!C:C,"="&amp;A184,'Operações-Criptos'!O:O),0)</f>
        <v>0</v>
      </c>
    </row>
    <row r="185">
      <c r="A185" s="255"/>
      <c r="B185" s="251" t="str">
        <f>IFERROR(__xludf.DUMMYFUNCTION("IFERROR(GOOGLEFINANCE(A185),"""")"),"")</f>
        <v/>
      </c>
      <c r="C185" s="252">
        <f>IFERROR(__xludf.DUMMYFUNCTION("iferror(INDEX(arrayformula(filter('Operações-Criptos'!H:H,'Operações-Criptos'!C:C&lt;&gt;"""",row('Operações-Criptos'!C:C)=max(if('Operações-Criptos'!C:C=A185,row('Operações-Criptos'!C:C),0)))) ,1),0)"),0.0)</f>
        <v>0</v>
      </c>
      <c r="D185" s="251">
        <f t="shared" si="1"/>
        <v>0</v>
      </c>
      <c r="E185" s="251">
        <f>IFERROR(__xludf.DUMMYFUNCTION("iferror(INDEX(arrayformula(filter('Operações-Criptos'!L:L,'Operações-Criptos'!C:C&lt;&gt;"""",row('Operações-Criptos'!C:C)=max(if('Operações-Criptos'!C:C=A185,row('Operações-Criptos'!C:C),0)))) ,1),0)"),0.0)</f>
        <v>0</v>
      </c>
      <c r="F185" s="251">
        <f t="shared" si="2"/>
        <v>0</v>
      </c>
      <c r="G185" s="251">
        <f>SUMIF(Proventos!$A$2:$A200,A185,Proventos!$H$2:$H200)</f>
        <v>0</v>
      </c>
      <c r="H185" s="251">
        <f t="shared" si="3"/>
        <v>0</v>
      </c>
      <c r="I185" s="253" t="str">
        <f>IFERROR(VLOOKUP(A185,Ativos!$A$1:$G200,5,),)</f>
        <v/>
      </c>
      <c r="J185" s="254" t="str">
        <f>IFERROR(VLOOKUP(A185,Ativos!A:H,8,),"")</f>
        <v/>
      </c>
      <c r="K185" s="251">
        <f>IFERROR(SUMIF('Operações-Criptos'!C:C,"="&amp;A185,'Operações-Criptos'!O:O),0)</f>
        <v>0</v>
      </c>
    </row>
    <row r="186">
      <c r="A186" s="255"/>
      <c r="B186" s="251" t="str">
        <f>IFERROR(__xludf.DUMMYFUNCTION("IFERROR(GOOGLEFINANCE(A186),"""")"),"")</f>
        <v/>
      </c>
      <c r="C186" s="252">
        <f>IFERROR(__xludf.DUMMYFUNCTION("iferror(INDEX(arrayformula(filter('Operações-Criptos'!H:H,'Operações-Criptos'!C:C&lt;&gt;"""",row('Operações-Criptos'!C:C)=max(if('Operações-Criptos'!C:C=A186,row('Operações-Criptos'!C:C),0)))) ,1),0)"),0.0)</f>
        <v>0</v>
      </c>
      <c r="D186" s="251">
        <f t="shared" si="1"/>
        <v>0</v>
      </c>
      <c r="E186" s="251">
        <f>IFERROR(__xludf.DUMMYFUNCTION("iferror(INDEX(arrayformula(filter('Operações-Criptos'!L:L,'Operações-Criptos'!C:C&lt;&gt;"""",row('Operações-Criptos'!C:C)=max(if('Operações-Criptos'!C:C=A186,row('Operações-Criptos'!C:C),0)))) ,1),0)"),0.0)</f>
        <v>0</v>
      </c>
      <c r="F186" s="251">
        <f t="shared" si="2"/>
        <v>0</v>
      </c>
      <c r="G186" s="251">
        <f>SUMIF(Proventos!$A$2:$A200,A186,Proventos!$H$2:$H200)</f>
        <v>0</v>
      </c>
      <c r="H186" s="251">
        <f t="shared" si="3"/>
        <v>0</v>
      </c>
      <c r="I186" s="253" t="str">
        <f>IFERROR(VLOOKUP(A186,Ativos!$A$1:$G200,5,),)</f>
        <v/>
      </c>
      <c r="J186" s="254" t="str">
        <f>IFERROR(VLOOKUP(A186,Ativos!A:H,8,),"")</f>
        <v/>
      </c>
      <c r="K186" s="251">
        <f>IFERROR(SUMIF('Operações-Criptos'!C:C,"="&amp;A186,'Operações-Criptos'!O:O),0)</f>
        <v>0</v>
      </c>
    </row>
    <row r="187">
      <c r="A187" s="255"/>
      <c r="B187" s="251" t="str">
        <f>IFERROR(__xludf.DUMMYFUNCTION("IFERROR(GOOGLEFINANCE(A187),"""")"),"")</f>
        <v/>
      </c>
      <c r="C187" s="252">
        <f>IFERROR(__xludf.DUMMYFUNCTION("iferror(INDEX(arrayformula(filter('Operações-Criptos'!H:H,'Operações-Criptos'!C:C&lt;&gt;"""",row('Operações-Criptos'!C:C)=max(if('Operações-Criptos'!C:C=A187,row('Operações-Criptos'!C:C),0)))) ,1),0)"),0.0)</f>
        <v>0</v>
      </c>
      <c r="D187" s="251">
        <f t="shared" si="1"/>
        <v>0</v>
      </c>
      <c r="E187" s="251">
        <f>IFERROR(__xludf.DUMMYFUNCTION("iferror(INDEX(arrayformula(filter('Operações-Criptos'!L:L,'Operações-Criptos'!C:C&lt;&gt;"""",row('Operações-Criptos'!C:C)=max(if('Operações-Criptos'!C:C=A187,row('Operações-Criptos'!C:C),0)))) ,1),0)"),0.0)</f>
        <v>0</v>
      </c>
      <c r="F187" s="251">
        <f t="shared" si="2"/>
        <v>0</v>
      </c>
      <c r="G187" s="251">
        <f>SUMIF(Proventos!$A$2:$A200,A187,Proventos!$H$2:$H200)</f>
        <v>0</v>
      </c>
      <c r="H187" s="251">
        <f t="shared" si="3"/>
        <v>0</v>
      </c>
      <c r="I187" s="253" t="str">
        <f>IFERROR(VLOOKUP(A187,Ativos!$A$1:$G200,5,),)</f>
        <v/>
      </c>
      <c r="J187" s="254" t="str">
        <f>IFERROR(VLOOKUP(A187,Ativos!A:H,8,),"")</f>
        <v/>
      </c>
      <c r="K187" s="251">
        <f>IFERROR(SUMIF('Operações-Criptos'!C:C,"="&amp;A187,'Operações-Criptos'!O:O),0)</f>
        <v>0</v>
      </c>
    </row>
    <row r="188">
      <c r="A188" s="255"/>
      <c r="B188" s="251" t="str">
        <f>IFERROR(__xludf.DUMMYFUNCTION("IFERROR(GOOGLEFINANCE(A188),"""")"),"")</f>
        <v/>
      </c>
      <c r="C188" s="252">
        <f>IFERROR(__xludf.DUMMYFUNCTION("iferror(INDEX(arrayformula(filter('Operações-Criptos'!H:H,'Operações-Criptos'!C:C&lt;&gt;"""",row('Operações-Criptos'!C:C)=max(if('Operações-Criptos'!C:C=A188,row('Operações-Criptos'!C:C),0)))) ,1),0)"),0.0)</f>
        <v>0</v>
      </c>
      <c r="D188" s="251">
        <f t="shared" si="1"/>
        <v>0</v>
      </c>
      <c r="E188" s="251">
        <f>IFERROR(__xludf.DUMMYFUNCTION("iferror(INDEX(arrayformula(filter('Operações-Criptos'!L:L,'Operações-Criptos'!C:C&lt;&gt;"""",row('Operações-Criptos'!C:C)=max(if('Operações-Criptos'!C:C=A188,row('Operações-Criptos'!C:C),0)))) ,1),0)"),0.0)</f>
        <v>0</v>
      </c>
      <c r="F188" s="251">
        <f t="shared" si="2"/>
        <v>0</v>
      </c>
      <c r="G188" s="251">
        <f>SUMIF(Proventos!$A$2:$A200,A188,Proventos!$H$2:$H200)</f>
        <v>0</v>
      </c>
      <c r="H188" s="251">
        <f t="shared" si="3"/>
        <v>0</v>
      </c>
      <c r="I188" s="253" t="str">
        <f>IFERROR(VLOOKUP(A188,Ativos!$A$1:$G200,5,),)</f>
        <v/>
      </c>
      <c r="J188" s="254" t="str">
        <f>IFERROR(VLOOKUP(A188,Ativos!A:H,8,),"")</f>
        <v/>
      </c>
      <c r="K188" s="251">
        <f>IFERROR(SUMIF('Operações-Criptos'!C:C,"="&amp;A188,'Operações-Criptos'!O:O),0)</f>
        <v>0</v>
      </c>
    </row>
    <row r="189">
      <c r="A189" s="255"/>
      <c r="B189" s="251" t="str">
        <f>IFERROR(__xludf.DUMMYFUNCTION("IFERROR(GOOGLEFINANCE(A189),"""")"),"")</f>
        <v/>
      </c>
      <c r="C189" s="252">
        <f>IFERROR(__xludf.DUMMYFUNCTION("iferror(INDEX(arrayformula(filter('Operações-Criptos'!H:H,'Operações-Criptos'!C:C&lt;&gt;"""",row('Operações-Criptos'!C:C)=max(if('Operações-Criptos'!C:C=A189,row('Operações-Criptos'!C:C),0)))) ,1),0)"),0.0)</f>
        <v>0</v>
      </c>
      <c r="D189" s="251">
        <f t="shared" si="1"/>
        <v>0</v>
      </c>
      <c r="E189" s="251">
        <f>IFERROR(__xludf.DUMMYFUNCTION("iferror(INDEX(arrayformula(filter('Operações-Criptos'!L:L,'Operações-Criptos'!C:C&lt;&gt;"""",row('Operações-Criptos'!C:C)=max(if('Operações-Criptos'!C:C=A189,row('Operações-Criptos'!C:C),0)))) ,1),0)"),0.0)</f>
        <v>0</v>
      </c>
      <c r="F189" s="251">
        <f t="shared" si="2"/>
        <v>0</v>
      </c>
      <c r="G189" s="251">
        <f>SUMIF(Proventos!$A$2:$A200,A189,Proventos!$H$2:$H200)</f>
        <v>0</v>
      </c>
      <c r="H189" s="251">
        <f t="shared" si="3"/>
        <v>0</v>
      </c>
      <c r="I189" s="253" t="str">
        <f>IFERROR(VLOOKUP(A189,Ativos!$A$1:$G200,5,),)</f>
        <v/>
      </c>
      <c r="J189" s="254" t="str">
        <f>IFERROR(VLOOKUP(A189,Ativos!A:H,8,),"")</f>
        <v/>
      </c>
      <c r="K189" s="251">
        <f>IFERROR(SUMIF('Operações-Criptos'!C:C,"="&amp;A189,'Operações-Criptos'!O:O),0)</f>
        <v>0</v>
      </c>
    </row>
    <row r="190">
      <c r="A190" s="255"/>
      <c r="B190" s="251" t="str">
        <f>IFERROR(__xludf.DUMMYFUNCTION("IFERROR(GOOGLEFINANCE(A190),"""")"),"")</f>
        <v/>
      </c>
      <c r="C190" s="252">
        <f>IFERROR(__xludf.DUMMYFUNCTION("iferror(INDEX(arrayformula(filter('Operações-Criptos'!H:H,'Operações-Criptos'!C:C&lt;&gt;"""",row('Operações-Criptos'!C:C)=max(if('Operações-Criptos'!C:C=A190,row('Operações-Criptos'!C:C),0)))) ,1),0)"),0.0)</f>
        <v>0</v>
      </c>
      <c r="D190" s="251">
        <f t="shared" si="1"/>
        <v>0</v>
      </c>
      <c r="E190" s="251">
        <f>IFERROR(__xludf.DUMMYFUNCTION("iferror(INDEX(arrayformula(filter('Operações-Criptos'!L:L,'Operações-Criptos'!C:C&lt;&gt;"""",row('Operações-Criptos'!C:C)=max(if('Operações-Criptos'!C:C=A190,row('Operações-Criptos'!C:C),0)))) ,1),0)"),0.0)</f>
        <v>0</v>
      </c>
      <c r="F190" s="251">
        <f t="shared" si="2"/>
        <v>0</v>
      </c>
      <c r="G190" s="251">
        <f>SUMIF(Proventos!$A$2:$A200,A190,Proventos!$H$2:$H200)</f>
        <v>0</v>
      </c>
      <c r="H190" s="251">
        <f t="shared" si="3"/>
        <v>0</v>
      </c>
      <c r="I190" s="253" t="str">
        <f>IFERROR(VLOOKUP(A190,Ativos!$A$1:$G200,5,),)</f>
        <v/>
      </c>
      <c r="J190" s="254" t="str">
        <f>IFERROR(VLOOKUP(A190,Ativos!A:H,8,),"")</f>
        <v/>
      </c>
      <c r="K190" s="251">
        <f>IFERROR(SUMIF('Operações-Criptos'!C:C,"="&amp;A190,'Operações-Criptos'!O:O),0)</f>
        <v>0</v>
      </c>
    </row>
    <row r="191">
      <c r="A191" s="255"/>
      <c r="B191" s="251" t="str">
        <f>IFERROR(__xludf.DUMMYFUNCTION("IFERROR(GOOGLEFINANCE(A191),"""")"),"")</f>
        <v/>
      </c>
      <c r="C191" s="252">
        <f>IFERROR(__xludf.DUMMYFUNCTION("iferror(INDEX(arrayformula(filter('Operações-Criptos'!H:H,'Operações-Criptos'!C:C&lt;&gt;"""",row('Operações-Criptos'!C:C)=max(if('Operações-Criptos'!C:C=A191,row('Operações-Criptos'!C:C),0)))) ,1),0)"),0.0)</f>
        <v>0</v>
      </c>
      <c r="D191" s="251">
        <f t="shared" si="1"/>
        <v>0</v>
      </c>
      <c r="E191" s="251">
        <f>IFERROR(__xludf.DUMMYFUNCTION("iferror(INDEX(arrayformula(filter('Operações-Criptos'!L:L,'Operações-Criptos'!C:C&lt;&gt;"""",row('Operações-Criptos'!C:C)=max(if('Operações-Criptos'!C:C=A191,row('Operações-Criptos'!C:C),0)))) ,1),0)"),0.0)</f>
        <v>0</v>
      </c>
      <c r="F191" s="251">
        <f t="shared" si="2"/>
        <v>0</v>
      </c>
      <c r="G191" s="251">
        <f>SUMIF(Proventos!$A$2:$A200,A191,Proventos!$H$2:$H200)</f>
        <v>0</v>
      </c>
      <c r="H191" s="251">
        <f t="shared" si="3"/>
        <v>0</v>
      </c>
      <c r="I191" s="253" t="str">
        <f>IFERROR(VLOOKUP(A191,Ativos!$A$1:$G200,5,),)</f>
        <v/>
      </c>
      <c r="J191" s="254" t="str">
        <f>IFERROR(VLOOKUP(A191,Ativos!A:H,8,),"")</f>
        <v/>
      </c>
      <c r="K191" s="251">
        <f>IFERROR(SUMIF('Operações-Criptos'!C:C,"="&amp;A191,'Operações-Criptos'!O:O),0)</f>
        <v>0</v>
      </c>
    </row>
    <row r="192">
      <c r="A192" s="255"/>
      <c r="B192" s="251" t="str">
        <f>IFERROR(__xludf.DUMMYFUNCTION("IFERROR(GOOGLEFINANCE(A192),"""")"),"")</f>
        <v/>
      </c>
      <c r="C192" s="252">
        <f>IFERROR(__xludf.DUMMYFUNCTION("iferror(INDEX(arrayformula(filter('Operações-Criptos'!H:H,'Operações-Criptos'!C:C&lt;&gt;"""",row('Operações-Criptos'!C:C)=max(if('Operações-Criptos'!C:C=A192,row('Operações-Criptos'!C:C),0)))) ,1),0)"),0.0)</f>
        <v>0</v>
      </c>
      <c r="D192" s="251">
        <f t="shared" si="1"/>
        <v>0</v>
      </c>
      <c r="E192" s="251">
        <f>IFERROR(__xludf.DUMMYFUNCTION("iferror(INDEX(arrayformula(filter('Operações-Criptos'!L:L,'Operações-Criptos'!C:C&lt;&gt;"""",row('Operações-Criptos'!C:C)=max(if('Operações-Criptos'!C:C=A192,row('Operações-Criptos'!C:C),0)))) ,1),0)"),0.0)</f>
        <v>0</v>
      </c>
      <c r="F192" s="251">
        <f t="shared" si="2"/>
        <v>0</v>
      </c>
      <c r="G192" s="251">
        <f>SUMIF(Proventos!$A$2:$A200,A192,Proventos!$H$2:$H200)</f>
        <v>0</v>
      </c>
      <c r="H192" s="251">
        <f t="shared" si="3"/>
        <v>0</v>
      </c>
      <c r="I192" s="253" t="str">
        <f>IFERROR(VLOOKUP(A192,Ativos!$A$1:$G200,5,),)</f>
        <v/>
      </c>
      <c r="J192" s="254" t="str">
        <f>IFERROR(VLOOKUP(A192,Ativos!A:H,8,),"")</f>
        <v/>
      </c>
      <c r="K192" s="251">
        <f>IFERROR(SUMIF('Operações-Criptos'!C:C,"="&amp;A192,'Operações-Criptos'!O:O),0)</f>
        <v>0</v>
      </c>
    </row>
    <row r="193">
      <c r="A193" s="255"/>
      <c r="B193" s="251" t="str">
        <f>IFERROR(__xludf.DUMMYFUNCTION("IFERROR(GOOGLEFINANCE(A193),"""")"),"")</f>
        <v/>
      </c>
      <c r="C193" s="252">
        <f>IFERROR(__xludf.DUMMYFUNCTION("iferror(INDEX(arrayformula(filter('Operações-Criptos'!H:H,'Operações-Criptos'!C:C&lt;&gt;"""",row('Operações-Criptos'!C:C)=max(if('Operações-Criptos'!C:C=A193,row('Operações-Criptos'!C:C),0)))) ,1),0)"),0.0)</f>
        <v>0</v>
      </c>
      <c r="D193" s="251">
        <f t="shared" si="1"/>
        <v>0</v>
      </c>
      <c r="E193" s="251">
        <f>IFERROR(__xludf.DUMMYFUNCTION("iferror(INDEX(arrayformula(filter('Operações-Criptos'!L:L,'Operações-Criptos'!C:C&lt;&gt;"""",row('Operações-Criptos'!C:C)=max(if('Operações-Criptos'!C:C=A193,row('Operações-Criptos'!C:C),0)))) ,1),0)"),0.0)</f>
        <v>0</v>
      </c>
      <c r="F193" s="251">
        <f t="shared" si="2"/>
        <v>0</v>
      </c>
      <c r="G193" s="251">
        <f>SUMIF(Proventos!$A$2:$A200,A193,Proventos!$H$2:$H200)</f>
        <v>0</v>
      </c>
      <c r="H193" s="251">
        <f t="shared" si="3"/>
        <v>0</v>
      </c>
      <c r="I193" s="253" t="str">
        <f>IFERROR(VLOOKUP(A193,Ativos!$A$1:$G200,5,),)</f>
        <v/>
      </c>
      <c r="J193" s="254" t="str">
        <f>IFERROR(VLOOKUP(A193,Ativos!A:H,8,),"")</f>
        <v/>
      </c>
      <c r="K193" s="251">
        <f>IFERROR(SUMIF('Operações-Criptos'!C:C,"="&amp;A193,'Operações-Criptos'!O:O),0)</f>
        <v>0</v>
      </c>
    </row>
    <row r="194">
      <c r="A194" s="255"/>
      <c r="B194" s="251" t="str">
        <f>IFERROR(__xludf.DUMMYFUNCTION("IFERROR(GOOGLEFINANCE(A194),"""")"),"")</f>
        <v/>
      </c>
      <c r="C194" s="252">
        <f>IFERROR(__xludf.DUMMYFUNCTION("iferror(INDEX(arrayformula(filter('Operações-Criptos'!H:H,'Operações-Criptos'!C:C&lt;&gt;"""",row('Operações-Criptos'!C:C)=max(if('Operações-Criptos'!C:C=A194,row('Operações-Criptos'!C:C),0)))) ,1),0)"),0.0)</f>
        <v>0</v>
      </c>
      <c r="D194" s="251">
        <f t="shared" si="1"/>
        <v>0</v>
      </c>
      <c r="E194" s="251">
        <f>IFERROR(__xludf.DUMMYFUNCTION("iferror(INDEX(arrayformula(filter('Operações-Criptos'!L:L,'Operações-Criptos'!C:C&lt;&gt;"""",row('Operações-Criptos'!C:C)=max(if('Operações-Criptos'!C:C=A194,row('Operações-Criptos'!C:C),0)))) ,1),0)"),0.0)</f>
        <v>0</v>
      </c>
      <c r="F194" s="251">
        <f t="shared" si="2"/>
        <v>0</v>
      </c>
      <c r="G194" s="251">
        <f>SUMIF(Proventos!$A$2:$A200,A194,Proventos!$H$2:$H200)</f>
        <v>0</v>
      </c>
      <c r="H194" s="251">
        <f t="shared" si="3"/>
        <v>0</v>
      </c>
      <c r="I194" s="253" t="str">
        <f>IFERROR(VLOOKUP(A194,Ativos!$A$1:$G200,5,),)</f>
        <v/>
      </c>
      <c r="J194" s="254" t="str">
        <f>IFERROR(VLOOKUP(A194,Ativos!A:H,8,),"")</f>
        <v/>
      </c>
      <c r="K194" s="251">
        <f>IFERROR(SUMIF('Operações-Criptos'!C:C,"="&amp;A194,'Operações-Criptos'!O:O),0)</f>
        <v>0</v>
      </c>
    </row>
    <row r="195">
      <c r="A195" s="255"/>
      <c r="B195" s="251" t="str">
        <f>IFERROR(__xludf.DUMMYFUNCTION("IFERROR(GOOGLEFINANCE(A195),"""")"),"")</f>
        <v/>
      </c>
      <c r="C195" s="252">
        <f>IFERROR(__xludf.DUMMYFUNCTION("iferror(INDEX(arrayformula(filter('Operações-Criptos'!H:H,'Operações-Criptos'!C:C&lt;&gt;"""",row('Operações-Criptos'!C:C)=max(if('Operações-Criptos'!C:C=A195,row('Operações-Criptos'!C:C),0)))) ,1),0)"),0.0)</f>
        <v>0</v>
      </c>
      <c r="D195" s="251">
        <f t="shared" si="1"/>
        <v>0</v>
      </c>
      <c r="E195" s="251">
        <f>IFERROR(__xludf.DUMMYFUNCTION("iferror(INDEX(arrayformula(filter('Operações-Criptos'!L:L,'Operações-Criptos'!C:C&lt;&gt;"""",row('Operações-Criptos'!C:C)=max(if('Operações-Criptos'!C:C=A195,row('Operações-Criptos'!C:C),0)))) ,1),0)"),0.0)</f>
        <v>0</v>
      </c>
      <c r="F195" s="251">
        <f t="shared" si="2"/>
        <v>0</v>
      </c>
      <c r="G195" s="251">
        <f>SUMIF(Proventos!$A$2:$A200,A195,Proventos!$H$2:$H200)</f>
        <v>0</v>
      </c>
      <c r="H195" s="251">
        <f t="shared" si="3"/>
        <v>0</v>
      </c>
      <c r="I195" s="253" t="str">
        <f>IFERROR(VLOOKUP(A195,Ativos!$A$1:$G200,5,),)</f>
        <v/>
      </c>
      <c r="J195" s="254" t="str">
        <f>IFERROR(VLOOKUP(A195,Ativos!A:H,8,),"")</f>
        <v/>
      </c>
      <c r="K195" s="251">
        <f>IFERROR(SUMIF('Operações-Criptos'!C:C,"="&amp;A195,'Operações-Criptos'!O:O),0)</f>
        <v>0</v>
      </c>
    </row>
    <row r="196">
      <c r="A196" s="255"/>
      <c r="B196" s="251" t="str">
        <f>IFERROR(__xludf.DUMMYFUNCTION("IFERROR(GOOGLEFINANCE(A196),"""")"),"")</f>
        <v/>
      </c>
      <c r="C196" s="252">
        <f>IFERROR(__xludf.DUMMYFUNCTION("iferror(INDEX(arrayformula(filter('Operações-Criptos'!H:H,'Operações-Criptos'!C:C&lt;&gt;"""",row('Operações-Criptos'!C:C)=max(if('Operações-Criptos'!C:C=A196,row('Operações-Criptos'!C:C),0)))) ,1),0)"),0.0)</f>
        <v>0</v>
      </c>
      <c r="D196" s="251">
        <f t="shared" si="1"/>
        <v>0</v>
      </c>
      <c r="E196" s="251">
        <f>IFERROR(__xludf.DUMMYFUNCTION("iferror(INDEX(arrayformula(filter('Operações-Criptos'!L:L,'Operações-Criptos'!C:C&lt;&gt;"""",row('Operações-Criptos'!C:C)=max(if('Operações-Criptos'!C:C=A196,row('Operações-Criptos'!C:C),0)))) ,1),0)"),0.0)</f>
        <v>0</v>
      </c>
      <c r="F196" s="251">
        <f t="shared" si="2"/>
        <v>0</v>
      </c>
      <c r="G196" s="251">
        <f>SUMIF(Proventos!$A$2:$A200,A196,Proventos!$H$2:$H200)</f>
        <v>0</v>
      </c>
      <c r="H196" s="251">
        <f t="shared" si="3"/>
        <v>0</v>
      </c>
      <c r="I196" s="253" t="str">
        <f>IFERROR(VLOOKUP(A196,Ativos!$A$1:$G200,5,),)</f>
        <v/>
      </c>
      <c r="J196" s="254" t="str">
        <f>IFERROR(VLOOKUP(A196,Ativos!A:H,8,),"")</f>
        <v/>
      </c>
      <c r="K196" s="251">
        <f>IFERROR(SUMIF('Operações-Criptos'!C:C,"="&amp;A196,'Operações-Criptos'!O:O),0)</f>
        <v>0</v>
      </c>
    </row>
    <row r="197">
      <c r="A197" s="255"/>
      <c r="B197" s="251" t="str">
        <f>IFERROR(__xludf.DUMMYFUNCTION("IFERROR(GOOGLEFINANCE(A197),"""")"),"")</f>
        <v/>
      </c>
      <c r="C197" s="252">
        <f>IFERROR(__xludf.DUMMYFUNCTION("iferror(INDEX(arrayformula(filter('Operações-Criptos'!H:H,'Operações-Criptos'!C:C&lt;&gt;"""",row('Operações-Criptos'!C:C)=max(if('Operações-Criptos'!C:C=A197,row('Operações-Criptos'!C:C),0)))) ,1),0)"),0.0)</f>
        <v>0</v>
      </c>
      <c r="D197" s="251">
        <f t="shared" si="1"/>
        <v>0</v>
      </c>
      <c r="E197" s="251">
        <f>IFERROR(__xludf.DUMMYFUNCTION("iferror(INDEX(arrayformula(filter('Operações-Criptos'!L:L,'Operações-Criptos'!C:C&lt;&gt;"""",row('Operações-Criptos'!C:C)=max(if('Operações-Criptos'!C:C=A197,row('Operações-Criptos'!C:C),0)))) ,1),0)"),0.0)</f>
        <v>0</v>
      </c>
      <c r="F197" s="251">
        <f t="shared" si="2"/>
        <v>0</v>
      </c>
      <c r="G197" s="251">
        <f>SUMIF(Proventos!$A$2:$A200,A197,Proventos!$H$2:$H200)</f>
        <v>0</v>
      </c>
      <c r="H197" s="251">
        <f t="shared" si="3"/>
        <v>0</v>
      </c>
      <c r="I197" s="253" t="str">
        <f>IFERROR(VLOOKUP(A197,Ativos!$A$1:$G200,5,),)</f>
        <v/>
      </c>
      <c r="J197" s="254" t="str">
        <f>IFERROR(VLOOKUP(A197,Ativos!A:H,8,),"")</f>
        <v/>
      </c>
      <c r="K197" s="251">
        <f>IFERROR(SUMIF('Operações-Criptos'!C:C,"="&amp;A197,'Operações-Criptos'!O:O),0)</f>
        <v>0</v>
      </c>
    </row>
    <row r="198">
      <c r="A198" s="255"/>
      <c r="B198" s="251" t="str">
        <f>IFERROR(__xludf.DUMMYFUNCTION("IFERROR(GOOGLEFINANCE(A198),"""")"),"")</f>
        <v/>
      </c>
      <c r="C198" s="252">
        <f>IFERROR(__xludf.DUMMYFUNCTION("iferror(INDEX(arrayformula(filter('Operações-Criptos'!H:H,'Operações-Criptos'!C:C&lt;&gt;"""",row('Operações-Criptos'!C:C)=max(if('Operações-Criptos'!C:C=A198,row('Operações-Criptos'!C:C),0)))) ,1),0)"),0.0)</f>
        <v>0</v>
      </c>
      <c r="D198" s="251">
        <f t="shared" si="1"/>
        <v>0</v>
      </c>
      <c r="E198" s="251">
        <f>IFERROR(__xludf.DUMMYFUNCTION("iferror(INDEX(arrayformula(filter('Operações-Criptos'!L:L,'Operações-Criptos'!C:C&lt;&gt;"""",row('Operações-Criptos'!C:C)=max(if('Operações-Criptos'!C:C=A198,row('Operações-Criptos'!C:C),0)))) ,1),0)"),0.0)</f>
        <v>0</v>
      </c>
      <c r="F198" s="251">
        <f t="shared" si="2"/>
        <v>0</v>
      </c>
      <c r="G198" s="251">
        <f>SUMIF(Proventos!$A$2:$A200,A198,Proventos!$H$2:$H200)</f>
        <v>0</v>
      </c>
      <c r="H198" s="251">
        <f t="shared" si="3"/>
        <v>0</v>
      </c>
      <c r="I198" s="253" t="str">
        <f>IFERROR(VLOOKUP(A198,Ativos!$A$1:$G200,5,),)</f>
        <v/>
      </c>
      <c r="J198" s="254" t="str">
        <f>IFERROR(VLOOKUP(A198,Ativos!A:H,8,),"")</f>
        <v/>
      </c>
      <c r="K198" s="251">
        <f>IFERROR(SUMIF('Operações-Criptos'!C:C,"="&amp;A198,'Operações-Criptos'!O:O),0)</f>
        <v>0</v>
      </c>
    </row>
    <row r="199">
      <c r="A199" s="255"/>
      <c r="B199" s="251" t="str">
        <f>IFERROR(__xludf.DUMMYFUNCTION("IFERROR(GOOGLEFINANCE(A199),"""")"),"")</f>
        <v/>
      </c>
      <c r="C199" s="252">
        <f>IFERROR(__xludf.DUMMYFUNCTION("iferror(INDEX(arrayformula(filter('Operações-Criptos'!H:H,'Operações-Criptos'!C:C&lt;&gt;"""",row('Operações-Criptos'!C:C)=max(if('Operações-Criptos'!C:C=A199,row('Operações-Criptos'!C:C),0)))) ,1),0)"),0.0)</f>
        <v>0</v>
      </c>
      <c r="D199" s="251">
        <f t="shared" si="1"/>
        <v>0</v>
      </c>
      <c r="E199" s="251">
        <f>IFERROR(__xludf.DUMMYFUNCTION("iferror(INDEX(arrayformula(filter('Operações-Criptos'!L:L,'Operações-Criptos'!C:C&lt;&gt;"""",row('Operações-Criptos'!C:C)=max(if('Operações-Criptos'!C:C=A199,row('Operações-Criptos'!C:C),0)))) ,1),0)"),0.0)</f>
        <v>0</v>
      </c>
      <c r="F199" s="251">
        <f t="shared" si="2"/>
        <v>0</v>
      </c>
      <c r="G199" s="251">
        <f>SUMIF(Proventos!$A$2:$A200,A199,Proventos!$H$2:$H200)</f>
        <v>0</v>
      </c>
      <c r="H199" s="251">
        <f t="shared" si="3"/>
        <v>0</v>
      </c>
      <c r="I199" s="253" t="str">
        <f>IFERROR(VLOOKUP(A199,Ativos!$A$1:$G200,5,),)</f>
        <v/>
      </c>
      <c r="J199" s="254" t="str">
        <f>IFERROR(VLOOKUP(A199,Ativos!A:H,8,),"")</f>
        <v/>
      </c>
      <c r="K199" s="251">
        <f>IFERROR(SUMIF('Operações-Criptos'!C:C,"="&amp;A199,'Operações-Criptos'!O:O),0)</f>
        <v>0</v>
      </c>
    </row>
    <row r="200">
      <c r="A200" s="255"/>
      <c r="B200" s="251" t="str">
        <f>IFERROR(__xludf.DUMMYFUNCTION("IFERROR(GOOGLEFINANCE(A200),"""")"),"")</f>
        <v/>
      </c>
      <c r="C200" s="252">
        <f>IFERROR(__xludf.DUMMYFUNCTION("iferror(INDEX(arrayformula(filter('Operações-Criptos'!H:H,'Operações-Criptos'!C:C&lt;&gt;"""",row('Operações-Criptos'!C:C)=max(if('Operações-Criptos'!C:C=A200,row('Operações-Criptos'!C:C),0)))) ,1),0)"),0.0)</f>
        <v>0</v>
      </c>
      <c r="D200" s="251">
        <f t="shared" si="1"/>
        <v>0</v>
      </c>
      <c r="E200" s="251">
        <f>IFERROR(__xludf.DUMMYFUNCTION("iferror(INDEX(arrayformula(filter('Operações-Criptos'!L:L,'Operações-Criptos'!C:C&lt;&gt;"""",row('Operações-Criptos'!C:C)=max(if('Operações-Criptos'!C:C=A200,row('Operações-Criptos'!C:C),0)))) ,1),0)"),0.0)</f>
        <v>0</v>
      </c>
      <c r="F200" s="251">
        <f t="shared" si="2"/>
        <v>0</v>
      </c>
      <c r="G200" s="251">
        <f>SUMIF(Proventos!$A$2:$A200,A200,Proventos!$H$2:$H200)</f>
        <v>0</v>
      </c>
      <c r="H200" s="251">
        <f t="shared" si="3"/>
        <v>0</v>
      </c>
      <c r="I200" s="253" t="str">
        <f>IFERROR(VLOOKUP(A200,Ativos!$A$1:$G200,5,),)</f>
        <v/>
      </c>
      <c r="J200" s="254" t="str">
        <f>IFERROR(VLOOKUP(A200,Ativos!A:H,8,),"")</f>
        <v/>
      </c>
      <c r="K200" s="251">
        <f>IFERROR(SUMIF('Operações-Criptos'!C:C,"="&amp;A200,'Operações-Criptos'!O:O),0)</f>
        <v>0</v>
      </c>
    </row>
  </sheetData>
  <conditionalFormatting sqref="A1:K200">
    <cfRule type="cellIs" dxfId="29" priority="1" operator="equal">
      <formula>0</formula>
    </cfRule>
  </conditionalFormatting>
  <printOptions gridLines="1" horizontalCentered="1"/>
  <pageMargins bottom="0.75" footer="0.0" header="0.0" left="0.25" right="0.25" top="0.75"/>
  <pageSetup fitToHeight="0" paperSize="9" cellComments="atEnd" orientation="landscape" pageOrder="overThenDown"/>
  <drawing r:id="rId2"/>
  <legacyDrawing r:id="rId3"/>
  <tableParts count="1">
    <tablePart r:id="rId5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61C00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6.29"/>
    <col customWidth="1" min="2" max="2" width="12.29"/>
  </cols>
  <sheetData>
    <row r="1">
      <c r="A1" s="257" t="s">
        <v>208</v>
      </c>
      <c r="B1" s="257" t="s">
        <v>62</v>
      </c>
      <c r="E1" s="257" t="s">
        <v>62</v>
      </c>
      <c r="G1" s="258" t="s">
        <v>77</v>
      </c>
      <c r="H1">
        <f>IFERROR(__xludf.DUMMYFUNCTION("IF(G1&lt;&gt;"""",IFERROR(IFERROR(IFERROR(IFERROR(GOOGLEFINANCE(A2),SUBSTITUTE(IMPORTXML(""https://sg.finance.yahoo.com/quote/""&amp;G1&amp;"".SA""&amp;""/history?p=""&amp;G1&amp;"".SA"",""//tbody/tr[1]/td[6]""),""."","","")),IMPORTXML(""https://www.infomoney.com.br/""&amp;G1,""//div["&amp;"@class='value']/p"")),IMPORTXML(""https://statusinvest.com.br/acoes/""&amp;LOWER(G1),""//div[ @title ='Valor atual do ativo']/strong"")),INDEX(IMPORTHTML(CONCATENATE(""https://www.guiainvest.com.br/raiox/default.aspx?sigla="",G1),""list"",8),2,1)),0)"),31.72)</f>
        <v>31.72</v>
      </c>
      <c r="J1" s="257" t="s">
        <v>209</v>
      </c>
      <c r="K1" s="257" t="s">
        <v>210</v>
      </c>
      <c r="M1" s="257" t="s">
        <v>139</v>
      </c>
      <c r="N1" s="257" t="s">
        <v>143</v>
      </c>
    </row>
    <row r="2">
      <c r="A2" s="259" t="s">
        <v>8</v>
      </c>
      <c r="B2" s="259" t="s">
        <v>76</v>
      </c>
      <c r="D2" s="260">
        <f>YEAR(MIN('Operações-BR'!A2:A1001))</f>
        <v>2020</v>
      </c>
      <c r="E2" s="258" t="s">
        <v>70</v>
      </c>
      <c r="F2" s="261"/>
      <c r="H2" s="262"/>
      <c r="J2" t="str">
        <f>IFERROR(__xludf.DUMMYFUNCTION("SORT(FILTER(Ativos!A2:A1001,(Ativos!E2:E1001=A3)+(Ativos!E2:E1001=A4)+(Ativos!E2:E1001=A5)+(Ativos!E2:E1001=A6)),1,TRUE)"),"AAPL34")</f>
        <v>AAPL34</v>
      </c>
      <c r="K2" t="str">
        <f>IFERROR(__xludf.DUMMYFUNCTION("SORT(FILTER(Ativos!A2:A1001,Ativos!E2:E1001=A11),1,TRUE)"),"BTCBRL")</f>
        <v>BTCBRL</v>
      </c>
      <c r="M2" t="str">
        <f>IFERROR(__xludf.DUMMYFUNCTION("IFERROR(FILTER(Corretoras!A2:A1001,Corretoras!F2:F1001=M1),)"),"CLEAR")</f>
        <v>CLEAR</v>
      </c>
      <c r="N2" t="str">
        <f>IFERROR(__xludf.DUMMYFUNCTION("IFERROR(FILTER(Corretoras!A2:A1001,Corretoras!F2:F1001=N1),)"),"COINEXT")</f>
        <v>COINEXT</v>
      </c>
    </row>
    <row r="3">
      <c r="A3" s="259" t="s">
        <v>75</v>
      </c>
      <c r="B3" s="259" t="s">
        <v>70</v>
      </c>
      <c r="D3" s="260">
        <f t="shared" ref="D3:D102" si="1">D2+1</f>
        <v>2021</v>
      </c>
      <c r="E3" s="261" t="s">
        <v>211</v>
      </c>
      <c r="J3" s="263" t="str">
        <f>IFERROR(__xludf.DUMMYFUNCTION("""COMPUTED_VALUE"""),"ABEV3")</f>
        <v>ABEV3</v>
      </c>
      <c r="K3" t="str">
        <f>IFERROR(__xludf.DUMMYFUNCTION("""COMPUTED_VALUE"""),"ETHBRL")</f>
        <v>ETHBRL</v>
      </c>
      <c r="M3" t="str">
        <f>IFERROR(__xludf.DUMMYFUNCTION("""COMPUTED_VALUE"""),"XPI")</f>
        <v>XPI</v>
      </c>
    </row>
    <row r="4">
      <c r="A4" s="259" t="s">
        <v>67</v>
      </c>
      <c r="B4" s="259" t="s">
        <v>70</v>
      </c>
      <c r="D4" s="260">
        <f t="shared" si="1"/>
        <v>2022</v>
      </c>
      <c r="E4" s="261"/>
      <c r="J4" s="263" t="str">
        <f>IFERROR(__xludf.DUMMYFUNCTION("""COMPUTED_VALUE"""),"BCFF11")</f>
        <v>BCFF11</v>
      </c>
    </row>
    <row r="5">
      <c r="A5" s="259" t="s">
        <v>133</v>
      </c>
      <c r="B5" s="259" t="s">
        <v>70</v>
      </c>
      <c r="D5" s="260">
        <f t="shared" si="1"/>
        <v>2023</v>
      </c>
      <c r="E5" s="261"/>
      <c r="J5" s="263" t="str">
        <f>IFERROR(__xludf.DUMMYFUNCTION("""COMPUTED_VALUE"""),"BIDI4")</f>
        <v>BIDI4</v>
      </c>
    </row>
    <row r="6">
      <c r="A6" s="259" t="s">
        <v>129</v>
      </c>
      <c r="B6" s="259" t="s">
        <v>70</v>
      </c>
      <c r="D6" s="260">
        <f t="shared" si="1"/>
        <v>2024</v>
      </c>
      <c r="J6" s="263" t="str">
        <f>IFERROR(__xludf.DUMMYFUNCTION("""COMPUTED_VALUE"""),"EGIE3")</f>
        <v>EGIE3</v>
      </c>
    </row>
    <row r="7">
      <c r="A7" s="259" t="s">
        <v>212</v>
      </c>
      <c r="B7" s="259" t="s">
        <v>213</v>
      </c>
      <c r="D7" s="260">
        <f t="shared" si="1"/>
        <v>2025</v>
      </c>
      <c r="E7" s="261"/>
      <c r="J7" t="str">
        <f>IFERROR(__xludf.DUMMYFUNCTION("""COMPUTED_VALUE"""),"ENBR3")</f>
        <v>ENBR3</v>
      </c>
    </row>
    <row r="8">
      <c r="A8" s="259" t="s">
        <v>214</v>
      </c>
      <c r="B8" s="259" t="s">
        <v>213</v>
      </c>
      <c r="D8" s="260">
        <f t="shared" si="1"/>
        <v>2026</v>
      </c>
      <c r="E8" s="261"/>
      <c r="J8" s="263" t="str">
        <f>IFERROR(__xludf.DUMMYFUNCTION("""COMPUTED_VALUE"""),"FLRY3")</f>
        <v>FLRY3</v>
      </c>
    </row>
    <row r="9">
      <c r="A9" s="259" t="s">
        <v>215</v>
      </c>
      <c r="B9" s="259" t="s">
        <v>213</v>
      </c>
      <c r="D9" s="260">
        <f t="shared" si="1"/>
        <v>2027</v>
      </c>
      <c r="E9" s="261"/>
      <c r="J9" s="263" t="str">
        <f>IFERROR(__xludf.DUMMYFUNCTION("""COMPUTED_VALUE"""),"GRND3")</f>
        <v>GRND3</v>
      </c>
    </row>
    <row r="10">
      <c r="A10" s="258" t="s">
        <v>216</v>
      </c>
      <c r="B10" s="259" t="s">
        <v>213</v>
      </c>
      <c r="D10" s="260">
        <f t="shared" si="1"/>
        <v>2028</v>
      </c>
      <c r="J10" s="263" t="str">
        <f>IFERROR(__xludf.DUMMYFUNCTION("""COMPUTED_VALUE"""),"HGBS11")</f>
        <v>HGBS11</v>
      </c>
    </row>
    <row r="11">
      <c r="A11" s="258" t="s">
        <v>124</v>
      </c>
      <c r="B11" s="259" t="s">
        <v>70</v>
      </c>
      <c r="D11" s="260">
        <f t="shared" si="1"/>
        <v>2029</v>
      </c>
      <c r="E11" s="261"/>
      <c r="J11" s="263" t="str">
        <f>IFERROR(__xludf.DUMMYFUNCTION("""COMPUTED_VALUE"""),"HGLG11")</f>
        <v>HGLG11</v>
      </c>
    </row>
    <row r="12">
      <c r="B12" s="260"/>
      <c r="D12" s="260">
        <f t="shared" si="1"/>
        <v>2030</v>
      </c>
      <c r="E12" s="261"/>
      <c r="J12" s="263" t="str">
        <f>IFERROR(__xludf.DUMMYFUNCTION("""COMPUTED_VALUE"""),"HGRE11")</f>
        <v>HGRE11</v>
      </c>
    </row>
    <row r="13">
      <c r="B13" s="260"/>
      <c r="D13" s="260">
        <f t="shared" si="1"/>
        <v>2031</v>
      </c>
      <c r="E13" s="261"/>
      <c r="J13" s="263" t="str">
        <f>IFERROR(__xludf.DUMMYFUNCTION("""COMPUTED_VALUE"""),"ITUB3")</f>
        <v>ITUB3</v>
      </c>
    </row>
    <row r="14">
      <c r="B14" s="260"/>
      <c r="D14" s="260">
        <f t="shared" si="1"/>
        <v>2032</v>
      </c>
      <c r="J14" t="str">
        <f>IFERROR(__xludf.DUMMYFUNCTION("""COMPUTED_VALUE"""),"IVVB11")</f>
        <v>IVVB11</v>
      </c>
    </row>
    <row r="15">
      <c r="B15" s="260"/>
      <c r="D15" s="260">
        <f t="shared" si="1"/>
        <v>2033</v>
      </c>
      <c r="E15" s="261"/>
      <c r="J15" s="263" t="str">
        <f>IFERROR(__xludf.DUMMYFUNCTION("""COMPUTED_VALUE"""),"KNRI11")</f>
        <v>KNRI11</v>
      </c>
    </row>
    <row r="16">
      <c r="B16" s="260"/>
      <c r="D16" s="260">
        <f t="shared" si="1"/>
        <v>2034</v>
      </c>
      <c r="E16" s="261"/>
      <c r="J16" s="263" t="str">
        <f>IFERROR(__xludf.DUMMYFUNCTION("""COMPUTED_VALUE"""),"MGLU3")</f>
        <v>MGLU3</v>
      </c>
    </row>
    <row r="17">
      <c r="B17" s="260"/>
      <c r="D17" s="260">
        <f t="shared" si="1"/>
        <v>2035</v>
      </c>
      <c r="E17" s="261"/>
      <c r="J17" s="263" t="str">
        <f>IFERROR(__xludf.DUMMYFUNCTION("""COMPUTED_VALUE"""),"ODPV3")</f>
        <v>ODPV3</v>
      </c>
    </row>
    <row r="18">
      <c r="B18" s="260"/>
      <c r="D18" s="260">
        <f t="shared" si="1"/>
        <v>2036</v>
      </c>
      <c r="J18" s="263" t="str">
        <f>IFERROR(__xludf.DUMMYFUNCTION("""COMPUTED_VALUE"""),"RADL3")</f>
        <v>RADL3</v>
      </c>
    </row>
    <row r="19">
      <c r="B19" s="260"/>
      <c r="D19" s="260">
        <f t="shared" si="1"/>
        <v>2037</v>
      </c>
      <c r="E19" s="261"/>
      <c r="J19" s="263" t="str">
        <f>IFERROR(__xludf.DUMMYFUNCTION("""COMPUTED_VALUE"""),"WEGE3")</f>
        <v>WEGE3</v>
      </c>
    </row>
    <row r="20">
      <c r="B20" s="260"/>
      <c r="D20" s="260">
        <f t="shared" si="1"/>
        <v>2038</v>
      </c>
      <c r="E20" s="261"/>
      <c r="J20" t="str">
        <f>IFERROR(__xludf.DUMMYFUNCTION("""COMPUTED_VALUE"""),"XPBR31")</f>
        <v>XPBR31</v>
      </c>
    </row>
    <row r="21">
      <c r="B21" s="260"/>
      <c r="D21" s="260">
        <f t="shared" si="1"/>
        <v>2039</v>
      </c>
      <c r="E21" s="261"/>
    </row>
    <row r="22">
      <c r="B22" s="260"/>
      <c r="D22" s="260">
        <f t="shared" si="1"/>
        <v>2040</v>
      </c>
    </row>
    <row r="23">
      <c r="B23" s="260"/>
      <c r="D23" s="260">
        <f t="shared" si="1"/>
        <v>2041</v>
      </c>
      <c r="E23" s="261"/>
    </row>
    <row r="24">
      <c r="B24" s="260"/>
      <c r="D24" s="260">
        <f t="shared" si="1"/>
        <v>2042</v>
      </c>
      <c r="E24" s="261"/>
    </row>
    <row r="25">
      <c r="B25" s="260"/>
      <c r="D25" s="260">
        <f t="shared" si="1"/>
        <v>2043</v>
      </c>
      <c r="E25" s="261"/>
    </row>
    <row r="26">
      <c r="B26" s="260"/>
      <c r="D26" s="260">
        <f t="shared" si="1"/>
        <v>2044</v>
      </c>
    </row>
    <row r="27">
      <c r="B27" s="260"/>
      <c r="D27" s="260">
        <f t="shared" si="1"/>
        <v>2045</v>
      </c>
      <c r="E27" s="261"/>
    </row>
    <row r="28">
      <c r="B28" s="260"/>
      <c r="D28" s="260">
        <f t="shared" si="1"/>
        <v>2046</v>
      </c>
      <c r="E28" s="261"/>
    </row>
    <row r="29">
      <c r="B29" s="260"/>
      <c r="D29" s="260">
        <f t="shared" si="1"/>
        <v>2047</v>
      </c>
      <c r="E29" s="261"/>
    </row>
    <row r="30">
      <c r="B30" s="260"/>
      <c r="D30" s="260">
        <f t="shared" si="1"/>
        <v>2048</v>
      </c>
    </row>
    <row r="31">
      <c r="B31" s="260"/>
      <c r="D31" s="260">
        <f t="shared" si="1"/>
        <v>2049</v>
      </c>
      <c r="E31" s="261"/>
    </row>
    <row r="32">
      <c r="B32" s="260"/>
      <c r="D32" s="260">
        <f t="shared" si="1"/>
        <v>2050</v>
      </c>
      <c r="E32" s="261"/>
    </row>
    <row r="33">
      <c r="B33" s="260"/>
      <c r="D33" s="260">
        <f t="shared" si="1"/>
        <v>2051</v>
      </c>
      <c r="E33" s="261"/>
    </row>
    <row r="34">
      <c r="B34" s="260"/>
      <c r="D34" s="260">
        <f t="shared" si="1"/>
        <v>2052</v>
      </c>
    </row>
    <row r="35">
      <c r="B35" s="260"/>
      <c r="D35" s="260">
        <f t="shared" si="1"/>
        <v>2053</v>
      </c>
      <c r="E35" s="261"/>
    </row>
    <row r="36">
      <c r="B36" s="260"/>
      <c r="D36" s="260">
        <f t="shared" si="1"/>
        <v>2054</v>
      </c>
      <c r="E36" s="261"/>
    </row>
    <row r="37">
      <c r="B37" s="260"/>
      <c r="D37" s="260">
        <f t="shared" si="1"/>
        <v>2055</v>
      </c>
      <c r="E37" s="261"/>
    </row>
    <row r="38">
      <c r="B38" s="260"/>
      <c r="D38" s="260">
        <f t="shared" si="1"/>
        <v>2056</v>
      </c>
    </row>
    <row r="39">
      <c r="B39" s="260"/>
      <c r="D39" s="260">
        <f t="shared" si="1"/>
        <v>2057</v>
      </c>
      <c r="E39" s="261"/>
    </row>
    <row r="40">
      <c r="B40" s="260"/>
      <c r="D40" s="260">
        <f t="shared" si="1"/>
        <v>2058</v>
      </c>
      <c r="E40" s="261"/>
    </row>
    <row r="41">
      <c r="B41" s="260"/>
      <c r="D41" s="260">
        <f t="shared" si="1"/>
        <v>2059</v>
      </c>
      <c r="E41" s="261"/>
    </row>
    <row r="42">
      <c r="B42" s="260"/>
      <c r="D42" s="260">
        <f t="shared" si="1"/>
        <v>2060</v>
      </c>
    </row>
    <row r="43">
      <c r="B43" s="260"/>
      <c r="D43" s="260">
        <f t="shared" si="1"/>
        <v>2061</v>
      </c>
      <c r="E43" s="261"/>
    </row>
    <row r="44">
      <c r="B44" s="260"/>
      <c r="D44" s="260">
        <f t="shared" si="1"/>
        <v>2062</v>
      </c>
      <c r="E44" s="261"/>
    </row>
    <row r="45">
      <c r="B45" s="260"/>
      <c r="D45" s="260">
        <f t="shared" si="1"/>
        <v>2063</v>
      </c>
      <c r="E45" s="261"/>
    </row>
    <row r="46">
      <c r="B46" s="260"/>
      <c r="D46" s="260">
        <f t="shared" si="1"/>
        <v>2064</v>
      </c>
    </row>
    <row r="47">
      <c r="B47" s="260"/>
      <c r="D47" s="260">
        <f t="shared" si="1"/>
        <v>2065</v>
      </c>
      <c r="E47" s="261"/>
    </row>
    <row r="48">
      <c r="B48" s="260"/>
      <c r="D48" s="260">
        <f t="shared" si="1"/>
        <v>2066</v>
      </c>
      <c r="E48" s="261"/>
    </row>
    <row r="49">
      <c r="B49" s="260"/>
      <c r="D49" s="260">
        <f t="shared" si="1"/>
        <v>2067</v>
      </c>
      <c r="E49" s="261"/>
    </row>
    <row r="50">
      <c r="B50" s="260"/>
      <c r="D50" s="260">
        <f t="shared" si="1"/>
        <v>2068</v>
      </c>
    </row>
    <row r="51">
      <c r="B51" s="260"/>
      <c r="D51" s="260">
        <f t="shared" si="1"/>
        <v>2069</v>
      </c>
      <c r="E51" s="261"/>
    </row>
    <row r="52">
      <c r="B52" s="260"/>
      <c r="D52" s="260">
        <f t="shared" si="1"/>
        <v>2070</v>
      </c>
      <c r="E52" s="261"/>
    </row>
    <row r="53">
      <c r="B53" s="260"/>
      <c r="D53" s="260">
        <f t="shared" si="1"/>
        <v>2071</v>
      </c>
      <c r="E53" s="261"/>
    </row>
    <row r="54">
      <c r="B54" s="260"/>
      <c r="D54" s="260">
        <f t="shared" si="1"/>
        <v>2072</v>
      </c>
    </row>
    <row r="55">
      <c r="B55" s="260"/>
      <c r="D55" s="260">
        <f t="shared" si="1"/>
        <v>2073</v>
      </c>
      <c r="E55" s="261"/>
    </row>
    <row r="56">
      <c r="B56" s="260"/>
      <c r="D56" s="260">
        <f t="shared" si="1"/>
        <v>2074</v>
      </c>
      <c r="E56" s="261"/>
    </row>
    <row r="57">
      <c r="B57" s="260"/>
      <c r="D57" s="260">
        <f t="shared" si="1"/>
        <v>2075</v>
      </c>
      <c r="E57" s="261"/>
    </row>
    <row r="58">
      <c r="B58" s="260"/>
      <c r="D58" s="260">
        <f t="shared" si="1"/>
        <v>2076</v>
      </c>
    </row>
    <row r="59">
      <c r="B59" s="260"/>
      <c r="D59" s="260">
        <f t="shared" si="1"/>
        <v>2077</v>
      </c>
      <c r="E59" s="261"/>
    </row>
    <row r="60">
      <c r="B60" s="260"/>
      <c r="D60" s="260">
        <f t="shared" si="1"/>
        <v>2078</v>
      </c>
      <c r="E60" s="261"/>
    </row>
    <row r="61">
      <c r="B61" s="260"/>
      <c r="D61" s="260">
        <f t="shared" si="1"/>
        <v>2079</v>
      </c>
      <c r="E61" s="261"/>
    </row>
    <row r="62">
      <c r="B62" s="260"/>
      <c r="D62" s="260">
        <f t="shared" si="1"/>
        <v>2080</v>
      </c>
    </row>
    <row r="63">
      <c r="B63" s="260"/>
      <c r="D63" s="260">
        <f t="shared" si="1"/>
        <v>2081</v>
      </c>
      <c r="E63" s="261"/>
    </row>
    <row r="64">
      <c r="B64" s="260"/>
      <c r="D64" s="260">
        <f t="shared" si="1"/>
        <v>2082</v>
      </c>
      <c r="E64" s="261"/>
    </row>
    <row r="65">
      <c r="B65" s="260"/>
      <c r="D65" s="260">
        <f t="shared" si="1"/>
        <v>2083</v>
      </c>
      <c r="E65" s="261"/>
    </row>
    <row r="66">
      <c r="B66" s="260"/>
      <c r="D66" s="260">
        <f t="shared" si="1"/>
        <v>2084</v>
      </c>
    </row>
    <row r="67">
      <c r="B67" s="260"/>
      <c r="D67" s="260">
        <f t="shared" si="1"/>
        <v>2085</v>
      </c>
      <c r="E67" s="261"/>
    </row>
    <row r="68">
      <c r="B68" s="260"/>
      <c r="D68" s="260">
        <f t="shared" si="1"/>
        <v>2086</v>
      </c>
      <c r="E68" s="261"/>
    </row>
    <row r="69">
      <c r="B69" s="260"/>
      <c r="D69" s="260">
        <f t="shared" si="1"/>
        <v>2087</v>
      </c>
      <c r="E69" s="261"/>
    </row>
    <row r="70">
      <c r="B70" s="260"/>
      <c r="D70" s="260">
        <f t="shared" si="1"/>
        <v>2088</v>
      </c>
    </row>
    <row r="71">
      <c r="B71" s="260"/>
      <c r="D71" s="260">
        <f t="shared" si="1"/>
        <v>2089</v>
      </c>
      <c r="E71" s="261"/>
    </row>
    <row r="72">
      <c r="B72" s="260"/>
      <c r="D72" s="260">
        <f t="shared" si="1"/>
        <v>2090</v>
      </c>
      <c r="E72" s="261"/>
    </row>
    <row r="73">
      <c r="B73" s="260"/>
      <c r="D73" s="260">
        <f t="shared" si="1"/>
        <v>2091</v>
      </c>
      <c r="E73" s="261"/>
    </row>
    <row r="74">
      <c r="B74" s="260"/>
      <c r="D74" s="260">
        <f t="shared" si="1"/>
        <v>2092</v>
      </c>
    </row>
    <row r="75">
      <c r="B75" s="260"/>
      <c r="D75" s="260">
        <f t="shared" si="1"/>
        <v>2093</v>
      </c>
      <c r="E75" s="261"/>
    </row>
    <row r="76">
      <c r="B76" s="260"/>
      <c r="D76" s="260">
        <f t="shared" si="1"/>
        <v>2094</v>
      </c>
      <c r="E76" s="261"/>
    </row>
    <row r="77">
      <c r="B77" s="260"/>
      <c r="D77" s="260">
        <f t="shared" si="1"/>
        <v>2095</v>
      </c>
      <c r="E77" s="261"/>
    </row>
    <row r="78">
      <c r="B78" s="260"/>
      <c r="D78" s="260">
        <f t="shared" si="1"/>
        <v>2096</v>
      </c>
    </row>
    <row r="79">
      <c r="B79" s="260"/>
      <c r="D79" s="260">
        <f t="shared" si="1"/>
        <v>2097</v>
      </c>
      <c r="E79" s="261"/>
    </row>
    <row r="80">
      <c r="B80" s="260"/>
      <c r="D80" s="260">
        <f t="shared" si="1"/>
        <v>2098</v>
      </c>
      <c r="E80" s="261"/>
    </row>
    <row r="81">
      <c r="B81" s="260"/>
      <c r="D81" s="260">
        <f t="shared" si="1"/>
        <v>2099</v>
      </c>
      <c r="E81" s="261"/>
    </row>
    <row r="82">
      <c r="B82" s="260"/>
      <c r="D82" s="260">
        <f t="shared" si="1"/>
        <v>2100</v>
      </c>
    </row>
    <row r="83">
      <c r="B83" s="260"/>
      <c r="D83" s="260">
        <f t="shared" si="1"/>
        <v>2101</v>
      </c>
      <c r="E83" s="261"/>
    </row>
    <row r="84">
      <c r="B84" s="260"/>
      <c r="D84" s="260">
        <f t="shared" si="1"/>
        <v>2102</v>
      </c>
      <c r="E84" s="261"/>
    </row>
    <row r="85">
      <c r="B85" s="260"/>
      <c r="D85" s="260">
        <f t="shared" si="1"/>
        <v>2103</v>
      </c>
      <c r="E85" s="261"/>
    </row>
    <row r="86">
      <c r="B86" s="260"/>
      <c r="D86" s="260">
        <f t="shared" si="1"/>
        <v>2104</v>
      </c>
    </row>
    <row r="87">
      <c r="B87" s="260"/>
      <c r="D87" s="260">
        <f t="shared" si="1"/>
        <v>2105</v>
      </c>
      <c r="E87" s="261"/>
    </row>
    <row r="88">
      <c r="B88" s="260"/>
      <c r="D88" s="260">
        <f t="shared" si="1"/>
        <v>2106</v>
      </c>
      <c r="E88" s="261"/>
    </row>
    <row r="89">
      <c r="B89" s="260"/>
      <c r="D89" s="260">
        <f t="shared" si="1"/>
        <v>2107</v>
      </c>
      <c r="E89" s="261"/>
    </row>
    <row r="90">
      <c r="B90" s="260"/>
      <c r="D90" s="260">
        <f t="shared" si="1"/>
        <v>2108</v>
      </c>
    </row>
    <row r="91">
      <c r="B91" s="260"/>
      <c r="D91" s="260">
        <f t="shared" si="1"/>
        <v>2109</v>
      </c>
      <c r="E91" s="261"/>
    </row>
    <row r="92">
      <c r="B92" s="260"/>
      <c r="D92" s="260">
        <f t="shared" si="1"/>
        <v>2110</v>
      </c>
      <c r="E92" s="261"/>
    </row>
    <row r="93">
      <c r="B93" s="260"/>
      <c r="D93" s="260">
        <f t="shared" si="1"/>
        <v>2111</v>
      </c>
      <c r="E93" s="261"/>
    </row>
    <row r="94">
      <c r="B94" s="260"/>
      <c r="D94" s="260">
        <f t="shared" si="1"/>
        <v>2112</v>
      </c>
    </row>
    <row r="95">
      <c r="B95" s="260"/>
      <c r="D95" s="260">
        <f t="shared" si="1"/>
        <v>2113</v>
      </c>
      <c r="E95" s="261"/>
    </row>
    <row r="96">
      <c r="B96" s="260"/>
      <c r="D96" s="260">
        <f t="shared" si="1"/>
        <v>2114</v>
      </c>
      <c r="E96" s="261"/>
    </row>
    <row r="97">
      <c r="B97" s="260"/>
      <c r="D97" s="260">
        <f t="shared" si="1"/>
        <v>2115</v>
      </c>
      <c r="E97" s="261"/>
    </row>
    <row r="98">
      <c r="B98" s="260"/>
      <c r="D98" s="260">
        <f t="shared" si="1"/>
        <v>2116</v>
      </c>
    </row>
    <row r="99">
      <c r="B99" s="260"/>
      <c r="D99" s="260">
        <f t="shared" si="1"/>
        <v>2117</v>
      </c>
      <c r="E99" s="261"/>
    </row>
    <row r="100">
      <c r="B100" s="260"/>
      <c r="D100" s="260">
        <f t="shared" si="1"/>
        <v>2118</v>
      </c>
      <c r="E100" s="261"/>
    </row>
    <row r="101">
      <c r="B101" s="260"/>
      <c r="D101" s="260">
        <f t="shared" si="1"/>
        <v>2119</v>
      </c>
      <c r="E101" s="261"/>
    </row>
    <row r="102">
      <c r="B102" s="260"/>
      <c r="D102" s="260">
        <f t="shared" si="1"/>
        <v>2120</v>
      </c>
    </row>
    <row r="103">
      <c r="B103" s="260"/>
    </row>
    <row r="104">
      <c r="B104" s="260"/>
    </row>
    <row r="105">
      <c r="B105" s="260"/>
    </row>
    <row r="106">
      <c r="B106" s="260"/>
    </row>
    <row r="107">
      <c r="B107" s="260"/>
    </row>
    <row r="108">
      <c r="B108" s="260"/>
    </row>
    <row r="109">
      <c r="B109" s="260"/>
    </row>
    <row r="110">
      <c r="B110" s="260"/>
    </row>
    <row r="111">
      <c r="A111" s="260"/>
      <c r="B111" s="260"/>
    </row>
    <row r="112">
      <c r="A112" s="260"/>
      <c r="B112" s="260"/>
    </row>
    <row r="113">
      <c r="A113" s="260"/>
      <c r="B113" s="260"/>
    </row>
    <row r="114">
      <c r="A114" s="260"/>
      <c r="B114" s="260"/>
    </row>
    <row r="115">
      <c r="A115" s="260"/>
      <c r="B115" s="260"/>
    </row>
    <row r="116">
      <c r="A116" s="260"/>
      <c r="B116" s="260"/>
    </row>
    <row r="117">
      <c r="A117" s="260"/>
      <c r="B117" s="260"/>
    </row>
    <row r="118">
      <c r="A118" s="260"/>
      <c r="B118" s="260"/>
    </row>
    <row r="119">
      <c r="A119" s="260"/>
      <c r="B119" s="260"/>
    </row>
    <row r="120">
      <c r="A120" s="260"/>
      <c r="B120" s="260"/>
    </row>
    <row r="121">
      <c r="A121" s="260"/>
      <c r="B121" s="260"/>
    </row>
    <row r="122">
      <c r="A122" s="260"/>
      <c r="B122" s="260"/>
    </row>
    <row r="123">
      <c r="A123" s="260"/>
      <c r="B123" s="260"/>
    </row>
    <row r="124">
      <c r="A124" s="260"/>
      <c r="B124" s="260"/>
    </row>
    <row r="125">
      <c r="A125" s="260"/>
      <c r="B125" s="260"/>
    </row>
    <row r="126">
      <c r="A126" s="260"/>
      <c r="B126" s="260"/>
    </row>
    <row r="127">
      <c r="A127" s="260"/>
      <c r="B127" s="260"/>
    </row>
    <row r="128">
      <c r="A128" s="260"/>
      <c r="B128" s="260"/>
    </row>
    <row r="129">
      <c r="A129" s="260"/>
      <c r="B129" s="260"/>
    </row>
    <row r="130">
      <c r="A130" s="260"/>
      <c r="B130" s="260"/>
    </row>
    <row r="131">
      <c r="A131" s="260"/>
      <c r="B131" s="260"/>
    </row>
    <row r="132">
      <c r="A132" s="260"/>
      <c r="B132" s="260"/>
    </row>
    <row r="133">
      <c r="A133" s="260"/>
      <c r="B133" s="260"/>
    </row>
    <row r="134">
      <c r="A134" s="260"/>
      <c r="B134" s="260"/>
    </row>
    <row r="135">
      <c r="A135" s="260"/>
      <c r="B135" s="260"/>
    </row>
    <row r="136">
      <c r="A136" s="260"/>
      <c r="B136" s="260"/>
    </row>
    <row r="137">
      <c r="A137" s="260"/>
      <c r="B137" s="260"/>
    </row>
    <row r="138">
      <c r="A138" s="260"/>
      <c r="B138" s="260"/>
    </row>
    <row r="139">
      <c r="A139" s="260"/>
      <c r="B139" s="260"/>
    </row>
    <row r="140">
      <c r="A140" s="260"/>
      <c r="B140" s="260"/>
    </row>
    <row r="141">
      <c r="A141" s="260"/>
      <c r="B141" s="260"/>
    </row>
    <row r="142">
      <c r="A142" s="260"/>
      <c r="B142" s="260"/>
    </row>
    <row r="143">
      <c r="A143" s="260"/>
      <c r="B143" s="260"/>
    </row>
    <row r="144">
      <c r="A144" s="260"/>
      <c r="B144" s="260"/>
    </row>
    <row r="145">
      <c r="A145" s="260"/>
      <c r="B145" s="260"/>
    </row>
    <row r="146">
      <c r="A146" s="260"/>
      <c r="B146" s="260"/>
    </row>
    <row r="147">
      <c r="A147" s="260"/>
      <c r="B147" s="260"/>
    </row>
    <row r="148">
      <c r="A148" s="260"/>
      <c r="B148" s="260"/>
    </row>
    <row r="149">
      <c r="A149" s="260"/>
      <c r="B149" s="260"/>
    </row>
    <row r="150">
      <c r="A150" s="260"/>
      <c r="B150" s="260"/>
    </row>
    <row r="151">
      <c r="A151" s="260"/>
      <c r="B151" s="260"/>
    </row>
    <row r="152">
      <c r="A152" s="260"/>
      <c r="B152" s="260"/>
    </row>
    <row r="153">
      <c r="A153" s="260"/>
      <c r="B153" s="260"/>
    </row>
    <row r="154">
      <c r="A154" s="260"/>
      <c r="B154" s="260"/>
    </row>
    <row r="155">
      <c r="A155" s="260"/>
      <c r="B155" s="260"/>
    </row>
    <row r="156">
      <c r="A156" s="260"/>
      <c r="B156" s="260"/>
    </row>
    <row r="157">
      <c r="A157" s="260"/>
      <c r="B157" s="260"/>
    </row>
    <row r="158">
      <c r="A158" s="260"/>
      <c r="B158" s="260"/>
    </row>
    <row r="159">
      <c r="A159" s="260"/>
      <c r="B159" s="260"/>
    </row>
    <row r="160">
      <c r="A160" s="260"/>
      <c r="B160" s="260"/>
    </row>
    <row r="161">
      <c r="A161" s="260"/>
      <c r="B161" s="260"/>
    </row>
    <row r="162">
      <c r="A162" s="260"/>
      <c r="B162" s="260"/>
    </row>
    <row r="163">
      <c r="A163" s="260"/>
      <c r="B163" s="260"/>
    </row>
    <row r="164">
      <c r="A164" s="260"/>
      <c r="B164" s="260"/>
    </row>
    <row r="165">
      <c r="A165" s="260"/>
      <c r="B165" s="260"/>
    </row>
    <row r="166">
      <c r="A166" s="260"/>
      <c r="B166" s="260"/>
    </row>
    <row r="167">
      <c r="A167" s="260"/>
      <c r="B167" s="260"/>
    </row>
    <row r="168">
      <c r="A168" s="260"/>
      <c r="B168" s="260"/>
    </row>
    <row r="169">
      <c r="A169" s="260"/>
      <c r="B169" s="260"/>
    </row>
    <row r="170">
      <c r="A170" s="260"/>
      <c r="B170" s="260"/>
    </row>
    <row r="171">
      <c r="A171" s="260"/>
      <c r="B171" s="260"/>
    </row>
    <row r="172">
      <c r="A172" s="260"/>
      <c r="B172" s="260"/>
    </row>
    <row r="173">
      <c r="A173" s="260"/>
      <c r="B173" s="260"/>
    </row>
    <row r="174">
      <c r="A174" s="260"/>
      <c r="B174" s="260"/>
    </row>
    <row r="175">
      <c r="A175" s="260"/>
      <c r="B175" s="260"/>
    </row>
    <row r="176">
      <c r="A176" s="260"/>
      <c r="B176" s="260"/>
    </row>
    <row r="177">
      <c r="A177" s="260"/>
      <c r="B177" s="260"/>
    </row>
    <row r="178">
      <c r="A178" s="260"/>
      <c r="B178" s="260"/>
    </row>
    <row r="179">
      <c r="A179" s="260"/>
      <c r="B179" s="260"/>
    </row>
    <row r="180">
      <c r="A180" s="260"/>
      <c r="B180" s="260"/>
    </row>
    <row r="181">
      <c r="A181" s="260"/>
      <c r="B181" s="260"/>
    </row>
    <row r="182">
      <c r="A182" s="260"/>
      <c r="B182" s="260"/>
    </row>
    <row r="183">
      <c r="A183" s="260"/>
      <c r="B183" s="260"/>
    </row>
    <row r="184">
      <c r="A184" s="260"/>
      <c r="B184" s="260"/>
    </row>
    <row r="185">
      <c r="A185" s="260"/>
      <c r="B185" s="260"/>
    </row>
    <row r="186">
      <c r="A186" s="260"/>
      <c r="B186" s="260"/>
    </row>
    <row r="187">
      <c r="A187" s="260"/>
      <c r="B187" s="260"/>
    </row>
    <row r="188">
      <c r="A188" s="260"/>
      <c r="B188" s="260"/>
    </row>
    <row r="189">
      <c r="A189" s="260"/>
      <c r="B189" s="260"/>
    </row>
    <row r="190">
      <c r="A190" s="260"/>
      <c r="B190" s="260"/>
    </row>
    <row r="191">
      <c r="A191" s="260"/>
      <c r="B191" s="260"/>
    </row>
    <row r="192">
      <c r="A192" s="260"/>
      <c r="B192" s="260"/>
    </row>
    <row r="193">
      <c r="A193" s="260"/>
      <c r="B193" s="260"/>
    </row>
    <row r="194">
      <c r="A194" s="260"/>
      <c r="B194" s="260"/>
    </row>
    <row r="195">
      <c r="A195" s="260"/>
      <c r="B195" s="260"/>
    </row>
    <row r="196">
      <c r="A196" s="260"/>
      <c r="B196" s="260"/>
    </row>
    <row r="197">
      <c r="A197" s="260"/>
      <c r="B197" s="260"/>
    </row>
    <row r="198">
      <c r="A198" s="260"/>
      <c r="B198" s="260"/>
    </row>
    <row r="199">
      <c r="A199" s="260"/>
      <c r="B199" s="260"/>
    </row>
    <row r="200">
      <c r="A200" s="260"/>
      <c r="B200" s="260"/>
    </row>
    <row r="201">
      <c r="A201" s="260"/>
      <c r="B201" s="260"/>
    </row>
    <row r="202">
      <c r="A202" s="260"/>
      <c r="B202" s="260"/>
    </row>
    <row r="203">
      <c r="A203" s="260"/>
      <c r="B203" s="260"/>
    </row>
    <row r="204">
      <c r="A204" s="260"/>
      <c r="B204" s="260"/>
    </row>
    <row r="205">
      <c r="A205" s="260"/>
      <c r="B205" s="260"/>
    </row>
    <row r="206">
      <c r="A206" s="260"/>
      <c r="B206" s="260"/>
    </row>
    <row r="207">
      <c r="A207" s="260"/>
      <c r="B207" s="260"/>
    </row>
    <row r="208">
      <c r="A208" s="260"/>
      <c r="B208" s="260"/>
    </row>
    <row r="209">
      <c r="A209" s="260"/>
      <c r="B209" s="260"/>
    </row>
    <row r="210">
      <c r="A210" s="260"/>
      <c r="B210" s="260"/>
    </row>
    <row r="211">
      <c r="A211" s="260"/>
      <c r="B211" s="260"/>
    </row>
    <row r="212">
      <c r="A212" s="260"/>
      <c r="B212" s="260"/>
    </row>
    <row r="213">
      <c r="A213" s="260"/>
      <c r="B213" s="260"/>
    </row>
    <row r="214">
      <c r="A214" s="260"/>
      <c r="B214" s="260"/>
    </row>
    <row r="215">
      <c r="A215" s="260"/>
      <c r="B215" s="260"/>
    </row>
    <row r="216">
      <c r="A216" s="260"/>
      <c r="B216" s="260"/>
    </row>
    <row r="217">
      <c r="A217" s="260"/>
      <c r="B217" s="260"/>
    </row>
    <row r="218">
      <c r="A218" s="260"/>
      <c r="B218" s="260"/>
    </row>
    <row r="219">
      <c r="A219" s="260"/>
      <c r="B219" s="260"/>
    </row>
    <row r="220">
      <c r="A220" s="260"/>
      <c r="B220" s="260"/>
    </row>
    <row r="221">
      <c r="A221" s="260"/>
      <c r="B221" s="260"/>
    </row>
    <row r="222">
      <c r="A222" s="260"/>
      <c r="B222" s="260"/>
    </row>
    <row r="223">
      <c r="A223" s="260"/>
      <c r="B223" s="260"/>
    </row>
    <row r="224">
      <c r="A224" s="260"/>
      <c r="B224" s="260"/>
    </row>
    <row r="225">
      <c r="A225" s="260"/>
      <c r="B225" s="260"/>
    </row>
    <row r="226">
      <c r="A226" s="260"/>
      <c r="B226" s="260"/>
    </row>
    <row r="227">
      <c r="A227" s="260"/>
      <c r="B227" s="260"/>
    </row>
    <row r="228">
      <c r="A228" s="260"/>
      <c r="B228" s="260"/>
    </row>
    <row r="229">
      <c r="A229" s="260"/>
      <c r="B229" s="260"/>
    </row>
    <row r="230">
      <c r="A230" s="260"/>
      <c r="B230" s="260"/>
    </row>
    <row r="231">
      <c r="A231" s="260"/>
      <c r="B231" s="260"/>
    </row>
    <row r="232">
      <c r="A232" s="260"/>
      <c r="B232" s="260"/>
    </row>
    <row r="233">
      <c r="A233" s="260"/>
      <c r="B233" s="260"/>
    </row>
    <row r="234">
      <c r="A234" s="260"/>
      <c r="B234" s="260"/>
    </row>
    <row r="235">
      <c r="A235" s="260"/>
      <c r="B235" s="260"/>
    </row>
    <row r="236">
      <c r="A236" s="260"/>
      <c r="B236" s="260"/>
    </row>
    <row r="237">
      <c r="A237" s="260"/>
      <c r="B237" s="260"/>
    </row>
    <row r="238">
      <c r="A238" s="260"/>
      <c r="B238" s="260"/>
    </row>
    <row r="239">
      <c r="A239" s="260"/>
      <c r="B239" s="260"/>
    </row>
    <row r="240">
      <c r="A240" s="260"/>
      <c r="B240" s="260"/>
    </row>
    <row r="241">
      <c r="A241" s="260"/>
      <c r="B241" s="260"/>
    </row>
    <row r="242">
      <c r="A242" s="260"/>
      <c r="B242" s="260"/>
    </row>
    <row r="243">
      <c r="A243" s="260"/>
      <c r="B243" s="260"/>
    </row>
    <row r="244">
      <c r="A244" s="260"/>
      <c r="B244" s="260"/>
    </row>
    <row r="245">
      <c r="A245" s="260"/>
      <c r="B245" s="260"/>
    </row>
    <row r="246">
      <c r="A246" s="260"/>
      <c r="B246" s="260"/>
    </row>
    <row r="247">
      <c r="A247" s="260"/>
      <c r="B247" s="260"/>
    </row>
    <row r="248">
      <c r="A248" s="260"/>
      <c r="B248" s="260"/>
    </row>
    <row r="249">
      <c r="A249" s="260"/>
      <c r="B249" s="260"/>
    </row>
    <row r="250">
      <c r="A250" s="260"/>
      <c r="B250" s="260"/>
    </row>
    <row r="251">
      <c r="A251" s="260"/>
      <c r="B251" s="260"/>
    </row>
    <row r="252">
      <c r="A252" s="260"/>
      <c r="B252" s="260"/>
    </row>
    <row r="253">
      <c r="A253" s="260"/>
      <c r="B253" s="260"/>
    </row>
    <row r="254">
      <c r="A254" s="260"/>
      <c r="B254" s="260"/>
    </row>
    <row r="255">
      <c r="A255" s="260"/>
      <c r="B255" s="260"/>
    </row>
    <row r="256">
      <c r="A256" s="260"/>
      <c r="B256" s="260"/>
    </row>
    <row r="257">
      <c r="A257" s="260"/>
      <c r="B257" s="260"/>
    </row>
    <row r="258">
      <c r="A258" s="260"/>
      <c r="B258" s="260"/>
    </row>
    <row r="259">
      <c r="A259" s="260"/>
      <c r="B259" s="260"/>
    </row>
    <row r="260">
      <c r="A260" s="260"/>
      <c r="B260" s="260"/>
    </row>
    <row r="261">
      <c r="A261" s="260"/>
      <c r="B261" s="260"/>
    </row>
    <row r="262">
      <c r="A262" s="260"/>
      <c r="B262" s="260"/>
    </row>
    <row r="263">
      <c r="A263" s="260"/>
      <c r="B263" s="260"/>
    </row>
    <row r="264">
      <c r="A264" s="260"/>
      <c r="B264" s="260"/>
    </row>
    <row r="265">
      <c r="A265" s="260"/>
      <c r="B265" s="260"/>
    </row>
    <row r="266">
      <c r="A266" s="260"/>
      <c r="B266" s="260"/>
    </row>
    <row r="267">
      <c r="A267" s="260"/>
      <c r="B267" s="260"/>
    </row>
    <row r="268">
      <c r="A268" s="260"/>
      <c r="B268" s="260"/>
    </row>
    <row r="269">
      <c r="A269" s="260"/>
      <c r="B269" s="260"/>
    </row>
    <row r="270">
      <c r="A270" s="260"/>
      <c r="B270" s="260"/>
    </row>
    <row r="271">
      <c r="A271" s="260"/>
      <c r="B271" s="260"/>
    </row>
    <row r="272">
      <c r="A272" s="260"/>
      <c r="B272" s="260"/>
    </row>
    <row r="273">
      <c r="A273" s="260"/>
      <c r="B273" s="260"/>
    </row>
    <row r="274">
      <c r="A274" s="260"/>
      <c r="B274" s="260"/>
    </row>
    <row r="275">
      <c r="A275" s="260"/>
      <c r="B275" s="260"/>
    </row>
    <row r="276">
      <c r="A276" s="260"/>
      <c r="B276" s="260"/>
    </row>
    <row r="277">
      <c r="A277" s="260"/>
      <c r="B277" s="260"/>
    </row>
    <row r="278">
      <c r="A278" s="260"/>
      <c r="B278" s="260"/>
    </row>
    <row r="279">
      <c r="A279" s="260"/>
      <c r="B279" s="260"/>
    </row>
    <row r="280">
      <c r="A280" s="260"/>
      <c r="B280" s="260"/>
    </row>
    <row r="281">
      <c r="A281" s="260"/>
      <c r="B281" s="260"/>
    </row>
    <row r="282">
      <c r="A282" s="260"/>
      <c r="B282" s="260"/>
    </row>
    <row r="283">
      <c r="A283" s="260"/>
      <c r="B283" s="260"/>
    </row>
    <row r="284">
      <c r="A284" s="260"/>
      <c r="B284" s="260"/>
    </row>
    <row r="285">
      <c r="A285" s="260"/>
      <c r="B285" s="260"/>
    </row>
    <row r="286">
      <c r="A286" s="260"/>
      <c r="B286" s="260"/>
    </row>
    <row r="287">
      <c r="A287" s="260"/>
      <c r="B287" s="260"/>
    </row>
    <row r="288">
      <c r="A288" s="260"/>
      <c r="B288" s="260"/>
    </row>
    <row r="289">
      <c r="A289" s="260"/>
      <c r="B289" s="260"/>
    </row>
    <row r="290">
      <c r="A290" s="260"/>
      <c r="B290" s="260"/>
    </row>
    <row r="291">
      <c r="A291" s="260"/>
      <c r="B291" s="260"/>
    </row>
    <row r="292">
      <c r="A292" s="260"/>
      <c r="B292" s="260"/>
    </row>
    <row r="293">
      <c r="A293" s="260"/>
      <c r="B293" s="260"/>
    </row>
    <row r="294">
      <c r="A294" s="260"/>
      <c r="B294" s="260"/>
    </row>
    <row r="295">
      <c r="A295" s="260"/>
      <c r="B295" s="260"/>
    </row>
    <row r="296">
      <c r="A296" s="260"/>
      <c r="B296" s="260"/>
    </row>
    <row r="297">
      <c r="A297" s="260"/>
      <c r="B297" s="260"/>
    </row>
    <row r="298">
      <c r="A298" s="260"/>
      <c r="B298" s="260"/>
    </row>
    <row r="299">
      <c r="A299" s="260"/>
      <c r="B299" s="260"/>
    </row>
    <row r="300">
      <c r="A300" s="260"/>
      <c r="B300" s="260"/>
    </row>
    <row r="301">
      <c r="A301" s="260"/>
      <c r="B301" s="260"/>
    </row>
    <row r="302">
      <c r="A302" s="260"/>
      <c r="B302" s="260"/>
    </row>
    <row r="303">
      <c r="A303" s="260"/>
      <c r="B303" s="260"/>
    </row>
    <row r="304">
      <c r="A304" s="260"/>
      <c r="B304" s="260"/>
    </row>
    <row r="305">
      <c r="A305" s="260"/>
      <c r="B305" s="260"/>
    </row>
    <row r="306">
      <c r="A306" s="260"/>
      <c r="B306" s="260"/>
    </row>
    <row r="307">
      <c r="A307" s="260"/>
      <c r="B307" s="260"/>
    </row>
    <row r="308">
      <c r="A308" s="260"/>
      <c r="B308" s="260"/>
    </row>
    <row r="309">
      <c r="A309" s="260"/>
      <c r="B309" s="260"/>
    </row>
    <row r="310">
      <c r="A310" s="260"/>
      <c r="B310" s="260"/>
    </row>
    <row r="311">
      <c r="A311" s="260"/>
      <c r="B311" s="260"/>
    </row>
    <row r="312">
      <c r="A312" s="260"/>
      <c r="B312" s="260"/>
    </row>
    <row r="313">
      <c r="A313" s="260"/>
      <c r="B313" s="260"/>
    </row>
    <row r="314">
      <c r="A314" s="260"/>
      <c r="B314" s="260"/>
    </row>
    <row r="315">
      <c r="A315" s="260"/>
      <c r="B315" s="260"/>
    </row>
    <row r="316">
      <c r="A316" s="260"/>
      <c r="B316" s="260"/>
    </row>
    <row r="317">
      <c r="A317" s="260"/>
      <c r="B317" s="260"/>
    </row>
    <row r="318">
      <c r="A318" s="260"/>
      <c r="B318" s="260"/>
    </row>
    <row r="319">
      <c r="A319" s="260"/>
      <c r="B319" s="260"/>
    </row>
    <row r="320">
      <c r="A320" s="260"/>
      <c r="B320" s="260"/>
    </row>
    <row r="321">
      <c r="A321" s="260"/>
      <c r="B321" s="260"/>
    </row>
    <row r="322">
      <c r="A322" s="260"/>
      <c r="B322" s="260"/>
    </row>
    <row r="323">
      <c r="A323" s="260"/>
      <c r="B323" s="260"/>
    </row>
    <row r="324">
      <c r="A324" s="260"/>
      <c r="B324" s="260"/>
    </row>
    <row r="325">
      <c r="A325" s="260"/>
      <c r="B325" s="260"/>
    </row>
    <row r="326">
      <c r="A326" s="260"/>
      <c r="B326" s="260"/>
    </row>
    <row r="327">
      <c r="A327" s="260"/>
      <c r="B327" s="260"/>
    </row>
    <row r="328">
      <c r="A328" s="260"/>
      <c r="B328" s="260"/>
    </row>
    <row r="329">
      <c r="A329" s="260"/>
      <c r="B329" s="260"/>
    </row>
    <row r="330">
      <c r="A330" s="260"/>
      <c r="B330" s="260"/>
    </row>
    <row r="331">
      <c r="A331" s="260"/>
      <c r="B331" s="260"/>
    </row>
    <row r="332">
      <c r="A332" s="260"/>
      <c r="B332" s="260"/>
    </row>
    <row r="333">
      <c r="A333" s="260"/>
      <c r="B333" s="260"/>
    </row>
    <row r="334">
      <c r="A334" s="260"/>
      <c r="B334" s="260"/>
    </row>
    <row r="335">
      <c r="A335" s="260"/>
      <c r="B335" s="260"/>
    </row>
    <row r="336">
      <c r="A336" s="260"/>
      <c r="B336" s="260"/>
    </row>
    <row r="337">
      <c r="A337" s="260"/>
      <c r="B337" s="260"/>
    </row>
    <row r="338">
      <c r="A338" s="260"/>
      <c r="B338" s="260"/>
    </row>
    <row r="339">
      <c r="A339" s="260"/>
      <c r="B339" s="260"/>
    </row>
    <row r="340">
      <c r="A340" s="260"/>
      <c r="B340" s="260"/>
    </row>
    <row r="341">
      <c r="A341" s="260"/>
      <c r="B341" s="260"/>
    </row>
    <row r="342">
      <c r="A342" s="260"/>
      <c r="B342" s="260"/>
    </row>
    <row r="343">
      <c r="A343" s="260"/>
      <c r="B343" s="260"/>
    </row>
    <row r="344">
      <c r="A344" s="260"/>
      <c r="B344" s="260"/>
    </row>
    <row r="345">
      <c r="A345" s="260"/>
      <c r="B345" s="260"/>
    </row>
    <row r="346">
      <c r="A346" s="260"/>
      <c r="B346" s="260"/>
    </row>
    <row r="347">
      <c r="A347" s="260"/>
      <c r="B347" s="260"/>
    </row>
    <row r="348">
      <c r="A348" s="260"/>
      <c r="B348" s="260"/>
    </row>
    <row r="349">
      <c r="A349" s="260"/>
      <c r="B349" s="260"/>
    </row>
    <row r="350">
      <c r="A350" s="260"/>
      <c r="B350" s="260"/>
    </row>
    <row r="351">
      <c r="A351" s="260"/>
      <c r="B351" s="260"/>
    </row>
    <row r="352">
      <c r="A352" s="260"/>
      <c r="B352" s="260"/>
    </row>
    <row r="353">
      <c r="A353" s="260"/>
      <c r="B353" s="260"/>
    </row>
    <row r="354">
      <c r="A354" s="260"/>
      <c r="B354" s="260"/>
    </row>
    <row r="355">
      <c r="A355" s="260"/>
      <c r="B355" s="260"/>
    </row>
    <row r="356">
      <c r="A356" s="260"/>
      <c r="B356" s="260"/>
    </row>
    <row r="357">
      <c r="A357" s="260"/>
      <c r="B357" s="260"/>
    </row>
    <row r="358">
      <c r="A358" s="260"/>
      <c r="B358" s="260"/>
    </row>
    <row r="359">
      <c r="A359" s="260"/>
      <c r="B359" s="260"/>
    </row>
    <row r="360">
      <c r="A360" s="260"/>
      <c r="B360" s="260"/>
    </row>
    <row r="361">
      <c r="A361" s="260"/>
      <c r="B361" s="260"/>
    </row>
    <row r="362">
      <c r="A362" s="260"/>
      <c r="B362" s="260"/>
    </row>
    <row r="363">
      <c r="A363" s="260"/>
      <c r="B363" s="260"/>
    </row>
    <row r="364">
      <c r="A364" s="260"/>
      <c r="B364" s="260"/>
    </row>
    <row r="365">
      <c r="A365" s="260"/>
      <c r="B365" s="260"/>
    </row>
    <row r="366">
      <c r="A366" s="260"/>
      <c r="B366" s="260"/>
    </row>
    <row r="367">
      <c r="A367" s="260"/>
      <c r="B367" s="260"/>
    </row>
    <row r="368">
      <c r="A368" s="260"/>
      <c r="B368" s="260"/>
    </row>
    <row r="369">
      <c r="A369" s="260"/>
      <c r="B369" s="260"/>
    </row>
    <row r="370">
      <c r="A370" s="260"/>
      <c r="B370" s="260"/>
    </row>
    <row r="371">
      <c r="A371" s="260"/>
      <c r="B371" s="260"/>
    </row>
    <row r="372">
      <c r="A372" s="260"/>
      <c r="B372" s="260"/>
    </row>
    <row r="373">
      <c r="A373" s="260"/>
      <c r="B373" s="260"/>
    </row>
    <row r="374">
      <c r="A374" s="260"/>
      <c r="B374" s="260"/>
    </row>
    <row r="375">
      <c r="A375" s="260"/>
      <c r="B375" s="260"/>
    </row>
    <row r="376">
      <c r="A376" s="260"/>
      <c r="B376" s="260"/>
    </row>
    <row r="377">
      <c r="A377" s="260"/>
      <c r="B377" s="260"/>
    </row>
    <row r="378">
      <c r="A378" s="260"/>
      <c r="B378" s="260"/>
    </row>
    <row r="379">
      <c r="A379" s="260"/>
      <c r="B379" s="260"/>
    </row>
    <row r="380">
      <c r="A380" s="260"/>
      <c r="B380" s="260"/>
    </row>
    <row r="381">
      <c r="A381" s="260"/>
      <c r="B381" s="260"/>
    </row>
    <row r="382">
      <c r="A382" s="260"/>
      <c r="B382" s="260"/>
    </row>
    <row r="383">
      <c r="A383" s="260"/>
      <c r="B383" s="260"/>
    </row>
    <row r="384">
      <c r="A384" s="260"/>
      <c r="B384" s="260"/>
    </row>
    <row r="385">
      <c r="A385" s="260"/>
      <c r="B385" s="260"/>
    </row>
    <row r="386">
      <c r="A386" s="260"/>
      <c r="B386" s="260"/>
    </row>
    <row r="387">
      <c r="A387" s="260"/>
      <c r="B387" s="260"/>
    </row>
    <row r="388">
      <c r="A388" s="260"/>
      <c r="B388" s="260"/>
    </row>
    <row r="389">
      <c r="A389" s="260"/>
      <c r="B389" s="260"/>
    </row>
    <row r="390">
      <c r="A390" s="260"/>
      <c r="B390" s="260"/>
    </row>
    <row r="391">
      <c r="A391" s="260"/>
      <c r="B391" s="260"/>
    </row>
    <row r="392">
      <c r="A392" s="260"/>
      <c r="B392" s="260"/>
    </row>
    <row r="393">
      <c r="A393" s="260"/>
      <c r="B393" s="260"/>
    </row>
    <row r="394">
      <c r="A394" s="260"/>
      <c r="B394" s="260"/>
    </row>
    <row r="395">
      <c r="A395" s="260"/>
      <c r="B395" s="260"/>
    </row>
    <row r="396">
      <c r="A396" s="260"/>
      <c r="B396" s="260"/>
    </row>
    <row r="397">
      <c r="A397" s="260"/>
      <c r="B397" s="260"/>
    </row>
    <row r="398">
      <c r="A398" s="260"/>
      <c r="B398" s="260"/>
    </row>
    <row r="399">
      <c r="A399" s="260"/>
      <c r="B399" s="260"/>
    </row>
    <row r="400">
      <c r="A400" s="260"/>
      <c r="B400" s="260"/>
    </row>
    <row r="401">
      <c r="A401" s="260"/>
      <c r="B401" s="260"/>
    </row>
    <row r="402">
      <c r="A402" s="260"/>
      <c r="B402" s="260"/>
    </row>
    <row r="403">
      <c r="A403" s="260"/>
      <c r="B403" s="260"/>
    </row>
    <row r="404">
      <c r="A404" s="260"/>
      <c r="B404" s="260"/>
    </row>
    <row r="405">
      <c r="A405" s="260"/>
      <c r="B405" s="260"/>
    </row>
    <row r="406">
      <c r="A406" s="260"/>
      <c r="B406" s="260"/>
    </row>
    <row r="407">
      <c r="A407" s="260"/>
      <c r="B407" s="260"/>
    </row>
    <row r="408">
      <c r="A408" s="260"/>
      <c r="B408" s="260"/>
    </row>
    <row r="409">
      <c r="A409" s="260"/>
      <c r="B409" s="260"/>
    </row>
    <row r="410">
      <c r="A410" s="260"/>
      <c r="B410" s="260"/>
    </row>
    <row r="411">
      <c r="A411" s="260"/>
      <c r="B411" s="260"/>
    </row>
    <row r="412">
      <c r="A412" s="260"/>
      <c r="B412" s="260"/>
    </row>
    <row r="413">
      <c r="A413" s="260"/>
      <c r="B413" s="260"/>
    </row>
    <row r="414">
      <c r="A414" s="260"/>
      <c r="B414" s="260"/>
    </row>
    <row r="415">
      <c r="A415" s="260"/>
      <c r="B415" s="260"/>
    </row>
    <row r="416">
      <c r="A416" s="260"/>
      <c r="B416" s="260"/>
    </row>
    <row r="417">
      <c r="A417" s="260"/>
      <c r="B417" s="260"/>
    </row>
    <row r="418">
      <c r="A418" s="260"/>
      <c r="B418" s="260"/>
    </row>
    <row r="419">
      <c r="A419" s="260"/>
      <c r="B419" s="260"/>
    </row>
    <row r="420">
      <c r="A420" s="260"/>
      <c r="B420" s="260"/>
    </row>
    <row r="421">
      <c r="A421" s="260"/>
      <c r="B421" s="260"/>
    </row>
    <row r="422">
      <c r="A422" s="260"/>
      <c r="B422" s="260"/>
    </row>
    <row r="423">
      <c r="A423" s="260"/>
      <c r="B423" s="260"/>
    </row>
    <row r="424">
      <c r="A424" s="260"/>
      <c r="B424" s="260"/>
    </row>
    <row r="425">
      <c r="A425" s="260"/>
      <c r="B425" s="260"/>
    </row>
    <row r="426">
      <c r="A426" s="260"/>
      <c r="B426" s="260"/>
    </row>
    <row r="427">
      <c r="A427" s="260"/>
      <c r="B427" s="260"/>
    </row>
    <row r="428">
      <c r="A428" s="260"/>
      <c r="B428" s="260"/>
    </row>
    <row r="429">
      <c r="A429" s="260"/>
      <c r="B429" s="260"/>
    </row>
    <row r="430">
      <c r="A430" s="260"/>
      <c r="B430" s="260"/>
    </row>
    <row r="431">
      <c r="A431" s="260"/>
      <c r="B431" s="260"/>
    </row>
    <row r="432">
      <c r="A432" s="260"/>
      <c r="B432" s="260"/>
    </row>
    <row r="433">
      <c r="A433" s="260"/>
      <c r="B433" s="260"/>
    </row>
    <row r="434">
      <c r="A434" s="260"/>
      <c r="B434" s="260"/>
    </row>
    <row r="435">
      <c r="A435" s="260"/>
      <c r="B435" s="260"/>
    </row>
    <row r="436">
      <c r="A436" s="260"/>
      <c r="B436" s="260"/>
    </row>
    <row r="437">
      <c r="A437" s="260"/>
      <c r="B437" s="260"/>
    </row>
    <row r="438">
      <c r="A438" s="260"/>
      <c r="B438" s="260"/>
    </row>
    <row r="439">
      <c r="A439" s="260"/>
      <c r="B439" s="260"/>
    </row>
    <row r="440">
      <c r="A440" s="260"/>
      <c r="B440" s="260"/>
    </row>
    <row r="441">
      <c r="A441" s="260"/>
      <c r="B441" s="260"/>
    </row>
    <row r="442">
      <c r="A442" s="260"/>
      <c r="B442" s="260"/>
    </row>
    <row r="443">
      <c r="A443" s="260"/>
      <c r="B443" s="260"/>
    </row>
    <row r="444">
      <c r="A444" s="260"/>
      <c r="B444" s="260"/>
    </row>
    <row r="445">
      <c r="A445" s="260"/>
      <c r="B445" s="260"/>
    </row>
    <row r="446">
      <c r="A446" s="260"/>
      <c r="B446" s="260"/>
    </row>
    <row r="447">
      <c r="A447" s="260"/>
      <c r="B447" s="260"/>
    </row>
    <row r="448">
      <c r="A448" s="260"/>
      <c r="B448" s="260"/>
    </row>
    <row r="449">
      <c r="A449" s="260"/>
      <c r="B449" s="260"/>
    </row>
    <row r="450">
      <c r="A450" s="260"/>
      <c r="B450" s="260"/>
    </row>
    <row r="451">
      <c r="A451" s="260"/>
      <c r="B451" s="260"/>
    </row>
    <row r="452">
      <c r="A452" s="260"/>
      <c r="B452" s="260"/>
    </row>
    <row r="453">
      <c r="A453" s="260"/>
      <c r="B453" s="260"/>
    </row>
    <row r="454">
      <c r="A454" s="260"/>
      <c r="B454" s="260"/>
    </row>
    <row r="455">
      <c r="A455" s="260"/>
      <c r="B455" s="260"/>
    </row>
    <row r="456">
      <c r="A456" s="260"/>
      <c r="B456" s="260"/>
    </row>
    <row r="457">
      <c r="A457" s="260"/>
      <c r="B457" s="260"/>
    </row>
    <row r="458">
      <c r="A458" s="260"/>
      <c r="B458" s="260"/>
    </row>
    <row r="459">
      <c r="A459" s="260"/>
      <c r="B459" s="260"/>
    </row>
    <row r="460">
      <c r="A460" s="260"/>
      <c r="B460" s="260"/>
    </row>
    <row r="461">
      <c r="A461" s="260"/>
      <c r="B461" s="260"/>
    </row>
    <row r="462">
      <c r="A462" s="260"/>
      <c r="B462" s="260"/>
    </row>
    <row r="463">
      <c r="A463" s="260"/>
      <c r="B463" s="260"/>
    </row>
    <row r="464">
      <c r="A464" s="260"/>
      <c r="B464" s="260"/>
    </row>
    <row r="465">
      <c r="A465" s="260"/>
      <c r="B465" s="260"/>
    </row>
    <row r="466">
      <c r="A466" s="260"/>
      <c r="B466" s="260"/>
    </row>
    <row r="467">
      <c r="A467" s="260"/>
      <c r="B467" s="260"/>
    </row>
    <row r="468">
      <c r="A468" s="260"/>
      <c r="B468" s="260"/>
    </row>
    <row r="469">
      <c r="A469" s="260"/>
      <c r="B469" s="260"/>
    </row>
    <row r="470">
      <c r="A470" s="260"/>
      <c r="B470" s="260"/>
    </row>
    <row r="471">
      <c r="A471" s="260"/>
      <c r="B471" s="260"/>
    </row>
    <row r="472">
      <c r="A472" s="260"/>
      <c r="B472" s="260"/>
    </row>
    <row r="473">
      <c r="A473" s="260"/>
      <c r="B473" s="260"/>
    </row>
    <row r="474">
      <c r="A474" s="260"/>
      <c r="B474" s="260"/>
    </row>
    <row r="475">
      <c r="A475" s="260"/>
      <c r="B475" s="260"/>
    </row>
    <row r="476">
      <c r="A476" s="260"/>
      <c r="B476" s="260"/>
    </row>
    <row r="477">
      <c r="A477" s="260"/>
      <c r="B477" s="260"/>
    </row>
    <row r="478">
      <c r="A478" s="260"/>
      <c r="B478" s="260"/>
    </row>
    <row r="479">
      <c r="A479" s="260"/>
      <c r="B479" s="260"/>
    </row>
    <row r="480">
      <c r="A480" s="260"/>
      <c r="B480" s="260"/>
    </row>
    <row r="481">
      <c r="A481" s="260"/>
      <c r="B481" s="260"/>
    </row>
    <row r="482">
      <c r="A482" s="260"/>
      <c r="B482" s="260"/>
    </row>
    <row r="483">
      <c r="A483" s="260"/>
      <c r="B483" s="260"/>
    </row>
    <row r="484">
      <c r="A484" s="260"/>
      <c r="B484" s="260"/>
    </row>
    <row r="485">
      <c r="A485" s="260"/>
      <c r="B485" s="260"/>
    </row>
    <row r="486">
      <c r="A486" s="260"/>
      <c r="B486" s="260"/>
    </row>
    <row r="487">
      <c r="A487" s="260"/>
      <c r="B487" s="260"/>
    </row>
    <row r="488">
      <c r="A488" s="260"/>
      <c r="B488" s="260"/>
    </row>
    <row r="489">
      <c r="A489" s="260"/>
      <c r="B489" s="260"/>
    </row>
    <row r="490">
      <c r="A490" s="260"/>
      <c r="B490" s="260"/>
    </row>
    <row r="491">
      <c r="A491" s="260"/>
      <c r="B491" s="260"/>
    </row>
    <row r="492">
      <c r="A492" s="260"/>
      <c r="B492" s="260"/>
    </row>
    <row r="493">
      <c r="A493" s="260"/>
      <c r="B493" s="260"/>
    </row>
    <row r="494">
      <c r="A494" s="260"/>
      <c r="B494" s="260"/>
    </row>
    <row r="495">
      <c r="A495" s="260"/>
      <c r="B495" s="260"/>
    </row>
    <row r="496">
      <c r="A496" s="260"/>
      <c r="B496" s="260"/>
    </row>
    <row r="497">
      <c r="A497" s="260"/>
      <c r="B497" s="260"/>
    </row>
    <row r="498">
      <c r="A498" s="260"/>
      <c r="B498" s="260"/>
    </row>
    <row r="499">
      <c r="A499" s="260"/>
      <c r="B499" s="260"/>
    </row>
    <row r="500">
      <c r="A500" s="260"/>
      <c r="B500" s="260"/>
    </row>
    <row r="501">
      <c r="A501" s="260"/>
      <c r="B501" s="260"/>
    </row>
    <row r="502">
      <c r="A502" s="260"/>
      <c r="B502" s="260"/>
    </row>
    <row r="503">
      <c r="A503" s="260"/>
      <c r="B503" s="260"/>
    </row>
    <row r="504">
      <c r="A504" s="260"/>
      <c r="B504" s="260"/>
    </row>
    <row r="505">
      <c r="A505" s="260"/>
      <c r="B505" s="260"/>
    </row>
    <row r="506">
      <c r="A506" s="260"/>
      <c r="B506" s="260"/>
    </row>
    <row r="507">
      <c r="A507" s="260"/>
      <c r="B507" s="260"/>
    </row>
    <row r="508">
      <c r="A508" s="260"/>
      <c r="B508" s="260"/>
    </row>
    <row r="509">
      <c r="A509" s="260"/>
      <c r="B509" s="260"/>
    </row>
    <row r="510">
      <c r="A510" s="260"/>
      <c r="B510" s="260"/>
    </row>
    <row r="511">
      <c r="A511" s="260"/>
      <c r="B511" s="260"/>
    </row>
    <row r="512">
      <c r="A512" s="260"/>
      <c r="B512" s="260"/>
    </row>
    <row r="513">
      <c r="A513" s="260"/>
      <c r="B513" s="260"/>
    </row>
    <row r="514">
      <c r="A514" s="260"/>
      <c r="B514" s="260"/>
    </row>
    <row r="515">
      <c r="A515" s="260"/>
      <c r="B515" s="260"/>
    </row>
    <row r="516">
      <c r="A516" s="260"/>
      <c r="B516" s="260"/>
    </row>
    <row r="517">
      <c r="A517" s="260"/>
      <c r="B517" s="260"/>
    </row>
    <row r="518">
      <c r="A518" s="260"/>
      <c r="B518" s="260"/>
    </row>
    <row r="519">
      <c r="A519" s="260"/>
      <c r="B519" s="260"/>
    </row>
    <row r="520">
      <c r="A520" s="260"/>
      <c r="B520" s="260"/>
    </row>
    <row r="521">
      <c r="A521" s="260"/>
      <c r="B521" s="260"/>
    </row>
    <row r="522">
      <c r="A522" s="260"/>
      <c r="B522" s="260"/>
    </row>
    <row r="523">
      <c r="A523" s="260"/>
      <c r="B523" s="260"/>
    </row>
    <row r="524">
      <c r="A524" s="260"/>
      <c r="B524" s="260"/>
    </row>
    <row r="525">
      <c r="A525" s="260"/>
      <c r="B525" s="260"/>
    </row>
    <row r="526">
      <c r="A526" s="260"/>
      <c r="B526" s="260"/>
    </row>
    <row r="527">
      <c r="A527" s="260"/>
      <c r="B527" s="260"/>
    </row>
    <row r="528">
      <c r="A528" s="260"/>
      <c r="B528" s="260"/>
    </row>
    <row r="529">
      <c r="A529" s="260"/>
      <c r="B529" s="260"/>
    </row>
    <row r="530">
      <c r="A530" s="260"/>
      <c r="B530" s="260"/>
    </row>
    <row r="531">
      <c r="A531" s="260"/>
      <c r="B531" s="260"/>
    </row>
    <row r="532">
      <c r="A532" s="260"/>
      <c r="B532" s="260"/>
    </row>
    <row r="533">
      <c r="A533" s="260"/>
      <c r="B533" s="260"/>
    </row>
    <row r="534">
      <c r="A534" s="260"/>
      <c r="B534" s="260"/>
    </row>
    <row r="535">
      <c r="A535" s="260"/>
      <c r="B535" s="260"/>
    </row>
    <row r="536">
      <c r="A536" s="260"/>
      <c r="B536" s="260"/>
    </row>
    <row r="537">
      <c r="A537" s="260"/>
      <c r="B537" s="260"/>
    </row>
    <row r="538">
      <c r="A538" s="260"/>
      <c r="B538" s="260"/>
    </row>
    <row r="539">
      <c r="A539" s="260"/>
      <c r="B539" s="260"/>
    </row>
    <row r="540">
      <c r="A540" s="260"/>
      <c r="B540" s="260"/>
    </row>
    <row r="541">
      <c r="A541" s="260"/>
      <c r="B541" s="260"/>
    </row>
    <row r="542">
      <c r="A542" s="260"/>
      <c r="B542" s="260"/>
    </row>
    <row r="543">
      <c r="A543" s="260"/>
      <c r="B543" s="260"/>
    </row>
    <row r="544">
      <c r="A544" s="260"/>
      <c r="B544" s="260"/>
    </row>
    <row r="545">
      <c r="A545" s="260"/>
      <c r="B545" s="260"/>
    </row>
    <row r="546">
      <c r="A546" s="260"/>
      <c r="B546" s="260"/>
    </row>
    <row r="547">
      <c r="A547" s="260"/>
      <c r="B547" s="260"/>
    </row>
    <row r="548">
      <c r="A548" s="260"/>
      <c r="B548" s="260"/>
    </row>
    <row r="549">
      <c r="A549" s="260"/>
      <c r="B549" s="260"/>
    </row>
    <row r="550">
      <c r="A550" s="260"/>
      <c r="B550" s="260"/>
    </row>
    <row r="551">
      <c r="A551" s="260"/>
      <c r="B551" s="260"/>
    </row>
    <row r="552">
      <c r="A552" s="260"/>
      <c r="B552" s="260"/>
    </row>
    <row r="553">
      <c r="A553" s="260"/>
      <c r="B553" s="260"/>
    </row>
    <row r="554">
      <c r="A554" s="260"/>
      <c r="B554" s="260"/>
    </row>
    <row r="555">
      <c r="A555" s="260"/>
      <c r="B555" s="260"/>
    </row>
    <row r="556">
      <c r="A556" s="260"/>
      <c r="B556" s="260"/>
    </row>
    <row r="557">
      <c r="A557" s="260"/>
      <c r="B557" s="260"/>
    </row>
    <row r="558">
      <c r="A558" s="260"/>
      <c r="B558" s="260"/>
    </row>
    <row r="559">
      <c r="A559" s="260"/>
      <c r="B559" s="260"/>
    </row>
    <row r="560">
      <c r="A560" s="260"/>
      <c r="B560" s="260"/>
    </row>
    <row r="561">
      <c r="A561" s="260"/>
      <c r="B561" s="260"/>
    </row>
    <row r="562">
      <c r="A562" s="260"/>
      <c r="B562" s="260"/>
    </row>
    <row r="563">
      <c r="A563" s="260"/>
      <c r="B563" s="260"/>
    </row>
    <row r="564">
      <c r="A564" s="260"/>
      <c r="B564" s="260"/>
    </row>
    <row r="565">
      <c r="A565" s="260"/>
      <c r="B565" s="260"/>
    </row>
    <row r="566">
      <c r="A566" s="260"/>
      <c r="B566" s="260"/>
    </row>
    <row r="567">
      <c r="A567" s="260"/>
      <c r="B567" s="260"/>
    </row>
    <row r="568">
      <c r="A568" s="260"/>
      <c r="B568" s="260"/>
    </row>
    <row r="569">
      <c r="A569" s="260"/>
      <c r="B569" s="260"/>
    </row>
    <row r="570">
      <c r="A570" s="260"/>
      <c r="B570" s="260"/>
    </row>
    <row r="571">
      <c r="A571" s="260"/>
      <c r="B571" s="260"/>
    </row>
    <row r="572">
      <c r="A572" s="260"/>
      <c r="B572" s="260"/>
    </row>
    <row r="573">
      <c r="A573" s="260"/>
      <c r="B573" s="260"/>
    </row>
    <row r="574">
      <c r="A574" s="260"/>
      <c r="B574" s="260"/>
    </row>
    <row r="575">
      <c r="A575" s="260"/>
      <c r="B575" s="260"/>
    </row>
    <row r="576">
      <c r="A576" s="260"/>
      <c r="B576" s="260"/>
    </row>
    <row r="577">
      <c r="A577" s="260"/>
      <c r="B577" s="260"/>
    </row>
    <row r="578">
      <c r="A578" s="260"/>
      <c r="B578" s="260"/>
    </row>
    <row r="579">
      <c r="A579" s="260"/>
      <c r="B579" s="260"/>
    </row>
    <row r="580">
      <c r="A580" s="260"/>
      <c r="B580" s="260"/>
    </row>
    <row r="581">
      <c r="A581" s="260"/>
      <c r="B581" s="260"/>
    </row>
    <row r="582">
      <c r="A582" s="260"/>
      <c r="B582" s="260"/>
    </row>
    <row r="583">
      <c r="A583" s="260"/>
      <c r="B583" s="260"/>
    </row>
    <row r="584">
      <c r="A584" s="260"/>
      <c r="B584" s="260"/>
    </row>
    <row r="585">
      <c r="A585" s="260"/>
      <c r="B585" s="260"/>
    </row>
    <row r="586">
      <c r="A586" s="260"/>
      <c r="B586" s="260"/>
    </row>
    <row r="587">
      <c r="A587" s="260"/>
      <c r="B587" s="260"/>
    </row>
    <row r="588">
      <c r="A588" s="260"/>
      <c r="B588" s="260"/>
    </row>
    <row r="589">
      <c r="A589" s="260"/>
      <c r="B589" s="260"/>
    </row>
    <row r="590">
      <c r="A590" s="260"/>
      <c r="B590" s="260"/>
    </row>
    <row r="591">
      <c r="A591" s="260"/>
      <c r="B591" s="260"/>
    </row>
    <row r="592">
      <c r="A592" s="260"/>
      <c r="B592" s="260"/>
    </row>
    <row r="593">
      <c r="A593" s="260"/>
      <c r="B593" s="260"/>
    </row>
    <row r="594">
      <c r="A594" s="260"/>
      <c r="B594" s="260"/>
    </row>
    <row r="595">
      <c r="A595" s="260"/>
      <c r="B595" s="260"/>
    </row>
    <row r="596">
      <c r="A596" s="260"/>
      <c r="B596" s="260"/>
    </row>
    <row r="597">
      <c r="A597" s="260"/>
      <c r="B597" s="260"/>
    </row>
    <row r="598">
      <c r="A598" s="260"/>
      <c r="B598" s="260"/>
    </row>
    <row r="599">
      <c r="A599" s="260"/>
      <c r="B599" s="260"/>
    </row>
    <row r="600">
      <c r="A600" s="260"/>
      <c r="B600" s="260"/>
    </row>
    <row r="601">
      <c r="A601" s="260"/>
      <c r="B601" s="260"/>
    </row>
    <row r="602">
      <c r="A602" s="260"/>
      <c r="B602" s="260"/>
    </row>
    <row r="603">
      <c r="A603" s="260"/>
      <c r="B603" s="260"/>
    </row>
    <row r="604">
      <c r="A604" s="260"/>
      <c r="B604" s="260"/>
    </row>
    <row r="605">
      <c r="A605" s="260"/>
      <c r="B605" s="260"/>
    </row>
    <row r="606">
      <c r="A606" s="260"/>
      <c r="B606" s="260"/>
    </row>
    <row r="607">
      <c r="A607" s="260"/>
      <c r="B607" s="260"/>
    </row>
    <row r="608">
      <c r="A608" s="260"/>
      <c r="B608" s="260"/>
    </row>
    <row r="609">
      <c r="A609" s="260"/>
      <c r="B609" s="260"/>
    </row>
    <row r="610">
      <c r="A610" s="260"/>
      <c r="B610" s="260"/>
    </row>
    <row r="611">
      <c r="A611" s="260"/>
      <c r="B611" s="260"/>
    </row>
    <row r="612">
      <c r="A612" s="260"/>
      <c r="B612" s="260"/>
    </row>
    <row r="613">
      <c r="A613" s="260"/>
      <c r="B613" s="260"/>
    </row>
    <row r="614">
      <c r="A614" s="260"/>
      <c r="B614" s="260"/>
    </row>
    <row r="615">
      <c r="A615" s="260"/>
      <c r="B615" s="260"/>
    </row>
    <row r="616">
      <c r="A616" s="260"/>
      <c r="B616" s="260"/>
    </row>
    <row r="617">
      <c r="A617" s="260"/>
      <c r="B617" s="260"/>
    </row>
    <row r="618">
      <c r="A618" s="260"/>
      <c r="B618" s="260"/>
    </row>
    <row r="619">
      <c r="A619" s="260"/>
      <c r="B619" s="260"/>
    </row>
    <row r="620">
      <c r="A620" s="260"/>
      <c r="B620" s="260"/>
    </row>
    <row r="621">
      <c r="A621" s="260"/>
      <c r="B621" s="260"/>
    </row>
    <row r="622">
      <c r="A622" s="260"/>
      <c r="B622" s="260"/>
    </row>
    <row r="623">
      <c r="A623" s="260"/>
      <c r="B623" s="260"/>
    </row>
    <row r="624">
      <c r="A624" s="260"/>
      <c r="B624" s="260"/>
    </row>
    <row r="625">
      <c r="A625" s="260"/>
      <c r="B625" s="260"/>
    </row>
    <row r="626">
      <c r="A626" s="260"/>
      <c r="B626" s="260"/>
    </row>
    <row r="627">
      <c r="A627" s="260"/>
      <c r="B627" s="260"/>
    </row>
    <row r="628">
      <c r="A628" s="260"/>
      <c r="B628" s="260"/>
    </row>
    <row r="629">
      <c r="A629" s="260"/>
      <c r="B629" s="260"/>
    </row>
    <row r="630">
      <c r="A630" s="260"/>
      <c r="B630" s="260"/>
    </row>
    <row r="631">
      <c r="A631" s="260"/>
      <c r="B631" s="260"/>
    </row>
    <row r="632">
      <c r="A632" s="260"/>
      <c r="B632" s="260"/>
    </row>
    <row r="633">
      <c r="A633" s="260"/>
      <c r="B633" s="260"/>
    </row>
    <row r="634">
      <c r="A634" s="260"/>
      <c r="B634" s="260"/>
    </row>
    <row r="635">
      <c r="A635" s="260"/>
      <c r="B635" s="260"/>
    </row>
    <row r="636">
      <c r="A636" s="260"/>
      <c r="B636" s="260"/>
    </row>
    <row r="637">
      <c r="A637" s="260"/>
      <c r="B637" s="260"/>
    </row>
    <row r="638">
      <c r="A638" s="260"/>
      <c r="B638" s="260"/>
    </row>
    <row r="639">
      <c r="A639" s="260"/>
      <c r="B639" s="260"/>
    </row>
    <row r="640">
      <c r="A640" s="260"/>
      <c r="B640" s="260"/>
    </row>
    <row r="641">
      <c r="A641" s="260"/>
      <c r="B641" s="260"/>
    </row>
    <row r="642">
      <c r="A642" s="260"/>
      <c r="B642" s="260"/>
    </row>
    <row r="643">
      <c r="A643" s="260"/>
      <c r="B643" s="260"/>
    </row>
    <row r="644">
      <c r="A644" s="260"/>
      <c r="B644" s="260"/>
    </row>
    <row r="645">
      <c r="A645" s="260"/>
      <c r="B645" s="260"/>
    </row>
    <row r="646">
      <c r="A646" s="260"/>
      <c r="B646" s="260"/>
    </row>
    <row r="647">
      <c r="A647" s="260"/>
      <c r="B647" s="260"/>
    </row>
    <row r="648">
      <c r="A648" s="260"/>
      <c r="B648" s="260"/>
    </row>
    <row r="649">
      <c r="A649" s="260"/>
      <c r="B649" s="260"/>
    </row>
    <row r="650">
      <c r="A650" s="260"/>
      <c r="B650" s="260"/>
    </row>
    <row r="651">
      <c r="A651" s="260"/>
      <c r="B651" s="260"/>
    </row>
    <row r="652">
      <c r="A652" s="260"/>
      <c r="B652" s="260"/>
    </row>
    <row r="653">
      <c r="A653" s="260"/>
      <c r="B653" s="260"/>
    </row>
    <row r="654">
      <c r="A654" s="260"/>
      <c r="B654" s="260"/>
    </row>
    <row r="655">
      <c r="A655" s="260"/>
      <c r="B655" s="260"/>
    </row>
    <row r="656">
      <c r="A656" s="260"/>
      <c r="B656" s="260"/>
    </row>
    <row r="657">
      <c r="A657" s="260"/>
      <c r="B657" s="260"/>
    </row>
    <row r="658">
      <c r="A658" s="260"/>
      <c r="B658" s="260"/>
    </row>
    <row r="659">
      <c r="A659" s="260"/>
      <c r="B659" s="260"/>
    </row>
    <row r="660">
      <c r="A660" s="260"/>
      <c r="B660" s="260"/>
    </row>
    <row r="661">
      <c r="A661" s="260"/>
      <c r="B661" s="260"/>
    </row>
    <row r="662">
      <c r="A662" s="260"/>
      <c r="B662" s="260"/>
    </row>
    <row r="663">
      <c r="A663" s="260"/>
      <c r="B663" s="260"/>
    </row>
    <row r="664">
      <c r="A664" s="260"/>
      <c r="B664" s="260"/>
    </row>
    <row r="665">
      <c r="A665" s="260"/>
      <c r="B665" s="260"/>
    </row>
    <row r="666">
      <c r="A666" s="260"/>
      <c r="B666" s="260"/>
    </row>
    <row r="667">
      <c r="A667" s="260"/>
      <c r="B667" s="260"/>
    </row>
    <row r="668">
      <c r="A668" s="260"/>
      <c r="B668" s="260"/>
    </row>
    <row r="669">
      <c r="A669" s="260"/>
      <c r="B669" s="260"/>
    </row>
    <row r="670">
      <c r="A670" s="260"/>
      <c r="B670" s="260"/>
    </row>
    <row r="671">
      <c r="A671" s="260"/>
      <c r="B671" s="260"/>
    </row>
    <row r="672">
      <c r="A672" s="260"/>
      <c r="B672" s="260"/>
    </row>
    <row r="673">
      <c r="A673" s="260"/>
      <c r="B673" s="260"/>
    </row>
    <row r="674">
      <c r="A674" s="260"/>
      <c r="B674" s="260"/>
    </row>
    <row r="675">
      <c r="A675" s="260"/>
      <c r="B675" s="260"/>
    </row>
    <row r="676">
      <c r="A676" s="260"/>
      <c r="B676" s="260"/>
    </row>
    <row r="677">
      <c r="A677" s="260"/>
      <c r="B677" s="260"/>
    </row>
    <row r="678">
      <c r="A678" s="260"/>
      <c r="B678" s="260"/>
    </row>
    <row r="679">
      <c r="A679" s="260"/>
      <c r="B679" s="260"/>
    </row>
    <row r="680">
      <c r="A680" s="260"/>
      <c r="B680" s="260"/>
    </row>
    <row r="681">
      <c r="A681" s="260"/>
      <c r="B681" s="260"/>
    </row>
    <row r="682">
      <c r="A682" s="260"/>
      <c r="B682" s="260"/>
    </row>
    <row r="683">
      <c r="A683" s="260"/>
      <c r="B683" s="260"/>
    </row>
    <row r="684">
      <c r="A684" s="260"/>
      <c r="B684" s="260"/>
    </row>
    <row r="685">
      <c r="A685" s="260"/>
      <c r="B685" s="260"/>
    </row>
    <row r="686">
      <c r="A686" s="260"/>
      <c r="B686" s="260"/>
    </row>
    <row r="687">
      <c r="A687" s="260"/>
      <c r="B687" s="260"/>
    </row>
    <row r="688">
      <c r="A688" s="260"/>
      <c r="B688" s="260"/>
    </row>
    <row r="689">
      <c r="A689" s="260"/>
      <c r="B689" s="260"/>
    </row>
    <row r="690">
      <c r="A690" s="260"/>
      <c r="B690" s="260"/>
    </row>
    <row r="691">
      <c r="A691" s="260"/>
      <c r="B691" s="260"/>
    </row>
    <row r="692">
      <c r="A692" s="260"/>
      <c r="B692" s="260"/>
    </row>
    <row r="693">
      <c r="A693" s="260"/>
      <c r="B693" s="260"/>
    </row>
    <row r="694">
      <c r="A694" s="260"/>
      <c r="B694" s="260"/>
    </row>
    <row r="695">
      <c r="A695" s="260"/>
      <c r="B695" s="260"/>
    </row>
    <row r="696">
      <c r="A696" s="260"/>
      <c r="B696" s="260"/>
    </row>
    <row r="697">
      <c r="A697" s="260"/>
      <c r="B697" s="260"/>
    </row>
    <row r="698">
      <c r="A698" s="260"/>
      <c r="B698" s="260"/>
    </row>
    <row r="699">
      <c r="A699" s="260"/>
      <c r="B699" s="260"/>
    </row>
    <row r="700">
      <c r="A700" s="260"/>
      <c r="B700" s="260"/>
    </row>
    <row r="701">
      <c r="A701" s="260"/>
      <c r="B701" s="260"/>
    </row>
    <row r="702">
      <c r="A702" s="260"/>
      <c r="B702" s="260"/>
    </row>
    <row r="703">
      <c r="A703" s="260"/>
      <c r="B703" s="260"/>
    </row>
    <row r="704">
      <c r="A704" s="260"/>
      <c r="B704" s="260"/>
    </row>
    <row r="705">
      <c r="A705" s="260"/>
      <c r="B705" s="260"/>
    </row>
    <row r="706">
      <c r="A706" s="260"/>
      <c r="B706" s="260"/>
    </row>
    <row r="707">
      <c r="A707" s="260"/>
      <c r="B707" s="260"/>
    </row>
    <row r="708">
      <c r="A708" s="260"/>
      <c r="B708" s="260"/>
    </row>
    <row r="709">
      <c r="A709" s="260"/>
      <c r="B709" s="260"/>
    </row>
    <row r="710">
      <c r="A710" s="260"/>
      <c r="B710" s="260"/>
    </row>
    <row r="711">
      <c r="A711" s="260"/>
      <c r="B711" s="260"/>
    </row>
    <row r="712">
      <c r="A712" s="260"/>
      <c r="B712" s="260"/>
    </row>
    <row r="713">
      <c r="A713" s="260"/>
      <c r="B713" s="260"/>
    </row>
    <row r="714">
      <c r="A714" s="260"/>
      <c r="B714" s="260"/>
    </row>
    <row r="715">
      <c r="A715" s="260"/>
      <c r="B715" s="260"/>
    </row>
    <row r="716">
      <c r="A716" s="260"/>
      <c r="B716" s="260"/>
    </row>
    <row r="717">
      <c r="A717" s="260"/>
      <c r="B717" s="260"/>
    </row>
    <row r="718">
      <c r="A718" s="260"/>
      <c r="B718" s="260"/>
    </row>
    <row r="719">
      <c r="A719" s="260"/>
      <c r="B719" s="260"/>
    </row>
    <row r="720">
      <c r="A720" s="260"/>
      <c r="B720" s="260"/>
    </row>
    <row r="721">
      <c r="A721" s="260"/>
      <c r="B721" s="260"/>
    </row>
    <row r="722">
      <c r="A722" s="260"/>
      <c r="B722" s="260"/>
    </row>
    <row r="723">
      <c r="A723" s="260"/>
      <c r="B723" s="260"/>
    </row>
    <row r="724">
      <c r="A724" s="260"/>
      <c r="B724" s="260"/>
    </row>
    <row r="725">
      <c r="A725" s="260"/>
      <c r="B725" s="260"/>
    </row>
    <row r="726">
      <c r="A726" s="260"/>
      <c r="B726" s="260"/>
    </row>
    <row r="727">
      <c r="A727" s="260"/>
      <c r="B727" s="260"/>
    </row>
    <row r="728">
      <c r="A728" s="260"/>
      <c r="B728" s="260"/>
    </row>
    <row r="729">
      <c r="A729" s="260"/>
      <c r="B729" s="260"/>
    </row>
    <row r="730">
      <c r="A730" s="260"/>
      <c r="B730" s="260"/>
    </row>
    <row r="731">
      <c r="A731" s="260"/>
      <c r="B731" s="260"/>
    </row>
    <row r="732">
      <c r="A732" s="260"/>
      <c r="B732" s="260"/>
    </row>
    <row r="733">
      <c r="A733" s="260"/>
      <c r="B733" s="260"/>
    </row>
    <row r="734">
      <c r="A734" s="260"/>
      <c r="B734" s="260"/>
    </row>
    <row r="735">
      <c r="A735" s="260"/>
      <c r="B735" s="260"/>
    </row>
    <row r="736">
      <c r="A736" s="260"/>
      <c r="B736" s="260"/>
    </row>
    <row r="737">
      <c r="A737" s="260"/>
      <c r="B737" s="260"/>
    </row>
    <row r="738">
      <c r="A738" s="260"/>
      <c r="B738" s="260"/>
    </row>
    <row r="739">
      <c r="A739" s="260"/>
      <c r="B739" s="260"/>
    </row>
    <row r="740">
      <c r="A740" s="260"/>
      <c r="B740" s="260"/>
    </row>
    <row r="741">
      <c r="A741" s="260"/>
      <c r="B741" s="260"/>
    </row>
    <row r="742">
      <c r="A742" s="260"/>
      <c r="B742" s="260"/>
    </row>
    <row r="743">
      <c r="A743" s="260"/>
      <c r="B743" s="260"/>
    </row>
    <row r="744">
      <c r="A744" s="260"/>
      <c r="B744" s="260"/>
    </row>
    <row r="745">
      <c r="A745" s="260"/>
      <c r="B745" s="260"/>
    </row>
    <row r="746">
      <c r="A746" s="260"/>
      <c r="B746" s="260"/>
    </row>
    <row r="747">
      <c r="A747" s="260"/>
      <c r="B747" s="260"/>
    </row>
    <row r="748">
      <c r="A748" s="260"/>
      <c r="B748" s="260"/>
    </row>
    <row r="749">
      <c r="A749" s="260"/>
      <c r="B749" s="260"/>
    </row>
    <row r="750">
      <c r="A750" s="260"/>
      <c r="B750" s="260"/>
    </row>
    <row r="751">
      <c r="A751" s="260"/>
      <c r="B751" s="260"/>
    </row>
    <row r="752">
      <c r="A752" s="260"/>
      <c r="B752" s="260"/>
    </row>
    <row r="753">
      <c r="A753" s="260"/>
      <c r="B753" s="260"/>
    </row>
    <row r="754">
      <c r="A754" s="260"/>
      <c r="B754" s="260"/>
    </row>
    <row r="755">
      <c r="A755" s="260"/>
      <c r="B755" s="260"/>
    </row>
    <row r="756">
      <c r="A756" s="260"/>
      <c r="B756" s="260"/>
    </row>
    <row r="757">
      <c r="A757" s="260"/>
      <c r="B757" s="260"/>
    </row>
    <row r="758">
      <c r="A758" s="260"/>
      <c r="B758" s="260"/>
    </row>
    <row r="759">
      <c r="A759" s="260"/>
      <c r="B759" s="260"/>
    </row>
    <row r="760">
      <c r="A760" s="260"/>
      <c r="B760" s="260"/>
    </row>
    <row r="761">
      <c r="A761" s="260"/>
      <c r="B761" s="260"/>
    </row>
    <row r="762">
      <c r="A762" s="260"/>
      <c r="B762" s="260"/>
    </row>
    <row r="763">
      <c r="A763" s="260"/>
      <c r="B763" s="260"/>
    </row>
    <row r="764">
      <c r="A764" s="260"/>
      <c r="B764" s="260"/>
    </row>
    <row r="765">
      <c r="A765" s="260"/>
      <c r="B765" s="260"/>
    </row>
    <row r="766">
      <c r="A766" s="260"/>
      <c r="B766" s="260"/>
    </row>
    <row r="767">
      <c r="A767" s="260"/>
      <c r="B767" s="260"/>
    </row>
    <row r="768">
      <c r="A768" s="260"/>
      <c r="B768" s="260"/>
    </row>
    <row r="769">
      <c r="A769" s="260"/>
      <c r="B769" s="260"/>
    </row>
    <row r="770">
      <c r="A770" s="260"/>
      <c r="B770" s="260"/>
    </row>
    <row r="771">
      <c r="A771" s="260"/>
      <c r="B771" s="260"/>
    </row>
    <row r="772">
      <c r="A772" s="260"/>
      <c r="B772" s="260"/>
    </row>
    <row r="773">
      <c r="A773" s="260"/>
      <c r="B773" s="260"/>
    </row>
    <row r="774">
      <c r="A774" s="260"/>
      <c r="B774" s="260"/>
    </row>
    <row r="775">
      <c r="A775" s="260"/>
      <c r="B775" s="260"/>
    </row>
    <row r="776">
      <c r="A776" s="260"/>
      <c r="B776" s="260"/>
    </row>
    <row r="777">
      <c r="A777" s="260"/>
      <c r="B777" s="260"/>
    </row>
    <row r="778">
      <c r="A778" s="260"/>
      <c r="B778" s="260"/>
    </row>
    <row r="779">
      <c r="A779" s="260"/>
      <c r="B779" s="260"/>
    </row>
    <row r="780">
      <c r="A780" s="260"/>
      <c r="B780" s="260"/>
    </row>
    <row r="781">
      <c r="A781" s="260"/>
      <c r="B781" s="260"/>
    </row>
    <row r="782">
      <c r="A782" s="260"/>
      <c r="B782" s="260"/>
    </row>
    <row r="783">
      <c r="A783" s="260"/>
      <c r="B783" s="260"/>
    </row>
    <row r="784">
      <c r="A784" s="260"/>
      <c r="B784" s="260"/>
    </row>
    <row r="785">
      <c r="A785" s="260"/>
      <c r="B785" s="260"/>
    </row>
    <row r="786">
      <c r="A786" s="260"/>
      <c r="B786" s="260"/>
    </row>
    <row r="787">
      <c r="A787" s="260"/>
      <c r="B787" s="260"/>
    </row>
    <row r="788">
      <c r="A788" s="260"/>
      <c r="B788" s="260"/>
    </row>
    <row r="789">
      <c r="A789" s="260"/>
      <c r="B789" s="260"/>
    </row>
    <row r="790">
      <c r="A790" s="260"/>
      <c r="B790" s="260"/>
    </row>
    <row r="791">
      <c r="A791" s="260"/>
      <c r="B791" s="260"/>
    </row>
    <row r="792">
      <c r="A792" s="260"/>
      <c r="B792" s="260"/>
    </row>
    <row r="793">
      <c r="A793" s="260"/>
      <c r="B793" s="260"/>
    </row>
    <row r="794">
      <c r="A794" s="260"/>
      <c r="B794" s="260"/>
    </row>
    <row r="795">
      <c r="A795" s="260"/>
      <c r="B795" s="260"/>
    </row>
    <row r="796">
      <c r="A796" s="260"/>
      <c r="B796" s="260"/>
    </row>
    <row r="797">
      <c r="A797" s="260"/>
      <c r="B797" s="260"/>
    </row>
    <row r="798">
      <c r="A798" s="260"/>
      <c r="B798" s="260"/>
    </row>
    <row r="799">
      <c r="A799" s="260"/>
      <c r="B799" s="260"/>
    </row>
    <row r="800">
      <c r="A800" s="260"/>
      <c r="B800" s="260"/>
    </row>
    <row r="801">
      <c r="A801" s="260"/>
      <c r="B801" s="260"/>
    </row>
    <row r="802">
      <c r="A802" s="260"/>
      <c r="B802" s="260"/>
    </row>
    <row r="803">
      <c r="A803" s="260"/>
      <c r="B803" s="260"/>
    </row>
    <row r="804">
      <c r="A804" s="260"/>
      <c r="B804" s="260"/>
    </row>
    <row r="805">
      <c r="A805" s="260"/>
      <c r="B805" s="260"/>
    </row>
    <row r="806">
      <c r="A806" s="260"/>
      <c r="B806" s="260"/>
    </row>
    <row r="807">
      <c r="A807" s="260"/>
      <c r="B807" s="260"/>
    </row>
    <row r="808">
      <c r="A808" s="260"/>
      <c r="B808" s="260"/>
    </row>
    <row r="809">
      <c r="A809" s="260"/>
      <c r="B809" s="260"/>
    </row>
    <row r="810">
      <c r="A810" s="260"/>
      <c r="B810" s="260"/>
    </row>
    <row r="811">
      <c r="A811" s="260"/>
      <c r="B811" s="260"/>
    </row>
    <row r="812">
      <c r="A812" s="260"/>
      <c r="B812" s="260"/>
    </row>
    <row r="813">
      <c r="A813" s="260"/>
      <c r="B813" s="260"/>
    </row>
    <row r="814">
      <c r="A814" s="260"/>
      <c r="B814" s="260"/>
    </row>
    <row r="815">
      <c r="A815" s="260"/>
      <c r="B815" s="260"/>
    </row>
    <row r="816">
      <c r="A816" s="260"/>
      <c r="B816" s="260"/>
    </row>
    <row r="817">
      <c r="A817" s="260"/>
      <c r="B817" s="260"/>
    </row>
    <row r="818">
      <c r="A818" s="260"/>
      <c r="B818" s="260"/>
    </row>
    <row r="819">
      <c r="A819" s="260"/>
      <c r="B819" s="260"/>
    </row>
    <row r="820">
      <c r="A820" s="260"/>
      <c r="B820" s="260"/>
    </row>
    <row r="821">
      <c r="A821" s="260"/>
      <c r="B821" s="260"/>
    </row>
    <row r="822">
      <c r="A822" s="260"/>
      <c r="B822" s="260"/>
    </row>
    <row r="823">
      <c r="A823" s="260"/>
      <c r="B823" s="260"/>
    </row>
    <row r="824">
      <c r="A824" s="260"/>
      <c r="B824" s="260"/>
    </row>
    <row r="825">
      <c r="A825" s="260"/>
      <c r="B825" s="260"/>
    </row>
    <row r="826">
      <c r="A826" s="260"/>
      <c r="B826" s="260"/>
    </row>
    <row r="827">
      <c r="A827" s="260"/>
      <c r="B827" s="260"/>
    </row>
    <row r="828">
      <c r="A828" s="260"/>
      <c r="B828" s="260"/>
    </row>
    <row r="829">
      <c r="A829" s="260"/>
      <c r="B829" s="260"/>
    </row>
    <row r="830">
      <c r="A830" s="260"/>
      <c r="B830" s="260"/>
    </row>
    <row r="831">
      <c r="A831" s="260"/>
      <c r="B831" s="260"/>
    </row>
    <row r="832">
      <c r="A832" s="260"/>
      <c r="B832" s="260"/>
    </row>
    <row r="833">
      <c r="A833" s="260"/>
      <c r="B833" s="260"/>
    </row>
    <row r="834">
      <c r="A834" s="260"/>
      <c r="B834" s="260"/>
    </row>
    <row r="835">
      <c r="A835" s="260"/>
      <c r="B835" s="260"/>
    </row>
    <row r="836">
      <c r="A836" s="260"/>
      <c r="B836" s="260"/>
    </row>
    <row r="837">
      <c r="A837" s="260"/>
      <c r="B837" s="260"/>
    </row>
    <row r="838">
      <c r="A838" s="260"/>
      <c r="B838" s="260"/>
    </row>
    <row r="839">
      <c r="A839" s="260"/>
      <c r="B839" s="260"/>
    </row>
    <row r="840">
      <c r="A840" s="260"/>
      <c r="B840" s="260"/>
    </row>
    <row r="841">
      <c r="A841" s="260"/>
      <c r="B841" s="260"/>
    </row>
    <row r="842">
      <c r="A842" s="260"/>
      <c r="B842" s="260"/>
    </row>
    <row r="843">
      <c r="A843" s="260"/>
      <c r="B843" s="260"/>
    </row>
    <row r="844">
      <c r="A844" s="260"/>
      <c r="B844" s="260"/>
    </row>
    <row r="845">
      <c r="A845" s="260"/>
      <c r="B845" s="260"/>
    </row>
    <row r="846">
      <c r="A846" s="260"/>
      <c r="B846" s="260"/>
    </row>
    <row r="847">
      <c r="A847" s="260"/>
      <c r="B847" s="260"/>
    </row>
    <row r="848">
      <c r="A848" s="260"/>
      <c r="B848" s="260"/>
    </row>
    <row r="849">
      <c r="A849" s="260"/>
      <c r="B849" s="260"/>
    </row>
    <row r="850">
      <c r="A850" s="260"/>
      <c r="B850" s="260"/>
    </row>
    <row r="851">
      <c r="A851" s="260"/>
      <c r="B851" s="260"/>
    </row>
    <row r="852">
      <c r="A852" s="260"/>
      <c r="B852" s="260"/>
    </row>
    <row r="853">
      <c r="A853" s="260"/>
      <c r="B853" s="260"/>
    </row>
    <row r="854">
      <c r="A854" s="260"/>
      <c r="B854" s="260"/>
    </row>
    <row r="855">
      <c r="A855" s="260"/>
      <c r="B855" s="260"/>
    </row>
    <row r="856">
      <c r="A856" s="260"/>
      <c r="B856" s="260"/>
    </row>
    <row r="857">
      <c r="A857" s="260"/>
      <c r="B857" s="260"/>
    </row>
    <row r="858">
      <c r="A858" s="260"/>
      <c r="B858" s="260"/>
    </row>
    <row r="859">
      <c r="A859" s="260"/>
      <c r="B859" s="260"/>
    </row>
    <row r="860">
      <c r="A860" s="260"/>
      <c r="B860" s="260"/>
    </row>
    <row r="861">
      <c r="A861" s="260"/>
      <c r="B861" s="260"/>
    </row>
    <row r="862">
      <c r="A862" s="260"/>
      <c r="B862" s="260"/>
    </row>
    <row r="863">
      <c r="A863" s="260"/>
      <c r="B863" s="260"/>
    </row>
    <row r="864">
      <c r="A864" s="260"/>
      <c r="B864" s="260"/>
    </row>
    <row r="865">
      <c r="A865" s="260"/>
      <c r="B865" s="260"/>
    </row>
    <row r="866">
      <c r="A866" s="260"/>
      <c r="B866" s="260"/>
    </row>
    <row r="867">
      <c r="A867" s="260"/>
      <c r="B867" s="260"/>
    </row>
    <row r="868">
      <c r="A868" s="260"/>
      <c r="B868" s="260"/>
    </row>
    <row r="869">
      <c r="A869" s="260"/>
      <c r="B869" s="260"/>
    </row>
    <row r="870">
      <c r="A870" s="260"/>
      <c r="B870" s="260"/>
    </row>
    <row r="871">
      <c r="A871" s="260"/>
      <c r="B871" s="260"/>
    </row>
    <row r="872">
      <c r="A872" s="260"/>
      <c r="B872" s="260"/>
    </row>
    <row r="873">
      <c r="A873" s="260"/>
      <c r="B873" s="260"/>
    </row>
    <row r="874">
      <c r="A874" s="260"/>
      <c r="B874" s="260"/>
    </row>
    <row r="875">
      <c r="A875" s="260"/>
      <c r="B875" s="260"/>
    </row>
    <row r="876">
      <c r="A876" s="260"/>
      <c r="B876" s="260"/>
    </row>
    <row r="877">
      <c r="A877" s="260"/>
      <c r="B877" s="260"/>
    </row>
    <row r="878">
      <c r="A878" s="260"/>
      <c r="B878" s="260"/>
    </row>
    <row r="879">
      <c r="A879" s="260"/>
      <c r="B879" s="260"/>
    </row>
    <row r="880">
      <c r="A880" s="260"/>
      <c r="B880" s="260"/>
    </row>
    <row r="881">
      <c r="A881" s="260"/>
      <c r="B881" s="260"/>
    </row>
    <row r="882">
      <c r="A882" s="260"/>
      <c r="B882" s="260"/>
    </row>
    <row r="883">
      <c r="A883" s="260"/>
      <c r="B883" s="260"/>
    </row>
    <row r="884">
      <c r="A884" s="260"/>
      <c r="B884" s="260"/>
    </row>
    <row r="885">
      <c r="A885" s="260"/>
      <c r="B885" s="260"/>
    </row>
    <row r="886">
      <c r="A886" s="260"/>
      <c r="B886" s="260"/>
    </row>
    <row r="887">
      <c r="A887" s="260"/>
      <c r="B887" s="260"/>
    </row>
    <row r="888">
      <c r="A888" s="260"/>
      <c r="B888" s="260"/>
    </row>
    <row r="889">
      <c r="A889" s="260"/>
      <c r="B889" s="260"/>
    </row>
    <row r="890">
      <c r="A890" s="260"/>
      <c r="B890" s="260"/>
    </row>
    <row r="891">
      <c r="A891" s="260"/>
      <c r="B891" s="260"/>
    </row>
    <row r="892">
      <c r="A892" s="260"/>
      <c r="B892" s="260"/>
    </row>
    <row r="893">
      <c r="A893" s="260"/>
      <c r="B893" s="260"/>
    </row>
    <row r="894">
      <c r="A894" s="260"/>
      <c r="B894" s="260"/>
    </row>
    <row r="895">
      <c r="A895" s="260"/>
      <c r="B895" s="260"/>
    </row>
    <row r="896">
      <c r="A896" s="260"/>
      <c r="B896" s="260"/>
    </row>
    <row r="897">
      <c r="A897" s="260"/>
      <c r="B897" s="260"/>
    </row>
    <row r="898">
      <c r="A898" s="260"/>
      <c r="B898" s="260"/>
    </row>
    <row r="899">
      <c r="A899" s="260"/>
      <c r="B899" s="260"/>
    </row>
    <row r="900">
      <c r="A900" s="260"/>
      <c r="B900" s="260"/>
    </row>
    <row r="901">
      <c r="A901" s="260"/>
      <c r="B901" s="260"/>
    </row>
    <row r="902">
      <c r="A902" s="260"/>
      <c r="B902" s="260"/>
    </row>
    <row r="903">
      <c r="A903" s="260"/>
      <c r="B903" s="260"/>
    </row>
    <row r="904">
      <c r="A904" s="260"/>
      <c r="B904" s="260"/>
    </row>
    <row r="905">
      <c r="A905" s="260"/>
      <c r="B905" s="260"/>
    </row>
    <row r="906">
      <c r="A906" s="260"/>
      <c r="B906" s="260"/>
    </row>
    <row r="907">
      <c r="A907" s="260"/>
      <c r="B907" s="260"/>
    </row>
    <row r="908">
      <c r="A908" s="260"/>
      <c r="B908" s="260"/>
    </row>
    <row r="909">
      <c r="A909" s="260"/>
      <c r="B909" s="260"/>
    </row>
    <row r="910">
      <c r="A910" s="260"/>
      <c r="B910" s="260"/>
    </row>
    <row r="911">
      <c r="A911" s="260"/>
      <c r="B911" s="260"/>
    </row>
    <row r="912">
      <c r="A912" s="260"/>
      <c r="B912" s="260"/>
    </row>
    <row r="913">
      <c r="A913" s="260"/>
      <c r="B913" s="260"/>
    </row>
    <row r="914">
      <c r="A914" s="260"/>
      <c r="B914" s="260"/>
    </row>
    <row r="915">
      <c r="A915" s="260"/>
      <c r="B915" s="260"/>
    </row>
    <row r="916">
      <c r="A916" s="260"/>
      <c r="B916" s="260"/>
    </row>
    <row r="917">
      <c r="A917" s="260"/>
      <c r="B917" s="260"/>
    </row>
    <row r="918">
      <c r="A918" s="260"/>
      <c r="B918" s="260"/>
    </row>
    <row r="919">
      <c r="A919" s="260"/>
      <c r="B919" s="260"/>
    </row>
    <row r="920">
      <c r="A920" s="260"/>
      <c r="B920" s="260"/>
    </row>
    <row r="921">
      <c r="A921" s="260"/>
      <c r="B921" s="260"/>
    </row>
    <row r="922">
      <c r="A922" s="260"/>
      <c r="B922" s="260"/>
    </row>
    <row r="923">
      <c r="A923" s="260"/>
      <c r="B923" s="260"/>
    </row>
    <row r="924">
      <c r="A924" s="260"/>
      <c r="B924" s="260"/>
    </row>
    <row r="925">
      <c r="A925" s="260"/>
      <c r="B925" s="260"/>
    </row>
    <row r="926">
      <c r="A926" s="260"/>
      <c r="B926" s="260"/>
    </row>
    <row r="927">
      <c r="A927" s="260"/>
      <c r="B927" s="260"/>
    </row>
    <row r="928">
      <c r="A928" s="260"/>
      <c r="B928" s="260"/>
    </row>
    <row r="929">
      <c r="A929" s="260"/>
      <c r="B929" s="260"/>
    </row>
    <row r="930">
      <c r="A930" s="260"/>
      <c r="B930" s="260"/>
    </row>
    <row r="931">
      <c r="A931" s="260"/>
      <c r="B931" s="260"/>
    </row>
    <row r="932">
      <c r="A932" s="260"/>
      <c r="B932" s="260"/>
    </row>
    <row r="933">
      <c r="A933" s="260"/>
      <c r="B933" s="260"/>
    </row>
    <row r="934">
      <c r="A934" s="260"/>
      <c r="B934" s="260"/>
    </row>
    <row r="935">
      <c r="A935" s="260"/>
      <c r="B935" s="260"/>
    </row>
    <row r="936">
      <c r="A936" s="260"/>
      <c r="B936" s="260"/>
    </row>
    <row r="937">
      <c r="A937" s="260"/>
      <c r="B937" s="260"/>
    </row>
    <row r="938">
      <c r="A938" s="260"/>
      <c r="B938" s="260"/>
    </row>
    <row r="939">
      <c r="A939" s="260"/>
      <c r="B939" s="260"/>
    </row>
    <row r="940">
      <c r="A940" s="260"/>
      <c r="B940" s="260"/>
    </row>
    <row r="941">
      <c r="A941" s="260"/>
      <c r="B941" s="260"/>
    </row>
    <row r="942">
      <c r="A942" s="260"/>
      <c r="B942" s="260"/>
    </row>
    <row r="943">
      <c r="A943" s="260"/>
      <c r="B943" s="260"/>
    </row>
    <row r="944">
      <c r="A944" s="260"/>
      <c r="B944" s="260"/>
    </row>
    <row r="945">
      <c r="A945" s="260"/>
      <c r="B945" s="260"/>
    </row>
    <row r="946">
      <c r="A946" s="260"/>
      <c r="B946" s="260"/>
    </row>
    <row r="947">
      <c r="A947" s="260"/>
      <c r="B947" s="260"/>
    </row>
    <row r="948">
      <c r="A948" s="260"/>
      <c r="B948" s="260"/>
    </row>
    <row r="949">
      <c r="A949" s="260"/>
      <c r="B949" s="260"/>
    </row>
    <row r="950">
      <c r="A950" s="260"/>
      <c r="B950" s="260"/>
    </row>
    <row r="951">
      <c r="A951" s="260"/>
      <c r="B951" s="260"/>
    </row>
    <row r="952">
      <c r="A952" s="260"/>
      <c r="B952" s="260"/>
    </row>
    <row r="953">
      <c r="A953" s="260"/>
      <c r="B953" s="260"/>
    </row>
    <row r="954">
      <c r="A954" s="260"/>
      <c r="B954" s="260"/>
    </row>
    <row r="955">
      <c r="A955" s="260"/>
      <c r="B955" s="260"/>
    </row>
    <row r="956">
      <c r="A956" s="260"/>
      <c r="B956" s="260"/>
    </row>
    <row r="957">
      <c r="A957" s="260"/>
      <c r="B957" s="260"/>
    </row>
    <row r="958">
      <c r="A958" s="260"/>
      <c r="B958" s="260"/>
    </row>
    <row r="959">
      <c r="A959" s="260"/>
      <c r="B959" s="260"/>
    </row>
    <row r="960">
      <c r="A960" s="260"/>
      <c r="B960" s="260"/>
    </row>
    <row r="961">
      <c r="A961" s="260"/>
      <c r="B961" s="260"/>
    </row>
    <row r="962">
      <c r="A962" s="260"/>
      <c r="B962" s="260"/>
    </row>
    <row r="963">
      <c r="A963" s="260"/>
      <c r="B963" s="260"/>
    </row>
    <row r="964">
      <c r="A964" s="260"/>
      <c r="B964" s="260"/>
    </row>
    <row r="965">
      <c r="A965" s="260"/>
      <c r="B965" s="260"/>
    </row>
    <row r="966">
      <c r="A966" s="260"/>
      <c r="B966" s="260"/>
    </row>
    <row r="967">
      <c r="A967" s="260"/>
      <c r="B967" s="260"/>
    </row>
    <row r="968">
      <c r="A968" s="260"/>
      <c r="B968" s="260"/>
    </row>
    <row r="969">
      <c r="A969" s="260"/>
      <c r="B969" s="260"/>
    </row>
    <row r="970">
      <c r="A970" s="260"/>
      <c r="B970" s="260"/>
    </row>
    <row r="971">
      <c r="A971" s="260"/>
      <c r="B971" s="260"/>
    </row>
    <row r="972">
      <c r="A972" s="260"/>
      <c r="B972" s="260"/>
    </row>
    <row r="973">
      <c r="A973" s="260"/>
      <c r="B973" s="260"/>
    </row>
    <row r="974">
      <c r="A974" s="260"/>
      <c r="B974" s="260"/>
    </row>
    <row r="975">
      <c r="A975" s="260"/>
      <c r="B975" s="260"/>
    </row>
    <row r="976">
      <c r="A976" s="260"/>
      <c r="B976" s="260"/>
    </row>
    <row r="977">
      <c r="A977" s="260"/>
      <c r="B977" s="260"/>
    </row>
    <row r="978">
      <c r="A978" s="260"/>
      <c r="B978" s="260"/>
    </row>
    <row r="979">
      <c r="A979" s="260"/>
      <c r="B979" s="260"/>
    </row>
    <row r="980">
      <c r="A980" s="260"/>
      <c r="B980" s="260"/>
    </row>
    <row r="981">
      <c r="A981" s="260"/>
      <c r="B981" s="260"/>
    </row>
    <row r="982">
      <c r="A982" s="260"/>
      <c r="B982" s="260"/>
    </row>
    <row r="983">
      <c r="A983" s="260"/>
      <c r="B983" s="260"/>
    </row>
    <row r="984">
      <c r="A984" s="260"/>
      <c r="B984" s="260"/>
    </row>
    <row r="985">
      <c r="A985" s="260"/>
      <c r="B985" s="260"/>
    </row>
    <row r="986">
      <c r="A986" s="260"/>
      <c r="B986" s="260"/>
    </row>
    <row r="987">
      <c r="A987" s="260"/>
      <c r="B987" s="260"/>
    </row>
    <row r="988">
      <c r="A988" s="260"/>
      <c r="B988" s="260"/>
    </row>
    <row r="989">
      <c r="A989" s="260"/>
      <c r="B989" s="260"/>
    </row>
    <row r="990">
      <c r="A990" s="260"/>
      <c r="B990" s="260"/>
    </row>
    <row r="991">
      <c r="A991" s="260"/>
      <c r="B991" s="260"/>
    </row>
    <row r="992">
      <c r="A992" s="260"/>
      <c r="B992" s="260"/>
    </row>
    <row r="993">
      <c r="A993" s="260"/>
      <c r="B993" s="260"/>
    </row>
    <row r="994">
      <c r="A994" s="260"/>
      <c r="B994" s="260"/>
    </row>
    <row r="995">
      <c r="A995" s="260"/>
      <c r="B995" s="260"/>
    </row>
    <row r="996">
      <c r="A996" s="260"/>
      <c r="B996" s="260"/>
    </row>
    <row r="997">
      <c r="A997" s="260"/>
      <c r="B997" s="260"/>
    </row>
    <row r="998">
      <c r="A998" s="260"/>
      <c r="B998" s="260"/>
    </row>
    <row r="999">
      <c r="A999" s="260"/>
      <c r="B999" s="260"/>
    </row>
    <row r="1000">
      <c r="A1000" s="260"/>
      <c r="B1000" s="260"/>
    </row>
    <row r="1001">
      <c r="A1001" s="260"/>
      <c r="B1001" s="260"/>
    </row>
  </sheetData>
  <drawing r:id="rId1"/>
</worksheet>
</file>